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nergystrategy.sharepoint.com/sites/EnergyStrategies797/Project Folders/Kroger - Kentucky/Duke Kentucky 2024 Rate Case (2024-00354)/Justin's Work/"/>
    </mc:Choice>
  </mc:AlternateContent>
  <xr:revisionPtr revIDLastSave="84" documentId="8_{BC3BDB26-8D30-4FE5-8081-373BA8D5B429}" xr6:coauthVersionLast="47" xr6:coauthVersionMax="47" xr10:uidLastSave="{AF7224D6-6933-478B-821D-012EF16B43F9}"/>
  <bookViews>
    <workbookView xWindow="-28920" yWindow="-120" windowWidth="29040" windowHeight="15720" tabRatio="890" firstSheet="3" activeTab="16" xr2:uid="{26BEA9C4-E8F7-403A-8BF1-3CC464FE72A9}"/>
  </bookViews>
  <sheets>
    <sheet name="INPUT" sheetId="1" r:id="rId1"/>
    <sheet name="PRINT" sheetId="2" r:id="rId2"/>
    <sheet name="Revenue Check" sheetId="40" r:id="rId3"/>
    <sheet name="SCH M" sheetId="3" r:id="rId4"/>
    <sheet name="SCH M-2.1" sheetId="4" r:id="rId5"/>
    <sheet name="SCH M-2.2" sheetId="5" r:id="rId6"/>
    <sheet name="SCH M-2.3" sheetId="6" r:id="rId7"/>
    <sheet name="Rate RS" sheetId="7" r:id="rId8"/>
    <sheet name="FR-16(7)(v)-16 DS Classified" sheetId="46" r:id="rId9"/>
    <sheet name="Attachment JB-1" sheetId="49" r:id="rId10"/>
    <sheet name="Attachment JB-2" sheetId="51" r:id="rId11"/>
    <sheet name="Attachment JB-3" sheetId="52" r:id="rId12"/>
    <sheet name="Table JB-2" sheetId="44" r:id="rId13"/>
    <sheet name="Table JB-3" sheetId="45" r:id="rId14"/>
    <sheet name="Table JB-4" sheetId="47" r:id="rId15"/>
    <sheet name="Table JB-5" sheetId="48" r:id="rId16"/>
    <sheet name="Table JB-6" sheetId="53" r:id="rId17"/>
    <sheet name="SCH N" sheetId="26" r:id="rId18"/>
    <sheet name="SCH N (As-Filed)" sheetId="43" r:id="rId19"/>
    <sheet name="Rate DS" sheetId="8" r:id="rId20"/>
    <sheet name="Rate DS (As-Filed)" sheetId="41" r:id="rId21"/>
    <sheet name="Rate DS RTP" sheetId="31" r:id="rId22"/>
    <sheet name="Rate DS RTP (As-Filed)" sheetId="42" r:id="rId23"/>
    <sheet name="Rate DT-Pri" sheetId="9" r:id="rId24"/>
    <sheet name="Rate DT-Sec" sheetId="10" r:id="rId25"/>
    <sheet name="Rate EH" sheetId="11" r:id="rId26"/>
    <sheet name="Rate SP GSFL" sheetId="12" r:id="rId27"/>
    <sheet name="Rate DP" sheetId="13" r:id="rId28"/>
    <sheet name="Rate TT" sheetId="14" r:id="rId29"/>
    <sheet name="Rate DT RTP-P" sheetId="29" r:id="rId30"/>
    <sheet name="Rate DT RTP-S" sheetId="30" r:id="rId31"/>
    <sheet name="Rate TT RTP" sheetId="33" r:id="rId32"/>
    <sheet name="Rate SL" sheetId="19" r:id="rId33"/>
    <sheet name="Rate TL" sheetId="20" r:id="rId34"/>
    <sheet name="Rate UOLS" sheetId="28" r:id="rId35"/>
    <sheet name="Rate NSU" sheetId="22" r:id="rId36"/>
    <sheet name="Rate SC" sheetId="24" r:id="rId37"/>
    <sheet name="Rate SE" sheetId="25" r:id="rId38"/>
    <sheet name="Rate LED" sheetId="38" r:id="rId39"/>
    <sheet name="BILL CALC" sheetId="27" r:id="rId40"/>
    <sheet name="Revenue Requirements" sheetId="34" r:id="rId41"/>
    <sheet name="Proposed Rates" sheetId="35" r:id="rId42"/>
    <sheet name="TBI" sheetId="36" r:id="rId43"/>
    <sheet name="RTP Worksheet" sheetId="37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_123Graph_A" hidden="1">'[1]Over Under Recovery Calc'!#REF!</definedName>
    <definedName name="__123Graph_ACF" hidden="1">'[1]Over Under Recovery Calc'!#REF!</definedName>
    <definedName name="__123Graph_AOU" hidden="1">'[1]Over Under Recovery Calc'!#REF!</definedName>
    <definedName name="__123Graph_APUR" hidden="1">'[1]Over Under Recovery Calc'!#REF!</definedName>
    <definedName name="__123Graph_BPUR" hidden="1">'[1]Over Under Recovery Calc'!#REF!</definedName>
    <definedName name="__123Graph_C" hidden="1">'[1]Over Under Recovery Calc'!#REF!</definedName>
    <definedName name="__123Graph_CCF" hidden="1">'[1]Over Under Recovery Calc'!#REF!</definedName>
    <definedName name="__123Graph_COU" hidden="1">'[1]Over Under Recovery Calc'!#REF!</definedName>
    <definedName name="__123Graph_D" hidden="1">'[2]Acct 232017'!#REF!</definedName>
    <definedName name="__123Graph_ECURRENT" hidden="1">[3]coss!#REF!</definedName>
    <definedName name="__123Graph_LBL_C" hidden="1">'[1]Over Under Recovery Calc'!#REF!</definedName>
    <definedName name="__123Graph_LBL_CCF" hidden="1">'[1]Over Under Recovery Calc'!#REF!</definedName>
    <definedName name="__123Graph_LBL_COU" hidden="1">'[1]Over Under Recovery Calc'!#REF!</definedName>
    <definedName name="__123Graph_X" hidden="1">'[1]Over Under Recovery Calc'!#REF!</definedName>
    <definedName name="__123Graph_XCF" hidden="1">'[1]Over Under Recovery Calc'!#REF!</definedName>
    <definedName name="__123Graph_XOU" hidden="1">'[1]Over Under Recovery Calc'!#REF!</definedName>
    <definedName name="__123Graph_XPUR" hidden="1">'[1]Over Under Recovery Calc'!#REF!</definedName>
    <definedName name="__FDS_HYPERLINK_TOGGLE_STATE__" hidden="1">"ON"</definedName>
    <definedName name="_10__123Graph_ECHART_3" hidden="1">'[4]Chart Data'!#REF!</definedName>
    <definedName name="_2__123Graph_ACHART_3" hidden="1">'[4]Chart Data'!#REF!</definedName>
    <definedName name="_4__123Graph_BCHART_3" hidden="1">'[4]Chart Data'!#REF!</definedName>
    <definedName name="_6__123Graph_CCHART_3" hidden="1">'[4]Chart Data'!#REF!</definedName>
    <definedName name="_8__123Graph_DCHART_3" hidden="1">'[4]Chart Data'!#REF!</definedName>
    <definedName name="_Fill" localSheetId="8" hidden="1">#REF!</definedName>
    <definedName name="_Fill" localSheetId="27" hidden="1">'Rate DP'!$AS$913:$AS$930</definedName>
    <definedName name="_Fill" localSheetId="19" hidden="1">'Rate DS'!$AS$926:$AS$943</definedName>
    <definedName name="_Fill" localSheetId="20" hidden="1">'Rate DS (As-Filed)'!$AS$926:$AS$943</definedName>
    <definedName name="_Fill" localSheetId="21" hidden="1">'Rate DS RTP'!$AS$903:$AS$920</definedName>
    <definedName name="_Fill" localSheetId="22" hidden="1">'Rate DS RTP (As-Filed)'!$AS$903:$AS$920</definedName>
    <definedName name="_Fill" localSheetId="29" hidden="1">'Rate DT RTP-P'!$AS$831:$AS$848</definedName>
    <definedName name="_Fill" localSheetId="30" hidden="1">'Rate DT RTP-S'!$AS$897:$AS$914</definedName>
    <definedName name="_Fill" localSheetId="23" hidden="1">'Rate DT-Pri'!$AS$887:$AS$904</definedName>
    <definedName name="_Fill" localSheetId="24" hidden="1">'Rate DT-Sec'!$AS$883:$AS$900</definedName>
    <definedName name="_Fill" localSheetId="25" hidden="1">'Rate EH'!$AS$895:$AS$912</definedName>
    <definedName name="_Fill" localSheetId="38" hidden="1">'Rate LED'!$AU$1324:$AU$1341</definedName>
    <definedName name="_Fill" localSheetId="35" hidden="1">'Rate NSU'!$AS$849:$AS$866</definedName>
    <definedName name="_Fill" localSheetId="7" hidden="1">'Rate RS'!#REF!</definedName>
    <definedName name="_Fill" localSheetId="36" hidden="1">'Rate SC'!$AS$827:$AS$844</definedName>
    <definedName name="_Fill" localSheetId="37" hidden="1">'Rate SE'!$AS$865:$AS$882</definedName>
    <definedName name="_Fill" localSheetId="32" hidden="1">'Rate SL'!$AU$853:$AU$870</definedName>
    <definedName name="_Fill" localSheetId="26" hidden="1">'Rate SP GSFL'!$AS$926:$AS$943</definedName>
    <definedName name="_Fill" localSheetId="33" hidden="1">'Rate TL'!$AS$849:$AS$866</definedName>
    <definedName name="_Fill" localSheetId="28" hidden="1">'Rate TT'!$AS$881:$AS$898</definedName>
    <definedName name="_Fill" localSheetId="31" hidden="1">'Rate TT RTP'!$AS$845:$AS$862</definedName>
    <definedName name="_Fill" localSheetId="34" hidden="1">'Rate UOLS'!$AS$838:$AS$855</definedName>
    <definedName name="_Fill" localSheetId="3" hidden="1">'SCH M'!#REF!</definedName>
    <definedName name="_Fill" localSheetId="4" hidden="1">'SCH M-2.1'!#REF!</definedName>
    <definedName name="_Fill" localSheetId="5" hidden="1">'SCH M-2.2'!#REF!</definedName>
    <definedName name="_Fill" localSheetId="6" hidden="1">'SCH M-2.3'!#REF!</definedName>
    <definedName name="_Fill" localSheetId="18" hidden="1">'SCH N (As-Filed)'!$A$221:$A$238</definedName>
    <definedName name="_Fill" hidden="1">'SCH N'!$A$221:$A$238</definedName>
    <definedName name="_Key1" hidden="1">'[5]FR-16(7)(v)-4 PROD Energy'!#REF!</definedName>
    <definedName name="_Key2" hidden="1">[6]MACROS!#REF!</definedName>
    <definedName name="_Order1" hidden="1">255</definedName>
    <definedName name="_Order2" hidden="1">255</definedName>
    <definedName name="_Regression_Int" localSheetId="27" hidden="1">1</definedName>
    <definedName name="_Regression_Int" localSheetId="19" hidden="1">1</definedName>
    <definedName name="_Regression_Int" localSheetId="20" hidden="1">1</definedName>
    <definedName name="_Regression_Int" localSheetId="21" hidden="1">1</definedName>
    <definedName name="_Regression_Int" localSheetId="22" hidden="1">1</definedName>
    <definedName name="_Regression_Int" localSheetId="29" hidden="1">1</definedName>
    <definedName name="_Regression_Int" localSheetId="30" hidden="1">1</definedName>
    <definedName name="_Regression_Int" localSheetId="23" hidden="1">1</definedName>
    <definedName name="_Regression_Int" localSheetId="24" hidden="1">1</definedName>
    <definedName name="_Regression_Int" localSheetId="25" hidden="1">1</definedName>
    <definedName name="_Regression_Int" localSheetId="38" hidden="1">1</definedName>
    <definedName name="_Regression_Int" localSheetId="35" hidden="1">1</definedName>
    <definedName name="_Regression_Int" localSheetId="7" hidden="1">1</definedName>
    <definedName name="_Regression_Int" localSheetId="36" hidden="1">1</definedName>
    <definedName name="_Regression_Int" localSheetId="37" hidden="1">1</definedName>
    <definedName name="_Regression_Int" localSheetId="32" hidden="1">1</definedName>
    <definedName name="_Regression_Int" localSheetId="26" hidden="1">1</definedName>
    <definedName name="_Regression_Int" localSheetId="33" hidden="1">1</definedName>
    <definedName name="_Regression_Int" localSheetId="28" hidden="1">1</definedName>
    <definedName name="_Regression_Int" localSheetId="31" hidden="1">1</definedName>
    <definedName name="_Regression_Int" localSheetId="34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Out" hidden="1">#N/A</definedName>
    <definedName name="_Sort" hidden="1">'[5]FR-16(7)(v)-4 PROD Energy'!#REF!</definedName>
    <definedName name="ALLCOMP">[7]Allocation!$B$67:$B$69</definedName>
    <definedName name="ALLCOSTS">[7]Allocation!$D$67:$U$69</definedName>
    <definedName name="alloc_factors">'[5]Print &amp; Input'!$A$9</definedName>
    <definedName name="ALLOCATOR">'[5]Print &amp; Input'!$A$11</definedName>
    <definedName name="Alloctable_Classified_Distribution">'[5]FR-16(7)(v)-10 DIST Classified'!$E$830:$I$971</definedName>
    <definedName name="AllocTable_Classified_Production">'[5]FR-16(7)(v)-2 PROD Classified'!$E$830:$I$969</definedName>
    <definedName name="AllocTable_Classified_Transmission">'[5]FR-16(7)(v)-6 TRANS Classified'!$E$830:$I$969</definedName>
    <definedName name="ALLOCTABLE_Distr_Customer">'[5]FR-16(7)(v)-13 DIST Cust'!$E$830:$S$971</definedName>
    <definedName name="ALLOCTABLE_Distr_Demand">'[5]FR-16(7)(v)-11 DIST Demand'!$E$830:$S$971</definedName>
    <definedName name="ALLOCTABLE_Distr_Energy">'[5]FR-16(7)(v)-12 DIST Energy'!$E$830:$S$971</definedName>
    <definedName name="ALLOCTABLE_FUNCTIONAL">'[5]FR-16(7)(v)-1 Functional'!$E$829:$I$972</definedName>
    <definedName name="ALLOCTABLE_Prod_Customer">'[5]FR-16(7)(v)-5 PROD Cust'!$E$830:$S$969</definedName>
    <definedName name="ALLOCTABLE_Prod_Demand">'[5]FR-16(7)(v)-3 PROD Demand'!$E$830:$S$969</definedName>
    <definedName name="ALLOCTABLE_Prod_Energy">'[5]FR-16(7)(v)-4 PROD Energy'!$E$830:$S$969</definedName>
    <definedName name="ALLOCTABLE_Trans_Customer">'[5]FR-16(7)(v)-9 TRANS Cust'!$E$830:$T$969</definedName>
    <definedName name="ALLOCTABLE_Trans_Demand">'[5]FR-16(7)(v)-7 TRANS Demand'!$E$830:$S$969</definedName>
    <definedName name="ALLOCTABLE_Trans_Energy">'[5]FR-16(7)(v)-8 TRANS Energy'!$E$830:$S$969</definedName>
    <definedName name="BANCOMP">[7]Banding!#REF!</definedName>
    <definedName name="BANCOSTS">[7]Banding!#REF!</definedName>
    <definedName name="Calc2Header">[7]Calc!$B$2:$L$2</definedName>
    <definedName name="Calc2Table">[7]Calc!$B:$L</definedName>
    <definedName name="CalcHeader">#REF!</definedName>
    <definedName name="CalcTable">#REF!</definedName>
    <definedName name="case_name">'[5]Print &amp; Input'!$A$3</definedName>
    <definedName name="CASE_NO">INPUT!$B$11</definedName>
    <definedName name="co_name">'[5]Print &amp; Input'!$A$1</definedName>
    <definedName name="CoinPeakTable">'[5]WP FR-16(7)(v) Load Res RS'!$A$15:$I$37</definedName>
    <definedName name="CompositeTaxRate">'[5]FR-16(7)(v)-1 Functional'!$F$729</definedName>
    <definedName name="coss_type">'[5]Print &amp; Input'!$A$2</definedName>
    <definedName name="CUR_BASE_FUEL">INPUT!$C$20</definedName>
    <definedName name="CUR_DCI">INPUT!$C$169</definedName>
    <definedName name="CUR_DCI_DIST">INPUT!$C$170</definedName>
    <definedName name="CUR_DCI_DP">INPUT!$C$176</definedName>
    <definedName name="CUR_DCI_DTP">INPUT!$C$171</definedName>
    <definedName name="CUR_DCI_DTS">INPUT!$C$172</definedName>
    <definedName name="CUR_DCI_EH">INPUT!$C$173</definedName>
    <definedName name="CUR_DCI_GSFL">INPUT!$C$175</definedName>
    <definedName name="CUR_DCI_SL">INPUT!$C$178</definedName>
    <definedName name="CUR_DCI_SP">INPUT!$C$174</definedName>
    <definedName name="CUR_DP_CST">'Rate DP'!$AC$77</definedName>
    <definedName name="CUR_DP_DEMAND">'Rate DP'!$AC$81</definedName>
    <definedName name="CUR_DP_KWH1">'Rate DP'!$AC$85</definedName>
    <definedName name="CUR_DP_KWH2">'Rate DP'!$AC$86</definedName>
    <definedName name="CUR_DP_LMR">'Rate DP'!$AC$76</definedName>
    <definedName name="CUR_DP_RTP_COM" localSheetId="30">'Rate DT RTP-S'!$AC$73</definedName>
    <definedName name="CUR_DP_RTP_COM" localSheetId="38">#REF!</definedName>
    <definedName name="CUR_DP_RTP_COM">#REF!</definedName>
    <definedName name="CUR_DP_RTP_CUST" localSheetId="30">'Rate DT RTP-S'!$AC$68</definedName>
    <definedName name="CUR_DP_RTP_CUST" localSheetId="38">#REF!</definedName>
    <definedName name="CUR_DP_RTP_CUST">#REF!</definedName>
    <definedName name="CUR_DP_RTP_KWH1" localSheetId="30">'Rate DT RTP-S'!$AC$72</definedName>
    <definedName name="CUR_DP_RTP_KWH1" localSheetId="38">#REF!</definedName>
    <definedName name="CUR_DP_RTP_KWH1">#REF!</definedName>
    <definedName name="CUR_DP_RTP_KWH2" localSheetId="30">'Rate DT RTP-S'!#REF!</definedName>
    <definedName name="CUR_DP_RTP_KWH2" localSheetId="38">#REF!</definedName>
    <definedName name="CUR_DP_RTP_KWH2">#REF!</definedName>
    <definedName name="CUR_DS_CST_1" localSheetId="20">'Rate DS (As-Filed)'!$AC$81</definedName>
    <definedName name="CUR_DS_CST_1">'Rate DS'!$AC$81</definedName>
    <definedName name="CUR_DS_CST_2" localSheetId="20">'Rate DS (As-Filed)'!$AC$82</definedName>
    <definedName name="CUR_DS_CST_2">'Rate DS'!$AC$82</definedName>
    <definedName name="CUR_DS_DEM_1" localSheetId="20">'Rate DS (As-Filed)'!$AC$86</definedName>
    <definedName name="CUR_DS_DEM_1">'Rate DS'!$AC$86</definedName>
    <definedName name="CUR_DS_DEM_3" localSheetId="20">'Rate DS (As-Filed)'!$AC$87</definedName>
    <definedName name="CUR_DS_DEM_3">'Rate DS'!$AC$87</definedName>
    <definedName name="CUR_DS_KWH_1" localSheetId="20">'Rate DS (As-Filed)'!$AC$91</definedName>
    <definedName name="CUR_DS_KWH_1">'Rate DS'!$AC$91</definedName>
    <definedName name="CUR_DS_KWH_2" localSheetId="20">'Rate DS (As-Filed)'!$AC$92</definedName>
    <definedName name="CUR_DS_KWH_2">'Rate DS'!$AC$92</definedName>
    <definedName name="CUR_DS_KWH_3" localSheetId="20">'Rate DS (As-Filed)'!$AC$93</definedName>
    <definedName name="CUR_DS_KWH_3">'Rate DS'!$AC$93</definedName>
    <definedName name="CUR_DS_LMR" localSheetId="20">'Rate DS (As-Filed)'!#REF!</definedName>
    <definedName name="CUR_DS_LMR">'Rate DS'!#REF!</definedName>
    <definedName name="CUR_DS_RTP" localSheetId="21">'Rate DS RTP'!$T$45:$AQ$86</definedName>
    <definedName name="CUR_DS_RTP" localSheetId="22">'Rate DS RTP (As-Filed)'!$T$45:$AQ$86</definedName>
    <definedName name="CUR_DS_RTP" localSheetId="38">#REF!</definedName>
    <definedName name="CUR_DS_RTP">#REF!</definedName>
    <definedName name="CUR_DS_RTP_COM" localSheetId="21">'Rate DS RTP'!$AC$73</definedName>
    <definedName name="CUR_DS_RTP_COM" localSheetId="22">'Rate DS RTP (As-Filed)'!$AC$73</definedName>
    <definedName name="CUR_DS_RTP_COM" localSheetId="38">#REF!</definedName>
    <definedName name="CUR_DS_RTP_COM">#REF!</definedName>
    <definedName name="CUR_DS_RTP_CUST" localSheetId="21">'Rate DS RTP'!$AC$68</definedName>
    <definedName name="CUR_DS_RTP_CUST" localSheetId="22">'Rate DS RTP (As-Filed)'!$AC$68</definedName>
    <definedName name="CUR_DS_RTP_CUST" localSheetId="38">#REF!</definedName>
    <definedName name="CUR_DS_RTP_CUST">#REF!</definedName>
    <definedName name="CUR_DS_RTP_KWH1" localSheetId="21">'Rate DS RTP'!$AC$72</definedName>
    <definedName name="CUR_DS_RTP_KWH1" localSheetId="22">'Rate DS RTP (As-Filed)'!$AC$72</definedName>
    <definedName name="CUR_DS_RTP_KWH1" localSheetId="38">#REF!</definedName>
    <definedName name="CUR_DS_RTP_KWH1">#REF!</definedName>
    <definedName name="CUR_DS_RTP_KWH2" localSheetId="21">'Rate DS RTP'!#REF!</definedName>
    <definedName name="CUR_DS_RTP_KWH2" localSheetId="22">'Rate DS RTP (As-Filed)'!#REF!</definedName>
    <definedName name="CUR_DS_RTP_KWH2" localSheetId="38">#REF!</definedName>
    <definedName name="CUR_DS_RTP_KWH2">#REF!</definedName>
    <definedName name="CUR_DT_DISC">'Rate DT-Pri'!$AC$103</definedName>
    <definedName name="CUR_DT_DISC1">'Rate DT-Pri'!$AC$104</definedName>
    <definedName name="CUR_DT_PRI">'Rate DT-Pri'!$AC$95</definedName>
    <definedName name="CUR_DT_RTP_COM" localSheetId="29">'Rate DT RTP-P'!$AC$73</definedName>
    <definedName name="CUR_DT_RTP_COM" localSheetId="38">#REF!</definedName>
    <definedName name="CUR_DT_RTP_COM">#REF!</definedName>
    <definedName name="CUR_DT_RTP_CUST" localSheetId="29">'Rate DT RTP-P'!$AC$68</definedName>
    <definedName name="CUR_DT_RTP_CUST" localSheetId="38">#REF!</definedName>
    <definedName name="CUR_DT_RTP_CUST">#REF!</definedName>
    <definedName name="CUR_DT_RTP_KWH1" localSheetId="29">'Rate DT RTP-P'!$AC$72</definedName>
    <definedName name="CUR_DT_RTP_KWH1" localSheetId="38">#REF!</definedName>
    <definedName name="CUR_DT_RTP_KWH1">#REF!</definedName>
    <definedName name="CUR_DT_RTP_KWH2" localSheetId="29">'Rate DT RTP-P'!#REF!</definedName>
    <definedName name="CUR_DT_RTP_KWH2" localSheetId="38">#REF!</definedName>
    <definedName name="CUR_DT_RTP_KWH2">#REF!</definedName>
    <definedName name="CUR_DT_RTP_P" localSheetId="29">'Rate DT RTP-P'!$T$45:$AQ$85</definedName>
    <definedName name="CUR_DT_RTP_P" localSheetId="38">#REF!</definedName>
    <definedName name="CUR_DT_RTP_P">#REF!</definedName>
    <definedName name="CUR_DT_RTP_S" localSheetId="30">'Rate DT RTP-S'!$T$45:$AQ$86</definedName>
    <definedName name="CUR_DT_RTP_S" localSheetId="38">#REF!</definedName>
    <definedName name="CUR_DT_RTP_S">#REF!</definedName>
    <definedName name="CUR_DT_SEC">'Rate DT-Sec'!$T$71:$AQ$137</definedName>
    <definedName name="CUR_DT_SEC_CST1">'Rate DT-Sec'!$AC$93</definedName>
    <definedName name="CUR_DT_SEC_CST3">'Rate DT-Sec'!$AC$94</definedName>
    <definedName name="CUR_DT_SEC_DEMOFF">'Rate DT-Sec'!$AC$99</definedName>
    <definedName name="CUR_DT_SEC_DEMON">'Rate DT-Sec'!$AC$98</definedName>
    <definedName name="CUR_DT_SEC_SUMKWH">'Rate DT-Sec'!$AC$105</definedName>
    <definedName name="CUR_DT_SEC_WINKWH">'Rate DT-Sec'!$AC$122</definedName>
    <definedName name="CUR_DT_SEC_WINOFF">'Rate DT-Sec'!$AC$116</definedName>
    <definedName name="CUR_DT_SEC_WINON">'Rate DT-Sec'!$AC$115</definedName>
    <definedName name="CUR_DT_SUM_E_OFF">'Rate DT-Pri'!$AC$108</definedName>
    <definedName name="CUR_DT_SUM_E_ON">'Rate DT-Pri'!$AC$107</definedName>
    <definedName name="CUR_DT_SUM_PEAK_ON">'Rate DT-Pri'!$AC$98</definedName>
    <definedName name="CUR_DT_SUM_PK_OFF">'Rate DT-Pri'!$AC$99</definedName>
    <definedName name="CUR_DT_WIN_E_ON">'Rate DT-Pri'!$AC$125</definedName>
    <definedName name="CUR_DT_WIN_PEAK_ON">'Rate DT-Pri'!$AC$116</definedName>
    <definedName name="CUR_DT_WIN_PK_OFF">'Rate DT-Pri'!$AC$117</definedName>
    <definedName name="CUR_EH_CST_1">'Rate EH'!$AC$72</definedName>
    <definedName name="CUR_EH_CST_2">'Rate EH'!$AC$73</definedName>
    <definedName name="CUR_EH_CST_3">'Rate EH'!$AC$74</definedName>
    <definedName name="CUR_EH_KWH_1">'Rate EH'!$AC$81</definedName>
    <definedName name="CUR_ESM">INPUT!$C$165</definedName>
    <definedName name="CUR_ESM_NonRes">INPUT!$C$166</definedName>
    <definedName name="CUR_FAC">INPUT!$C$19</definedName>
    <definedName name="CUR_FTR_DIST">INPUT!$C$184</definedName>
    <definedName name="CUR_FTR_DP">INPUT!$C$190</definedName>
    <definedName name="CUR_FTR_DTP">INPUT!$C$185</definedName>
    <definedName name="CUR_FTR_DTS">INPUT!$C$186</definedName>
    <definedName name="CUR_FTR_EH">INPUT!$C$187</definedName>
    <definedName name="CUR_FTR_GSFL">INPUT!$C$189</definedName>
    <definedName name="CUR_FTR_RES">INPUT!$C$183</definedName>
    <definedName name="CUR_FTR_SL">INPUT!$C$192</definedName>
    <definedName name="CUR_FTR_SP">INPUT!$C$188</definedName>
    <definedName name="CUR_FTR_TT">INPUT!$C$191</definedName>
    <definedName name="CUR_RS_CUST">'Rate RS'!$AB$64</definedName>
    <definedName name="CUR_RS_ENERGY">'Rate RS'!$AB$67</definedName>
    <definedName name="CUR_SUM_TT_ON_KWH">INPUT!$C$125</definedName>
    <definedName name="CUR_TT_KWH">INPUT!$C$125</definedName>
    <definedName name="CUR_TT_OFF">INPUT!$C$127</definedName>
    <definedName name="CUR_TT_RTP" localSheetId="38">#REF!</definedName>
    <definedName name="CUR_TT_RTP" localSheetId="31">'Rate TT RTP'!$T$47:$AQ$88</definedName>
    <definedName name="CUR_TT_RTP">#REF!</definedName>
    <definedName name="CUR_TT_RTP_COM" localSheetId="38">#REF!</definedName>
    <definedName name="CUR_TT_RTP_COM" localSheetId="31">'Rate TT RTP'!$AC$75</definedName>
    <definedName name="CUR_TT_RTP_COM">#REF!</definedName>
    <definedName name="CUR_TT_RTP_CUST" localSheetId="38">#REF!</definedName>
    <definedName name="CUR_TT_RTP_CUST" localSheetId="31">'Rate TT RTP'!$AC$70</definedName>
    <definedName name="CUR_TT_RTP_CUST">#REF!</definedName>
    <definedName name="CUR_TT_RTP_KWH1" localSheetId="38">#REF!</definedName>
    <definedName name="CUR_TT_RTP_KWH1" localSheetId="31">'Rate TT RTP'!$AC$74</definedName>
    <definedName name="CUR_TT_RTP_KWH1">#REF!</definedName>
    <definedName name="CUR_TT_RTP_KWH2" localSheetId="38">#REF!</definedName>
    <definedName name="CUR_TT_RTP_KWH2" localSheetId="31">'Rate TT RTP'!#REF!</definedName>
    <definedName name="CUR_TT_RTP_KWH2">#REF!</definedName>
    <definedName name="CUR_TT_SUM_CST">'Rate TT'!$AC$85</definedName>
    <definedName name="CUR_TT_SUM_PEAK">'Rate TT'!$AC$88</definedName>
    <definedName name="CUR_TT_SUM_PK_OFF">'Rate TT'!$AC$89</definedName>
    <definedName name="CUR_TT_WIN_CST">'Rate TT'!$AC$99</definedName>
    <definedName name="CUR_TT_WIN_PEAK">'Rate TT'!$AC$102</definedName>
    <definedName name="CUR_TT_WIN_PK_OFF">'Rate TT'!$AC$103</definedName>
    <definedName name="CUR_WIN_TT_ON_KWH">INPUT!$C$126</definedName>
    <definedName name="data_filing">'[5]Print &amp; Input'!$A$5</definedName>
    <definedName name="DATA_PERIOD">INPUT!$B$13</definedName>
    <definedName name="DATE">INPUT!$B$10</definedName>
    <definedName name="DCI_Name">INPUT!$B$201</definedName>
    <definedName name="DS_MSRE">INPUT!$C$24</definedName>
    <definedName name="DSM_DIST">INPUT!$C$30</definedName>
    <definedName name="DSM_RES">INPUT!$C$29</definedName>
    <definedName name="DSM_RS_CUST">INPUT!$J$29</definedName>
    <definedName name="DSM_TRANS">INPUT!$C$31</definedName>
    <definedName name="DSMR_Name">INPUT!$B$196</definedName>
    <definedName name="Equity">'[5]FR-16(7)(v)-1 Functional'!$F$793</definedName>
    <definedName name="ESM_Name">INPUT!$B$197</definedName>
    <definedName name="FAC_Name">INPUT!$B$198</definedName>
    <definedName name="FIT">'[5]FR-16(7)(v)-1 Functional'!$F$815</definedName>
    <definedName name="FR16_7_v_16">'FR-16(7)(v)-16 DS Classified'!$A$1:$K$817</definedName>
    <definedName name="FR16_7_v_16_COS_Compute_10">'FR-16(7)(v)-16 DS Classified'!$A$731:$K$777</definedName>
    <definedName name="FR16_7_v_16_Depreciation_Expense_7">'FR-16(7)(v)-16 DS Classified'!$A$551:$K$582</definedName>
    <definedName name="FR16_7_v_16_Depreciation_Reserve_3">'FR-16(7)(v)-16 DS Classified'!$A$125:$K$200</definedName>
    <definedName name="FR16_7_v_16_FIT_Return_9">'FR-16(7)(v)-16 DS Classified'!$A$620:$K$681</definedName>
    <definedName name="FR16_7_v_16_FIT_Revenue_13">'FR-16(7)(v)-16 DS Classified'!$A$986:$K$1029</definedName>
    <definedName name="FR16_7_v_16_Gross_Plant_2">'FR-16(7)(v)-16 DS Classified'!$A$48:$K$123</definedName>
    <definedName name="FR16_7_v_16_Net_Plant_4">'FR-16(7)(v)-16 DS Classified'!$A$202:$K$277</definedName>
    <definedName name="FR16_7_v_16_OMEXP_6">'FR-16(7)(v)-16 DS Classified'!$A$435:$K$503</definedName>
    <definedName name="FR16_7_v_16_OMEXP_6.1">'FR-16(7)(v)-16 DS Classified'!$A$505:$K$549</definedName>
    <definedName name="FR16_7_v_16_RB_Additive_Adj_5.1">'FR-16(7)(v)-16 DS Classified'!$A$326:$K$377</definedName>
    <definedName name="FR16_7_v_16_RB_Subtractive_Adj_5">'FR-16(7)(v)-16 DS Classified'!$A$279:$K$324</definedName>
    <definedName name="FR16_7_v_16_RB_Total_5.2">'FR-16(7)(v)-16 DS Classified'!$A$379:$K$432</definedName>
    <definedName name="FR16_7_v_16_RofR_11">'FR-16(7)(v)-16 DS Classified'!$A$779:$K$817</definedName>
    <definedName name="FR16_7_v_16_SIT_Return_9.1">'FR-16(7)(v)-16 DS Classified'!$A$683:$K$729</definedName>
    <definedName name="FR16_7_v_16_Summary_1">'FR-16(7)(v)-16 DS Classified'!$A$1:$K$30</definedName>
    <definedName name="FR16_7_v_16_Taxes_Other_Than_Income_8">'FR-16(7)(v)-16 DS Classified'!$A$584:$K$618</definedName>
    <definedName name="FTR_Name">INPUT!$B$200</definedName>
    <definedName name="HEA_Name">INPUT!$B$195</definedName>
    <definedName name="IntroPrintArea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XITY" hidden="1">"c2182"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LT_DEBT" hidden="1">"c2086"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UTSTANDING_FILING_DATE_TOTAL" hidden="1">"c2107"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38911.5231944444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TW" hidden="1">"c2166"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LASTCLOSE" hidden="1">"c1855"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LT_COS_RATE" localSheetId="38">'Rate LED'!$AG$1</definedName>
    <definedName name="LT_COS_RATE">'Rate SL'!$AG$1</definedName>
    <definedName name="LT_MSRE">INPUT!$C$26</definedName>
    <definedName name="Migration_CC">'Proposed Rates'!$A$12</definedName>
    <definedName name="NAME">INPUT!$B$8</definedName>
    <definedName name="NPdemand">'[5]WP FR-16(7)(v) A&amp;G WP'!$D$36</definedName>
    <definedName name="OHPRIM">'[5]WP FR-16(7)(v) Conduct&amp;dev'!$D$14</definedName>
    <definedName name="OHSEC">'[5]WP FR-16(7)(v) Conduct&amp;dev'!$D$13</definedName>
    <definedName name="Page_Num_2.2">INPUT!$J$14</definedName>
    <definedName name="Page_Num_2.3">INPUT!$J$15</definedName>
    <definedName name="Pages">'[5]Print &amp; Input'!$D$2</definedName>
    <definedName name="Pages2">'[5]Print &amp; Input'!$D$3</definedName>
    <definedName name="PrimaryCM">'[5]WP FR-16(7)(v) Conduct&amp;dev'!$H$14</definedName>
    <definedName name="_xlnm.Print_Area" localSheetId="9">'Attachment JB-1'!$A$1:$F$55</definedName>
    <definedName name="_xlnm.Print_Area" localSheetId="10">'Attachment JB-2'!$A$1:$G$55</definedName>
    <definedName name="_xlnm.Print_Area" localSheetId="11">'Attachment JB-3'!$A$1:$E$27</definedName>
    <definedName name="_xlnm.Print_Area" localSheetId="8">'FR-16(7)(v)-16 DS Classified'!$A$779:$K$817</definedName>
    <definedName name="_xlnm.Print_Area" localSheetId="27">'Rate DP'!$A$1:$R$50</definedName>
    <definedName name="_xlnm.Print_Area" localSheetId="19">'Rate DS'!$A$1:$R$56</definedName>
    <definedName name="_xlnm.Print_Area" localSheetId="20">'Rate DS (As-Filed)'!$A$1:$R$56</definedName>
    <definedName name="_xlnm.Print_Area" localSheetId="21">'Rate DS RTP'!$T$45:$AQ$85</definedName>
    <definedName name="_xlnm.Print_Area" localSheetId="22">'Rate DS RTP (As-Filed)'!$T$45:$AQ$85</definedName>
    <definedName name="_xlnm.Print_Area" localSheetId="29">'Rate DT RTP-P'!$A$1:$R$41</definedName>
    <definedName name="_xlnm.Print_Area" localSheetId="30">'Rate DT RTP-S'!$T$45:$AQ$85</definedName>
    <definedName name="_xlnm.Print_Area" localSheetId="23">'Rate DT-Pri'!$A$1:$R$69</definedName>
    <definedName name="_xlnm.Print_Area" localSheetId="24">'Rate DT-Sec'!$A$1:$R$67</definedName>
    <definedName name="_xlnm.Print_Area" localSheetId="25">'Rate EH'!$A$1:$R$47</definedName>
    <definedName name="_xlnm.Print_Area" localSheetId="38">'Rate LED'!$T$622:$AQ$696</definedName>
    <definedName name="_xlnm.Print_Area" localSheetId="35">'Rate NSU'!$A$1:$R$51</definedName>
    <definedName name="_xlnm.Print_Area" localSheetId="7">'Rate RS'!$A$1:$R$45</definedName>
    <definedName name="_xlnm.Print_Area" localSheetId="36">'Rate SC'!$A$1:$R$77</definedName>
    <definedName name="_xlnm.Print_Area" localSheetId="37">'Rate SE'!$A$1:$R$56</definedName>
    <definedName name="_xlnm.Print_Area" localSheetId="32">'Rate SL'!$A$70:$R$145</definedName>
    <definedName name="_xlnm.Print_Area" localSheetId="26">'Rate SP GSFL'!$A$1:$R$64</definedName>
    <definedName name="_xlnm.Print_Area" localSheetId="33">'Rate TL'!$A$1:$R$38</definedName>
    <definedName name="_xlnm.Print_Area" localSheetId="28">'Rate TT'!$A$1:$R$62</definedName>
    <definedName name="_xlnm.Print_Area" localSheetId="31">'Rate TT RTP'!$T$47:$AQ$87</definedName>
    <definedName name="_xlnm.Print_Area" localSheetId="34">'Rate UOLS'!$A$1:$R$32</definedName>
    <definedName name="_xlnm.Print_Area" localSheetId="40">'Revenue Requirements'!$G$6:$J$32</definedName>
    <definedName name="_xlnm.Print_Area" localSheetId="3">'SCH M'!$A$1:$K$75</definedName>
    <definedName name="_xlnm.Print_Area" localSheetId="4">'SCH M-2.1'!$A$1:$T$56</definedName>
    <definedName name="_xlnm.Print_Area" localSheetId="5">'SCH M-2.2'!$A$1:$X$70</definedName>
    <definedName name="_xlnm.Print_Area" localSheetId="6">'SCH M-2.3'!$A$1:$R$72</definedName>
    <definedName name="_xlnm.Print_Area" localSheetId="17">'SCH N'!$A$184:$R$247</definedName>
    <definedName name="_xlnm.Print_Area" localSheetId="18">'SCH N (As-Filed)'!$A$184:$R$247</definedName>
    <definedName name="_xlnm.Print_Titles" localSheetId="9">'Attachment JB-1'!$1:$3</definedName>
    <definedName name="_xlnm.Print_Titles" localSheetId="10">'Attachment JB-2'!$1:$3</definedName>
    <definedName name="PRO_BASE_FUEL">INPUT!$D$20</definedName>
    <definedName name="PRO_DCI">INPUT!$D$169</definedName>
    <definedName name="PRO_DCI_DIST">INPUT!$D$170</definedName>
    <definedName name="PRO_DCI_DP">INPUT!$D$176</definedName>
    <definedName name="PRO_DCI_DTP">INPUT!$D$171</definedName>
    <definedName name="PRO_DCI_DTS">INPUT!$D$172</definedName>
    <definedName name="PRO_DCI_EH">INPUT!$D$173</definedName>
    <definedName name="PRO_DCI_GSFL">INPUT!$D$175</definedName>
    <definedName name="PRO_DCI_SL">INPUT!$D$178</definedName>
    <definedName name="PRO_DCI_SP">INPUT!$D$174</definedName>
    <definedName name="PRO_DP_CST">'Rate DP'!$J$25</definedName>
    <definedName name="PRO_DP_DEMAND">'Rate DP'!$J$29</definedName>
    <definedName name="PRO_DP_KWH1">'Rate DP'!$J$33</definedName>
    <definedName name="PRO_DP_KWH2">'Rate DP'!$J$34</definedName>
    <definedName name="PRO_DP_LMR">'Rate DP'!$J$24</definedName>
    <definedName name="PRO_DP_RTP_COM" localSheetId="30">'Rate DT RTP-S'!$J$29</definedName>
    <definedName name="PRO_DP_RTP_COM" localSheetId="38">#REF!</definedName>
    <definedName name="PRO_DP_RTP_COM">#REF!</definedName>
    <definedName name="PRO_DP_RTP_CUST" localSheetId="30">'Rate DT RTP-S'!$J$24</definedName>
    <definedName name="PRO_DP_RTP_CUST" localSheetId="38">#REF!</definedName>
    <definedName name="PRO_DP_RTP_CUST">#REF!</definedName>
    <definedName name="PRO_DP_RTP_KWH1" localSheetId="30">'Rate DT RTP-S'!$J$28</definedName>
    <definedName name="PRO_DP_RTP_KWH1" localSheetId="38">#REF!</definedName>
    <definedName name="PRO_DP_RTP_KWH1">#REF!</definedName>
    <definedName name="PRO_DP_RTP_KWH2" localSheetId="30">'Rate DT RTP-S'!#REF!</definedName>
    <definedName name="PRO_DP_RTP_KWH2" localSheetId="38">#REF!</definedName>
    <definedName name="PRO_DP_RTP_KWH2">#REF!</definedName>
    <definedName name="PRO_DS_CST_1" localSheetId="20">'Rate DS (As-Filed)'!$J$25</definedName>
    <definedName name="PRO_DS_CST_1">'Rate DS'!$J$25</definedName>
    <definedName name="PRO_DS_CST_2" localSheetId="20">'Rate DS (As-Filed)'!$J$26</definedName>
    <definedName name="PRO_DS_CST_2">'Rate DS'!$J$26</definedName>
    <definedName name="PRO_DS_DEM_1" localSheetId="20">'Rate DS (As-Filed)'!$J$30</definedName>
    <definedName name="PRO_DS_DEM_1">'Rate DS'!$J$30</definedName>
    <definedName name="PRO_DS_DEM_3" localSheetId="20">'Rate DS (As-Filed)'!$J$31</definedName>
    <definedName name="PRO_DS_DEM_3">'Rate DS'!$J$31</definedName>
    <definedName name="PRO_DS_KWH_1" localSheetId="20">'Rate DS (As-Filed)'!$J$35</definedName>
    <definedName name="PRO_DS_KWH_1">'Rate DS'!$J$35</definedName>
    <definedName name="PRO_DS_KWH_2" localSheetId="20">'Rate DS (As-Filed)'!$J$36</definedName>
    <definedName name="PRO_DS_KWH_2">'Rate DS'!$J$36</definedName>
    <definedName name="PRO_DS_KWH_3" localSheetId="20">'Rate DS (As-Filed)'!$J$37</definedName>
    <definedName name="PRO_DS_KWH_3">'Rate DS'!$J$37</definedName>
    <definedName name="PRO_DS_LMR" localSheetId="20">'Rate DS (As-Filed)'!#REF!</definedName>
    <definedName name="PRO_DS_LMR">'Rate DS'!#REF!</definedName>
    <definedName name="PRO_DS_MSRE">INPUT!$D$24</definedName>
    <definedName name="PRO_DS_RTP_COM" localSheetId="21">'Rate DS RTP'!$J$29</definedName>
    <definedName name="PRO_DS_RTP_COM" localSheetId="22">'Rate DS RTP (As-Filed)'!$J$29</definedName>
    <definedName name="PRO_DS_RTP_COM" localSheetId="38">#REF!</definedName>
    <definedName name="PRO_DS_RTP_COM">#REF!</definedName>
    <definedName name="PRO_DS_RTP_CUST" localSheetId="21">'Rate DS RTP'!$J$24</definedName>
    <definedName name="PRO_DS_RTP_CUST" localSheetId="22">'Rate DS RTP (As-Filed)'!$J$24</definedName>
    <definedName name="PRO_DS_RTP_CUST" localSheetId="38">#REF!</definedName>
    <definedName name="PRO_DS_RTP_CUST">#REF!</definedName>
    <definedName name="PRO_DS_RTP_KWH1" localSheetId="21">'Rate DS RTP'!$J$28</definedName>
    <definedName name="PRO_DS_RTP_KWH1" localSheetId="22">'Rate DS RTP (As-Filed)'!$J$28</definedName>
    <definedName name="PRO_DS_RTP_KWH1" localSheetId="38">#REF!</definedName>
    <definedName name="PRO_DS_RTP_KWH1">#REF!</definedName>
    <definedName name="PRO_DS_RTP_KWH2" localSheetId="21">'Rate DS RTP'!#REF!</definedName>
    <definedName name="PRO_DS_RTP_KWH2" localSheetId="22">'Rate DS RTP (As-Filed)'!#REF!</definedName>
    <definedName name="PRO_DS_RTP_KWH2" localSheetId="38">#REF!</definedName>
    <definedName name="PRO_DS_RTP_KWH2">#REF!</definedName>
    <definedName name="PRO_DSM_DIST">INPUT!$D$30</definedName>
    <definedName name="PRO_DSM_RES">INPUT!$D$29</definedName>
    <definedName name="PRO_DSM_TRANS">INPUT!$D$31</definedName>
    <definedName name="PRO_DT_DEMOFF">'Rate DT-Sec'!$J$29</definedName>
    <definedName name="PRO_DT_DEMON">'Rate DT-Sec'!$J$28</definedName>
    <definedName name="PRO_DT_DISC">'Rate DT-Pri'!$J$31</definedName>
    <definedName name="PRO_DT_DISC1">'Rate DT-Pri'!$J$32</definedName>
    <definedName name="PRO_DT_PRI">'Rate DT-Pri'!$J$23</definedName>
    <definedName name="PRO_DT_RTP_COM" localSheetId="29">'Rate DT RTP-P'!$J$29</definedName>
    <definedName name="PRO_DT_RTP_COM" localSheetId="38">#REF!</definedName>
    <definedName name="PRO_DT_RTP_COM">#REF!</definedName>
    <definedName name="PRO_DT_RTP_CUST" localSheetId="29">'Rate DT RTP-P'!$J$24</definedName>
    <definedName name="PRO_DT_RTP_CUST" localSheetId="38">#REF!</definedName>
    <definedName name="PRO_DT_RTP_CUST">#REF!</definedName>
    <definedName name="PRO_DT_RTP_KWH1" localSheetId="29">'Rate DT RTP-P'!$J$28</definedName>
    <definedName name="PRO_DT_RTP_KWH1" localSheetId="38">#REF!</definedName>
    <definedName name="PRO_DT_RTP_KWH1">#REF!</definedName>
    <definedName name="PRO_DT_RTP_KWH2" localSheetId="29">'Rate DT RTP-P'!#REF!</definedName>
    <definedName name="PRO_DT_RTP_KWH2" localSheetId="38">#REF!</definedName>
    <definedName name="PRO_DT_RTP_KWH2">#REF!</definedName>
    <definedName name="PRO_DT_SEC_CST">'Rate DT-Sec'!$J$23</definedName>
    <definedName name="PRO_DT_SEC_CST3">'Rate DT-Sec'!$J$24</definedName>
    <definedName name="PRO_DT_SEC_DEMWINON">'Rate DT-Sec'!$J$45</definedName>
    <definedName name="PRO_DT_SEC_SUMKWH">'Rate DT-Sec'!$J$35</definedName>
    <definedName name="PRO_DT_SEC_WINKWH">'Rate DT-Sec'!$J$52</definedName>
    <definedName name="PRO_DT_SEC_WINOFF">'Rate DT-Sec'!$J$46</definedName>
    <definedName name="PRO_DT_SUM_E_OFF">'Rate DT-Pri'!$J$36</definedName>
    <definedName name="PRO_DT_SUM_E_ON">'Rate DT-Pri'!$J$35</definedName>
    <definedName name="PRO_DT_SUM_PEAK">'Rate DT-Pri'!$J$26</definedName>
    <definedName name="PRO_DT_SUM_PK_OFF">'Rate DT-Pri'!$J$27</definedName>
    <definedName name="PRO_DT_WIN_E_OFF">'Rate DT-Pri'!$J$54</definedName>
    <definedName name="PRO_DT_WIN_E_ON">'Rate DT-Pri'!$J$53</definedName>
    <definedName name="PRO_DT_WIN_PEAK">'Rate DT-Pri'!$J$44</definedName>
    <definedName name="PRO_DT_WIN_PK_OFF">'Rate DT-Pri'!$J$45</definedName>
    <definedName name="PRO_EH_CST_1">'Rate EH'!$J$24</definedName>
    <definedName name="PRO_EH_CST_2">'Rate EH'!$J$25</definedName>
    <definedName name="PRO_EH_CST_3">'Rate EH'!$J$26</definedName>
    <definedName name="PRO_EH_KWH_1">'Rate EH'!$J$33</definedName>
    <definedName name="PRO_ESM">INPUT!$D$165</definedName>
    <definedName name="PRO_ESM_NONRES">INPUT!$D$166</definedName>
    <definedName name="PRO_FAC">INPUT!$D$19</definedName>
    <definedName name="PRO_FTR_DIST">INPUT!$D$184</definedName>
    <definedName name="PRO_FTR_DP">INPUT!$D$190</definedName>
    <definedName name="PRO_FTR_DTP">INPUT!$D$185</definedName>
    <definedName name="PRO_FTR_DTS">INPUT!$D$186</definedName>
    <definedName name="PRO_FTR_EH">INPUT!$D$187</definedName>
    <definedName name="PRO_FTR_GSFL">INPUT!$D$189</definedName>
    <definedName name="PRO_FTR_RES">INPUT!$D$183</definedName>
    <definedName name="PRO_FTR_SL">INPUT!$D$192</definedName>
    <definedName name="PRO_FTR_SP">INPUT!$D$188</definedName>
    <definedName name="PRO_FTR_TT">INPUT!$D$191</definedName>
    <definedName name="PRO_LT_MSRE">INPUT!$D$26</definedName>
    <definedName name="PRO_PSM">INPUT!$D$34</definedName>
    <definedName name="PRO_RS_CUST">'Rate RS'!$J$23</definedName>
    <definedName name="PRO_RS_ENERGY">'Rate RS'!$J$26</definedName>
    <definedName name="PRO_RS_MSRE">INPUT!$D$23</definedName>
    <definedName name="PRO_SUM_TT_ON_KWH">INPUT!$D$125</definedName>
    <definedName name="PRO_TT_MSRE">INPUT!$D$25</definedName>
    <definedName name="PRO_TT_OFF">INPUT!$D$127</definedName>
    <definedName name="PRO_TT_RTP_COM" localSheetId="38">#REF!</definedName>
    <definedName name="PRO_TT_RTP_COM" localSheetId="31">'Rate TT RTP'!$J$29</definedName>
    <definedName name="PRO_TT_RTP_COM">#REF!</definedName>
    <definedName name="PRO_TT_RTP_CUST" localSheetId="38">#REF!</definedName>
    <definedName name="PRO_TT_RTP_CUST" localSheetId="31">'Rate TT RTP'!$J$24</definedName>
    <definedName name="PRO_TT_RTP_CUST">#REF!</definedName>
    <definedName name="PRO_TT_RTP_KWH1" localSheetId="38">#REF!</definedName>
    <definedName name="PRO_TT_RTP_KWH1" localSheetId="31">'Rate TT RTP'!$J$28</definedName>
    <definedName name="PRO_TT_RTP_KWH1">#REF!</definedName>
    <definedName name="PRO_TT_RTP_KWH2" localSheetId="38">#REF!</definedName>
    <definedName name="PRO_TT_RTP_KWH2" localSheetId="31">'Rate TT RTP'!#REF!</definedName>
    <definedName name="PRO_TT_RTP_KWH2">#REF!</definedName>
    <definedName name="PRO_TT_SUM_CST">'Rate TT'!$J$21</definedName>
    <definedName name="PRO_TT_SUM_PEAK">'Rate TT'!$J$24</definedName>
    <definedName name="PRO_TT_SUM_PK_OFF">'Rate TT'!$J$25</definedName>
    <definedName name="PRO_TT_WIN_CST">'Rate TT'!$J$35</definedName>
    <definedName name="PRO_TT_WIN_PEAK">'Rate TT'!$J$38</definedName>
    <definedName name="PRO_TT_WIN_PK_OFF">'Rate TT'!$J$39</definedName>
    <definedName name="PRO_WIN_TT_ON_KWH">INPUT!$D$126</definedName>
    <definedName name="PSM_Name">INPUT!$B$199</definedName>
    <definedName name="RevTax">'[5]FR-16(7)(v)-1 Functional'!$F$817</definedName>
    <definedName name="rngfile2">[7]Import!#REF!</definedName>
    <definedName name="rngfile3">[7]Import!#REF!</definedName>
    <definedName name="rngfile4">[7]Import!#REF!</definedName>
    <definedName name="RofR">'[5]FR-16(7)(v)-1 Functional'!$F$811</definedName>
    <definedName name="RS_MSRE">INPUT!$C$23</definedName>
    <definedName name="RS_PSM">INPUT!$C$34</definedName>
    <definedName name="SAPBEXrevision" hidden="1">18</definedName>
    <definedName name="SAPBEXsysID" hidden="1">"BWP"</definedName>
    <definedName name="SAPBEXwbID" hidden="1">"3PHPFV8FO7PRQRDHFGKHVVOKV"</definedName>
    <definedName name="SCH_M">'SCH M'!$A$1:$K$75</definedName>
    <definedName name="SCH_M_2.1">'SCH M-2.1'!$A$1:$T$56</definedName>
    <definedName name="SCH_M_2.2PG1">'SCH M-2.2'!$A$1:$X$70</definedName>
    <definedName name="SCH_M_2.2PG10">'Rate DT RTP-S'!$T$45:$AQ$85</definedName>
    <definedName name="SCH_M_2.2PG11" localSheetId="22">'Rate DS RTP (As-Filed)'!$T$45:$AQ$85</definedName>
    <definedName name="SCH_M_2.2PG11">'Rate DS RTP'!$T$45:$AQ$85</definedName>
    <definedName name="SCH_M_2.2PG12">'Rate TT RTP'!$T$47:$AQ$87</definedName>
    <definedName name="SCH_M_2.2PG13">'Rate SL'!$T$155:$AQ$221</definedName>
    <definedName name="SCH_M_2.2PG14">'Rate SL'!$T$224:$AQ$298</definedName>
    <definedName name="SCH_M_2.2PG15">'Rate TL'!$T$39:$AQ$76</definedName>
    <definedName name="SCH_M_2.2PG16">'Rate UOLS'!$T$36:$AQ$67</definedName>
    <definedName name="SCH_M_2.2PG17">'Rate NSU'!$T$51:$AQ$99</definedName>
    <definedName name="SCH_M_2.2PG18">'Rate SC'!$T$74:$AQ$150</definedName>
    <definedName name="SCH_M_2.2PG19">'Rate SE'!$T$57:$AQ$112</definedName>
    <definedName name="SCH_M_2.2PG2">'Rate RS'!$T$42:$AP$83</definedName>
    <definedName name="SCH_M_2.2PG20">'Rate LED'!$T$352:$AQ$416</definedName>
    <definedName name="SCH_M_2.2PG21">'Rate LED'!$T$418:$AQ$487</definedName>
    <definedName name="SCH_M_2.2PG22">'Rate LED'!$T$489:$AQ$553</definedName>
    <definedName name="SCH_M_2.2PG23">'Rate LED'!$T$555:$AQ$620</definedName>
    <definedName name="SCH_M_2.2PG24">'Rate LED'!$T$622:$AQ$696</definedName>
    <definedName name="SCH_M_2.2PG3" localSheetId="20">'Rate DS (As-Filed)'!$T$57:$AQ$110</definedName>
    <definedName name="SCH_M_2.2PG3">'Rate DS'!$T$57:$AQ$110</definedName>
    <definedName name="SCH_M_2.2PG4">'Rate DT-Pri'!$T$73:$AQ$142</definedName>
    <definedName name="SCH_M_2.2PG5">'Rate DT-Sec'!$T$71:$AQ$137</definedName>
    <definedName name="SCH_M_2.2PG6">'Rate EH'!$T$49:$AQ$95</definedName>
    <definedName name="SCH_M_2.2PG7">'Rate SP GSFL'!$T$65:$AQ$127</definedName>
    <definedName name="SCH_M_2.2PG8">'Rate DP'!$T$53:$AQ$102</definedName>
    <definedName name="SCH_M_2.2PG9">'Rate TT'!$T$65:$AQ$125</definedName>
    <definedName name="SCH_M_2.3PG1">'SCH M-2.3'!$A$1:$R$72</definedName>
    <definedName name="SCH_M_2.3PG10">'Rate DT RTP-S'!$A$1:$R$41</definedName>
    <definedName name="SCH_M_2.3PG11" localSheetId="22">'Rate DS RTP (As-Filed)'!$A$1:$R$41</definedName>
    <definedName name="SCH_M_2.3PG11">'Rate DS RTP'!$A$1:$R$41</definedName>
    <definedName name="SCH_M_2.3PG12">'Rate TT RTP'!$A$1:$R$41</definedName>
    <definedName name="SCH_M_2.3PG13">'Rate SL'!$A$1:$R$67</definedName>
    <definedName name="SCH_M_2.3PG14">'Rate SL'!$A$70:$R$145</definedName>
    <definedName name="SCH_M_2.3PG15">'Rate TL'!$A$1:$R$38</definedName>
    <definedName name="SCH_M_2.3PG16">'Rate UOLS'!$A$1:$R$32</definedName>
    <definedName name="SCH_M_2.3PG17">'Rate NSU'!$A$1:$R$51</definedName>
    <definedName name="SCH_M_2.3PG18">'Rate SC'!$A$1:$R$77</definedName>
    <definedName name="SCH_M_2.3PG19">'Rate SE'!$A$1:$R$56</definedName>
    <definedName name="SCH_M_2.3PG2">'Rate RS'!$A$1:$R$45</definedName>
    <definedName name="SCH_M_2.3PG20">'Rate LED'!$A$1:$R$65</definedName>
    <definedName name="SCH_M_2.3PG21">'Rate LED'!$A$67:$R$135</definedName>
    <definedName name="SCH_M_2.3PG22">'Rate LED'!$A$137:$R$201</definedName>
    <definedName name="SCH_M_2.3PG23">'Rate LED'!$A$203:$R$268</definedName>
    <definedName name="SCH_M_2.3PG24">'Rate LED'!$A$270:$R$344</definedName>
    <definedName name="SCH_M_2.3PG3" localSheetId="20">'Rate DS (As-Filed)'!$A$1:$R$56</definedName>
    <definedName name="SCH_M_2.3PG3">'Rate DS'!$A$1:$R$56</definedName>
    <definedName name="SCH_M_2.3PG4">'Rate DT-Pri'!$A$1:$R$69</definedName>
    <definedName name="SCH_M_2.3PG5">'Rate DT-Sec'!$A$1:$R$67</definedName>
    <definedName name="SCH_M_2.3PG6">'Rate EH'!$A$1:$R$47</definedName>
    <definedName name="SCH_M_2.3PG7">'Rate SP GSFL'!$A$1:$R$64</definedName>
    <definedName name="SCH_M_2.3PG8">'Rate DP'!$A$1:$R$50</definedName>
    <definedName name="SCH_M_2.3PG9">'Rate TT'!$A$1:$R$62</definedName>
    <definedName name="SCH_N_1" localSheetId="18">'SCH N (As-Filed)'!$A$1:$R$34</definedName>
    <definedName name="SCH_N_1">'SCH N'!$A$1:$R$34</definedName>
    <definedName name="SCH_N_2" localSheetId="18">'SCH N (As-Filed)'!$A$35:$R$86</definedName>
    <definedName name="SCH_N_2">'SCH N'!$A$35:$R$86</definedName>
    <definedName name="SCH_N_3" localSheetId="18">'SCH N (As-Filed)'!$A$87:$R$133</definedName>
    <definedName name="SCH_N_3">'SCH N'!$A$87:$R$133</definedName>
    <definedName name="SCH_N_4" localSheetId="18">'SCH N (As-Filed)'!$A$134:$R$183</definedName>
    <definedName name="SCH_N_4">'SCH N'!$A$134:$R$183</definedName>
    <definedName name="SCH_N_5" localSheetId="18">'SCH N (As-Filed)'!$A$184:$R$247</definedName>
    <definedName name="SCH_N_5">'SCH N'!$A$184:$R$247</definedName>
    <definedName name="Secondarycm">'[5]WP FR-16(7)(v) Conduct&amp;dev'!$H$13</definedName>
    <definedName name="SERVICE">INPUT!$D$12</definedName>
    <definedName name="SIT">'[5]FR-16(7)(v)-1 Functional'!$F$816</definedName>
    <definedName name="solver_eng" localSheetId="19" hidden="1">1</definedName>
    <definedName name="solver_neg" localSheetId="19" hidden="1">1</definedName>
    <definedName name="solver_num" localSheetId="19" hidden="1">0</definedName>
    <definedName name="solver_opt" localSheetId="19" hidden="1">PRO_DS_KWH_3</definedName>
    <definedName name="solver_typ" localSheetId="19" hidden="1">1</definedName>
    <definedName name="solver_val" localSheetId="19" hidden="1">0</definedName>
    <definedName name="solver_ver" localSheetId="19" hidden="1">3</definedName>
    <definedName name="test_period">'[5]Print &amp; Input'!$A$4</definedName>
    <definedName name="TIME">INPUT!$B$6</definedName>
    <definedName name="time_period">'[5]Print &amp; Input'!$A$10</definedName>
    <definedName name="TITLE">INPUT!$B$15</definedName>
    <definedName name="TotalCap">'[5]FR-16(7)(v)-1 Functional'!$F$796</definedName>
    <definedName name="TT_MSRE">INPUT!$C$25</definedName>
    <definedName name="type" localSheetId="8">'[5]Print &amp; Input'!$A$8</definedName>
    <definedName name="TYPE">INPUT!$B$14</definedName>
    <definedName name="UGPRIM">'[5]WP FR-16(7)(v) Conduct&amp;dev'!$F$14</definedName>
    <definedName name="UGSEC">'[5]WP FR-16(7)(v) Conduct&amp;dev'!$F$13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IT">INPUT!$D$38</definedName>
    <definedName name="Witness">'[5]Print &amp; Input'!$A$6</definedName>
    <definedName name="Witness1">'[5]Print &amp; Input'!$A$7</definedName>
    <definedName name="WorkingCap">'[5]Print &amp; Input'!$D$1</definedName>
    <definedName name="wrn.Allocation._.Factors." hidden="1">{#N/A,#N/A,FALSE,"Alloc Factors";#N/A,#N/A,FALSE,"AverageExcess";#N/A,#N/A,FALSE,"Monthly Data";#N/A,#N/A,FALSE,"HighPressure";#N/A,#N/A,FALSE,"IndustrialM&amp;R";#N/A,#N/A,FALSE,"Mains";#N/A,#N/A,FALSE,"Services"}</definedName>
    <definedName name="wrn.Cashflow.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Operating_Graphs_Stats." hidden="1">{#N/A,#N/A,TRUE,"Operating Graphs";#N/A,#N/A,TRUE,"Stats"}</definedName>
    <definedName name="Z_0BC1F393_8A13_47D5_BC6C_0C99615B5AB9_.wvu.PrintArea" localSheetId="27" hidden="1">'Rate DP'!$A$1:$R$50</definedName>
    <definedName name="Z_0BC1F393_8A13_47D5_BC6C_0C99615B5AB9_.wvu.PrintArea" localSheetId="19" hidden="1">'Rate DS'!$A$1:$R$56</definedName>
    <definedName name="Z_0BC1F393_8A13_47D5_BC6C_0C99615B5AB9_.wvu.PrintArea" localSheetId="20" hidden="1">'Rate DS (As-Filed)'!$A$1:$R$56</definedName>
    <definedName name="Z_0BC1F393_8A13_47D5_BC6C_0C99615B5AB9_.wvu.PrintArea" localSheetId="21" hidden="1">'Rate DS RTP'!$A$1:$R$43</definedName>
    <definedName name="Z_0BC1F393_8A13_47D5_BC6C_0C99615B5AB9_.wvu.PrintArea" localSheetId="22" hidden="1">'Rate DS RTP (As-Filed)'!$A$1:$R$43</definedName>
    <definedName name="Z_0BC1F393_8A13_47D5_BC6C_0C99615B5AB9_.wvu.PrintArea" localSheetId="29" hidden="1">'Rate DT RTP-P'!$A$1:$R$41</definedName>
    <definedName name="Z_0BC1F393_8A13_47D5_BC6C_0C99615B5AB9_.wvu.PrintArea" localSheetId="30" hidden="1">'Rate DT RTP-S'!$A$1:$R$42</definedName>
    <definedName name="Z_0BC1F393_8A13_47D5_BC6C_0C99615B5AB9_.wvu.PrintArea" localSheetId="23" hidden="1">'Rate DT-Pri'!$A$1:$R$67</definedName>
    <definedName name="Z_0BC1F393_8A13_47D5_BC6C_0C99615B5AB9_.wvu.PrintArea" localSheetId="24" hidden="1">'Rate DT-Sec'!$A$1:$R$67</definedName>
    <definedName name="Z_0BC1F393_8A13_47D5_BC6C_0C99615B5AB9_.wvu.PrintArea" localSheetId="25" hidden="1">'Rate EH'!$A$1:$R$47</definedName>
    <definedName name="Z_0BC1F393_8A13_47D5_BC6C_0C99615B5AB9_.wvu.PrintArea" localSheetId="38" hidden="1">'Rate LED'!$A$112:$R$348</definedName>
    <definedName name="Z_0BC1F393_8A13_47D5_BC6C_0C99615B5AB9_.wvu.PrintArea" localSheetId="35" hidden="1">'Rate NSU'!$A$1:$R$49</definedName>
    <definedName name="Z_0BC1F393_8A13_47D5_BC6C_0C99615B5AB9_.wvu.PrintArea" localSheetId="7" hidden="1">'Rate RS'!$A$1:$R$45</definedName>
    <definedName name="Z_0BC1F393_8A13_47D5_BC6C_0C99615B5AB9_.wvu.PrintArea" localSheetId="36" hidden="1">'Rate SC'!$A$1:$R$77</definedName>
    <definedName name="Z_0BC1F393_8A13_47D5_BC6C_0C99615B5AB9_.wvu.PrintArea" localSheetId="37" hidden="1">'Rate SE'!$A$1:$R$56</definedName>
    <definedName name="Z_0BC1F393_8A13_47D5_BC6C_0C99615B5AB9_.wvu.PrintArea" localSheetId="32" hidden="1">'Rate SL'!$A$70:$R$151</definedName>
    <definedName name="Z_0BC1F393_8A13_47D5_BC6C_0C99615B5AB9_.wvu.PrintArea" localSheetId="26" hidden="1">'Rate SP GSFL'!$A$1:$R$64</definedName>
    <definedName name="Z_0BC1F393_8A13_47D5_BC6C_0C99615B5AB9_.wvu.PrintArea" localSheetId="33" hidden="1">'Rate TL'!$A$1:$R$38</definedName>
    <definedName name="Z_0BC1F393_8A13_47D5_BC6C_0C99615B5AB9_.wvu.PrintArea" localSheetId="28" hidden="1">'Rate TT'!$A$1:$R$62</definedName>
    <definedName name="Z_0BC1F393_8A13_47D5_BC6C_0C99615B5AB9_.wvu.PrintArea" localSheetId="31" hidden="1">'Rate TT RTP'!$A$1:$R$42</definedName>
    <definedName name="Z_0BC1F393_8A13_47D5_BC6C_0C99615B5AB9_.wvu.PrintArea" localSheetId="34" hidden="1">'Rate UOLS'!$A$1:$R$32</definedName>
    <definedName name="Z_0BC1F393_8A13_47D5_BC6C_0C99615B5AB9_.wvu.PrintArea" localSheetId="3" hidden="1">'SCH M'!$A$1:$O$69</definedName>
    <definedName name="Z_0BC1F393_8A13_47D5_BC6C_0C99615B5AB9_.wvu.PrintArea" localSheetId="4" hidden="1">'SCH M-2.1'!$A$1:$T$56</definedName>
    <definedName name="Z_0BC1F393_8A13_47D5_BC6C_0C99615B5AB9_.wvu.PrintArea" localSheetId="5" hidden="1">'SCH M-2.2'!$A$1:$X$77</definedName>
    <definedName name="Z_0BC1F393_8A13_47D5_BC6C_0C99615B5AB9_.wvu.PrintArea" localSheetId="6" hidden="1">'SCH M-2.3'!$A$1:$R$72</definedName>
    <definedName name="Z_0BC1F393_8A13_47D5_BC6C_0C99615B5AB9_.wvu.PrintArea" localSheetId="17" hidden="1">'SCH N'!$A$184:$R$247</definedName>
    <definedName name="Z_0BC1F393_8A13_47D5_BC6C_0C99615B5AB9_.wvu.PrintArea" localSheetId="18" hidden="1">'SCH N (As-Filed)'!$A$184:$R$247</definedName>
    <definedName name="Z_0C49E549_011E_46F4_A82E_2CC8951A9C1E_.wvu.PrintArea" localSheetId="27" hidden="1">'Rate DP'!$A$1:$R$50</definedName>
    <definedName name="Z_0C49E549_011E_46F4_A82E_2CC8951A9C1E_.wvu.PrintArea" localSheetId="19" hidden="1">'Rate DS'!$A$1:$R$56</definedName>
    <definedName name="Z_0C49E549_011E_46F4_A82E_2CC8951A9C1E_.wvu.PrintArea" localSheetId="20" hidden="1">'Rate DS (As-Filed)'!$A$1:$R$56</definedName>
    <definedName name="Z_0C49E549_011E_46F4_A82E_2CC8951A9C1E_.wvu.PrintArea" localSheetId="21" hidden="1">'Rate DS RTP'!$A$1:$R$43</definedName>
    <definedName name="Z_0C49E549_011E_46F4_A82E_2CC8951A9C1E_.wvu.PrintArea" localSheetId="22" hidden="1">'Rate DS RTP (As-Filed)'!$A$1:$R$43</definedName>
    <definedName name="Z_0C49E549_011E_46F4_A82E_2CC8951A9C1E_.wvu.PrintArea" localSheetId="29" hidden="1">'Rate DT RTP-P'!$A$1:$R$41</definedName>
    <definedName name="Z_0C49E549_011E_46F4_A82E_2CC8951A9C1E_.wvu.PrintArea" localSheetId="30" hidden="1">'Rate DT RTP-S'!$A$1:$R$42</definedName>
    <definedName name="Z_0C49E549_011E_46F4_A82E_2CC8951A9C1E_.wvu.PrintArea" localSheetId="23" hidden="1">'Rate DT-Pri'!$A$1:$R$67</definedName>
    <definedName name="Z_0C49E549_011E_46F4_A82E_2CC8951A9C1E_.wvu.PrintArea" localSheetId="24" hidden="1">'Rate DT-Sec'!$A$1:$R$67</definedName>
    <definedName name="Z_0C49E549_011E_46F4_A82E_2CC8951A9C1E_.wvu.PrintArea" localSheetId="25" hidden="1">'Rate EH'!$A$1:$R$47</definedName>
    <definedName name="Z_0C49E549_011E_46F4_A82E_2CC8951A9C1E_.wvu.PrintArea" localSheetId="38" hidden="1">'Rate LED'!$T$464:$AQ$602</definedName>
    <definedName name="Z_0C49E549_011E_46F4_A82E_2CC8951A9C1E_.wvu.PrintArea" localSheetId="35" hidden="1">'Rate NSU'!$A$1:$R$49</definedName>
    <definedName name="Z_0C49E549_011E_46F4_A82E_2CC8951A9C1E_.wvu.PrintArea" localSheetId="7" hidden="1">'Rate RS'!$A$1:$R$45</definedName>
    <definedName name="Z_0C49E549_011E_46F4_A82E_2CC8951A9C1E_.wvu.PrintArea" localSheetId="36" hidden="1">'Rate SC'!$A$1:$R$77</definedName>
    <definedName name="Z_0C49E549_011E_46F4_A82E_2CC8951A9C1E_.wvu.PrintArea" localSheetId="37" hidden="1">'Rate SE'!$A$1:$R$56</definedName>
    <definedName name="Z_0C49E549_011E_46F4_A82E_2CC8951A9C1E_.wvu.PrintArea" localSheetId="32" hidden="1">'Rate SL'!$T$224:$AQ$298</definedName>
    <definedName name="Z_0C49E549_011E_46F4_A82E_2CC8951A9C1E_.wvu.PrintArea" localSheetId="26" hidden="1">'Rate SP GSFL'!$A$1:$R$64</definedName>
    <definedName name="Z_0C49E549_011E_46F4_A82E_2CC8951A9C1E_.wvu.PrintArea" localSheetId="33" hidden="1">'Rate TL'!$A$1:$R$38</definedName>
    <definedName name="Z_0C49E549_011E_46F4_A82E_2CC8951A9C1E_.wvu.PrintArea" localSheetId="28" hidden="1">'Rate TT'!$A$1:$R$62</definedName>
    <definedName name="Z_0C49E549_011E_46F4_A82E_2CC8951A9C1E_.wvu.PrintArea" localSheetId="31" hidden="1">'Rate TT RTP'!$A$1:$R$42</definedName>
    <definedName name="Z_0C49E549_011E_46F4_A82E_2CC8951A9C1E_.wvu.PrintArea" localSheetId="34" hidden="1">'Rate UOLS'!$A$1:$R$32</definedName>
    <definedName name="Z_0C49E549_011E_46F4_A82E_2CC8951A9C1E_.wvu.PrintArea" localSheetId="3" hidden="1">'SCH M'!$A$1:$K$75</definedName>
    <definedName name="Z_0C49E549_011E_46F4_A82E_2CC8951A9C1E_.wvu.PrintArea" localSheetId="4" hidden="1">'SCH M-2.1'!$A$1:$T$56</definedName>
    <definedName name="Z_0C49E549_011E_46F4_A82E_2CC8951A9C1E_.wvu.PrintArea" localSheetId="5" hidden="1">'SCH M-2.2'!$A$1:$X$77</definedName>
    <definedName name="Z_0C49E549_011E_46F4_A82E_2CC8951A9C1E_.wvu.PrintArea" localSheetId="6" hidden="1">'SCH M-2.3'!$A$1:$R$72</definedName>
    <definedName name="Z_0C49E549_011E_46F4_A82E_2CC8951A9C1E_.wvu.PrintArea" localSheetId="17" hidden="1">'SCH N'!$A$184:$R$247</definedName>
    <definedName name="Z_0C49E549_011E_46F4_A82E_2CC8951A9C1E_.wvu.PrintArea" localSheetId="18" hidden="1">'SCH N (As-Filed)'!$A$184:$R$247</definedName>
    <definedName name="Z_18BDED73_BFA0_442E_87EC_CED86EE4CF94_.wvu.PrintArea" localSheetId="27" hidden="1">'Rate DP'!$A$1:$R$50</definedName>
    <definedName name="Z_18BDED73_BFA0_442E_87EC_CED86EE4CF94_.wvu.PrintArea" localSheetId="19" hidden="1">'Rate DS'!$A$1:$R$56</definedName>
    <definedName name="Z_18BDED73_BFA0_442E_87EC_CED86EE4CF94_.wvu.PrintArea" localSheetId="20" hidden="1">'Rate DS (As-Filed)'!$A$1:$R$56</definedName>
    <definedName name="Z_18BDED73_BFA0_442E_87EC_CED86EE4CF94_.wvu.PrintArea" localSheetId="21" hidden="1">'Rate DS RTP'!$A$1:$R$43</definedName>
    <definedName name="Z_18BDED73_BFA0_442E_87EC_CED86EE4CF94_.wvu.PrintArea" localSheetId="22" hidden="1">'Rate DS RTP (As-Filed)'!$A$1:$R$43</definedName>
    <definedName name="Z_18BDED73_BFA0_442E_87EC_CED86EE4CF94_.wvu.PrintArea" localSheetId="29" hidden="1">'Rate DT RTP-P'!$A$1:$R$41</definedName>
    <definedName name="Z_18BDED73_BFA0_442E_87EC_CED86EE4CF94_.wvu.PrintArea" localSheetId="30" hidden="1">'Rate DT RTP-S'!$A$1:$R$42</definedName>
    <definedName name="Z_18BDED73_BFA0_442E_87EC_CED86EE4CF94_.wvu.PrintArea" localSheetId="23" hidden="1">'Rate DT-Pri'!$A$1:$R$67</definedName>
    <definedName name="Z_18BDED73_BFA0_442E_87EC_CED86EE4CF94_.wvu.PrintArea" localSheetId="24" hidden="1">'Rate DT-Sec'!$A$1:$R$67</definedName>
    <definedName name="Z_18BDED73_BFA0_442E_87EC_CED86EE4CF94_.wvu.PrintArea" localSheetId="25" hidden="1">'Rate EH'!$A$1:$R$47</definedName>
    <definedName name="Z_18BDED73_BFA0_442E_87EC_CED86EE4CF94_.wvu.PrintArea" localSheetId="38" hidden="1">'Rate LED'!$A$112:$R$348</definedName>
    <definedName name="Z_18BDED73_BFA0_442E_87EC_CED86EE4CF94_.wvu.PrintArea" localSheetId="35" hidden="1">'Rate NSU'!$A$1:$R$49</definedName>
    <definedName name="Z_18BDED73_BFA0_442E_87EC_CED86EE4CF94_.wvu.PrintArea" localSheetId="7" hidden="1">'Rate RS'!$A$1:$R$45</definedName>
    <definedName name="Z_18BDED73_BFA0_442E_87EC_CED86EE4CF94_.wvu.PrintArea" localSheetId="36" hidden="1">'Rate SC'!$A$1:$R$77</definedName>
    <definedName name="Z_18BDED73_BFA0_442E_87EC_CED86EE4CF94_.wvu.PrintArea" localSheetId="37" hidden="1">'Rate SE'!$A$1:$R$56</definedName>
    <definedName name="Z_18BDED73_BFA0_442E_87EC_CED86EE4CF94_.wvu.PrintArea" localSheetId="32" hidden="1">'Rate SL'!$A$70:$R$151</definedName>
    <definedName name="Z_18BDED73_BFA0_442E_87EC_CED86EE4CF94_.wvu.PrintArea" localSheetId="26" hidden="1">'Rate SP GSFL'!$A$1:$R$64</definedName>
    <definedName name="Z_18BDED73_BFA0_442E_87EC_CED86EE4CF94_.wvu.PrintArea" localSheetId="33" hidden="1">'Rate TL'!$A$1:$R$38</definedName>
    <definedName name="Z_18BDED73_BFA0_442E_87EC_CED86EE4CF94_.wvu.PrintArea" localSheetId="28" hidden="1">'Rate TT'!$A$1:$R$62</definedName>
    <definedName name="Z_18BDED73_BFA0_442E_87EC_CED86EE4CF94_.wvu.PrintArea" localSheetId="31" hidden="1">'Rate TT RTP'!$A$1:$R$42</definedName>
    <definedName name="Z_18BDED73_BFA0_442E_87EC_CED86EE4CF94_.wvu.PrintArea" localSheetId="34" hidden="1">'Rate UOLS'!$A$1:$R$32</definedName>
    <definedName name="Z_18BDED73_BFA0_442E_87EC_CED86EE4CF94_.wvu.PrintArea" localSheetId="3" hidden="1">'SCH M'!$A$1:$O$69</definedName>
    <definedName name="Z_18BDED73_BFA0_442E_87EC_CED86EE4CF94_.wvu.PrintArea" localSheetId="4" hidden="1">'SCH M-2.1'!$A$1:$T$56</definedName>
    <definedName name="Z_18BDED73_BFA0_442E_87EC_CED86EE4CF94_.wvu.PrintArea" localSheetId="5" hidden="1">'SCH M-2.2'!$A$1:$X$77</definedName>
    <definedName name="Z_18BDED73_BFA0_442E_87EC_CED86EE4CF94_.wvu.PrintArea" localSheetId="6" hidden="1">'SCH M-2.3'!$A$1:$R$72</definedName>
    <definedName name="Z_18BDED73_BFA0_442E_87EC_CED86EE4CF94_.wvu.PrintArea" localSheetId="17" hidden="1">'SCH N'!$A$184:$R$247</definedName>
    <definedName name="Z_18BDED73_BFA0_442E_87EC_CED86EE4CF94_.wvu.PrintArea" localSheetId="18" hidden="1">'SCH N (As-Filed)'!$A$184:$R$247</definedName>
    <definedName name="Z_195DF303_1BBD_4236_94B5_47432850B006_.wvu.PrintArea" localSheetId="27" hidden="1">'Rate DP'!$A$1:$R$50</definedName>
    <definedName name="Z_195DF303_1BBD_4236_94B5_47432850B006_.wvu.PrintArea" localSheetId="19" hidden="1">'Rate DS'!$A$1:$R$56</definedName>
    <definedName name="Z_195DF303_1BBD_4236_94B5_47432850B006_.wvu.PrintArea" localSheetId="20" hidden="1">'Rate DS (As-Filed)'!$A$1:$R$56</definedName>
    <definedName name="Z_195DF303_1BBD_4236_94B5_47432850B006_.wvu.PrintArea" localSheetId="21" hidden="1">'Rate DS RTP'!$A$1:$R$43</definedName>
    <definedName name="Z_195DF303_1BBD_4236_94B5_47432850B006_.wvu.PrintArea" localSheetId="22" hidden="1">'Rate DS RTP (As-Filed)'!$A$1:$R$43</definedName>
    <definedName name="Z_195DF303_1BBD_4236_94B5_47432850B006_.wvu.PrintArea" localSheetId="29" hidden="1">'Rate DT RTP-P'!$A$1:$R$41</definedName>
    <definedName name="Z_195DF303_1BBD_4236_94B5_47432850B006_.wvu.PrintArea" localSheetId="30" hidden="1">'Rate DT RTP-S'!$A$1:$R$42</definedName>
    <definedName name="Z_195DF303_1BBD_4236_94B5_47432850B006_.wvu.PrintArea" localSheetId="23" hidden="1">'Rate DT-Pri'!$A$1:$R$67</definedName>
    <definedName name="Z_195DF303_1BBD_4236_94B5_47432850B006_.wvu.PrintArea" localSheetId="24" hidden="1">'Rate DT-Sec'!$A$1:$R$67</definedName>
    <definedName name="Z_195DF303_1BBD_4236_94B5_47432850B006_.wvu.PrintArea" localSheetId="25" hidden="1">'Rate EH'!$A$1:$R$47</definedName>
    <definedName name="Z_195DF303_1BBD_4236_94B5_47432850B006_.wvu.PrintArea" localSheetId="38" hidden="1">'Rate LED'!$T$464:$AQ$602</definedName>
    <definedName name="Z_195DF303_1BBD_4236_94B5_47432850B006_.wvu.PrintArea" localSheetId="35" hidden="1">'Rate NSU'!$A$1:$R$49</definedName>
    <definedName name="Z_195DF303_1BBD_4236_94B5_47432850B006_.wvu.PrintArea" localSheetId="7" hidden="1">'Rate RS'!$A$1:$R$45</definedName>
    <definedName name="Z_195DF303_1BBD_4236_94B5_47432850B006_.wvu.PrintArea" localSheetId="36" hidden="1">'Rate SC'!$A$1:$R$77</definedName>
    <definedName name="Z_195DF303_1BBD_4236_94B5_47432850B006_.wvu.PrintArea" localSheetId="37" hidden="1">'Rate SE'!$A$1:$R$56</definedName>
    <definedName name="Z_195DF303_1BBD_4236_94B5_47432850B006_.wvu.PrintArea" localSheetId="32" hidden="1">'Rate SL'!$T$224:$AQ$298</definedName>
    <definedName name="Z_195DF303_1BBD_4236_94B5_47432850B006_.wvu.PrintArea" localSheetId="26" hidden="1">'Rate SP GSFL'!$A$1:$R$64</definedName>
    <definedName name="Z_195DF303_1BBD_4236_94B5_47432850B006_.wvu.PrintArea" localSheetId="33" hidden="1">'Rate TL'!$A$1:$R$38</definedName>
    <definedName name="Z_195DF303_1BBD_4236_94B5_47432850B006_.wvu.PrintArea" localSheetId="28" hidden="1">'Rate TT'!$A$1:$R$62</definedName>
    <definedName name="Z_195DF303_1BBD_4236_94B5_47432850B006_.wvu.PrintArea" localSheetId="31" hidden="1">'Rate TT RTP'!$A$1:$R$42</definedName>
    <definedName name="Z_195DF303_1BBD_4236_94B5_47432850B006_.wvu.PrintArea" localSheetId="34" hidden="1">'Rate UOLS'!$A$1:$R$32</definedName>
    <definedName name="Z_195DF303_1BBD_4236_94B5_47432850B006_.wvu.PrintArea" localSheetId="3" hidden="1">'SCH M'!$A$1:$K$75</definedName>
    <definedName name="Z_195DF303_1BBD_4236_94B5_47432850B006_.wvu.PrintArea" localSheetId="4" hidden="1">'SCH M-2.1'!$A$1:$T$56</definedName>
    <definedName name="Z_195DF303_1BBD_4236_94B5_47432850B006_.wvu.PrintArea" localSheetId="5" hidden="1">'SCH M-2.2'!$A$1:$X$77</definedName>
    <definedName name="Z_195DF303_1BBD_4236_94B5_47432850B006_.wvu.PrintArea" localSheetId="6" hidden="1">'SCH M-2.3'!$A$1:$R$72</definedName>
    <definedName name="Z_195DF303_1BBD_4236_94B5_47432850B006_.wvu.PrintArea" localSheetId="17" hidden="1">'SCH N'!$A$184:$R$247</definedName>
    <definedName name="Z_195DF303_1BBD_4236_94B5_47432850B006_.wvu.PrintArea" localSheetId="18" hidden="1">'SCH N (As-Filed)'!$A$184:$R$247</definedName>
    <definedName name="Z_2431C9E5_7CC2_4B8D_99C3_962247B1DBF5_.wvu.PrintArea" localSheetId="23" hidden="1">'Rate DT-Pri'!$T$73:$AQ$142</definedName>
    <definedName name="Z_2431C9E5_7CC2_4B8D_99C3_962247B1DBF5_.wvu.PrintArea" localSheetId="24" hidden="1">'Rate DT-Sec'!$T$71:$AQ$137</definedName>
    <definedName name="Z_2431C9E5_7CC2_4B8D_99C3_962247B1DBF5_.wvu.PrintArea" localSheetId="38" hidden="1">'Rate LED'!$T$464:$AQ$602</definedName>
    <definedName name="Z_2431C9E5_7CC2_4B8D_99C3_962247B1DBF5_.wvu.PrintArea" localSheetId="32" hidden="1">'Rate SL'!$T$224:$AQ$298</definedName>
    <definedName name="Z_2EA35095_1ADC_4CC7_8C3C_B487D65FA247_.wvu.PrintArea" localSheetId="27" hidden="1">'Rate DP'!$A$1:$R$50</definedName>
    <definedName name="Z_2EA35095_1ADC_4CC7_8C3C_B487D65FA247_.wvu.PrintArea" localSheetId="19" hidden="1">'Rate DS'!$A$1:$R$56</definedName>
    <definedName name="Z_2EA35095_1ADC_4CC7_8C3C_B487D65FA247_.wvu.PrintArea" localSheetId="20" hidden="1">'Rate DS (As-Filed)'!$A$1:$R$56</definedName>
    <definedName name="Z_2EA35095_1ADC_4CC7_8C3C_B487D65FA247_.wvu.PrintArea" localSheetId="21" hidden="1">'Rate DS RTP'!$A$1:$R$43</definedName>
    <definedName name="Z_2EA35095_1ADC_4CC7_8C3C_B487D65FA247_.wvu.PrintArea" localSheetId="22" hidden="1">'Rate DS RTP (As-Filed)'!$A$1:$R$43</definedName>
    <definedName name="Z_2EA35095_1ADC_4CC7_8C3C_B487D65FA247_.wvu.PrintArea" localSheetId="29" hidden="1">'Rate DT RTP-P'!$A$1:$R$41</definedName>
    <definedName name="Z_2EA35095_1ADC_4CC7_8C3C_B487D65FA247_.wvu.PrintArea" localSheetId="30" hidden="1">'Rate DT RTP-S'!$A$1:$R$42</definedName>
    <definedName name="Z_2EA35095_1ADC_4CC7_8C3C_B487D65FA247_.wvu.PrintArea" localSheetId="23" hidden="1">'Rate DT-Pri'!$A$1:$R$67</definedName>
    <definedName name="Z_2EA35095_1ADC_4CC7_8C3C_B487D65FA247_.wvu.PrintArea" localSheetId="24" hidden="1">'Rate DT-Sec'!$A$1:$R$67</definedName>
    <definedName name="Z_2EA35095_1ADC_4CC7_8C3C_B487D65FA247_.wvu.PrintArea" localSheetId="25" hidden="1">'Rate EH'!$A$1:$R$47</definedName>
    <definedName name="Z_2EA35095_1ADC_4CC7_8C3C_B487D65FA247_.wvu.PrintArea" localSheetId="38" hidden="1">'Rate LED'!$T$464:$AQ$602</definedName>
    <definedName name="Z_2EA35095_1ADC_4CC7_8C3C_B487D65FA247_.wvu.PrintArea" localSheetId="35" hidden="1">'Rate NSU'!$A$1:$R$49</definedName>
    <definedName name="Z_2EA35095_1ADC_4CC7_8C3C_B487D65FA247_.wvu.PrintArea" localSheetId="7" hidden="1">'Rate RS'!$A$1:$R$45</definedName>
    <definedName name="Z_2EA35095_1ADC_4CC7_8C3C_B487D65FA247_.wvu.PrintArea" localSheetId="36" hidden="1">'Rate SC'!$A$1:$R$77</definedName>
    <definedName name="Z_2EA35095_1ADC_4CC7_8C3C_B487D65FA247_.wvu.PrintArea" localSheetId="37" hidden="1">'Rate SE'!$A$1:$R$56</definedName>
    <definedName name="Z_2EA35095_1ADC_4CC7_8C3C_B487D65FA247_.wvu.PrintArea" localSheetId="32" hidden="1">'Rate SL'!$T$224:$AQ$298</definedName>
    <definedName name="Z_2EA35095_1ADC_4CC7_8C3C_B487D65FA247_.wvu.PrintArea" localSheetId="26" hidden="1">'Rate SP GSFL'!$A$1:$R$64</definedName>
    <definedName name="Z_2EA35095_1ADC_4CC7_8C3C_B487D65FA247_.wvu.PrintArea" localSheetId="33" hidden="1">'Rate TL'!$A$1:$R$38</definedName>
    <definedName name="Z_2EA35095_1ADC_4CC7_8C3C_B487D65FA247_.wvu.PrintArea" localSheetId="28" hidden="1">'Rate TT'!$A$1:$R$62</definedName>
    <definedName name="Z_2EA35095_1ADC_4CC7_8C3C_B487D65FA247_.wvu.PrintArea" localSheetId="31" hidden="1">'Rate TT RTP'!$A$1:$R$42</definedName>
    <definedName name="Z_2EA35095_1ADC_4CC7_8C3C_B487D65FA247_.wvu.PrintArea" localSheetId="34" hidden="1">'Rate UOLS'!$A$1:$R$32</definedName>
    <definedName name="Z_2EA35095_1ADC_4CC7_8C3C_B487D65FA247_.wvu.PrintArea" localSheetId="3" hidden="1">'SCH M'!$A$1:$K$75</definedName>
    <definedName name="Z_2EA35095_1ADC_4CC7_8C3C_B487D65FA247_.wvu.PrintArea" localSheetId="4" hidden="1">'SCH M-2.1'!$A$1:$T$56</definedName>
    <definedName name="Z_2EA35095_1ADC_4CC7_8C3C_B487D65FA247_.wvu.PrintArea" localSheetId="5" hidden="1">'SCH M-2.2'!$A$1:$X$77</definedName>
    <definedName name="Z_2EA35095_1ADC_4CC7_8C3C_B487D65FA247_.wvu.PrintArea" localSheetId="6" hidden="1">'SCH M-2.3'!$A$1:$R$72</definedName>
    <definedName name="Z_2EA35095_1ADC_4CC7_8C3C_B487D65FA247_.wvu.PrintArea" localSheetId="17" hidden="1">'SCH N'!$A$184:$R$247</definedName>
    <definedName name="Z_2EA35095_1ADC_4CC7_8C3C_B487D65FA247_.wvu.PrintArea" localSheetId="18" hidden="1">'SCH N (As-Filed)'!$A$184:$R$247</definedName>
    <definedName name="Z_35F19056_2E6F_4935_B863_78836FE990BF_.wvu.PrintArea" localSheetId="27" hidden="1">'Rate DP'!$A$1:$R$50</definedName>
    <definedName name="Z_35F19056_2E6F_4935_B863_78836FE990BF_.wvu.PrintArea" localSheetId="19" hidden="1">'Rate DS'!$A$1:$R$56</definedName>
    <definedName name="Z_35F19056_2E6F_4935_B863_78836FE990BF_.wvu.PrintArea" localSheetId="20" hidden="1">'Rate DS (As-Filed)'!$A$1:$R$56</definedName>
    <definedName name="Z_35F19056_2E6F_4935_B863_78836FE990BF_.wvu.PrintArea" localSheetId="21" hidden="1">'Rate DS RTP'!$A$1:$R$43</definedName>
    <definedName name="Z_35F19056_2E6F_4935_B863_78836FE990BF_.wvu.PrintArea" localSheetId="22" hidden="1">'Rate DS RTP (As-Filed)'!$A$1:$R$43</definedName>
    <definedName name="Z_35F19056_2E6F_4935_B863_78836FE990BF_.wvu.PrintArea" localSheetId="29" hidden="1">'Rate DT RTP-P'!$A$1:$R$41</definedName>
    <definedName name="Z_35F19056_2E6F_4935_B863_78836FE990BF_.wvu.PrintArea" localSheetId="30" hidden="1">'Rate DT RTP-S'!$A$1:$R$42</definedName>
    <definedName name="Z_35F19056_2E6F_4935_B863_78836FE990BF_.wvu.PrintArea" localSheetId="23" hidden="1">'Rate DT-Pri'!$A$1:$R$67</definedName>
    <definedName name="Z_35F19056_2E6F_4935_B863_78836FE990BF_.wvu.PrintArea" localSheetId="24" hidden="1">'Rate DT-Sec'!$A$1:$R$67</definedName>
    <definedName name="Z_35F19056_2E6F_4935_B863_78836FE990BF_.wvu.PrintArea" localSheetId="25" hidden="1">'Rate EH'!$A$1:$R$47</definedName>
    <definedName name="Z_35F19056_2E6F_4935_B863_78836FE990BF_.wvu.PrintArea" localSheetId="38" hidden="1">'Rate LED'!$A$112:$R$348</definedName>
    <definedName name="Z_35F19056_2E6F_4935_B863_78836FE990BF_.wvu.PrintArea" localSheetId="35" hidden="1">'Rate NSU'!$A$1:$R$49</definedName>
    <definedName name="Z_35F19056_2E6F_4935_B863_78836FE990BF_.wvu.PrintArea" localSheetId="7" hidden="1">'Rate RS'!$A$1:$R$45</definedName>
    <definedName name="Z_35F19056_2E6F_4935_B863_78836FE990BF_.wvu.PrintArea" localSheetId="36" hidden="1">'Rate SC'!$A$1:$R$77</definedName>
    <definedName name="Z_35F19056_2E6F_4935_B863_78836FE990BF_.wvu.PrintArea" localSheetId="37" hidden="1">'Rate SE'!$A$1:$R$56</definedName>
    <definedName name="Z_35F19056_2E6F_4935_B863_78836FE990BF_.wvu.PrintArea" localSheetId="32" hidden="1">'Rate SL'!$A$70:$R$151</definedName>
    <definedName name="Z_35F19056_2E6F_4935_B863_78836FE990BF_.wvu.PrintArea" localSheetId="26" hidden="1">'Rate SP GSFL'!$A$1:$R$64</definedName>
    <definedName name="Z_35F19056_2E6F_4935_B863_78836FE990BF_.wvu.PrintArea" localSheetId="33" hidden="1">'Rate TL'!$A$1:$R$38</definedName>
    <definedName name="Z_35F19056_2E6F_4935_B863_78836FE990BF_.wvu.PrintArea" localSheetId="28" hidden="1">'Rate TT'!$A$1:$R$62</definedName>
    <definedName name="Z_35F19056_2E6F_4935_B863_78836FE990BF_.wvu.PrintArea" localSheetId="31" hidden="1">'Rate TT RTP'!$A$1:$R$42</definedName>
    <definedName name="Z_35F19056_2E6F_4935_B863_78836FE990BF_.wvu.PrintArea" localSheetId="34" hidden="1">'Rate UOLS'!$A$1:$R$32</definedName>
    <definedName name="Z_35F19056_2E6F_4935_B863_78836FE990BF_.wvu.PrintArea" localSheetId="3" hidden="1">'SCH M'!$A$1:$O$71</definedName>
    <definedName name="Z_35F19056_2E6F_4935_B863_78836FE990BF_.wvu.PrintArea" localSheetId="4" hidden="1">'SCH M-2.1'!$A$1:$T$56</definedName>
    <definedName name="Z_35F19056_2E6F_4935_B863_78836FE990BF_.wvu.PrintArea" localSheetId="5" hidden="1">'SCH M-2.2'!$A$1:$X$77</definedName>
    <definedName name="Z_35F19056_2E6F_4935_B863_78836FE990BF_.wvu.PrintArea" localSheetId="6" hidden="1">'SCH M-2.3'!$A$1:$R$72</definedName>
    <definedName name="Z_35F19056_2E6F_4935_B863_78836FE990BF_.wvu.PrintArea" localSheetId="17" hidden="1">'SCH N'!$A$184:$R$247</definedName>
    <definedName name="Z_35F19056_2E6F_4935_B863_78836FE990BF_.wvu.PrintArea" localSheetId="18" hidden="1">'SCH N (As-Filed)'!$A$184:$R$247</definedName>
    <definedName name="Z_4BC93440_BA85_4935_A8C9_66DC6AE5DE5E_.wvu.PrintArea" localSheetId="27" hidden="1">'Rate DP'!$A$1:$R$50</definedName>
    <definedName name="Z_4BC93440_BA85_4935_A8C9_66DC6AE5DE5E_.wvu.PrintArea" localSheetId="19" hidden="1">'Rate DS'!$A$1:$R$56</definedName>
    <definedName name="Z_4BC93440_BA85_4935_A8C9_66DC6AE5DE5E_.wvu.PrintArea" localSheetId="20" hidden="1">'Rate DS (As-Filed)'!$A$1:$R$56</definedName>
    <definedName name="Z_4BC93440_BA85_4935_A8C9_66DC6AE5DE5E_.wvu.PrintArea" localSheetId="21" hidden="1">'Rate DS RTP'!$A$1:$R$43</definedName>
    <definedName name="Z_4BC93440_BA85_4935_A8C9_66DC6AE5DE5E_.wvu.PrintArea" localSheetId="22" hidden="1">'Rate DS RTP (As-Filed)'!$A$1:$R$43</definedName>
    <definedName name="Z_4BC93440_BA85_4935_A8C9_66DC6AE5DE5E_.wvu.PrintArea" localSheetId="29" hidden="1">'Rate DT RTP-P'!$A$1:$R$41</definedName>
    <definedName name="Z_4BC93440_BA85_4935_A8C9_66DC6AE5DE5E_.wvu.PrintArea" localSheetId="30" hidden="1">'Rate DT RTP-S'!$A$1:$R$42</definedName>
    <definedName name="Z_4BC93440_BA85_4935_A8C9_66DC6AE5DE5E_.wvu.PrintArea" localSheetId="23" hidden="1">'Rate DT-Pri'!$T$73:$AQ$142</definedName>
    <definedName name="Z_4BC93440_BA85_4935_A8C9_66DC6AE5DE5E_.wvu.PrintArea" localSheetId="24" hidden="1">'Rate DT-Sec'!$T$71:$AQ$137</definedName>
    <definedName name="Z_4BC93440_BA85_4935_A8C9_66DC6AE5DE5E_.wvu.PrintArea" localSheetId="25" hidden="1">'Rate EH'!$A$1:$R$47</definedName>
    <definedName name="Z_4BC93440_BA85_4935_A8C9_66DC6AE5DE5E_.wvu.PrintArea" localSheetId="38" hidden="1">'Rate LED'!$T$464:$AQ$602</definedName>
    <definedName name="Z_4BC93440_BA85_4935_A8C9_66DC6AE5DE5E_.wvu.PrintArea" localSheetId="35" hidden="1">'Rate NSU'!$A$1:$R$49</definedName>
    <definedName name="Z_4BC93440_BA85_4935_A8C9_66DC6AE5DE5E_.wvu.PrintArea" localSheetId="7" hidden="1">'Rate RS'!$A$1:$R$45</definedName>
    <definedName name="Z_4BC93440_BA85_4935_A8C9_66DC6AE5DE5E_.wvu.PrintArea" localSheetId="36" hidden="1">'Rate SC'!$A$1:$R$77</definedName>
    <definedName name="Z_4BC93440_BA85_4935_A8C9_66DC6AE5DE5E_.wvu.PrintArea" localSheetId="37" hidden="1">'Rate SE'!$A$1:$R$56</definedName>
    <definedName name="Z_4BC93440_BA85_4935_A8C9_66DC6AE5DE5E_.wvu.PrintArea" localSheetId="32" hidden="1">'Rate SL'!$T$224:$AQ$298</definedName>
    <definedName name="Z_4BC93440_BA85_4935_A8C9_66DC6AE5DE5E_.wvu.PrintArea" localSheetId="26" hidden="1">'Rate SP GSFL'!$A$1:$R$64</definedName>
    <definedName name="Z_4BC93440_BA85_4935_A8C9_66DC6AE5DE5E_.wvu.PrintArea" localSheetId="33" hidden="1">'Rate TL'!$A$1:$R$38</definedName>
    <definedName name="Z_4BC93440_BA85_4935_A8C9_66DC6AE5DE5E_.wvu.PrintArea" localSheetId="28" hidden="1">'Rate TT'!$A$1:$R$62</definedName>
    <definedName name="Z_4BC93440_BA85_4935_A8C9_66DC6AE5DE5E_.wvu.PrintArea" localSheetId="31" hidden="1">'Rate TT RTP'!$A$1:$R$42</definedName>
    <definedName name="Z_4BC93440_BA85_4935_A8C9_66DC6AE5DE5E_.wvu.PrintArea" localSheetId="34" hidden="1">'Rate UOLS'!$A$1:$R$32</definedName>
    <definedName name="Z_4BC93440_BA85_4935_A8C9_66DC6AE5DE5E_.wvu.PrintArea" localSheetId="3" hidden="1">'SCH M'!$A$1:$K$75</definedName>
    <definedName name="Z_4BC93440_BA85_4935_A8C9_66DC6AE5DE5E_.wvu.PrintArea" localSheetId="4" hidden="1">'SCH M-2.1'!$A$1:$T$56</definedName>
    <definedName name="Z_4BC93440_BA85_4935_A8C9_66DC6AE5DE5E_.wvu.PrintArea" localSheetId="5" hidden="1">'SCH M-2.2'!$A$1:$X$77</definedName>
    <definedName name="Z_4BC93440_BA85_4935_A8C9_66DC6AE5DE5E_.wvu.PrintArea" localSheetId="6" hidden="1">'SCH M-2.3'!$A$1:$R$72</definedName>
    <definedName name="Z_4BC93440_BA85_4935_A8C9_66DC6AE5DE5E_.wvu.PrintArea" localSheetId="17" hidden="1">'SCH N'!$A$184:$R$247</definedName>
    <definedName name="Z_4BC93440_BA85_4935_A8C9_66DC6AE5DE5E_.wvu.PrintArea" localSheetId="18" hidden="1">'SCH N (As-Filed)'!$A$184:$R$247</definedName>
    <definedName name="Z_6B3D5C27_2FDE_4561_9575_1E98BFB869D0_.wvu.PrintArea" localSheetId="27" hidden="1">'Rate DP'!$A$1:$R$50</definedName>
    <definedName name="Z_6B3D5C27_2FDE_4561_9575_1E98BFB869D0_.wvu.PrintArea" localSheetId="19" hidden="1">'Rate DS'!$A$1:$R$56</definedName>
    <definedName name="Z_6B3D5C27_2FDE_4561_9575_1E98BFB869D0_.wvu.PrintArea" localSheetId="20" hidden="1">'Rate DS (As-Filed)'!$A$1:$R$56</definedName>
    <definedName name="Z_6B3D5C27_2FDE_4561_9575_1E98BFB869D0_.wvu.PrintArea" localSheetId="21" hidden="1">'Rate DS RTP'!$A$1:$R$43</definedName>
    <definedName name="Z_6B3D5C27_2FDE_4561_9575_1E98BFB869D0_.wvu.PrintArea" localSheetId="22" hidden="1">'Rate DS RTP (As-Filed)'!$A$1:$R$43</definedName>
    <definedName name="Z_6B3D5C27_2FDE_4561_9575_1E98BFB869D0_.wvu.PrintArea" localSheetId="29" hidden="1">'Rate DT RTP-P'!$A$1:$R$41</definedName>
    <definedName name="Z_6B3D5C27_2FDE_4561_9575_1E98BFB869D0_.wvu.PrintArea" localSheetId="30" hidden="1">'Rate DT RTP-S'!$A$1:$R$42</definedName>
    <definedName name="Z_6B3D5C27_2FDE_4561_9575_1E98BFB869D0_.wvu.PrintArea" localSheetId="23" hidden="1">'Rate DT-Pri'!$A$1:$R$67</definedName>
    <definedName name="Z_6B3D5C27_2FDE_4561_9575_1E98BFB869D0_.wvu.PrintArea" localSheetId="24" hidden="1">'Rate DT-Sec'!$A$1:$R$67</definedName>
    <definedName name="Z_6B3D5C27_2FDE_4561_9575_1E98BFB869D0_.wvu.PrintArea" localSheetId="25" hidden="1">'Rate EH'!$A$1:$R$47</definedName>
    <definedName name="Z_6B3D5C27_2FDE_4561_9575_1E98BFB869D0_.wvu.PrintArea" localSheetId="38" hidden="1">'Rate LED'!$T$464:$AQ$602</definedName>
    <definedName name="Z_6B3D5C27_2FDE_4561_9575_1E98BFB869D0_.wvu.PrintArea" localSheetId="35" hidden="1">'Rate NSU'!$A$1:$R$49</definedName>
    <definedName name="Z_6B3D5C27_2FDE_4561_9575_1E98BFB869D0_.wvu.PrintArea" localSheetId="7" hidden="1">'Rate RS'!$A$1:$R$45</definedName>
    <definedName name="Z_6B3D5C27_2FDE_4561_9575_1E98BFB869D0_.wvu.PrintArea" localSheetId="36" hidden="1">'Rate SC'!$A$1:$R$77</definedName>
    <definedName name="Z_6B3D5C27_2FDE_4561_9575_1E98BFB869D0_.wvu.PrintArea" localSheetId="37" hidden="1">'Rate SE'!$A$1:$R$56</definedName>
    <definedName name="Z_6B3D5C27_2FDE_4561_9575_1E98BFB869D0_.wvu.PrintArea" localSheetId="32" hidden="1">'Rate SL'!$T$224:$AQ$298</definedName>
    <definedName name="Z_6B3D5C27_2FDE_4561_9575_1E98BFB869D0_.wvu.PrintArea" localSheetId="26" hidden="1">'Rate SP GSFL'!$A$1:$R$64</definedName>
    <definedName name="Z_6B3D5C27_2FDE_4561_9575_1E98BFB869D0_.wvu.PrintArea" localSheetId="33" hidden="1">'Rate TL'!$A$1:$R$38</definedName>
    <definedName name="Z_6B3D5C27_2FDE_4561_9575_1E98BFB869D0_.wvu.PrintArea" localSheetId="28" hidden="1">'Rate TT'!$A$1:$R$62</definedName>
    <definedName name="Z_6B3D5C27_2FDE_4561_9575_1E98BFB869D0_.wvu.PrintArea" localSheetId="31" hidden="1">'Rate TT RTP'!$A$1:$R$42</definedName>
    <definedName name="Z_6B3D5C27_2FDE_4561_9575_1E98BFB869D0_.wvu.PrintArea" localSheetId="34" hidden="1">'Rate UOLS'!$A$1:$R$32</definedName>
    <definedName name="Z_6B3D5C27_2FDE_4561_9575_1E98BFB869D0_.wvu.PrintArea" localSheetId="3" hidden="1">'SCH M'!$A$1:$O$69</definedName>
    <definedName name="Z_6B3D5C27_2FDE_4561_9575_1E98BFB869D0_.wvu.PrintArea" localSheetId="4" hidden="1">'SCH M-2.1'!$A$1:$T$56</definedName>
    <definedName name="Z_6B3D5C27_2FDE_4561_9575_1E98BFB869D0_.wvu.PrintArea" localSheetId="5" hidden="1">'SCH M-2.2'!$A$1:$X$77</definedName>
    <definedName name="Z_6B3D5C27_2FDE_4561_9575_1E98BFB869D0_.wvu.PrintArea" localSheetId="6" hidden="1">'SCH M-2.3'!$A$1:$R$72</definedName>
    <definedName name="Z_6B3D5C27_2FDE_4561_9575_1E98BFB869D0_.wvu.PrintArea" localSheetId="17" hidden="1">'SCH N'!$A$184:$R$247</definedName>
    <definedName name="Z_6B3D5C27_2FDE_4561_9575_1E98BFB869D0_.wvu.PrintArea" localSheetId="18" hidden="1">'SCH N (As-Filed)'!$A$184:$R$247</definedName>
    <definedName name="Z_8FB94551_8874_4095_B8FB_5316E0D2FD2C_.wvu.PrintArea" localSheetId="27" hidden="1">'Rate DP'!$A$1:$R$50</definedName>
    <definedName name="Z_8FB94551_8874_4095_B8FB_5316E0D2FD2C_.wvu.PrintArea" localSheetId="19" hidden="1">'Rate DS'!$A$1:$R$56</definedName>
    <definedName name="Z_8FB94551_8874_4095_B8FB_5316E0D2FD2C_.wvu.PrintArea" localSheetId="20" hidden="1">'Rate DS (As-Filed)'!$A$1:$R$56</definedName>
    <definedName name="Z_8FB94551_8874_4095_B8FB_5316E0D2FD2C_.wvu.PrintArea" localSheetId="21" hidden="1">'Rate DS RTP'!$A$1:$R$43</definedName>
    <definedName name="Z_8FB94551_8874_4095_B8FB_5316E0D2FD2C_.wvu.PrintArea" localSheetId="22" hidden="1">'Rate DS RTP (As-Filed)'!$A$1:$R$43</definedName>
    <definedName name="Z_8FB94551_8874_4095_B8FB_5316E0D2FD2C_.wvu.PrintArea" localSheetId="29" hidden="1">'Rate DT RTP-P'!$A$1:$R$41</definedName>
    <definedName name="Z_8FB94551_8874_4095_B8FB_5316E0D2FD2C_.wvu.PrintArea" localSheetId="30" hidden="1">'Rate DT RTP-S'!$A$1:$R$42</definedName>
    <definedName name="Z_8FB94551_8874_4095_B8FB_5316E0D2FD2C_.wvu.PrintArea" localSheetId="23" hidden="1">'Rate DT-Pri'!$A$1:$R$67</definedName>
    <definedName name="Z_8FB94551_8874_4095_B8FB_5316E0D2FD2C_.wvu.PrintArea" localSheetId="24" hidden="1">'Rate DT-Sec'!$A$1:$R$67</definedName>
    <definedName name="Z_8FB94551_8874_4095_B8FB_5316E0D2FD2C_.wvu.PrintArea" localSheetId="25" hidden="1">'Rate EH'!$A$1:$R$47</definedName>
    <definedName name="Z_8FB94551_8874_4095_B8FB_5316E0D2FD2C_.wvu.PrintArea" localSheetId="38" hidden="1">'Rate LED'!$T$464:$AQ$602</definedName>
    <definedName name="Z_8FB94551_8874_4095_B8FB_5316E0D2FD2C_.wvu.PrintArea" localSheetId="35" hidden="1">'Rate NSU'!$A$1:$R$49</definedName>
    <definedName name="Z_8FB94551_8874_4095_B8FB_5316E0D2FD2C_.wvu.PrintArea" localSheetId="7" hidden="1">'Rate RS'!$A$1:$R$45</definedName>
    <definedName name="Z_8FB94551_8874_4095_B8FB_5316E0D2FD2C_.wvu.PrintArea" localSheetId="36" hidden="1">'Rate SC'!$A$1:$R$77</definedName>
    <definedName name="Z_8FB94551_8874_4095_B8FB_5316E0D2FD2C_.wvu.PrintArea" localSheetId="37" hidden="1">'Rate SE'!$A$1:$R$56</definedName>
    <definedName name="Z_8FB94551_8874_4095_B8FB_5316E0D2FD2C_.wvu.PrintArea" localSheetId="32" hidden="1">'Rate SL'!$T$224:$AQ$298</definedName>
    <definedName name="Z_8FB94551_8874_4095_B8FB_5316E0D2FD2C_.wvu.PrintArea" localSheetId="26" hidden="1">'Rate SP GSFL'!$A$1:$R$64</definedName>
    <definedName name="Z_8FB94551_8874_4095_B8FB_5316E0D2FD2C_.wvu.PrintArea" localSheetId="33" hidden="1">'Rate TL'!$A$1:$R$38</definedName>
    <definedName name="Z_8FB94551_8874_4095_B8FB_5316E0D2FD2C_.wvu.PrintArea" localSheetId="28" hidden="1">'Rate TT'!$A$1:$R$62</definedName>
    <definedName name="Z_8FB94551_8874_4095_B8FB_5316E0D2FD2C_.wvu.PrintArea" localSheetId="31" hidden="1">'Rate TT RTP'!$A$1:$R$42</definedName>
    <definedName name="Z_8FB94551_8874_4095_B8FB_5316E0D2FD2C_.wvu.PrintArea" localSheetId="34" hidden="1">'Rate UOLS'!$A$1:$R$32</definedName>
    <definedName name="Z_8FB94551_8874_4095_B8FB_5316E0D2FD2C_.wvu.PrintArea" localSheetId="3" hidden="1">'SCH M'!$A$1:$K$75</definedName>
    <definedName name="Z_8FB94551_8874_4095_B8FB_5316E0D2FD2C_.wvu.PrintArea" localSheetId="4" hidden="1">'SCH M-2.1'!$A$1:$T$56</definedName>
    <definedName name="Z_8FB94551_8874_4095_B8FB_5316E0D2FD2C_.wvu.PrintArea" localSheetId="5" hidden="1">'SCH M-2.2'!$A$1:$X$77</definedName>
    <definedName name="Z_8FB94551_8874_4095_B8FB_5316E0D2FD2C_.wvu.PrintArea" localSheetId="6" hidden="1">'SCH M-2.3'!$A$1:$R$72</definedName>
    <definedName name="Z_8FB94551_8874_4095_B8FB_5316E0D2FD2C_.wvu.PrintArea" localSheetId="17" hidden="1">'SCH N'!$A$184:$R$247</definedName>
    <definedName name="Z_8FB94551_8874_4095_B8FB_5316E0D2FD2C_.wvu.PrintArea" localSheetId="18" hidden="1">'SCH N (As-Filed)'!$A$184:$R$247</definedName>
    <definedName name="Z_8FC77C99_DBF7_40B8_99B8_01B75826CDCB_.wvu.PrintArea" localSheetId="27" hidden="1">'Rate DP'!$A$1:$R$50</definedName>
    <definedName name="Z_8FC77C99_DBF7_40B8_99B8_01B75826CDCB_.wvu.PrintArea" localSheetId="19" hidden="1">'Rate DS'!$A$1:$R$56</definedName>
    <definedName name="Z_8FC77C99_DBF7_40B8_99B8_01B75826CDCB_.wvu.PrintArea" localSheetId="20" hidden="1">'Rate DS (As-Filed)'!$A$1:$R$56</definedName>
    <definedName name="Z_8FC77C99_DBF7_40B8_99B8_01B75826CDCB_.wvu.PrintArea" localSheetId="21" hidden="1">'Rate DS RTP'!$A$1:$R$43</definedName>
    <definedName name="Z_8FC77C99_DBF7_40B8_99B8_01B75826CDCB_.wvu.PrintArea" localSheetId="22" hidden="1">'Rate DS RTP (As-Filed)'!$A$1:$R$43</definedName>
    <definedName name="Z_8FC77C99_DBF7_40B8_99B8_01B75826CDCB_.wvu.PrintArea" localSheetId="29" hidden="1">'Rate DT RTP-P'!$A$1:$R$41</definedName>
    <definedName name="Z_8FC77C99_DBF7_40B8_99B8_01B75826CDCB_.wvu.PrintArea" localSheetId="30" hidden="1">'Rate DT RTP-S'!$A$1:$R$42</definedName>
    <definedName name="Z_8FC77C99_DBF7_40B8_99B8_01B75826CDCB_.wvu.PrintArea" localSheetId="23" hidden="1">'Rate DT-Pri'!$A$1:$R$67</definedName>
    <definedName name="Z_8FC77C99_DBF7_40B8_99B8_01B75826CDCB_.wvu.PrintArea" localSheetId="24" hidden="1">'Rate DT-Sec'!$A$1:$R$67</definedName>
    <definedName name="Z_8FC77C99_DBF7_40B8_99B8_01B75826CDCB_.wvu.PrintArea" localSheetId="25" hidden="1">'Rate EH'!$A$1:$R$47</definedName>
    <definedName name="Z_8FC77C99_DBF7_40B8_99B8_01B75826CDCB_.wvu.PrintArea" localSheetId="38" hidden="1">'Rate LED'!$T$464:$AQ$602</definedName>
    <definedName name="Z_8FC77C99_DBF7_40B8_99B8_01B75826CDCB_.wvu.PrintArea" localSheetId="35" hidden="1">'Rate NSU'!$A$1:$R$49</definedName>
    <definedName name="Z_8FC77C99_DBF7_40B8_99B8_01B75826CDCB_.wvu.PrintArea" localSheetId="7" hidden="1">'Rate RS'!$A$1:$R$45</definedName>
    <definedName name="Z_8FC77C99_DBF7_40B8_99B8_01B75826CDCB_.wvu.PrintArea" localSheetId="36" hidden="1">'Rate SC'!$A$1:$R$77</definedName>
    <definedName name="Z_8FC77C99_DBF7_40B8_99B8_01B75826CDCB_.wvu.PrintArea" localSheetId="37" hidden="1">'Rate SE'!$A$1:$R$56</definedName>
    <definedName name="Z_8FC77C99_DBF7_40B8_99B8_01B75826CDCB_.wvu.PrintArea" localSheetId="32" hidden="1">'Rate SL'!$T$224:$AQ$298</definedName>
    <definedName name="Z_8FC77C99_DBF7_40B8_99B8_01B75826CDCB_.wvu.PrintArea" localSheetId="26" hidden="1">'Rate SP GSFL'!$A$1:$R$64</definedName>
    <definedName name="Z_8FC77C99_DBF7_40B8_99B8_01B75826CDCB_.wvu.PrintArea" localSheetId="33" hidden="1">'Rate TL'!$A$1:$R$38</definedName>
    <definedName name="Z_8FC77C99_DBF7_40B8_99B8_01B75826CDCB_.wvu.PrintArea" localSheetId="28" hidden="1">'Rate TT'!$A$1:$R$62</definedName>
    <definedName name="Z_8FC77C99_DBF7_40B8_99B8_01B75826CDCB_.wvu.PrintArea" localSheetId="31" hidden="1">'Rate TT RTP'!$A$1:$R$42</definedName>
    <definedName name="Z_8FC77C99_DBF7_40B8_99B8_01B75826CDCB_.wvu.PrintArea" localSheetId="34" hidden="1">'Rate UOLS'!$A$1:$R$32</definedName>
    <definedName name="Z_8FC77C99_DBF7_40B8_99B8_01B75826CDCB_.wvu.PrintArea" localSheetId="3" hidden="1">'SCH M'!$A$1:$K$75</definedName>
    <definedName name="Z_8FC77C99_DBF7_40B8_99B8_01B75826CDCB_.wvu.PrintArea" localSheetId="4" hidden="1">'SCH M-2.1'!$A$1:$T$56</definedName>
    <definedName name="Z_8FC77C99_DBF7_40B8_99B8_01B75826CDCB_.wvu.PrintArea" localSheetId="5" hidden="1">'SCH M-2.2'!$A$1:$X$77</definedName>
    <definedName name="Z_8FC77C99_DBF7_40B8_99B8_01B75826CDCB_.wvu.PrintArea" localSheetId="6" hidden="1">'SCH M-2.3'!$A$1:$R$72</definedName>
    <definedName name="Z_8FC77C99_DBF7_40B8_99B8_01B75826CDCB_.wvu.PrintArea" localSheetId="17" hidden="1">'SCH N'!$A$184:$R$247</definedName>
    <definedName name="Z_8FC77C99_DBF7_40B8_99B8_01B75826CDCB_.wvu.PrintArea" localSheetId="18" hidden="1">'SCH N (As-Filed)'!$A$184:$R$247</definedName>
    <definedName name="Z_F562D92E_120C_4AE9_9663_89E64D41DC53_.wvu.PrintArea" localSheetId="27" hidden="1">'Rate DP'!$A$1:$R$50</definedName>
    <definedName name="Z_F562D92E_120C_4AE9_9663_89E64D41DC53_.wvu.PrintArea" localSheetId="19" hidden="1">'Rate DS'!$A$1:$R$56</definedName>
    <definedName name="Z_F562D92E_120C_4AE9_9663_89E64D41DC53_.wvu.PrintArea" localSheetId="20" hidden="1">'Rate DS (As-Filed)'!$A$1:$R$56</definedName>
    <definedName name="Z_F562D92E_120C_4AE9_9663_89E64D41DC53_.wvu.PrintArea" localSheetId="21" hidden="1">'Rate DS RTP'!$A$1:$R$43</definedName>
    <definedName name="Z_F562D92E_120C_4AE9_9663_89E64D41DC53_.wvu.PrintArea" localSheetId="22" hidden="1">'Rate DS RTP (As-Filed)'!$A$1:$R$43</definedName>
    <definedName name="Z_F562D92E_120C_4AE9_9663_89E64D41DC53_.wvu.PrintArea" localSheetId="29" hidden="1">'Rate DT RTP-P'!$A$1:$R$41</definedName>
    <definedName name="Z_F562D92E_120C_4AE9_9663_89E64D41DC53_.wvu.PrintArea" localSheetId="30" hidden="1">'Rate DT RTP-S'!$A$1:$R$42</definedName>
    <definedName name="Z_F562D92E_120C_4AE9_9663_89E64D41DC53_.wvu.PrintArea" localSheetId="23" hidden="1">'Rate DT-Pri'!$A$1:$R$67</definedName>
    <definedName name="Z_F562D92E_120C_4AE9_9663_89E64D41DC53_.wvu.PrintArea" localSheetId="24" hidden="1">'Rate DT-Sec'!$A$1:$R$67</definedName>
    <definedName name="Z_F562D92E_120C_4AE9_9663_89E64D41DC53_.wvu.PrintArea" localSheetId="25" hidden="1">'Rate EH'!$A$1:$R$47</definedName>
    <definedName name="Z_F562D92E_120C_4AE9_9663_89E64D41DC53_.wvu.PrintArea" localSheetId="38" hidden="1">'Rate LED'!$A$112:$R$348</definedName>
    <definedName name="Z_F562D92E_120C_4AE9_9663_89E64D41DC53_.wvu.PrintArea" localSheetId="35" hidden="1">'Rate NSU'!$A$1:$R$49</definedName>
    <definedName name="Z_F562D92E_120C_4AE9_9663_89E64D41DC53_.wvu.PrintArea" localSheetId="7" hidden="1">'Rate RS'!$A$1:$R$45</definedName>
    <definedName name="Z_F562D92E_120C_4AE9_9663_89E64D41DC53_.wvu.PrintArea" localSheetId="36" hidden="1">'Rate SC'!$A$1:$R$77</definedName>
    <definedName name="Z_F562D92E_120C_4AE9_9663_89E64D41DC53_.wvu.PrintArea" localSheetId="37" hidden="1">'Rate SE'!$A$1:$R$56</definedName>
    <definedName name="Z_F562D92E_120C_4AE9_9663_89E64D41DC53_.wvu.PrintArea" localSheetId="32" hidden="1">'Rate SL'!$A$70:$R$151</definedName>
    <definedName name="Z_F562D92E_120C_4AE9_9663_89E64D41DC53_.wvu.PrintArea" localSheetId="26" hidden="1">'Rate SP GSFL'!$A$1:$R$64</definedName>
    <definedName name="Z_F562D92E_120C_4AE9_9663_89E64D41DC53_.wvu.PrintArea" localSheetId="33" hidden="1">'Rate TL'!$A$1:$R$38</definedName>
    <definedName name="Z_F562D92E_120C_4AE9_9663_89E64D41DC53_.wvu.PrintArea" localSheetId="28" hidden="1">'Rate TT'!$A$1:$R$62</definedName>
    <definedName name="Z_F562D92E_120C_4AE9_9663_89E64D41DC53_.wvu.PrintArea" localSheetId="31" hidden="1">'Rate TT RTP'!$A$1:$R$42</definedName>
    <definedName name="Z_F562D92E_120C_4AE9_9663_89E64D41DC53_.wvu.PrintArea" localSheetId="34" hidden="1">'Rate UOLS'!$A$1:$R$32</definedName>
    <definedName name="Z_F562D92E_120C_4AE9_9663_89E64D41DC53_.wvu.PrintArea" localSheetId="3" hidden="1">'SCH M'!$A$1:$O$71</definedName>
    <definedName name="Z_F562D92E_120C_4AE9_9663_89E64D41DC53_.wvu.PrintArea" localSheetId="4" hidden="1">'SCH M-2.1'!$A$1:$T$56</definedName>
    <definedName name="Z_F562D92E_120C_4AE9_9663_89E64D41DC53_.wvu.PrintArea" localSheetId="5" hidden="1">'SCH M-2.2'!$A$1:$X$77</definedName>
    <definedName name="Z_F562D92E_120C_4AE9_9663_89E64D41DC53_.wvu.PrintArea" localSheetId="6" hidden="1">'SCH M-2.3'!$A$1:$R$72</definedName>
    <definedName name="Z_F562D92E_120C_4AE9_9663_89E64D41DC53_.wvu.PrintArea" localSheetId="17" hidden="1">'SCH N'!$A$184:$R$247</definedName>
    <definedName name="Z_F562D92E_120C_4AE9_9663_89E64D41DC53_.wvu.PrintArea" localSheetId="18" hidden="1">'SCH N (As-Filed)'!$A$184:$R$247</definedName>
  </definedNames>
  <calcPr calcId="191029" iterate="1"/>
  <customWorkbookViews>
    <customWorkbookView name="ramshof - Personal View" guid="{F562D92E-120C-4AE9-9663-89E64D41DC53}" mergeInterval="0" personalView="1" maximized="1" xWindow="1" yWindow="1" windowWidth="1280" windowHeight="806" tabRatio="599" activeSheetId="1"/>
    <customWorkbookView name="Administrator - Personal View" guid="{35F19056-2E6F-4935-B863-78836FE990BF}" mergeInterval="0" personalView="1" maximized="1" windowWidth="1020" windowHeight="605" tabRatio="599" activeSheetId="3"/>
    <customWorkbookView name="t93779 - Personal View" guid="{18BDED73-BFA0-442E-87EC-CED86EE4CF94}" mergeInterval="0" personalView="1" maximized="1" windowWidth="1276" windowHeight="862" tabRatio="599" activeSheetId="3"/>
    <customWorkbookView name="rhe - Personal View" guid="{0BC1F393-8A13-47D5-BC6C-0C99615B5AB9}" mergeInterval="0" personalView="1" maximized="1" windowWidth="1276" windowHeight="915" tabRatio="599" activeSheetId="3"/>
    <customWorkbookView name="bjb - Personal View" guid="{6B3D5C27-2FDE-4561-9575-1E98BFB869D0}" mergeInterval="0" personalView="1" maximized="1" windowWidth="1266" windowHeight="878" tabRatio="599" activeSheetId="8"/>
    <customWorkbookView name="Bass Chaser - Personal View" guid="{8FB94551-8874-4095-B8FB-5316E0D2FD2C}" mergeInterval="0" personalView="1" maximized="1" windowWidth="1020" windowHeight="659" tabRatio="599" activeSheetId="1"/>
    <customWorkbookView name="t01869 - Personal View" guid="{8FC77C99-DBF7-40B8-99B8-01B75826CDCB}" mergeInterval="0" personalView="1" maximized="1" windowWidth="1020" windowHeight="651" tabRatio="599" activeSheetId="2" showStatusbar="0"/>
    <customWorkbookView name="Jeff Pipher - Personal View" guid="{2EA35095-1ADC-4CC7-8C3C-B487D65FA247}" mergeInterval="0" personalView="1" xWindow="5" yWindow="29" windowWidth="684" windowHeight="318" tabRatio="599" activeSheetId="13"/>
    <customWorkbookView name="Brad Beagle - Personal View" guid="{2431C9E5-7CC2-4B8D-99C3-962247B1DBF5}" mergeInterval="0" personalView="1" maximized="1" windowWidth="1271" windowHeight="897" tabRatio="599" activeSheetId="3"/>
    <customWorkbookView name="Mark E. Musick - Personal View" guid="{4BC93440-BA85-4935-A8C9-66DC6AE5DE5E}" mergeInterval="0" personalView="1" maximized="1" windowWidth="796" windowHeight="439" tabRatio="599" activeSheetId="7"/>
    <customWorkbookView name="Donald J. Rottinghaus - Personal View" guid="{0C49E549-011E-46F4-A82E-2CC8951A9C1E}" mergeInterval="0" personalView="1" maximized="1" windowWidth="1276" windowHeight="763" tabRatio="599" activeSheetId="4"/>
    <customWorkbookView name="Jeffrey R. Bailey - Personal View" guid="{195DF303-1BBD-4236-94B5-47432850B006}" mergeInterval="0" personalView="1" maximized="1" windowWidth="1020" windowHeight="550" tabRatio="59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3" l="1"/>
  <c r="C8" i="53"/>
  <c r="C9" i="53"/>
  <c r="C6" i="53"/>
  <c r="B7" i="53"/>
  <c r="B8" i="53"/>
  <c r="B9" i="53"/>
  <c r="B6" i="53"/>
  <c r="C14" i="47"/>
  <c r="C13" i="47"/>
  <c r="C12" i="47"/>
  <c r="C10" i="47"/>
  <c r="C9" i="47"/>
  <c r="C7" i="47"/>
  <c r="C6" i="47"/>
  <c r="C13" i="44"/>
  <c r="C14" i="44"/>
  <c r="C12" i="44"/>
  <c r="C10" i="44"/>
  <c r="C9" i="44"/>
  <c r="C7" i="44"/>
  <c r="C6" i="44"/>
  <c r="W37" i="8"/>
  <c r="U40" i="8"/>
  <c r="U39" i="8"/>
  <c r="U38" i="8"/>
  <c r="U37" i="8"/>
  <c r="U36" i="8"/>
  <c r="U35" i="8"/>
  <c r="U32" i="8"/>
  <c r="E23" i="51" l="1"/>
  <c r="E52" i="51" s="1"/>
  <c r="E23" i="49"/>
  <c r="E52" i="49" s="1"/>
  <c r="B8" i="52" l="1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7" i="52"/>
  <c r="A23" i="52"/>
  <c r="A24" i="52"/>
  <c r="A25" i="52"/>
  <c r="A26" i="52"/>
  <c r="A2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7" i="52"/>
  <c r="C12" i="51"/>
  <c r="C38" i="51" s="1"/>
  <c r="D22" i="51"/>
  <c r="D33" i="51" s="1"/>
  <c r="C22" i="51"/>
  <c r="D16" i="51"/>
  <c r="D47" i="51" s="1"/>
  <c r="C15" i="51"/>
  <c r="C47" i="51" s="1"/>
  <c r="C16" i="51"/>
  <c r="C48" i="51" s="1"/>
  <c r="C17" i="51"/>
  <c r="C49" i="51" s="1"/>
  <c r="C18" i="51"/>
  <c r="C50" i="51" s="1"/>
  <c r="C14" i="51"/>
  <c r="C46" i="51" s="1"/>
  <c r="D12" i="51"/>
  <c r="D38" i="51" s="1"/>
  <c r="D11" i="51"/>
  <c r="D37" i="51" s="1"/>
  <c r="C11" i="51"/>
  <c r="D8" i="51"/>
  <c r="D31" i="51" s="1"/>
  <c r="D9" i="51"/>
  <c r="D32" i="51" s="1"/>
  <c r="D7" i="51"/>
  <c r="D30" i="51" s="1"/>
  <c r="C8" i="51"/>
  <c r="C31" i="51" s="1"/>
  <c r="C9" i="51"/>
  <c r="C32" i="51" s="1"/>
  <c r="C7" i="51"/>
  <c r="C30" i="51" s="1"/>
  <c r="D52" i="49"/>
  <c r="C52" i="49"/>
  <c r="D22" i="49"/>
  <c r="D33" i="49" s="1"/>
  <c r="C22" i="49"/>
  <c r="E22" i="49" s="1"/>
  <c r="D20" i="49"/>
  <c r="D51" i="49" s="1"/>
  <c r="D18" i="49"/>
  <c r="C18" i="49"/>
  <c r="C42" i="49" s="1"/>
  <c r="D17" i="49"/>
  <c r="C17" i="49"/>
  <c r="C41" i="49" s="1"/>
  <c r="D16" i="49"/>
  <c r="D50" i="49" s="1"/>
  <c r="C16" i="49"/>
  <c r="C48" i="49" s="1"/>
  <c r="D15" i="49"/>
  <c r="C15" i="49"/>
  <c r="C40" i="49" s="1"/>
  <c r="D14" i="49"/>
  <c r="C14" i="49"/>
  <c r="C39" i="49" s="1"/>
  <c r="D12" i="49"/>
  <c r="D38" i="49" s="1"/>
  <c r="D11" i="49"/>
  <c r="D37" i="49" s="1"/>
  <c r="C12" i="49"/>
  <c r="C38" i="49" s="1"/>
  <c r="C11" i="49"/>
  <c r="C37" i="49" s="1"/>
  <c r="D8" i="49"/>
  <c r="D31" i="49" s="1"/>
  <c r="D9" i="49"/>
  <c r="D32" i="49" s="1"/>
  <c r="D7" i="49"/>
  <c r="D30" i="49" s="1"/>
  <c r="C8" i="49"/>
  <c r="C31" i="49" s="1"/>
  <c r="C9" i="49"/>
  <c r="C32" i="49" s="1"/>
  <c r="C7" i="49"/>
  <c r="C30" i="49" s="1"/>
  <c r="E38" i="51" l="1"/>
  <c r="D50" i="51"/>
  <c r="E50" i="51" s="1"/>
  <c r="E16" i="51"/>
  <c r="D49" i="51"/>
  <c r="E49" i="51" s="1"/>
  <c r="E32" i="51"/>
  <c r="E12" i="51"/>
  <c r="C41" i="51"/>
  <c r="E7" i="51"/>
  <c r="E31" i="51"/>
  <c r="D46" i="49"/>
  <c r="D49" i="49"/>
  <c r="C47" i="49"/>
  <c r="D47" i="49"/>
  <c r="E47" i="49" s="1"/>
  <c r="D48" i="49"/>
  <c r="E48" i="49" s="1"/>
  <c r="C46" i="49"/>
  <c r="E46" i="49" s="1"/>
  <c r="C50" i="49"/>
  <c r="E50" i="49" s="1"/>
  <c r="C49" i="49"/>
  <c r="E49" i="49" s="1"/>
  <c r="D48" i="51"/>
  <c r="E48" i="51" s="1"/>
  <c r="E22" i="51"/>
  <c r="C33" i="51"/>
  <c r="E33" i="51" s="1"/>
  <c r="D46" i="51"/>
  <c r="E46" i="51" s="1"/>
  <c r="E47" i="51"/>
  <c r="C40" i="51"/>
  <c r="E11" i="51"/>
  <c r="C37" i="51"/>
  <c r="E37" i="51" s="1"/>
  <c r="E30" i="51"/>
  <c r="E8" i="51"/>
  <c r="E9" i="51"/>
  <c r="C42" i="51"/>
  <c r="C39" i="51"/>
  <c r="D40" i="49"/>
  <c r="E40" i="49" s="1"/>
  <c r="D41" i="49"/>
  <c r="E41" i="49" s="1"/>
  <c r="D42" i="49"/>
  <c r="E42" i="49" s="1"/>
  <c r="D39" i="49"/>
  <c r="E39" i="49" s="1"/>
  <c r="C33" i="49"/>
  <c r="E33" i="49" s="1"/>
  <c r="E31" i="49"/>
  <c r="E30" i="49"/>
  <c r="E32" i="49"/>
  <c r="E7" i="49"/>
  <c r="E9" i="49"/>
  <c r="E16" i="49"/>
  <c r="E8" i="49"/>
  <c r="E17" i="49"/>
  <c r="E20" i="49"/>
  <c r="E18" i="49"/>
  <c r="E15" i="49"/>
  <c r="E12" i="49"/>
  <c r="E37" i="49"/>
  <c r="E38" i="49"/>
  <c r="E11" i="49"/>
  <c r="E14" i="49"/>
  <c r="E34" i="51" l="1"/>
  <c r="E51" i="49"/>
  <c r="E53" i="49" s="1"/>
  <c r="E34" i="49"/>
  <c r="E43" i="49"/>
  <c r="E25" i="49"/>
  <c r="E55" i="49" l="1"/>
  <c r="J30" i="8"/>
  <c r="J26" i="8"/>
  <c r="U54" i="43"/>
  <c r="U53" i="43"/>
  <c r="S36" i="41" l="1"/>
  <c r="J36" i="8" s="1"/>
  <c r="S35" i="41"/>
  <c r="J35" i="8" s="1"/>
  <c r="D9" i="47"/>
  <c r="D7" i="47"/>
  <c r="D6" i="47"/>
  <c r="D14" i="44"/>
  <c r="E14" i="44" s="1"/>
  <c r="D13" i="44"/>
  <c r="E13" i="44" s="1"/>
  <c r="D12" i="44"/>
  <c r="E12" i="44" s="1"/>
  <c r="D10" i="44"/>
  <c r="E10" i="44" s="1"/>
  <c r="D9" i="44"/>
  <c r="D7" i="44"/>
  <c r="E7" i="44" s="1"/>
  <c r="D6" i="44"/>
  <c r="E6" i="44" s="1"/>
  <c r="C7" i="45"/>
  <c r="C8" i="45"/>
  <c r="C6" i="45"/>
  <c r="C1029" i="46"/>
  <c r="C1027" i="46"/>
  <c r="C1026" i="46"/>
  <c r="C1025" i="46"/>
  <c r="C1022" i="46"/>
  <c r="C1021" i="46"/>
  <c r="C1020" i="46"/>
  <c r="C1017" i="46"/>
  <c r="F1016" i="46"/>
  <c r="C1016" i="46"/>
  <c r="C1015" i="46"/>
  <c r="C1014" i="46"/>
  <c r="K1013" i="46"/>
  <c r="C1013" i="46"/>
  <c r="C1012" i="46"/>
  <c r="C1011" i="46"/>
  <c r="C1007" i="46"/>
  <c r="F1006" i="46"/>
  <c r="C1006" i="46"/>
  <c r="C1005" i="46"/>
  <c r="C1002" i="46"/>
  <c r="C1001" i="46"/>
  <c r="C1000" i="46"/>
  <c r="C999" i="46"/>
  <c r="C998" i="46"/>
  <c r="C997" i="46"/>
  <c r="I995" i="46"/>
  <c r="H995" i="46"/>
  <c r="G995" i="46"/>
  <c r="F994" i="46"/>
  <c r="A990" i="46"/>
  <c r="J989" i="46"/>
  <c r="A989" i="46"/>
  <c r="J988" i="46"/>
  <c r="A988" i="46"/>
  <c r="J987" i="46"/>
  <c r="J986" i="46"/>
  <c r="A986" i="46"/>
  <c r="K817" i="46"/>
  <c r="K764" i="46" s="1"/>
  <c r="J817" i="46"/>
  <c r="J764" i="46" s="1"/>
  <c r="I817" i="46"/>
  <c r="I764" i="46" s="1"/>
  <c r="H817" i="46"/>
  <c r="H764" i="46" s="1"/>
  <c r="G817" i="46"/>
  <c r="G764" i="46" s="1"/>
  <c r="C817" i="46"/>
  <c r="K816" i="46"/>
  <c r="J816" i="46"/>
  <c r="I816" i="46"/>
  <c r="H816" i="46"/>
  <c r="G816" i="46"/>
  <c r="F816" i="46"/>
  <c r="C816" i="46"/>
  <c r="K815" i="46"/>
  <c r="J815" i="46"/>
  <c r="I815" i="46"/>
  <c r="I1013" i="46" s="1"/>
  <c r="H815" i="46"/>
  <c r="H1013" i="46" s="1"/>
  <c r="G815" i="46"/>
  <c r="G1013" i="46" s="1"/>
  <c r="F815" i="46"/>
  <c r="F1013" i="46" s="1"/>
  <c r="C815" i="46"/>
  <c r="K814" i="46"/>
  <c r="J814" i="46"/>
  <c r="I814" i="46"/>
  <c r="H814" i="46"/>
  <c r="G814" i="46"/>
  <c r="C814" i="46"/>
  <c r="C811" i="46"/>
  <c r="C810" i="46"/>
  <c r="C809" i="46"/>
  <c r="C808" i="46"/>
  <c r="C807" i="46"/>
  <c r="C806" i="46"/>
  <c r="F803" i="46"/>
  <c r="C803" i="46"/>
  <c r="F802" i="46"/>
  <c r="C802" i="46"/>
  <c r="F801" i="46"/>
  <c r="C801" i="46"/>
  <c r="F800" i="46"/>
  <c r="C800" i="46"/>
  <c r="F799" i="46"/>
  <c r="C799" i="46"/>
  <c r="C796" i="46"/>
  <c r="G795" i="46"/>
  <c r="F810" i="46" s="1"/>
  <c r="F795" i="46"/>
  <c r="C795" i="46"/>
  <c r="F794" i="46"/>
  <c r="G794" i="46" s="1"/>
  <c r="F809" i="46" s="1"/>
  <c r="C794" i="46"/>
  <c r="F793" i="46"/>
  <c r="F796" i="46" s="1"/>
  <c r="C793" i="46"/>
  <c r="F792" i="46"/>
  <c r="G792" i="46" s="1"/>
  <c r="F807" i="46" s="1"/>
  <c r="C792" i="46"/>
  <c r="F791" i="46"/>
  <c r="G791" i="46" s="1"/>
  <c r="C791" i="46"/>
  <c r="I788" i="46"/>
  <c r="H788" i="46"/>
  <c r="G788" i="46"/>
  <c r="I787" i="46"/>
  <c r="H787" i="46"/>
  <c r="G787" i="46"/>
  <c r="F787" i="46"/>
  <c r="A783" i="46"/>
  <c r="J782" i="46"/>
  <c r="A782" i="46"/>
  <c r="J781" i="46"/>
  <c r="A781" i="46"/>
  <c r="J780" i="46"/>
  <c r="A780" i="46"/>
  <c r="J779" i="46"/>
  <c r="A779" i="46"/>
  <c r="G777" i="46"/>
  <c r="G776" i="46"/>
  <c r="K772" i="46"/>
  <c r="I772" i="46"/>
  <c r="H772" i="46"/>
  <c r="G772" i="46"/>
  <c r="J772" i="46" s="1"/>
  <c r="F772" i="46"/>
  <c r="C770" i="46"/>
  <c r="F769" i="46"/>
  <c r="C767" i="46"/>
  <c r="C766" i="46"/>
  <c r="C765" i="46"/>
  <c r="F764" i="46"/>
  <c r="C764" i="46"/>
  <c r="C762" i="46"/>
  <c r="I761" i="46"/>
  <c r="H761" i="46"/>
  <c r="G761" i="46"/>
  <c r="J761" i="46" s="1"/>
  <c r="F761" i="46"/>
  <c r="K761" i="46" s="1"/>
  <c r="C761" i="46"/>
  <c r="C760" i="46"/>
  <c r="C758" i="46"/>
  <c r="C757" i="46"/>
  <c r="C756" i="46"/>
  <c r="C755" i="46"/>
  <c r="C753" i="46"/>
  <c r="G750" i="46"/>
  <c r="C750" i="46"/>
  <c r="I749" i="46"/>
  <c r="H749" i="46"/>
  <c r="G749" i="46"/>
  <c r="F749" i="46"/>
  <c r="D749" i="46"/>
  <c r="C749" i="46"/>
  <c r="J748" i="46"/>
  <c r="K748" i="46" s="1"/>
  <c r="I748" i="46"/>
  <c r="H748" i="46"/>
  <c r="G748" i="46"/>
  <c r="F748" i="46"/>
  <c r="D748" i="46"/>
  <c r="C748" i="46"/>
  <c r="I747" i="46"/>
  <c r="H747" i="46"/>
  <c r="G747" i="46"/>
  <c r="F747" i="46"/>
  <c r="D747" i="46"/>
  <c r="C747" i="46"/>
  <c r="I746" i="46"/>
  <c r="J746" i="46" s="1"/>
  <c r="K746" i="46" s="1"/>
  <c r="H746" i="46"/>
  <c r="G746" i="46"/>
  <c r="F746" i="46"/>
  <c r="D746" i="46"/>
  <c r="C746" i="46"/>
  <c r="I745" i="46"/>
  <c r="H745" i="46"/>
  <c r="G745" i="46"/>
  <c r="F745" i="46"/>
  <c r="D745" i="46"/>
  <c r="C745" i="46"/>
  <c r="I744" i="46"/>
  <c r="H744" i="46"/>
  <c r="J744" i="46" s="1"/>
  <c r="K744" i="46" s="1"/>
  <c r="G744" i="46"/>
  <c r="F744" i="46"/>
  <c r="D744" i="46"/>
  <c r="C744" i="46"/>
  <c r="I743" i="46"/>
  <c r="J743" i="46" s="1"/>
  <c r="K743" i="46" s="1"/>
  <c r="H743" i="46"/>
  <c r="G743" i="46"/>
  <c r="F743" i="46"/>
  <c r="D743" i="46"/>
  <c r="C743" i="46"/>
  <c r="I742" i="46"/>
  <c r="H742" i="46"/>
  <c r="G742" i="46"/>
  <c r="F742" i="46"/>
  <c r="D742" i="46"/>
  <c r="C742" i="46"/>
  <c r="I740" i="46"/>
  <c r="H740" i="46"/>
  <c r="G740" i="46"/>
  <c r="I739" i="46"/>
  <c r="H739" i="46"/>
  <c r="G739" i="46"/>
  <c r="F739" i="46"/>
  <c r="A735" i="46"/>
  <c r="J734" i="46"/>
  <c r="A734" i="46"/>
  <c r="J733" i="46"/>
  <c r="A733" i="46"/>
  <c r="J732" i="46"/>
  <c r="J731" i="46"/>
  <c r="A731" i="46"/>
  <c r="K729" i="46"/>
  <c r="K775" i="46" s="1"/>
  <c r="J729" i="46"/>
  <c r="J775" i="46" s="1"/>
  <c r="I729" i="46"/>
  <c r="I775" i="46" s="1"/>
  <c r="H729" i="46"/>
  <c r="H775" i="46" s="1"/>
  <c r="G729" i="46"/>
  <c r="G775" i="46" s="1"/>
  <c r="F729" i="46"/>
  <c r="F775" i="46" s="1"/>
  <c r="I726" i="46"/>
  <c r="H726" i="46"/>
  <c r="G726" i="46"/>
  <c r="F726" i="46"/>
  <c r="K726" i="46" s="1"/>
  <c r="I721" i="46"/>
  <c r="H721" i="46"/>
  <c r="G721" i="46"/>
  <c r="F721" i="46"/>
  <c r="K719" i="46"/>
  <c r="I719" i="46"/>
  <c r="H719" i="46"/>
  <c r="G719" i="46"/>
  <c r="F719" i="46"/>
  <c r="G716" i="46"/>
  <c r="F716" i="46"/>
  <c r="I715" i="46"/>
  <c r="G707" i="46"/>
  <c r="G669" i="46" s="1"/>
  <c r="H705" i="46"/>
  <c r="G705" i="46"/>
  <c r="F705" i="46"/>
  <c r="I704" i="46"/>
  <c r="I705" i="46" s="1"/>
  <c r="H704" i="46"/>
  <c r="G704" i="46"/>
  <c r="J704" i="46" s="1"/>
  <c r="J705" i="46" s="1"/>
  <c r="J726" i="46" s="1"/>
  <c r="F704" i="46"/>
  <c r="D704" i="46"/>
  <c r="I701" i="46"/>
  <c r="I707" i="46" s="1"/>
  <c r="H701" i="46"/>
  <c r="G701" i="46"/>
  <c r="F701" i="46"/>
  <c r="F707" i="46" s="1"/>
  <c r="F669" i="46" s="1"/>
  <c r="J700" i="46"/>
  <c r="I700" i="46"/>
  <c r="H700" i="46"/>
  <c r="G700" i="46"/>
  <c r="F700" i="46"/>
  <c r="D700" i="46"/>
  <c r="I696" i="46"/>
  <c r="I714" i="46" s="1"/>
  <c r="H696" i="46"/>
  <c r="H714" i="46" s="1"/>
  <c r="G696" i="46"/>
  <c r="G714" i="46" s="1"/>
  <c r="I695" i="46"/>
  <c r="H695" i="46"/>
  <c r="G695" i="46"/>
  <c r="F695" i="46"/>
  <c r="D695" i="46"/>
  <c r="I694" i="46"/>
  <c r="H694" i="46"/>
  <c r="G694" i="46"/>
  <c r="J694" i="46" s="1"/>
  <c r="F694" i="46"/>
  <c r="F696" i="46" s="1"/>
  <c r="F714" i="46" s="1"/>
  <c r="D694" i="46"/>
  <c r="I692" i="46"/>
  <c r="H692" i="46"/>
  <c r="G692" i="46"/>
  <c r="I691" i="46"/>
  <c r="H691" i="46"/>
  <c r="G691" i="46"/>
  <c r="A687" i="46"/>
  <c r="J686" i="46"/>
  <c r="A686" i="46"/>
  <c r="J685" i="46"/>
  <c r="A685" i="46"/>
  <c r="J684" i="46"/>
  <c r="J683" i="46"/>
  <c r="A683" i="46"/>
  <c r="C681" i="46"/>
  <c r="I680" i="46"/>
  <c r="I681" i="46" s="1"/>
  <c r="H680" i="46"/>
  <c r="H681" i="46" s="1"/>
  <c r="G680" i="46"/>
  <c r="G681" i="46" s="1"/>
  <c r="F680" i="46"/>
  <c r="F681" i="46" s="1"/>
  <c r="C680" i="46"/>
  <c r="C676" i="46"/>
  <c r="C675" i="46"/>
  <c r="I674" i="46"/>
  <c r="H674" i="46"/>
  <c r="G674" i="46"/>
  <c r="J674" i="46" s="1"/>
  <c r="J680" i="46" s="1"/>
  <c r="J681" i="46" s="1"/>
  <c r="F674" i="46"/>
  <c r="C674" i="46"/>
  <c r="K673" i="46"/>
  <c r="I673" i="46"/>
  <c r="H673" i="46"/>
  <c r="G673" i="46"/>
  <c r="F673" i="46"/>
  <c r="C673" i="46"/>
  <c r="C671" i="46"/>
  <c r="I669" i="46"/>
  <c r="C668" i="46"/>
  <c r="C667" i="46"/>
  <c r="C663" i="46"/>
  <c r="C662" i="46"/>
  <c r="C661" i="46"/>
  <c r="F658" i="46"/>
  <c r="F1021" i="46" s="1"/>
  <c r="C658" i="46"/>
  <c r="J657" i="46"/>
  <c r="K657" i="46" s="1"/>
  <c r="I657" i="46"/>
  <c r="H657" i="46"/>
  <c r="G657" i="46"/>
  <c r="F657" i="46"/>
  <c r="D657" i="46"/>
  <c r="C657" i="46"/>
  <c r="I656" i="46"/>
  <c r="H656" i="46"/>
  <c r="H658" i="46" s="1"/>
  <c r="H1021" i="46" s="1"/>
  <c r="G656" i="46"/>
  <c r="F656" i="46"/>
  <c r="D656" i="46"/>
  <c r="C656" i="46"/>
  <c r="H653" i="46"/>
  <c r="H662" i="46" s="1"/>
  <c r="G653" i="46"/>
  <c r="F653" i="46"/>
  <c r="C653" i="46"/>
  <c r="J652" i="46"/>
  <c r="J653" i="46" s="1"/>
  <c r="I652" i="46"/>
  <c r="I653" i="46" s="1"/>
  <c r="H652" i="46"/>
  <c r="G652" i="46"/>
  <c r="F652" i="46"/>
  <c r="D652" i="46"/>
  <c r="C652" i="46"/>
  <c r="G649" i="46"/>
  <c r="C649" i="46"/>
  <c r="I648" i="46"/>
  <c r="H648" i="46"/>
  <c r="G648" i="46"/>
  <c r="J648" i="46" s="1"/>
  <c r="K648" i="46" s="1"/>
  <c r="F648" i="46"/>
  <c r="D648" i="46"/>
  <c r="C648" i="46"/>
  <c r="I647" i="46"/>
  <c r="H647" i="46"/>
  <c r="J647" i="46" s="1"/>
  <c r="G647" i="46"/>
  <c r="F647" i="46"/>
  <c r="K647" i="46" s="1"/>
  <c r="D647" i="46"/>
  <c r="C647" i="46"/>
  <c r="I646" i="46"/>
  <c r="I649" i="46" s="1"/>
  <c r="H646" i="46"/>
  <c r="H649" i="46" s="1"/>
  <c r="G646" i="46"/>
  <c r="F646" i="46"/>
  <c r="D646" i="46"/>
  <c r="C646" i="46"/>
  <c r="I645" i="46"/>
  <c r="H645" i="46"/>
  <c r="G645" i="46"/>
  <c r="J645" i="46" s="1"/>
  <c r="F645" i="46"/>
  <c r="D645" i="46"/>
  <c r="C645" i="46"/>
  <c r="I644" i="46"/>
  <c r="H644" i="46"/>
  <c r="J644" i="46" s="1"/>
  <c r="G644" i="46"/>
  <c r="F644" i="46"/>
  <c r="D644" i="46"/>
  <c r="C644" i="46"/>
  <c r="C639" i="46"/>
  <c r="I638" i="46"/>
  <c r="H638" i="46"/>
  <c r="G638" i="46"/>
  <c r="J638" i="46" s="1"/>
  <c r="F638" i="46"/>
  <c r="K638" i="46" s="1"/>
  <c r="D638" i="46"/>
  <c r="C638" i="46"/>
  <c r="J637" i="46"/>
  <c r="K637" i="46" s="1"/>
  <c r="I637" i="46"/>
  <c r="I639" i="46" s="1"/>
  <c r="H637" i="46"/>
  <c r="G637" i="46"/>
  <c r="F637" i="46"/>
  <c r="D637" i="46"/>
  <c r="C637" i="46"/>
  <c r="I636" i="46"/>
  <c r="H636" i="46"/>
  <c r="H639" i="46" s="1"/>
  <c r="H1006" i="46" s="1"/>
  <c r="G636" i="46"/>
  <c r="F636" i="46"/>
  <c r="F639" i="46" s="1"/>
  <c r="D636" i="46"/>
  <c r="C636" i="46"/>
  <c r="I633" i="46"/>
  <c r="I1005" i="46" s="1"/>
  <c r="F633" i="46"/>
  <c r="F1005" i="46" s="1"/>
  <c r="C633" i="46"/>
  <c r="I632" i="46"/>
  <c r="H632" i="46"/>
  <c r="H633" i="46" s="1"/>
  <c r="H1005" i="46" s="1"/>
  <c r="G632" i="46"/>
  <c r="F632" i="46"/>
  <c r="D632" i="46"/>
  <c r="C632" i="46"/>
  <c r="I629" i="46"/>
  <c r="H629" i="46"/>
  <c r="G629" i="46"/>
  <c r="I628" i="46"/>
  <c r="H628" i="46"/>
  <c r="G628" i="46"/>
  <c r="F628" i="46"/>
  <c r="A624" i="46"/>
  <c r="J623" i="46"/>
  <c r="A623" i="46"/>
  <c r="J622" i="46"/>
  <c r="A622" i="46"/>
  <c r="J621" i="46"/>
  <c r="A621" i="46"/>
  <c r="J620" i="46"/>
  <c r="A620" i="46"/>
  <c r="C618" i="46"/>
  <c r="C617" i="46"/>
  <c r="C616" i="46"/>
  <c r="C615" i="46"/>
  <c r="H610" i="46"/>
  <c r="C610" i="46"/>
  <c r="J609" i="46"/>
  <c r="K609" i="46" s="1"/>
  <c r="I609" i="46"/>
  <c r="H609" i="46"/>
  <c r="G609" i="46"/>
  <c r="F609" i="46"/>
  <c r="D609" i="46"/>
  <c r="C609" i="46"/>
  <c r="J608" i="46"/>
  <c r="J610" i="46" s="1"/>
  <c r="I608" i="46"/>
  <c r="H608" i="46"/>
  <c r="G608" i="46"/>
  <c r="F608" i="46"/>
  <c r="D608" i="46"/>
  <c r="C608" i="46"/>
  <c r="C605" i="46"/>
  <c r="I604" i="46"/>
  <c r="H604" i="46"/>
  <c r="G604" i="46"/>
  <c r="J604" i="46" s="1"/>
  <c r="F604" i="46"/>
  <c r="D604" i="46"/>
  <c r="C604" i="46"/>
  <c r="I603" i="46"/>
  <c r="H603" i="46"/>
  <c r="G603" i="46"/>
  <c r="F603" i="46"/>
  <c r="D603" i="46"/>
  <c r="C603" i="46"/>
  <c r="I602" i="46"/>
  <c r="H602" i="46"/>
  <c r="G602" i="46"/>
  <c r="J602" i="46" s="1"/>
  <c r="F602" i="46"/>
  <c r="D602" i="46"/>
  <c r="C602" i="46"/>
  <c r="J601" i="46"/>
  <c r="I601" i="46"/>
  <c r="H601" i="46"/>
  <c r="G601" i="46"/>
  <c r="F601" i="46"/>
  <c r="D601" i="46"/>
  <c r="C601" i="46"/>
  <c r="I598" i="46"/>
  <c r="F598" i="46"/>
  <c r="C598" i="46"/>
  <c r="I597" i="46"/>
  <c r="H597" i="46"/>
  <c r="G597" i="46"/>
  <c r="F597" i="46"/>
  <c r="D597" i="46"/>
  <c r="C597" i="46"/>
  <c r="I596" i="46"/>
  <c r="J596" i="46" s="1"/>
  <c r="H596" i="46"/>
  <c r="H598" i="46" s="1"/>
  <c r="G596" i="46"/>
  <c r="G598" i="46" s="1"/>
  <c r="F596" i="46"/>
  <c r="K596" i="46" s="1"/>
  <c r="D596" i="46"/>
  <c r="C596" i="46"/>
  <c r="I593" i="46"/>
  <c r="H593" i="46"/>
  <c r="G593" i="46"/>
  <c r="I592" i="46"/>
  <c r="H592" i="46"/>
  <c r="G592" i="46"/>
  <c r="F592" i="46"/>
  <c r="A588" i="46"/>
  <c r="J587" i="46"/>
  <c r="A587" i="46"/>
  <c r="J586" i="46"/>
  <c r="A586" i="46"/>
  <c r="J585" i="46"/>
  <c r="A585" i="46"/>
  <c r="J584" i="46"/>
  <c r="A584" i="46"/>
  <c r="H582" i="46"/>
  <c r="C579" i="46"/>
  <c r="I578" i="46"/>
  <c r="I579" i="46" s="1"/>
  <c r="I582" i="46" s="1"/>
  <c r="H578" i="46"/>
  <c r="H579" i="46" s="1"/>
  <c r="G578" i="46"/>
  <c r="F578" i="46"/>
  <c r="D578" i="46"/>
  <c r="C578" i="46"/>
  <c r="I575" i="46"/>
  <c r="H575" i="46"/>
  <c r="G575" i="46"/>
  <c r="F575" i="46"/>
  <c r="C575" i="46"/>
  <c r="I574" i="46"/>
  <c r="H574" i="46"/>
  <c r="G574" i="46"/>
  <c r="J574" i="46" s="1"/>
  <c r="J575" i="46" s="1"/>
  <c r="F574" i="46"/>
  <c r="D574" i="46"/>
  <c r="C574" i="46"/>
  <c r="I571" i="46"/>
  <c r="H571" i="46"/>
  <c r="G571" i="46"/>
  <c r="F571" i="46"/>
  <c r="C571" i="46"/>
  <c r="I570" i="46"/>
  <c r="H570" i="46"/>
  <c r="G570" i="46"/>
  <c r="J570" i="46" s="1"/>
  <c r="F570" i="46"/>
  <c r="D570" i="46"/>
  <c r="C570" i="46"/>
  <c r="F567" i="46"/>
  <c r="C567" i="46"/>
  <c r="J566" i="46"/>
  <c r="J567" i="46" s="1"/>
  <c r="I566" i="46"/>
  <c r="I567" i="46" s="1"/>
  <c r="H566" i="46"/>
  <c r="H567" i="46" s="1"/>
  <c r="G566" i="46"/>
  <c r="G567" i="46" s="1"/>
  <c r="F566" i="46"/>
  <c r="D566" i="46"/>
  <c r="I563" i="46"/>
  <c r="H563" i="46"/>
  <c r="F563" i="46"/>
  <c r="C563" i="46"/>
  <c r="I562" i="46"/>
  <c r="H562" i="46"/>
  <c r="G562" i="46"/>
  <c r="F562" i="46"/>
  <c r="D562" i="46"/>
  <c r="C562" i="46"/>
  <c r="I560" i="46"/>
  <c r="H560" i="46"/>
  <c r="G560" i="46"/>
  <c r="I559" i="46"/>
  <c r="H559" i="46"/>
  <c r="G559" i="46"/>
  <c r="F559" i="46"/>
  <c r="A555" i="46"/>
  <c r="J554" i="46"/>
  <c r="A554" i="46"/>
  <c r="J553" i="46"/>
  <c r="A553" i="46"/>
  <c r="J552" i="46"/>
  <c r="J551" i="46"/>
  <c r="A551" i="46"/>
  <c r="C549" i="46"/>
  <c r="C547" i="46"/>
  <c r="I546" i="46"/>
  <c r="H546" i="46"/>
  <c r="G546" i="46"/>
  <c r="F546" i="46"/>
  <c r="D546" i="46"/>
  <c r="C546" i="46"/>
  <c r="I545" i="46"/>
  <c r="H545" i="46"/>
  <c r="G545" i="46"/>
  <c r="F545" i="46"/>
  <c r="D545" i="46"/>
  <c r="C545" i="46"/>
  <c r="I544" i="46"/>
  <c r="H544" i="46"/>
  <c r="G544" i="46"/>
  <c r="J544" i="46" s="1"/>
  <c r="F544" i="46"/>
  <c r="K544" i="46" s="1"/>
  <c r="D544" i="46"/>
  <c r="C544" i="46"/>
  <c r="I543" i="46"/>
  <c r="H543" i="46"/>
  <c r="G543" i="46"/>
  <c r="J543" i="46" s="1"/>
  <c r="F543" i="46"/>
  <c r="D543" i="46"/>
  <c r="C543" i="46"/>
  <c r="I542" i="46"/>
  <c r="H542" i="46"/>
  <c r="G542" i="46"/>
  <c r="F542" i="46"/>
  <c r="D542" i="46"/>
  <c r="C542" i="46"/>
  <c r="I541" i="46"/>
  <c r="H541" i="46"/>
  <c r="G541" i="46"/>
  <c r="F541" i="46"/>
  <c r="D541" i="46"/>
  <c r="C541" i="46"/>
  <c r="J540" i="46"/>
  <c r="K540" i="46" s="1"/>
  <c r="I540" i="46"/>
  <c r="H540" i="46"/>
  <c r="G540" i="46"/>
  <c r="F540" i="46"/>
  <c r="D540" i="46"/>
  <c r="C540" i="46"/>
  <c r="I539" i="46"/>
  <c r="H539" i="46"/>
  <c r="G539" i="46"/>
  <c r="F539" i="46"/>
  <c r="D539" i="46"/>
  <c r="C539" i="46"/>
  <c r="I538" i="46"/>
  <c r="J538" i="46" s="1"/>
  <c r="H538" i="46"/>
  <c r="G538" i="46"/>
  <c r="F538" i="46"/>
  <c r="K538" i="46" s="1"/>
  <c r="D538" i="46"/>
  <c r="C538" i="46"/>
  <c r="I537" i="46"/>
  <c r="H537" i="46"/>
  <c r="G537" i="46"/>
  <c r="J537" i="46" s="1"/>
  <c r="K537" i="46" s="1"/>
  <c r="F537" i="46"/>
  <c r="D537" i="46"/>
  <c r="C537" i="46"/>
  <c r="I536" i="46"/>
  <c r="H536" i="46"/>
  <c r="G536" i="46"/>
  <c r="J536" i="46" s="1"/>
  <c r="F536" i="46"/>
  <c r="D536" i="46"/>
  <c r="C536" i="46"/>
  <c r="I535" i="46"/>
  <c r="H535" i="46"/>
  <c r="G535" i="46"/>
  <c r="J535" i="46" s="1"/>
  <c r="F535" i="46"/>
  <c r="K535" i="46" s="1"/>
  <c r="D535" i="46"/>
  <c r="C535" i="46"/>
  <c r="I534" i="46"/>
  <c r="H534" i="46"/>
  <c r="G534" i="46"/>
  <c r="F534" i="46"/>
  <c r="D534" i="46"/>
  <c r="C534" i="46"/>
  <c r="K533" i="46"/>
  <c r="J533" i="46"/>
  <c r="I533" i="46"/>
  <c r="H533" i="46"/>
  <c r="G533" i="46"/>
  <c r="F533" i="46"/>
  <c r="D533" i="46"/>
  <c r="C533" i="46"/>
  <c r="C532" i="46"/>
  <c r="J531" i="46"/>
  <c r="I531" i="46"/>
  <c r="H531" i="46"/>
  <c r="G531" i="46"/>
  <c r="F531" i="46"/>
  <c r="D531" i="46"/>
  <c r="C531" i="46"/>
  <c r="I530" i="46"/>
  <c r="J530" i="46" s="1"/>
  <c r="K530" i="46" s="1"/>
  <c r="H530" i="46"/>
  <c r="G530" i="46"/>
  <c r="F530" i="46"/>
  <c r="D530" i="46"/>
  <c r="C530" i="46"/>
  <c r="I529" i="46"/>
  <c r="H529" i="46"/>
  <c r="G529" i="46"/>
  <c r="J529" i="46" s="1"/>
  <c r="K529" i="46" s="1"/>
  <c r="F529" i="46"/>
  <c r="D529" i="46"/>
  <c r="C529" i="46"/>
  <c r="I528" i="46"/>
  <c r="H528" i="46"/>
  <c r="G528" i="46"/>
  <c r="J528" i="46" s="1"/>
  <c r="F528" i="46"/>
  <c r="D528" i="46"/>
  <c r="C528" i="46"/>
  <c r="J527" i="46"/>
  <c r="K527" i="46" s="1"/>
  <c r="I527" i="46"/>
  <c r="H527" i="46"/>
  <c r="G527" i="46"/>
  <c r="F527" i="46"/>
  <c r="D527" i="46"/>
  <c r="I526" i="46"/>
  <c r="H526" i="46"/>
  <c r="J526" i="46" s="1"/>
  <c r="K526" i="46" s="1"/>
  <c r="G526" i="46"/>
  <c r="F526" i="46"/>
  <c r="D526" i="46"/>
  <c r="C526" i="46"/>
  <c r="I525" i="46"/>
  <c r="H525" i="46"/>
  <c r="H532" i="46" s="1"/>
  <c r="H547" i="46" s="1"/>
  <c r="G525" i="46"/>
  <c r="F525" i="46"/>
  <c r="D525" i="46"/>
  <c r="C525" i="46"/>
  <c r="K522" i="46"/>
  <c r="J522" i="46"/>
  <c r="I522" i="46"/>
  <c r="G522" i="46"/>
  <c r="F522" i="46"/>
  <c r="C522" i="46"/>
  <c r="I521" i="46"/>
  <c r="J521" i="46" s="1"/>
  <c r="H521" i="46"/>
  <c r="H522" i="46" s="1"/>
  <c r="G521" i="46"/>
  <c r="F521" i="46"/>
  <c r="K521" i="46" s="1"/>
  <c r="D521" i="46"/>
  <c r="C521" i="46"/>
  <c r="H518" i="46"/>
  <c r="G518" i="46"/>
  <c r="C518" i="46"/>
  <c r="J517" i="46"/>
  <c r="I517" i="46"/>
  <c r="I518" i="46" s="1"/>
  <c r="H517" i="46"/>
  <c r="G517" i="46"/>
  <c r="F517" i="46"/>
  <c r="D517" i="46"/>
  <c r="C517" i="46"/>
  <c r="I516" i="46"/>
  <c r="H516" i="46"/>
  <c r="G516" i="46"/>
  <c r="J516" i="46" s="1"/>
  <c r="F516" i="46"/>
  <c r="D516" i="46"/>
  <c r="C516" i="46"/>
  <c r="I514" i="46"/>
  <c r="H514" i="46"/>
  <c r="G514" i="46"/>
  <c r="I513" i="46"/>
  <c r="H513" i="46"/>
  <c r="G513" i="46"/>
  <c r="F513" i="46"/>
  <c r="A509" i="46"/>
  <c r="J508" i="46"/>
  <c r="A508" i="46"/>
  <c r="J507" i="46"/>
  <c r="A507" i="46"/>
  <c r="J506" i="46"/>
  <c r="A506" i="46"/>
  <c r="J505" i="46"/>
  <c r="A505" i="46"/>
  <c r="C503" i="46"/>
  <c r="I502" i="46"/>
  <c r="J502" i="46" s="1"/>
  <c r="K502" i="46" s="1"/>
  <c r="H502" i="46"/>
  <c r="G502" i="46"/>
  <c r="F502" i="46"/>
  <c r="D502" i="46"/>
  <c r="C502" i="46"/>
  <c r="I501" i="46"/>
  <c r="H501" i="46"/>
  <c r="G501" i="46"/>
  <c r="J501" i="46" s="1"/>
  <c r="F501" i="46"/>
  <c r="D501" i="46"/>
  <c r="C501" i="46"/>
  <c r="I500" i="46"/>
  <c r="H500" i="46"/>
  <c r="J500" i="46" s="1"/>
  <c r="G500" i="46"/>
  <c r="F500" i="46"/>
  <c r="D500" i="46"/>
  <c r="C500" i="46"/>
  <c r="I499" i="46"/>
  <c r="H499" i="46"/>
  <c r="G499" i="46"/>
  <c r="J499" i="46" s="1"/>
  <c r="K499" i="46" s="1"/>
  <c r="F499" i="46"/>
  <c r="D499" i="46"/>
  <c r="C499" i="46"/>
  <c r="I498" i="46"/>
  <c r="H498" i="46"/>
  <c r="G498" i="46"/>
  <c r="F498" i="46"/>
  <c r="D498" i="46"/>
  <c r="C498" i="46"/>
  <c r="J497" i="46"/>
  <c r="I497" i="46"/>
  <c r="H497" i="46"/>
  <c r="G497" i="46"/>
  <c r="F497" i="46"/>
  <c r="D497" i="46"/>
  <c r="C497" i="46"/>
  <c r="J496" i="46"/>
  <c r="K496" i="46" s="1"/>
  <c r="I496" i="46"/>
  <c r="H496" i="46"/>
  <c r="G496" i="46"/>
  <c r="F496" i="46"/>
  <c r="D496" i="46"/>
  <c r="C496" i="46"/>
  <c r="J495" i="46"/>
  <c r="I495" i="46"/>
  <c r="H495" i="46"/>
  <c r="G495" i="46"/>
  <c r="F495" i="46"/>
  <c r="F503" i="46" s="1"/>
  <c r="D495" i="46"/>
  <c r="C495" i="46"/>
  <c r="C492" i="46"/>
  <c r="I491" i="46"/>
  <c r="J491" i="46" s="1"/>
  <c r="H491" i="46"/>
  <c r="G491" i="46"/>
  <c r="F491" i="46"/>
  <c r="D491" i="46"/>
  <c r="C491" i="46"/>
  <c r="K490" i="46"/>
  <c r="J490" i="46"/>
  <c r="I490" i="46"/>
  <c r="H490" i="46"/>
  <c r="G490" i="46"/>
  <c r="F490" i="46"/>
  <c r="D490" i="46"/>
  <c r="C490" i="46"/>
  <c r="I489" i="46"/>
  <c r="H489" i="46"/>
  <c r="J489" i="46" s="1"/>
  <c r="G489" i="46"/>
  <c r="F489" i="46"/>
  <c r="D489" i="46"/>
  <c r="C489" i="46"/>
  <c r="I488" i="46"/>
  <c r="H488" i="46"/>
  <c r="G488" i="46"/>
  <c r="F488" i="46"/>
  <c r="D488" i="46"/>
  <c r="C488" i="46"/>
  <c r="I487" i="46"/>
  <c r="H487" i="46"/>
  <c r="G487" i="46"/>
  <c r="J487" i="46" s="1"/>
  <c r="F487" i="46"/>
  <c r="D487" i="46"/>
  <c r="C487" i="46"/>
  <c r="I486" i="46"/>
  <c r="H486" i="46"/>
  <c r="G486" i="46"/>
  <c r="J486" i="46" s="1"/>
  <c r="K486" i="46" s="1"/>
  <c r="F486" i="46"/>
  <c r="D486" i="46"/>
  <c r="C486" i="46"/>
  <c r="I485" i="46"/>
  <c r="H485" i="46"/>
  <c r="G485" i="46"/>
  <c r="J485" i="46" s="1"/>
  <c r="F485" i="46"/>
  <c r="K485" i="46" s="1"/>
  <c r="D485" i="46"/>
  <c r="C485" i="46"/>
  <c r="I484" i="46"/>
  <c r="J484" i="46" s="1"/>
  <c r="H484" i="46"/>
  <c r="G484" i="46"/>
  <c r="F484" i="46"/>
  <c r="K484" i="46" s="1"/>
  <c r="D484" i="46"/>
  <c r="C484" i="46"/>
  <c r="I483" i="46"/>
  <c r="H483" i="46"/>
  <c r="J483" i="46" s="1"/>
  <c r="K483" i="46" s="1"/>
  <c r="G483" i="46"/>
  <c r="F483" i="46"/>
  <c r="D483" i="46"/>
  <c r="C483" i="46"/>
  <c r="I482" i="46"/>
  <c r="H482" i="46"/>
  <c r="J482" i="46" s="1"/>
  <c r="K482" i="46" s="1"/>
  <c r="G482" i="46"/>
  <c r="F482" i="46"/>
  <c r="D482" i="46"/>
  <c r="C482" i="46"/>
  <c r="I481" i="46"/>
  <c r="H481" i="46"/>
  <c r="H492" i="46" s="1"/>
  <c r="G481" i="46"/>
  <c r="F481" i="46"/>
  <c r="D481" i="46"/>
  <c r="C481" i="46"/>
  <c r="I480" i="46"/>
  <c r="J480" i="46" s="1"/>
  <c r="K480" i="46" s="1"/>
  <c r="H480" i="46"/>
  <c r="G480" i="46"/>
  <c r="F480" i="46"/>
  <c r="D480" i="46"/>
  <c r="C480" i="46"/>
  <c r="I479" i="46"/>
  <c r="H479" i="46"/>
  <c r="G479" i="46"/>
  <c r="J479" i="46" s="1"/>
  <c r="K479" i="46" s="1"/>
  <c r="F479" i="46"/>
  <c r="D479" i="46"/>
  <c r="C479" i="46"/>
  <c r="I478" i="46"/>
  <c r="H478" i="46"/>
  <c r="G478" i="46"/>
  <c r="J478" i="46" s="1"/>
  <c r="F478" i="46"/>
  <c r="D478" i="46"/>
  <c r="C478" i="46"/>
  <c r="K477" i="46"/>
  <c r="I477" i="46"/>
  <c r="H477" i="46"/>
  <c r="G477" i="46"/>
  <c r="J477" i="46" s="1"/>
  <c r="F477" i="46"/>
  <c r="D477" i="46"/>
  <c r="C477" i="46"/>
  <c r="I476" i="46"/>
  <c r="H476" i="46"/>
  <c r="G476" i="46"/>
  <c r="J476" i="46" s="1"/>
  <c r="F476" i="46"/>
  <c r="D476" i="46"/>
  <c r="C476" i="46"/>
  <c r="I475" i="46"/>
  <c r="H475" i="46"/>
  <c r="G475" i="46"/>
  <c r="J475" i="46" s="1"/>
  <c r="F475" i="46"/>
  <c r="D475" i="46"/>
  <c r="C475" i="46"/>
  <c r="J474" i="46"/>
  <c r="I474" i="46"/>
  <c r="H474" i="46"/>
  <c r="G474" i="46"/>
  <c r="F474" i="46"/>
  <c r="D474" i="46"/>
  <c r="C474" i="46"/>
  <c r="I473" i="46"/>
  <c r="H473" i="46"/>
  <c r="G473" i="46"/>
  <c r="F473" i="46"/>
  <c r="D473" i="46"/>
  <c r="C473" i="46"/>
  <c r="I470" i="46"/>
  <c r="H470" i="46"/>
  <c r="G470" i="46"/>
  <c r="F470" i="46"/>
  <c r="C470" i="46"/>
  <c r="I469" i="46"/>
  <c r="H469" i="46"/>
  <c r="G469" i="46"/>
  <c r="F469" i="46"/>
  <c r="D469" i="46"/>
  <c r="C469" i="46"/>
  <c r="C466" i="46"/>
  <c r="I465" i="46"/>
  <c r="H465" i="46"/>
  <c r="J465" i="46" s="1"/>
  <c r="K465" i="46" s="1"/>
  <c r="G465" i="46"/>
  <c r="F465" i="46"/>
  <c r="D465" i="46"/>
  <c r="C465" i="46"/>
  <c r="I464" i="46"/>
  <c r="H464" i="46"/>
  <c r="J464" i="46" s="1"/>
  <c r="K464" i="46" s="1"/>
  <c r="G464" i="46"/>
  <c r="F464" i="46"/>
  <c r="D464" i="46"/>
  <c r="C464" i="46"/>
  <c r="I463" i="46"/>
  <c r="H463" i="46"/>
  <c r="G463" i="46"/>
  <c r="G466" i="46" s="1"/>
  <c r="F463" i="46"/>
  <c r="D463" i="46"/>
  <c r="C463" i="46"/>
  <c r="I462" i="46"/>
  <c r="H462" i="46"/>
  <c r="G462" i="46"/>
  <c r="F462" i="46"/>
  <c r="F466" i="46" s="1"/>
  <c r="D462" i="46"/>
  <c r="C462" i="46"/>
  <c r="H457" i="46"/>
  <c r="G457" i="46"/>
  <c r="F457" i="46"/>
  <c r="C457" i="46"/>
  <c r="K456" i="46"/>
  <c r="K457" i="46" s="1"/>
  <c r="J456" i="46"/>
  <c r="J457" i="46" s="1"/>
  <c r="I456" i="46"/>
  <c r="I457" i="46" s="1"/>
  <c r="H456" i="46"/>
  <c r="G456" i="46"/>
  <c r="F456" i="46"/>
  <c r="D456" i="46"/>
  <c r="C456" i="46"/>
  <c r="C453" i="46"/>
  <c r="I452" i="46"/>
  <c r="H452" i="46"/>
  <c r="G452" i="46"/>
  <c r="F452" i="46"/>
  <c r="D452" i="46"/>
  <c r="C452" i="46"/>
  <c r="I451" i="46"/>
  <c r="J451" i="46" s="1"/>
  <c r="K451" i="46" s="1"/>
  <c r="H451" i="46"/>
  <c r="G451" i="46"/>
  <c r="F451" i="46"/>
  <c r="D451" i="46"/>
  <c r="C451" i="46"/>
  <c r="K450" i="46"/>
  <c r="J450" i="46"/>
  <c r="I450" i="46"/>
  <c r="H450" i="46"/>
  <c r="G450" i="46"/>
  <c r="F450" i="46"/>
  <c r="D450" i="46"/>
  <c r="C450" i="46"/>
  <c r="I449" i="46"/>
  <c r="J449" i="46" s="1"/>
  <c r="H449" i="46"/>
  <c r="G449" i="46"/>
  <c r="F449" i="46"/>
  <c r="D449" i="46"/>
  <c r="C449" i="46"/>
  <c r="I448" i="46"/>
  <c r="H448" i="46"/>
  <c r="G448" i="46"/>
  <c r="F448" i="46"/>
  <c r="D448" i="46"/>
  <c r="C448" i="46"/>
  <c r="I447" i="46"/>
  <c r="H447" i="46"/>
  <c r="G447" i="46"/>
  <c r="F447" i="46"/>
  <c r="D447" i="46"/>
  <c r="C447" i="46"/>
  <c r="B446" i="46"/>
  <c r="I444" i="46"/>
  <c r="H444" i="46"/>
  <c r="G444" i="46"/>
  <c r="I443" i="46"/>
  <c r="H443" i="46"/>
  <c r="G443" i="46"/>
  <c r="F443" i="46"/>
  <c r="A439" i="46"/>
  <c r="J438" i="46"/>
  <c r="A438" i="46"/>
  <c r="J437" i="46"/>
  <c r="A437" i="46"/>
  <c r="J436" i="46"/>
  <c r="J435" i="46"/>
  <c r="A435" i="46"/>
  <c r="B433" i="46"/>
  <c r="J432" i="46"/>
  <c r="I432" i="46"/>
  <c r="H432" i="46"/>
  <c r="G432" i="46"/>
  <c r="F432" i="46"/>
  <c r="B432" i="46"/>
  <c r="I431" i="46"/>
  <c r="H431" i="46"/>
  <c r="G431" i="46"/>
  <c r="F431" i="46"/>
  <c r="D431" i="46"/>
  <c r="B431" i="46"/>
  <c r="C426" i="46"/>
  <c r="C425" i="46"/>
  <c r="C424" i="46"/>
  <c r="C421" i="46"/>
  <c r="C420" i="46"/>
  <c r="C419" i="46"/>
  <c r="C418" i="46"/>
  <c r="C414" i="46"/>
  <c r="I413" i="46"/>
  <c r="H413" i="46"/>
  <c r="G413" i="46"/>
  <c r="J413" i="46" s="1"/>
  <c r="K413" i="46" s="1"/>
  <c r="F413" i="46"/>
  <c r="D413" i="46"/>
  <c r="C413" i="46"/>
  <c r="I412" i="46"/>
  <c r="I414" i="46" s="1"/>
  <c r="H412" i="46"/>
  <c r="G412" i="46"/>
  <c r="F412" i="46"/>
  <c r="D412" i="46"/>
  <c r="C412" i="46"/>
  <c r="J411" i="46"/>
  <c r="I411" i="46"/>
  <c r="H411" i="46"/>
  <c r="H414" i="46" s="1"/>
  <c r="G411" i="46"/>
  <c r="F411" i="46"/>
  <c r="F414" i="46" s="1"/>
  <c r="D411" i="46"/>
  <c r="C411" i="46"/>
  <c r="F408" i="46"/>
  <c r="I407" i="46"/>
  <c r="I408" i="46" s="1"/>
  <c r="H407" i="46"/>
  <c r="H408" i="46" s="1"/>
  <c r="G407" i="46"/>
  <c r="F407" i="46"/>
  <c r="C405" i="46"/>
  <c r="J404" i="46"/>
  <c r="K404" i="46" s="1"/>
  <c r="I404" i="46"/>
  <c r="H404" i="46"/>
  <c r="H405" i="46" s="1"/>
  <c r="G404" i="46"/>
  <c r="F404" i="46"/>
  <c r="D404" i="46"/>
  <c r="C404" i="46"/>
  <c r="I403" i="46"/>
  <c r="H403" i="46"/>
  <c r="G403" i="46"/>
  <c r="J403" i="46" s="1"/>
  <c r="F403" i="46"/>
  <c r="K403" i="46" s="1"/>
  <c r="D403" i="46"/>
  <c r="C403" i="46"/>
  <c r="I402" i="46"/>
  <c r="I405" i="46" s="1"/>
  <c r="H402" i="46"/>
  <c r="G402" i="46"/>
  <c r="F402" i="46"/>
  <c r="F405" i="46" s="1"/>
  <c r="D402" i="46"/>
  <c r="C402" i="46"/>
  <c r="I399" i="46"/>
  <c r="G399" i="46"/>
  <c r="C398" i="46"/>
  <c r="J397" i="46"/>
  <c r="I397" i="46"/>
  <c r="H397" i="46"/>
  <c r="G397" i="46"/>
  <c r="F397" i="46"/>
  <c r="D397" i="46"/>
  <c r="C397" i="46"/>
  <c r="I396" i="46"/>
  <c r="H396" i="46"/>
  <c r="J396" i="46" s="1"/>
  <c r="G396" i="46"/>
  <c r="F396" i="46"/>
  <c r="F398" i="46" s="1"/>
  <c r="F399" i="46" s="1"/>
  <c r="D396" i="46"/>
  <c r="C396" i="46"/>
  <c r="I395" i="46"/>
  <c r="I398" i="46" s="1"/>
  <c r="H395" i="46"/>
  <c r="H398" i="46" s="1"/>
  <c r="H399" i="46" s="1"/>
  <c r="G395" i="46"/>
  <c r="G398" i="46" s="1"/>
  <c r="F395" i="46"/>
  <c r="D395" i="46"/>
  <c r="C395" i="46"/>
  <c r="I388" i="46"/>
  <c r="H388" i="46"/>
  <c r="G388" i="46"/>
  <c r="I387" i="46"/>
  <c r="H387" i="46"/>
  <c r="G387" i="46"/>
  <c r="F387" i="46"/>
  <c r="A383" i="46"/>
  <c r="J382" i="46"/>
  <c r="A382" i="46"/>
  <c r="J381" i="46"/>
  <c r="A381" i="46"/>
  <c r="J380" i="46"/>
  <c r="J379" i="46"/>
  <c r="A379" i="46"/>
  <c r="B377" i="46"/>
  <c r="H375" i="46"/>
  <c r="C375" i="46"/>
  <c r="K374" i="46"/>
  <c r="I374" i="46"/>
  <c r="H374" i="46"/>
  <c r="G374" i="46"/>
  <c r="J374" i="46" s="1"/>
  <c r="F374" i="46"/>
  <c r="D374" i="46"/>
  <c r="C374" i="46"/>
  <c r="J373" i="46"/>
  <c r="I373" i="46"/>
  <c r="H373" i="46"/>
  <c r="G373" i="46"/>
  <c r="F373" i="46"/>
  <c r="D373" i="46"/>
  <c r="C373" i="46"/>
  <c r="I372" i="46"/>
  <c r="H372" i="46"/>
  <c r="J372" i="46" s="1"/>
  <c r="K372" i="46" s="1"/>
  <c r="G372" i="46"/>
  <c r="F372" i="46"/>
  <c r="D372" i="46"/>
  <c r="C372" i="46"/>
  <c r="I371" i="46"/>
  <c r="I375" i="46" s="1"/>
  <c r="H371" i="46"/>
  <c r="G371" i="46"/>
  <c r="F371" i="46"/>
  <c r="D371" i="46"/>
  <c r="C371" i="46"/>
  <c r="I370" i="46"/>
  <c r="H370" i="46"/>
  <c r="G370" i="46"/>
  <c r="F370" i="46"/>
  <c r="D370" i="46"/>
  <c r="C370" i="46"/>
  <c r="C367" i="46"/>
  <c r="I366" i="46"/>
  <c r="H366" i="46"/>
  <c r="G366" i="46"/>
  <c r="G367" i="46" s="1"/>
  <c r="F366" i="46"/>
  <c r="D366" i="46"/>
  <c r="C366" i="46"/>
  <c r="J365" i="46"/>
  <c r="I365" i="46"/>
  <c r="H365" i="46"/>
  <c r="G365" i="46"/>
  <c r="F365" i="46"/>
  <c r="D365" i="46"/>
  <c r="C365" i="46"/>
  <c r="I364" i="46"/>
  <c r="H364" i="46"/>
  <c r="G364" i="46"/>
  <c r="J364" i="46" s="1"/>
  <c r="F364" i="46"/>
  <c r="D364" i="46"/>
  <c r="C364" i="46"/>
  <c r="C361" i="46"/>
  <c r="I360" i="46"/>
  <c r="H360" i="46"/>
  <c r="G360" i="46"/>
  <c r="F360" i="46"/>
  <c r="D360" i="46"/>
  <c r="C360" i="46"/>
  <c r="I359" i="46"/>
  <c r="H359" i="46"/>
  <c r="G359" i="46"/>
  <c r="J359" i="46" s="1"/>
  <c r="F359" i="46"/>
  <c r="D359" i="46"/>
  <c r="C359" i="46"/>
  <c r="I358" i="46"/>
  <c r="H358" i="46"/>
  <c r="J358" i="46" s="1"/>
  <c r="K358" i="46" s="1"/>
  <c r="G358" i="46"/>
  <c r="F358" i="46"/>
  <c r="D358" i="46"/>
  <c r="C358" i="46"/>
  <c r="I357" i="46"/>
  <c r="H357" i="46"/>
  <c r="J357" i="46" s="1"/>
  <c r="G357" i="46"/>
  <c r="F357" i="46"/>
  <c r="D357" i="46"/>
  <c r="C357" i="46"/>
  <c r="I356" i="46"/>
  <c r="H356" i="46"/>
  <c r="G356" i="46"/>
  <c r="F356" i="46"/>
  <c r="D356" i="46"/>
  <c r="C356" i="46"/>
  <c r="I355" i="46"/>
  <c r="H355" i="46"/>
  <c r="G355" i="46"/>
  <c r="J355" i="46" s="1"/>
  <c r="F355" i="46"/>
  <c r="K355" i="46" s="1"/>
  <c r="D355" i="46"/>
  <c r="C355" i="46"/>
  <c r="I354" i="46"/>
  <c r="J354" i="46" s="1"/>
  <c r="K354" i="46" s="1"/>
  <c r="H354" i="46"/>
  <c r="G354" i="46"/>
  <c r="F354" i="46"/>
  <c r="D354" i="46"/>
  <c r="C354" i="46"/>
  <c r="J353" i="46"/>
  <c r="K353" i="46" s="1"/>
  <c r="I353" i="46"/>
  <c r="H353" i="46"/>
  <c r="G353" i="46"/>
  <c r="F353" i="46"/>
  <c r="D353" i="46"/>
  <c r="C353" i="46"/>
  <c r="I352" i="46"/>
  <c r="H352" i="46"/>
  <c r="G352" i="46"/>
  <c r="J352" i="46" s="1"/>
  <c r="F352" i="46"/>
  <c r="K352" i="46" s="1"/>
  <c r="D352" i="46"/>
  <c r="C352" i="46"/>
  <c r="I351" i="46"/>
  <c r="H351" i="46"/>
  <c r="G351" i="46"/>
  <c r="J351" i="46" s="1"/>
  <c r="K351" i="46" s="1"/>
  <c r="F351" i="46"/>
  <c r="D351" i="46"/>
  <c r="C351" i="46"/>
  <c r="I350" i="46"/>
  <c r="H350" i="46"/>
  <c r="J350" i="46" s="1"/>
  <c r="G350" i="46"/>
  <c r="F350" i="46"/>
  <c r="K350" i="46" s="1"/>
  <c r="D350" i="46"/>
  <c r="C350" i="46"/>
  <c r="I349" i="46"/>
  <c r="H349" i="46"/>
  <c r="G349" i="46"/>
  <c r="F349" i="46"/>
  <c r="D349" i="46"/>
  <c r="C349" i="46"/>
  <c r="I348" i="46"/>
  <c r="I361" i="46" s="1"/>
  <c r="H348" i="46"/>
  <c r="G348" i="46"/>
  <c r="F348" i="46"/>
  <c r="D348" i="46"/>
  <c r="C348" i="46"/>
  <c r="I347" i="46"/>
  <c r="H347" i="46"/>
  <c r="J347" i="46" s="1"/>
  <c r="K347" i="46" s="1"/>
  <c r="G347" i="46"/>
  <c r="F347" i="46"/>
  <c r="D347" i="46"/>
  <c r="C347" i="46"/>
  <c r="I346" i="46"/>
  <c r="H346" i="46"/>
  <c r="G346" i="46"/>
  <c r="J346" i="46" s="1"/>
  <c r="F346" i="46"/>
  <c r="D346" i="46"/>
  <c r="C346" i="46"/>
  <c r="I345" i="46"/>
  <c r="H345" i="46"/>
  <c r="G345" i="46"/>
  <c r="J345" i="46" s="1"/>
  <c r="K345" i="46" s="1"/>
  <c r="F345" i="46"/>
  <c r="D345" i="46"/>
  <c r="C345" i="46"/>
  <c r="I344" i="46"/>
  <c r="H344" i="46"/>
  <c r="G344" i="46"/>
  <c r="J344" i="46" s="1"/>
  <c r="F344" i="46"/>
  <c r="K344" i="46" s="1"/>
  <c r="D344" i="46"/>
  <c r="C344" i="46"/>
  <c r="I343" i="46"/>
  <c r="H343" i="46"/>
  <c r="J343" i="46" s="1"/>
  <c r="K343" i="46" s="1"/>
  <c r="G343" i="46"/>
  <c r="F343" i="46"/>
  <c r="D343" i="46"/>
  <c r="C343" i="46"/>
  <c r="J342" i="46"/>
  <c r="I342" i="46"/>
  <c r="H342" i="46"/>
  <c r="G342" i="46"/>
  <c r="F342" i="46"/>
  <c r="K342" i="46" s="1"/>
  <c r="D342" i="46"/>
  <c r="C342" i="46"/>
  <c r="I341" i="46"/>
  <c r="H341" i="46"/>
  <c r="G341" i="46"/>
  <c r="F341" i="46"/>
  <c r="D341" i="46"/>
  <c r="C341" i="46"/>
  <c r="I340" i="46"/>
  <c r="H340" i="46"/>
  <c r="G340" i="46"/>
  <c r="J340" i="46" s="1"/>
  <c r="K340" i="46" s="1"/>
  <c r="F340" i="46"/>
  <c r="D340" i="46"/>
  <c r="C340" i="46"/>
  <c r="I339" i="46"/>
  <c r="H339" i="46"/>
  <c r="G339" i="46"/>
  <c r="F339" i="46"/>
  <c r="D339" i="46"/>
  <c r="C339" i="46"/>
  <c r="I338" i="46"/>
  <c r="H338" i="46"/>
  <c r="G338" i="46"/>
  <c r="J338" i="46" s="1"/>
  <c r="F338" i="46"/>
  <c r="D338" i="46"/>
  <c r="C338" i="46"/>
  <c r="I335" i="46"/>
  <c r="H335" i="46"/>
  <c r="G335" i="46"/>
  <c r="I334" i="46"/>
  <c r="H334" i="46"/>
  <c r="G334" i="46"/>
  <c r="F334" i="46"/>
  <c r="A330" i="46"/>
  <c r="J329" i="46"/>
  <c r="A329" i="46"/>
  <c r="J328" i="46"/>
  <c r="A328" i="46"/>
  <c r="J327" i="46"/>
  <c r="J326" i="46"/>
  <c r="A326" i="46"/>
  <c r="B324" i="46"/>
  <c r="C322" i="46"/>
  <c r="J321" i="46"/>
  <c r="K321" i="46" s="1"/>
  <c r="I321" i="46"/>
  <c r="H321" i="46"/>
  <c r="G321" i="46"/>
  <c r="F321" i="46"/>
  <c r="D321" i="46"/>
  <c r="C321" i="46"/>
  <c r="J320" i="46"/>
  <c r="K320" i="46" s="1"/>
  <c r="I320" i="46"/>
  <c r="H320" i="46"/>
  <c r="H322" i="46" s="1"/>
  <c r="G320" i="46"/>
  <c r="F320" i="46"/>
  <c r="D320" i="46"/>
  <c r="C320" i="46"/>
  <c r="I319" i="46"/>
  <c r="H319" i="46"/>
  <c r="G319" i="46"/>
  <c r="J319" i="46" s="1"/>
  <c r="K319" i="46" s="1"/>
  <c r="F319" i="46"/>
  <c r="D319" i="46"/>
  <c r="C319" i="46"/>
  <c r="I318" i="46"/>
  <c r="H318" i="46"/>
  <c r="G318" i="46"/>
  <c r="F318" i="46"/>
  <c r="D318" i="46"/>
  <c r="C318" i="46"/>
  <c r="H315" i="46"/>
  <c r="C315" i="46"/>
  <c r="J314" i="46"/>
  <c r="K314" i="46" s="1"/>
  <c r="I314" i="46"/>
  <c r="H314" i="46"/>
  <c r="G314" i="46"/>
  <c r="F314" i="46"/>
  <c r="D314" i="46"/>
  <c r="C314" i="46"/>
  <c r="I313" i="46"/>
  <c r="H313" i="46"/>
  <c r="G313" i="46"/>
  <c r="J313" i="46" s="1"/>
  <c r="F313" i="46"/>
  <c r="D313" i="46"/>
  <c r="C313" i="46"/>
  <c r="J312" i="46"/>
  <c r="K312" i="46" s="1"/>
  <c r="I312" i="46"/>
  <c r="H312" i="46"/>
  <c r="G312" i="46"/>
  <c r="F312" i="46"/>
  <c r="D312" i="46"/>
  <c r="C312" i="46"/>
  <c r="J311" i="46"/>
  <c r="K311" i="46" s="1"/>
  <c r="I311" i="46"/>
  <c r="H311" i="46"/>
  <c r="G311" i="46"/>
  <c r="F311" i="46"/>
  <c r="D311" i="46"/>
  <c r="C311" i="46"/>
  <c r="I310" i="46"/>
  <c r="H310" i="46"/>
  <c r="J310" i="46" s="1"/>
  <c r="G310" i="46"/>
  <c r="F310" i="46"/>
  <c r="D310" i="46"/>
  <c r="C310" i="46"/>
  <c r="I309" i="46"/>
  <c r="H309" i="46"/>
  <c r="G309" i="46"/>
  <c r="F309" i="46"/>
  <c r="D309" i="46"/>
  <c r="C309" i="46"/>
  <c r="I308" i="46"/>
  <c r="H308" i="46"/>
  <c r="G308" i="46"/>
  <c r="F308" i="46"/>
  <c r="D308" i="46"/>
  <c r="C308" i="46"/>
  <c r="I307" i="46"/>
  <c r="H307" i="46"/>
  <c r="G307" i="46"/>
  <c r="J307" i="46" s="1"/>
  <c r="F307" i="46"/>
  <c r="K307" i="46" s="1"/>
  <c r="D307" i="46"/>
  <c r="C307" i="46"/>
  <c r="I306" i="46"/>
  <c r="H306" i="46"/>
  <c r="G306" i="46"/>
  <c r="J306" i="46" s="1"/>
  <c r="F306" i="46"/>
  <c r="K306" i="46" s="1"/>
  <c r="D306" i="46"/>
  <c r="C306" i="46"/>
  <c r="I305" i="46"/>
  <c r="H305" i="46"/>
  <c r="J305" i="46" s="1"/>
  <c r="K305" i="46" s="1"/>
  <c r="G305" i="46"/>
  <c r="F305" i="46"/>
  <c r="D305" i="46"/>
  <c r="C305" i="46"/>
  <c r="I304" i="46"/>
  <c r="H304" i="46"/>
  <c r="G304" i="46"/>
  <c r="F304" i="46"/>
  <c r="D304" i="46"/>
  <c r="C304" i="46"/>
  <c r="C301" i="46"/>
  <c r="I300" i="46"/>
  <c r="H300" i="46"/>
  <c r="G300" i="46"/>
  <c r="J300" i="46" s="1"/>
  <c r="F300" i="46"/>
  <c r="D300" i="46"/>
  <c r="C300" i="46"/>
  <c r="I299" i="46"/>
  <c r="H299" i="46"/>
  <c r="J299" i="46" s="1"/>
  <c r="K299" i="46" s="1"/>
  <c r="G299" i="46"/>
  <c r="F299" i="46"/>
  <c r="D299" i="46"/>
  <c r="C299" i="46"/>
  <c r="I298" i="46"/>
  <c r="J298" i="46" s="1"/>
  <c r="H298" i="46"/>
  <c r="G298" i="46"/>
  <c r="F298" i="46"/>
  <c r="K298" i="46" s="1"/>
  <c r="D298" i="46"/>
  <c r="C298" i="46"/>
  <c r="I297" i="46"/>
  <c r="H297" i="46"/>
  <c r="H301" i="46" s="1"/>
  <c r="G297" i="46"/>
  <c r="J297" i="46" s="1"/>
  <c r="F297" i="46"/>
  <c r="K297" i="46" s="1"/>
  <c r="D297" i="46"/>
  <c r="C297" i="46"/>
  <c r="I296" i="46"/>
  <c r="H296" i="46"/>
  <c r="G296" i="46"/>
  <c r="J296" i="46" s="1"/>
  <c r="K296" i="46" s="1"/>
  <c r="F296" i="46"/>
  <c r="D296" i="46"/>
  <c r="C296" i="46"/>
  <c r="I295" i="46"/>
  <c r="H295" i="46"/>
  <c r="J295" i="46" s="1"/>
  <c r="G295" i="46"/>
  <c r="F295" i="46"/>
  <c r="K295" i="46" s="1"/>
  <c r="D295" i="46"/>
  <c r="C295" i="46"/>
  <c r="I294" i="46"/>
  <c r="I301" i="46" s="1"/>
  <c r="H294" i="46"/>
  <c r="G294" i="46"/>
  <c r="F294" i="46"/>
  <c r="D294" i="46"/>
  <c r="C294" i="46"/>
  <c r="I293" i="46"/>
  <c r="H293" i="46"/>
  <c r="G293" i="46"/>
  <c r="J293" i="46" s="1"/>
  <c r="F293" i="46"/>
  <c r="D293" i="46"/>
  <c r="C293" i="46"/>
  <c r="J292" i="46"/>
  <c r="K292" i="46" s="1"/>
  <c r="I292" i="46"/>
  <c r="H292" i="46"/>
  <c r="G292" i="46"/>
  <c r="F292" i="46"/>
  <c r="D292" i="46"/>
  <c r="C292" i="46"/>
  <c r="I288" i="46"/>
  <c r="H288" i="46"/>
  <c r="G288" i="46"/>
  <c r="I287" i="46"/>
  <c r="H287" i="46"/>
  <c r="G287" i="46"/>
  <c r="F287" i="46"/>
  <c r="A283" i="46"/>
  <c r="J282" i="46"/>
  <c r="A282" i="46"/>
  <c r="J281" i="46"/>
  <c r="A281" i="46"/>
  <c r="J280" i="46"/>
  <c r="J279" i="46"/>
  <c r="A279" i="46"/>
  <c r="C277" i="46"/>
  <c r="C275" i="46"/>
  <c r="I274" i="46"/>
  <c r="G274" i="46"/>
  <c r="C274" i="46"/>
  <c r="C273" i="46"/>
  <c r="H272" i="46"/>
  <c r="C272" i="46"/>
  <c r="H271" i="46"/>
  <c r="F271" i="46"/>
  <c r="C271" i="46"/>
  <c r="C270" i="46"/>
  <c r="C269" i="46"/>
  <c r="C268" i="46"/>
  <c r="G267" i="46"/>
  <c r="C267" i="46"/>
  <c r="H266" i="46"/>
  <c r="C266" i="46"/>
  <c r="C263" i="46"/>
  <c r="I262" i="46"/>
  <c r="C262" i="46"/>
  <c r="G261" i="46"/>
  <c r="C261" i="46"/>
  <c r="I260" i="46"/>
  <c r="H260" i="46"/>
  <c r="C260" i="46"/>
  <c r="H259" i="46"/>
  <c r="F259" i="46"/>
  <c r="C259" i="46"/>
  <c r="C258" i="46"/>
  <c r="I257" i="46"/>
  <c r="G257" i="46"/>
  <c r="C257" i="46"/>
  <c r="G256" i="46"/>
  <c r="C256" i="46"/>
  <c r="C255" i="46"/>
  <c r="H254" i="46"/>
  <c r="C254" i="46"/>
  <c r="C248" i="46"/>
  <c r="G247" i="46"/>
  <c r="F247" i="46"/>
  <c r="C247" i="46"/>
  <c r="I246" i="46"/>
  <c r="H246" i="46"/>
  <c r="G246" i="46"/>
  <c r="C246" i="46"/>
  <c r="C245" i="46"/>
  <c r="C244" i="46"/>
  <c r="G243" i="46"/>
  <c r="F243" i="46"/>
  <c r="C243" i="46"/>
  <c r="H242" i="46"/>
  <c r="C242" i="46"/>
  <c r="H241" i="46"/>
  <c r="C241" i="46"/>
  <c r="G240" i="46"/>
  <c r="C240" i="46"/>
  <c r="C239" i="46"/>
  <c r="G238" i="46"/>
  <c r="C238" i="46"/>
  <c r="H237" i="46"/>
  <c r="F237" i="46"/>
  <c r="C237" i="46"/>
  <c r="H236" i="46"/>
  <c r="F236" i="46"/>
  <c r="C236" i="46"/>
  <c r="H235" i="46"/>
  <c r="C235" i="46"/>
  <c r="I234" i="46"/>
  <c r="F234" i="46"/>
  <c r="C234" i="46"/>
  <c r="C233" i="46"/>
  <c r="G232" i="46"/>
  <c r="C232" i="46"/>
  <c r="H231" i="46"/>
  <c r="G231" i="46"/>
  <c r="F231" i="46"/>
  <c r="C231" i="46"/>
  <c r="C230" i="46"/>
  <c r="I229" i="46"/>
  <c r="F229" i="46"/>
  <c r="C229" i="46"/>
  <c r="G228" i="46"/>
  <c r="F228" i="46"/>
  <c r="C228" i="46"/>
  <c r="C227" i="46"/>
  <c r="C222" i="46"/>
  <c r="I221" i="46"/>
  <c r="H221" i="46"/>
  <c r="G221" i="46"/>
  <c r="F221" i="46"/>
  <c r="C221" i="46"/>
  <c r="H220" i="46"/>
  <c r="G220" i="46"/>
  <c r="C220" i="46"/>
  <c r="H219" i="46"/>
  <c r="C219" i="46"/>
  <c r="C216" i="46"/>
  <c r="F215" i="46"/>
  <c r="C215" i="46"/>
  <c r="C214" i="46"/>
  <c r="I213" i="46"/>
  <c r="H213" i="46"/>
  <c r="G213" i="46"/>
  <c r="C213" i="46"/>
  <c r="I211" i="46"/>
  <c r="H211" i="46"/>
  <c r="G211" i="46"/>
  <c r="I210" i="46"/>
  <c r="H210" i="46"/>
  <c r="G210" i="46"/>
  <c r="F210" i="46"/>
  <c r="B210" i="46"/>
  <c r="A206" i="46"/>
  <c r="J205" i="46"/>
  <c r="A205" i="46"/>
  <c r="J204" i="46"/>
  <c r="A204" i="46"/>
  <c r="J203" i="46"/>
  <c r="J202" i="46"/>
  <c r="A202" i="46"/>
  <c r="I198" i="46"/>
  <c r="F198" i="46"/>
  <c r="C198" i="46"/>
  <c r="I197" i="46"/>
  <c r="H197" i="46"/>
  <c r="G197" i="46"/>
  <c r="F197" i="46"/>
  <c r="D197" i="46"/>
  <c r="C197" i="46"/>
  <c r="I196" i="46"/>
  <c r="I273" i="46" s="1"/>
  <c r="H196" i="46"/>
  <c r="G196" i="46"/>
  <c r="J196" i="46" s="1"/>
  <c r="F196" i="46"/>
  <c r="K196" i="46" s="1"/>
  <c r="D196" i="46"/>
  <c r="C196" i="46"/>
  <c r="J195" i="46"/>
  <c r="I195" i="46"/>
  <c r="H195" i="46"/>
  <c r="G195" i="46"/>
  <c r="G272" i="46" s="1"/>
  <c r="F195" i="46"/>
  <c r="D195" i="46"/>
  <c r="C195" i="46"/>
  <c r="K194" i="46"/>
  <c r="I194" i="46"/>
  <c r="J194" i="46" s="1"/>
  <c r="H194" i="46"/>
  <c r="G194" i="46"/>
  <c r="F194" i="46"/>
  <c r="D194" i="46"/>
  <c r="C194" i="46"/>
  <c r="I193" i="46"/>
  <c r="H193" i="46"/>
  <c r="G193" i="46"/>
  <c r="J193" i="46" s="1"/>
  <c r="K193" i="46" s="1"/>
  <c r="F193" i="46"/>
  <c r="D193" i="46"/>
  <c r="C193" i="46"/>
  <c r="I192" i="46"/>
  <c r="I269" i="46" s="1"/>
  <c r="H192" i="46"/>
  <c r="G192" i="46"/>
  <c r="F192" i="46"/>
  <c r="D192" i="46"/>
  <c r="C192" i="46"/>
  <c r="I191" i="46"/>
  <c r="H191" i="46"/>
  <c r="H268" i="46" s="1"/>
  <c r="G191" i="46"/>
  <c r="F191" i="46"/>
  <c r="F268" i="46" s="1"/>
  <c r="D191" i="46"/>
  <c r="C191" i="46"/>
  <c r="J190" i="46"/>
  <c r="I190" i="46"/>
  <c r="H190" i="46"/>
  <c r="G190" i="46"/>
  <c r="F190" i="46"/>
  <c r="K190" i="46" s="1"/>
  <c r="D190" i="46"/>
  <c r="C190" i="46"/>
  <c r="I189" i="46"/>
  <c r="H189" i="46"/>
  <c r="G189" i="46"/>
  <c r="G198" i="46" s="1"/>
  <c r="F189" i="46"/>
  <c r="D189" i="46"/>
  <c r="C189" i="46"/>
  <c r="C186" i="46"/>
  <c r="I185" i="46"/>
  <c r="H185" i="46"/>
  <c r="G185" i="46"/>
  <c r="J185" i="46" s="1"/>
  <c r="K185" i="46" s="1"/>
  <c r="F185" i="46"/>
  <c r="D185" i="46"/>
  <c r="C185" i="46"/>
  <c r="I184" i="46"/>
  <c r="H184" i="46"/>
  <c r="G184" i="46"/>
  <c r="J184" i="46" s="1"/>
  <c r="F184" i="46"/>
  <c r="K184" i="46" s="1"/>
  <c r="D184" i="46"/>
  <c r="C184" i="46"/>
  <c r="I183" i="46"/>
  <c r="H183" i="46"/>
  <c r="G183" i="46"/>
  <c r="G186" i="46" s="1"/>
  <c r="F183" i="46"/>
  <c r="D183" i="46"/>
  <c r="C183" i="46"/>
  <c r="I182" i="46"/>
  <c r="H182" i="46"/>
  <c r="G182" i="46"/>
  <c r="F182" i="46"/>
  <c r="D182" i="46"/>
  <c r="C182" i="46"/>
  <c r="I181" i="46"/>
  <c r="H181" i="46"/>
  <c r="J181" i="46" s="1"/>
  <c r="G181" i="46"/>
  <c r="F181" i="46"/>
  <c r="D181" i="46"/>
  <c r="C181" i="46"/>
  <c r="J180" i="46"/>
  <c r="I180" i="46"/>
  <c r="H180" i="46"/>
  <c r="G180" i="46"/>
  <c r="F180" i="46"/>
  <c r="K180" i="46" s="1"/>
  <c r="D180" i="46"/>
  <c r="C180" i="46"/>
  <c r="I179" i="46"/>
  <c r="I256" i="46" s="1"/>
  <c r="H179" i="46"/>
  <c r="H256" i="46" s="1"/>
  <c r="G179" i="46"/>
  <c r="F179" i="46"/>
  <c r="D179" i="46"/>
  <c r="C179" i="46"/>
  <c r="J178" i="46"/>
  <c r="I178" i="46"/>
  <c r="H178" i="46"/>
  <c r="G178" i="46"/>
  <c r="F178" i="46"/>
  <c r="D178" i="46"/>
  <c r="C178" i="46"/>
  <c r="J177" i="46"/>
  <c r="I177" i="46"/>
  <c r="H177" i="46"/>
  <c r="H186" i="46" s="1"/>
  <c r="G177" i="46"/>
  <c r="F177" i="46"/>
  <c r="D177" i="46"/>
  <c r="C177" i="46"/>
  <c r="C171" i="46"/>
  <c r="J170" i="46"/>
  <c r="I170" i="46"/>
  <c r="H170" i="46"/>
  <c r="G170" i="46"/>
  <c r="F170" i="46"/>
  <c r="D170" i="46"/>
  <c r="C170" i="46"/>
  <c r="I169" i="46"/>
  <c r="H169" i="46"/>
  <c r="G169" i="46"/>
  <c r="J169" i="46" s="1"/>
  <c r="K169" i="46" s="1"/>
  <c r="F169" i="46"/>
  <c r="D169" i="46"/>
  <c r="C169" i="46"/>
  <c r="I168" i="46"/>
  <c r="J168" i="46" s="1"/>
  <c r="K168" i="46" s="1"/>
  <c r="H168" i="46"/>
  <c r="G168" i="46"/>
  <c r="F168" i="46"/>
  <c r="D168" i="46"/>
  <c r="C168" i="46"/>
  <c r="J167" i="46"/>
  <c r="K167" i="46" s="1"/>
  <c r="I167" i="46"/>
  <c r="I244" i="46" s="1"/>
  <c r="H167" i="46"/>
  <c r="G167" i="46"/>
  <c r="F167" i="46"/>
  <c r="D167" i="46"/>
  <c r="C167" i="46"/>
  <c r="I166" i="46"/>
  <c r="H166" i="46"/>
  <c r="H243" i="46" s="1"/>
  <c r="G166" i="46"/>
  <c r="F166" i="46"/>
  <c r="D166" i="46"/>
  <c r="C166" i="46"/>
  <c r="I165" i="46"/>
  <c r="J165" i="46" s="1"/>
  <c r="H165" i="46"/>
  <c r="G165" i="46"/>
  <c r="F165" i="46"/>
  <c r="K165" i="46" s="1"/>
  <c r="D165" i="46"/>
  <c r="C165" i="46"/>
  <c r="K164" i="46"/>
  <c r="J164" i="46"/>
  <c r="I164" i="46"/>
  <c r="H164" i="46"/>
  <c r="G164" i="46"/>
  <c r="F164" i="46"/>
  <c r="D164" i="46"/>
  <c r="C164" i="46"/>
  <c r="I163" i="46"/>
  <c r="H163" i="46"/>
  <c r="G163" i="46"/>
  <c r="F163" i="46"/>
  <c r="D163" i="46"/>
  <c r="C163" i="46"/>
  <c r="I162" i="46"/>
  <c r="H162" i="46"/>
  <c r="G162" i="46"/>
  <c r="F162" i="46"/>
  <c r="D162" i="46"/>
  <c r="C162" i="46"/>
  <c r="I161" i="46"/>
  <c r="I238" i="46" s="1"/>
  <c r="H161" i="46"/>
  <c r="G161" i="46"/>
  <c r="F161" i="46"/>
  <c r="D161" i="46"/>
  <c r="C161" i="46"/>
  <c r="I160" i="46"/>
  <c r="I237" i="46" s="1"/>
  <c r="H160" i="46"/>
  <c r="G160" i="46"/>
  <c r="F160" i="46"/>
  <c r="D160" i="46"/>
  <c r="C160" i="46"/>
  <c r="I159" i="46"/>
  <c r="H159" i="46"/>
  <c r="G159" i="46"/>
  <c r="J159" i="46" s="1"/>
  <c r="F159" i="46"/>
  <c r="D159" i="46"/>
  <c r="C159" i="46"/>
  <c r="I158" i="46"/>
  <c r="H158" i="46"/>
  <c r="G158" i="46"/>
  <c r="F158" i="46"/>
  <c r="F235" i="46" s="1"/>
  <c r="D158" i="46"/>
  <c r="C158" i="46"/>
  <c r="J157" i="46"/>
  <c r="K157" i="46" s="1"/>
  <c r="I157" i="46"/>
  <c r="H157" i="46"/>
  <c r="H234" i="46" s="1"/>
  <c r="G157" i="46"/>
  <c r="G234" i="46" s="1"/>
  <c r="F157" i="46"/>
  <c r="D157" i="46"/>
  <c r="C157" i="46"/>
  <c r="I156" i="46"/>
  <c r="H156" i="46"/>
  <c r="J156" i="46" s="1"/>
  <c r="K156" i="46" s="1"/>
  <c r="G156" i="46"/>
  <c r="F156" i="46"/>
  <c r="D156" i="46"/>
  <c r="C156" i="46"/>
  <c r="I155" i="46"/>
  <c r="H155" i="46"/>
  <c r="G155" i="46"/>
  <c r="F155" i="46"/>
  <c r="D155" i="46"/>
  <c r="C155" i="46"/>
  <c r="I154" i="46"/>
  <c r="J154" i="46" s="1"/>
  <c r="K154" i="46" s="1"/>
  <c r="H154" i="46"/>
  <c r="G154" i="46"/>
  <c r="F154" i="46"/>
  <c r="D154" i="46"/>
  <c r="C154" i="46"/>
  <c r="K153" i="46"/>
  <c r="J153" i="46"/>
  <c r="I153" i="46"/>
  <c r="H153" i="46"/>
  <c r="G153" i="46"/>
  <c r="F153" i="46"/>
  <c r="D153" i="46"/>
  <c r="C153" i="46"/>
  <c r="I152" i="46"/>
  <c r="J152" i="46" s="1"/>
  <c r="H152" i="46"/>
  <c r="G152" i="46"/>
  <c r="F152" i="46"/>
  <c r="D152" i="46"/>
  <c r="C152" i="46"/>
  <c r="K151" i="46"/>
  <c r="I151" i="46"/>
  <c r="H151" i="46"/>
  <c r="G151" i="46"/>
  <c r="J151" i="46" s="1"/>
  <c r="F151" i="46"/>
  <c r="D151" i="46"/>
  <c r="C151" i="46"/>
  <c r="I150" i="46"/>
  <c r="H150" i="46"/>
  <c r="G150" i="46"/>
  <c r="F150" i="46"/>
  <c r="D150" i="46"/>
  <c r="C150" i="46"/>
  <c r="H147" i="46"/>
  <c r="C147" i="46"/>
  <c r="G145" i="46"/>
  <c r="F145" i="46"/>
  <c r="C145" i="46"/>
  <c r="I144" i="46"/>
  <c r="I145" i="46" s="1"/>
  <c r="I147" i="46" s="1"/>
  <c r="H144" i="46"/>
  <c r="G144" i="46"/>
  <c r="F144" i="46"/>
  <c r="D144" i="46"/>
  <c r="C144" i="46"/>
  <c r="J143" i="46"/>
  <c r="K143" i="46" s="1"/>
  <c r="I143" i="46"/>
  <c r="H143" i="46"/>
  <c r="H145" i="46" s="1"/>
  <c r="G143" i="46"/>
  <c r="F143" i="46"/>
  <c r="D143" i="46"/>
  <c r="C143" i="46"/>
  <c r="I142" i="46"/>
  <c r="H142" i="46"/>
  <c r="G142" i="46"/>
  <c r="J142" i="46" s="1"/>
  <c r="F142" i="46"/>
  <c r="D142" i="46"/>
  <c r="C142" i="46"/>
  <c r="C139" i="46"/>
  <c r="I138" i="46"/>
  <c r="I139" i="46" s="1"/>
  <c r="H138" i="46"/>
  <c r="G138" i="46"/>
  <c r="F138" i="46"/>
  <c r="D138" i="46"/>
  <c r="C138" i="46"/>
  <c r="I137" i="46"/>
  <c r="J137" i="46" s="1"/>
  <c r="K137" i="46" s="1"/>
  <c r="H137" i="46"/>
  <c r="G137" i="46"/>
  <c r="F137" i="46"/>
  <c r="D137" i="46"/>
  <c r="C137" i="46"/>
  <c r="I136" i="46"/>
  <c r="H136" i="46"/>
  <c r="H139" i="46" s="1"/>
  <c r="G136" i="46"/>
  <c r="F136" i="46"/>
  <c r="D136" i="46"/>
  <c r="C136" i="46"/>
  <c r="I134" i="46"/>
  <c r="H134" i="46"/>
  <c r="G134" i="46"/>
  <c r="I133" i="46"/>
  <c r="H133" i="46"/>
  <c r="G133" i="46"/>
  <c r="F133" i="46"/>
  <c r="A129" i="46"/>
  <c r="J128" i="46"/>
  <c r="A128" i="46"/>
  <c r="J127" i="46"/>
  <c r="A127" i="46"/>
  <c r="J126" i="46"/>
  <c r="A126" i="46"/>
  <c r="J125" i="46"/>
  <c r="A125" i="46"/>
  <c r="C121" i="46"/>
  <c r="I120" i="46"/>
  <c r="H120" i="46"/>
  <c r="G120" i="46"/>
  <c r="F120" i="46"/>
  <c r="F274" i="46" s="1"/>
  <c r="D120" i="46"/>
  <c r="C120" i="46"/>
  <c r="I119" i="46"/>
  <c r="H119" i="46"/>
  <c r="H273" i="46" s="1"/>
  <c r="G119" i="46"/>
  <c r="F119" i="46"/>
  <c r="D119" i="46"/>
  <c r="C119" i="46"/>
  <c r="I118" i="46"/>
  <c r="H118" i="46"/>
  <c r="G118" i="46"/>
  <c r="F118" i="46"/>
  <c r="D118" i="46"/>
  <c r="C118" i="46"/>
  <c r="I117" i="46"/>
  <c r="I271" i="46" s="1"/>
  <c r="H117" i="46"/>
  <c r="G117" i="46"/>
  <c r="J117" i="46" s="1"/>
  <c r="F117" i="46"/>
  <c r="D117" i="46"/>
  <c r="C117" i="46"/>
  <c r="I116" i="46"/>
  <c r="H116" i="46"/>
  <c r="G116" i="46"/>
  <c r="J116" i="46" s="1"/>
  <c r="F116" i="46"/>
  <c r="K116" i="46" s="1"/>
  <c r="D116" i="46"/>
  <c r="C116" i="46"/>
  <c r="I115" i="46"/>
  <c r="H115" i="46"/>
  <c r="H269" i="46" s="1"/>
  <c r="G115" i="46"/>
  <c r="F115" i="46"/>
  <c r="D115" i="46"/>
  <c r="C115" i="46"/>
  <c r="I114" i="46"/>
  <c r="I268" i="46" s="1"/>
  <c r="H114" i="46"/>
  <c r="G114" i="46"/>
  <c r="F114" i="46"/>
  <c r="D114" i="46"/>
  <c r="C114" i="46"/>
  <c r="I113" i="46"/>
  <c r="H113" i="46"/>
  <c r="G113" i="46"/>
  <c r="F113" i="46"/>
  <c r="D113" i="46"/>
  <c r="C113" i="46"/>
  <c r="I112" i="46"/>
  <c r="I266" i="46" s="1"/>
  <c r="H112" i="46"/>
  <c r="G112" i="46"/>
  <c r="F112" i="46"/>
  <c r="D112" i="46"/>
  <c r="C112" i="46"/>
  <c r="F109" i="46"/>
  <c r="C109" i="46"/>
  <c r="I108" i="46"/>
  <c r="J108" i="46" s="1"/>
  <c r="H108" i="46"/>
  <c r="H262" i="46" s="1"/>
  <c r="G108" i="46"/>
  <c r="G262" i="46" s="1"/>
  <c r="F108" i="46"/>
  <c r="F262" i="46" s="1"/>
  <c r="D108" i="46"/>
  <c r="C108" i="46"/>
  <c r="I107" i="46"/>
  <c r="I261" i="46" s="1"/>
  <c r="H107" i="46"/>
  <c r="H261" i="46" s="1"/>
  <c r="G107" i="46"/>
  <c r="F107" i="46"/>
  <c r="D107" i="46"/>
  <c r="C107" i="46"/>
  <c r="J106" i="46"/>
  <c r="I106" i="46"/>
  <c r="H106" i="46"/>
  <c r="G106" i="46"/>
  <c r="F106" i="46"/>
  <c r="K106" i="46" s="1"/>
  <c r="D106" i="46"/>
  <c r="C106" i="46"/>
  <c r="J105" i="46"/>
  <c r="I105" i="46"/>
  <c r="H105" i="46"/>
  <c r="G105" i="46"/>
  <c r="F105" i="46"/>
  <c r="D105" i="46"/>
  <c r="C105" i="46"/>
  <c r="I104" i="46"/>
  <c r="J104" i="46" s="1"/>
  <c r="H104" i="46"/>
  <c r="G104" i="46"/>
  <c r="F104" i="46"/>
  <c r="K104" i="46" s="1"/>
  <c r="D104" i="46"/>
  <c r="C104" i="46"/>
  <c r="I103" i="46"/>
  <c r="H103" i="46"/>
  <c r="H257" i="46" s="1"/>
  <c r="G103" i="46"/>
  <c r="F103" i="46"/>
  <c r="D103" i="46"/>
  <c r="C103" i="46"/>
  <c r="J102" i="46"/>
  <c r="I102" i="46"/>
  <c r="H102" i="46"/>
  <c r="G102" i="46"/>
  <c r="F102" i="46"/>
  <c r="F256" i="46" s="1"/>
  <c r="D102" i="46"/>
  <c r="C102" i="46"/>
  <c r="I101" i="46"/>
  <c r="I255" i="46" s="1"/>
  <c r="H101" i="46"/>
  <c r="J101" i="46" s="1"/>
  <c r="J255" i="46" s="1"/>
  <c r="G101" i="46"/>
  <c r="G255" i="46" s="1"/>
  <c r="F101" i="46"/>
  <c r="K101" i="46" s="1"/>
  <c r="D101" i="46"/>
  <c r="C101" i="46"/>
  <c r="J100" i="46"/>
  <c r="I100" i="46"/>
  <c r="H100" i="46"/>
  <c r="G100" i="46"/>
  <c r="F100" i="46"/>
  <c r="F254" i="46" s="1"/>
  <c r="D100" i="46"/>
  <c r="C100" i="46"/>
  <c r="C94" i="46"/>
  <c r="I93" i="46"/>
  <c r="I247" i="46" s="1"/>
  <c r="H93" i="46"/>
  <c r="H247" i="46" s="1"/>
  <c r="G93" i="46"/>
  <c r="F93" i="46"/>
  <c r="D93" i="46"/>
  <c r="C93" i="46"/>
  <c r="J92" i="46"/>
  <c r="K92" i="46" s="1"/>
  <c r="I92" i="46"/>
  <c r="H92" i="46"/>
  <c r="G92" i="46"/>
  <c r="F92" i="46"/>
  <c r="D92" i="46"/>
  <c r="C92" i="46"/>
  <c r="I91" i="46"/>
  <c r="I245" i="46" s="1"/>
  <c r="H91" i="46"/>
  <c r="H245" i="46" s="1"/>
  <c r="G91" i="46"/>
  <c r="G245" i="46" s="1"/>
  <c r="F91" i="46"/>
  <c r="D91" i="46"/>
  <c r="C91" i="46"/>
  <c r="I90" i="46"/>
  <c r="H90" i="46"/>
  <c r="H244" i="46" s="1"/>
  <c r="G90" i="46"/>
  <c r="F90" i="46"/>
  <c r="F244" i="46" s="1"/>
  <c r="D90" i="46"/>
  <c r="C90" i="46"/>
  <c r="I89" i="46"/>
  <c r="I243" i="46" s="1"/>
  <c r="H89" i="46"/>
  <c r="G89" i="46"/>
  <c r="J89" i="46" s="1"/>
  <c r="F89" i="46"/>
  <c r="D89" i="46"/>
  <c r="C89" i="46"/>
  <c r="I88" i="46"/>
  <c r="I242" i="46" s="1"/>
  <c r="H88" i="46"/>
  <c r="G88" i="46"/>
  <c r="J88" i="46" s="1"/>
  <c r="J242" i="46" s="1"/>
  <c r="F88" i="46"/>
  <c r="K88" i="46" s="1"/>
  <c r="K242" i="46" s="1"/>
  <c r="D88" i="46"/>
  <c r="C88" i="46"/>
  <c r="I87" i="46"/>
  <c r="I241" i="46" s="1"/>
  <c r="H87" i="46"/>
  <c r="G87" i="46"/>
  <c r="G241" i="46" s="1"/>
  <c r="F87" i="46"/>
  <c r="D87" i="46"/>
  <c r="C87" i="46"/>
  <c r="I86" i="46"/>
  <c r="H86" i="46"/>
  <c r="G86" i="46"/>
  <c r="J86" i="46" s="1"/>
  <c r="K86" i="46" s="1"/>
  <c r="F86" i="46"/>
  <c r="F240" i="46" s="1"/>
  <c r="D86" i="46"/>
  <c r="C86" i="46"/>
  <c r="I85" i="46"/>
  <c r="I239" i="46" s="1"/>
  <c r="H85" i="46"/>
  <c r="H239" i="46" s="1"/>
  <c r="G85" i="46"/>
  <c r="F85" i="46"/>
  <c r="D85" i="46"/>
  <c r="C85" i="46"/>
  <c r="I84" i="46"/>
  <c r="H84" i="46"/>
  <c r="H238" i="46" s="1"/>
  <c r="G84" i="46"/>
  <c r="F84" i="46"/>
  <c r="F238" i="46" s="1"/>
  <c r="D84" i="46"/>
  <c r="C84" i="46"/>
  <c r="I83" i="46"/>
  <c r="H83" i="46"/>
  <c r="G83" i="46"/>
  <c r="F83" i="46"/>
  <c r="D83" i="46"/>
  <c r="C83" i="46"/>
  <c r="I82" i="46"/>
  <c r="I236" i="46" s="1"/>
  <c r="H82" i="46"/>
  <c r="G82" i="46"/>
  <c r="G236" i="46" s="1"/>
  <c r="F82" i="46"/>
  <c r="D82" i="46"/>
  <c r="C82" i="46"/>
  <c r="J81" i="46"/>
  <c r="I81" i="46"/>
  <c r="H81" i="46"/>
  <c r="G81" i="46"/>
  <c r="G235" i="46" s="1"/>
  <c r="F81" i="46"/>
  <c r="D81" i="46"/>
  <c r="C81" i="46"/>
  <c r="I80" i="46"/>
  <c r="J80" i="46" s="1"/>
  <c r="J234" i="46" s="1"/>
  <c r="H80" i="46"/>
  <c r="G80" i="46"/>
  <c r="F80" i="46"/>
  <c r="D80" i="46"/>
  <c r="C80" i="46"/>
  <c r="I79" i="46"/>
  <c r="I233" i="46" s="1"/>
  <c r="H79" i="46"/>
  <c r="H233" i="46" s="1"/>
  <c r="G79" i="46"/>
  <c r="F79" i="46"/>
  <c r="F233" i="46" s="1"/>
  <c r="D79" i="46"/>
  <c r="C79" i="46"/>
  <c r="I78" i="46"/>
  <c r="I232" i="46" s="1"/>
  <c r="H78" i="46"/>
  <c r="G78" i="46"/>
  <c r="J78" i="46" s="1"/>
  <c r="K78" i="46" s="1"/>
  <c r="F78" i="46"/>
  <c r="F232" i="46" s="1"/>
  <c r="D78" i="46"/>
  <c r="C78" i="46"/>
  <c r="K77" i="46"/>
  <c r="K231" i="46" s="1"/>
  <c r="I77" i="46"/>
  <c r="H77" i="46"/>
  <c r="J77" i="46" s="1"/>
  <c r="G77" i="46"/>
  <c r="F77" i="46"/>
  <c r="D77" i="46"/>
  <c r="C77" i="46"/>
  <c r="I76" i="46"/>
  <c r="I230" i="46" s="1"/>
  <c r="H76" i="46"/>
  <c r="H230" i="46" s="1"/>
  <c r="G76" i="46"/>
  <c r="F76" i="46"/>
  <c r="D76" i="46"/>
  <c r="C76" i="46"/>
  <c r="I75" i="46"/>
  <c r="H75" i="46"/>
  <c r="H229" i="46" s="1"/>
  <c r="G75" i="46"/>
  <c r="G229" i="46" s="1"/>
  <c r="F75" i="46"/>
  <c r="D75" i="46"/>
  <c r="C75" i="46"/>
  <c r="I74" i="46"/>
  <c r="I228" i="46" s="1"/>
  <c r="H74" i="46"/>
  <c r="J74" i="46" s="1"/>
  <c r="J228" i="46" s="1"/>
  <c r="G74" i="46"/>
  <c r="F74" i="46"/>
  <c r="D74" i="46"/>
  <c r="C74" i="46"/>
  <c r="I73" i="46"/>
  <c r="H73" i="46"/>
  <c r="H227" i="46" s="1"/>
  <c r="G73" i="46"/>
  <c r="G227" i="46" s="1"/>
  <c r="F73" i="46"/>
  <c r="F227" i="46" s="1"/>
  <c r="D73" i="46"/>
  <c r="C73" i="46"/>
  <c r="H68" i="46"/>
  <c r="C68" i="46"/>
  <c r="I67" i="46"/>
  <c r="H67" i="46"/>
  <c r="G67" i="46"/>
  <c r="F67" i="46"/>
  <c r="D67" i="46"/>
  <c r="I66" i="46"/>
  <c r="H66" i="46"/>
  <c r="G66" i="46"/>
  <c r="F66" i="46"/>
  <c r="D66" i="46"/>
  <c r="I65" i="46"/>
  <c r="I219" i="46" s="1"/>
  <c r="H65" i="46"/>
  <c r="G65" i="46"/>
  <c r="F65" i="46"/>
  <c r="D65" i="46"/>
  <c r="C62" i="46"/>
  <c r="I61" i="46"/>
  <c r="H61" i="46"/>
  <c r="H215" i="46" s="1"/>
  <c r="G61" i="46"/>
  <c r="F61" i="46"/>
  <c r="D61" i="46"/>
  <c r="C61" i="46"/>
  <c r="I60" i="46"/>
  <c r="I214" i="46" s="1"/>
  <c r="H60" i="46"/>
  <c r="H214" i="46" s="1"/>
  <c r="G60" i="46"/>
  <c r="G214" i="46" s="1"/>
  <c r="F60" i="46"/>
  <c r="F214" i="46" s="1"/>
  <c r="D60" i="46"/>
  <c r="J59" i="46"/>
  <c r="I59" i="46"/>
  <c r="H59" i="46"/>
  <c r="G59" i="46"/>
  <c r="G62" i="46" s="1"/>
  <c r="F59" i="46"/>
  <c r="F213" i="46" s="1"/>
  <c r="D59" i="46"/>
  <c r="I57" i="46"/>
  <c r="H57" i="46"/>
  <c r="G57" i="46"/>
  <c r="I56" i="46"/>
  <c r="H56" i="46"/>
  <c r="G56" i="46"/>
  <c r="F56" i="46"/>
  <c r="A52" i="46"/>
  <c r="J51" i="46"/>
  <c r="A51" i="46"/>
  <c r="J50" i="46"/>
  <c r="A50" i="46"/>
  <c r="J49" i="46"/>
  <c r="A49" i="46"/>
  <c r="J48" i="46"/>
  <c r="A48" i="46"/>
  <c r="I45" i="46"/>
  <c r="H45" i="46"/>
  <c r="F45" i="46"/>
  <c r="F46" i="46" s="1"/>
  <c r="I42" i="46"/>
  <c r="H42" i="46"/>
  <c r="F42" i="46"/>
  <c r="I33" i="46"/>
  <c r="H33" i="46"/>
  <c r="G33" i="46"/>
  <c r="F33" i="46"/>
  <c r="B32" i="46"/>
  <c r="I31" i="46"/>
  <c r="H31" i="46"/>
  <c r="J31" i="46" s="1"/>
  <c r="G31" i="46"/>
  <c r="F31" i="46"/>
  <c r="K31" i="46" s="1"/>
  <c r="D31" i="46"/>
  <c r="C30" i="46"/>
  <c r="C26" i="46"/>
  <c r="C25" i="46"/>
  <c r="I24" i="46"/>
  <c r="H24" i="46"/>
  <c r="G24" i="46"/>
  <c r="F24" i="46"/>
  <c r="F670" i="46" s="1"/>
  <c r="D24" i="46"/>
  <c r="C22" i="46"/>
  <c r="C21" i="46"/>
  <c r="C20" i="46"/>
  <c r="C19" i="46"/>
  <c r="C18" i="46"/>
  <c r="C15" i="46"/>
  <c r="C14" i="46"/>
  <c r="C13" i="46"/>
  <c r="C12" i="46"/>
  <c r="A5" i="46"/>
  <c r="J4" i="46"/>
  <c r="A4" i="46"/>
  <c r="J3" i="46"/>
  <c r="A3" i="46"/>
  <c r="A2" i="46"/>
  <c r="A552" i="46" s="1"/>
  <c r="A1" i="46"/>
  <c r="V67" i="28"/>
  <c r="V66" i="28"/>
  <c r="C32" i="28"/>
  <c r="D14" i="51" l="1"/>
  <c r="D15" i="51"/>
  <c r="C9" i="45"/>
  <c r="H433" i="46"/>
  <c r="H28" i="46" s="1"/>
  <c r="H711" i="46"/>
  <c r="F200" i="46"/>
  <c r="F13" i="46" s="1"/>
  <c r="F220" i="46"/>
  <c r="J262" i="46"/>
  <c r="K108" i="46"/>
  <c r="K262" i="46" s="1"/>
  <c r="J118" i="46"/>
  <c r="J272" i="46" s="1"/>
  <c r="I272" i="46"/>
  <c r="I121" i="46"/>
  <c r="I1015" i="46"/>
  <c r="I661" i="46"/>
  <c r="I174" i="46"/>
  <c r="K481" i="46"/>
  <c r="K360" i="46"/>
  <c r="H1015" i="46"/>
  <c r="H661" i="46"/>
  <c r="H663" i="46" s="1"/>
  <c r="J256" i="46"/>
  <c r="K102" i="46"/>
  <c r="F269" i="46"/>
  <c r="J60" i="46"/>
  <c r="J91" i="46"/>
  <c r="J245" i="46" s="1"/>
  <c r="F257" i="46"/>
  <c r="G242" i="46"/>
  <c r="I453" i="46"/>
  <c r="J33" i="46"/>
  <c r="G254" i="46"/>
  <c r="G263" i="46" s="1"/>
  <c r="G109" i="46"/>
  <c r="F266" i="46"/>
  <c r="F275" i="46" s="1"/>
  <c r="F121" i="46"/>
  <c r="K112" i="46"/>
  <c r="H216" i="46"/>
  <c r="K487" i="46"/>
  <c r="G605" i="46"/>
  <c r="K348" i="46"/>
  <c r="J518" i="46"/>
  <c r="K516" i="46"/>
  <c r="F605" i="46"/>
  <c r="K604" i="46"/>
  <c r="G1015" i="46"/>
  <c r="G661" i="46"/>
  <c r="I171" i="46"/>
  <c r="I173" i="46" s="1"/>
  <c r="G171" i="46"/>
  <c r="G173" i="46" s="1"/>
  <c r="J160" i="46"/>
  <c r="K160" i="46" s="1"/>
  <c r="J66" i="46"/>
  <c r="J220" i="46" s="1"/>
  <c r="I220" i="46"/>
  <c r="I222" i="46" s="1"/>
  <c r="K74" i="46"/>
  <c r="K228" i="46" s="1"/>
  <c r="F242" i="46"/>
  <c r="K528" i="46"/>
  <c r="K747" i="46"/>
  <c r="J67" i="46"/>
  <c r="G68" i="46"/>
  <c r="G70" i="46" s="1"/>
  <c r="G224" i="46" s="1"/>
  <c r="G239" i="46"/>
  <c r="J85" i="46"/>
  <c r="F171" i="46"/>
  <c r="F173" i="46" s="1"/>
  <c r="K195" i="46"/>
  <c r="K318" i="46"/>
  <c r="K322" i="46" s="1"/>
  <c r="F322" i="46"/>
  <c r="F324" i="46" s="1"/>
  <c r="F418" i="46" s="1"/>
  <c r="F459" i="46"/>
  <c r="K517" i="46"/>
  <c r="G633" i="46"/>
  <c r="G1005" i="46" s="1"/>
  <c r="J632" i="46"/>
  <c r="G215" i="46"/>
  <c r="G216" i="46" s="1"/>
  <c r="J138" i="46"/>
  <c r="K138" i="46" s="1"/>
  <c r="H275" i="46"/>
  <c r="G322" i="46"/>
  <c r="G324" i="46" s="1"/>
  <c r="G418" i="46" s="1"/>
  <c r="J318" i="46"/>
  <c r="J322" i="46" s="1"/>
  <c r="J412" i="46"/>
  <c r="K412" i="46" s="1"/>
  <c r="F532" i="46"/>
  <c r="F547" i="46" s="1"/>
  <c r="K525" i="46"/>
  <c r="K532" i="46" s="1"/>
  <c r="J546" i="46"/>
  <c r="K546" i="46" s="1"/>
  <c r="F579" i="46"/>
  <c r="F582" i="46" s="1"/>
  <c r="K652" i="46"/>
  <c r="K653" i="46" s="1"/>
  <c r="F230" i="46"/>
  <c r="J82" i="46"/>
  <c r="J113" i="46"/>
  <c r="J267" i="46" s="1"/>
  <c r="J192" i="46"/>
  <c r="K192" i="46" s="1"/>
  <c r="J339" i="46"/>
  <c r="J361" i="46" s="1"/>
  <c r="J360" i="46"/>
  <c r="J488" i="46"/>
  <c r="F518" i="46"/>
  <c r="G563" i="46"/>
  <c r="J562" i="46"/>
  <c r="F641" i="46"/>
  <c r="J246" i="46"/>
  <c r="K431" i="46"/>
  <c r="K37" i="46" s="1"/>
  <c r="F433" i="46"/>
  <c r="I750" i="46"/>
  <c r="H228" i="46"/>
  <c r="H248" i="46" s="1"/>
  <c r="J431" i="46"/>
  <c r="G639" i="46"/>
  <c r="J636" i="46"/>
  <c r="J639" i="46" s="1"/>
  <c r="H707" i="46"/>
  <c r="H669" i="46" s="1"/>
  <c r="H716" i="46"/>
  <c r="J61" i="46"/>
  <c r="K89" i="46"/>
  <c r="J120" i="46"/>
  <c r="H274" i="46"/>
  <c r="K488" i="46"/>
  <c r="G230" i="46"/>
  <c r="G248" i="46" s="1"/>
  <c r="J76" i="46"/>
  <c r="J230" i="46" s="1"/>
  <c r="K117" i="46"/>
  <c r="K271" i="46" s="1"/>
  <c r="J271" i="46"/>
  <c r="H416" i="46"/>
  <c r="H420" i="46" s="1"/>
  <c r="J366" i="46"/>
  <c r="K366" i="46" s="1"/>
  <c r="G139" i="46"/>
  <c r="J136" i="46"/>
  <c r="F260" i="46"/>
  <c r="G271" i="46"/>
  <c r="G361" i="46"/>
  <c r="G377" i="46" s="1"/>
  <c r="G419" i="46" s="1"/>
  <c r="I670" i="46"/>
  <c r="I769" i="46"/>
  <c r="J73" i="46"/>
  <c r="J114" i="46"/>
  <c r="G268" i="46"/>
  <c r="J166" i="46"/>
  <c r="K166" i="46" s="1"/>
  <c r="J603" i="46"/>
  <c r="K603" i="46" s="1"/>
  <c r="G94" i="46"/>
  <c r="F272" i="46"/>
  <c r="K570" i="46"/>
  <c r="K571" i="46" s="1"/>
  <c r="J571" i="46"/>
  <c r="H70" i="46"/>
  <c r="H224" i="46" s="1"/>
  <c r="G200" i="46"/>
  <c r="G13" i="46" s="1"/>
  <c r="J371" i="46"/>
  <c r="K371" i="46" s="1"/>
  <c r="I416" i="46"/>
  <c r="I420" i="46" s="1"/>
  <c r="I68" i="46"/>
  <c r="I70" i="46" s="1"/>
  <c r="I224" i="46" s="1"/>
  <c r="G237" i="46"/>
  <c r="I186" i="46"/>
  <c r="I200" i="46" s="1"/>
  <c r="I13" i="46" s="1"/>
  <c r="K357" i="46"/>
  <c r="K449" i="46"/>
  <c r="F453" i="46"/>
  <c r="G1016" i="46"/>
  <c r="G769" i="46"/>
  <c r="G715" i="46"/>
  <c r="J24" i="46"/>
  <c r="G670" i="46"/>
  <c r="H670" i="46"/>
  <c r="H769" i="46"/>
  <c r="H715" i="46"/>
  <c r="I227" i="46"/>
  <c r="J231" i="46"/>
  <c r="H94" i="46"/>
  <c r="J259" i="46"/>
  <c r="H324" i="46"/>
  <c r="H418" i="46" s="1"/>
  <c r="I492" i="46"/>
  <c r="J541" i="46"/>
  <c r="K541" i="46" s="1"/>
  <c r="I605" i="46"/>
  <c r="I612" i="46" s="1"/>
  <c r="J367" i="46"/>
  <c r="G998" i="46"/>
  <c r="G29" i="46"/>
  <c r="G757" i="46"/>
  <c r="G760" i="46" s="1"/>
  <c r="G762" i="46" s="1"/>
  <c r="J254" i="46"/>
  <c r="J525" i="46"/>
  <c r="J532" i="46" s="1"/>
  <c r="G532" i="46"/>
  <c r="G547" i="46" s="1"/>
  <c r="J578" i="46"/>
  <c r="J579" i="46" s="1"/>
  <c r="G579" i="46"/>
  <c r="K601" i="46"/>
  <c r="K100" i="46"/>
  <c r="K543" i="46"/>
  <c r="I1016" i="46"/>
  <c r="I215" i="46"/>
  <c r="I216" i="46" s="1"/>
  <c r="J79" i="46"/>
  <c r="G233" i="46"/>
  <c r="J183" i="46"/>
  <c r="K183" i="46" s="1"/>
  <c r="K260" i="46" s="1"/>
  <c r="G260" i="46"/>
  <c r="I616" i="46"/>
  <c r="I19" i="46"/>
  <c r="J1016" i="46"/>
  <c r="K246" i="46"/>
  <c r="H267" i="46"/>
  <c r="H121" i="46"/>
  <c r="F239" i="46"/>
  <c r="F248" i="46" s="1"/>
  <c r="J189" i="46"/>
  <c r="G147" i="46"/>
  <c r="G174" i="46" s="1"/>
  <c r="K700" i="46"/>
  <c r="K701" i="46" s="1"/>
  <c r="J701" i="46"/>
  <c r="I240" i="46"/>
  <c r="H222" i="46"/>
  <c r="K177" i="46"/>
  <c r="H62" i="46"/>
  <c r="I231" i="46"/>
  <c r="I94" i="46"/>
  <c r="K105" i="46"/>
  <c r="H240" i="46"/>
  <c r="J163" i="46"/>
  <c r="J240" i="46" s="1"/>
  <c r="G765" i="46"/>
  <c r="J469" i="46"/>
  <c r="K478" i="46"/>
  <c r="J481" i="46"/>
  <c r="J144" i="46"/>
  <c r="K144" i="46" s="1"/>
  <c r="H171" i="46"/>
  <c r="H173" i="46" s="1"/>
  <c r="K300" i="46"/>
  <c r="J309" i="46"/>
  <c r="K309" i="46" s="1"/>
  <c r="K475" i="46"/>
  <c r="K491" i="46"/>
  <c r="K531" i="46"/>
  <c r="J646" i="46"/>
  <c r="K646" i="46" s="1"/>
  <c r="J294" i="46"/>
  <c r="K294" i="46" s="1"/>
  <c r="K341" i="46"/>
  <c r="J348" i="46"/>
  <c r="H605" i="46"/>
  <c r="H612" i="46" s="1"/>
  <c r="H641" i="46"/>
  <c r="F806" i="46"/>
  <c r="F216" i="46"/>
  <c r="F62" i="46"/>
  <c r="I254" i="46"/>
  <c r="I109" i="46"/>
  <c r="G269" i="46"/>
  <c r="J115" i="46"/>
  <c r="J269" i="46" s="1"/>
  <c r="K178" i="46"/>
  <c r="K255" i="46" s="1"/>
  <c r="F186" i="46"/>
  <c r="K181" i="46"/>
  <c r="K313" i="46"/>
  <c r="J341" i="46"/>
  <c r="F416" i="46"/>
  <c r="F420" i="46" s="1"/>
  <c r="J402" i="46"/>
  <c r="J405" i="46" s="1"/>
  <c r="G408" i="46"/>
  <c r="G416" i="46" s="1"/>
  <c r="G420" i="46" s="1"/>
  <c r="J407" i="46"/>
  <c r="J452" i="46"/>
  <c r="K452" i="46" s="1"/>
  <c r="K476" i="46"/>
  <c r="F662" i="46"/>
  <c r="F715" i="46"/>
  <c r="J370" i="46"/>
  <c r="G375" i="46"/>
  <c r="G266" i="46"/>
  <c r="G121" i="46"/>
  <c r="K694" i="46"/>
  <c r="F219" i="46"/>
  <c r="F222" i="46" s="1"/>
  <c r="F68" i="46"/>
  <c r="F70" i="46" s="1"/>
  <c r="F94" i="46"/>
  <c r="F241" i="46"/>
  <c r="K87" i="46"/>
  <c r="K241" i="46" s="1"/>
  <c r="G244" i="46"/>
  <c r="J90" i="46"/>
  <c r="H361" i="46"/>
  <c r="K349" i="46"/>
  <c r="H503" i="46"/>
  <c r="H616" i="46"/>
  <c r="H19" i="46"/>
  <c r="K644" i="46"/>
  <c r="G793" i="46"/>
  <c r="F808" i="46" s="1"/>
  <c r="K59" i="46"/>
  <c r="G219" i="46"/>
  <c r="G222" i="46" s="1"/>
  <c r="I235" i="46"/>
  <c r="F261" i="46"/>
  <c r="G315" i="46"/>
  <c r="J304" i="46"/>
  <c r="J349" i="46"/>
  <c r="K359" i="46"/>
  <c r="K396" i="46"/>
  <c r="H466" i="46"/>
  <c r="I503" i="46"/>
  <c r="K602" i="46"/>
  <c r="K695" i="46"/>
  <c r="I716" i="46"/>
  <c r="G42" i="46"/>
  <c r="H232" i="46"/>
  <c r="J112" i="46"/>
  <c r="K365" i="46"/>
  <c r="I466" i="46"/>
  <c r="K704" i="46"/>
  <c r="K705" i="46" s="1"/>
  <c r="K81" i="46"/>
  <c r="J84" i="46"/>
  <c r="F301" i="46"/>
  <c r="I315" i="46"/>
  <c r="K447" i="46"/>
  <c r="J462" i="46"/>
  <c r="J466" i="46" s="1"/>
  <c r="K495" i="46"/>
  <c r="F361" i="46"/>
  <c r="K338" i="46"/>
  <c r="I62" i="46"/>
  <c r="H46" i="46"/>
  <c r="I46" i="46"/>
  <c r="J65" i="46"/>
  <c r="J87" i="46"/>
  <c r="J241" i="46" s="1"/>
  <c r="J150" i="46"/>
  <c r="F255" i="46"/>
  <c r="G301" i="46"/>
  <c r="K346" i="46"/>
  <c r="J356" i="46"/>
  <c r="K356" i="46" s="1"/>
  <c r="G453" i="46"/>
  <c r="G459" i="46" s="1"/>
  <c r="J447" i="46"/>
  <c r="K474" i="46"/>
  <c r="K645" i="46"/>
  <c r="F649" i="46"/>
  <c r="F492" i="46"/>
  <c r="K473" i="46"/>
  <c r="F273" i="46"/>
  <c r="J498" i="46"/>
  <c r="K498" i="46" s="1"/>
  <c r="G503" i="46"/>
  <c r="J93" i="46"/>
  <c r="J107" i="46"/>
  <c r="F267" i="46"/>
  <c r="K163" i="46"/>
  <c r="K240" i="46" s="1"/>
  <c r="H255" i="46"/>
  <c r="H263" i="46" s="1"/>
  <c r="J308" i="46"/>
  <c r="K308" i="46" s="1"/>
  <c r="K339" i="46"/>
  <c r="H453" i="46"/>
  <c r="H459" i="46" s="1"/>
  <c r="G492" i="46"/>
  <c r="K574" i="46"/>
  <c r="K575" i="46" s="1"/>
  <c r="K597" i="46"/>
  <c r="K598" i="46" s="1"/>
  <c r="I1006" i="46"/>
  <c r="I641" i="46"/>
  <c r="I658" i="46"/>
  <c r="I1021" i="46" s="1"/>
  <c r="K749" i="46"/>
  <c r="H109" i="46"/>
  <c r="J103" i="46"/>
  <c r="J257" i="46" s="1"/>
  <c r="K159" i="46"/>
  <c r="J162" i="46"/>
  <c r="K162" i="46" s="1"/>
  <c r="I433" i="46"/>
  <c r="K501" i="46"/>
  <c r="J534" i="46"/>
  <c r="K534" i="46" s="1"/>
  <c r="K566" i="46"/>
  <c r="K567" i="46" s="1"/>
  <c r="J749" i="46"/>
  <c r="F245" i="46"/>
  <c r="K91" i="46"/>
  <c r="K245" i="46" s="1"/>
  <c r="K136" i="46"/>
  <c r="F139" i="46"/>
  <c r="F147" i="46" s="1"/>
  <c r="J179" i="46"/>
  <c r="K179" i="46" s="1"/>
  <c r="J182" i="46"/>
  <c r="K182" i="46" s="1"/>
  <c r="K310" i="46"/>
  <c r="K397" i="46"/>
  <c r="J747" i="46"/>
  <c r="J119" i="46"/>
  <c r="J273" i="46" s="1"/>
  <c r="G273" i="46"/>
  <c r="K142" i="46"/>
  <c r="K145" i="46" s="1"/>
  <c r="K293" i="46"/>
  <c r="F367" i="46"/>
  <c r="J473" i="46"/>
  <c r="I532" i="46"/>
  <c r="I547" i="46" s="1"/>
  <c r="K536" i="46"/>
  <c r="J597" i="46"/>
  <c r="J598" i="46" s="1"/>
  <c r="K674" i="46"/>
  <c r="J695" i="46"/>
  <c r="J696" i="46" s="1"/>
  <c r="J714" i="46" s="1"/>
  <c r="K714" i="46" s="1"/>
  <c r="F610" i="46"/>
  <c r="K608" i="46"/>
  <c r="K610" i="46" s="1"/>
  <c r="K80" i="46"/>
  <c r="K234" i="46" s="1"/>
  <c r="F246" i="46"/>
  <c r="G259" i="46"/>
  <c r="I267" i="46"/>
  <c r="I275" i="46" s="1"/>
  <c r="K152" i="46"/>
  <c r="K170" i="46"/>
  <c r="J191" i="46"/>
  <c r="K191" i="46" s="1"/>
  <c r="J197" i="46"/>
  <c r="K197" i="46" s="1"/>
  <c r="H367" i="46"/>
  <c r="J539" i="46"/>
  <c r="K539" i="46" s="1"/>
  <c r="J545" i="46"/>
  <c r="K545" i="46" s="1"/>
  <c r="G610" i="46"/>
  <c r="F750" i="46"/>
  <c r="A436" i="46"/>
  <c r="A380" i="46"/>
  <c r="A280" i="46"/>
  <c r="A327" i="46"/>
  <c r="A203" i="46"/>
  <c r="A987" i="46"/>
  <c r="A732" i="46"/>
  <c r="A684" i="46"/>
  <c r="H198" i="46"/>
  <c r="I322" i="46"/>
  <c r="I324" i="46" s="1"/>
  <c r="I418" i="46" s="1"/>
  <c r="I367" i="46"/>
  <c r="I377" i="46" s="1"/>
  <c r="I419" i="46" s="1"/>
  <c r="J395" i="46"/>
  <c r="K411" i="46"/>
  <c r="K414" i="46" s="1"/>
  <c r="J448" i="46"/>
  <c r="K448" i="46" s="1"/>
  <c r="I459" i="46"/>
  <c r="J463" i="46"/>
  <c r="K463" i="46" s="1"/>
  <c r="K489" i="46"/>
  <c r="K497" i="46"/>
  <c r="K500" i="46"/>
  <c r="J542" i="46"/>
  <c r="K542" i="46" s="1"/>
  <c r="J742" i="46"/>
  <c r="J745" i="46"/>
  <c r="K745" i="46" s="1"/>
  <c r="J83" i="46"/>
  <c r="I259" i="46"/>
  <c r="J155" i="46"/>
  <c r="J158" i="46"/>
  <c r="K158" i="46" s="1"/>
  <c r="J161" i="46"/>
  <c r="K161" i="46" s="1"/>
  <c r="F315" i="46"/>
  <c r="K364" i="46"/>
  <c r="K367" i="46" s="1"/>
  <c r="K370" i="46"/>
  <c r="F375" i="46"/>
  <c r="K373" i="46"/>
  <c r="G414" i="46"/>
  <c r="I610" i="46"/>
  <c r="K636" i="46"/>
  <c r="K639" i="46" s="1"/>
  <c r="J656" i="46"/>
  <c r="J658" i="46" s="1"/>
  <c r="J1021" i="46" s="1"/>
  <c r="G658" i="46"/>
  <c r="G1021" i="46" s="1"/>
  <c r="H750" i="46"/>
  <c r="H1016" i="46"/>
  <c r="G405" i="46"/>
  <c r="J75" i="46"/>
  <c r="J229" i="46" s="1"/>
  <c r="H754" i="46" l="1"/>
  <c r="E15" i="51"/>
  <c r="D40" i="51"/>
  <c r="E40" i="51" s="1"/>
  <c r="D39" i="51"/>
  <c r="E39" i="51" s="1"/>
  <c r="E14" i="51"/>
  <c r="H666" i="46"/>
  <c r="F811" i="46"/>
  <c r="H428" i="46" s="1"/>
  <c r="F174" i="46"/>
  <c r="K301" i="46"/>
  <c r="H549" i="46"/>
  <c r="J42" i="46"/>
  <c r="I617" i="46"/>
  <c r="I20" i="46"/>
  <c r="K547" i="46"/>
  <c r="K67" i="46"/>
  <c r="K221" i="46" s="1"/>
  <c r="J221" i="46"/>
  <c r="H377" i="46"/>
  <c r="H419" i="46" s="1"/>
  <c r="H421" i="46" s="1"/>
  <c r="K114" i="46"/>
  <c r="K268" i="46" s="1"/>
  <c r="J268" i="46"/>
  <c r="G433" i="46"/>
  <c r="F28" i="46"/>
  <c r="F666" i="46"/>
  <c r="F754" i="46"/>
  <c r="F711" i="46"/>
  <c r="F549" i="46"/>
  <c r="J244" i="46"/>
  <c r="K90" i="46"/>
  <c r="K244" i="46" s="1"/>
  <c r="J94" i="46"/>
  <c r="J227" i="46"/>
  <c r="K73" i="46"/>
  <c r="K38" i="46"/>
  <c r="K40" i="46" s="1"/>
  <c r="K39" i="46"/>
  <c r="K119" i="46"/>
  <c r="K273" i="46" s="1"/>
  <c r="K361" i="46"/>
  <c r="K186" i="46"/>
  <c r="I662" i="46"/>
  <c r="J324" i="46"/>
  <c r="J418" i="46" s="1"/>
  <c r="K259" i="46"/>
  <c r="K93" i="46"/>
  <c r="K247" i="46" s="1"/>
  <c r="J247" i="46"/>
  <c r="F616" i="46"/>
  <c r="F19" i="46"/>
  <c r="K407" i="46"/>
  <c r="K408" i="46" s="1"/>
  <c r="J408" i="46"/>
  <c r="I96" i="46"/>
  <c r="I250" i="46" s="1"/>
  <c r="I97" i="46"/>
  <c r="I998" i="46"/>
  <c r="I757" i="46"/>
  <c r="I760" i="46" s="1"/>
  <c r="I762" i="46" s="1"/>
  <c r="I765" i="46" s="1"/>
  <c r="I29" i="46"/>
  <c r="H675" i="46"/>
  <c r="H676" i="46" s="1"/>
  <c r="H668" i="46"/>
  <c r="K1006" i="46"/>
  <c r="K641" i="46"/>
  <c r="J186" i="46"/>
  <c r="G421" i="46"/>
  <c r="K375" i="46"/>
  <c r="I713" i="46"/>
  <c r="I667" i="46"/>
  <c r="K503" i="46"/>
  <c r="J13" i="46"/>
  <c r="K13" i="46" s="1"/>
  <c r="I277" i="46"/>
  <c r="K254" i="46"/>
  <c r="K263" i="46" s="1"/>
  <c r="K109" i="46"/>
  <c r="K562" i="46"/>
  <c r="K563" i="46" s="1"/>
  <c r="J563" i="46"/>
  <c r="I421" i="46"/>
  <c r="K453" i="46"/>
  <c r="K459" i="46" s="1"/>
  <c r="F224" i="46"/>
  <c r="K605" i="46"/>
  <c r="K612" i="46" s="1"/>
  <c r="K617" i="46" s="1"/>
  <c r="G45" i="46"/>
  <c r="G46" i="46" s="1"/>
  <c r="H200" i="46"/>
  <c r="H13" i="46" s="1"/>
  <c r="K139" i="46"/>
  <c r="J198" i="46"/>
  <c r="K189" i="46"/>
  <c r="K198" i="46" s="1"/>
  <c r="G582" i="46"/>
  <c r="K462" i="46"/>
  <c r="K466" i="46" s="1"/>
  <c r="J582" i="46"/>
  <c r="J616" i="46" s="1"/>
  <c r="K243" i="46"/>
  <c r="I263" i="46"/>
  <c r="J547" i="46"/>
  <c r="K213" i="46"/>
  <c r="K216" i="46" s="1"/>
  <c r="K62" i="46"/>
  <c r="J670" i="46"/>
  <c r="K670" i="46" s="1"/>
  <c r="J715" i="46"/>
  <c r="K715" i="46" s="1"/>
  <c r="J769" i="46"/>
  <c r="K24" i="46"/>
  <c r="K680" i="46"/>
  <c r="K681" i="46" s="1"/>
  <c r="J236" i="46"/>
  <c r="K82" i="46"/>
  <c r="K236" i="46" s="1"/>
  <c r="K324" i="46"/>
  <c r="K418" i="46" s="1"/>
  <c r="K66" i="46"/>
  <c r="K220" i="46" s="1"/>
  <c r="J750" i="46"/>
  <c r="K742" i="46"/>
  <c r="K750" i="46" s="1"/>
  <c r="K998" i="46" s="1"/>
  <c r="J503" i="46"/>
  <c r="J375" i="46"/>
  <c r="J377" i="46" s="1"/>
  <c r="J419" i="46" s="1"/>
  <c r="G796" i="46"/>
  <c r="J414" i="46"/>
  <c r="J662" i="46"/>
  <c r="J219" i="46"/>
  <c r="J68" i="46"/>
  <c r="J274" i="46"/>
  <c r="K120" i="46"/>
  <c r="K274" i="46" s="1"/>
  <c r="J232" i="46"/>
  <c r="K155" i="46"/>
  <c r="K232" i="46" s="1"/>
  <c r="J139" i="46"/>
  <c r="J213" i="46"/>
  <c r="K103" i="46"/>
  <c r="K257" i="46" s="1"/>
  <c r="K113" i="46"/>
  <c r="K267" i="46" s="1"/>
  <c r="F263" i="46"/>
  <c r="F277" i="46" s="1"/>
  <c r="G662" i="46"/>
  <c r="G663" i="46" s="1"/>
  <c r="J641" i="46"/>
  <c r="J1006" i="46"/>
  <c r="K76" i="46"/>
  <c r="K230" i="46" s="1"/>
  <c r="J214" i="46"/>
  <c r="J62" i="46"/>
  <c r="K60" i="46"/>
  <c r="K214" i="46" s="1"/>
  <c r="K150" i="46"/>
  <c r="J171" i="46"/>
  <c r="K118" i="46"/>
  <c r="K272" i="46" s="1"/>
  <c r="G1006" i="46"/>
  <c r="G641" i="46"/>
  <c r="F612" i="46"/>
  <c r="H277" i="46"/>
  <c r="I248" i="46"/>
  <c r="K696" i="46"/>
  <c r="K707" i="46"/>
  <c r="F29" i="46"/>
  <c r="F998" i="46"/>
  <c r="F757" i="46"/>
  <c r="K649" i="46"/>
  <c r="H617" i="46"/>
  <c r="H20" i="46"/>
  <c r="J301" i="46"/>
  <c r="J433" i="46"/>
  <c r="K433" i="46" s="1"/>
  <c r="K1016" i="46"/>
  <c r="J260" i="46"/>
  <c r="J263" i="46" s="1"/>
  <c r="K518" i="46"/>
  <c r="K115" i="46"/>
  <c r="K269" i="46" s="1"/>
  <c r="G612" i="46"/>
  <c r="J233" i="46"/>
  <c r="K79" i="46"/>
  <c r="K233" i="46" s="1"/>
  <c r="F377" i="46"/>
  <c r="F419" i="46" s="1"/>
  <c r="F421" i="46" s="1"/>
  <c r="J398" i="46"/>
  <c r="J399" i="46" s="1"/>
  <c r="J416" i="46" s="1"/>
  <c r="J420" i="46" s="1"/>
  <c r="K395" i="46"/>
  <c r="K398" i="46" s="1"/>
  <c r="K399" i="46" s="1"/>
  <c r="K492" i="46"/>
  <c r="H97" i="46"/>
  <c r="H96" i="46"/>
  <c r="H250" i="46" s="1"/>
  <c r="F667" i="46"/>
  <c r="F713" i="46"/>
  <c r="I663" i="46"/>
  <c r="F97" i="46"/>
  <c r="F96" i="46"/>
  <c r="F250" i="46" s="1"/>
  <c r="J716" i="46"/>
  <c r="K716" i="46" s="1"/>
  <c r="J707" i="46"/>
  <c r="F1015" i="46"/>
  <c r="F661" i="46"/>
  <c r="F663" i="46" s="1"/>
  <c r="K304" i="46"/>
  <c r="K315" i="46" s="1"/>
  <c r="J315" i="46"/>
  <c r="J605" i="46"/>
  <c r="J612" i="46" s="1"/>
  <c r="J617" i="46" s="1"/>
  <c r="J633" i="46"/>
  <c r="J1005" i="46" s="1"/>
  <c r="K632" i="46"/>
  <c r="K633" i="46" s="1"/>
  <c r="K1005" i="46" s="1"/>
  <c r="J45" i="46"/>
  <c r="K33" i="46"/>
  <c r="J243" i="46"/>
  <c r="J453" i="46"/>
  <c r="J459" i="46" s="1"/>
  <c r="J238" i="46"/>
  <c r="K84" i="46"/>
  <c r="K238" i="46" s="1"/>
  <c r="K402" i="46"/>
  <c r="K405" i="46" s="1"/>
  <c r="G549" i="46"/>
  <c r="H174" i="46"/>
  <c r="J215" i="46"/>
  <c r="K61" i="46"/>
  <c r="K215" i="46" s="1"/>
  <c r="J237" i="46"/>
  <c r="K83" i="46"/>
  <c r="K237" i="46" s="1"/>
  <c r="K235" i="46"/>
  <c r="G275" i="46"/>
  <c r="G277" i="46" s="1"/>
  <c r="K469" i="46"/>
  <c r="K470" i="46" s="1"/>
  <c r="J470" i="46"/>
  <c r="J109" i="46"/>
  <c r="J145" i="46"/>
  <c r="I549" i="46"/>
  <c r="J261" i="46"/>
  <c r="K107" i="46"/>
  <c r="K261" i="46" s="1"/>
  <c r="J649" i="46"/>
  <c r="H667" i="46"/>
  <c r="H713" i="46"/>
  <c r="H998" i="46"/>
  <c r="H29" i="46"/>
  <c r="J29" i="46" s="1"/>
  <c r="H757" i="46"/>
  <c r="H760" i="46" s="1"/>
  <c r="H762" i="46" s="1"/>
  <c r="H765" i="46" s="1"/>
  <c r="K656" i="46"/>
  <c r="K658" i="46" s="1"/>
  <c r="K1021" i="46" s="1"/>
  <c r="J492" i="46"/>
  <c r="K65" i="46"/>
  <c r="J266" i="46"/>
  <c r="J275" i="46" s="1"/>
  <c r="J121" i="46"/>
  <c r="I711" i="46"/>
  <c r="I754" i="46"/>
  <c r="I666" i="46"/>
  <c r="I28" i="46"/>
  <c r="K75" i="46"/>
  <c r="K229" i="46" s="1"/>
  <c r="J235" i="46"/>
  <c r="G96" i="46"/>
  <c r="G250" i="46" s="1"/>
  <c r="G97" i="46"/>
  <c r="K578" i="46"/>
  <c r="K579" i="46" s="1"/>
  <c r="K582" i="46" s="1"/>
  <c r="K616" i="46" s="1"/>
  <c r="J239" i="46"/>
  <c r="K85" i="46"/>
  <c r="K239" i="46" s="1"/>
  <c r="K256" i="46"/>
  <c r="I24" i="36"/>
  <c r="I11" i="34"/>
  <c r="I428" i="46" l="1"/>
  <c r="F38" i="46"/>
  <c r="F40" i="46" s="1"/>
  <c r="J428" i="46"/>
  <c r="H671" i="46"/>
  <c r="G38" i="46"/>
  <c r="G40" i="46" s="1"/>
  <c r="H38" i="46"/>
  <c r="H40" i="46" s="1"/>
  <c r="G428" i="46"/>
  <c r="I38" i="46"/>
  <c r="I40" i="46" s="1"/>
  <c r="F428" i="46"/>
  <c r="J38" i="46"/>
  <c r="J40" i="46" s="1"/>
  <c r="J765" i="46"/>
  <c r="F425" i="46"/>
  <c r="F14" i="46"/>
  <c r="H425" i="46"/>
  <c r="H14" i="46"/>
  <c r="F424" i="46"/>
  <c r="F390" i="46"/>
  <c r="G668" i="46"/>
  <c r="G675" i="46"/>
  <c r="G676" i="46" s="1"/>
  <c r="K219" i="46"/>
  <c r="K222" i="46" s="1"/>
  <c r="K68" i="46"/>
  <c r="K70" i="46" s="1"/>
  <c r="H251" i="46"/>
  <c r="H123" i="46"/>
  <c r="H12" i="46" s="1"/>
  <c r="H15" i="46" s="1"/>
  <c r="K29" i="46"/>
  <c r="K667" i="46"/>
  <c r="J998" i="46"/>
  <c r="J757" i="46"/>
  <c r="J760" i="46" s="1"/>
  <c r="J762" i="46" s="1"/>
  <c r="J549" i="46"/>
  <c r="J615" i="46" s="1"/>
  <c r="J618" i="46" s="1"/>
  <c r="G19" i="46"/>
  <c r="J19" i="46" s="1"/>
  <c r="K19" i="46" s="1"/>
  <c r="G616" i="46"/>
  <c r="K769" i="46"/>
  <c r="J216" i="46"/>
  <c r="I675" i="46"/>
  <c r="I676" i="46" s="1"/>
  <c r="I668" i="46"/>
  <c r="F760" i="46"/>
  <c r="G14" i="46"/>
  <c r="J14" i="46" s="1"/>
  <c r="G425" i="46"/>
  <c r="K377" i="46"/>
  <c r="K419" i="46" s="1"/>
  <c r="K549" i="46"/>
  <c r="K615" i="46" s="1"/>
  <c r="K618" i="46" s="1"/>
  <c r="K1000" i="46" s="1"/>
  <c r="K121" i="46"/>
  <c r="J147" i="46"/>
  <c r="G713" i="46"/>
  <c r="G667" i="46"/>
  <c r="H755" i="46"/>
  <c r="H22" i="46"/>
  <c r="H712" i="46"/>
  <c r="H717" i="46" s="1"/>
  <c r="H720" i="46" s="1"/>
  <c r="K266" i="46"/>
  <c r="K275" i="46" s="1"/>
  <c r="K94" i="46"/>
  <c r="K227" i="46"/>
  <c r="K248" i="46" s="1"/>
  <c r="J222" i="46"/>
  <c r="J721" i="46"/>
  <c r="J669" i="46"/>
  <c r="K669" i="46" s="1"/>
  <c r="G615" i="46"/>
  <c r="G18" i="46"/>
  <c r="I390" i="46"/>
  <c r="I424" i="46"/>
  <c r="J667" i="46"/>
  <c r="J713" i="46"/>
  <c r="K713" i="46" s="1"/>
  <c r="G711" i="46"/>
  <c r="G754" i="46"/>
  <c r="G666" i="46"/>
  <c r="G28" i="46"/>
  <c r="J421" i="46"/>
  <c r="J425" i="46" s="1"/>
  <c r="K416" i="46"/>
  <c r="K420" i="46" s="1"/>
  <c r="K421" i="46" s="1"/>
  <c r="K425" i="46" s="1"/>
  <c r="J661" i="46"/>
  <c r="J663" i="46" s="1"/>
  <c r="J1015" i="46"/>
  <c r="H390" i="46"/>
  <c r="H424" i="46"/>
  <c r="H426" i="46" s="1"/>
  <c r="F617" i="46"/>
  <c r="F20" i="46"/>
  <c r="K20" i="46" s="1"/>
  <c r="K200" i="46"/>
  <c r="G617" i="46"/>
  <c r="G20" i="46"/>
  <c r="J20" i="46" s="1"/>
  <c r="J200" i="46"/>
  <c r="G251" i="46"/>
  <c r="G123" i="46"/>
  <c r="G12" i="46" s="1"/>
  <c r="F675" i="46"/>
  <c r="F668" i="46"/>
  <c r="K662" i="46"/>
  <c r="J70" i="46"/>
  <c r="J46" i="46"/>
  <c r="K42" i="46"/>
  <c r="G424" i="46"/>
  <c r="G426" i="46" s="1"/>
  <c r="G390" i="46"/>
  <c r="J173" i="46"/>
  <c r="K173" i="46" s="1"/>
  <c r="I123" i="46"/>
  <c r="I12" i="46" s="1"/>
  <c r="I15" i="46" s="1"/>
  <c r="I251" i="46"/>
  <c r="J248" i="46"/>
  <c r="J277" i="46" s="1"/>
  <c r="H615" i="46"/>
  <c r="H618" i="46" s="1"/>
  <c r="H18" i="46"/>
  <c r="H21" i="46" s="1"/>
  <c r="I671" i="46"/>
  <c r="J711" i="46"/>
  <c r="K711" i="46" s="1"/>
  <c r="J754" i="46"/>
  <c r="K754" i="46" s="1"/>
  <c r="J666" i="46"/>
  <c r="K666" i="46" s="1"/>
  <c r="K171" i="46"/>
  <c r="J96" i="46"/>
  <c r="I425" i="46"/>
  <c r="I14" i="46"/>
  <c r="K661" i="46"/>
  <c r="K663" i="46" s="1"/>
  <c r="K1015" i="46"/>
  <c r="F671" i="46"/>
  <c r="I615" i="46"/>
  <c r="I618" i="46" s="1"/>
  <c r="I18" i="46"/>
  <c r="I21" i="46" s="1"/>
  <c r="F123" i="46"/>
  <c r="F12" i="46" s="1"/>
  <c r="F251" i="46"/>
  <c r="F615" i="46"/>
  <c r="F618" i="46" s="1"/>
  <c r="F18" i="46"/>
  <c r="B6" i="1"/>
  <c r="F19" i="1"/>
  <c r="AM462" i="38"/>
  <c r="T297" i="19"/>
  <c r="A144" i="19"/>
  <c r="J424" i="46" l="1"/>
  <c r="J426" i="46" s="1"/>
  <c r="J390" i="46"/>
  <c r="F15" i="46"/>
  <c r="K12" i="46"/>
  <c r="I753" i="46"/>
  <c r="I1000" i="46"/>
  <c r="J174" i="46"/>
  <c r="K174" i="46" s="1"/>
  <c r="K147" i="46"/>
  <c r="G36" i="46"/>
  <c r="G37" i="46" s="1"/>
  <c r="G39" i="46" s="1"/>
  <c r="J28" i="46"/>
  <c r="K28" i="46" s="1"/>
  <c r="J224" i="46"/>
  <c r="F676" i="46"/>
  <c r="I426" i="46"/>
  <c r="K757" i="46"/>
  <c r="K224" i="46"/>
  <c r="J97" i="46"/>
  <c r="G15" i="46"/>
  <c r="J12" i="46"/>
  <c r="J15" i="46" s="1"/>
  <c r="K760" i="46"/>
  <c r="K762" i="46" s="1"/>
  <c r="F762" i="46"/>
  <c r="F765" i="46" s="1"/>
  <c r="K765" i="46" s="1"/>
  <c r="J250" i="46"/>
  <c r="J18" i="46"/>
  <c r="J21" i="46" s="1"/>
  <c r="G21" i="46"/>
  <c r="G618" i="46"/>
  <c r="G712" i="46"/>
  <c r="G22" i="46"/>
  <c r="G755" i="46"/>
  <c r="H725" i="46"/>
  <c r="H727" i="46" s="1"/>
  <c r="H722" i="46"/>
  <c r="G671" i="46"/>
  <c r="I22" i="46"/>
  <c r="I755" i="46"/>
  <c r="I712" i="46"/>
  <c r="I717" i="46" s="1"/>
  <c r="I720" i="46" s="1"/>
  <c r="F426" i="46"/>
  <c r="J668" i="46"/>
  <c r="J671" i="46" s="1"/>
  <c r="J675" i="46"/>
  <c r="J676" i="46" s="1"/>
  <c r="G717" i="46"/>
  <c r="G720" i="46" s="1"/>
  <c r="K46" i="46"/>
  <c r="K44" i="46"/>
  <c r="K97" i="46"/>
  <c r="K96" i="46"/>
  <c r="K250" i="46" s="1"/>
  <c r="K45" i="46"/>
  <c r="J1000" i="46"/>
  <c r="J753" i="46"/>
  <c r="K721" i="46"/>
  <c r="F21" i="46"/>
  <c r="K18" i="46"/>
  <c r="K21" i="46" s="1"/>
  <c r="F1000" i="46"/>
  <c r="F753" i="46"/>
  <c r="H1000" i="46"/>
  <c r="H753" i="46"/>
  <c r="H429" i="46"/>
  <c r="K277" i="46"/>
  <c r="K14" i="46"/>
  <c r="L57" i="5"/>
  <c r="L64" i="5"/>
  <c r="F755" i="46" l="1"/>
  <c r="F22" i="46"/>
  <c r="F712" i="46"/>
  <c r="K390" i="46"/>
  <c r="K424" i="46"/>
  <c r="K426" i="46" s="1"/>
  <c r="I429" i="46"/>
  <c r="F429" i="46"/>
  <c r="G429" i="46" s="1"/>
  <c r="J429" i="46" s="1"/>
  <c r="H756" i="46"/>
  <c r="H758" i="46" s="1"/>
  <c r="H766" i="46" s="1"/>
  <c r="H767" i="46" s="1"/>
  <c r="H23" i="46"/>
  <c r="J22" i="46"/>
  <c r="K123" i="46"/>
  <c r="K251" i="46"/>
  <c r="J720" i="46"/>
  <c r="G725" i="46"/>
  <c r="G727" i="46" s="1"/>
  <c r="G722" i="46"/>
  <c r="J123" i="46"/>
  <c r="J251" i="46"/>
  <c r="J755" i="46"/>
  <c r="J712" i="46"/>
  <c r="J717" i="46" s="1"/>
  <c r="I725" i="46"/>
  <c r="I727" i="46" s="1"/>
  <c r="I722" i="46"/>
  <c r="K753" i="46"/>
  <c r="K675" i="46"/>
  <c r="K676" i="46" s="1"/>
  <c r="K668" i="46"/>
  <c r="K671" i="46" s="1"/>
  <c r="G753" i="46"/>
  <c r="G1000" i="46"/>
  <c r="K15" i="46"/>
  <c r="S28" i="40"/>
  <c r="H25" i="46" l="1"/>
  <c r="H26" i="46" s="1"/>
  <c r="H30" i="46" s="1"/>
  <c r="H770" i="46"/>
  <c r="G756" i="46"/>
  <c r="G758" i="46" s="1"/>
  <c r="G766" i="46" s="1"/>
  <c r="G23" i="46"/>
  <c r="J725" i="46"/>
  <c r="J727" i="46" s="1"/>
  <c r="J722" i="46"/>
  <c r="J756" i="46" s="1"/>
  <c r="J758" i="46" s="1"/>
  <c r="K1029" i="46"/>
  <c r="K429" i="46"/>
  <c r="I23" i="46"/>
  <c r="I756" i="46"/>
  <c r="I758" i="46" s="1"/>
  <c r="I766" i="46" s="1"/>
  <c r="I767" i="46" s="1"/>
  <c r="K712" i="46"/>
  <c r="K717" i="46" s="1"/>
  <c r="F717" i="46"/>
  <c r="F720" i="46" s="1"/>
  <c r="K22" i="46"/>
  <c r="K755" i="46"/>
  <c r="AM264" i="19"/>
  <c r="AM251" i="19"/>
  <c r="AM210" i="19"/>
  <c r="AM191" i="19"/>
  <c r="AM176" i="19"/>
  <c r="AM248" i="19"/>
  <c r="AM188" i="19"/>
  <c r="AM247" i="19"/>
  <c r="AM187" i="19"/>
  <c r="AM246" i="19"/>
  <c r="AM186" i="19"/>
  <c r="AM245" i="19"/>
  <c r="AM185" i="19"/>
  <c r="AM244" i="19"/>
  <c r="AM184" i="19"/>
  <c r="AM215" i="19"/>
  <c r="AM182" i="19"/>
  <c r="AM214" i="19"/>
  <c r="AM181" i="19"/>
  <c r="AM255" i="19"/>
  <c r="AM213" i="19"/>
  <c r="AM194" i="19"/>
  <c r="AM180" i="19"/>
  <c r="AM253" i="19"/>
  <c r="AM193" i="19"/>
  <c r="AM252" i="19"/>
  <c r="AM192" i="19"/>
  <c r="AM263" i="19"/>
  <c r="AM250" i="19"/>
  <c r="AM207" i="19"/>
  <c r="AM189" i="19"/>
  <c r="AM175" i="19"/>
  <c r="AM262" i="19"/>
  <c r="AM206" i="19"/>
  <c r="AM261" i="19"/>
  <c r="AM205" i="19"/>
  <c r="AM260" i="19"/>
  <c r="AM203" i="19"/>
  <c r="AM259" i="19"/>
  <c r="AM202" i="19"/>
  <c r="AM258" i="19"/>
  <c r="AM201" i="19"/>
  <c r="AM257" i="19"/>
  <c r="AM200" i="19"/>
  <c r="AM256" i="19"/>
  <c r="AM212" i="19"/>
  <c r="AM178" i="19"/>
  <c r="AM211" i="19"/>
  <c r="AM177" i="19"/>
  <c r="T57" i="5"/>
  <c r="O28" i="40"/>
  <c r="B8" i="45" l="1"/>
  <c r="D8" i="45" s="1"/>
  <c r="B8" i="48"/>
  <c r="K720" i="46"/>
  <c r="K722" i="46" s="1"/>
  <c r="F722" i="46"/>
  <c r="F725" i="46"/>
  <c r="J23" i="46"/>
  <c r="I25" i="46"/>
  <c r="I26" i="46" s="1"/>
  <c r="I30" i="46" s="1"/>
  <c r="I770" i="46"/>
  <c r="G767" i="46"/>
  <c r="J766" i="46"/>
  <c r="J767" i="46" s="1"/>
  <c r="J770" i="46" s="1"/>
  <c r="J997" i="46" s="1"/>
  <c r="J999" i="46" s="1"/>
  <c r="H773" i="46"/>
  <c r="H774" i="46" s="1"/>
  <c r="H997" i="46"/>
  <c r="H43" i="46"/>
  <c r="H44" i="46" s="1"/>
  <c r="H32" i="46"/>
  <c r="H34" i="46" s="1"/>
  <c r="AM196" i="19"/>
  <c r="D19" i="1"/>
  <c r="F137" i="19"/>
  <c r="F136" i="19"/>
  <c r="B6" i="45" l="1"/>
  <c r="D6" i="45" s="1"/>
  <c r="B6" i="48"/>
  <c r="H1001" i="46"/>
  <c r="H999" i="46"/>
  <c r="H776" i="46"/>
  <c r="H777" i="46" s="1"/>
  <c r="G25" i="46"/>
  <c r="G770" i="46"/>
  <c r="I997" i="46"/>
  <c r="I773" i="46"/>
  <c r="I774" i="46" s="1"/>
  <c r="K725" i="46"/>
  <c r="K727" i="46" s="1"/>
  <c r="F727" i="46"/>
  <c r="F756" i="46"/>
  <c r="F23" i="46"/>
  <c r="I43" i="46"/>
  <c r="I44" i="46" s="1"/>
  <c r="I32" i="46"/>
  <c r="I34" i="46" s="1"/>
  <c r="C31" i="28"/>
  <c r="AM682" i="38"/>
  <c r="AM677" i="38"/>
  <c r="AE460" i="38"/>
  <c r="AA460" i="38"/>
  <c r="Y460" i="38"/>
  <c r="H1002" i="46" l="1"/>
  <c r="H1007" i="46" s="1"/>
  <c r="H1011" i="46" s="1"/>
  <c r="H1012" i="46" s="1"/>
  <c r="H1014" i="46" s="1"/>
  <c r="H36" i="46"/>
  <c r="H37" i="46" s="1"/>
  <c r="H39" i="46" s="1"/>
  <c r="I776" i="46"/>
  <c r="I777" i="46" s="1"/>
  <c r="I999" i="46"/>
  <c r="I1001" i="46"/>
  <c r="G997" i="46"/>
  <c r="G773" i="46"/>
  <c r="J25" i="46"/>
  <c r="J26" i="46" s="1"/>
  <c r="J30" i="46" s="1"/>
  <c r="G26" i="46"/>
  <c r="G30" i="46" s="1"/>
  <c r="K23" i="46"/>
  <c r="K756" i="46"/>
  <c r="F758" i="46"/>
  <c r="AC117" i="10"/>
  <c r="AC100" i="10"/>
  <c r="AC118" i="9"/>
  <c r="AC100" i="9"/>
  <c r="C165" i="1"/>
  <c r="G166" i="1"/>
  <c r="F166" i="1"/>
  <c r="C166" i="1" s="1"/>
  <c r="J776" i="46" l="1"/>
  <c r="H1025" i="46"/>
  <c r="B7" i="45"/>
  <c r="D7" i="45" s="1"/>
  <c r="B7" i="48"/>
  <c r="I36" i="46"/>
  <c r="I37" i="46" s="1"/>
  <c r="I39" i="46" s="1"/>
  <c r="J777" i="46"/>
  <c r="J36" i="46" s="1"/>
  <c r="J37" i="46" s="1"/>
  <c r="J39" i="46" s="1"/>
  <c r="H1020" i="46"/>
  <c r="H1022" i="46" s="1"/>
  <c r="H1017" i="46"/>
  <c r="H1026" i="46" s="1"/>
  <c r="G32" i="46"/>
  <c r="G34" i="46" s="1"/>
  <c r="G43" i="46"/>
  <c r="G44" i="46" s="1"/>
  <c r="I1002" i="46"/>
  <c r="K758" i="46"/>
  <c r="F766" i="46"/>
  <c r="J43" i="46"/>
  <c r="J44" i="46" s="1"/>
  <c r="J32" i="46"/>
  <c r="J34" i="46" s="1"/>
  <c r="J773" i="46"/>
  <c r="G774" i="46"/>
  <c r="J774" i="46" s="1"/>
  <c r="G1001" i="46"/>
  <c r="J1001" i="46" s="1"/>
  <c r="G999" i="46"/>
  <c r="H24" i="20"/>
  <c r="AA62" i="20" s="1"/>
  <c r="H1027" i="46" l="1"/>
  <c r="H1029" i="46" s="1"/>
  <c r="B9" i="45"/>
  <c r="D9" i="45" s="1"/>
  <c r="B9" i="48"/>
  <c r="G1002" i="46"/>
  <c r="F767" i="46"/>
  <c r="K766" i="46"/>
  <c r="I1025" i="46"/>
  <c r="I1007" i="46"/>
  <c r="I1011" i="46" s="1"/>
  <c r="I1012" i="46" s="1"/>
  <c r="I1014" i="46" s="1"/>
  <c r="F24" i="33"/>
  <c r="F35" i="14"/>
  <c r="F21" i="14"/>
  <c r="I1020" i="46" l="1"/>
  <c r="I1022" i="46" s="1"/>
  <c r="I1017" i="46"/>
  <c r="I1026" i="46" s="1"/>
  <c r="I1027" i="46" s="1"/>
  <c r="I1029" i="46" s="1"/>
  <c r="K767" i="46"/>
  <c r="K770" i="46" s="1"/>
  <c r="K997" i="46" s="1"/>
  <c r="F25" i="46"/>
  <c r="F770" i="46"/>
  <c r="G1025" i="46"/>
  <c r="G1007" i="46"/>
  <c r="J1002" i="46"/>
  <c r="J1025" i="46" s="1"/>
  <c r="F25" i="13"/>
  <c r="F24" i="13"/>
  <c r="G1011" i="46" l="1"/>
  <c r="G1012" i="46" s="1"/>
  <c r="G1014" i="46" s="1"/>
  <c r="J1007" i="46"/>
  <c r="J1011" i="46" s="1"/>
  <c r="J1012" i="46" s="1"/>
  <c r="F997" i="46"/>
  <c r="F773" i="46"/>
  <c r="K25" i="46"/>
  <c r="K26" i="46" s="1"/>
  <c r="F26" i="46"/>
  <c r="F30" i="46" s="1"/>
  <c r="K1001" i="46"/>
  <c r="K999" i="46"/>
  <c r="F43" i="12"/>
  <c r="K1002" i="46" l="1"/>
  <c r="F43" i="46"/>
  <c r="F44" i="46" s="1"/>
  <c r="F32" i="46"/>
  <c r="F34" i="46" s="1"/>
  <c r="K30" i="46"/>
  <c r="K773" i="46"/>
  <c r="F774" i="46"/>
  <c r="F1001" i="46"/>
  <c r="F999" i="46"/>
  <c r="J1014" i="46"/>
  <c r="G1017" i="46"/>
  <c r="G1026" i="46" s="1"/>
  <c r="G1027" i="46" s="1"/>
  <c r="G1029" i="46" s="1"/>
  <c r="G1020" i="46"/>
  <c r="G1022" i="46" s="1"/>
  <c r="F25" i="12"/>
  <c r="K43" i="46" l="1"/>
  <c r="K32" i="46"/>
  <c r="K34" i="46" s="1"/>
  <c r="J1017" i="46"/>
  <c r="J1026" i="46" s="1"/>
  <c r="J1027" i="46" s="1"/>
  <c r="J1029" i="46" s="1"/>
  <c r="J1020" i="46"/>
  <c r="J1022" i="46" s="1"/>
  <c r="F1002" i="46"/>
  <c r="K774" i="46"/>
  <c r="F776" i="46"/>
  <c r="K776" i="46" s="1"/>
  <c r="K1007" i="46"/>
  <c r="K1011" i="46" s="1"/>
  <c r="K1012" i="46" s="1"/>
  <c r="K1014" i="46" s="1"/>
  <c r="K1025" i="46"/>
  <c r="F25" i="11"/>
  <c r="F24" i="11"/>
  <c r="K1017" i="46" l="1"/>
  <c r="K1026" i="46" s="1"/>
  <c r="K1027" i="46" s="1"/>
  <c r="K1020" i="46"/>
  <c r="K1022" i="46" s="1"/>
  <c r="F777" i="46"/>
  <c r="F1025" i="46"/>
  <c r="F1007" i="46"/>
  <c r="F1011" i="46" s="1"/>
  <c r="F1012" i="46" s="1"/>
  <c r="F1014" i="46" s="1"/>
  <c r="F24" i="30"/>
  <c r="F41" i="10"/>
  <c r="F24" i="10"/>
  <c r="F41" i="9"/>
  <c r="F23" i="9"/>
  <c r="F1020" i="46" l="1"/>
  <c r="F1022" i="46" s="1"/>
  <c r="F1017" i="46"/>
  <c r="F1026" i="46" s="1"/>
  <c r="F1027" i="46" s="1"/>
  <c r="F1029" i="46" s="1"/>
  <c r="K777" i="46"/>
  <c r="F36" i="46"/>
  <c r="F24" i="31"/>
  <c r="F26" i="8"/>
  <c r="F25" i="8"/>
  <c r="F24" i="8"/>
  <c r="K36" i="46" l="1"/>
  <c r="F37" i="46"/>
  <c r="F39" i="46" s="1"/>
  <c r="F23" i="7"/>
  <c r="Y671" i="38" l="1"/>
  <c r="Y672" i="38"/>
  <c r="Y673" i="38"/>
  <c r="Y674" i="38"/>
  <c r="Y675" i="38"/>
  <c r="Y676" i="38"/>
  <c r="T671" i="38"/>
  <c r="T672" i="38"/>
  <c r="T673" i="38"/>
  <c r="T674" i="38"/>
  <c r="T675" i="38"/>
  <c r="T676" i="38"/>
  <c r="T677" i="38"/>
  <c r="AO628" i="38"/>
  <c r="V640" i="38"/>
  <c r="W639" i="38"/>
  <c r="V639" i="38"/>
  <c r="T639" i="38"/>
  <c r="AO630" i="38"/>
  <c r="T628" i="38"/>
  <c r="T627" i="38"/>
  <c r="T626" i="38"/>
  <c r="T625" i="38"/>
  <c r="T624" i="38"/>
  <c r="T623" i="38"/>
  <c r="T622" i="38"/>
  <c r="T620" i="38"/>
  <c r="T619" i="38"/>
  <c r="T603" i="38"/>
  <c r="V603" i="38"/>
  <c r="AO561" i="38"/>
  <c r="V573" i="38"/>
  <c r="T573" i="38"/>
  <c r="W572" i="38"/>
  <c r="V572" i="38"/>
  <c r="T572" i="38"/>
  <c r="AO563" i="38"/>
  <c r="T561" i="38"/>
  <c r="T560" i="38"/>
  <c r="T559" i="38"/>
  <c r="T558" i="38"/>
  <c r="T557" i="38"/>
  <c r="T556" i="38"/>
  <c r="T555" i="38"/>
  <c r="T553" i="38"/>
  <c r="T552" i="38"/>
  <c r="AO495" i="38"/>
  <c r="AO424" i="38"/>
  <c r="W506" i="38"/>
  <c r="T506" i="38"/>
  <c r="V506" i="38"/>
  <c r="V507" i="38"/>
  <c r="T507" i="38"/>
  <c r="AO497" i="38"/>
  <c r="T495" i="38"/>
  <c r="T494" i="38"/>
  <c r="T493" i="38"/>
  <c r="T492" i="38"/>
  <c r="T491" i="38"/>
  <c r="T490" i="38"/>
  <c r="T489" i="38"/>
  <c r="T487" i="38"/>
  <c r="T486" i="38"/>
  <c r="W436" i="38"/>
  <c r="T436" i="38"/>
  <c r="V436" i="38"/>
  <c r="T437" i="38"/>
  <c r="V437" i="38"/>
  <c r="AO426" i="38"/>
  <c r="T424" i="38"/>
  <c r="T423" i="38"/>
  <c r="T422" i="38"/>
  <c r="T421" i="38"/>
  <c r="T420" i="38"/>
  <c r="T419" i="38"/>
  <c r="T418" i="38"/>
  <c r="T416" i="38"/>
  <c r="T415" i="38"/>
  <c r="R276" i="38"/>
  <c r="R209" i="38"/>
  <c r="R211" i="38"/>
  <c r="A209" i="38"/>
  <c r="A208" i="38"/>
  <c r="A207" i="38"/>
  <c r="A206" i="38"/>
  <c r="A205" i="38"/>
  <c r="A204" i="38"/>
  <c r="A203" i="38"/>
  <c r="A201" i="38"/>
  <c r="A200" i="38"/>
  <c r="R143" i="38"/>
  <c r="R145" i="38"/>
  <c r="A143" i="38"/>
  <c r="A142" i="38"/>
  <c r="A141" i="38"/>
  <c r="A140" i="38"/>
  <c r="A139" i="38"/>
  <c r="A138" i="38"/>
  <c r="A137" i="38"/>
  <c r="A135" i="38"/>
  <c r="A134" i="38"/>
  <c r="R73" i="38"/>
  <c r="R75" i="38"/>
  <c r="A73" i="38"/>
  <c r="A72" i="38"/>
  <c r="A71" i="38"/>
  <c r="A70" i="38"/>
  <c r="A69" i="38"/>
  <c r="A68" i="38"/>
  <c r="A67" i="38"/>
  <c r="A65" i="38"/>
  <c r="A64" i="38"/>
  <c r="AO358" i="38"/>
  <c r="R7" i="38"/>
  <c r="T439" i="38" l="1"/>
  <c r="T440" i="38"/>
  <c r="T441" i="38"/>
  <c r="T442" i="38"/>
  <c r="T443" i="38"/>
  <c r="T444" i="38"/>
  <c r="T445" i="38"/>
  <c r="T446" i="38"/>
  <c r="T447" i="38"/>
  <c r="T448" i="38"/>
  <c r="T449" i="38"/>
  <c r="T450" i="38"/>
  <c r="T451" i="38"/>
  <c r="T452" i="38"/>
  <c r="T453" i="38"/>
  <c r="T454" i="38"/>
  <c r="T455" i="38"/>
  <c r="T456" i="38"/>
  <c r="T457" i="38"/>
  <c r="T458" i="38"/>
  <c r="T459" i="38"/>
  <c r="T460" i="38"/>
  <c r="V459" i="38"/>
  <c r="Y459" i="38"/>
  <c r="AE459" i="38" s="1"/>
  <c r="AC107" i="38"/>
  <c r="F108" i="38"/>
  <c r="AK459" i="38" l="1"/>
  <c r="AO63" i="25"/>
  <c r="R7" i="25"/>
  <c r="AO80" i="24"/>
  <c r="R7" i="24"/>
  <c r="AO57" i="22" l="1"/>
  <c r="R7" i="22"/>
  <c r="AO42" i="28"/>
  <c r="R7" i="28"/>
  <c r="AO45" i="20"/>
  <c r="R7" i="20"/>
  <c r="V257" i="19" l="1"/>
  <c r="Y257" i="19"/>
  <c r="H104" i="19"/>
  <c r="H105" i="19"/>
  <c r="H106" i="19"/>
  <c r="H107" i="19"/>
  <c r="H108" i="19"/>
  <c r="H109" i="19"/>
  <c r="H110" i="19"/>
  <c r="H103" i="19"/>
  <c r="AA257" i="19" s="1"/>
  <c r="H57" i="19"/>
  <c r="H58" i="19"/>
  <c r="H59" i="19"/>
  <c r="H60" i="19"/>
  <c r="H61" i="19"/>
  <c r="H90" i="19"/>
  <c r="H91" i="19"/>
  <c r="H92" i="19"/>
  <c r="H93" i="19"/>
  <c r="H94" i="19"/>
  <c r="H96" i="19"/>
  <c r="H97" i="19"/>
  <c r="H98" i="19"/>
  <c r="H99" i="19"/>
  <c r="H101" i="19"/>
  <c r="H102" i="19"/>
  <c r="H56" i="19"/>
  <c r="H53" i="19"/>
  <c r="H52" i="19"/>
  <c r="H51" i="19"/>
  <c r="H49" i="19"/>
  <c r="H48" i="19"/>
  <c r="H47" i="19"/>
  <c r="H46" i="19"/>
  <c r="H26" i="19"/>
  <c r="H27" i="19"/>
  <c r="H28" i="19"/>
  <c r="H30" i="19"/>
  <c r="H31" i="19"/>
  <c r="H32" i="19"/>
  <c r="H33" i="19"/>
  <c r="H34" i="19"/>
  <c r="H35" i="19"/>
  <c r="H37" i="19"/>
  <c r="H38" i="19"/>
  <c r="H39" i="19"/>
  <c r="H40" i="19"/>
  <c r="H22" i="19"/>
  <c r="H23" i="19"/>
  <c r="H24" i="19"/>
  <c r="F128" i="19"/>
  <c r="Y549" i="38"/>
  <c r="AE549" i="38" s="1"/>
  <c r="Y548" i="38"/>
  <c r="AE548" i="38" s="1"/>
  <c r="Y547" i="38"/>
  <c r="AE547" i="38" s="1"/>
  <c r="Y546" i="38"/>
  <c r="AE546" i="38" s="1"/>
  <c r="AO546" i="38" s="1"/>
  <c r="AQ546" i="38" s="1"/>
  <c r="Y545" i="38"/>
  <c r="AE545" i="38" s="1"/>
  <c r="Y544" i="38"/>
  <c r="AE544" i="38" s="1"/>
  <c r="Y543" i="38"/>
  <c r="AE543" i="38" s="1"/>
  <c r="Y542" i="38"/>
  <c r="AE542" i="38" s="1"/>
  <c r="AK542" i="38" s="1"/>
  <c r="Y541" i="38"/>
  <c r="AE541" i="38" s="1"/>
  <c r="Y540" i="38"/>
  <c r="AE540" i="38" s="1"/>
  <c r="Y539" i="38"/>
  <c r="AE539" i="38" s="1"/>
  <c r="T575" i="38"/>
  <c r="T574" i="38"/>
  <c r="V549" i="38"/>
  <c r="V548" i="38"/>
  <c r="V547" i="38"/>
  <c r="V546" i="38"/>
  <c r="V545" i="38"/>
  <c r="V544" i="38"/>
  <c r="V543" i="38"/>
  <c r="V542" i="38"/>
  <c r="V541" i="38"/>
  <c r="V540" i="38"/>
  <c r="V539" i="38"/>
  <c r="V676" i="38"/>
  <c r="V675" i="38"/>
  <c r="V674" i="38"/>
  <c r="V673" i="38"/>
  <c r="V672" i="38"/>
  <c r="V671" i="38"/>
  <c r="V670" i="38"/>
  <c r="AM666" i="38"/>
  <c r="Y665" i="38"/>
  <c r="AE665" i="38" s="1"/>
  <c r="AK665" i="38" s="1"/>
  <c r="Y664" i="38"/>
  <c r="AE664" i="38" s="1"/>
  <c r="Y663" i="38"/>
  <c r="AE663" i="38" s="1"/>
  <c r="Y662" i="38"/>
  <c r="AE662" i="38" s="1"/>
  <c r="Y661" i="38"/>
  <c r="AE661" i="38" s="1"/>
  <c r="AO661" i="38" s="1"/>
  <c r="AQ661" i="38" s="1"/>
  <c r="Y660" i="38"/>
  <c r="AE660" i="38" s="1"/>
  <c r="Y659" i="38"/>
  <c r="AE659" i="38" s="1"/>
  <c r="Y658" i="38"/>
  <c r="AE658" i="38" s="1"/>
  <c r="Y657" i="38"/>
  <c r="AE657" i="38" s="1"/>
  <c r="Y656" i="38"/>
  <c r="AE656" i="38" s="1"/>
  <c r="Y655" i="38"/>
  <c r="AE655" i="38" s="1"/>
  <c r="Y654" i="38"/>
  <c r="AE654" i="38" s="1"/>
  <c r="V665" i="38"/>
  <c r="V664" i="38"/>
  <c r="V663" i="38"/>
  <c r="V662" i="38"/>
  <c r="V661" i="38"/>
  <c r="V660" i="38"/>
  <c r="V659" i="38"/>
  <c r="V658" i="38"/>
  <c r="V657" i="38"/>
  <c r="V656" i="38"/>
  <c r="V655" i="38"/>
  <c r="V654" i="38"/>
  <c r="F330" i="38"/>
  <c r="Y681" i="38"/>
  <c r="AE681" i="38" s="1"/>
  <c r="AO681" i="38" s="1"/>
  <c r="AQ681" i="38" s="1"/>
  <c r="Y680" i="38"/>
  <c r="AE680" i="38" s="1"/>
  <c r="V682" i="38"/>
  <c r="V681" i="38"/>
  <c r="V680" i="38"/>
  <c r="V679" i="38"/>
  <c r="AM585" i="38"/>
  <c r="F233" i="38"/>
  <c r="F249" i="38"/>
  <c r="Y584" i="38"/>
  <c r="AE584" i="38" s="1"/>
  <c r="Y583" i="38"/>
  <c r="AE583" i="38" s="1"/>
  <c r="Y582" i="38"/>
  <c r="AE582" i="38" s="1"/>
  <c r="Y581" i="38"/>
  <c r="AE581" i="38" s="1"/>
  <c r="Y580" i="38"/>
  <c r="AE580" i="38" s="1"/>
  <c r="Y538" i="38"/>
  <c r="AE538" i="38" s="1"/>
  <c r="Y537" i="38"/>
  <c r="AE537" i="38" s="1"/>
  <c r="Y536" i="38"/>
  <c r="AE536" i="38" s="1"/>
  <c r="Y535" i="38"/>
  <c r="AE535" i="38" s="1"/>
  <c r="Y534" i="38"/>
  <c r="AE534" i="38" s="1"/>
  <c r="AO534" i="38" s="1"/>
  <c r="AQ534" i="38" s="1"/>
  <c r="Y533" i="38"/>
  <c r="AE533" i="38" s="1"/>
  <c r="Y532" i="38"/>
  <c r="AE532" i="38" s="1"/>
  <c r="Y531" i="38"/>
  <c r="AE531" i="38" s="1"/>
  <c r="Y530" i="38"/>
  <c r="AE530" i="38" s="1"/>
  <c r="Y529" i="38"/>
  <c r="AE529" i="38" s="1"/>
  <c r="Y528" i="38"/>
  <c r="AE528" i="38" s="1"/>
  <c r="Y527" i="38"/>
  <c r="AE527" i="38" s="1"/>
  <c r="Y526" i="38"/>
  <c r="AE526" i="38" s="1"/>
  <c r="AO526" i="38" s="1"/>
  <c r="AQ526" i="38" s="1"/>
  <c r="Y525" i="38"/>
  <c r="AE525" i="38" s="1"/>
  <c r="Y524" i="38"/>
  <c r="AE524" i="38" s="1"/>
  <c r="Y523" i="38"/>
  <c r="AE523" i="38" s="1"/>
  <c r="Y522" i="38"/>
  <c r="AE522" i="38" s="1"/>
  <c r="V584" i="38"/>
  <c r="V583" i="38"/>
  <c r="V582" i="38"/>
  <c r="V581" i="38"/>
  <c r="V580" i="38"/>
  <c r="V538" i="38"/>
  <c r="V537" i="38"/>
  <c r="V536" i="38"/>
  <c r="V535" i="38"/>
  <c r="V534" i="38"/>
  <c r="V533" i="38"/>
  <c r="V532" i="38"/>
  <c r="V531" i="38"/>
  <c r="V530" i="38"/>
  <c r="V529" i="38"/>
  <c r="V528" i="38"/>
  <c r="V527" i="38"/>
  <c r="V526" i="38"/>
  <c r="V525" i="38"/>
  <c r="V524" i="38"/>
  <c r="V523" i="38"/>
  <c r="V522" i="38"/>
  <c r="AO542" i="38" l="1"/>
  <c r="AQ542" i="38" s="1"/>
  <c r="AO543" i="38"/>
  <c r="AQ543" i="38" s="1"/>
  <c r="AK543" i="38"/>
  <c r="AO544" i="38"/>
  <c r="AQ544" i="38" s="1"/>
  <c r="AK544" i="38"/>
  <c r="AK549" i="38"/>
  <c r="AO549" i="38"/>
  <c r="AQ549" i="38" s="1"/>
  <c r="AK539" i="38"/>
  <c r="AO539" i="38"/>
  <c r="AQ539" i="38" s="1"/>
  <c r="AK545" i="38"/>
  <c r="AO545" i="38"/>
  <c r="AQ545" i="38" s="1"/>
  <c r="AO540" i="38"/>
  <c r="AQ540" i="38" s="1"/>
  <c r="AK540" i="38"/>
  <c r="AO548" i="38"/>
  <c r="AQ548" i="38" s="1"/>
  <c r="AK548" i="38"/>
  <c r="AK541" i="38"/>
  <c r="AO541" i="38"/>
  <c r="AQ541" i="38" s="1"/>
  <c r="AK547" i="38"/>
  <c r="AO547" i="38"/>
  <c r="AQ547" i="38" s="1"/>
  <c r="AK546" i="38"/>
  <c r="AK657" i="38"/>
  <c r="AO657" i="38"/>
  <c r="AQ657" i="38" s="1"/>
  <c r="AO654" i="38"/>
  <c r="AQ654" i="38" s="1"/>
  <c r="AK654" i="38"/>
  <c r="AO660" i="38"/>
  <c r="AQ660" i="38" s="1"/>
  <c r="AK660" i="38"/>
  <c r="AO655" i="38"/>
  <c r="AQ655" i="38" s="1"/>
  <c r="AK655" i="38"/>
  <c r="AO658" i="38"/>
  <c r="AQ658" i="38" s="1"/>
  <c r="AK658" i="38"/>
  <c r="AO656" i="38"/>
  <c r="AQ656" i="38" s="1"/>
  <c r="AK656" i="38"/>
  <c r="AO662" i="38"/>
  <c r="AQ662" i="38" s="1"/>
  <c r="AK662" i="38"/>
  <c r="AO663" i="38"/>
  <c r="AQ663" i="38" s="1"/>
  <c r="AK663" i="38"/>
  <c r="AO659" i="38"/>
  <c r="AQ659" i="38" s="1"/>
  <c r="AK659" i="38"/>
  <c r="AO664" i="38"/>
  <c r="AQ664" i="38" s="1"/>
  <c r="AK664" i="38"/>
  <c r="AO665" i="38"/>
  <c r="AQ665" i="38" s="1"/>
  <c r="AK661" i="38"/>
  <c r="AK680" i="38"/>
  <c r="AE682" i="38"/>
  <c r="AK682" i="38" s="1"/>
  <c r="AO680" i="38"/>
  <c r="AQ680" i="38" s="1"/>
  <c r="Y682" i="38"/>
  <c r="AK681" i="38"/>
  <c r="AO581" i="38"/>
  <c r="AQ581" i="38" s="1"/>
  <c r="AK581" i="38"/>
  <c r="AK582" i="38"/>
  <c r="AO582" i="38"/>
  <c r="AQ582" i="38" s="1"/>
  <c r="AK580" i="38"/>
  <c r="AO580" i="38"/>
  <c r="AQ580" i="38" s="1"/>
  <c r="AO583" i="38"/>
  <c r="AQ583" i="38" s="1"/>
  <c r="AK583" i="38"/>
  <c r="AO584" i="38"/>
  <c r="AQ584" i="38" s="1"/>
  <c r="AK584" i="38"/>
  <c r="AO527" i="38"/>
  <c r="AQ527" i="38" s="1"/>
  <c r="AK527" i="38"/>
  <c r="AO535" i="38"/>
  <c r="AQ535" i="38" s="1"/>
  <c r="AK535" i="38"/>
  <c r="AK522" i="38"/>
  <c r="AO522" i="38"/>
  <c r="AQ522" i="38" s="1"/>
  <c r="AO536" i="38"/>
  <c r="AQ536" i="38" s="1"/>
  <c r="AK536" i="38"/>
  <c r="AO528" i="38"/>
  <c r="AQ528" i="38" s="1"/>
  <c r="AK528" i="38"/>
  <c r="AK537" i="38"/>
  <c r="AO537" i="38"/>
  <c r="AQ537" i="38" s="1"/>
  <c r="AO529" i="38"/>
  <c r="AQ529" i="38" s="1"/>
  <c r="AK529" i="38"/>
  <c r="AK538" i="38"/>
  <c r="AO538" i="38"/>
  <c r="AQ538" i="38" s="1"/>
  <c r="AK530" i="38"/>
  <c r="AO530" i="38"/>
  <c r="AQ530" i="38" s="1"/>
  <c r="AO525" i="38"/>
  <c r="AQ525" i="38" s="1"/>
  <c r="AK525" i="38"/>
  <c r="AO523" i="38"/>
  <c r="AQ523" i="38" s="1"/>
  <c r="AK523" i="38"/>
  <c r="AO524" i="38"/>
  <c r="AQ524" i="38" s="1"/>
  <c r="AK524" i="38"/>
  <c r="AO531" i="38"/>
  <c r="AQ531" i="38" s="1"/>
  <c r="AK531" i="38"/>
  <c r="AO532" i="38"/>
  <c r="AQ532" i="38" s="1"/>
  <c r="AK532" i="38"/>
  <c r="AO533" i="38"/>
  <c r="AQ533" i="38" s="1"/>
  <c r="AK533" i="38"/>
  <c r="AK526" i="38"/>
  <c r="AK534" i="38"/>
  <c r="Y458" i="38"/>
  <c r="AE458" i="38" s="1"/>
  <c r="AK458" i="38" s="1"/>
  <c r="Y457" i="38"/>
  <c r="AE457" i="38" s="1"/>
  <c r="Y456" i="38"/>
  <c r="AE456" i="38" s="1"/>
  <c r="Y455" i="38"/>
  <c r="AE455" i="38" s="1"/>
  <c r="Y454" i="38"/>
  <c r="AE454" i="38" s="1"/>
  <c r="AK454" i="38" s="1"/>
  <c r="Y453" i="38"/>
  <c r="AE453" i="38" s="1"/>
  <c r="Y452" i="38"/>
  <c r="AE452" i="38" s="1"/>
  <c r="AK452" i="38" s="1"/>
  <c r="Y451" i="38"/>
  <c r="AE451" i="38" s="1"/>
  <c r="Y450" i="38"/>
  <c r="AE450" i="38" s="1"/>
  <c r="AK450" i="38" s="1"/>
  <c r="Y449" i="38"/>
  <c r="AE449" i="38" s="1"/>
  <c r="Y448" i="38"/>
  <c r="AE448" i="38" s="1"/>
  <c r="AK448" i="38" s="1"/>
  <c r="Y447" i="38"/>
  <c r="AE447" i="38" s="1"/>
  <c r="AK447" i="38" s="1"/>
  <c r="Y446" i="38"/>
  <c r="AE446" i="38" s="1"/>
  <c r="Y445" i="38"/>
  <c r="AE445" i="38" s="1"/>
  <c r="AK445" i="38" s="1"/>
  <c r="Y444" i="38"/>
  <c r="AE444" i="38" s="1"/>
  <c r="Y443" i="38"/>
  <c r="AE443" i="38" s="1"/>
  <c r="AK443" i="38" s="1"/>
  <c r="Y442" i="38"/>
  <c r="AE442" i="38" s="1"/>
  <c r="AK442" i="38" s="1"/>
  <c r="Y441" i="38"/>
  <c r="AE441" i="38" s="1"/>
  <c r="Y440" i="38"/>
  <c r="AE440" i="38" s="1"/>
  <c r="AK440" i="38" s="1"/>
  <c r="Y439" i="38"/>
  <c r="AE439" i="38" s="1"/>
  <c r="Y438" i="38"/>
  <c r="AE438" i="38" s="1"/>
  <c r="Y412" i="38"/>
  <c r="AE412" i="38" s="1"/>
  <c r="AK412" i="38" s="1"/>
  <c r="Y411" i="38"/>
  <c r="AE411" i="38" s="1"/>
  <c r="Y410" i="38"/>
  <c r="AE410" i="38" s="1"/>
  <c r="AK410" i="38" s="1"/>
  <c r="Y409" i="38"/>
  <c r="AE409" i="38" s="1"/>
  <c r="Y408" i="38"/>
  <c r="AE408" i="38" s="1"/>
  <c r="AK408" i="38" s="1"/>
  <c r="Y407" i="38"/>
  <c r="AE407" i="38" s="1"/>
  <c r="Y406" i="38"/>
  <c r="AE406" i="38" s="1"/>
  <c r="AK406" i="38" s="1"/>
  <c r="Y405" i="38"/>
  <c r="AE405" i="38" s="1"/>
  <c r="AK405" i="38" s="1"/>
  <c r="Y404" i="38"/>
  <c r="AE404" i="38" s="1"/>
  <c r="Y403" i="38"/>
  <c r="AE403" i="38" s="1"/>
  <c r="AK403" i="38" s="1"/>
  <c r="Y402" i="38"/>
  <c r="AE402" i="38" s="1"/>
  <c r="V458" i="38"/>
  <c r="V457" i="38"/>
  <c r="V456" i="38"/>
  <c r="V455" i="38"/>
  <c r="V454" i="38"/>
  <c r="V453" i="38"/>
  <c r="V452" i="38"/>
  <c r="V451" i="38"/>
  <c r="V450" i="38"/>
  <c r="V449" i="38"/>
  <c r="V448" i="38"/>
  <c r="V447" i="38"/>
  <c r="V446" i="38"/>
  <c r="V445" i="38"/>
  <c r="V444" i="38"/>
  <c r="V443" i="38"/>
  <c r="V442" i="38"/>
  <c r="V441" i="38"/>
  <c r="V440" i="38"/>
  <c r="V439" i="38"/>
  <c r="V438" i="38"/>
  <c r="T438" i="38"/>
  <c r="V412" i="38"/>
  <c r="T412" i="38"/>
  <c r="V411" i="38"/>
  <c r="T411" i="38"/>
  <c r="V410" i="38"/>
  <c r="T410" i="38"/>
  <c r="V409" i="38"/>
  <c r="T409" i="38"/>
  <c r="V408" i="38"/>
  <c r="T408" i="38"/>
  <c r="V407" i="38"/>
  <c r="T407" i="38"/>
  <c r="V406" i="38"/>
  <c r="T406" i="38"/>
  <c r="V405" i="38"/>
  <c r="T405" i="38"/>
  <c r="V404" i="38"/>
  <c r="T404" i="38"/>
  <c r="V403" i="38"/>
  <c r="T403" i="38"/>
  <c r="V402" i="38"/>
  <c r="T402" i="38"/>
  <c r="AC106" i="38"/>
  <c r="H107" i="38" s="1"/>
  <c r="AA459" i="38" s="1"/>
  <c r="AC105" i="38"/>
  <c r="AC104" i="38"/>
  <c r="AC103" i="38"/>
  <c r="AC102" i="38"/>
  <c r="AC101" i="38"/>
  <c r="AC100" i="38"/>
  <c r="AC99" i="38"/>
  <c r="AC98" i="38"/>
  <c r="AC97" i="38"/>
  <c r="AC96" i="38"/>
  <c r="AC95" i="38"/>
  <c r="AC94" i="38"/>
  <c r="AC93" i="38"/>
  <c r="AC92" i="38"/>
  <c r="AC91" i="38"/>
  <c r="AC90" i="38"/>
  <c r="AC89" i="38"/>
  <c r="AC88" i="38"/>
  <c r="AC87" i="38"/>
  <c r="AC86" i="38"/>
  <c r="AC61" i="38"/>
  <c r="AC60" i="38"/>
  <c r="AC59" i="38"/>
  <c r="AC58" i="38"/>
  <c r="AC57" i="38"/>
  <c r="AC56" i="38"/>
  <c r="AC55" i="38"/>
  <c r="AC54" i="38"/>
  <c r="AC53" i="38"/>
  <c r="AC52" i="38"/>
  <c r="AC51" i="38"/>
  <c r="AO682" i="38" l="1"/>
  <c r="AQ682" i="38" s="1"/>
  <c r="AK402" i="38"/>
  <c r="AK404" i="38"/>
  <c r="AK407" i="38"/>
  <c r="AK409" i="38"/>
  <c r="AK411" i="38"/>
  <c r="AK438" i="38"/>
  <c r="AK441" i="38"/>
  <c r="AK444" i="38"/>
  <c r="AK446" i="38"/>
  <c r="AK449" i="38"/>
  <c r="AK451" i="38"/>
  <c r="AK453" i="38"/>
  <c r="AK455" i="38"/>
  <c r="AK456" i="38"/>
  <c r="AK457" i="38"/>
  <c r="H106" i="38"/>
  <c r="AA458" i="38" s="1"/>
  <c r="H105" i="38"/>
  <c r="AA457" i="38" s="1"/>
  <c r="H104" i="38"/>
  <c r="AA456" i="38" s="1"/>
  <c r="H103" i="38"/>
  <c r="AA455" i="38" s="1"/>
  <c r="H102" i="38"/>
  <c r="AA454" i="38" s="1"/>
  <c r="H101" i="38"/>
  <c r="AA453" i="38" s="1"/>
  <c r="H100" i="38"/>
  <c r="AA452" i="38" s="1"/>
  <c r="H99" i="38"/>
  <c r="AA451" i="38" s="1"/>
  <c r="H98" i="38"/>
  <c r="AA450" i="38" s="1"/>
  <c r="H97" i="38"/>
  <c r="AA449" i="38" s="1"/>
  <c r="H96" i="38"/>
  <c r="AA448" i="38" s="1"/>
  <c r="H95" i="38"/>
  <c r="AA447" i="38" s="1"/>
  <c r="H94" i="38"/>
  <c r="AA446" i="38" s="1"/>
  <c r="H93" i="38"/>
  <c r="AA445" i="38" s="1"/>
  <c r="H92" i="38"/>
  <c r="AA444" i="38" s="1"/>
  <c r="H91" i="38"/>
  <c r="AA443" i="38" s="1"/>
  <c r="H90" i="38"/>
  <c r="AA442" i="38" s="1"/>
  <c r="H89" i="38"/>
  <c r="AA441" i="38" s="1"/>
  <c r="H88" i="38"/>
  <c r="AA440" i="38" s="1"/>
  <c r="H87" i="38"/>
  <c r="AA439" i="38" s="1"/>
  <c r="H86" i="38"/>
  <c r="AA438" i="38" s="1"/>
  <c r="H61" i="38"/>
  <c r="AA412" i="38" s="1"/>
  <c r="H60" i="38"/>
  <c r="AA411" i="38" s="1"/>
  <c r="H59" i="38"/>
  <c r="AA410" i="38" s="1"/>
  <c r="H58" i="38"/>
  <c r="AA409" i="38" s="1"/>
  <c r="H57" i="38"/>
  <c r="AA408" i="38" s="1"/>
  <c r="H56" i="38"/>
  <c r="AA407" i="38" s="1"/>
  <c r="H55" i="38"/>
  <c r="AA406" i="38" s="1"/>
  <c r="H54" i="38"/>
  <c r="AA405" i="38" s="1"/>
  <c r="H53" i="38"/>
  <c r="AA404" i="38" s="1"/>
  <c r="H52" i="38"/>
  <c r="AA403" i="38" s="1"/>
  <c r="Y472" i="38"/>
  <c r="AE472" i="38" s="1"/>
  <c r="V472" i="38"/>
  <c r="T472" i="38"/>
  <c r="Y471" i="38"/>
  <c r="AE471" i="38" s="1"/>
  <c r="V471" i="38"/>
  <c r="T471" i="38"/>
  <c r="Y470" i="38"/>
  <c r="AE470" i="38" s="1"/>
  <c r="AK470" i="38" s="1"/>
  <c r="V470" i="38"/>
  <c r="T470" i="38"/>
  <c r="Y469" i="38"/>
  <c r="AE469" i="38" s="1"/>
  <c r="V469" i="38"/>
  <c r="T469" i="38"/>
  <c r="Y468" i="38"/>
  <c r="AE468" i="38" s="1"/>
  <c r="V468" i="38"/>
  <c r="T468" i="38"/>
  <c r="Y467" i="38"/>
  <c r="AE467" i="38" s="1"/>
  <c r="V467" i="38"/>
  <c r="T467" i="38"/>
  <c r="Y466" i="38"/>
  <c r="AE466" i="38" s="1"/>
  <c r="V466" i="38"/>
  <c r="T466" i="38"/>
  <c r="Y465" i="38"/>
  <c r="V465" i="38"/>
  <c r="T465" i="38"/>
  <c r="AY260" i="19"/>
  <c r="AX260" i="19"/>
  <c r="AT260" i="19" s="1"/>
  <c r="AY259" i="19"/>
  <c r="AX259" i="19"/>
  <c r="AT259" i="19" s="1"/>
  <c r="AY258" i="19"/>
  <c r="AX258" i="19"/>
  <c r="AY257" i="19"/>
  <c r="AX257" i="19"/>
  <c r="AT257" i="19" s="1"/>
  <c r="AE257" i="19"/>
  <c r="AY253" i="19"/>
  <c r="AX253" i="19"/>
  <c r="AT253" i="19" s="1"/>
  <c r="Y281" i="19"/>
  <c r="AE281" i="19" s="1"/>
  <c r="AO281" i="19" s="1"/>
  <c r="AQ281" i="19" s="1"/>
  <c r="Y280" i="19"/>
  <c r="AE280" i="19" s="1"/>
  <c r="Y279" i="19"/>
  <c r="AE279" i="19" s="1"/>
  <c r="AO279" i="19" s="1"/>
  <c r="Y278" i="19"/>
  <c r="AE278" i="19" s="1"/>
  <c r="AO278" i="19" s="1"/>
  <c r="Y277" i="19"/>
  <c r="AE277" i="19" s="1"/>
  <c r="AO277" i="19" s="1"/>
  <c r="Y276" i="19"/>
  <c r="AE276" i="19" s="1"/>
  <c r="AO276" i="19" s="1"/>
  <c r="Y275" i="19"/>
  <c r="AE275" i="19" s="1"/>
  <c r="Y274" i="19"/>
  <c r="AE274" i="19" s="1"/>
  <c r="Y273" i="19"/>
  <c r="AE273" i="19" s="1"/>
  <c r="Y272" i="19"/>
  <c r="AE272" i="19" s="1"/>
  <c r="Y271" i="19"/>
  <c r="AE271" i="19" s="1"/>
  <c r="AO271" i="19" s="1"/>
  <c r="Y270" i="19"/>
  <c r="AE270" i="19" s="1"/>
  <c r="AO270" i="19" s="1"/>
  <c r="Y269" i="19"/>
  <c r="AE269" i="19" s="1"/>
  <c r="AO269" i="19" s="1"/>
  <c r="Y268" i="19"/>
  <c r="AE465" i="38" l="1"/>
  <c r="AO467" i="38"/>
  <c r="AQ467" i="38" s="1"/>
  <c r="AK467" i="38"/>
  <c r="AK466" i="38"/>
  <c r="AO466" i="38"/>
  <c r="AQ466" i="38" s="1"/>
  <c r="AO471" i="38"/>
  <c r="AQ471" i="38" s="1"/>
  <c r="AK471" i="38"/>
  <c r="AO469" i="38"/>
  <c r="AQ469" i="38" s="1"/>
  <c r="AK469" i="38"/>
  <c r="AO472" i="38"/>
  <c r="AQ472" i="38" s="1"/>
  <c r="AK472" i="38"/>
  <c r="AK468" i="38"/>
  <c r="AO468" i="38"/>
  <c r="AQ468" i="38" s="1"/>
  <c r="AO470" i="38"/>
  <c r="AQ470" i="38" s="1"/>
  <c r="AK257" i="19"/>
  <c r="AO280" i="19"/>
  <c r="AQ280" i="19" s="1"/>
  <c r="AK280" i="19"/>
  <c r="AO272" i="19"/>
  <c r="AO273" i="19"/>
  <c r="Y282" i="19"/>
  <c r="AK281" i="19"/>
  <c r="AO274" i="19"/>
  <c r="AO275" i="19"/>
  <c r="AE268" i="19"/>
  <c r="AK465" i="38" l="1"/>
  <c r="AO465" i="38"/>
  <c r="AE282" i="19"/>
  <c r="AO268" i="19"/>
  <c r="C84" i="26"/>
  <c r="C80" i="26"/>
  <c r="C55" i="8"/>
  <c r="AQ465" i="38" l="1"/>
  <c r="AO282" i="19"/>
  <c r="AM601" i="38"/>
  <c r="F314" i="38"/>
  <c r="H27" i="20" l="1"/>
  <c r="K59" i="40"/>
  <c r="K48" i="40"/>
  <c r="L48" i="40" s="1"/>
  <c r="C60" i="40"/>
  <c r="AA65" i="20" l="1"/>
  <c r="E60" i="40"/>
  <c r="P37" i="35" l="1"/>
  <c r="O29" i="35" s="1"/>
  <c r="T522" i="38" l="1"/>
  <c r="T523" i="38" l="1"/>
  <c r="T524" i="38" l="1"/>
  <c r="T95" i="10"/>
  <c r="T94" i="10"/>
  <c r="T93" i="10"/>
  <c r="T92" i="10"/>
  <c r="T91" i="10"/>
  <c r="T90" i="10"/>
  <c r="T101" i="10"/>
  <c r="T100" i="10"/>
  <c r="T99" i="10"/>
  <c r="T98" i="10"/>
  <c r="T97" i="10"/>
  <c r="T106" i="10"/>
  <c r="T105" i="10"/>
  <c r="T104" i="10"/>
  <c r="T103" i="10"/>
  <c r="T112" i="10"/>
  <c r="T111" i="10"/>
  <c r="T110" i="10"/>
  <c r="T109" i="10"/>
  <c r="T108" i="10"/>
  <c r="T117" i="10"/>
  <c r="T116" i="10"/>
  <c r="T115" i="10"/>
  <c r="T114" i="10"/>
  <c r="T118" i="10"/>
  <c r="T124" i="10"/>
  <c r="T123" i="10"/>
  <c r="T122" i="10"/>
  <c r="T121" i="10"/>
  <c r="T120" i="10"/>
  <c r="T126" i="10"/>
  <c r="T525" i="38" l="1"/>
  <c r="C31" i="26"/>
  <c r="T526" i="38" l="1"/>
  <c r="C82" i="26"/>
  <c r="C180" i="26"/>
  <c r="C129" i="26"/>
  <c r="C242" i="26"/>
  <c r="T527" i="38" l="1"/>
  <c r="T528" i="38" l="1"/>
  <c r="T529" i="38" l="1"/>
  <c r="H64" i="24"/>
  <c r="T530" i="38" l="1"/>
  <c r="F111" i="19"/>
  <c r="F42" i="19"/>
  <c r="V59" i="5"/>
  <c r="T531" i="38" l="1"/>
  <c r="C28" i="34"/>
  <c r="F27" i="20"/>
  <c r="T532" i="38" l="1"/>
  <c r="T533" i="38" l="1"/>
  <c r="T534" i="38" l="1"/>
  <c r="AT258" i="19"/>
  <c r="T535" i="38" l="1"/>
  <c r="T536" i="38" l="1"/>
  <c r="T537" i="38" l="1"/>
  <c r="T539" i="38" l="1"/>
  <c r="T538" i="38"/>
  <c r="T540" i="38" l="1"/>
  <c r="T576" i="38"/>
  <c r="T541" i="38" l="1"/>
  <c r="T577" i="38"/>
  <c r="T694" i="38"/>
  <c r="V692" i="38"/>
  <c r="V690" i="38"/>
  <c r="V686" i="38"/>
  <c r="V684" i="38"/>
  <c r="V677" i="38"/>
  <c r="AE675" i="38"/>
  <c r="AE674" i="38"/>
  <c r="AE673" i="38"/>
  <c r="AE672" i="38"/>
  <c r="AO672" i="38" s="1"/>
  <c r="AQ672" i="38" s="1"/>
  <c r="AE671" i="38"/>
  <c r="Y670" i="38"/>
  <c r="AE670" i="38" s="1"/>
  <c r="Y669" i="38"/>
  <c r="V669" i="38"/>
  <c r="V668" i="38"/>
  <c r="V666" i="38"/>
  <c r="Y653" i="38"/>
  <c r="AE653" i="38" s="1"/>
  <c r="V653" i="38"/>
  <c r="Y652" i="38"/>
  <c r="AE652" i="38" s="1"/>
  <c r="AO652" i="38" s="1"/>
  <c r="V652" i="38"/>
  <c r="Y651" i="38"/>
  <c r="AE651" i="38" s="1"/>
  <c r="V651" i="38"/>
  <c r="Y650" i="38"/>
  <c r="AE650" i="38" s="1"/>
  <c r="AO650" i="38" s="1"/>
  <c r="AQ650" i="38" s="1"/>
  <c r="V650" i="38"/>
  <c r="Y649" i="38"/>
  <c r="AE649" i="38" s="1"/>
  <c r="V649" i="38"/>
  <c r="Y648" i="38"/>
  <c r="AE648" i="38" s="1"/>
  <c r="V648" i="38"/>
  <c r="Y647" i="38"/>
  <c r="AE647" i="38" s="1"/>
  <c r="V647" i="38"/>
  <c r="Y646" i="38"/>
  <c r="AE646" i="38" s="1"/>
  <c r="V646" i="38"/>
  <c r="Y645" i="38"/>
  <c r="AE645" i="38" s="1"/>
  <c r="V645" i="38"/>
  <c r="Y644" i="38"/>
  <c r="AE644" i="38" s="1"/>
  <c r="AO644" i="38" s="1"/>
  <c r="AQ644" i="38" s="1"/>
  <c r="V644" i="38"/>
  <c r="Y643" i="38"/>
  <c r="AE643" i="38" s="1"/>
  <c r="V643" i="38"/>
  <c r="Y642" i="38"/>
  <c r="AE642" i="38" s="1"/>
  <c r="AO642" i="38" s="1"/>
  <c r="AQ642" i="38" s="1"/>
  <c r="V642" i="38"/>
  <c r="Y641" i="38"/>
  <c r="AE641" i="38" s="1"/>
  <c r="V641" i="38"/>
  <c r="Y616" i="38"/>
  <c r="AE616" i="38" s="1"/>
  <c r="V616" i="38"/>
  <c r="Y615" i="38"/>
  <c r="AE615" i="38" s="1"/>
  <c r="V615" i="38"/>
  <c r="Y614" i="38"/>
  <c r="AE614" i="38" s="1"/>
  <c r="V614" i="38"/>
  <c r="Y613" i="38"/>
  <c r="AE613" i="38" s="1"/>
  <c r="V613" i="38"/>
  <c r="Y612" i="38"/>
  <c r="AE612" i="38" s="1"/>
  <c r="AO612" i="38" s="1"/>
  <c r="AQ612" i="38" s="1"/>
  <c r="V612" i="38"/>
  <c r="Y611" i="38"/>
  <c r="AE611" i="38" s="1"/>
  <c r="V611" i="38"/>
  <c r="Y610" i="38"/>
  <c r="AE610" i="38" s="1"/>
  <c r="AO610" i="38" s="1"/>
  <c r="V610" i="38"/>
  <c r="Y609" i="38"/>
  <c r="AE609" i="38" s="1"/>
  <c r="V609" i="38"/>
  <c r="Y608" i="38"/>
  <c r="AE608" i="38" s="1"/>
  <c r="V608" i="38"/>
  <c r="Y607" i="38"/>
  <c r="AE607" i="38" s="1"/>
  <c r="V607" i="38"/>
  <c r="Y606" i="38"/>
  <c r="AE606" i="38" s="1"/>
  <c r="V606" i="38"/>
  <c r="Y605" i="38"/>
  <c r="AE605" i="38" s="1"/>
  <c r="V605" i="38"/>
  <c r="Y604" i="38"/>
  <c r="V604" i="38"/>
  <c r="V601" i="38"/>
  <c r="Y600" i="38"/>
  <c r="AE600" i="38" s="1"/>
  <c r="V600" i="38"/>
  <c r="Y599" i="38"/>
  <c r="AE599" i="38" s="1"/>
  <c r="AO599" i="38" s="1"/>
  <c r="AQ599" i="38" s="1"/>
  <c r="V599" i="38"/>
  <c r="Y598" i="38"/>
  <c r="AE598" i="38" s="1"/>
  <c r="AO598" i="38" s="1"/>
  <c r="AQ598" i="38" s="1"/>
  <c r="V598" i="38"/>
  <c r="Y597" i="38"/>
  <c r="AE597" i="38" s="1"/>
  <c r="V597" i="38"/>
  <c r="Y596" i="38"/>
  <c r="AE596" i="38" s="1"/>
  <c r="V596" i="38"/>
  <c r="Y595" i="38"/>
  <c r="AE595" i="38" s="1"/>
  <c r="V595" i="38"/>
  <c r="Y594" i="38"/>
  <c r="AE594" i="38" s="1"/>
  <c r="V594" i="38"/>
  <c r="Y593" i="38"/>
  <c r="AE593" i="38" s="1"/>
  <c r="V593" i="38"/>
  <c r="Y592" i="38"/>
  <c r="AE592" i="38" s="1"/>
  <c r="V592" i="38"/>
  <c r="Y591" i="38"/>
  <c r="AE591" i="38" s="1"/>
  <c r="AO591" i="38" s="1"/>
  <c r="AQ591" i="38" s="1"/>
  <c r="V591" i="38"/>
  <c r="Y590" i="38"/>
  <c r="AE590" i="38" s="1"/>
  <c r="AO590" i="38" s="1"/>
  <c r="AQ590" i="38" s="1"/>
  <c r="V590" i="38"/>
  <c r="Y589" i="38"/>
  <c r="AE589" i="38" s="1"/>
  <c r="V589" i="38"/>
  <c r="Y588" i="38"/>
  <c r="AE588" i="38" s="1"/>
  <c r="V588" i="38"/>
  <c r="V587" i="38"/>
  <c r="V585" i="38"/>
  <c r="Y579" i="38"/>
  <c r="AE579" i="38" s="1"/>
  <c r="V579" i="38"/>
  <c r="Y578" i="38"/>
  <c r="AE578" i="38" s="1"/>
  <c r="AO578" i="38" s="1"/>
  <c r="AQ578" i="38" s="1"/>
  <c r="V578" i="38"/>
  <c r="Y577" i="38"/>
  <c r="AE577" i="38" s="1"/>
  <c r="V577" i="38"/>
  <c r="Y576" i="38"/>
  <c r="AE576" i="38" s="1"/>
  <c r="V576" i="38"/>
  <c r="Y521" i="38"/>
  <c r="AE521" i="38" s="1"/>
  <c r="V521" i="38"/>
  <c r="T521" i="38"/>
  <c r="Y520" i="38"/>
  <c r="AE520" i="38" s="1"/>
  <c r="V520" i="38"/>
  <c r="T520" i="38"/>
  <c r="Y519" i="38"/>
  <c r="AE519" i="38" s="1"/>
  <c r="V519" i="38"/>
  <c r="T519" i="38"/>
  <c r="Y518" i="38"/>
  <c r="AE518" i="38" s="1"/>
  <c r="V518" i="38"/>
  <c r="T518" i="38"/>
  <c r="Y517" i="38"/>
  <c r="AE517" i="38" s="1"/>
  <c r="V517" i="38"/>
  <c r="T517" i="38"/>
  <c r="Y516" i="38"/>
  <c r="AE516" i="38" s="1"/>
  <c r="AO516" i="38" s="1"/>
  <c r="AQ516" i="38" s="1"/>
  <c r="V516" i="38"/>
  <c r="T516" i="38"/>
  <c r="Y515" i="38"/>
  <c r="AE515" i="38" s="1"/>
  <c r="AO515" i="38" s="1"/>
  <c r="V515" i="38"/>
  <c r="T515" i="38"/>
  <c r="Y514" i="38"/>
  <c r="AE514" i="38" s="1"/>
  <c r="V514" i="38"/>
  <c r="T514" i="38"/>
  <c r="Y513" i="38"/>
  <c r="AE513" i="38" s="1"/>
  <c r="V513" i="38"/>
  <c r="T513" i="38"/>
  <c r="Y512" i="38"/>
  <c r="AE512" i="38" s="1"/>
  <c r="V512" i="38"/>
  <c r="T512" i="38"/>
  <c r="Y511" i="38"/>
  <c r="AE511" i="38" s="1"/>
  <c r="V511" i="38"/>
  <c r="T511" i="38"/>
  <c r="Y510" i="38"/>
  <c r="AE510" i="38" s="1"/>
  <c r="V510" i="38"/>
  <c r="T510" i="38"/>
  <c r="Y509" i="38"/>
  <c r="AE509" i="38" s="1"/>
  <c r="V509" i="38"/>
  <c r="T509" i="38"/>
  <c r="Y508" i="38"/>
  <c r="AE508" i="38" s="1"/>
  <c r="AO508" i="38" s="1"/>
  <c r="AQ508" i="38" s="1"/>
  <c r="V508" i="38"/>
  <c r="T508" i="38"/>
  <c r="Y483" i="38"/>
  <c r="AE483" i="38" s="1"/>
  <c r="AO483" i="38" s="1"/>
  <c r="AQ483" i="38" s="1"/>
  <c r="V483" i="38"/>
  <c r="T483" i="38"/>
  <c r="Y482" i="38"/>
  <c r="AE482" i="38" s="1"/>
  <c r="V482" i="38"/>
  <c r="T482" i="38"/>
  <c r="Y481" i="38"/>
  <c r="AE481" i="38" s="1"/>
  <c r="V481" i="38"/>
  <c r="T481" i="38"/>
  <c r="Y480" i="38"/>
  <c r="AE480" i="38" s="1"/>
  <c r="V480" i="38"/>
  <c r="T480" i="38"/>
  <c r="Y479" i="38"/>
  <c r="AE479" i="38" s="1"/>
  <c r="V479" i="38"/>
  <c r="T479" i="38"/>
  <c r="Y478" i="38"/>
  <c r="AE478" i="38" s="1"/>
  <c r="V478" i="38"/>
  <c r="T478" i="38"/>
  <c r="Y477" i="38"/>
  <c r="AE477" i="38" s="1"/>
  <c r="V477" i="38"/>
  <c r="T477" i="38"/>
  <c r="Y476" i="38"/>
  <c r="AE476" i="38" s="1"/>
  <c r="AO476" i="38" s="1"/>
  <c r="AQ476" i="38" s="1"/>
  <c r="V476" i="38"/>
  <c r="T476" i="38"/>
  <c r="Y475" i="38"/>
  <c r="AE475" i="38" s="1"/>
  <c r="V475" i="38"/>
  <c r="T475" i="38"/>
  <c r="Y474" i="38"/>
  <c r="AE474" i="38" s="1"/>
  <c r="V474" i="38"/>
  <c r="T474" i="38"/>
  <c r="Y473" i="38"/>
  <c r="V473" i="38"/>
  <c r="T473" i="38"/>
  <c r="V464" i="38"/>
  <c r="T464" i="38"/>
  <c r="Y382" i="38"/>
  <c r="AE382" i="38" s="1"/>
  <c r="Y374" i="38"/>
  <c r="AE374" i="38" s="1"/>
  <c r="V462" i="38"/>
  <c r="T462" i="38"/>
  <c r="V460" i="38"/>
  <c r="Y401" i="38"/>
  <c r="AE401" i="38" s="1"/>
  <c r="V401" i="38"/>
  <c r="T401" i="38"/>
  <c r="Y400" i="38"/>
  <c r="AE400" i="38" s="1"/>
  <c r="V400" i="38"/>
  <c r="T400" i="38"/>
  <c r="Y399" i="38"/>
  <c r="AE399" i="38" s="1"/>
  <c r="AK399" i="38" s="1"/>
  <c r="V399" i="38"/>
  <c r="T399" i="38"/>
  <c r="Y398" i="38"/>
  <c r="AE398" i="38" s="1"/>
  <c r="AK398" i="38" s="1"/>
  <c r="V398" i="38"/>
  <c r="T398" i="38"/>
  <c r="Y397" i="38"/>
  <c r="AE397" i="38" s="1"/>
  <c r="V397" i="38"/>
  <c r="T397" i="38"/>
  <c r="Y396" i="38"/>
  <c r="AE396" i="38" s="1"/>
  <c r="AK396" i="38" s="1"/>
  <c r="V396" i="38"/>
  <c r="T396" i="38"/>
  <c r="Y395" i="38"/>
  <c r="AE395" i="38" s="1"/>
  <c r="V395" i="38"/>
  <c r="T395" i="38"/>
  <c r="Y394" i="38"/>
  <c r="AE394" i="38" s="1"/>
  <c r="V394" i="38"/>
  <c r="T394" i="38"/>
  <c r="Y393" i="38"/>
  <c r="AE393" i="38" s="1"/>
  <c r="V393" i="38"/>
  <c r="T393" i="38"/>
  <c r="Y392" i="38"/>
  <c r="AE392" i="38" s="1"/>
  <c r="V392" i="38"/>
  <c r="T392" i="38"/>
  <c r="Y391" i="38"/>
  <c r="AE391" i="38" s="1"/>
  <c r="AK391" i="38" s="1"/>
  <c r="V391" i="38"/>
  <c r="T391" i="38"/>
  <c r="Y390" i="38"/>
  <c r="AE390" i="38" s="1"/>
  <c r="AK390" i="38" s="1"/>
  <c r="V390" i="38"/>
  <c r="T390" i="38"/>
  <c r="Y389" i="38"/>
  <c r="AE389" i="38" s="1"/>
  <c r="V389" i="38"/>
  <c r="T389" i="38"/>
  <c r="Y388" i="38"/>
  <c r="AE388" i="38" s="1"/>
  <c r="AK388" i="38" s="1"/>
  <c r="V388" i="38"/>
  <c r="T388" i="38"/>
  <c r="Y387" i="38"/>
  <c r="AE387" i="38" s="1"/>
  <c r="AK387" i="38" s="1"/>
  <c r="V387" i="38"/>
  <c r="T387" i="38"/>
  <c r="Y386" i="38"/>
  <c r="AE386" i="38" s="1"/>
  <c r="V386" i="38"/>
  <c r="T386" i="38"/>
  <c r="Y385" i="38"/>
  <c r="AE385" i="38" s="1"/>
  <c r="V385" i="38"/>
  <c r="T385" i="38"/>
  <c r="Y384" i="38"/>
  <c r="AE384" i="38" s="1"/>
  <c r="V384" i="38"/>
  <c r="T384" i="38"/>
  <c r="Y383" i="38"/>
  <c r="AE383" i="38" s="1"/>
  <c r="AK383" i="38" s="1"/>
  <c r="V383" i="38"/>
  <c r="T383" i="38"/>
  <c r="V382" i="38"/>
  <c r="T382" i="38"/>
  <c r="Y381" i="38"/>
  <c r="AE381" i="38" s="1"/>
  <c r="V381" i="38"/>
  <c r="T381" i="38"/>
  <c r="Y380" i="38"/>
  <c r="AE380" i="38" s="1"/>
  <c r="AK380" i="38" s="1"/>
  <c r="V380" i="38"/>
  <c r="T380" i="38"/>
  <c r="Y379" i="38"/>
  <c r="AE379" i="38" s="1"/>
  <c r="AK379" i="38" s="1"/>
  <c r="V379" i="38"/>
  <c r="T379" i="38"/>
  <c r="Y378" i="38"/>
  <c r="AE378" i="38" s="1"/>
  <c r="V378" i="38"/>
  <c r="T378" i="38"/>
  <c r="Y377" i="38"/>
  <c r="AE377" i="38" s="1"/>
  <c r="V377" i="38"/>
  <c r="T377" i="38"/>
  <c r="Y376" i="38"/>
  <c r="AE376" i="38" s="1"/>
  <c r="V376" i="38"/>
  <c r="T376" i="38"/>
  <c r="Y375" i="38"/>
  <c r="AE375" i="38" s="1"/>
  <c r="V375" i="38"/>
  <c r="T375" i="38"/>
  <c r="V374" i="38"/>
  <c r="T374" i="38"/>
  <c r="V373" i="38"/>
  <c r="T373" i="38"/>
  <c r="Y372" i="38"/>
  <c r="AE372" i="38" s="1"/>
  <c r="AK372" i="38" s="1"/>
  <c r="V372" i="38"/>
  <c r="T372" i="38"/>
  <c r="Y371" i="38"/>
  <c r="V371" i="38"/>
  <c r="T371" i="38"/>
  <c r="V370" i="38"/>
  <c r="T370" i="38"/>
  <c r="W369" i="38"/>
  <c r="V369" i="38"/>
  <c r="T369" i="38"/>
  <c r="G34" i="1"/>
  <c r="T578" i="38" l="1"/>
  <c r="T542" i="38"/>
  <c r="AE669" i="38"/>
  <c r="Y666" i="38"/>
  <c r="AE473" i="38"/>
  <c r="AE585" i="38" s="1"/>
  <c r="Y585" i="38"/>
  <c r="Y373" i="38"/>
  <c r="AE373" i="38" s="1"/>
  <c r="AE371" i="38"/>
  <c r="AE601" i="38"/>
  <c r="AK601" i="38" s="1"/>
  <c r="AO675" i="38"/>
  <c r="AK615" i="38"/>
  <c r="AK647" i="38"/>
  <c r="AE604" i="38"/>
  <c r="AE666" i="38" s="1"/>
  <c r="AK614" i="38"/>
  <c r="AO614" i="38"/>
  <c r="AQ614" i="38" s="1"/>
  <c r="AO611" i="38"/>
  <c r="AQ611" i="38" s="1"/>
  <c r="AK611" i="38"/>
  <c r="AO651" i="38"/>
  <c r="AQ651" i="38" s="1"/>
  <c r="AK651" i="38"/>
  <c r="AK609" i="38"/>
  <c r="AO609" i="38"/>
  <c r="AQ609" i="38" s="1"/>
  <c r="AK649" i="38"/>
  <c r="AO649" i="38"/>
  <c r="AQ649" i="38" s="1"/>
  <c r="AO616" i="38"/>
  <c r="AQ616" i="38" s="1"/>
  <c r="AK616" i="38"/>
  <c r="AO645" i="38"/>
  <c r="AQ645" i="38" s="1"/>
  <c r="AK645" i="38"/>
  <c r="AO643" i="38"/>
  <c r="AQ643" i="38" s="1"/>
  <c r="AK643" i="38"/>
  <c r="AO673" i="38"/>
  <c r="AQ673" i="38" s="1"/>
  <c r="AK673" i="38"/>
  <c r="AO605" i="38"/>
  <c r="AK641" i="38"/>
  <c r="AO641" i="38"/>
  <c r="AQ641" i="38" s="1"/>
  <c r="AO671" i="38"/>
  <c r="AQ671" i="38" s="1"/>
  <c r="AK671" i="38"/>
  <c r="AK606" i="38"/>
  <c r="AO606" i="38"/>
  <c r="AQ606" i="38" s="1"/>
  <c r="AO608" i="38"/>
  <c r="AQ608" i="38" s="1"/>
  <c r="AK608" i="38"/>
  <c r="AK646" i="38"/>
  <c r="AO646" i="38"/>
  <c r="AQ646" i="38" s="1"/>
  <c r="AO648" i="38"/>
  <c r="AQ648" i="38" s="1"/>
  <c r="AK648" i="38"/>
  <c r="AO613" i="38"/>
  <c r="AQ613" i="38" s="1"/>
  <c r="AK613" i="38"/>
  <c r="AO653" i="38"/>
  <c r="AK674" i="38"/>
  <c r="AO674" i="38"/>
  <c r="AQ674" i="38" s="1"/>
  <c r="AO607" i="38"/>
  <c r="AO615" i="38"/>
  <c r="AQ615" i="38" s="1"/>
  <c r="AO647" i="38"/>
  <c r="AQ647" i="38" s="1"/>
  <c r="AK642" i="38"/>
  <c r="AK650" i="38"/>
  <c r="AK670" i="38"/>
  <c r="AO670" i="38"/>
  <c r="AQ670" i="38" s="1"/>
  <c r="AK612" i="38"/>
  <c r="AK644" i="38"/>
  <c r="AK672" i="38"/>
  <c r="AK400" i="38"/>
  <c r="AO577" i="38"/>
  <c r="AQ577" i="38" s="1"/>
  <c r="AO520" i="38"/>
  <c r="AK595" i="38"/>
  <c r="AO595" i="38"/>
  <c r="AQ595" i="38" s="1"/>
  <c r="AK480" i="38"/>
  <c r="AO480" i="38"/>
  <c r="AQ480" i="38" s="1"/>
  <c r="AK392" i="38"/>
  <c r="AK512" i="38"/>
  <c r="AO512" i="38"/>
  <c r="AQ512" i="38" s="1"/>
  <c r="AO514" i="38"/>
  <c r="AQ514" i="38" s="1"/>
  <c r="AK514" i="38"/>
  <c r="AK588" i="38"/>
  <c r="AO588" i="38"/>
  <c r="AO597" i="38"/>
  <c r="AQ597" i="38" s="1"/>
  <c r="AK597" i="38"/>
  <c r="AK481" i="38"/>
  <c r="AO481" i="38"/>
  <c r="AQ481" i="38" s="1"/>
  <c r="AO477" i="38"/>
  <c r="AQ477" i="38" s="1"/>
  <c r="AK477" i="38"/>
  <c r="AO579" i="38"/>
  <c r="AQ579" i="38" s="1"/>
  <c r="AK579" i="38"/>
  <c r="AO509" i="38"/>
  <c r="AQ509" i="38" s="1"/>
  <c r="AK509" i="38"/>
  <c r="AO510" i="38"/>
  <c r="AQ510" i="38" s="1"/>
  <c r="AK510" i="38"/>
  <c r="AO519" i="38"/>
  <c r="AQ519" i="38" s="1"/>
  <c r="AK519" i="38"/>
  <c r="AK521" i="38"/>
  <c r="AO521" i="38"/>
  <c r="AQ521" i="38" s="1"/>
  <c r="AO593" i="38"/>
  <c r="AQ593" i="38" s="1"/>
  <c r="AK593" i="38"/>
  <c r="AO475" i="38"/>
  <c r="AQ475" i="38" s="1"/>
  <c r="AK475" i="38"/>
  <c r="AO589" i="38"/>
  <c r="AQ589" i="38" s="1"/>
  <c r="AK589" i="38"/>
  <c r="AO518" i="38"/>
  <c r="AQ518" i="38" s="1"/>
  <c r="AK518" i="38"/>
  <c r="AO478" i="38"/>
  <c r="AQ478" i="38" s="1"/>
  <c r="AK478" i="38"/>
  <c r="AO517" i="38"/>
  <c r="AQ517" i="38" s="1"/>
  <c r="AK517" i="38"/>
  <c r="AO600" i="38"/>
  <c r="AQ600" i="38" s="1"/>
  <c r="AK600" i="38"/>
  <c r="AK513" i="38"/>
  <c r="AO513" i="38"/>
  <c r="AQ513" i="38" s="1"/>
  <c r="AO576" i="38"/>
  <c r="AQ576" i="38" s="1"/>
  <c r="AK576" i="38"/>
  <c r="AO594" i="38"/>
  <c r="AQ594" i="38" s="1"/>
  <c r="AK594" i="38"/>
  <c r="AK596" i="38"/>
  <c r="AO596" i="38"/>
  <c r="AQ596" i="38" s="1"/>
  <c r="AO479" i="38"/>
  <c r="AQ479" i="38" s="1"/>
  <c r="AK479" i="38"/>
  <c r="AO592" i="38"/>
  <c r="AQ592" i="38" s="1"/>
  <c r="AK592" i="38"/>
  <c r="AO511" i="38"/>
  <c r="AQ511" i="38" s="1"/>
  <c r="AK511" i="38"/>
  <c r="AK474" i="38"/>
  <c r="AK482" i="38"/>
  <c r="Y601" i="38"/>
  <c r="AO474" i="38"/>
  <c r="AQ474" i="38" s="1"/>
  <c r="AO482" i="38"/>
  <c r="AQ482" i="38" s="1"/>
  <c r="AK483" i="38"/>
  <c r="AK577" i="38"/>
  <c r="AK590" i="38"/>
  <c r="AK598" i="38"/>
  <c r="AK476" i="38"/>
  <c r="AK508" i="38"/>
  <c r="AK516" i="38"/>
  <c r="AK578" i="38"/>
  <c r="AK591" i="38"/>
  <c r="AK599" i="38"/>
  <c r="AK384" i="38"/>
  <c r="AK393" i="38"/>
  <c r="AK381" i="38"/>
  <c r="AK397" i="38"/>
  <c r="AK389" i="38"/>
  <c r="AK386" i="38"/>
  <c r="AK385" i="38"/>
  <c r="AK401" i="38"/>
  <c r="C68" i="6"/>
  <c r="C69" i="5"/>
  <c r="T543" i="38" l="1"/>
  <c r="T579" i="38"/>
  <c r="AO669" i="38"/>
  <c r="AQ669" i="38" s="1"/>
  <c r="AK669" i="38"/>
  <c r="AK473" i="38"/>
  <c r="AO473" i="38"/>
  <c r="AQ588" i="38"/>
  <c r="AO601" i="38"/>
  <c r="AQ601" i="38" s="1"/>
  <c r="AO604" i="38"/>
  <c r="AO666" i="38" s="1"/>
  <c r="AK371" i="38"/>
  <c r="AK604" i="38"/>
  <c r="AO230" i="19"/>
  <c r="AO161" i="19"/>
  <c r="R76" i="19"/>
  <c r="R7" i="19"/>
  <c r="AO53" i="33"/>
  <c r="R7" i="33"/>
  <c r="R7" i="31"/>
  <c r="AO51" i="31"/>
  <c r="AO51" i="30"/>
  <c r="R7" i="30"/>
  <c r="R7" i="14"/>
  <c r="AO71" i="14"/>
  <c r="AO59" i="13"/>
  <c r="R7" i="13"/>
  <c r="R7" i="12"/>
  <c r="AO71" i="12"/>
  <c r="AO55" i="11"/>
  <c r="R7" i="11"/>
  <c r="R7" i="10"/>
  <c r="AO77" i="10"/>
  <c r="AO79" i="9"/>
  <c r="R7" i="9"/>
  <c r="AO63" i="8"/>
  <c r="R7" i="8"/>
  <c r="AN48" i="7"/>
  <c r="R7" i="7"/>
  <c r="R7" i="6"/>
  <c r="V7" i="5"/>
  <c r="T580" i="38" l="1"/>
  <c r="T544" i="38"/>
  <c r="AQ473" i="38"/>
  <c r="AO585" i="38"/>
  <c r="AQ604" i="38"/>
  <c r="V83" i="7"/>
  <c r="C42" i="7"/>
  <c r="V82" i="7"/>
  <c r="C41" i="7"/>
  <c r="V110" i="8"/>
  <c r="V109" i="8"/>
  <c r="C54" i="8"/>
  <c r="C53" i="8"/>
  <c r="V141" i="9"/>
  <c r="V140" i="9"/>
  <c r="C69" i="9"/>
  <c r="C68" i="9"/>
  <c r="V137" i="10"/>
  <c r="V136" i="10"/>
  <c r="C67" i="10"/>
  <c r="C66" i="10"/>
  <c r="T581" i="38" l="1"/>
  <c r="T545" i="38"/>
  <c r="H11" i="36"/>
  <c r="T546" i="38" l="1"/>
  <c r="T582" i="38"/>
  <c r="F325" i="38"/>
  <c r="A344" i="38"/>
  <c r="T696" i="38" s="1"/>
  <c r="A343" i="38"/>
  <c r="T695" i="38" s="1"/>
  <c r="C337" i="38"/>
  <c r="V689" i="38" s="1"/>
  <c r="J336" i="38"/>
  <c r="C336" i="38"/>
  <c r="V688" i="38" s="1"/>
  <c r="C335" i="38"/>
  <c r="R278" i="38"/>
  <c r="A276" i="38"/>
  <c r="A275" i="38"/>
  <c r="A274" i="38"/>
  <c r="A273" i="38"/>
  <c r="A272" i="38"/>
  <c r="A271" i="38"/>
  <c r="A270" i="38"/>
  <c r="AC47" i="38"/>
  <c r="H48" i="38" s="1"/>
  <c r="AA399" i="38" s="1"/>
  <c r="AC48" i="38"/>
  <c r="H49" i="38" s="1"/>
  <c r="AA400" i="38" s="1"/>
  <c r="AC49" i="38"/>
  <c r="H50" i="38" s="1"/>
  <c r="AA401" i="38" s="1"/>
  <c r="AC50" i="38"/>
  <c r="H51" i="38" s="1"/>
  <c r="AA402" i="38" s="1"/>
  <c r="AC42" i="38"/>
  <c r="AC43" i="38"/>
  <c r="AC44" i="38"/>
  <c r="AC45" i="38"/>
  <c r="AC46" i="38"/>
  <c r="H47" i="38" s="1"/>
  <c r="AA398" i="38" s="1"/>
  <c r="T583" i="38" l="1"/>
  <c r="T547" i="38"/>
  <c r="F332" i="38"/>
  <c r="V687" i="38"/>
  <c r="T549" i="38" l="1"/>
  <c r="T548" i="38"/>
  <c r="T584" i="38"/>
  <c r="AE676" i="38"/>
  <c r="Y677" i="38"/>
  <c r="H31" i="34"/>
  <c r="T585" i="38" l="1"/>
  <c r="A235" i="38"/>
  <c r="Y684" i="38"/>
  <c r="Y692" i="38"/>
  <c r="AO676" i="38"/>
  <c r="AE677" i="38"/>
  <c r="G64" i="1"/>
  <c r="G63" i="1"/>
  <c r="G154" i="1"/>
  <c r="F53" i="5" l="1"/>
  <c r="F40" i="4"/>
  <c r="T587" i="38"/>
  <c r="A236" i="38"/>
  <c r="AO677" i="38"/>
  <c r="J21" i="37"/>
  <c r="G21" i="37"/>
  <c r="D21" i="37"/>
  <c r="T588" i="38" l="1"/>
  <c r="A237" i="38"/>
  <c r="T66" i="33"/>
  <c r="T67" i="33"/>
  <c r="T69" i="33"/>
  <c r="T70" i="33"/>
  <c r="T71" i="33"/>
  <c r="T73" i="33"/>
  <c r="T74" i="33"/>
  <c r="T75" i="33"/>
  <c r="T76" i="33"/>
  <c r="T77" i="33"/>
  <c r="T64" i="31"/>
  <c r="T65" i="31"/>
  <c r="T67" i="31"/>
  <c r="T68" i="31"/>
  <c r="T69" i="31"/>
  <c r="T71" i="31"/>
  <c r="T72" i="31"/>
  <c r="T73" i="31"/>
  <c r="T74" i="31"/>
  <c r="T75" i="31"/>
  <c r="T64" i="30"/>
  <c r="T65" i="30"/>
  <c r="T67" i="30"/>
  <c r="T68" i="30"/>
  <c r="T69" i="30"/>
  <c r="T71" i="30"/>
  <c r="T72" i="30"/>
  <c r="T73" i="30"/>
  <c r="T74" i="30"/>
  <c r="T75" i="30"/>
  <c r="T64" i="29"/>
  <c r="T65" i="29"/>
  <c r="T67" i="29"/>
  <c r="T68" i="29"/>
  <c r="T69" i="29"/>
  <c r="T71" i="29"/>
  <c r="T72" i="29"/>
  <c r="T73" i="29"/>
  <c r="T74" i="29"/>
  <c r="T75" i="29"/>
  <c r="T77" i="29"/>
  <c r="T78" i="29"/>
  <c r="T79" i="29"/>
  <c r="T80" i="29"/>
  <c r="T82" i="29"/>
  <c r="H29" i="29"/>
  <c r="T76" i="8"/>
  <c r="T77" i="8"/>
  <c r="T79" i="8"/>
  <c r="T80" i="8"/>
  <c r="T81" i="8"/>
  <c r="T82" i="8"/>
  <c r="T83" i="8"/>
  <c r="T85" i="8"/>
  <c r="T86" i="8"/>
  <c r="T87" i="8"/>
  <c r="T88" i="8"/>
  <c r="T90" i="8"/>
  <c r="T91" i="8"/>
  <c r="T92" i="8"/>
  <c r="T93" i="8"/>
  <c r="T94" i="8"/>
  <c r="T95" i="8"/>
  <c r="T96" i="8"/>
  <c r="T97" i="8"/>
  <c r="T99" i="8"/>
  <c r="T100" i="8"/>
  <c r="T101" i="8"/>
  <c r="T102" i="8"/>
  <c r="T103" i="8"/>
  <c r="T104" i="8"/>
  <c r="T106" i="8"/>
  <c r="T589" i="38" l="1"/>
  <c r="A238" i="38"/>
  <c r="K16" i="40"/>
  <c r="T590" i="38" l="1"/>
  <c r="A239" i="38"/>
  <c r="AC108" i="14"/>
  <c r="AC107" i="14"/>
  <c r="AC94" i="14"/>
  <c r="AC93" i="14"/>
  <c r="T591" i="38" l="1"/>
  <c r="A240" i="38"/>
  <c r="A211" i="38" l="1"/>
  <c r="A145" i="38"/>
  <c r="A75" i="38"/>
  <c r="T563" i="38"/>
  <c r="T426" i="38"/>
  <c r="T630" i="38"/>
  <c r="T497" i="38"/>
  <c r="A241" i="38"/>
  <c r="T592" i="38"/>
  <c r="A278" i="38"/>
  <c r="Y106" i="12"/>
  <c r="A242" i="38" l="1"/>
  <c r="T593" i="38"/>
  <c r="C245" i="26"/>
  <c r="C244" i="26"/>
  <c r="C182" i="26"/>
  <c r="C132" i="26"/>
  <c r="C131" i="26"/>
  <c r="C33" i="26"/>
  <c r="A243" i="38" l="1"/>
  <c r="T594" i="38"/>
  <c r="A3" i="37"/>
  <c r="O17" i="35"/>
  <c r="A244" i="38" l="1"/>
  <c r="T595" i="38"/>
  <c r="A1" i="1"/>
  <c r="B1" i="2" s="1"/>
  <c r="A245" i="38" l="1"/>
  <c r="T596" i="38"/>
  <c r="AC21" i="38"/>
  <c r="H22" i="38" s="1"/>
  <c r="AA373" i="38" s="1"/>
  <c r="AC22" i="38"/>
  <c r="H23" i="38" s="1"/>
  <c r="AA374" i="38" s="1"/>
  <c r="AC23" i="38"/>
  <c r="H24" i="38" s="1"/>
  <c r="AA375" i="38" s="1"/>
  <c r="AC24" i="38"/>
  <c r="H25" i="38" s="1"/>
  <c r="AA376" i="38" s="1"/>
  <c r="AC25" i="38"/>
  <c r="H26" i="38" s="1"/>
  <c r="AA377" i="38" s="1"/>
  <c r="AC26" i="38"/>
  <c r="H27" i="38" s="1"/>
  <c r="AA378" i="38" s="1"/>
  <c r="AC27" i="38"/>
  <c r="H28" i="38" s="1"/>
  <c r="AA379" i="38" s="1"/>
  <c r="AC28" i="38"/>
  <c r="H29" i="38" s="1"/>
  <c r="AA380" i="38" s="1"/>
  <c r="AC29" i="38"/>
  <c r="H30" i="38" s="1"/>
  <c r="AA381" i="38" s="1"/>
  <c r="AC30" i="38"/>
  <c r="H31" i="38" s="1"/>
  <c r="AA382" i="38" s="1"/>
  <c r="AC31" i="38"/>
  <c r="H32" i="38" s="1"/>
  <c r="AA383" i="38" s="1"/>
  <c r="AC32" i="38"/>
  <c r="H33" i="38" s="1"/>
  <c r="AA384" i="38" s="1"/>
  <c r="AC33" i="38"/>
  <c r="H34" i="38" s="1"/>
  <c r="AA385" i="38" s="1"/>
  <c r="AC34" i="38"/>
  <c r="H35" i="38" s="1"/>
  <c r="AA386" i="38" s="1"/>
  <c r="AC35" i="38"/>
  <c r="H36" i="38" s="1"/>
  <c r="AA387" i="38" s="1"/>
  <c r="AC36" i="38"/>
  <c r="H37" i="38" s="1"/>
  <c r="AA388" i="38" s="1"/>
  <c r="AC37" i="38"/>
  <c r="H38" i="38" s="1"/>
  <c r="AA389" i="38" s="1"/>
  <c r="AC38" i="38"/>
  <c r="H39" i="38" s="1"/>
  <c r="AA390" i="38" s="1"/>
  <c r="AC39" i="38"/>
  <c r="H40" i="38" s="1"/>
  <c r="AA391" i="38" s="1"/>
  <c r="AC40" i="38"/>
  <c r="H41" i="38" s="1"/>
  <c r="AA392" i="38" s="1"/>
  <c r="AC41" i="38"/>
  <c r="H42" i="38" s="1"/>
  <c r="AA393" i="38" s="1"/>
  <c r="H43" i="38"/>
  <c r="AA394" i="38" s="1"/>
  <c r="H44" i="38"/>
  <c r="AA395" i="38" s="1"/>
  <c r="H45" i="38"/>
  <c r="AA396" i="38" s="1"/>
  <c r="H46" i="38"/>
  <c r="AA397" i="38" s="1"/>
  <c r="AC20" i="38"/>
  <c r="H21" i="38" s="1"/>
  <c r="AA372" i="38" s="1"/>
  <c r="H20" i="38"/>
  <c r="AO360" i="38"/>
  <c r="T360" i="38"/>
  <c r="T358" i="38"/>
  <c r="T357" i="38"/>
  <c r="T356" i="38"/>
  <c r="T355" i="38"/>
  <c r="T354" i="38"/>
  <c r="T353" i="38"/>
  <c r="T352" i="38"/>
  <c r="A268" i="38"/>
  <c r="A267" i="38"/>
  <c r="R9" i="38"/>
  <c r="A9" i="38"/>
  <c r="A7" i="38"/>
  <c r="A6" i="38"/>
  <c r="A5" i="38"/>
  <c r="A4" i="38"/>
  <c r="A3" i="38"/>
  <c r="A2" i="38"/>
  <c r="A1" i="38"/>
  <c r="H108" i="38" l="1"/>
  <c r="P108" i="38" s="1"/>
  <c r="P107" i="38" s="1"/>
  <c r="A246" i="38"/>
  <c r="T597" i="38"/>
  <c r="AA371" i="38"/>
  <c r="F340" i="38"/>
  <c r="F53" i="6" l="1"/>
  <c r="H24" i="36"/>
  <c r="J24" i="36" s="1"/>
  <c r="A247" i="38"/>
  <c r="T598" i="38"/>
  <c r="H332" i="38"/>
  <c r="P105" i="38"/>
  <c r="P97" i="38"/>
  <c r="P89" i="38"/>
  <c r="P57" i="38"/>
  <c r="P49" i="38"/>
  <c r="P41" i="38"/>
  <c r="P33" i="38"/>
  <c r="P25" i="38"/>
  <c r="P104" i="38"/>
  <c r="P96" i="38"/>
  <c r="P88" i="38"/>
  <c r="P56" i="38"/>
  <c r="P48" i="38"/>
  <c r="P40" i="38"/>
  <c r="P32" i="38"/>
  <c r="P24" i="38"/>
  <c r="P103" i="38"/>
  <c r="P95" i="38"/>
  <c r="P87" i="38"/>
  <c r="P55" i="38"/>
  <c r="P47" i="38"/>
  <c r="P39" i="38"/>
  <c r="P31" i="38"/>
  <c r="P23" i="38"/>
  <c r="P102" i="38"/>
  <c r="P94" i="38"/>
  <c r="P86" i="38"/>
  <c r="P54" i="38"/>
  <c r="P46" i="38"/>
  <c r="P38" i="38"/>
  <c r="P30" i="38"/>
  <c r="P22" i="38"/>
  <c r="P101" i="38"/>
  <c r="P93" i="38"/>
  <c r="P61" i="38"/>
  <c r="P53" i="38"/>
  <c r="P45" i="38"/>
  <c r="P37" i="38"/>
  <c r="P29" i="38"/>
  <c r="P21" i="38"/>
  <c r="P100" i="38"/>
  <c r="P92" i="38"/>
  <c r="P60" i="38"/>
  <c r="P52" i="38"/>
  <c r="P44" i="38"/>
  <c r="P36" i="38"/>
  <c r="P28" i="38"/>
  <c r="P20" i="38"/>
  <c r="P99" i="38"/>
  <c r="P91" i="38"/>
  <c r="P59" i="38"/>
  <c r="P51" i="38"/>
  <c r="P43" i="38"/>
  <c r="P35" i="38"/>
  <c r="P27" i="38"/>
  <c r="P106" i="38"/>
  <c r="P98" i="38"/>
  <c r="P90" i="38"/>
  <c r="P58" i="38"/>
  <c r="P50" i="38"/>
  <c r="P42" i="38"/>
  <c r="P34" i="38"/>
  <c r="P26" i="38"/>
  <c r="H340" i="38"/>
  <c r="H53" i="6" s="1"/>
  <c r="H110" i="38"/>
  <c r="P336" i="38" s="1"/>
  <c r="R336" i="38" s="1"/>
  <c r="AM684" i="38" l="1"/>
  <c r="AO459" i="38"/>
  <c r="AQ459" i="38" s="1"/>
  <c r="A248" i="38"/>
  <c r="T599" i="38"/>
  <c r="AA692" i="38"/>
  <c r="AA462" i="38"/>
  <c r="AE462" i="38" s="1"/>
  <c r="AE684" i="38" s="1"/>
  <c r="P340" i="38"/>
  <c r="P53" i="6" s="1"/>
  <c r="D58" i="40" s="1"/>
  <c r="AO458" i="38"/>
  <c r="AQ458" i="38" s="1"/>
  <c r="AO450" i="38"/>
  <c r="AQ450" i="38" s="1"/>
  <c r="AO442" i="38"/>
  <c r="AQ442" i="38" s="1"/>
  <c r="AO409" i="38"/>
  <c r="AQ409" i="38" s="1"/>
  <c r="AO401" i="38"/>
  <c r="AQ401" i="38" s="1"/>
  <c r="AO393" i="38"/>
  <c r="AQ393" i="38" s="1"/>
  <c r="AO385" i="38"/>
  <c r="AQ385" i="38" s="1"/>
  <c r="AO377" i="38"/>
  <c r="AO457" i="38"/>
  <c r="AQ457" i="38" s="1"/>
  <c r="AO449" i="38"/>
  <c r="AQ449" i="38" s="1"/>
  <c r="AO441" i="38"/>
  <c r="AQ441" i="38" s="1"/>
  <c r="AO408" i="38"/>
  <c r="AQ408" i="38" s="1"/>
  <c r="AO400" i="38"/>
  <c r="AQ400" i="38" s="1"/>
  <c r="AO392" i="38"/>
  <c r="AQ392" i="38" s="1"/>
  <c r="AO384" i="38"/>
  <c r="AQ384" i="38" s="1"/>
  <c r="AO376" i="38"/>
  <c r="AO456" i="38"/>
  <c r="AQ456" i="38" s="1"/>
  <c r="AO448" i="38"/>
  <c r="AQ448" i="38" s="1"/>
  <c r="AO440" i="38"/>
  <c r="AQ440" i="38" s="1"/>
  <c r="AO407" i="38"/>
  <c r="AQ407" i="38" s="1"/>
  <c r="AO399" i="38"/>
  <c r="AQ399" i="38" s="1"/>
  <c r="AO391" i="38"/>
  <c r="AQ391" i="38" s="1"/>
  <c r="AO383" i="38"/>
  <c r="AQ383" i="38" s="1"/>
  <c r="AO375" i="38"/>
  <c r="AO455" i="38"/>
  <c r="AQ455" i="38" s="1"/>
  <c r="AO447" i="38"/>
  <c r="AQ447" i="38" s="1"/>
  <c r="AO439" i="38"/>
  <c r="AO406" i="38"/>
  <c r="AQ406" i="38" s="1"/>
  <c r="AO398" i="38"/>
  <c r="AQ398" i="38" s="1"/>
  <c r="AO390" i="38"/>
  <c r="AQ390" i="38" s="1"/>
  <c r="AO382" i="38"/>
  <c r="AO374" i="38"/>
  <c r="AO454" i="38"/>
  <c r="AQ454" i="38" s="1"/>
  <c r="AO446" i="38"/>
  <c r="AQ446" i="38" s="1"/>
  <c r="AO438" i="38"/>
  <c r="AO405" i="38"/>
  <c r="AQ405" i="38" s="1"/>
  <c r="AO397" i="38"/>
  <c r="AQ397" i="38" s="1"/>
  <c r="AO389" i="38"/>
  <c r="AQ389" i="38" s="1"/>
  <c r="AO381" i="38"/>
  <c r="AQ381" i="38" s="1"/>
  <c r="AO373" i="38"/>
  <c r="AO453" i="38"/>
  <c r="AQ453" i="38" s="1"/>
  <c r="AO445" i="38"/>
  <c r="AQ445" i="38" s="1"/>
  <c r="AO412" i="38"/>
  <c r="AQ412" i="38" s="1"/>
  <c r="AO404" i="38"/>
  <c r="AQ404" i="38" s="1"/>
  <c r="AO396" i="38"/>
  <c r="AQ396" i="38" s="1"/>
  <c r="AO388" i="38"/>
  <c r="AQ388" i="38" s="1"/>
  <c r="AO380" i="38"/>
  <c r="AQ380" i="38" s="1"/>
  <c r="AO372" i="38"/>
  <c r="AQ372" i="38" s="1"/>
  <c r="AO452" i="38"/>
  <c r="AQ452" i="38" s="1"/>
  <c r="AO444" i="38"/>
  <c r="AQ444" i="38" s="1"/>
  <c r="AO411" i="38"/>
  <c r="AQ411" i="38" s="1"/>
  <c r="AO403" i="38"/>
  <c r="AQ403" i="38" s="1"/>
  <c r="AO395" i="38"/>
  <c r="AO387" i="38"/>
  <c r="AQ387" i="38" s="1"/>
  <c r="AO379" i="38"/>
  <c r="AQ379" i="38" s="1"/>
  <c r="AO371" i="38"/>
  <c r="AO451" i="38"/>
  <c r="AQ451" i="38" s="1"/>
  <c r="AO443" i="38"/>
  <c r="AQ443" i="38" s="1"/>
  <c r="AO410" i="38"/>
  <c r="AQ410" i="38" s="1"/>
  <c r="AO402" i="38"/>
  <c r="AQ402" i="38" s="1"/>
  <c r="AO394" i="38"/>
  <c r="AO386" i="38"/>
  <c r="AQ386" i="38" s="1"/>
  <c r="AO378" i="38"/>
  <c r="AQ438" i="38" l="1"/>
  <c r="AO460" i="38"/>
  <c r="AM690" i="38"/>
  <c r="AM692" i="38" s="1"/>
  <c r="H40" i="4"/>
  <c r="C26" i="40" s="1"/>
  <c r="A249" i="38"/>
  <c r="T600" i="38"/>
  <c r="H53" i="5"/>
  <c r="AO462" i="38"/>
  <c r="AQ371" i="38"/>
  <c r="T75" i="7"/>
  <c r="T76" i="7"/>
  <c r="T77" i="7"/>
  <c r="D166" i="1"/>
  <c r="AC687" i="38"/>
  <c r="T53" i="5" l="1"/>
  <c r="P40" i="4"/>
  <c r="J41" i="22"/>
  <c r="J131" i="19"/>
  <c r="T601" i="38"/>
  <c r="AO684" i="38"/>
  <c r="N16" i="34" s="1"/>
  <c r="C85" i="26"/>
  <c r="C183" i="26"/>
  <c r="C133" i="26"/>
  <c r="C246" i="26"/>
  <c r="J30" i="20"/>
  <c r="J68" i="24"/>
  <c r="J41" i="13"/>
  <c r="J52" i="12"/>
  <c r="J38" i="11"/>
  <c r="J35" i="33"/>
  <c r="J58" i="10"/>
  <c r="J45" i="8"/>
  <c r="J51" i="14"/>
  <c r="J33" i="12"/>
  <c r="J35" i="31"/>
  <c r="J60" i="9"/>
  <c r="J335" i="38"/>
  <c r="J35" i="30"/>
  <c r="J48" i="25"/>
  <c r="J24" i="28"/>
  <c r="AC285" i="19"/>
  <c r="AC104" i="25"/>
  <c r="AC68" i="20"/>
  <c r="AC141" i="24"/>
  <c r="AC91" i="22"/>
  <c r="AC59" i="28"/>
  <c r="AC81" i="33"/>
  <c r="AC115" i="12"/>
  <c r="AC128" i="10"/>
  <c r="AC79" i="31"/>
  <c r="AC96" i="12"/>
  <c r="AC93" i="13"/>
  <c r="AC79" i="30"/>
  <c r="AC86" i="11"/>
  <c r="AC132" i="9"/>
  <c r="AC115" i="14"/>
  <c r="AC101" i="8"/>
  <c r="A288" i="38" l="1"/>
  <c r="G31" i="1"/>
  <c r="G30" i="1"/>
  <c r="G29" i="1"/>
  <c r="D165" i="1"/>
  <c r="C34" i="26" s="1"/>
  <c r="C34" i="1"/>
  <c r="C31" i="1"/>
  <c r="C30" i="1"/>
  <c r="C29" i="1"/>
  <c r="J29" i="1"/>
  <c r="C81" i="26" l="1"/>
  <c r="C83" i="26"/>
  <c r="A289" i="38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T640" i="38"/>
  <c r="J33" i="7"/>
  <c r="AC689" i="38"/>
  <c r="D30" i="1"/>
  <c r="D31" i="1"/>
  <c r="C181" i="26"/>
  <c r="C243" i="26"/>
  <c r="C32" i="26"/>
  <c r="C130" i="26"/>
  <c r="D34" i="1"/>
  <c r="D29" i="1"/>
  <c r="F31" i="22"/>
  <c r="A253" i="38" l="1"/>
  <c r="T604" i="38"/>
  <c r="AE689" i="38"/>
  <c r="AO689" i="38" s="1"/>
  <c r="J337" i="38"/>
  <c r="L337" i="38" s="1"/>
  <c r="AE687" i="38" l="1"/>
  <c r="AE690" i="38" s="1"/>
  <c r="A254" i="38"/>
  <c r="T605" i="38"/>
  <c r="AI689" i="38"/>
  <c r="AK689" i="38" s="1"/>
  <c r="J26" i="40"/>
  <c r="R337" i="38"/>
  <c r="K12" i="37"/>
  <c r="K11" i="37"/>
  <c r="K9" i="37"/>
  <c r="K10" i="37"/>
  <c r="K24" i="37"/>
  <c r="I21" i="37"/>
  <c r="F21" i="37"/>
  <c r="I12" i="37"/>
  <c r="I11" i="37"/>
  <c r="I10" i="37"/>
  <c r="I9" i="37"/>
  <c r="F12" i="37"/>
  <c r="F11" i="37"/>
  <c r="F10" i="37"/>
  <c r="F9" i="37"/>
  <c r="J13" i="37"/>
  <c r="H13" i="37"/>
  <c r="G13" i="37"/>
  <c r="E13" i="37"/>
  <c r="D13" i="37"/>
  <c r="AO687" i="38" l="1"/>
  <c r="H26" i="40" s="1"/>
  <c r="AE692" i="38"/>
  <c r="AG539" i="38" s="1"/>
  <c r="AO690" i="38"/>
  <c r="AK675" i="38"/>
  <c r="AQ675" i="38"/>
  <c r="A255" i="38"/>
  <c r="T606" i="38"/>
  <c r="AQ689" i="38"/>
  <c r="J58" i="40"/>
  <c r="I13" i="37"/>
  <c r="K13" i="37"/>
  <c r="F13" i="37"/>
  <c r="E21" i="37"/>
  <c r="H21" i="37"/>
  <c r="G24" i="37"/>
  <c r="AG687" i="38" l="1"/>
  <c r="AG689" i="38"/>
  <c r="AG676" i="38"/>
  <c r="AG673" i="38"/>
  <c r="AG482" i="38"/>
  <c r="AG611" i="38"/>
  <c r="AG578" i="38"/>
  <c r="AG392" i="38"/>
  <c r="AG385" i="38"/>
  <c r="AG400" i="38"/>
  <c r="AG477" i="38"/>
  <c r="AG671" i="38"/>
  <c r="AO692" i="38"/>
  <c r="R40" i="4" s="1"/>
  <c r="AG389" i="38"/>
  <c r="AG378" i="38"/>
  <c r="AG644" i="38"/>
  <c r="AG515" i="38"/>
  <c r="AG600" i="38"/>
  <c r="AG669" i="38"/>
  <c r="AG394" i="38"/>
  <c r="AG610" i="38"/>
  <c r="AG374" i="38"/>
  <c r="AG388" i="38"/>
  <c r="AG371" i="38"/>
  <c r="AG387" i="38"/>
  <c r="AG674" i="38"/>
  <c r="AG382" i="38"/>
  <c r="AG480" i="38"/>
  <c r="AG483" i="38"/>
  <c r="AG393" i="38"/>
  <c r="AG521" i="38"/>
  <c r="AG646" i="38"/>
  <c r="AG516" i="38"/>
  <c r="AG517" i="38"/>
  <c r="AG614" i="38"/>
  <c r="AG379" i="38"/>
  <c r="AG653" i="38"/>
  <c r="AG520" i="38"/>
  <c r="AG396" i="38"/>
  <c r="L53" i="5"/>
  <c r="J53" i="5" s="1"/>
  <c r="AG519" i="38"/>
  <c r="AG598" i="38"/>
  <c r="AG473" i="38"/>
  <c r="AG605" i="38"/>
  <c r="AG670" i="38"/>
  <c r="AG381" i="38"/>
  <c r="AG649" i="38"/>
  <c r="AG677" i="38"/>
  <c r="AG474" i="38"/>
  <c r="AG469" i="38"/>
  <c r="AG597" i="38"/>
  <c r="AG672" i="38"/>
  <c r="AG479" i="38"/>
  <c r="AG642" i="38"/>
  <c r="AG684" i="38"/>
  <c r="AG648" i="38"/>
  <c r="AG510" i="38"/>
  <c r="AG589" i="38"/>
  <c r="AG478" i="38"/>
  <c r="AG439" i="38"/>
  <c r="AG462" i="38"/>
  <c r="AG445" i="38"/>
  <c r="AG455" i="38"/>
  <c r="AG412" i="38"/>
  <c r="AG386" i="38"/>
  <c r="AG399" i="38"/>
  <c r="AG375" i="38"/>
  <c r="AG511" i="38"/>
  <c r="AG588" i="38"/>
  <c r="AG397" i="38"/>
  <c r="AG440" i="38"/>
  <c r="AG593" i="38"/>
  <c r="AG608" i="38"/>
  <c r="AG647" i="38"/>
  <c r="AG410" i="38"/>
  <c r="AG613" i="38"/>
  <c r="AG606" i="38"/>
  <c r="AG592" i="38"/>
  <c r="AG383" i="38"/>
  <c r="AG407" i="38"/>
  <c r="AG609" i="38"/>
  <c r="AG599" i="38"/>
  <c r="AG513" i="38"/>
  <c r="AG475" i="38"/>
  <c r="AG398" i="38"/>
  <c r="AG476" i="38"/>
  <c r="AG594" i="38"/>
  <c r="AG408" i="38"/>
  <c r="AG441" i="38"/>
  <c r="AG615" i="38"/>
  <c r="AG470" i="38"/>
  <c r="AG446" i="38"/>
  <c r="AG590" i="38"/>
  <c r="AG481" i="38"/>
  <c r="AG384" i="38"/>
  <c r="AG612" i="38"/>
  <c r="AG373" i="38"/>
  <c r="AG376" i="38"/>
  <c r="AG650" i="38"/>
  <c r="AG466" i="38"/>
  <c r="AG533" i="38"/>
  <c r="AG471" i="38"/>
  <c r="AG458" i="38"/>
  <c r="AG468" i="38"/>
  <c r="AG449" i="38"/>
  <c r="AG595" i="38"/>
  <c r="AG675" i="38"/>
  <c r="AG456" i="38"/>
  <c r="AG523" i="38"/>
  <c r="AG453" i="38"/>
  <c r="AG536" i="38"/>
  <c r="AG526" i="38"/>
  <c r="AG535" i="38"/>
  <c r="AG514" i="38"/>
  <c r="AG390" i="38"/>
  <c r="AG652" i="38"/>
  <c r="AG577" i="38"/>
  <c r="AG472" i="38"/>
  <c r="AG450" i="38"/>
  <c r="AG532" i="38"/>
  <c r="AG525" i="38"/>
  <c r="AG438" i="38"/>
  <c r="AG405" i="38"/>
  <c r="AG528" i="38"/>
  <c r="AG377" i="38"/>
  <c r="AG643" i="38"/>
  <c r="AG616" i="38"/>
  <c r="AG692" i="38"/>
  <c r="AG444" i="38"/>
  <c r="AG454" i="38"/>
  <c r="AG583" i="38"/>
  <c r="AG447" i="38"/>
  <c r="AG465" i="38"/>
  <c r="AG451" i="38"/>
  <c r="AG406" i="38"/>
  <c r="AG530" i="38"/>
  <c r="AG604" i="38"/>
  <c r="AG508" i="38"/>
  <c r="AG518" i="38"/>
  <c r="AG372" i="38"/>
  <c r="AG395" i="38"/>
  <c r="AG512" i="38"/>
  <c r="AG401" i="38"/>
  <c r="AG596" i="38"/>
  <c r="AG391" i="38"/>
  <c r="AG457" i="38"/>
  <c r="AG448" i="38"/>
  <c r="AG538" i="38"/>
  <c r="AG665" i="38"/>
  <c r="AG509" i="38"/>
  <c r="AG576" i="38"/>
  <c r="AG467" i="38"/>
  <c r="AG403" i="38"/>
  <c r="AG409" i="38"/>
  <c r="AG534" i="38"/>
  <c r="AG655" i="38"/>
  <c r="AG581" i="38"/>
  <c r="AG681" i="38"/>
  <c r="AG664" i="38"/>
  <c r="AG661" i="38"/>
  <c r="AG452" i="38"/>
  <c r="AG411" i="38"/>
  <c r="AG404" i="38"/>
  <c r="AG656" i="38"/>
  <c r="AG524" i="38"/>
  <c r="AG545" i="38"/>
  <c r="AG659" i="38"/>
  <c r="AG531" i="38"/>
  <c r="AG522" i="38"/>
  <c r="AG547" i="38"/>
  <c r="AG580" i="38"/>
  <c r="AG546" i="38"/>
  <c r="AG682" i="38"/>
  <c r="AG541" i="38"/>
  <c r="AG680" i="38"/>
  <c r="AG543" i="38"/>
  <c r="AG658" i="38"/>
  <c r="AG549" i="38"/>
  <c r="AG527" i="38"/>
  <c r="AG654" i="38"/>
  <c r="AG544" i="38"/>
  <c r="J40" i="4"/>
  <c r="L40" i="4" s="1"/>
  <c r="AG582" i="38"/>
  <c r="AG662" i="38"/>
  <c r="AG542" i="38"/>
  <c r="AG459" i="38"/>
  <c r="AG584" i="38"/>
  <c r="AG657" i="38"/>
  <c r="AG548" i="38"/>
  <c r="AG663" i="38"/>
  <c r="AG540" i="38"/>
  <c r="AG651" i="38"/>
  <c r="AG579" i="38"/>
  <c r="AG607" i="38"/>
  <c r="AG641" i="38"/>
  <c r="AG645" i="38"/>
  <c r="AG380" i="38"/>
  <c r="AG591" i="38"/>
  <c r="AG690" i="38"/>
  <c r="AG402" i="38"/>
  <c r="AG443" i="38"/>
  <c r="AG442" i="38"/>
  <c r="AG537" i="38"/>
  <c r="AG529" i="38"/>
  <c r="AG660" i="38"/>
  <c r="A256" i="38"/>
  <c r="T607" i="38"/>
  <c r="K26" i="40"/>
  <c r="D113" i="1"/>
  <c r="G113" i="1" s="1"/>
  <c r="W19" i="35"/>
  <c r="X19" i="35" s="1"/>
  <c r="AJ15" i="35"/>
  <c r="AJ13" i="35"/>
  <c r="W17" i="35"/>
  <c r="W16" i="35"/>
  <c r="X16" i="35" s="1"/>
  <c r="V53" i="5" l="1"/>
  <c r="E53" i="3"/>
  <c r="B26" i="40" s="1"/>
  <c r="AG601" i="38"/>
  <c r="AG585" i="38"/>
  <c r="AG666" i="38"/>
  <c r="AG460" i="38"/>
  <c r="A257" i="38"/>
  <c r="T608" i="38"/>
  <c r="AA17" i="35"/>
  <c r="X17" i="35"/>
  <c r="A258" i="38" l="1"/>
  <c r="T609" i="38"/>
  <c r="V264" i="19"/>
  <c r="V263" i="19"/>
  <c r="V262" i="19"/>
  <c r="V261" i="19"/>
  <c r="V260" i="19"/>
  <c r="V259" i="19"/>
  <c r="V258" i="19"/>
  <c r="V256" i="19"/>
  <c r="V255" i="19"/>
  <c r="V253" i="19"/>
  <c r="V252" i="19"/>
  <c r="V251" i="19"/>
  <c r="V250" i="19"/>
  <c r="V248" i="19"/>
  <c r="V247" i="19"/>
  <c r="V246" i="19"/>
  <c r="V245" i="19"/>
  <c r="V244" i="19"/>
  <c r="V215" i="19"/>
  <c r="V214" i="19"/>
  <c r="V213" i="19"/>
  <c r="V212" i="19"/>
  <c r="V211" i="19"/>
  <c r="V210" i="19"/>
  <c r="V207" i="19"/>
  <c r="V206" i="19"/>
  <c r="V205" i="19"/>
  <c r="V203" i="19"/>
  <c r="V202" i="19"/>
  <c r="V201" i="19"/>
  <c r="V200" i="19"/>
  <c r="V194" i="19"/>
  <c r="V193" i="19"/>
  <c r="V192" i="19"/>
  <c r="V191" i="19"/>
  <c r="V189" i="19"/>
  <c r="V188" i="19"/>
  <c r="V187" i="19"/>
  <c r="V186" i="19"/>
  <c r="V185" i="19"/>
  <c r="V184" i="19"/>
  <c r="V182" i="19"/>
  <c r="V181" i="19"/>
  <c r="V180" i="19"/>
  <c r="V178" i="19"/>
  <c r="V177" i="19"/>
  <c r="V176" i="19"/>
  <c r="V175" i="19"/>
  <c r="A259" i="38" l="1"/>
  <c r="T610" i="38"/>
  <c r="C24" i="34"/>
  <c r="A260" i="38" l="1"/>
  <c r="T611" i="38"/>
  <c r="B3" i="34"/>
  <c r="B4" i="34"/>
  <c r="A261" i="38" l="1"/>
  <c r="T612" i="38"/>
  <c r="C17" i="35"/>
  <c r="N19" i="34"/>
  <c r="A262" i="38" l="1"/>
  <c r="T613" i="38"/>
  <c r="AC73" i="30"/>
  <c r="A263" i="38" l="1"/>
  <c r="T614" i="38"/>
  <c r="D162" i="1"/>
  <c r="G162" i="1" s="1"/>
  <c r="D161" i="1"/>
  <c r="G161" i="1" s="1"/>
  <c r="T615" i="38" l="1"/>
  <c r="A264" i="38"/>
  <c r="J29" i="30"/>
  <c r="T616" i="38" l="1"/>
  <c r="D88" i="1"/>
  <c r="G88" i="1" s="1"/>
  <c r="AJ21" i="35"/>
  <c r="AS4" i="35"/>
  <c r="AN4" i="35"/>
  <c r="AI4" i="35"/>
  <c r="AD4" i="35"/>
  <c r="Z4" i="35"/>
  <c r="V4" i="35"/>
  <c r="N4" i="35"/>
  <c r="J4" i="35"/>
  <c r="F4" i="35"/>
  <c r="AS3" i="35"/>
  <c r="AN3" i="35"/>
  <c r="AI3" i="35"/>
  <c r="AD3" i="35"/>
  <c r="Z3" i="35"/>
  <c r="V3" i="35"/>
  <c r="N3" i="35"/>
  <c r="J3" i="35"/>
  <c r="F3" i="35"/>
  <c r="B3" i="35"/>
  <c r="AS2" i="35"/>
  <c r="AN2" i="35"/>
  <c r="AI2" i="35"/>
  <c r="AD2" i="35"/>
  <c r="Z2" i="35"/>
  <c r="V2" i="35"/>
  <c r="N2" i="35"/>
  <c r="J2" i="35"/>
  <c r="F2" i="35"/>
  <c r="B2" i="35"/>
  <c r="T641" i="38" l="1"/>
  <c r="AM14" i="35"/>
  <c r="L55" i="19"/>
  <c r="T642" i="38" l="1"/>
  <c r="H29" i="34"/>
  <c r="T643" i="38" l="1"/>
  <c r="AO20" i="35"/>
  <c r="T644" i="38" l="1"/>
  <c r="D123" i="1"/>
  <c r="G123" i="1" s="1"/>
  <c r="AO15" i="35"/>
  <c r="T645" i="38" l="1"/>
  <c r="D96" i="1"/>
  <c r="G96" i="1" s="1"/>
  <c r="AA13" i="35"/>
  <c r="AB17" i="35" s="1"/>
  <c r="AA11" i="35"/>
  <c r="D87" i="1"/>
  <c r="G87" i="1" s="1"/>
  <c r="D86" i="1"/>
  <c r="G86" i="1" s="1"/>
  <c r="W11" i="35"/>
  <c r="T646" i="38" l="1"/>
  <c r="D69" i="1"/>
  <c r="D68" i="1"/>
  <c r="O20" i="35"/>
  <c r="O18" i="35"/>
  <c r="O7" i="35"/>
  <c r="O13" i="35"/>
  <c r="P16" i="35" s="1"/>
  <c r="T647" i="38" l="1"/>
  <c r="G68" i="1"/>
  <c r="G69" i="1"/>
  <c r="D70" i="1"/>
  <c r="G70" i="1" s="1"/>
  <c r="D49" i="1"/>
  <c r="G49" i="1" s="1"/>
  <c r="D48" i="1"/>
  <c r="G48" i="1" s="1"/>
  <c r="C10" i="35"/>
  <c r="C8" i="35"/>
  <c r="T648" i="38" l="1"/>
  <c r="P23" i="35"/>
  <c r="G7" i="34"/>
  <c r="Q6" i="34"/>
  <c r="T649" i="38" l="1"/>
  <c r="AE15" i="35"/>
  <c r="T650" i="38" l="1"/>
  <c r="AA7" i="35"/>
  <c r="T651" i="38" l="1"/>
  <c r="AA12" i="35"/>
  <c r="AA14" i="35" s="1"/>
  <c r="AA15" i="35" s="1"/>
  <c r="T652" i="38" l="1"/>
  <c r="J53" i="12"/>
  <c r="T653" i="38" l="1"/>
  <c r="AC129" i="10"/>
  <c r="J59" i="10"/>
  <c r="T654" i="38" l="1"/>
  <c r="C36" i="30"/>
  <c r="C34" i="30"/>
  <c r="C35" i="30"/>
  <c r="T655" i="38" l="1"/>
  <c r="T120" i="14"/>
  <c r="T118" i="14"/>
  <c r="T117" i="14"/>
  <c r="T116" i="14"/>
  <c r="T115" i="14"/>
  <c r="T114" i="14"/>
  <c r="T113" i="14"/>
  <c r="T111" i="14"/>
  <c r="T110" i="14"/>
  <c r="T109" i="14"/>
  <c r="T108" i="14"/>
  <c r="T107" i="14"/>
  <c r="T106" i="14"/>
  <c r="T104" i="14"/>
  <c r="T103" i="14"/>
  <c r="T102" i="14"/>
  <c r="T101" i="14"/>
  <c r="T99" i="14"/>
  <c r="T98" i="14"/>
  <c r="T96" i="14"/>
  <c r="T95" i="14"/>
  <c r="T94" i="14"/>
  <c r="T93" i="14"/>
  <c r="T92" i="14"/>
  <c r="T90" i="14"/>
  <c r="T89" i="14"/>
  <c r="T88" i="14"/>
  <c r="T87" i="14"/>
  <c r="T85" i="14"/>
  <c r="T84" i="14"/>
  <c r="T83" i="14"/>
  <c r="T656" i="38" l="1"/>
  <c r="C49" i="25"/>
  <c r="C48" i="25"/>
  <c r="C69" i="24"/>
  <c r="C68" i="24"/>
  <c r="C42" i="22"/>
  <c r="C41" i="22"/>
  <c r="C25" i="28"/>
  <c r="C24" i="28"/>
  <c r="C31" i="20"/>
  <c r="C30" i="20"/>
  <c r="C132" i="19"/>
  <c r="C131" i="19"/>
  <c r="C36" i="33"/>
  <c r="C35" i="33"/>
  <c r="C34" i="33"/>
  <c r="C36" i="31"/>
  <c r="C35" i="31"/>
  <c r="C34" i="31"/>
  <c r="C53" i="14"/>
  <c r="C52" i="14"/>
  <c r="C51" i="14"/>
  <c r="C50" i="14"/>
  <c r="C43" i="13"/>
  <c r="C42" i="13"/>
  <c r="C41" i="13"/>
  <c r="C40" i="13"/>
  <c r="C54" i="12"/>
  <c r="C53" i="12"/>
  <c r="C52" i="12"/>
  <c r="C51" i="12"/>
  <c r="C35" i="12"/>
  <c r="C34" i="12"/>
  <c r="C33" i="12"/>
  <c r="C32" i="12"/>
  <c r="C40" i="11"/>
  <c r="C39" i="11"/>
  <c r="C38" i="11"/>
  <c r="C37" i="11"/>
  <c r="C60" i="10"/>
  <c r="C59" i="10"/>
  <c r="C58" i="10"/>
  <c r="C57" i="10"/>
  <c r="C62" i="9"/>
  <c r="C61" i="9"/>
  <c r="C60" i="9"/>
  <c r="C59" i="9"/>
  <c r="C47" i="8"/>
  <c r="C46" i="8"/>
  <c r="C45" i="8"/>
  <c r="C44" i="8"/>
  <c r="C35" i="7"/>
  <c r="C34" i="7"/>
  <c r="C33" i="7"/>
  <c r="C32" i="7"/>
  <c r="C31" i="7"/>
  <c r="T657" i="38" l="1"/>
  <c r="AC87" i="13"/>
  <c r="T658" i="38" l="1"/>
  <c r="C128" i="26"/>
  <c r="C127" i="26"/>
  <c r="C241" i="26"/>
  <c r="C240" i="26"/>
  <c r="T659" i="38" l="1"/>
  <c r="AC105" i="25"/>
  <c r="V104" i="25"/>
  <c r="V105" i="25"/>
  <c r="T108" i="25"/>
  <c r="T106" i="25"/>
  <c r="T105" i="25"/>
  <c r="T104" i="25"/>
  <c r="T103" i="25"/>
  <c r="AC142" i="24"/>
  <c r="V141" i="24"/>
  <c r="V142" i="24"/>
  <c r="T145" i="24"/>
  <c r="T143" i="24"/>
  <c r="T142" i="24"/>
  <c r="T141" i="24"/>
  <c r="T140" i="24"/>
  <c r="J49" i="25"/>
  <c r="J69" i="24"/>
  <c r="AC92" i="22"/>
  <c r="V91" i="22"/>
  <c r="V92" i="22"/>
  <c r="T95" i="22"/>
  <c r="T93" i="22"/>
  <c r="T92" i="22"/>
  <c r="T91" i="22"/>
  <c r="T90" i="22"/>
  <c r="J42" i="22"/>
  <c r="AC60" i="28"/>
  <c r="V59" i="28"/>
  <c r="V60" i="28"/>
  <c r="T63" i="28"/>
  <c r="T61" i="28"/>
  <c r="T60" i="28"/>
  <c r="T59" i="28"/>
  <c r="T58" i="28"/>
  <c r="J25" i="28"/>
  <c r="V68" i="20"/>
  <c r="V69" i="20"/>
  <c r="V285" i="19"/>
  <c r="V286" i="19"/>
  <c r="V82" i="33"/>
  <c r="V81" i="33"/>
  <c r="V80" i="33"/>
  <c r="T85" i="33"/>
  <c r="T83" i="33"/>
  <c r="T82" i="33"/>
  <c r="T81" i="33"/>
  <c r="T80" i="33"/>
  <c r="T79" i="33"/>
  <c r="AC80" i="31"/>
  <c r="AC78" i="31"/>
  <c r="J36" i="31"/>
  <c r="V80" i="31"/>
  <c r="V79" i="31"/>
  <c r="V78" i="31"/>
  <c r="T83" i="31"/>
  <c r="T81" i="31"/>
  <c r="T80" i="31"/>
  <c r="T79" i="31"/>
  <c r="T78" i="31"/>
  <c r="T77" i="31"/>
  <c r="AC80" i="30"/>
  <c r="AC78" i="30"/>
  <c r="V80" i="30"/>
  <c r="V79" i="30"/>
  <c r="V78" i="30"/>
  <c r="T83" i="30"/>
  <c r="T81" i="30"/>
  <c r="T80" i="30"/>
  <c r="T79" i="30"/>
  <c r="T78" i="30"/>
  <c r="T77" i="30"/>
  <c r="Q34" i="30"/>
  <c r="AC117" i="14"/>
  <c r="AC116" i="14"/>
  <c r="AC114" i="14"/>
  <c r="V117" i="14"/>
  <c r="V116" i="14"/>
  <c r="V115" i="14"/>
  <c r="V114" i="14"/>
  <c r="AC95" i="13"/>
  <c r="AC94" i="13"/>
  <c r="AC92" i="13"/>
  <c r="V95" i="13"/>
  <c r="V94" i="13"/>
  <c r="V93" i="13"/>
  <c r="V92" i="13"/>
  <c r="T98" i="13"/>
  <c r="T96" i="13"/>
  <c r="T95" i="13"/>
  <c r="T94" i="13"/>
  <c r="T93" i="13"/>
  <c r="T92" i="13"/>
  <c r="T91" i="13"/>
  <c r="J43" i="13"/>
  <c r="J42" i="13"/>
  <c r="AC117" i="12"/>
  <c r="AC116" i="12"/>
  <c r="AC114" i="12"/>
  <c r="AC98" i="12"/>
  <c r="AC97" i="12"/>
  <c r="AC95" i="12"/>
  <c r="T120" i="12"/>
  <c r="T118" i="12"/>
  <c r="T117" i="12"/>
  <c r="T116" i="12"/>
  <c r="T115" i="12"/>
  <c r="T114" i="12"/>
  <c r="T113" i="12"/>
  <c r="T111" i="12"/>
  <c r="T110" i="12"/>
  <c r="T109" i="12"/>
  <c r="T108" i="12"/>
  <c r="T106" i="12"/>
  <c r="T104" i="12"/>
  <c r="T101" i="12"/>
  <c r="T99" i="12"/>
  <c r="T98" i="12"/>
  <c r="T97" i="12"/>
  <c r="T96" i="12"/>
  <c r="T95" i="12"/>
  <c r="V117" i="12"/>
  <c r="V116" i="12"/>
  <c r="V115" i="12"/>
  <c r="V114" i="12"/>
  <c r="V98" i="12"/>
  <c r="V97" i="12"/>
  <c r="V96" i="12"/>
  <c r="V95" i="12"/>
  <c r="J54" i="12"/>
  <c r="J35" i="12"/>
  <c r="J34" i="12"/>
  <c r="AC88" i="11"/>
  <c r="AC87" i="11"/>
  <c r="AC85" i="11"/>
  <c r="V88" i="11"/>
  <c r="V87" i="11"/>
  <c r="V86" i="11"/>
  <c r="V85" i="11"/>
  <c r="T91" i="11"/>
  <c r="T89" i="11"/>
  <c r="T88" i="11"/>
  <c r="T87" i="11"/>
  <c r="T86" i="11"/>
  <c r="T85" i="11"/>
  <c r="T84" i="11"/>
  <c r="J40" i="11"/>
  <c r="J39" i="11"/>
  <c r="AC130" i="10"/>
  <c r="AC127" i="10"/>
  <c r="T133" i="10"/>
  <c r="T131" i="10"/>
  <c r="T130" i="10"/>
  <c r="T129" i="10"/>
  <c r="T128" i="10"/>
  <c r="V130" i="10"/>
  <c r="V129" i="10"/>
  <c r="V128" i="10"/>
  <c r="V127" i="10"/>
  <c r="T127" i="10"/>
  <c r="J60" i="10"/>
  <c r="T660" i="38" l="1"/>
  <c r="J62" i="9"/>
  <c r="J61" i="9"/>
  <c r="AC134" i="9"/>
  <c r="AC133" i="9"/>
  <c r="AC131" i="9"/>
  <c r="V134" i="9"/>
  <c r="V133" i="9"/>
  <c r="V132" i="9"/>
  <c r="V131" i="9"/>
  <c r="T137" i="9"/>
  <c r="T135" i="9"/>
  <c r="T134" i="9"/>
  <c r="T133" i="9"/>
  <c r="T132" i="9"/>
  <c r="T131" i="9"/>
  <c r="T130" i="9"/>
  <c r="V103" i="8"/>
  <c r="V102" i="8"/>
  <c r="V101" i="8"/>
  <c r="V100" i="8"/>
  <c r="T79" i="7"/>
  <c r="T74" i="7"/>
  <c r="T73" i="7"/>
  <c r="T72" i="7"/>
  <c r="V75" i="7"/>
  <c r="V74" i="7"/>
  <c r="V73" i="7"/>
  <c r="V72" i="7"/>
  <c r="V76" i="7"/>
  <c r="T661" i="38" l="1"/>
  <c r="M23" i="27"/>
  <c r="M22" i="27"/>
  <c r="M21" i="27"/>
  <c r="D23" i="27"/>
  <c r="D22" i="27"/>
  <c r="D21" i="27"/>
  <c r="T662" i="38" l="1"/>
  <c r="AB74" i="7"/>
  <c r="J34" i="7"/>
  <c r="T663" i="38" l="1"/>
  <c r="Y62" i="20"/>
  <c r="Y65" i="20" s="1"/>
  <c r="T664" i="38" l="1"/>
  <c r="AC80" i="8"/>
  <c r="J24" i="8"/>
  <c r="T665" i="38" l="1"/>
  <c r="H21" i="19"/>
  <c r="A316" i="38" l="1"/>
  <c r="T666" i="38"/>
  <c r="H42" i="19"/>
  <c r="H111" i="19"/>
  <c r="H32" i="24"/>
  <c r="A317" i="38" l="1"/>
  <c r="T668" i="38"/>
  <c r="H23" i="22"/>
  <c r="H22" i="22"/>
  <c r="H36" i="22"/>
  <c r="A318" i="38" l="1"/>
  <c r="T669" i="38"/>
  <c r="H30" i="22"/>
  <c r="H29" i="22"/>
  <c r="H28" i="22"/>
  <c r="H35" i="22"/>
  <c r="H44" i="25"/>
  <c r="H43" i="25"/>
  <c r="H42" i="25"/>
  <c r="H39" i="25"/>
  <c r="H38" i="25"/>
  <c r="H37" i="25"/>
  <c r="H36" i="25"/>
  <c r="H35" i="25"/>
  <c r="H34" i="25"/>
  <c r="H33" i="25"/>
  <c r="H30" i="25"/>
  <c r="H29" i="25"/>
  <c r="H28" i="25"/>
  <c r="H25" i="25"/>
  <c r="H24" i="25"/>
  <c r="H23" i="25"/>
  <c r="H22" i="25"/>
  <c r="H26" i="22"/>
  <c r="A319" i="38" l="1"/>
  <c r="A320" i="38" s="1"/>
  <c r="T670" i="38"/>
  <c r="AC74" i="33"/>
  <c r="AC70" i="33"/>
  <c r="J29" i="33"/>
  <c r="J24" i="33"/>
  <c r="AC72" i="31"/>
  <c r="AC68" i="31"/>
  <c r="J24" i="31"/>
  <c r="AC72" i="30"/>
  <c r="AC68" i="30"/>
  <c r="J24" i="30"/>
  <c r="J29" i="29"/>
  <c r="J24" i="29"/>
  <c r="AC73" i="29"/>
  <c r="AC72" i="29"/>
  <c r="AC68" i="29"/>
  <c r="AC75" i="33"/>
  <c r="A321" i="38" l="1"/>
  <c r="AC73" i="31"/>
  <c r="D160" i="1"/>
  <c r="G160" i="1" s="1"/>
  <c r="AC103" i="14"/>
  <c r="AC102" i="14"/>
  <c r="AC89" i="14"/>
  <c r="AC88" i="14"/>
  <c r="AC85" i="14"/>
  <c r="J21" i="14"/>
  <c r="AC86" i="13"/>
  <c r="AC85" i="13"/>
  <c r="AC81" i="13"/>
  <c r="AC77" i="13"/>
  <c r="AC76" i="13"/>
  <c r="J25" i="13"/>
  <c r="J24" i="13"/>
  <c r="AC110" i="12"/>
  <c r="AC109" i="12"/>
  <c r="AC106" i="12"/>
  <c r="AC91" i="12"/>
  <c r="AC88" i="12"/>
  <c r="J25" i="12"/>
  <c r="AC81" i="11"/>
  <c r="AC78" i="11"/>
  <c r="AC74" i="11"/>
  <c r="AC73" i="11"/>
  <c r="AC72" i="11"/>
  <c r="J26" i="11"/>
  <c r="J25" i="11"/>
  <c r="J24" i="11"/>
  <c r="AC94" i="10"/>
  <c r="AC93" i="10"/>
  <c r="J24" i="10"/>
  <c r="J23" i="10"/>
  <c r="J23" i="9"/>
  <c r="AC125" i="9"/>
  <c r="AC117" i="9"/>
  <c r="AC116" i="9"/>
  <c r="AC108" i="9"/>
  <c r="AC107" i="9"/>
  <c r="AC104" i="9"/>
  <c r="AC103" i="9"/>
  <c r="AC99" i="9"/>
  <c r="AC98" i="9"/>
  <c r="AC95" i="9"/>
  <c r="AC95" i="8"/>
  <c r="AC94" i="8"/>
  <c r="AC93" i="8"/>
  <c r="AC92" i="8"/>
  <c r="AC91" i="8"/>
  <c r="AC87" i="8"/>
  <c r="AC86" i="8"/>
  <c r="AC82" i="8"/>
  <c r="AC81" i="8"/>
  <c r="J25" i="8"/>
  <c r="AB67" i="7"/>
  <c r="AB64" i="7"/>
  <c r="A322" i="38" l="1"/>
  <c r="J29" i="31"/>
  <c r="D38" i="27"/>
  <c r="D34" i="27"/>
  <c r="D30" i="27"/>
  <c r="D26" i="27"/>
  <c r="D36" i="27"/>
  <c r="D28" i="27"/>
  <c r="D35" i="27"/>
  <c r="D27" i="27"/>
  <c r="D41" i="27"/>
  <c r="D37" i="27"/>
  <c r="D33" i="27"/>
  <c r="D29" i="27"/>
  <c r="D25" i="27"/>
  <c r="D40" i="27"/>
  <c r="D32" i="27"/>
  <c r="D24" i="27"/>
  <c r="D39" i="27"/>
  <c r="D31" i="27"/>
  <c r="AM83" i="33"/>
  <c r="AC82" i="33"/>
  <c r="T56" i="33"/>
  <c r="AO55" i="33"/>
  <c r="T55" i="33"/>
  <c r="T53" i="33"/>
  <c r="T52" i="33"/>
  <c r="T51" i="33"/>
  <c r="T50" i="33"/>
  <c r="T49" i="33"/>
  <c r="T48" i="33"/>
  <c r="T47" i="33"/>
  <c r="Y70" i="33"/>
  <c r="A10" i="33"/>
  <c r="R9" i="33"/>
  <c r="A9" i="33"/>
  <c r="A7" i="33"/>
  <c r="A6" i="33"/>
  <c r="A5" i="33"/>
  <c r="A4" i="33"/>
  <c r="A3" i="33"/>
  <c r="A2" i="33"/>
  <c r="A1" i="33"/>
  <c r="AM81" i="31"/>
  <c r="T54" i="31"/>
  <c r="AO53" i="31"/>
  <c r="T53" i="31"/>
  <c r="T51" i="31"/>
  <c r="T50" i="31"/>
  <c r="T49" i="31"/>
  <c r="T48" i="31"/>
  <c r="T47" i="31"/>
  <c r="T46" i="31"/>
  <c r="T45" i="31"/>
  <c r="P37" i="31"/>
  <c r="Y68" i="31"/>
  <c r="A10" i="31"/>
  <c r="R9" i="31"/>
  <c r="A9" i="31"/>
  <c r="A7" i="31"/>
  <c r="A6" i="31"/>
  <c r="A5" i="31"/>
  <c r="A4" i="31"/>
  <c r="A3" i="31"/>
  <c r="A2" i="31"/>
  <c r="A1" i="31"/>
  <c r="AM81" i="30"/>
  <c r="T54" i="30"/>
  <c r="AO53" i="30"/>
  <c r="T53" i="30"/>
  <c r="T51" i="30"/>
  <c r="T50" i="30"/>
  <c r="T49" i="30"/>
  <c r="T48" i="30"/>
  <c r="T47" i="30"/>
  <c r="T46" i="30"/>
  <c r="T45" i="30"/>
  <c r="P37" i="30"/>
  <c r="L24" i="30"/>
  <c r="L25" i="30" s="1"/>
  <c r="O11" i="35" s="1"/>
  <c r="Y68" i="30"/>
  <c r="A10" i="30"/>
  <c r="R9" i="30"/>
  <c r="A9" i="30"/>
  <c r="A7" i="30"/>
  <c r="A6" i="30"/>
  <c r="A5" i="30"/>
  <c r="A4" i="30"/>
  <c r="A3" i="30"/>
  <c r="A2" i="30"/>
  <c r="A1" i="30"/>
  <c r="AC79" i="29"/>
  <c r="AA72" i="29"/>
  <c r="AE72" i="29" s="1"/>
  <c r="AO72" i="29" s="1"/>
  <c r="Y68" i="29"/>
  <c r="Y75" i="29" s="1"/>
  <c r="T54" i="29"/>
  <c r="AO53" i="29"/>
  <c r="T53" i="29"/>
  <c r="AO51" i="29"/>
  <c r="T51" i="29"/>
  <c r="T50" i="29"/>
  <c r="T49" i="29"/>
  <c r="T48" i="29"/>
  <c r="T47" i="29"/>
  <c r="T46" i="29"/>
  <c r="T45" i="29"/>
  <c r="P36" i="29"/>
  <c r="F31" i="29"/>
  <c r="F38" i="29" s="1"/>
  <c r="H30" i="29"/>
  <c r="AA74" i="29" s="1"/>
  <c r="AA75" i="29" s="1"/>
  <c r="L24" i="29"/>
  <c r="L25" i="29" s="1"/>
  <c r="A10" i="29"/>
  <c r="R9" i="29"/>
  <c r="A9" i="29"/>
  <c r="A7" i="29"/>
  <c r="A6" i="29"/>
  <c r="A5" i="29"/>
  <c r="A4" i="29"/>
  <c r="A3" i="29"/>
  <c r="A2" i="29"/>
  <c r="A1" i="29"/>
  <c r="J36" i="30"/>
  <c r="AC80" i="33"/>
  <c r="A323" i="38" l="1"/>
  <c r="AE68" i="29"/>
  <c r="AE69" i="29" s="1"/>
  <c r="Y82" i="29"/>
  <c r="F40" i="6"/>
  <c r="C16" i="34" s="1"/>
  <c r="R24" i="29"/>
  <c r="R25" i="29" s="1"/>
  <c r="AI68" i="29"/>
  <c r="AI69" i="29" s="1"/>
  <c r="AC78" i="29"/>
  <c r="F31" i="33"/>
  <c r="F39" i="33" s="1"/>
  <c r="L24" i="33"/>
  <c r="L25" i="33" s="1"/>
  <c r="AO13" i="35" s="1"/>
  <c r="F31" i="31"/>
  <c r="F39" i="31" s="1"/>
  <c r="L24" i="31"/>
  <c r="L25" i="31" s="1"/>
  <c r="G11" i="35" s="1"/>
  <c r="R24" i="30"/>
  <c r="R25" i="30" s="1"/>
  <c r="AK68" i="29"/>
  <c r="AE70" i="33"/>
  <c r="Y77" i="33"/>
  <c r="Y85" i="33" s="1"/>
  <c r="J36" i="33"/>
  <c r="Y75" i="31"/>
  <c r="Y83" i="31" s="1"/>
  <c r="AE68" i="31"/>
  <c r="Y75" i="30"/>
  <c r="AE68" i="30"/>
  <c r="F31" i="30"/>
  <c r="F39" i="30" s="1"/>
  <c r="H14" i="36" s="1"/>
  <c r="J35" i="29"/>
  <c r="AE79" i="29"/>
  <c r="AE78" i="29"/>
  <c r="AK69" i="29"/>
  <c r="P29" i="29"/>
  <c r="P30" i="29" s="1"/>
  <c r="P31" i="29" s="1"/>
  <c r="P38" i="29" s="1"/>
  <c r="P40" i="6" s="1"/>
  <c r="AA73" i="29"/>
  <c r="L29" i="29"/>
  <c r="H31" i="29"/>
  <c r="AO68" i="29"/>
  <c r="AO69" i="29" s="1"/>
  <c r="AK72" i="29"/>
  <c r="A324" i="38" l="1"/>
  <c r="F43" i="6"/>
  <c r="C22" i="34" s="1"/>
  <c r="H16" i="36"/>
  <c r="F42" i="6"/>
  <c r="C12" i="34" s="1"/>
  <c r="H15" i="36"/>
  <c r="J34" i="33"/>
  <c r="J32" i="12"/>
  <c r="F40" i="5"/>
  <c r="F30" i="4"/>
  <c r="J34" i="29"/>
  <c r="J51" i="12"/>
  <c r="J34" i="31"/>
  <c r="J40" i="13"/>
  <c r="J37" i="11"/>
  <c r="J57" i="10"/>
  <c r="J59" i="9"/>
  <c r="F42" i="5"/>
  <c r="F32" i="4"/>
  <c r="F33" i="4"/>
  <c r="F43" i="5"/>
  <c r="Y83" i="30"/>
  <c r="F41" i="6"/>
  <c r="C14" i="34" s="1"/>
  <c r="AI70" i="33"/>
  <c r="AK70" i="33" s="1"/>
  <c r="R24" i="31"/>
  <c r="R25" i="31" s="1"/>
  <c r="J34" i="30"/>
  <c r="R24" i="33"/>
  <c r="R25" i="33" s="1"/>
  <c r="AO70" i="33"/>
  <c r="AE71" i="33"/>
  <c r="AE69" i="31"/>
  <c r="AO68" i="31"/>
  <c r="AI68" i="31"/>
  <c r="AE69" i="30"/>
  <c r="AI68" i="30"/>
  <c r="AO68" i="30"/>
  <c r="AO69" i="30" s="1"/>
  <c r="AE79" i="30" s="1"/>
  <c r="H38" i="29"/>
  <c r="L34" i="29"/>
  <c r="L35" i="29"/>
  <c r="R29" i="29"/>
  <c r="AE73" i="29"/>
  <c r="AI73" i="29" s="1"/>
  <c r="AM73" i="29"/>
  <c r="AM74" i="29" s="1"/>
  <c r="AM75" i="29" s="1"/>
  <c r="AM82" i="29" s="1"/>
  <c r="AK78" i="29"/>
  <c r="AE80" i="29"/>
  <c r="AO78" i="29"/>
  <c r="AK79" i="29"/>
  <c r="AO79" i="29"/>
  <c r="A325" i="38" l="1"/>
  <c r="AA82" i="29"/>
  <c r="H40" i="6"/>
  <c r="P30" i="4"/>
  <c r="D16" i="40" s="1"/>
  <c r="E16" i="40" s="1"/>
  <c r="L16" i="40" s="1"/>
  <c r="T40" i="5"/>
  <c r="F41" i="5"/>
  <c r="F31" i="4"/>
  <c r="AQ70" i="33"/>
  <c r="AO71" i="33"/>
  <c r="AE81" i="33" s="1"/>
  <c r="AI71" i="33"/>
  <c r="AK71" i="33" s="1"/>
  <c r="AK68" i="31"/>
  <c r="AI69" i="31"/>
  <c r="AK69" i="31" s="1"/>
  <c r="AQ68" i="31"/>
  <c r="AO69" i="31"/>
  <c r="AE79" i="31" s="1"/>
  <c r="AK68" i="30"/>
  <c r="AQ68" i="30"/>
  <c r="AI69" i="30"/>
  <c r="AK80" i="29"/>
  <c r="L36" i="29"/>
  <c r="R34" i="29"/>
  <c r="AI78" i="29"/>
  <c r="AO80" i="29"/>
  <c r="AO73" i="29"/>
  <c r="AO74" i="29" s="1"/>
  <c r="AK73" i="29"/>
  <c r="AI79" i="29"/>
  <c r="R35" i="29"/>
  <c r="AE74" i="29"/>
  <c r="A327" i="38" l="1"/>
  <c r="A332" i="38"/>
  <c r="H30" i="4"/>
  <c r="H40" i="5"/>
  <c r="AQ69" i="31"/>
  <c r="AQ71" i="33"/>
  <c r="AQ69" i="30"/>
  <c r="AK69" i="30"/>
  <c r="AO75" i="29"/>
  <c r="AO82" i="29"/>
  <c r="R36" i="29"/>
  <c r="AK74" i="29"/>
  <c r="AE75" i="29"/>
  <c r="AI80" i="29"/>
  <c r="T684" i="38" l="1"/>
  <c r="A334" i="38"/>
  <c r="A328" i="38"/>
  <c r="T679" i="38"/>
  <c r="E40" i="3"/>
  <c r="V40" i="5"/>
  <c r="R30" i="4"/>
  <c r="AK75" i="29"/>
  <c r="AE82" i="29"/>
  <c r="A329" i="38" l="1"/>
  <c r="T680" i="38"/>
  <c r="T686" i="38"/>
  <c r="A335" i="38"/>
  <c r="AK82" i="29"/>
  <c r="L40" i="5"/>
  <c r="J30" i="4"/>
  <c r="T687" i="38" l="1"/>
  <c r="A336" i="38"/>
  <c r="T681" i="38"/>
  <c r="A330" i="38"/>
  <c r="T682" i="38" s="1"/>
  <c r="F40" i="10"/>
  <c r="A337" i="38" l="1"/>
  <c r="T688" i="38"/>
  <c r="P45" i="4"/>
  <c r="J45" i="4"/>
  <c r="H45" i="4"/>
  <c r="L45" i="4" s="1"/>
  <c r="F45" i="4"/>
  <c r="P61" i="6"/>
  <c r="R61" i="6" s="1"/>
  <c r="G65" i="3" s="1"/>
  <c r="H61" i="6"/>
  <c r="J61" i="6" s="1"/>
  <c r="F61" i="6"/>
  <c r="V61" i="5"/>
  <c r="E65" i="3" s="1"/>
  <c r="J61" i="5"/>
  <c r="J62" i="5"/>
  <c r="J60" i="5"/>
  <c r="J59" i="5"/>
  <c r="A338" i="38" l="1"/>
  <c r="T689" i="38"/>
  <c r="I65" i="3"/>
  <c r="K65" i="3" s="1"/>
  <c r="R45" i="4"/>
  <c r="P61" i="5"/>
  <c r="Y253" i="19"/>
  <c r="AE253" i="19" s="1"/>
  <c r="Y252" i="19"/>
  <c r="Y214" i="19"/>
  <c r="AE214" i="19" s="1"/>
  <c r="Y182" i="19"/>
  <c r="Y181" i="19"/>
  <c r="Y180" i="19"/>
  <c r="AA253" i="19"/>
  <c r="AA214" i="19"/>
  <c r="H45" i="25"/>
  <c r="F45" i="25"/>
  <c r="F65" i="24"/>
  <c r="F72" i="24" s="1"/>
  <c r="H21" i="36" s="1"/>
  <c r="AC69" i="20"/>
  <c r="F34" i="20"/>
  <c r="H18" i="36" s="1"/>
  <c r="J31" i="20"/>
  <c r="L31" i="20" s="1"/>
  <c r="AC286" i="19"/>
  <c r="J132" i="19"/>
  <c r="J53" i="14"/>
  <c r="J52" i="14"/>
  <c r="J50" i="14"/>
  <c r="A340" i="38" l="1"/>
  <c r="T692" i="38" s="1"/>
  <c r="T690" i="38"/>
  <c r="L49" i="25"/>
  <c r="R49" i="25" s="1"/>
  <c r="X61" i="5"/>
  <c r="R61" i="5"/>
  <c r="H34" i="20"/>
  <c r="I18" i="36" s="1"/>
  <c r="J18" i="36" s="1"/>
  <c r="F48" i="12"/>
  <c r="F29" i="12"/>
  <c r="AC103" i="8"/>
  <c r="AC102" i="8"/>
  <c r="AC100" i="8"/>
  <c r="J47" i="8"/>
  <c r="J46" i="8"/>
  <c r="J44" i="8"/>
  <c r="AB76" i="7"/>
  <c r="AB75" i="7"/>
  <c r="AB73" i="7"/>
  <c r="AB72" i="7"/>
  <c r="J35" i="7"/>
  <c r="J32" i="7"/>
  <c r="J31" i="7"/>
  <c r="A10" i="6"/>
  <c r="A10" i="5"/>
  <c r="A10" i="4"/>
  <c r="R9" i="8"/>
  <c r="AO65" i="8"/>
  <c r="R9" i="9"/>
  <c r="AO81" i="9"/>
  <c r="AO79" i="10"/>
  <c r="R9" i="10"/>
  <c r="AO57" i="11"/>
  <c r="R9" i="11"/>
  <c r="R9" i="12"/>
  <c r="AO73" i="12"/>
  <c r="R9" i="13"/>
  <c r="AO61" i="13"/>
  <c r="AO73" i="14"/>
  <c r="A190" i="26"/>
  <c r="A189" i="26"/>
  <c r="A187" i="26"/>
  <c r="A185" i="26"/>
  <c r="A184" i="26"/>
  <c r="A140" i="26"/>
  <c r="A139" i="26"/>
  <c r="A137" i="26"/>
  <c r="A135" i="26"/>
  <c r="A134" i="26"/>
  <c r="A93" i="26"/>
  <c r="A92" i="26"/>
  <c r="A90" i="26"/>
  <c r="A88" i="26"/>
  <c r="A87" i="26"/>
  <c r="A41" i="26"/>
  <c r="A40" i="26"/>
  <c r="A38" i="26"/>
  <c r="A36" i="26"/>
  <c r="A35" i="26"/>
  <c r="A7" i="26"/>
  <c r="A6" i="26"/>
  <c r="A4" i="26"/>
  <c r="A2" i="26"/>
  <c r="A1" i="26"/>
  <c r="AO65" i="25"/>
  <c r="T63" i="25"/>
  <c r="T62" i="25"/>
  <c r="T61" i="25"/>
  <c r="T60" i="25"/>
  <c r="T59" i="25"/>
  <c r="T58" i="25"/>
  <c r="T57" i="25"/>
  <c r="A7" i="25"/>
  <c r="A6" i="25"/>
  <c r="A5" i="25"/>
  <c r="A4" i="25"/>
  <c r="A3" i="25"/>
  <c r="A2" i="25"/>
  <c r="A1" i="25"/>
  <c r="AO82" i="24"/>
  <c r="T80" i="24"/>
  <c r="T79" i="24"/>
  <c r="T78" i="24"/>
  <c r="T77" i="24"/>
  <c r="T76" i="24"/>
  <c r="T75" i="24"/>
  <c r="T74" i="24"/>
  <c r="A7" i="24"/>
  <c r="A6" i="24"/>
  <c r="A5" i="24"/>
  <c r="A4" i="24"/>
  <c r="A3" i="24"/>
  <c r="A2" i="24"/>
  <c r="A1" i="24"/>
  <c r="AO59" i="22"/>
  <c r="T57" i="22"/>
  <c r="T56" i="22"/>
  <c r="T55" i="22"/>
  <c r="T54" i="22"/>
  <c r="T53" i="22"/>
  <c r="T52" i="22"/>
  <c r="T51" i="22"/>
  <c r="A7" i="22"/>
  <c r="A6" i="22"/>
  <c r="A5" i="22"/>
  <c r="A4" i="22"/>
  <c r="A3" i="22"/>
  <c r="A2" i="22"/>
  <c r="A1" i="22"/>
  <c r="AO44" i="28"/>
  <c r="T42" i="28"/>
  <c r="T41" i="28"/>
  <c r="T40" i="28"/>
  <c r="T39" i="28"/>
  <c r="T38" i="28"/>
  <c r="T37" i="28"/>
  <c r="T36" i="28"/>
  <c r="A7" i="28"/>
  <c r="A6" i="28"/>
  <c r="A5" i="28"/>
  <c r="A4" i="28"/>
  <c r="A3" i="28"/>
  <c r="A2" i="28"/>
  <c r="A1" i="28"/>
  <c r="AO47" i="20"/>
  <c r="T45" i="20"/>
  <c r="T44" i="20"/>
  <c r="T43" i="20"/>
  <c r="T42" i="20"/>
  <c r="T41" i="20"/>
  <c r="T40" i="20"/>
  <c r="T39" i="20"/>
  <c r="A7" i="20"/>
  <c r="A6" i="20"/>
  <c r="A5" i="20"/>
  <c r="A4" i="20"/>
  <c r="A3" i="20"/>
  <c r="A2" i="20"/>
  <c r="A1" i="20"/>
  <c r="T230" i="19"/>
  <c r="T229" i="19"/>
  <c r="T228" i="19"/>
  <c r="T227" i="19"/>
  <c r="T226" i="19"/>
  <c r="T225" i="19"/>
  <c r="T224" i="19"/>
  <c r="AO163" i="19"/>
  <c r="T155" i="19"/>
  <c r="T161" i="19"/>
  <c r="T160" i="19"/>
  <c r="T159" i="19"/>
  <c r="T158" i="19"/>
  <c r="T157" i="19"/>
  <c r="T156" i="19"/>
  <c r="A76" i="19"/>
  <c r="A75" i="19"/>
  <c r="A74" i="19"/>
  <c r="A73" i="19"/>
  <c r="A72" i="19"/>
  <c r="A71" i="19"/>
  <c r="A70" i="19"/>
  <c r="A7" i="19"/>
  <c r="A6" i="19"/>
  <c r="A5" i="19"/>
  <c r="A4" i="19"/>
  <c r="A3" i="19"/>
  <c r="A2" i="19"/>
  <c r="A1" i="19"/>
  <c r="T71" i="14"/>
  <c r="T70" i="14"/>
  <c r="T69" i="14"/>
  <c r="T68" i="14"/>
  <c r="T67" i="14"/>
  <c r="T66" i="14"/>
  <c r="T65" i="14"/>
  <c r="A7" i="14"/>
  <c r="A6" i="14"/>
  <c r="A5" i="14"/>
  <c r="A4" i="14"/>
  <c r="A3" i="14"/>
  <c r="A2" i="14"/>
  <c r="A1" i="14"/>
  <c r="T59" i="13"/>
  <c r="T58" i="13"/>
  <c r="T57" i="13"/>
  <c r="T56" i="13"/>
  <c r="T55" i="13"/>
  <c r="T54" i="13"/>
  <c r="T53" i="13"/>
  <c r="A7" i="13"/>
  <c r="A6" i="13"/>
  <c r="A5" i="13"/>
  <c r="A4" i="13"/>
  <c r="A3" i="13"/>
  <c r="A2" i="13"/>
  <c r="A1" i="13"/>
  <c r="T71" i="12"/>
  <c r="T70" i="12"/>
  <c r="T69" i="12"/>
  <c r="T68" i="12"/>
  <c r="T67" i="12"/>
  <c r="T66" i="12"/>
  <c r="T65" i="12"/>
  <c r="A7" i="12"/>
  <c r="A6" i="12"/>
  <c r="A5" i="12"/>
  <c r="A4" i="12"/>
  <c r="A3" i="12"/>
  <c r="A2" i="12"/>
  <c r="A1" i="12"/>
  <c r="T55" i="11"/>
  <c r="T54" i="11"/>
  <c r="T53" i="11"/>
  <c r="T52" i="11"/>
  <c r="T51" i="11"/>
  <c r="T50" i="11"/>
  <c r="T49" i="11"/>
  <c r="A7" i="11"/>
  <c r="A6" i="11"/>
  <c r="A5" i="11"/>
  <c r="A4" i="11"/>
  <c r="A3" i="11"/>
  <c r="A2" i="11"/>
  <c r="A1" i="11"/>
  <c r="T77" i="10"/>
  <c r="T76" i="10"/>
  <c r="T75" i="10"/>
  <c r="T74" i="10"/>
  <c r="T73" i="10"/>
  <c r="T72" i="10"/>
  <c r="T71" i="10"/>
  <c r="A7" i="10"/>
  <c r="A6" i="10"/>
  <c r="A5" i="10"/>
  <c r="A4" i="10"/>
  <c r="A3" i="10"/>
  <c r="A2" i="10"/>
  <c r="A1" i="10"/>
  <c r="T79" i="9"/>
  <c r="T78" i="9"/>
  <c r="T77" i="9"/>
  <c r="T76" i="9"/>
  <c r="T75" i="9"/>
  <c r="T74" i="9"/>
  <c r="T73" i="9"/>
  <c r="A7" i="9"/>
  <c r="A6" i="9"/>
  <c r="A5" i="9"/>
  <c r="A4" i="9"/>
  <c r="A3" i="9"/>
  <c r="A2" i="9"/>
  <c r="A1" i="9"/>
  <c r="T63" i="8"/>
  <c r="T62" i="8"/>
  <c r="T61" i="8"/>
  <c r="T60" i="8"/>
  <c r="T59" i="8"/>
  <c r="T58" i="8"/>
  <c r="T57" i="8"/>
  <c r="A7" i="8"/>
  <c r="A6" i="8"/>
  <c r="A5" i="8"/>
  <c r="A4" i="8"/>
  <c r="A3" i="8"/>
  <c r="A2" i="8"/>
  <c r="A1" i="8"/>
  <c r="AN50" i="7"/>
  <c r="T48" i="7"/>
  <c r="T47" i="7"/>
  <c r="T46" i="7"/>
  <c r="T45" i="7"/>
  <c r="T44" i="7"/>
  <c r="T43" i="7"/>
  <c r="T42" i="7"/>
  <c r="R9" i="7"/>
  <c r="A7" i="7"/>
  <c r="A6" i="7"/>
  <c r="A5" i="7"/>
  <c r="A4" i="7"/>
  <c r="A3" i="7"/>
  <c r="A2" i="7"/>
  <c r="A1" i="7"/>
  <c r="R9" i="6"/>
  <c r="A7" i="6"/>
  <c r="A6" i="6"/>
  <c r="A5" i="6"/>
  <c r="A4" i="6"/>
  <c r="A3" i="6"/>
  <c r="A2" i="6"/>
  <c r="A1" i="6"/>
  <c r="V9" i="5"/>
  <c r="A7" i="5"/>
  <c r="A6" i="5"/>
  <c r="A5" i="5"/>
  <c r="A4" i="5"/>
  <c r="A3" i="5"/>
  <c r="A2" i="5"/>
  <c r="A1" i="5"/>
  <c r="R9" i="4"/>
  <c r="A7" i="4"/>
  <c r="A6" i="4"/>
  <c r="A5" i="4"/>
  <c r="A4" i="4"/>
  <c r="A2" i="4"/>
  <c r="A1" i="4"/>
  <c r="I10" i="3"/>
  <c r="A8" i="3"/>
  <c r="A7" i="3"/>
  <c r="A5" i="3"/>
  <c r="A4" i="3"/>
  <c r="A2" i="3"/>
  <c r="A1" i="3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25" i="26"/>
  <c r="O124" i="26"/>
  <c r="O123" i="26"/>
  <c r="O122" i="26"/>
  <c r="O121" i="26"/>
  <c r="O120" i="26"/>
  <c r="O119" i="26"/>
  <c r="O118" i="26"/>
  <c r="O117" i="26"/>
  <c r="O116" i="26"/>
  <c r="O114" i="26"/>
  <c r="O113" i="26"/>
  <c r="O112" i="26"/>
  <c r="O111" i="26"/>
  <c r="O110" i="26"/>
  <c r="O109" i="26"/>
  <c r="O108" i="26"/>
  <c r="O107" i="26"/>
  <c r="O106" i="26"/>
  <c r="O105" i="26"/>
  <c r="F76" i="26"/>
  <c r="O78" i="26"/>
  <c r="O77" i="26"/>
  <c r="O76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J64" i="5"/>
  <c r="J58" i="5"/>
  <c r="P64" i="6"/>
  <c r="P62" i="6"/>
  <c r="P60" i="6"/>
  <c r="P59" i="6"/>
  <c r="P58" i="6"/>
  <c r="L59" i="6"/>
  <c r="P59" i="5" s="1"/>
  <c r="L58" i="6"/>
  <c r="P58" i="5" s="1"/>
  <c r="R58" i="5" s="1"/>
  <c r="A11" i="3"/>
  <c r="AA94" i="25"/>
  <c r="AA92" i="25"/>
  <c r="AA91" i="25"/>
  <c r="AA95" i="25"/>
  <c r="Y95" i="25"/>
  <c r="Y94" i="25"/>
  <c r="AA93" i="25"/>
  <c r="Y93" i="25"/>
  <c r="Y92" i="25"/>
  <c r="Y91" i="25"/>
  <c r="AA90" i="25"/>
  <c r="Y90" i="25"/>
  <c r="AA86" i="25"/>
  <c r="Y86" i="25"/>
  <c r="AE86" i="25" s="1"/>
  <c r="Y85" i="25"/>
  <c r="AA84" i="25"/>
  <c r="Y84" i="25"/>
  <c r="T44" i="28"/>
  <c r="R9" i="28"/>
  <c r="A9" i="28"/>
  <c r="Y255" i="19"/>
  <c r="AE255" i="19" s="1"/>
  <c r="AX255" i="19"/>
  <c r="AT255" i="19" s="1"/>
  <c r="AY255" i="19"/>
  <c r="T296" i="19"/>
  <c r="T295" i="19"/>
  <c r="A143" i="19"/>
  <c r="A142" i="19"/>
  <c r="Y210" i="19"/>
  <c r="AE210" i="19" s="1"/>
  <c r="AY201" i="19"/>
  <c r="AX201" i="19"/>
  <c r="AT201" i="19" s="1"/>
  <c r="AY261" i="19"/>
  <c r="AX261" i="19"/>
  <c r="AT261" i="19" s="1"/>
  <c r="Y261" i="19"/>
  <c r="AE261" i="19" s="1"/>
  <c r="Y260" i="19"/>
  <c r="AE260" i="19" s="1"/>
  <c r="AY252" i="19"/>
  <c r="AX252" i="19"/>
  <c r="AT252" i="19" s="1"/>
  <c r="AE252" i="19"/>
  <c r="AY250" i="19"/>
  <c r="AX250" i="19"/>
  <c r="AT250" i="19" s="1"/>
  <c r="Y250" i="19"/>
  <c r="AE250" i="19" s="1"/>
  <c r="AY247" i="19"/>
  <c r="AX247" i="19"/>
  <c r="AT247" i="19" s="1"/>
  <c r="Y247" i="19"/>
  <c r="AE247" i="19" s="1"/>
  <c r="AA261" i="19"/>
  <c r="AA260" i="19"/>
  <c r="AA252" i="19"/>
  <c r="AA250" i="19"/>
  <c r="AA247" i="19"/>
  <c r="AA210" i="19"/>
  <c r="AY210" i="19"/>
  <c r="AX210" i="19"/>
  <c r="AT210" i="19" s="1"/>
  <c r="A65" i="19"/>
  <c r="A64" i="19"/>
  <c r="T219" i="19"/>
  <c r="T218" i="19"/>
  <c r="AY263" i="19"/>
  <c r="AX263" i="19"/>
  <c r="AT263" i="19" s="1"/>
  <c r="Y263" i="19"/>
  <c r="AE263" i="19" s="1"/>
  <c r="AY262" i="19"/>
  <c r="AX262" i="19"/>
  <c r="AT262" i="19" s="1"/>
  <c r="Y262" i="19"/>
  <c r="AA264" i="19"/>
  <c r="AA263" i="19"/>
  <c r="AA262" i="19"/>
  <c r="Y264" i="19"/>
  <c r="Y258" i="19"/>
  <c r="AA258" i="19"/>
  <c r="AA255" i="19"/>
  <c r="Y201" i="19"/>
  <c r="AA201" i="19"/>
  <c r="AA182" i="19"/>
  <c r="AA181" i="19"/>
  <c r="AA180" i="19"/>
  <c r="J35" i="14"/>
  <c r="AC121" i="10"/>
  <c r="AC116" i="10"/>
  <c r="AC115" i="10"/>
  <c r="AC99" i="10"/>
  <c r="AC98" i="10"/>
  <c r="AC105" i="10"/>
  <c r="AC104" i="10"/>
  <c r="T74" i="14"/>
  <c r="A10" i="14"/>
  <c r="T62" i="13"/>
  <c r="A10" i="13"/>
  <c r="T74" i="12"/>
  <c r="A10" i="12"/>
  <c r="T58" i="11"/>
  <c r="A10" i="11"/>
  <c r="T80" i="10"/>
  <c r="A10" i="10"/>
  <c r="T82" i="9"/>
  <c r="A10" i="9"/>
  <c r="A10" i="8"/>
  <c r="T66" i="8"/>
  <c r="T51" i="7"/>
  <c r="A10" i="7"/>
  <c r="C29" i="26"/>
  <c r="F26" i="26"/>
  <c r="F25" i="26"/>
  <c r="F24" i="26"/>
  <c r="F23" i="26"/>
  <c r="F22" i="26"/>
  <c r="F21" i="26"/>
  <c r="C28" i="26"/>
  <c r="F20" i="26"/>
  <c r="C13" i="27"/>
  <c r="C12" i="27"/>
  <c r="C11" i="27"/>
  <c r="C10" i="27"/>
  <c r="C9" i="27"/>
  <c r="C8" i="27"/>
  <c r="C7" i="27"/>
  <c r="B13" i="27"/>
  <c r="B12" i="27"/>
  <c r="B11" i="27"/>
  <c r="B10" i="27"/>
  <c r="B9" i="27"/>
  <c r="B8" i="27"/>
  <c r="B7" i="27"/>
  <c r="D20" i="51" l="1"/>
  <c r="J57" i="40"/>
  <c r="P42" i="19"/>
  <c r="R31" i="20"/>
  <c r="AE84" i="25"/>
  <c r="AE85" i="25"/>
  <c r="AK252" i="19"/>
  <c r="AE262" i="19"/>
  <c r="AE201" i="19"/>
  <c r="AK201" i="19" s="1"/>
  <c r="F7" i="27"/>
  <c r="F8" i="27"/>
  <c r="B21" i="27"/>
  <c r="C21" i="27"/>
  <c r="F21" i="27"/>
  <c r="G21" i="27"/>
  <c r="H21" i="27"/>
  <c r="K21" i="27"/>
  <c r="L21" i="27"/>
  <c r="P21" i="27"/>
  <c r="Q21" i="27"/>
  <c r="B22" i="27"/>
  <c r="C22" i="27"/>
  <c r="F22" i="27"/>
  <c r="G22" i="27"/>
  <c r="H22" i="27"/>
  <c r="K22" i="27"/>
  <c r="L22" i="27"/>
  <c r="P22" i="27"/>
  <c r="Q22" i="27"/>
  <c r="B23" i="27"/>
  <c r="C23" i="27"/>
  <c r="F23" i="27"/>
  <c r="G23" i="27"/>
  <c r="H23" i="27"/>
  <c r="K23" i="27"/>
  <c r="L23" i="27"/>
  <c r="P23" i="27"/>
  <c r="Q23" i="27"/>
  <c r="B24" i="27"/>
  <c r="C24" i="27"/>
  <c r="F24" i="27"/>
  <c r="G24" i="27"/>
  <c r="H24" i="27"/>
  <c r="K24" i="27"/>
  <c r="L24" i="27"/>
  <c r="P24" i="27"/>
  <c r="Q24" i="27"/>
  <c r="B25" i="27"/>
  <c r="C25" i="27"/>
  <c r="F25" i="27"/>
  <c r="G25" i="27"/>
  <c r="H25" i="27"/>
  <c r="K25" i="27"/>
  <c r="L25" i="27"/>
  <c r="Q25" i="27"/>
  <c r="B26" i="27"/>
  <c r="C26" i="27"/>
  <c r="F26" i="27"/>
  <c r="G26" i="27"/>
  <c r="H26" i="27"/>
  <c r="K26" i="27"/>
  <c r="L26" i="27"/>
  <c r="Q26" i="27"/>
  <c r="B27" i="27"/>
  <c r="C27" i="27"/>
  <c r="F27" i="27"/>
  <c r="G27" i="27"/>
  <c r="H27" i="27"/>
  <c r="K27" i="27"/>
  <c r="L27" i="27"/>
  <c r="Q27" i="27"/>
  <c r="B28" i="27"/>
  <c r="C28" i="27"/>
  <c r="F28" i="27"/>
  <c r="G28" i="27"/>
  <c r="H28" i="27"/>
  <c r="K28" i="27"/>
  <c r="L28" i="27"/>
  <c r="Q28" i="27"/>
  <c r="B29" i="27"/>
  <c r="C29" i="27"/>
  <c r="F29" i="27"/>
  <c r="G29" i="27"/>
  <c r="H29" i="27"/>
  <c r="K29" i="27"/>
  <c r="L29" i="27"/>
  <c r="Q29" i="27"/>
  <c r="B30" i="27"/>
  <c r="C30" i="27"/>
  <c r="F30" i="27"/>
  <c r="G30" i="27"/>
  <c r="H30" i="27"/>
  <c r="K30" i="27"/>
  <c r="L30" i="27"/>
  <c r="Q30" i="27"/>
  <c r="B31" i="27"/>
  <c r="C31" i="27"/>
  <c r="F31" i="27"/>
  <c r="G31" i="27"/>
  <c r="H31" i="27"/>
  <c r="K31" i="27"/>
  <c r="L31" i="27"/>
  <c r="Q31" i="27"/>
  <c r="B32" i="27"/>
  <c r="C32" i="27"/>
  <c r="F32" i="27"/>
  <c r="G32" i="27"/>
  <c r="H32" i="27"/>
  <c r="K32" i="27"/>
  <c r="L32" i="27"/>
  <c r="B33" i="27"/>
  <c r="C33" i="27"/>
  <c r="F33" i="27"/>
  <c r="G33" i="27"/>
  <c r="H33" i="27"/>
  <c r="K33" i="27"/>
  <c r="L33" i="27"/>
  <c r="Q33" i="27"/>
  <c r="B34" i="27"/>
  <c r="C34" i="27"/>
  <c r="F34" i="27"/>
  <c r="G34" i="27"/>
  <c r="H34" i="27"/>
  <c r="K34" i="27"/>
  <c r="L34" i="27"/>
  <c r="Q34" i="27"/>
  <c r="B35" i="27"/>
  <c r="C35" i="27"/>
  <c r="F35" i="27"/>
  <c r="G35" i="27"/>
  <c r="H35" i="27"/>
  <c r="K35" i="27"/>
  <c r="L35" i="27"/>
  <c r="B36" i="27"/>
  <c r="C36" i="27"/>
  <c r="F36" i="27"/>
  <c r="G36" i="27"/>
  <c r="H36" i="27"/>
  <c r="K36" i="27"/>
  <c r="L36" i="27"/>
  <c r="Q36" i="27"/>
  <c r="B37" i="27"/>
  <c r="C37" i="27"/>
  <c r="F37" i="27"/>
  <c r="G37" i="27"/>
  <c r="H37" i="27"/>
  <c r="K37" i="27"/>
  <c r="L37" i="27"/>
  <c r="Q37" i="27"/>
  <c r="B38" i="27"/>
  <c r="C38" i="27"/>
  <c r="F38" i="27"/>
  <c r="G38" i="27"/>
  <c r="H38" i="27"/>
  <c r="K38" i="27"/>
  <c r="L38" i="27"/>
  <c r="B39" i="27"/>
  <c r="C39" i="27"/>
  <c r="F39" i="27"/>
  <c r="G39" i="27"/>
  <c r="H39" i="27"/>
  <c r="K39" i="27"/>
  <c r="L39" i="27"/>
  <c r="Q39" i="27"/>
  <c r="B40" i="27"/>
  <c r="C40" i="27"/>
  <c r="F40" i="27"/>
  <c r="G40" i="27"/>
  <c r="H40" i="27"/>
  <c r="K40" i="27"/>
  <c r="L40" i="27"/>
  <c r="B41" i="27"/>
  <c r="C41" i="27"/>
  <c r="F41" i="27"/>
  <c r="G41" i="27"/>
  <c r="H41" i="27"/>
  <c r="K41" i="27"/>
  <c r="L41" i="27"/>
  <c r="B45" i="27"/>
  <c r="F45" i="27"/>
  <c r="K45" i="27"/>
  <c r="B46" i="27"/>
  <c r="F46" i="27"/>
  <c r="K46" i="27"/>
  <c r="B47" i="27"/>
  <c r="F47" i="27"/>
  <c r="K47" i="27"/>
  <c r="A9" i="26"/>
  <c r="Q9" i="26"/>
  <c r="K20" i="26"/>
  <c r="L20" i="26"/>
  <c r="O20" i="26"/>
  <c r="K21" i="26"/>
  <c r="L21" i="26"/>
  <c r="O21" i="26"/>
  <c r="K22" i="26"/>
  <c r="L22" i="26"/>
  <c r="O22" i="26"/>
  <c r="K23" i="26"/>
  <c r="L23" i="26"/>
  <c r="O23" i="26"/>
  <c r="K24" i="26"/>
  <c r="L24" i="26"/>
  <c r="O24" i="26"/>
  <c r="K25" i="26"/>
  <c r="L25" i="26"/>
  <c r="O25" i="26"/>
  <c r="K26" i="26"/>
  <c r="L26" i="26"/>
  <c r="O26" i="26"/>
  <c r="C30" i="26"/>
  <c r="A43" i="26"/>
  <c r="Q43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6" i="26"/>
  <c r="L76" i="26"/>
  <c r="M76" i="26" s="1"/>
  <c r="F77" i="26"/>
  <c r="K77" i="26"/>
  <c r="L77" i="26"/>
  <c r="F78" i="26"/>
  <c r="K78" i="26"/>
  <c r="L78" i="26"/>
  <c r="A95" i="26"/>
  <c r="Q95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A142" i="26"/>
  <c r="Q142" i="26"/>
  <c r="F152" i="26"/>
  <c r="K152" i="26"/>
  <c r="L152" i="26"/>
  <c r="F153" i="26"/>
  <c r="K153" i="26"/>
  <c r="L153" i="26"/>
  <c r="F154" i="26"/>
  <c r="K154" i="26"/>
  <c r="L154" i="26"/>
  <c r="F155" i="26"/>
  <c r="K155" i="26"/>
  <c r="L155" i="26"/>
  <c r="F156" i="26"/>
  <c r="K156" i="26"/>
  <c r="L156" i="26"/>
  <c r="F157" i="26"/>
  <c r="K157" i="26"/>
  <c r="L157" i="26"/>
  <c r="F158" i="26"/>
  <c r="K158" i="26"/>
  <c r="L158" i="26"/>
  <c r="F159" i="26"/>
  <c r="K159" i="26"/>
  <c r="L159" i="26"/>
  <c r="F160" i="26"/>
  <c r="K160" i="26"/>
  <c r="L160" i="26"/>
  <c r="F161" i="26"/>
  <c r="K161" i="26"/>
  <c r="L161" i="26"/>
  <c r="F162" i="26"/>
  <c r="K162" i="26"/>
  <c r="L162" i="26"/>
  <c r="F163" i="26"/>
  <c r="K163" i="26"/>
  <c r="L163" i="26"/>
  <c r="F164" i="26"/>
  <c r="K164" i="26"/>
  <c r="L164" i="26"/>
  <c r="F165" i="26"/>
  <c r="K165" i="26"/>
  <c r="L165" i="26"/>
  <c r="F166" i="26"/>
  <c r="K166" i="26"/>
  <c r="L166" i="26"/>
  <c r="F167" i="26"/>
  <c r="K167" i="26"/>
  <c r="L167" i="26"/>
  <c r="F168" i="26"/>
  <c r="K168" i="26"/>
  <c r="L168" i="26"/>
  <c r="F169" i="26"/>
  <c r="K169" i="26"/>
  <c r="L169" i="26"/>
  <c r="F170" i="26"/>
  <c r="K170" i="26"/>
  <c r="L170" i="26"/>
  <c r="F171" i="26"/>
  <c r="K171" i="26"/>
  <c r="L171" i="26"/>
  <c r="F172" i="26"/>
  <c r="K172" i="26"/>
  <c r="L172" i="26"/>
  <c r="F173" i="26"/>
  <c r="K173" i="26"/>
  <c r="L173" i="26"/>
  <c r="F174" i="26"/>
  <c r="K174" i="26"/>
  <c r="L174" i="26"/>
  <c r="F175" i="26"/>
  <c r="K175" i="26"/>
  <c r="L175" i="26"/>
  <c r="C178" i="26"/>
  <c r="C179" i="26"/>
  <c r="A192" i="26"/>
  <c r="Q192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A9" i="25"/>
  <c r="R9" i="25"/>
  <c r="AA85" i="25"/>
  <c r="F52" i="25"/>
  <c r="H52" i="25"/>
  <c r="I22" i="36" s="1"/>
  <c r="C55" i="25"/>
  <c r="C56" i="25"/>
  <c r="T65" i="25"/>
  <c r="Y78" i="25"/>
  <c r="AA78" i="25"/>
  <c r="AW78" i="25"/>
  <c r="Y79" i="25"/>
  <c r="AA79" i="25"/>
  <c r="Y80" i="25"/>
  <c r="AA80" i="25"/>
  <c r="Y81" i="25"/>
  <c r="AA81" i="25"/>
  <c r="Y89" i="25"/>
  <c r="AA89" i="25"/>
  <c r="AE94" i="25"/>
  <c r="Y98" i="25"/>
  <c r="AA98" i="25"/>
  <c r="Y99" i="25"/>
  <c r="AA99" i="25"/>
  <c r="Y100" i="25"/>
  <c r="AA100" i="25"/>
  <c r="V111" i="25"/>
  <c r="V112" i="25"/>
  <c r="A9" i="24"/>
  <c r="R9" i="24"/>
  <c r="AA107" i="24"/>
  <c r="AA109" i="24"/>
  <c r="AA114" i="24"/>
  <c r="AA116" i="24"/>
  <c r="AA120" i="24"/>
  <c r="AA124" i="24"/>
  <c r="AA126" i="24"/>
  <c r="AW53" i="24"/>
  <c r="AX53" i="24" s="1"/>
  <c r="AA128" i="24"/>
  <c r="AX57" i="24"/>
  <c r="AY57" i="24"/>
  <c r="AA134" i="24"/>
  <c r="C75" i="24"/>
  <c r="C76" i="24"/>
  <c r="T82" i="24"/>
  <c r="Y95" i="24"/>
  <c r="AA95" i="24"/>
  <c r="Y96" i="24"/>
  <c r="AA96" i="24"/>
  <c r="Y97" i="24"/>
  <c r="AA97" i="24"/>
  <c r="Y100" i="24"/>
  <c r="AA100" i="24"/>
  <c r="Y101" i="24"/>
  <c r="AA101" i="24"/>
  <c r="Y102" i="24"/>
  <c r="AA102" i="24"/>
  <c r="Y105" i="24"/>
  <c r="AA105" i="24"/>
  <c r="AW105" i="24"/>
  <c r="Y106" i="24"/>
  <c r="AA106" i="24"/>
  <c r="Y107" i="24"/>
  <c r="Y108" i="24"/>
  <c r="AA108" i="24"/>
  <c r="Y109" i="24"/>
  <c r="Y113" i="24"/>
  <c r="AA113" i="24"/>
  <c r="Y114" i="24"/>
  <c r="Y115" i="24"/>
  <c r="AA115" i="24"/>
  <c r="Y116" i="24"/>
  <c r="Y119" i="24"/>
  <c r="AA119" i="24"/>
  <c r="Y120" i="24"/>
  <c r="Y121" i="24"/>
  <c r="AA121" i="24"/>
  <c r="Y124" i="24"/>
  <c r="Y125" i="24"/>
  <c r="AA125" i="24"/>
  <c r="Y126" i="24"/>
  <c r="Y127" i="24"/>
  <c r="AA127" i="24"/>
  <c r="Y128" i="24"/>
  <c r="Y129" i="24"/>
  <c r="AA129" i="24"/>
  <c r="Y130" i="24"/>
  <c r="AA130" i="24"/>
  <c r="Y133" i="24"/>
  <c r="AA133" i="24"/>
  <c r="Y134" i="24"/>
  <c r="Y137" i="24"/>
  <c r="AA137" i="24"/>
  <c r="AE137" i="24" s="1"/>
  <c r="V148" i="24"/>
  <c r="V149" i="24"/>
  <c r="A9" i="22"/>
  <c r="R9" i="22"/>
  <c r="H31" i="22"/>
  <c r="F37" i="22"/>
  <c r="H37" i="22"/>
  <c r="C48" i="22"/>
  <c r="C49" i="22"/>
  <c r="T59" i="22"/>
  <c r="Y72" i="22"/>
  <c r="AA72" i="22"/>
  <c r="AX72" i="22"/>
  <c r="AU72" i="22" s="1"/>
  <c r="AY72" i="22"/>
  <c r="Y73" i="22"/>
  <c r="AA73" i="22"/>
  <c r="AX73" i="22"/>
  <c r="AY73" i="22"/>
  <c r="Y76" i="22"/>
  <c r="AA76" i="22"/>
  <c r="AX76" i="22"/>
  <c r="AU76" i="22" s="1"/>
  <c r="AY76" i="22"/>
  <c r="Y78" i="22"/>
  <c r="AA78" i="22"/>
  <c r="AX78" i="22"/>
  <c r="AY78" i="22"/>
  <c r="Y79" i="22"/>
  <c r="AA79" i="22"/>
  <c r="AX79" i="22"/>
  <c r="AU79" i="22" s="1"/>
  <c r="AY79" i="22"/>
  <c r="Y80" i="22"/>
  <c r="AA80" i="22"/>
  <c r="AX80" i="22"/>
  <c r="AY80" i="22"/>
  <c r="Y85" i="22"/>
  <c r="AA85" i="22"/>
  <c r="AX85" i="22"/>
  <c r="AY85" i="22"/>
  <c r="Y86" i="22"/>
  <c r="AA86" i="22"/>
  <c r="AX86" i="22"/>
  <c r="AU86" i="22" s="1"/>
  <c r="AY86" i="22"/>
  <c r="V98" i="22"/>
  <c r="V99" i="22"/>
  <c r="A9" i="20"/>
  <c r="R9" i="20"/>
  <c r="C37" i="20"/>
  <c r="C38" i="20"/>
  <c r="T47" i="20"/>
  <c r="AE62" i="20"/>
  <c r="AE65" i="20" s="1"/>
  <c r="Y72" i="20"/>
  <c r="F48" i="5" s="1"/>
  <c r="V75" i="20"/>
  <c r="V76" i="20"/>
  <c r="A9" i="19"/>
  <c r="R9" i="19"/>
  <c r="A78" i="19"/>
  <c r="R78" i="19"/>
  <c r="F139" i="19"/>
  <c r="F138" i="19"/>
  <c r="T163" i="19"/>
  <c r="AX171" i="19"/>
  <c r="AY171" i="19"/>
  <c r="Y176" i="19"/>
  <c r="AA176" i="19"/>
  <c r="AW176" i="19"/>
  <c r="AX176" i="19" s="1"/>
  <c r="AT176" i="19" s="1"/>
  <c r="Y175" i="19"/>
  <c r="AA175" i="19"/>
  <c r="AW175" i="19"/>
  <c r="AX175" i="19" s="1"/>
  <c r="Y177" i="19"/>
  <c r="AA177" i="19"/>
  <c r="AX177" i="19"/>
  <c r="AT177" i="19" s="1"/>
  <c r="AY177" i="19"/>
  <c r="Y178" i="19"/>
  <c r="AE178" i="19" s="1"/>
  <c r="AA178" i="19"/>
  <c r="AX178" i="19"/>
  <c r="AT178" i="19" s="1"/>
  <c r="AY178" i="19"/>
  <c r="AX180" i="19"/>
  <c r="AT180" i="19" s="1"/>
  <c r="AY180" i="19"/>
  <c r="AX181" i="19"/>
  <c r="AT181" i="19" s="1"/>
  <c r="AY181" i="19"/>
  <c r="AX182" i="19"/>
  <c r="AT182" i="19" s="1"/>
  <c r="AY182" i="19"/>
  <c r="Y185" i="19"/>
  <c r="AA185" i="19"/>
  <c r="AX185" i="19"/>
  <c r="AT185" i="19" s="1"/>
  <c r="AY185" i="19"/>
  <c r="Y184" i="19"/>
  <c r="AA184" i="19"/>
  <c r="AX184" i="19"/>
  <c r="AT184" i="19" s="1"/>
  <c r="AY184" i="19"/>
  <c r="Y186" i="19"/>
  <c r="AA186" i="19"/>
  <c r="AX186" i="19"/>
  <c r="AT186" i="19" s="1"/>
  <c r="AY186" i="19"/>
  <c r="Y187" i="19"/>
  <c r="AA187" i="19"/>
  <c r="AX187" i="19"/>
  <c r="AT187" i="19" s="1"/>
  <c r="AY187" i="19"/>
  <c r="Y188" i="19"/>
  <c r="AA188" i="19"/>
  <c r="AX188" i="19"/>
  <c r="AT188" i="19" s="1"/>
  <c r="AY188" i="19"/>
  <c r="AX189" i="19"/>
  <c r="AT189" i="19" s="1"/>
  <c r="AY189" i="19"/>
  <c r="Y189" i="19"/>
  <c r="AA189" i="19"/>
  <c r="Y191" i="19"/>
  <c r="AA191" i="19"/>
  <c r="AX191" i="19"/>
  <c r="AT191" i="19" s="1"/>
  <c r="AY191" i="19"/>
  <c r="Y192" i="19"/>
  <c r="AA192" i="19"/>
  <c r="AX192" i="19"/>
  <c r="AY192" i="19"/>
  <c r="Y193" i="19"/>
  <c r="AA193" i="19"/>
  <c r="AX193" i="19"/>
  <c r="AY193" i="19"/>
  <c r="Y194" i="19"/>
  <c r="AA194" i="19"/>
  <c r="AX194" i="19"/>
  <c r="AY194" i="19"/>
  <c r="T232" i="19"/>
  <c r="AO232" i="19"/>
  <c r="Y200" i="19"/>
  <c r="AA200" i="19"/>
  <c r="AX200" i="19"/>
  <c r="AY200" i="19"/>
  <c r="Y202" i="19"/>
  <c r="AA202" i="19"/>
  <c r="AX202" i="19"/>
  <c r="AY202" i="19"/>
  <c r="Y203" i="19"/>
  <c r="AA203" i="19"/>
  <c r="AX203" i="19"/>
  <c r="AY203" i="19"/>
  <c r="Y205" i="19"/>
  <c r="AA205" i="19"/>
  <c r="AX205" i="19"/>
  <c r="AY205" i="19"/>
  <c r="Y206" i="19"/>
  <c r="AA206" i="19"/>
  <c r="AX206" i="19"/>
  <c r="AT206" i="19" s="1"/>
  <c r="AY206" i="19"/>
  <c r="Y207" i="19"/>
  <c r="AA207" i="19"/>
  <c r="AX207" i="19"/>
  <c r="AY207" i="19"/>
  <c r="AX214" i="19"/>
  <c r="AT214" i="19" s="1"/>
  <c r="AY214" i="19"/>
  <c r="Y211" i="19"/>
  <c r="AA211" i="19"/>
  <c r="AX211" i="19"/>
  <c r="AY211" i="19"/>
  <c r="Y212" i="19"/>
  <c r="AA212" i="19"/>
  <c r="AX212" i="19"/>
  <c r="AT212" i="19" s="1"/>
  <c r="AY212" i="19"/>
  <c r="Y213" i="19"/>
  <c r="AA213" i="19"/>
  <c r="AX213" i="19"/>
  <c r="AY213" i="19"/>
  <c r="Y215" i="19"/>
  <c r="AA215" i="19"/>
  <c r="AX215" i="19"/>
  <c r="AY215" i="19"/>
  <c r="Y244" i="19"/>
  <c r="AA244" i="19"/>
  <c r="AX244" i="19"/>
  <c r="AT244" i="19" s="1"/>
  <c r="AY244" i="19"/>
  <c r="Y245" i="19"/>
  <c r="AA245" i="19"/>
  <c r="AX245" i="19"/>
  <c r="AY245" i="19"/>
  <c r="Y246" i="19"/>
  <c r="AA246" i="19"/>
  <c r="AX246" i="19"/>
  <c r="AT246" i="19" s="1"/>
  <c r="AY246" i="19"/>
  <c r="Y248" i="19"/>
  <c r="AA248" i="19"/>
  <c r="AX248" i="19"/>
  <c r="AT248" i="19" s="1"/>
  <c r="AY248" i="19"/>
  <c r="Y251" i="19"/>
  <c r="AA251" i="19"/>
  <c r="AX251" i="19"/>
  <c r="AY251" i="19"/>
  <c r="Y256" i="19"/>
  <c r="AA256" i="19"/>
  <c r="AX256" i="19"/>
  <c r="AY256" i="19"/>
  <c r="Y259" i="19"/>
  <c r="AA259" i="19"/>
  <c r="AX264" i="19"/>
  <c r="AY264" i="19"/>
  <c r="Y290" i="19"/>
  <c r="AE290" i="19" s="1"/>
  <c r="Y291" i="19"/>
  <c r="AE291" i="19" s="1"/>
  <c r="A9" i="14"/>
  <c r="R9" i="14"/>
  <c r="C59" i="14"/>
  <c r="C60" i="14"/>
  <c r="T73" i="14"/>
  <c r="AC99" i="14"/>
  <c r="V123" i="14"/>
  <c r="V124" i="14"/>
  <c r="A9" i="13"/>
  <c r="C49" i="13"/>
  <c r="C50" i="13"/>
  <c r="T61" i="13"/>
  <c r="V101" i="13"/>
  <c r="V102" i="13"/>
  <c r="A9" i="12"/>
  <c r="R23" i="12"/>
  <c r="L25" i="12"/>
  <c r="F38" i="12"/>
  <c r="F57" i="12"/>
  <c r="C60" i="12"/>
  <c r="C61" i="12"/>
  <c r="T73" i="12"/>
  <c r="Y86" i="12"/>
  <c r="AE86" i="12"/>
  <c r="Y88" i="12"/>
  <c r="AE106" i="12"/>
  <c r="V123" i="12"/>
  <c r="V124" i="12"/>
  <c r="A9" i="11"/>
  <c r="L26" i="11"/>
  <c r="R26" i="11" s="1"/>
  <c r="C46" i="11"/>
  <c r="C47" i="11"/>
  <c r="T57" i="11"/>
  <c r="Y74" i="11"/>
  <c r="AE74" i="11" s="1"/>
  <c r="AE78" i="11"/>
  <c r="V94" i="11"/>
  <c r="V95" i="11"/>
  <c r="A9" i="10"/>
  <c r="L23" i="10"/>
  <c r="H38" i="10"/>
  <c r="J40" i="10"/>
  <c r="L40" i="10" s="1"/>
  <c r="J41" i="10"/>
  <c r="T79" i="10"/>
  <c r="Y93" i="10"/>
  <c r="AE93" i="10" s="1"/>
  <c r="Y110" i="10"/>
  <c r="AC110" i="10"/>
  <c r="AC111" i="10"/>
  <c r="A9" i="9"/>
  <c r="H39" i="9"/>
  <c r="J41" i="9"/>
  <c r="T81" i="9"/>
  <c r="AC113" i="9"/>
  <c r="AC121" i="9"/>
  <c r="AC122" i="9"/>
  <c r="AC126" i="9"/>
  <c r="AC122" i="10" s="1"/>
  <c r="A9" i="8"/>
  <c r="T65" i="8"/>
  <c r="A9" i="7"/>
  <c r="T50" i="7"/>
  <c r="A9" i="6"/>
  <c r="F48" i="6"/>
  <c r="H48" i="6"/>
  <c r="F51" i="6"/>
  <c r="F57" i="6"/>
  <c r="H57" i="6"/>
  <c r="F58" i="6"/>
  <c r="H58" i="6"/>
  <c r="J58" i="6" s="1"/>
  <c r="R58" i="6"/>
  <c r="G62" i="3" s="1"/>
  <c r="F59" i="6"/>
  <c r="H59" i="6"/>
  <c r="J59" i="6" s="1"/>
  <c r="R59" i="6"/>
  <c r="G63" i="3" s="1"/>
  <c r="F60" i="6"/>
  <c r="H60" i="6"/>
  <c r="J60" i="6" s="1"/>
  <c r="F62" i="6"/>
  <c r="H62" i="6"/>
  <c r="J62" i="6" s="1"/>
  <c r="F64" i="6"/>
  <c r="H64" i="6"/>
  <c r="J64" i="6" s="1"/>
  <c r="A9" i="5"/>
  <c r="V57" i="5"/>
  <c r="D26" i="34" s="1"/>
  <c r="V58" i="5"/>
  <c r="E62" i="3" s="1"/>
  <c r="R59" i="5"/>
  <c r="R43" i="4"/>
  <c r="V60" i="5"/>
  <c r="R44" i="4" s="1"/>
  <c r="V62" i="5"/>
  <c r="E66" i="3" s="1"/>
  <c r="A9" i="4"/>
  <c r="F41" i="4"/>
  <c r="H41" i="4"/>
  <c r="F42" i="4"/>
  <c r="H42" i="4"/>
  <c r="L42" i="4" s="1"/>
  <c r="J42" i="4"/>
  <c r="P42" i="4"/>
  <c r="F43" i="4"/>
  <c r="H43" i="4"/>
  <c r="L43" i="4" s="1"/>
  <c r="J43" i="4"/>
  <c r="P43" i="4"/>
  <c r="F44" i="4"/>
  <c r="H44" i="4"/>
  <c r="L44" i="4" s="1"/>
  <c r="J44" i="4"/>
  <c r="P44" i="4"/>
  <c r="F46" i="4"/>
  <c r="H46" i="4"/>
  <c r="L46" i="4" s="1"/>
  <c r="J46" i="4"/>
  <c r="P46" i="4"/>
  <c r="F48" i="4"/>
  <c r="H48" i="4"/>
  <c r="L48" i="4" s="1"/>
  <c r="P48" i="4"/>
  <c r="A10" i="3"/>
  <c r="D51" i="51" l="1"/>
  <c r="E51" i="51" s="1"/>
  <c r="E53" i="51" s="1"/>
  <c r="E20" i="51"/>
  <c r="M175" i="26"/>
  <c r="M159" i="26"/>
  <c r="M156" i="26"/>
  <c r="P156" i="26" s="1"/>
  <c r="M167" i="26"/>
  <c r="P167" i="26" s="1"/>
  <c r="AA265" i="19"/>
  <c r="Y265" i="19"/>
  <c r="AA196" i="19"/>
  <c r="Y196" i="19"/>
  <c r="M173" i="26"/>
  <c r="P173" i="26" s="1"/>
  <c r="M165" i="26"/>
  <c r="P165" i="26" s="1"/>
  <c r="M157" i="26"/>
  <c r="P157" i="26" s="1"/>
  <c r="M170" i="26"/>
  <c r="P170" i="26" s="1"/>
  <c r="M162" i="26"/>
  <c r="P162" i="26" s="1"/>
  <c r="M154" i="26"/>
  <c r="P154" i="26" s="1"/>
  <c r="M174" i="26"/>
  <c r="P174" i="26" s="1"/>
  <c r="M166" i="26"/>
  <c r="P166" i="26" s="1"/>
  <c r="M158" i="26"/>
  <c r="P158" i="26" s="1"/>
  <c r="M168" i="26"/>
  <c r="P168" i="26" s="1"/>
  <c r="M160" i="26"/>
  <c r="P160" i="26" s="1"/>
  <c r="M152" i="26"/>
  <c r="P152" i="26" s="1"/>
  <c r="M172" i="26"/>
  <c r="P172" i="26" s="1"/>
  <c r="M164" i="26"/>
  <c r="P164" i="26" s="1"/>
  <c r="M169" i="26"/>
  <c r="P169" i="26" s="1"/>
  <c r="M161" i="26"/>
  <c r="P161" i="26" s="1"/>
  <c r="M153" i="26"/>
  <c r="P153" i="26" s="1"/>
  <c r="M171" i="26"/>
  <c r="P171" i="26" s="1"/>
  <c r="M163" i="26"/>
  <c r="P163" i="26" s="1"/>
  <c r="M155" i="26"/>
  <c r="P155" i="26" s="1"/>
  <c r="M77" i="26"/>
  <c r="P77" i="26" s="1"/>
  <c r="M78" i="26"/>
  <c r="P78" i="26" s="1"/>
  <c r="M25" i="26"/>
  <c r="P25" i="26" s="1"/>
  <c r="M24" i="26"/>
  <c r="P24" i="26" s="1"/>
  <c r="M22" i="26"/>
  <c r="P22" i="26" s="1"/>
  <c r="M26" i="26"/>
  <c r="P26" i="26" s="1"/>
  <c r="M21" i="26"/>
  <c r="P21" i="26" s="1"/>
  <c r="M23" i="26"/>
  <c r="P23" i="26" s="1"/>
  <c r="M20" i="26"/>
  <c r="P20" i="26" s="1"/>
  <c r="J53" i="40"/>
  <c r="F52" i="6"/>
  <c r="H22" i="36"/>
  <c r="J22" i="36" s="1"/>
  <c r="R46" i="4"/>
  <c r="F47" i="6"/>
  <c r="H17" i="36"/>
  <c r="Y101" i="12"/>
  <c r="F30" i="5" s="1"/>
  <c r="H10" i="36"/>
  <c r="Y120" i="12"/>
  <c r="F31" i="5" s="1"/>
  <c r="P175" i="26"/>
  <c r="P159" i="26"/>
  <c r="P76" i="26"/>
  <c r="Y81" i="22"/>
  <c r="H52" i="6"/>
  <c r="P52" i="25"/>
  <c r="P22" i="25" s="1"/>
  <c r="F38" i="22"/>
  <c r="AY53" i="24"/>
  <c r="P111" i="19"/>
  <c r="L132" i="19"/>
  <c r="R42" i="4"/>
  <c r="X58" i="5"/>
  <c r="F35" i="4"/>
  <c r="F45" i="22"/>
  <c r="H45" i="22"/>
  <c r="H38" i="22"/>
  <c r="F31" i="6"/>
  <c r="C19" i="34" s="1"/>
  <c r="E64" i="3"/>
  <c r="E63" i="3"/>
  <c r="I63" i="3" s="1"/>
  <c r="K63" i="3" s="1"/>
  <c r="P41" i="4"/>
  <c r="F30" i="6"/>
  <c r="C18" i="34" s="1"/>
  <c r="AI86" i="12"/>
  <c r="AE88" i="12"/>
  <c r="AO88" i="12" s="1"/>
  <c r="Y92" i="12"/>
  <c r="Y111" i="12"/>
  <c r="AA101" i="25"/>
  <c r="Y101" i="25"/>
  <c r="Y108" i="25" s="1"/>
  <c r="Y138" i="24"/>
  <c r="Y145" i="24" s="1"/>
  <c r="AA138" i="24"/>
  <c r="H65" i="24"/>
  <c r="R25" i="12"/>
  <c r="AA18" i="35" s="1"/>
  <c r="AO78" i="11"/>
  <c r="AQ78" i="11" s="1"/>
  <c r="AI74" i="11"/>
  <c r="AO74" i="11"/>
  <c r="AQ74" i="11" s="1"/>
  <c r="L62" i="6"/>
  <c r="E56" i="3"/>
  <c r="P57" i="6"/>
  <c r="I26" i="27"/>
  <c r="I27" i="27"/>
  <c r="I25" i="27"/>
  <c r="AA87" i="22"/>
  <c r="AA81" i="22"/>
  <c r="AY175" i="19"/>
  <c r="AY176" i="19"/>
  <c r="H139" i="19"/>
  <c r="AO86" i="12"/>
  <c r="R40" i="10"/>
  <c r="AE110" i="10"/>
  <c r="R23" i="10"/>
  <c r="I28" i="27"/>
  <c r="P34" i="20"/>
  <c r="P48" i="6" s="1"/>
  <c r="D53" i="40" s="1"/>
  <c r="AO290" i="19"/>
  <c r="AO106" i="12"/>
  <c r="AE7" i="35" s="1"/>
  <c r="I31" i="27"/>
  <c r="I30" i="27"/>
  <c r="I29" i="27"/>
  <c r="I47" i="27"/>
  <c r="I46" i="27"/>
  <c r="I45" i="27"/>
  <c r="I23" i="27"/>
  <c r="I22" i="27"/>
  <c r="I21" i="27"/>
  <c r="I32" i="27"/>
  <c r="I24" i="27"/>
  <c r="F11" i="27"/>
  <c r="F13" i="27"/>
  <c r="F9" i="27"/>
  <c r="F10" i="27"/>
  <c r="F12" i="27"/>
  <c r="AE176" i="19"/>
  <c r="AT215" i="19"/>
  <c r="AT203" i="19"/>
  <c r="AT200" i="19"/>
  <c r="AT193" i="19"/>
  <c r="AE189" i="19"/>
  <c r="I62" i="3"/>
  <c r="K62" i="3" s="1"/>
  <c r="AE259" i="19"/>
  <c r="AE248" i="19"/>
  <c r="AE246" i="19"/>
  <c r="AE215" i="19"/>
  <c r="AE212" i="19"/>
  <c r="AE206" i="19"/>
  <c r="AE203" i="19"/>
  <c r="AE200" i="19"/>
  <c r="AE193" i="19"/>
  <c r="AE191" i="19"/>
  <c r="AE184" i="19"/>
  <c r="AE182" i="19"/>
  <c r="AE180" i="19"/>
  <c r="AE79" i="22"/>
  <c r="AE76" i="22"/>
  <c r="AE72" i="22"/>
  <c r="AE129" i="24"/>
  <c r="AE125" i="24"/>
  <c r="AE121" i="24"/>
  <c r="AE119" i="24"/>
  <c r="AE115" i="24"/>
  <c r="AE113" i="24"/>
  <c r="AE108" i="24"/>
  <c r="AE106" i="24"/>
  <c r="I41" i="27"/>
  <c r="I40" i="27"/>
  <c r="I39" i="27"/>
  <c r="I38" i="27"/>
  <c r="I37" i="27"/>
  <c r="I36" i="27"/>
  <c r="I35" i="27"/>
  <c r="I34" i="27"/>
  <c r="I33" i="27"/>
  <c r="AE187" i="19"/>
  <c r="AE86" i="22"/>
  <c r="AE133" i="24"/>
  <c r="AE127" i="24"/>
  <c r="AE101" i="24"/>
  <c r="AE97" i="24"/>
  <c r="AE95" i="24"/>
  <c r="AE100" i="25"/>
  <c r="AK100" i="25" s="1"/>
  <c r="AE98" i="25"/>
  <c r="AE95" i="25"/>
  <c r="AE91" i="25"/>
  <c r="AI93" i="10"/>
  <c r="AO93" i="10"/>
  <c r="AK93" i="10"/>
  <c r="AT264" i="19"/>
  <c r="AE264" i="19"/>
  <c r="AT256" i="19"/>
  <c r="AE256" i="19"/>
  <c r="AE258" i="19"/>
  <c r="AT251" i="19"/>
  <c r="AE251" i="19"/>
  <c r="AT245" i="19"/>
  <c r="AE245" i="19"/>
  <c r="AO291" i="19"/>
  <c r="AE292" i="19"/>
  <c r="AE213" i="19"/>
  <c r="AT213" i="19"/>
  <c r="AE211" i="19"/>
  <c r="AT211" i="19"/>
  <c r="AE207" i="19"/>
  <c r="AT207" i="19"/>
  <c r="AE205" i="19"/>
  <c r="AT205" i="19"/>
  <c r="AE202" i="19"/>
  <c r="AT202" i="19"/>
  <c r="AE194" i="19"/>
  <c r="AT194" i="19"/>
  <c r="AE192" i="19"/>
  <c r="AT192" i="19"/>
  <c r="AE188" i="19"/>
  <c r="AE185" i="19"/>
  <c r="AE181" i="19"/>
  <c r="AE175" i="19"/>
  <c r="AE186" i="19"/>
  <c r="AT175" i="19"/>
  <c r="AE177" i="19"/>
  <c r="X59" i="5"/>
  <c r="AK78" i="11"/>
  <c r="AK74" i="11"/>
  <c r="Y292" i="19"/>
  <c r="AE244" i="19"/>
  <c r="AE80" i="22"/>
  <c r="AU80" i="22"/>
  <c r="AE78" i="22"/>
  <c r="AU78" i="22"/>
  <c r="AE73" i="22"/>
  <c r="AU73" i="22"/>
  <c r="AE134" i="24"/>
  <c r="AE128" i="24"/>
  <c r="AE124" i="24"/>
  <c r="AE120" i="24"/>
  <c r="AE116" i="24"/>
  <c r="AE114" i="24"/>
  <c r="AE109" i="24"/>
  <c r="AE107" i="24"/>
  <c r="AE85" i="22"/>
  <c r="AU85" i="22"/>
  <c r="AE130" i="24"/>
  <c r="AE126" i="24"/>
  <c r="AE102" i="24"/>
  <c r="AE100" i="24"/>
  <c r="AE96" i="24"/>
  <c r="AE99" i="25"/>
  <c r="AE93" i="25"/>
  <c r="AE92" i="25"/>
  <c r="AE90" i="25"/>
  <c r="AK94" i="25"/>
  <c r="AE105" i="24"/>
  <c r="Y87" i="22"/>
  <c r="Y88" i="22" s="1"/>
  <c r="Y95" i="22" s="1"/>
  <c r="AE80" i="25"/>
  <c r="AE79" i="25"/>
  <c r="AE78" i="25"/>
  <c r="AE89" i="25"/>
  <c r="AE81" i="25"/>
  <c r="F71" i="26" l="1"/>
  <c r="M71" i="26" s="1"/>
  <c r="F57" i="26"/>
  <c r="M57" i="26" s="1"/>
  <c r="F67" i="26"/>
  <c r="M67" i="26" s="1"/>
  <c r="F66" i="26"/>
  <c r="M66" i="26" s="1"/>
  <c r="P66" i="26" s="1"/>
  <c r="C20" i="52" s="1"/>
  <c r="F56" i="26"/>
  <c r="M56" i="26" s="1"/>
  <c r="F64" i="26"/>
  <c r="M64" i="26" s="1"/>
  <c r="F72" i="26"/>
  <c r="M72" i="26" s="1"/>
  <c r="P72" i="26" s="1"/>
  <c r="C26" i="52" s="1"/>
  <c r="F62" i="26"/>
  <c r="M62" i="26" s="1"/>
  <c r="F61" i="26"/>
  <c r="M61" i="26" s="1"/>
  <c r="F65" i="26"/>
  <c r="M65" i="26" s="1"/>
  <c r="F53" i="26"/>
  <c r="M53" i="26" s="1"/>
  <c r="P53" i="26" s="1"/>
  <c r="C7" i="52" s="1"/>
  <c r="F69" i="26"/>
  <c r="M69" i="26" s="1"/>
  <c r="F54" i="26"/>
  <c r="M54" i="26" s="1"/>
  <c r="F59" i="26"/>
  <c r="M59" i="26" s="1"/>
  <c r="F55" i="26"/>
  <c r="M55" i="26" s="1"/>
  <c r="P55" i="26" s="1"/>
  <c r="C9" i="52" s="1"/>
  <c r="F63" i="26"/>
  <c r="M63" i="26" s="1"/>
  <c r="P63" i="26" s="1"/>
  <c r="C17" i="52" s="1"/>
  <c r="F68" i="26"/>
  <c r="M68" i="26" s="1"/>
  <c r="F70" i="26"/>
  <c r="M70" i="26" s="1"/>
  <c r="F58" i="26"/>
  <c r="M58" i="26" s="1"/>
  <c r="F73" i="26"/>
  <c r="M73" i="26" s="1"/>
  <c r="F60" i="26"/>
  <c r="M60" i="26" s="1"/>
  <c r="P60" i="26" s="1"/>
  <c r="C14" i="52" s="1"/>
  <c r="AE265" i="19"/>
  <c r="AE196" i="19"/>
  <c r="Y293" i="19"/>
  <c r="F47" i="5" s="1"/>
  <c r="F50" i="6"/>
  <c r="H20" i="36"/>
  <c r="H47" i="6"/>
  <c r="I17" i="36"/>
  <c r="J17" i="36" s="1"/>
  <c r="F26" i="4"/>
  <c r="H50" i="6"/>
  <c r="I20" i="36"/>
  <c r="J20" i="36" s="1"/>
  <c r="F27" i="4"/>
  <c r="P56" i="26"/>
  <c r="C10" i="52" s="1"/>
  <c r="P54" i="26"/>
  <c r="C8" i="52" s="1"/>
  <c r="P71" i="26"/>
  <c r="C25" i="52" s="1"/>
  <c r="P45" i="22"/>
  <c r="P50" i="6" s="1"/>
  <c r="D55" i="40" s="1"/>
  <c r="L42" i="22"/>
  <c r="R42" i="22" s="1"/>
  <c r="L69" i="24"/>
  <c r="AE105" i="25"/>
  <c r="P38" i="25"/>
  <c r="V64" i="5"/>
  <c r="J48" i="4"/>
  <c r="L64" i="6"/>
  <c r="AE142" i="24"/>
  <c r="AE69" i="20"/>
  <c r="AE286" i="19"/>
  <c r="AI286" i="19" s="1"/>
  <c r="AA293" i="19"/>
  <c r="AI88" i="12"/>
  <c r="AK88" i="12" s="1"/>
  <c r="P44" i="25"/>
  <c r="AK110" i="10"/>
  <c r="AO110" i="10"/>
  <c r="AI110" i="10"/>
  <c r="P30" i="25"/>
  <c r="J57" i="5"/>
  <c r="J41" i="4"/>
  <c r="L41" i="4" s="1"/>
  <c r="AA88" i="22"/>
  <c r="AQ86" i="12"/>
  <c r="AA108" i="25"/>
  <c r="AM108" i="25" s="1"/>
  <c r="AM78" i="25" s="1"/>
  <c r="AE101" i="25"/>
  <c r="F52" i="5"/>
  <c r="F39" i="4"/>
  <c r="F51" i="5"/>
  <c r="F38" i="4"/>
  <c r="AE138" i="24"/>
  <c r="AA145" i="24"/>
  <c r="R132" i="19"/>
  <c r="AA72" i="20"/>
  <c r="H72" i="24"/>
  <c r="I21" i="36" s="1"/>
  <c r="J21" i="36" s="1"/>
  <c r="P39" i="25"/>
  <c r="R41" i="4"/>
  <c r="P25" i="25"/>
  <c r="P35" i="25"/>
  <c r="P42" i="25"/>
  <c r="P62" i="5"/>
  <c r="R62" i="6"/>
  <c r="G66" i="3" s="1"/>
  <c r="I66" i="3" s="1"/>
  <c r="K66" i="3" s="1"/>
  <c r="P60" i="5"/>
  <c r="R60" i="6"/>
  <c r="P24" i="25"/>
  <c r="P34" i="25"/>
  <c r="P37" i="25"/>
  <c r="P28" i="25"/>
  <c r="P52" i="6"/>
  <c r="D57" i="40" s="1"/>
  <c r="P33" i="25"/>
  <c r="P36" i="25"/>
  <c r="P43" i="25"/>
  <c r="P29" i="25"/>
  <c r="P23" i="25"/>
  <c r="P139" i="19"/>
  <c r="P21" i="19" s="1"/>
  <c r="F44" i="6"/>
  <c r="P24" i="20"/>
  <c r="P27" i="20" s="1"/>
  <c r="AE81" i="22"/>
  <c r="F50" i="5"/>
  <c r="F37" i="4"/>
  <c r="AE87" i="22"/>
  <c r="AO292" i="19"/>
  <c r="P59" i="26" l="1"/>
  <c r="C13" i="52" s="1"/>
  <c r="P57" i="26"/>
  <c r="C11" i="52" s="1"/>
  <c r="P69" i="26"/>
  <c r="C23" i="52" s="1"/>
  <c r="P58" i="26"/>
  <c r="C12" i="52" s="1"/>
  <c r="P62" i="26"/>
  <c r="C16" i="52" s="1"/>
  <c r="P61" i="26"/>
  <c r="C15" i="52" s="1"/>
  <c r="P65" i="26"/>
  <c r="C19" i="52" s="1"/>
  <c r="P73" i="26"/>
  <c r="C27" i="52" s="1"/>
  <c r="P64" i="26"/>
  <c r="C18" i="52" s="1"/>
  <c r="P68" i="26"/>
  <c r="C22" i="52" s="1"/>
  <c r="P70" i="26"/>
  <c r="C24" i="52" s="1"/>
  <c r="P67" i="26"/>
  <c r="C21" i="52" s="1"/>
  <c r="P103" i="19"/>
  <c r="J55" i="40"/>
  <c r="J52" i="40"/>
  <c r="P36" i="22"/>
  <c r="P23" i="22"/>
  <c r="P29" i="22"/>
  <c r="P35" i="22"/>
  <c r="P26" i="22"/>
  <c r="P22" i="22"/>
  <c r="P28" i="22"/>
  <c r="P31" i="22"/>
  <c r="P37" i="22"/>
  <c r="H47" i="5"/>
  <c r="AE92" i="22"/>
  <c r="AI92" i="22" s="1"/>
  <c r="AK92" i="22" s="1"/>
  <c r="AM100" i="25"/>
  <c r="AO100" i="25" s="1"/>
  <c r="AQ100" i="25" s="1"/>
  <c r="AO78" i="25"/>
  <c r="R64" i="6"/>
  <c r="G67" i="3" s="1"/>
  <c r="P64" i="5"/>
  <c r="R48" i="4"/>
  <c r="E67" i="3"/>
  <c r="E68" i="3" s="1"/>
  <c r="F34" i="4"/>
  <c r="H34" i="4"/>
  <c r="C20" i="40" s="1"/>
  <c r="AQ88" i="12"/>
  <c r="AM85" i="25"/>
  <c r="AO85" i="25" s="1"/>
  <c r="AQ85" i="25" s="1"/>
  <c r="T52" i="5"/>
  <c r="AM92" i="25"/>
  <c r="AO92" i="25" s="1"/>
  <c r="AA95" i="22"/>
  <c r="AM95" i="22" s="1"/>
  <c r="AM84" i="25"/>
  <c r="AO84" i="25" s="1"/>
  <c r="AM86" i="25"/>
  <c r="AO86" i="25" s="1"/>
  <c r="AM94" i="25"/>
  <c r="AO94" i="25" s="1"/>
  <c r="AQ94" i="25" s="1"/>
  <c r="H39" i="4"/>
  <c r="C25" i="40" s="1"/>
  <c r="H52" i="5"/>
  <c r="P39" i="4"/>
  <c r="D25" i="40" s="1"/>
  <c r="AM95" i="25"/>
  <c r="AO95" i="25" s="1"/>
  <c r="AM81" i="25"/>
  <c r="AO81" i="25" s="1"/>
  <c r="AM99" i="25"/>
  <c r="AO99" i="25" s="1"/>
  <c r="AM80" i="25"/>
  <c r="AO80" i="25" s="1"/>
  <c r="AM90" i="25"/>
  <c r="AO90" i="25" s="1"/>
  <c r="AM79" i="25"/>
  <c r="AO79" i="25" s="1"/>
  <c r="AM98" i="25"/>
  <c r="AO98" i="25" s="1"/>
  <c r="AM89" i="25"/>
  <c r="AO89" i="25" s="1"/>
  <c r="AM93" i="25"/>
  <c r="AO93" i="25" s="1"/>
  <c r="AM91" i="25"/>
  <c r="AO91" i="25" s="1"/>
  <c r="AO105" i="25"/>
  <c r="J25" i="40" s="1"/>
  <c r="AI105" i="25"/>
  <c r="AO142" i="24"/>
  <c r="J24" i="40" s="1"/>
  <c r="AE88" i="22"/>
  <c r="R69" i="24"/>
  <c r="AI142" i="24"/>
  <c r="P60" i="19"/>
  <c r="P99" i="19"/>
  <c r="AO286" i="19"/>
  <c r="J20" i="40" s="1"/>
  <c r="AK286" i="19"/>
  <c r="H48" i="5"/>
  <c r="AM72" i="20"/>
  <c r="H35" i="4"/>
  <c r="C21" i="40" s="1"/>
  <c r="AO69" i="20"/>
  <c r="J21" i="40" s="1"/>
  <c r="AI69" i="20"/>
  <c r="P45" i="25"/>
  <c r="H51" i="6"/>
  <c r="P72" i="24"/>
  <c r="J40" i="6"/>
  <c r="G64" i="3"/>
  <c r="R60" i="5"/>
  <c r="X60" i="5"/>
  <c r="R62" i="5"/>
  <c r="X62" i="5"/>
  <c r="P106" i="19"/>
  <c r="P107" i="19"/>
  <c r="P98" i="19"/>
  <c r="P93" i="19"/>
  <c r="P96" i="19"/>
  <c r="P109" i="19"/>
  <c r="P56" i="19"/>
  <c r="P47" i="19"/>
  <c r="P108" i="19"/>
  <c r="P104" i="19"/>
  <c r="P105" i="19"/>
  <c r="P92" i="19"/>
  <c r="P90" i="19"/>
  <c r="P57" i="19"/>
  <c r="P51" i="19"/>
  <c r="P48" i="19"/>
  <c r="P40" i="19"/>
  <c r="P28" i="19"/>
  <c r="P23" i="19"/>
  <c r="P22" i="19"/>
  <c r="P110" i="19"/>
  <c r="P102" i="19"/>
  <c r="P97" i="19"/>
  <c r="P61" i="19"/>
  <c r="P58" i="19"/>
  <c r="P52" i="19"/>
  <c r="P46" i="19"/>
  <c r="P37" i="19"/>
  <c r="P34" i="19"/>
  <c r="P27" i="19"/>
  <c r="P24" i="19"/>
  <c r="P101" i="19"/>
  <c r="P94" i="19"/>
  <c r="P59" i="19"/>
  <c r="P53" i="19"/>
  <c r="P38" i="19"/>
  <c r="P33" i="19"/>
  <c r="P30" i="19"/>
  <c r="P26" i="19"/>
  <c r="P91" i="19"/>
  <c r="P49" i="19"/>
  <c r="P39" i="19"/>
  <c r="P35" i="19"/>
  <c r="P32" i="19"/>
  <c r="P31" i="19"/>
  <c r="P47" i="6"/>
  <c r="D52" i="40" s="1"/>
  <c r="F44" i="5"/>
  <c r="E25" i="40" l="1"/>
  <c r="P38" i="22"/>
  <c r="J56" i="40"/>
  <c r="P30" i="22"/>
  <c r="AO92" i="22"/>
  <c r="H50" i="5"/>
  <c r="AM78" i="22"/>
  <c r="AO78" i="22" s="1"/>
  <c r="AM79" i="22"/>
  <c r="AO79" i="22" s="1"/>
  <c r="R64" i="5"/>
  <c r="X64" i="5"/>
  <c r="I67" i="3"/>
  <c r="K67" i="3" s="1"/>
  <c r="AQ286" i="19"/>
  <c r="AK105" i="25"/>
  <c r="H37" i="4"/>
  <c r="C23" i="40" s="1"/>
  <c r="AM72" i="22"/>
  <c r="AO72" i="22" s="1"/>
  <c r="AM85" i="22"/>
  <c r="AO85" i="22" s="1"/>
  <c r="AM81" i="22"/>
  <c r="AO81" i="22" s="1"/>
  <c r="AM80" i="22"/>
  <c r="AO80" i="22" s="1"/>
  <c r="T50" i="5"/>
  <c r="AM86" i="22"/>
  <c r="AO86" i="22" s="1"/>
  <c r="AM76" i="22"/>
  <c r="AO76" i="22" s="1"/>
  <c r="P37" i="4"/>
  <c r="D23" i="40" s="1"/>
  <c r="AM87" i="22"/>
  <c r="AM73" i="22"/>
  <c r="AO73" i="22" s="1"/>
  <c r="AO101" i="25"/>
  <c r="AE104" i="25" s="1"/>
  <c r="AM101" i="25"/>
  <c r="AQ105" i="25"/>
  <c r="AQ142" i="24"/>
  <c r="AK142" i="24"/>
  <c r="P35" i="4"/>
  <c r="D21" i="40" s="1"/>
  <c r="E21" i="40" s="1"/>
  <c r="AM62" i="20"/>
  <c r="T48" i="5"/>
  <c r="AK69" i="20"/>
  <c r="AQ69" i="20"/>
  <c r="P51" i="6"/>
  <c r="D56" i="40" s="1"/>
  <c r="P61" i="24"/>
  <c r="P48" i="24"/>
  <c r="P35" i="24"/>
  <c r="P23" i="24"/>
  <c r="P54" i="24"/>
  <c r="P43" i="24"/>
  <c r="P32" i="24"/>
  <c r="P55" i="24"/>
  <c r="P42" i="24"/>
  <c r="P29" i="24"/>
  <c r="P60" i="24"/>
  <c r="P51" i="24"/>
  <c r="P36" i="24"/>
  <c r="P24" i="24"/>
  <c r="P34" i="24"/>
  <c r="P47" i="24"/>
  <c r="P56" i="24"/>
  <c r="P33" i="24"/>
  <c r="P46" i="24"/>
  <c r="P57" i="24"/>
  <c r="P28" i="24"/>
  <c r="P41" i="24"/>
  <c r="P53" i="24"/>
  <c r="P64" i="24"/>
  <c r="P27" i="24"/>
  <c r="P40" i="24"/>
  <c r="P52" i="24"/>
  <c r="P22" i="24"/>
  <c r="AM145" i="24"/>
  <c r="H51" i="5"/>
  <c r="H38" i="4"/>
  <c r="C24" i="40" s="1"/>
  <c r="G68" i="3"/>
  <c r="I64" i="3"/>
  <c r="AO62" i="20" l="1"/>
  <c r="AO65" i="20" s="1"/>
  <c r="AE68" i="20" s="1"/>
  <c r="AM65" i="20"/>
  <c r="E23" i="40"/>
  <c r="AQ92" i="22"/>
  <c r="J23" i="40"/>
  <c r="N15" i="34"/>
  <c r="AM88" i="22"/>
  <c r="AO87" i="22"/>
  <c r="P65" i="24"/>
  <c r="T51" i="5"/>
  <c r="AM129" i="24"/>
  <c r="AO129" i="24" s="1"/>
  <c r="AM134" i="24"/>
  <c r="AO134" i="24" s="1"/>
  <c r="AM128" i="24"/>
  <c r="AO128" i="24" s="1"/>
  <c r="AM124" i="24"/>
  <c r="AO124" i="24" s="1"/>
  <c r="AM116" i="24"/>
  <c r="AO116" i="24" s="1"/>
  <c r="AM109" i="24"/>
  <c r="AO109" i="24" s="1"/>
  <c r="AM105" i="24"/>
  <c r="AO105" i="24" s="1"/>
  <c r="AM100" i="24"/>
  <c r="AO100" i="24" s="1"/>
  <c r="AM119" i="24"/>
  <c r="AO119" i="24" s="1"/>
  <c r="AM113" i="24"/>
  <c r="AO113" i="24" s="1"/>
  <c r="AM106" i="24"/>
  <c r="AO106" i="24" s="1"/>
  <c r="AM97" i="24"/>
  <c r="AO97" i="24" s="1"/>
  <c r="AM95" i="24"/>
  <c r="P38" i="4"/>
  <c r="D24" i="40" s="1"/>
  <c r="E24" i="40" s="1"/>
  <c r="AM125" i="24"/>
  <c r="AO125" i="24" s="1"/>
  <c r="AM137" i="24"/>
  <c r="AO137" i="24" s="1"/>
  <c r="AM133" i="24"/>
  <c r="AO133" i="24" s="1"/>
  <c r="AM127" i="24"/>
  <c r="AO127" i="24" s="1"/>
  <c r="AM130" i="24"/>
  <c r="AO130" i="24" s="1"/>
  <c r="AM126" i="24"/>
  <c r="AO126" i="24" s="1"/>
  <c r="AM120" i="24"/>
  <c r="AO120" i="24" s="1"/>
  <c r="AM114" i="24"/>
  <c r="AO114" i="24" s="1"/>
  <c r="AM107" i="24"/>
  <c r="AO107" i="24" s="1"/>
  <c r="AM102" i="24"/>
  <c r="AO102" i="24" s="1"/>
  <c r="AM96" i="24"/>
  <c r="AO96" i="24" s="1"/>
  <c r="AM121" i="24"/>
  <c r="AO121" i="24" s="1"/>
  <c r="AM115" i="24"/>
  <c r="AO115" i="24" s="1"/>
  <c r="AM108" i="24"/>
  <c r="AO108" i="24" s="1"/>
  <c r="AM101" i="24"/>
  <c r="AO101" i="24" s="1"/>
  <c r="K64" i="3"/>
  <c r="I68" i="3"/>
  <c r="K68" i="3" s="1"/>
  <c r="N11" i="34" l="1"/>
  <c r="AE106" i="25"/>
  <c r="AO104" i="25"/>
  <c r="H25" i="40" s="1"/>
  <c r="K25" i="40" s="1"/>
  <c r="AO88" i="22"/>
  <c r="AE91" i="22" s="1"/>
  <c r="AO95" i="24"/>
  <c r="AO138" i="24" s="1"/>
  <c r="AE141" i="24" s="1"/>
  <c r="AM138" i="24"/>
  <c r="J40" i="5"/>
  <c r="L30" i="4"/>
  <c r="N13" i="34" l="1"/>
  <c r="N14" i="34"/>
  <c r="AO106" i="25"/>
  <c r="AE108" i="25"/>
  <c r="AG106" i="25" s="1"/>
  <c r="AE70" i="20"/>
  <c r="AE72" i="20" s="1"/>
  <c r="AO68" i="20"/>
  <c r="H21" i="40" s="1"/>
  <c r="K21" i="40" s="1"/>
  <c r="AG68" i="20" l="1"/>
  <c r="AE143" i="24"/>
  <c r="AE145" i="24" s="1"/>
  <c r="AO141" i="24"/>
  <c r="H24" i="40" s="1"/>
  <c r="K24" i="40" s="1"/>
  <c r="AO70" i="20"/>
  <c r="AO72" i="20" s="1"/>
  <c r="V48" i="5" s="1"/>
  <c r="AO91" i="22"/>
  <c r="H23" i="40" s="1"/>
  <c r="K23" i="40" s="1"/>
  <c r="AE93" i="22"/>
  <c r="AG79" i="25"/>
  <c r="AG100" i="25"/>
  <c r="L52" i="5"/>
  <c r="J52" i="5" s="1"/>
  <c r="AG84" i="25"/>
  <c r="AG99" i="25"/>
  <c r="AG101" i="25"/>
  <c r="AG95" i="25"/>
  <c r="AG92" i="25"/>
  <c r="AG93" i="25"/>
  <c r="AG105" i="25"/>
  <c r="AG90" i="25"/>
  <c r="AG104" i="25"/>
  <c r="AG80" i="25"/>
  <c r="J39" i="4"/>
  <c r="L39" i="4" s="1"/>
  <c r="AG89" i="25"/>
  <c r="AG86" i="25"/>
  <c r="AG91" i="25"/>
  <c r="AG81" i="25"/>
  <c r="AG85" i="25"/>
  <c r="AG94" i="25"/>
  <c r="AG98" i="25"/>
  <c r="AG78" i="25"/>
  <c r="AO108" i="25"/>
  <c r="AG70" i="20"/>
  <c r="L48" i="5"/>
  <c r="AG69" i="20"/>
  <c r="AG65" i="20"/>
  <c r="AG62" i="20"/>
  <c r="J35" i="4"/>
  <c r="L35" i="4" s="1"/>
  <c r="J48" i="5" l="1"/>
  <c r="AG143" i="24"/>
  <c r="AG137" i="24"/>
  <c r="AO143" i="24"/>
  <c r="AO145" i="24" s="1"/>
  <c r="R38" i="4" s="1"/>
  <c r="E48" i="3"/>
  <c r="B21" i="40" s="1"/>
  <c r="L21" i="40" s="1"/>
  <c r="R35" i="4"/>
  <c r="AO93" i="22"/>
  <c r="AO95" i="22" s="1"/>
  <c r="V50" i="5" s="1"/>
  <c r="AG106" i="24"/>
  <c r="AG127" i="24"/>
  <c r="AG97" i="24"/>
  <c r="AG121" i="24"/>
  <c r="AG108" i="24"/>
  <c r="AG126" i="24"/>
  <c r="AG134" i="24"/>
  <c r="AG107" i="24"/>
  <c r="AG138" i="24"/>
  <c r="AG125" i="24"/>
  <c r="AG95" i="24"/>
  <c r="AG119" i="24"/>
  <c r="AG105" i="24"/>
  <c r="AG102" i="24"/>
  <c r="AG115" i="24"/>
  <c r="AG113" i="24"/>
  <c r="AG124" i="24"/>
  <c r="AG128" i="24"/>
  <c r="AG129" i="24"/>
  <c r="L51" i="5"/>
  <c r="J51" i="5" s="1"/>
  <c r="J38" i="4"/>
  <c r="L38" i="4" s="1"/>
  <c r="AG109" i="24"/>
  <c r="AG96" i="24"/>
  <c r="AG114" i="24"/>
  <c r="AG101" i="24"/>
  <c r="AG142" i="24"/>
  <c r="AG116" i="24"/>
  <c r="AG120" i="24"/>
  <c r="AG133" i="24"/>
  <c r="AG100" i="24"/>
  <c r="AG130" i="24"/>
  <c r="AG141" i="24"/>
  <c r="AE95" i="22"/>
  <c r="R39" i="4"/>
  <c r="V52" i="5"/>
  <c r="E52" i="3"/>
  <c r="B25" i="40" s="1"/>
  <c r="L25" i="40" s="1"/>
  <c r="AG93" i="22" l="1"/>
  <c r="AG72" i="22"/>
  <c r="AG79" i="22"/>
  <c r="V51" i="5"/>
  <c r="E51" i="3"/>
  <c r="B24" i="40" s="1"/>
  <c r="L24" i="40" s="1"/>
  <c r="R37" i="4"/>
  <c r="E50" i="3"/>
  <c r="B23" i="40" s="1"/>
  <c r="L23" i="40" s="1"/>
  <c r="AG88" i="22"/>
  <c r="AG73" i="22"/>
  <c r="AG78" i="22"/>
  <c r="AG86" i="22"/>
  <c r="AG92" i="22"/>
  <c r="AG87" i="22"/>
  <c r="AG76" i="22"/>
  <c r="J37" i="4"/>
  <c r="L37" i="4" s="1"/>
  <c r="L50" i="5"/>
  <c r="J50" i="5" s="1"/>
  <c r="AG80" i="22"/>
  <c r="AG85" i="22"/>
  <c r="AG91" i="22"/>
  <c r="AG81" i="22" l="1"/>
  <c r="F28" i="28" l="1"/>
  <c r="H19" i="36" s="1"/>
  <c r="Y56" i="28"/>
  <c r="Y63" i="28" s="1"/>
  <c r="F49" i="6" l="1"/>
  <c r="F49" i="5"/>
  <c r="F54" i="5" s="1"/>
  <c r="F36" i="4"/>
  <c r="F54" i="6" l="1"/>
  <c r="C23" i="34" s="1"/>
  <c r="P30" i="31"/>
  <c r="P31" i="31" s="1"/>
  <c r="P39" i="31" s="1"/>
  <c r="P42" i="6" s="1"/>
  <c r="AM74" i="31" l="1"/>
  <c r="AM75" i="31" s="1"/>
  <c r="AM83" i="31" s="1"/>
  <c r="T42" i="5" l="1"/>
  <c r="P32" i="4"/>
  <c r="D18" i="40" s="1"/>
  <c r="E18" i="40" s="1"/>
  <c r="Y76" i="13" l="1"/>
  <c r="AE76" i="13" s="1"/>
  <c r="L24" i="13"/>
  <c r="R24" i="13" l="1"/>
  <c r="AI76" i="13"/>
  <c r="AO76" i="13"/>
  <c r="AK76" i="13" l="1"/>
  <c r="AQ76" i="13"/>
  <c r="F26" i="13" l="1"/>
  <c r="AJ12" i="35" s="1"/>
  <c r="AJ14" i="35" s="1"/>
  <c r="AJ16" i="35" s="1"/>
  <c r="Y77" i="13"/>
  <c r="AE77" i="13" s="1"/>
  <c r="L25" i="13"/>
  <c r="L26" i="13" s="1"/>
  <c r="AJ20" i="35" s="1"/>
  <c r="AO77" i="13" l="1"/>
  <c r="AO78" i="13" s="1"/>
  <c r="AE78" i="13"/>
  <c r="R25" i="13"/>
  <c r="R26" i="13" s="1"/>
  <c r="AI77" i="13"/>
  <c r="AI78" i="13" s="1"/>
  <c r="F37" i="13"/>
  <c r="F46" i="13"/>
  <c r="H12" i="36" s="1"/>
  <c r="Y78" i="13"/>
  <c r="AQ78" i="13" l="1"/>
  <c r="AK77" i="13"/>
  <c r="AK78" i="13" s="1"/>
  <c r="AQ77" i="13"/>
  <c r="Y89" i="13"/>
  <c r="Y98" i="13"/>
  <c r="F32" i="6"/>
  <c r="C20" i="34" s="1"/>
  <c r="F28" i="4" l="1"/>
  <c r="F32" i="5"/>
  <c r="F63" i="6" l="1"/>
  <c r="F65" i="6" s="1"/>
  <c r="F65" i="5"/>
  <c r="F47" i="4"/>
  <c r="P30" i="33" l="1"/>
  <c r="P31" i="33" s="1"/>
  <c r="P39" i="33" s="1"/>
  <c r="P43" i="6" s="1"/>
  <c r="P30" i="30" l="1"/>
  <c r="P31" i="30" s="1"/>
  <c r="P39" i="30" s="1"/>
  <c r="P41" i="6" s="1"/>
  <c r="P44" i="6" s="1"/>
  <c r="AM76" i="33"/>
  <c r="AM77" i="33" s="1"/>
  <c r="AM85" i="33" s="1"/>
  <c r="AM74" i="30" l="1"/>
  <c r="AM75" i="30" s="1"/>
  <c r="AM83" i="30" s="1"/>
  <c r="T43" i="5"/>
  <c r="P33" i="4"/>
  <c r="D19" i="40" s="1"/>
  <c r="E19" i="40" s="1"/>
  <c r="T41" i="5" l="1"/>
  <c r="T44" i="5" s="1"/>
  <c r="P31" i="4"/>
  <c r="D17" i="40" s="1"/>
  <c r="E17" i="40" s="1"/>
  <c r="K40" i="3" l="1"/>
  <c r="D14" i="35" l="1"/>
  <c r="D43" i="1"/>
  <c r="G43" i="1" l="1"/>
  <c r="J23" i="7"/>
  <c r="H7" i="27" s="1"/>
  <c r="H8" i="27"/>
  <c r="H12" i="27" l="1"/>
  <c r="H13" i="27"/>
  <c r="H11" i="27"/>
  <c r="H10" i="27"/>
  <c r="H9" i="27"/>
  <c r="AA78" i="11" l="1"/>
  <c r="AI78" i="11" l="1"/>
  <c r="AO79" i="30" l="1"/>
  <c r="H17" i="40" l="1"/>
  <c r="AO79" i="31"/>
  <c r="H18" i="40" s="1"/>
  <c r="AO81" i="33" l="1"/>
  <c r="H19" i="40" s="1"/>
  <c r="E14" i="36" l="1"/>
  <c r="E15" i="36"/>
  <c r="E16" i="36"/>
  <c r="L25" i="11" l="1"/>
  <c r="W8" i="35"/>
  <c r="Y73" i="11"/>
  <c r="AE73" i="11" s="1"/>
  <c r="AO73" i="11" s="1"/>
  <c r="Y95" i="9"/>
  <c r="AE95" i="9" s="1"/>
  <c r="F27" i="11" l="1"/>
  <c r="W7" i="35"/>
  <c r="W9" i="35" s="1"/>
  <c r="W12" i="35" s="1"/>
  <c r="L24" i="11"/>
  <c r="Y72" i="11"/>
  <c r="AE72" i="11" s="1"/>
  <c r="R25" i="11"/>
  <c r="AI73" i="11"/>
  <c r="AK73" i="11" s="1"/>
  <c r="L23" i="9"/>
  <c r="R23" i="9" s="1"/>
  <c r="R24" i="9" s="1"/>
  <c r="F24" i="9"/>
  <c r="Y96" i="9" s="1"/>
  <c r="O9" i="35"/>
  <c r="O19" i="35" s="1"/>
  <c r="O21" i="35" s="1"/>
  <c r="F25" i="10"/>
  <c r="L24" i="10"/>
  <c r="O8" i="35"/>
  <c r="Y94" i="10"/>
  <c r="AE94" i="10" s="1"/>
  <c r="L41" i="10"/>
  <c r="Y111" i="10"/>
  <c r="AE111" i="10" s="1"/>
  <c r="F42" i="10"/>
  <c r="AE96" i="9"/>
  <c r="AO95" i="9"/>
  <c r="AO96" i="9" s="1"/>
  <c r="L24" i="9" l="1"/>
  <c r="F37" i="9"/>
  <c r="Y109" i="9" s="1"/>
  <c r="AI95" i="9"/>
  <c r="AQ95" i="9" s="1"/>
  <c r="AQ73" i="11"/>
  <c r="AO72" i="11"/>
  <c r="AE75" i="11"/>
  <c r="AI72" i="11"/>
  <c r="R24" i="11"/>
  <c r="R27" i="11" s="1"/>
  <c r="W18" i="35" s="1"/>
  <c r="L27" i="11"/>
  <c r="Y75" i="11"/>
  <c r="Y82" i="11" s="1"/>
  <c r="Y91" i="11" s="1"/>
  <c r="F34" i="11"/>
  <c r="F43" i="11" s="1"/>
  <c r="L26" i="8"/>
  <c r="Y82" i="8"/>
  <c r="AE82" i="8" s="1"/>
  <c r="G8" i="35"/>
  <c r="L24" i="8"/>
  <c r="Y80" i="8"/>
  <c r="AE80" i="8" s="1"/>
  <c r="Y112" i="10"/>
  <c r="F53" i="10"/>
  <c r="Y123" i="10" s="1"/>
  <c r="AO111" i="10"/>
  <c r="AO112" i="10" s="1"/>
  <c r="AE112" i="10"/>
  <c r="AI111" i="10"/>
  <c r="L42" i="10"/>
  <c r="R41" i="10"/>
  <c r="R42" i="10" s="1"/>
  <c r="AE95" i="10"/>
  <c r="AO94" i="10"/>
  <c r="AO95" i="10" s="1"/>
  <c r="L41" i="9"/>
  <c r="Y113" i="9"/>
  <c r="AE113" i="9" s="1"/>
  <c r="F42" i="9"/>
  <c r="O12" i="35"/>
  <c r="O14" i="35" s="1"/>
  <c r="O10" i="35"/>
  <c r="L25" i="10"/>
  <c r="R24" i="10"/>
  <c r="R25" i="10" s="1"/>
  <c r="AI94" i="10"/>
  <c r="Y95" i="10"/>
  <c r="F36" i="10"/>
  <c r="AI96" i="9" l="1"/>
  <c r="AK95" i="9"/>
  <c r="F29" i="6"/>
  <c r="C17" i="34" s="1"/>
  <c r="H9" i="36"/>
  <c r="F25" i="4"/>
  <c r="F29" i="5"/>
  <c r="AQ72" i="11"/>
  <c r="AO75" i="11"/>
  <c r="AK72" i="11"/>
  <c r="AI75" i="11"/>
  <c r="AK75" i="11" s="1"/>
  <c r="AO82" i="8"/>
  <c r="AO80" i="8"/>
  <c r="AI82" i="8"/>
  <c r="AK82" i="8" s="1"/>
  <c r="R26" i="8"/>
  <c r="R24" i="8"/>
  <c r="AI80" i="8"/>
  <c r="Y81" i="8"/>
  <c r="AE81" i="8" s="1"/>
  <c r="L25" i="8"/>
  <c r="F27" i="8"/>
  <c r="G7" i="35"/>
  <c r="AQ94" i="10"/>
  <c r="AI95" i="10"/>
  <c r="AO113" i="9"/>
  <c r="AO114" i="9" s="1"/>
  <c r="AE114" i="9"/>
  <c r="AK96" i="9"/>
  <c r="AQ96" i="9"/>
  <c r="AI113" i="9"/>
  <c r="AK113" i="9" s="1"/>
  <c r="R41" i="9"/>
  <c r="R42" i="9" s="1"/>
  <c r="L42" i="9"/>
  <c r="F38" i="7"/>
  <c r="X64" i="7"/>
  <c r="L31" i="7"/>
  <c r="C7" i="35"/>
  <c r="C9" i="35" s="1"/>
  <c r="C11" i="35" s="1"/>
  <c r="F28" i="7"/>
  <c r="L23" i="7"/>
  <c r="Y106" i="10"/>
  <c r="Y124" i="10" s="1"/>
  <c r="Y133" i="10" s="1"/>
  <c r="F54" i="10"/>
  <c r="F63" i="10"/>
  <c r="AK94" i="10"/>
  <c r="AK111" i="10"/>
  <c r="AI112" i="10"/>
  <c r="AK112" i="10" s="1"/>
  <c r="AQ111" i="10"/>
  <c r="Y114" i="9"/>
  <c r="F55" i="9"/>
  <c r="W13" i="35" l="1"/>
  <c r="AQ75" i="11"/>
  <c r="AK80" i="8"/>
  <c r="AQ82" i="8"/>
  <c r="G9" i="35"/>
  <c r="G12" i="35" s="1"/>
  <c r="F41" i="8"/>
  <c r="F50" i="8" s="1"/>
  <c r="Y83" i="8"/>
  <c r="Y97" i="8" s="1"/>
  <c r="AQ80" i="8"/>
  <c r="L27" i="8"/>
  <c r="R25" i="8"/>
  <c r="R27" i="8" s="1"/>
  <c r="C6" i="48" s="1"/>
  <c r="D6" i="48" s="1"/>
  <c r="AI81" i="8"/>
  <c r="AK81" i="8" s="1"/>
  <c r="AE83" i="8"/>
  <c r="AO81" i="8"/>
  <c r="AO83" i="8" s="1"/>
  <c r="F28" i="6"/>
  <c r="C13" i="34" s="1"/>
  <c r="H8" i="36"/>
  <c r="AD64" i="7"/>
  <c r="AH64" i="7" s="1"/>
  <c r="X69" i="7"/>
  <c r="AD72" i="7"/>
  <c r="AH72" i="7" s="1"/>
  <c r="X79" i="7"/>
  <c r="F24" i="4"/>
  <c r="F28" i="5"/>
  <c r="H5" i="36"/>
  <c r="F21" i="6"/>
  <c r="F23" i="6" s="1"/>
  <c r="C10" i="34" s="1"/>
  <c r="AQ112" i="10"/>
  <c r="O24" i="35"/>
  <c r="Y127" i="9"/>
  <c r="Y128" i="9" s="1"/>
  <c r="F56" i="9"/>
  <c r="F65" i="9" s="1"/>
  <c r="R23" i="7"/>
  <c r="C15" i="35"/>
  <c r="AK95" i="10"/>
  <c r="AQ95" i="10"/>
  <c r="AI114" i="9"/>
  <c r="AQ113" i="9"/>
  <c r="R31" i="7"/>
  <c r="G38" i="40" l="1"/>
  <c r="G60" i="40" s="1"/>
  <c r="G13" i="35"/>
  <c r="G14" i="35" s="1"/>
  <c r="G15" i="35" s="1"/>
  <c r="AI83" i="8"/>
  <c r="AK83" i="8" s="1"/>
  <c r="AQ81" i="8"/>
  <c r="H6" i="36"/>
  <c r="Y106" i="8"/>
  <c r="F26" i="6"/>
  <c r="C11" i="34" s="1"/>
  <c r="C31" i="34" s="1"/>
  <c r="AJ72" i="7"/>
  <c r="F20" i="4"/>
  <c r="F21" i="5"/>
  <c r="F23" i="5" s="1"/>
  <c r="AJ64" i="7"/>
  <c r="AN72" i="7"/>
  <c r="AN64" i="7"/>
  <c r="AP64" i="7" s="1"/>
  <c r="AK114" i="9"/>
  <c r="AQ114" i="9"/>
  <c r="H7" i="36"/>
  <c r="Y137" i="9"/>
  <c r="F27" i="6"/>
  <c r="G17" i="35" l="1"/>
  <c r="G16" i="35"/>
  <c r="F22" i="4"/>
  <c r="F26" i="5"/>
  <c r="AQ83" i="8"/>
  <c r="G6" i="40"/>
  <c r="AP72" i="7"/>
  <c r="C15" i="34"/>
  <c r="F33" i="6"/>
  <c r="F27" i="5"/>
  <c r="F23" i="4"/>
  <c r="Y85" i="14" l="1"/>
  <c r="AE85" i="14" s="1"/>
  <c r="AO85" i="14" s="1"/>
  <c r="L21" i="14"/>
  <c r="F32" i="14"/>
  <c r="F46" i="14"/>
  <c r="Y110" i="14" s="1"/>
  <c r="Y99" i="14"/>
  <c r="AE99" i="14" s="1"/>
  <c r="AO99" i="14" s="1"/>
  <c r="L35" i="14"/>
  <c r="F33" i="5"/>
  <c r="G28" i="40"/>
  <c r="AI99" i="14" l="1"/>
  <c r="AK99" i="14" s="1"/>
  <c r="R35" i="14"/>
  <c r="F56" i="14"/>
  <c r="F47" i="14"/>
  <c r="AO12" i="35" s="1"/>
  <c r="Y96" i="14"/>
  <c r="Y111" i="14" s="1"/>
  <c r="Y120" i="14" s="1"/>
  <c r="AI85" i="14"/>
  <c r="AK85" i="14" s="1"/>
  <c r="R21" i="14"/>
  <c r="AQ85" i="14" l="1"/>
  <c r="F36" i="5"/>
  <c r="F37" i="5" s="1"/>
  <c r="F67" i="5" s="1"/>
  <c r="F29" i="4"/>
  <c r="F49" i="4" s="1"/>
  <c r="AO14" i="35"/>
  <c r="AO16" i="35" s="1"/>
  <c r="AO19" i="35"/>
  <c r="F36" i="6"/>
  <c r="H13" i="36"/>
  <c r="AQ99" i="14"/>
  <c r="C21" i="34" l="1"/>
  <c r="C29" i="34" s="1"/>
  <c r="F37" i="6"/>
  <c r="F67" i="6" s="1"/>
  <c r="AK261" i="19" l="1"/>
  <c r="D26" i="40" l="1"/>
  <c r="E26" i="40" l="1"/>
  <c r="L26" i="40" l="1"/>
  <c r="C204" i="1" l="1"/>
  <c r="D204" i="1" l="1"/>
  <c r="G204" i="1" s="1"/>
  <c r="H21" i="28" l="1"/>
  <c r="H28" i="28" s="1"/>
  <c r="L25" i="28" l="1"/>
  <c r="R25" i="28" s="1"/>
  <c r="J54" i="40" s="1"/>
  <c r="AA56" i="28"/>
  <c r="H38" i="8"/>
  <c r="AA94" i="8" s="1"/>
  <c r="AE94" i="8" s="1"/>
  <c r="H30" i="8"/>
  <c r="AA86" i="8" s="1"/>
  <c r="AE86" i="8" s="1"/>
  <c r="H37" i="8"/>
  <c r="H28" i="31"/>
  <c r="H28" i="12"/>
  <c r="H31" i="8"/>
  <c r="H33" i="11"/>
  <c r="H28" i="30"/>
  <c r="H39" i="8"/>
  <c r="AA63" i="28"/>
  <c r="AE60" i="28"/>
  <c r="AE56" i="28"/>
  <c r="H49" i="6"/>
  <c r="H54" i="6" s="1"/>
  <c r="I19" i="36"/>
  <c r="J19" i="36" s="1"/>
  <c r="P28" i="28"/>
  <c r="H35" i="8"/>
  <c r="H28" i="10"/>
  <c r="H34" i="10"/>
  <c r="H53" i="9"/>
  <c r="H36" i="9"/>
  <c r="H35" i="9"/>
  <c r="H52" i="10"/>
  <c r="AA122" i="10" s="1"/>
  <c r="AE122" i="10" s="1"/>
  <c r="H46" i="10"/>
  <c r="AA116" i="10" s="1"/>
  <c r="AE116" i="10" s="1"/>
  <c r="H45" i="10"/>
  <c r="H51" i="10"/>
  <c r="H29" i="10"/>
  <c r="AA99" i="10" s="1"/>
  <c r="AE99" i="10" s="1"/>
  <c r="H35" i="13"/>
  <c r="H46" i="12"/>
  <c r="H34" i="13"/>
  <c r="H29" i="13"/>
  <c r="N14" i="40" s="1"/>
  <c r="T14" i="40" s="1"/>
  <c r="H28" i="33"/>
  <c r="H29" i="14"/>
  <c r="H24" i="14"/>
  <c r="H39" i="14"/>
  <c r="AA103" i="14" s="1"/>
  <c r="AE103" i="14" s="1"/>
  <c r="H43" i="14"/>
  <c r="H38" i="14"/>
  <c r="G43" i="35" l="1"/>
  <c r="L30" i="8"/>
  <c r="R30" i="8" s="1"/>
  <c r="AI60" i="28"/>
  <c r="AK60" i="28" s="1"/>
  <c r="P14" i="40"/>
  <c r="AA86" i="13"/>
  <c r="AE86" i="13" s="1"/>
  <c r="AJ29" i="35"/>
  <c r="AO116" i="10"/>
  <c r="AA107" i="14"/>
  <c r="AA88" i="14"/>
  <c r="AE88" i="14" s="1"/>
  <c r="AA121" i="10"/>
  <c r="AE121" i="10" s="1"/>
  <c r="H53" i="10"/>
  <c r="AA91" i="8"/>
  <c r="AE91" i="8" s="1"/>
  <c r="G31" i="35"/>
  <c r="AJ27" i="35"/>
  <c r="H30" i="13"/>
  <c r="AA81" i="13"/>
  <c r="AE81" i="13" s="1"/>
  <c r="H48" i="10"/>
  <c r="AA118" i="10" s="1"/>
  <c r="H47" i="10"/>
  <c r="AA115" i="10"/>
  <c r="H63" i="5"/>
  <c r="L63" i="5" s="1"/>
  <c r="AA87" i="8"/>
  <c r="G24" i="35"/>
  <c r="AA93" i="14"/>
  <c r="AA102" i="14"/>
  <c r="AE102" i="14" s="1"/>
  <c r="H40" i="14"/>
  <c r="AO99" i="10"/>
  <c r="AA91" i="12"/>
  <c r="H29" i="12"/>
  <c r="AA21" i="35"/>
  <c r="H38" i="12"/>
  <c r="AA104" i="10"/>
  <c r="AE104" i="10" s="1"/>
  <c r="AA98" i="10"/>
  <c r="H31" i="10"/>
  <c r="H30" i="10"/>
  <c r="H32" i="8"/>
  <c r="AI86" i="8"/>
  <c r="AO122" i="10"/>
  <c r="AA125" i="9"/>
  <c r="AE125" i="9" s="1"/>
  <c r="P49" i="6"/>
  <c r="P21" i="28"/>
  <c r="AO86" i="8"/>
  <c r="AA109" i="12"/>
  <c r="AE16" i="35"/>
  <c r="H36" i="8"/>
  <c r="H40" i="8" s="1"/>
  <c r="H29" i="31"/>
  <c r="AA72" i="31"/>
  <c r="AE72" i="31" s="1"/>
  <c r="H30" i="31"/>
  <c r="AA108" i="9"/>
  <c r="AE108" i="9" s="1"/>
  <c r="AJ30" i="35"/>
  <c r="AA87" i="13"/>
  <c r="AE87" i="13" s="1"/>
  <c r="AA107" i="9"/>
  <c r="AE107" i="9" s="1"/>
  <c r="H37" i="9"/>
  <c r="AA95" i="8"/>
  <c r="AE95" i="8" s="1"/>
  <c r="G47" i="35"/>
  <c r="AO94" i="8"/>
  <c r="AO60" i="28"/>
  <c r="J22" i="40" s="1"/>
  <c r="H29" i="30"/>
  <c r="H30" i="30"/>
  <c r="AA72" i="30"/>
  <c r="AE72" i="30" s="1"/>
  <c r="G39" i="35"/>
  <c r="AA93" i="8"/>
  <c r="AE93" i="8" s="1"/>
  <c r="H30" i="33"/>
  <c r="H29" i="33"/>
  <c r="AA74" i="33"/>
  <c r="AE74" i="33" s="1"/>
  <c r="AO103" i="14"/>
  <c r="AM63" i="28"/>
  <c r="H36" i="4"/>
  <c r="C22" i="40" s="1"/>
  <c r="H49" i="5"/>
  <c r="AA81" i="11"/>
  <c r="W21" i="35"/>
  <c r="H34" i="11"/>
  <c r="H35" i="10"/>
  <c r="AA105" i="10" s="1"/>
  <c r="AE105" i="10" s="1"/>
  <c r="H26" i="9"/>
  <c r="H27" i="9"/>
  <c r="H44" i="9"/>
  <c r="H45" i="9"/>
  <c r="H30" i="14"/>
  <c r="AA94" i="14" s="1"/>
  <c r="H25" i="14"/>
  <c r="AA89" i="14" s="1"/>
  <c r="AE89" i="14" s="1"/>
  <c r="H44" i="14"/>
  <c r="AA108" i="14" s="1"/>
  <c r="AE108" i="14" s="1"/>
  <c r="T63" i="5" l="1"/>
  <c r="I27" i="40"/>
  <c r="J27" i="40"/>
  <c r="AE87" i="8"/>
  <c r="AE88" i="8" s="1"/>
  <c r="N8" i="40"/>
  <c r="X105" i="26"/>
  <c r="N10" i="40"/>
  <c r="R14" i="40"/>
  <c r="P46" i="8"/>
  <c r="H41" i="8"/>
  <c r="AA96" i="8"/>
  <c r="H54" i="9"/>
  <c r="AA73" i="30"/>
  <c r="AE73" i="30" s="1"/>
  <c r="L29" i="30"/>
  <c r="AO87" i="13"/>
  <c r="AK87" i="13"/>
  <c r="H36" i="10"/>
  <c r="Y202" i="26"/>
  <c r="AA104" i="14"/>
  <c r="AO88" i="14"/>
  <c r="AE90" i="14"/>
  <c r="AO104" i="10"/>
  <c r="AO102" i="14"/>
  <c r="AE104" i="14"/>
  <c r="AE82" i="13"/>
  <c r="AO81" i="13"/>
  <c r="AE109" i="12"/>
  <c r="H18" i="37"/>
  <c r="AA82" i="13"/>
  <c r="AO27" i="35"/>
  <c r="AE107" i="14"/>
  <c r="AO105" i="10"/>
  <c r="AO108" i="14"/>
  <c r="H33" i="13"/>
  <c r="AO74" i="33"/>
  <c r="H30" i="6"/>
  <c r="I10" i="36"/>
  <c r="J10" i="36" s="1"/>
  <c r="AA101" i="12"/>
  <c r="AE93" i="14"/>
  <c r="AO26" i="35"/>
  <c r="H45" i="14"/>
  <c r="L29" i="33"/>
  <c r="AA75" i="33"/>
  <c r="AE75" i="33" s="1"/>
  <c r="AE76" i="33" s="1"/>
  <c r="AO108" i="9"/>
  <c r="AQ86" i="8"/>
  <c r="H31" i="14"/>
  <c r="AO89" i="14"/>
  <c r="AE94" i="14"/>
  <c r="AO28" i="35"/>
  <c r="AA116" i="9"/>
  <c r="H47" i="9"/>
  <c r="H49" i="9" s="1"/>
  <c r="H46" i="9"/>
  <c r="P39" i="11"/>
  <c r="H43" i="11"/>
  <c r="L37" i="11"/>
  <c r="L40" i="11"/>
  <c r="AA76" i="33"/>
  <c r="AA77" i="33" s="1"/>
  <c r="H31" i="33"/>
  <c r="L32" i="12"/>
  <c r="P34" i="12"/>
  <c r="L35" i="12"/>
  <c r="AA117" i="9"/>
  <c r="AE117" i="9" s="1"/>
  <c r="H28" i="9"/>
  <c r="AA98" i="9"/>
  <c r="H29" i="9"/>
  <c r="H31" i="31"/>
  <c r="AA74" i="31"/>
  <c r="AA75" i="31" s="1"/>
  <c r="AA88" i="8"/>
  <c r="D18" i="37"/>
  <c r="D19" i="37" s="1"/>
  <c r="AA92" i="12"/>
  <c r="AE91" i="12"/>
  <c r="AO87" i="8"/>
  <c r="AO88" i="8" s="1"/>
  <c r="AA82" i="11"/>
  <c r="AE81" i="11"/>
  <c r="AO93" i="8"/>
  <c r="AO95" i="8"/>
  <c r="AO72" i="31"/>
  <c r="P54" i="6"/>
  <c r="D54" i="40"/>
  <c r="AQ60" i="28"/>
  <c r="H47" i="4"/>
  <c r="C27" i="40" s="1"/>
  <c r="H65" i="5"/>
  <c r="H63" i="6"/>
  <c r="AO91" i="8"/>
  <c r="AA99" i="9"/>
  <c r="AE99" i="9" s="1"/>
  <c r="AA74" i="30"/>
  <c r="AA75" i="30" s="1"/>
  <c r="H31" i="30"/>
  <c r="H54" i="5"/>
  <c r="W105" i="26"/>
  <c r="AA123" i="10"/>
  <c r="AO86" i="13"/>
  <c r="AJ9" i="35" s="1"/>
  <c r="G35" i="35"/>
  <c r="AA92" i="8"/>
  <c r="AE92" i="8" s="1"/>
  <c r="AE96" i="8" s="1"/>
  <c r="AA101" i="10"/>
  <c r="E18" i="37"/>
  <c r="E19" i="37" s="1"/>
  <c r="Y105" i="26"/>
  <c r="AO121" i="10"/>
  <c r="L29" i="31"/>
  <c r="AA73" i="31"/>
  <c r="AE73" i="31" s="1"/>
  <c r="AE74" i="31" s="1"/>
  <c r="P36" i="4"/>
  <c r="D22" i="40" s="1"/>
  <c r="E22" i="40" s="1"/>
  <c r="T49" i="5"/>
  <c r="AM56" i="28"/>
  <c r="AO56" i="28" s="1"/>
  <c r="AO72" i="30"/>
  <c r="AA109" i="9"/>
  <c r="H47" i="12"/>
  <c r="AO125" i="9"/>
  <c r="AA100" i="10"/>
  <c r="AE100" i="10" s="1"/>
  <c r="AE98" i="10"/>
  <c r="AA117" i="10"/>
  <c r="AE117" i="10" s="1"/>
  <c r="AE115" i="10"/>
  <c r="AO107" i="9"/>
  <c r="H26" i="14"/>
  <c r="H19" i="37" l="1"/>
  <c r="H25" i="37" s="1"/>
  <c r="N15" i="40"/>
  <c r="T15" i="40" s="1"/>
  <c r="Q30" i="35"/>
  <c r="K27" i="40"/>
  <c r="P10" i="40"/>
  <c r="R10" i="40" s="1"/>
  <c r="T10" i="40"/>
  <c r="P8" i="40"/>
  <c r="R8" i="40" s="1"/>
  <c r="T8" i="40"/>
  <c r="F123" i="26"/>
  <c r="M123" i="26" s="1"/>
  <c r="P123" i="26" s="1"/>
  <c r="F124" i="26"/>
  <c r="M124" i="26" s="1"/>
  <c r="P124" i="26" s="1"/>
  <c r="F125" i="26"/>
  <c r="M125" i="26" s="1"/>
  <c r="P125" i="26" s="1"/>
  <c r="F116" i="26"/>
  <c r="F117" i="26"/>
  <c r="M117" i="26" s="1"/>
  <c r="P117" i="26" s="1"/>
  <c r="F122" i="26"/>
  <c r="M122" i="26" s="1"/>
  <c r="P122" i="26" s="1"/>
  <c r="F118" i="26"/>
  <c r="M118" i="26" s="1"/>
  <c r="P118" i="26" s="1"/>
  <c r="F119" i="26"/>
  <c r="M119" i="26" s="1"/>
  <c r="P119" i="26" s="1"/>
  <c r="F120" i="26"/>
  <c r="M120" i="26" s="1"/>
  <c r="P120" i="26" s="1"/>
  <c r="F121" i="26"/>
  <c r="M121" i="26" s="1"/>
  <c r="P121" i="26" s="1"/>
  <c r="AA101" i="9"/>
  <c r="N9" i="40"/>
  <c r="P15" i="40"/>
  <c r="Q31" i="35"/>
  <c r="AO107" i="14"/>
  <c r="AP35" i="35"/>
  <c r="AE109" i="14"/>
  <c r="AE110" i="14" s="1"/>
  <c r="AO104" i="14"/>
  <c r="AO8" i="35"/>
  <c r="H54" i="10"/>
  <c r="H63" i="10"/>
  <c r="AA106" i="10"/>
  <c r="AA124" i="10" s="1"/>
  <c r="V105" i="26"/>
  <c r="AE77" i="33"/>
  <c r="R39" i="11"/>
  <c r="P41" i="11"/>
  <c r="P43" i="11" s="1"/>
  <c r="P29" i="6" s="1"/>
  <c r="AO100" i="10"/>
  <c r="AJ10" i="35"/>
  <c r="AQ87" i="13"/>
  <c r="V63" i="5"/>
  <c r="L65" i="5"/>
  <c r="N63" i="5" s="1"/>
  <c r="J47" i="4"/>
  <c r="L47" i="4" s="1"/>
  <c r="AA119" i="9"/>
  <c r="S37" i="35"/>
  <c r="AO75" i="33"/>
  <c r="AO76" i="33" s="1"/>
  <c r="AJ28" i="35"/>
  <c r="AA85" i="13"/>
  <c r="AE85" i="13" s="1"/>
  <c r="H36" i="13"/>
  <c r="AI73" i="30"/>
  <c r="R29" i="30"/>
  <c r="AO92" i="8"/>
  <c r="AT95" i="8" s="1"/>
  <c r="G45" i="35" s="1"/>
  <c r="AO117" i="9"/>
  <c r="Q36" i="35" s="1"/>
  <c r="AO98" i="10"/>
  <c r="AE101" i="10"/>
  <c r="AE75" i="31"/>
  <c r="H50" i="9"/>
  <c r="AA122" i="9" s="1"/>
  <c r="AE122" i="9" s="1"/>
  <c r="AA121" i="9"/>
  <c r="AE121" i="9" s="1"/>
  <c r="R29" i="31"/>
  <c r="AI73" i="31"/>
  <c r="AK73" i="31" s="1"/>
  <c r="AE17" i="35"/>
  <c r="AA110" i="12"/>
  <c r="H48" i="12"/>
  <c r="H57" i="12"/>
  <c r="H65" i="6"/>
  <c r="AE80" i="31"/>
  <c r="AA83" i="31"/>
  <c r="AE78" i="31"/>
  <c r="AE116" i="9"/>
  <c r="AA118" i="9"/>
  <c r="AE118" i="9" s="1"/>
  <c r="AO118" i="9" s="1"/>
  <c r="R29" i="33"/>
  <c r="AI75" i="33"/>
  <c r="AK75" i="33" s="1"/>
  <c r="AO109" i="12"/>
  <c r="AE74" i="30"/>
  <c r="AO73" i="30"/>
  <c r="AO74" i="30" s="1"/>
  <c r="AO75" i="30" s="1"/>
  <c r="I9" i="36"/>
  <c r="J9" i="36" s="1"/>
  <c r="H29" i="6"/>
  <c r="P63" i="6"/>
  <c r="L63" i="6" s="1"/>
  <c r="T65" i="5"/>
  <c r="P47" i="4"/>
  <c r="D27" i="40" s="1"/>
  <c r="L34" i="31"/>
  <c r="L36" i="31"/>
  <c r="H39" i="31"/>
  <c r="H46" i="14"/>
  <c r="AA109" i="14"/>
  <c r="AA202" i="26"/>
  <c r="AA126" i="9"/>
  <c r="AE126" i="9" s="1"/>
  <c r="H55" i="9"/>
  <c r="AO117" i="10"/>
  <c r="R35" i="12"/>
  <c r="J44" i="40" s="1"/>
  <c r="P36" i="12"/>
  <c r="P38" i="12" s="1"/>
  <c r="P30" i="6" s="1"/>
  <c r="R34" i="12"/>
  <c r="J63" i="5"/>
  <c r="AA90" i="14"/>
  <c r="X202" i="26"/>
  <c r="AO81" i="11"/>
  <c r="AE82" i="11"/>
  <c r="AO94" i="14"/>
  <c r="AP36" i="35"/>
  <c r="AJ7" i="35"/>
  <c r="AO82" i="13"/>
  <c r="AE98" i="12"/>
  <c r="AI98" i="12" s="1"/>
  <c r="AK98" i="12" s="1"/>
  <c r="AE95" i="12"/>
  <c r="AM97" i="12"/>
  <c r="L36" i="30"/>
  <c r="L34" i="30"/>
  <c r="H39" i="30"/>
  <c r="AA91" i="11"/>
  <c r="AE88" i="11"/>
  <c r="AI88" i="11" s="1"/>
  <c r="AK88" i="11" s="1"/>
  <c r="AM87" i="11"/>
  <c r="AE85" i="11"/>
  <c r="H39" i="33"/>
  <c r="L34" i="33"/>
  <c r="L36" i="33"/>
  <c r="AP34" i="35"/>
  <c r="AO93" i="14"/>
  <c r="AE95" i="14"/>
  <c r="AE96" i="14" s="1"/>
  <c r="AO7" i="35"/>
  <c r="AO90" i="14"/>
  <c r="H31" i="9"/>
  <c r="AO73" i="31"/>
  <c r="AO74" i="31" s="1"/>
  <c r="R32" i="12"/>
  <c r="E25" i="37"/>
  <c r="AE78" i="30"/>
  <c r="AE80" i="30"/>
  <c r="AA100" i="9"/>
  <c r="AE100" i="9" s="1"/>
  <c r="AE98" i="9"/>
  <c r="AE80" i="33"/>
  <c r="AA85" i="33"/>
  <c r="AE82" i="33"/>
  <c r="H26" i="4"/>
  <c r="C12" i="40" s="1"/>
  <c r="H30" i="5"/>
  <c r="AM102" i="8"/>
  <c r="AE103" i="8"/>
  <c r="AA97" i="8"/>
  <c r="AE100" i="8"/>
  <c r="D25" i="37"/>
  <c r="F18" i="37"/>
  <c r="F19" i="37" s="1"/>
  <c r="R40" i="11"/>
  <c r="J43" i="40" s="1"/>
  <c r="AO9" i="35"/>
  <c r="J18" i="37"/>
  <c r="L44" i="8"/>
  <c r="H50" i="8"/>
  <c r="L47" i="8"/>
  <c r="AE97" i="8"/>
  <c r="AO115" i="10"/>
  <c r="AE118" i="10"/>
  <c r="N12" i="34"/>
  <c r="AE59" i="28"/>
  <c r="AO99" i="9"/>
  <c r="Q34" i="35" s="1"/>
  <c r="AO91" i="12"/>
  <c r="AE92" i="12"/>
  <c r="R37" i="11"/>
  <c r="AA95" i="14"/>
  <c r="H32" i="14"/>
  <c r="Z202" i="26"/>
  <c r="P48" i="8"/>
  <c r="P50" i="8" s="1"/>
  <c r="P26" i="6" s="1"/>
  <c r="R46" i="8"/>
  <c r="H26" i="7"/>
  <c r="D40" i="40" l="1"/>
  <c r="J19" i="37"/>
  <c r="J25" i="37" s="1"/>
  <c r="N28" i="40"/>
  <c r="T28" i="40" s="1"/>
  <c r="O37" i="35"/>
  <c r="D82" i="1" s="1"/>
  <c r="AE119" i="9"/>
  <c r="P9" i="40"/>
  <c r="R9" i="40" s="1"/>
  <c r="T9" i="40"/>
  <c r="F46" i="34"/>
  <c r="D14" i="34"/>
  <c r="AO118" i="10"/>
  <c r="AO123" i="10" s="1"/>
  <c r="F110" i="26"/>
  <c r="M110" i="26" s="1"/>
  <c r="P110" i="26" s="1"/>
  <c r="F111" i="26"/>
  <c r="M111" i="26" s="1"/>
  <c r="P111" i="26" s="1"/>
  <c r="F113" i="26"/>
  <c r="M113" i="26" s="1"/>
  <c r="P113" i="26" s="1"/>
  <c r="F108" i="26"/>
  <c r="M108" i="26" s="1"/>
  <c r="P108" i="26" s="1"/>
  <c r="F112" i="26"/>
  <c r="M112" i="26" s="1"/>
  <c r="P112" i="26" s="1"/>
  <c r="F105" i="26"/>
  <c r="M105" i="26" s="1"/>
  <c r="P105" i="26" s="1"/>
  <c r="F106" i="26"/>
  <c r="M106" i="26" s="1"/>
  <c r="P106" i="26" s="1"/>
  <c r="F114" i="26"/>
  <c r="M114" i="26" s="1"/>
  <c r="P114" i="26" s="1"/>
  <c r="F107" i="26"/>
  <c r="M107" i="26" s="1"/>
  <c r="P107" i="26" s="1"/>
  <c r="F109" i="26"/>
  <c r="M109" i="26" s="1"/>
  <c r="P109" i="26" s="1"/>
  <c r="AO101" i="10"/>
  <c r="AO106" i="10" s="1"/>
  <c r="J24" i="34"/>
  <c r="AT93" i="8"/>
  <c r="G37" i="35" s="1"/>
  <c r="AQ34" i="35"/>
  <c r="R15" i="40"/>
  <c r="P28" i="40"/>
  <c r="H51" i="9"/>
  <c r="R44" i="8"/>
  <c r="AI100" i="8"/>
  <c r="AO82" i="33"/>
  <c r="I44" i="40"/>
  <c r="AO10" i="35"/>
  <c r="AP10" i="35" s="1"/>
  <c r="AO95" i="14"/>
  <c r="AO96" i="14" s="1"/>
  <c r="AI78" i="30"/>
  <c r="R34" i="30"/>
  <c r="I49" i="40" s="1"/>
  <c r="AQ36" i="35"/>
  <c r="D44" i="40"/>
  <c r="AA110" i="14"/>
  <c r="H47" i="14"/>
  <c r="AO116" i="9"/>
  <c r="Q35" i="35" s="1"/>
  <c r="I11" i="36"/>
  <c r="J11" i="36" s="1"/>
  <c r="AA120" i="12"/>
  <c r="H31" i="6"/>
  <c r="AA123" i="9"/>
  <c r="E15" i="37"/>
  <c r="H28" i="6"/>
  <c r="I8" i="36"/>
  <c r="J8" i="36" s="1"/>
  <c r="AO78" i="30"/>
  <c r="AE81" i="30"/>
  <c r="H43" i="5"/>
  <c r="H33" i="4"/>
  <c r="R36" i="30"/>
  <c r="J49" i="40" s="1"/>
  <c r="AI80" i="30"/>
  <c r="I15" i="36"/>
  <c r="J15" i="36" s="1"/>
  <c r="H42" i="6"/>
  <c r="AO78" i="31"/>
  <c r="AE81" i="31"/>
  <c r="AE83" i="31" s="1"/>
  <c r="AG78" i="31" s="1"/>
  <c r="L54" i="12"/>
  <c r="P53" i="12"/>
  <c r="L51" i="12"/>
  <c r="AO121" i="9"/>
  <c r="AT92" i="8"/>
  <c r="L57" i="10"/>
  <c r="P59" i="10"/>
  <c r="L60" i="10"/>
  <c r="AO92" i="12"/>
  <c r="AO80" i="33"/>
  <c r="AE83" i="33"/>
  <c r="AQ73" i="31"/>
  <c r="AI82" i="33"/>
  <c r="AK82" i="33" s="1"/>
  <c r="R36" i="33"/>
  <c r="J51" i="40" s="1"/>
  <c r="AT94" i="8"/>
  <c r="G41" i="35" s="1"/>
  <c r="R36" i="31"/>
  <c r="J50" i="40" s="1"/>
  <c r="AI80" i="31"/>
  <c r="AK80" i="31" s="1"/>
  <c r="H42" i="5"/>
  <c r="H32" i="4"/>
  <c r="AO122" i="9"/>
  <c r="AO77" i="33"/>
  <c r="D22" i="34" s="1"/>
  <c r="R47" i="8"/>
  <c r="J40" i="40" s="1"/>
  <c r="AI103" i="8"/>
  <c r="AK103" i="8" s="1"/>
  <c r="AO75" i="31"/>
  <c r="AE101" i="9"/>
  <c r="AO98" i="9"/>
  <c r="H32" i="9"/>
  <c r="H33" i="9" s="1"/>
  <c r="AA105" i="9" s="1"/>
  <c r="AA103" i="9"/>
  <c r="AE103" i="9" s="1"/>
  <c r="R34" i="33"/>
  <c r="AI80" i="33"/>
  <c r="AM99" i="12"/>
  <c r="AM101" i="12" s="1"/>
  <c r="AO97" i="12"/>
  <c r="AQ97" i="12" s="1"/>
  <c r="R34" i="31"/>
  <c r="AI78" i="31"/>
  <c r="AE75" i="30"/>
  <c r="AO80" i="31"/>
  <c r="AE110" i="12"/>
  <c r="AA111" i="12"/>
  <c r="AA106" i="8"/>
  <c r="D15" i="37"/>
  <c r="H26" i="6"/>
  <c r="I6" i="36"/>
  <c r="J6" i="36" s="1"/>
  <c r="AO100" i="9"/>
  <c r="H43" i="6"/>
  <c r="I16" i="36"/>
  <c r="J16" i="36" s="1"/>
  <c r="AO95" i="12"/>
  <c r="M116" i="26"/>
  <c r="P116" i="26" s="1"/>
  <c r="AQ73" i="30"/>
  <c r="AK73" i="30"/>
  <c r="D43" i="40"/>
  <c r="AA88" i="13"/>
  <c r="AA89" i="13" s="1"/>
  <c r="H37" i="13"/>
  <c r="H46" i="13"/>
  <c r="AE61" i="28"/>
  <c r="AO59" i="28"/>
  <c r="AO88" i="11"/>
  <c r="AA127" i="9"/>
  <c r="AA128" i="9" s="1"/>
  <c r="H56" i="9"/>
  <c r="AE8" i="35"/>
  <c r="AE106" i="10"/>
  <c r="AO85" i="13"/>
  <c r="AE88" i="13"/>
  <c r="AO85" i="11"/>
  <c r="AM89" i="11"/>
  <c r="AM91" i="11" s="1"/>
  <c r="AO87" i="11"/>
  <c r="AQ87" i="11" s="1"/>
  <c r="AO82" i="11"/>
  <c r="AO103" i="8"/>
  <c r="D59" i="40"/>
  <c r="P65" i="6"/>
  <c r="AQ35" i="35"/>
  <c r="F214" i="26"/>
  <c r="M214" i="26" s="1"/>
  <c r="P214" i="26" s="1"/>
  <c r="F210" i="26"/>
  <c r="M210" i="26" s="1"/>
  <c r="P210" i="26" s="1"/>
  <c r="F205" i="26"/>
  <c r="M205" i="26" s="1"/>
  <c r="P205" i="26" s="1"/>
  <c r="F212" i="26"/>
  <c r="M212" i="26" s="1"/>
  <c r="P212" i="26" s="1"/>
  <c r="F217" i="26"/>
  <c r="M217" i="26" s="1"/>
  <c r="P217" i="26" s="1"/>
  <c r="F216" i="26"/>
  <c r="M216" i="26" s="1"/>
  <c r="P216" i="26" s="1"/>
  <c r="F215" i="26"/>
  <c r="M215" i="26" s="1"/>
  <c r="P215" i="26" s="1"/>
  <c r="F211" i="26"/>
  <c r="M211" i="26" s="1"/>
  <c r="P211" i="26" s="1"/>
  <c r="F219" i="26"/>
  <c r="M219" i="26" s="1"/>
  <c r="P219" i="26" s="1"/>
  <c r="F206" i="26"/>
  <c r="M206" i="26" s="1"/>
  <c r="P206" i="26" s="1"/>
  <c r="F207" i="26"/>
  <c r="M207" i="26" s="1"/>
  <c r="P207" i="26" s="1"/>
  <c r="F202" i="26"/>
  <c r="M202" i="26" s="1"/>
  <c r="P202" i="26" s="1"/>
  <c r="F218" i="26"/>
  <c r="M218" i="26" s="1"/>
  <c r="P218" i="26" s="1"/>
  <c r="F209" i="26"/>
  <c r="M209" i="26" s="1"/>
  <c r="P209" i="26" s="1"/>
  <c r="F213" i="26"/>
  <c r="M213" i="26" s="1"/>
  <c r="P213" i="26" s="1"/>
  <c r="F203" i="26"/>
  <c r="M203" i="26" s="1"/>
  <c r="P203" i="26" s="1"/>
  <c r="F208" i="26"/>
  <c r="M208" i="26" s="1"/>
  <c r="P208" i="26" s="1"/>
  <c r="F204" i="26"/>
  <c r="M204" i="26" s="1"/>
  <c r="P204" i="26" s="1"/>
  <c r="AO98" i="12"/>
  <c r="AO100" i="8"/>
  <c r="H29" i="5"/>
  <c r="H25" i="4"/>
  <c r="C11" i="40" s="1"/>
  <c r="AE111" i="14"/>
  <c r="AO102" i="8"/>
  <c r="AQ102" i="8" s="1"/>
  <c r="AM104" i="8"/>
  <c r="AM106" i="8" s="1"/>
  <c r="AO126" i="9"/>
  <c r="Q32" i="35" s="1"/>
  <c r="N57" i="5"/>
  <c r="N59" i="5"/>
  <c r="N64" i="5"/>
  <c r="N58" i="5"/>
  <c r="N60" i="5"/>
  <c r="N62" i="5"/>
  <c r="N61" i="5"/>
  <c r="AO109" i="14"/>
  <c r="AO80" i="30"/>
  <c r="J17" i="40" s="1"/>
  <c r="AA96" i="14"/>
  <c r="AA111" i="14" s="1"/>
  <c r="H56" i="14"/>
  <c r="AI85" i="11"/>
  <c r="AK85" i="11" s="1"/>
  <c r="E27" i="40"/>
  <c r="F238" i="26"/>
  <c r="M238" i="26" s="1"/>
  <c r="P238" i="26" s="1"/>
  <c r="F236" i="26"/>
  <c r="M236" i="26" s="1"/>
  <c r="P236" i="26" s="1"/>
  <c r="F226" i="26"/>
  <c r="M226" i="26" s="1"/>
  <c r="P226" i="26" s="1"/>
  <c r="F232" i="26"/>
  <c r="M232" i="26" s="1"/>
  <c r="P232" i="26" s="1"/>
  <c r="F227" i="26"/>
  <c r="M227" i="26" s="1"/>
  <c r="P227" i="26" s="1"/>
  <c r="F230" i="26"/>
  <c r="M230" i="26" s="1"/>
  <c r="P230" i="26" s="1"/>
  <c r="F237" i="26"/>
  <c r="M237" i="26" s="1"/>
  <c r="P237" i="26" s="1"/>
  <c r="F233" i="26"/>
  <c r="M233" i="26" s="1"/>
  <c r="P233" i="26" s="1"/>
  <c r="F224" i="26"/>
  <c r="M224" i="26" s="1"/>
  <c r="P224" i="26" s="1"/>
  <c r="F229" i="26"/>
  <c r="M229" i="26" s="1"/>
  <c r="P229" i="26" s="1"/>
  <c r="F231" i="26"/>
  <c r="M231" i="26" s="1"/>
  <c r="P231" i="26" s="1"/>
  <c r="F222" i="26"/>
  <c r="M222" i="26" s="1"/>
  <c r="P222" i="26" s="1"/>
  <c r="F221" i="26"/>
  <c r="M221" i="26" s="1"/>
  <c r="P221" i="26" s="1"/>
  <c r="F235" i="26"/>
  <c r="M235" i="26" s="1"/>
  <c r="P235" i="26" s="1"/>
  <c r="F223" i="26"/>
  <c r="M223" i="26" s="1"/>
  <c r="P223" i="26" s="1"/>
  <c r="F228" i="26"/>
  <c r="M228" i="26" s="1"/>
  <c r="P228" i="26" s="1"/>
  <c r="F234" i="26"/>
  <c r="M234" i="26" s="1"/>
  <c r="P234" i="26" s="1"/>
  <c r="F225" i="26"/>
  <c r="M225" i="26" s="1"/>
  <c r="P225" i="26" s="1"/>
  <c r="AT91" i="8"/>
  <c r="G29" i="35" s="1"/>
  <c r="AQ75" i="33"/>
  <c r="E57" i="3"/>
  <c r="B27" i="40" s="1"/>
  <c r="R47" i="4"/>
  <c r="V65" i="5"/>
  <c r="I43" i="40"/>
  <c r="AE123" i="10"/>
  <c r="AI95" i="12"/>
  <c r="AA83" i="30"/>
  <c r="H41" i="6"/>
  <c r="I14" i="36"/>
  <c r="AO96" i="8"/>
  <c r="AM129" i="10"/>
  <c r="AE127" i="10"/>
  <c r="AA133" i="10"/>
  <c r="AE130" i="10"/>
  <c r="G82" i="1" l="1"/>
  <c r="J46" i="9"/>
  <c r="L46" i="9" s="1"/>
  <c r="J30" i="10"/>
  <c r="L30" i="10" s="1"/>
  <c r="AI100" i="10" s="1"/>
  <c r="J47" i="10"/>
  <c r="L47" i="10" s="1"/>
  <c r="J28" i="9"/>
  <c r="L28" i="9" s="1"/>
  <c r="D17" i="34"/>
  <c r="J17" i="34" s="1"/>
  <c r="R28" i="40"/>
  <c r="AO124" i="10"/>
  <c r="D18" i="34"/>
  <c r="AO119" i="9"/>
  <c r="AO123" i="9" s="1"/>
  <c r="AO127" i="9" s="1"/>
  <c r="AP9" i="35"/>
  <c r="AG75" i="31"/>
  <c r="AP8" i="35"/>
  <c r="L27" i="40"/>
  <c r="AP7" i="35"/>
  <c r="AI127" i="10"/>
  <c r="AK127" i="10" s="1"/>
  <c r="AO127" i="10"/>
  <c r="H38" i="7"/>
  <c r="L32" i="7"/>
  <c r="C19" i="35"/>
  <c r="Z67" i="7"/>
  <c r="AD67" i="7" s="1"/>
  <c r="P34" i="7"/>
  <c r="L35" i="7"/>
  <c r="H28" i="7"/>
  <c r="AE63" i="28"/>
  <c r="AG61" i="28" s="1"/>
  <c r="AG80" i="31"/>
  <c r="AQ80" i="30"/>
  <c r="AK80" i="30"/>
  <c r="E16" i="37"/>
  <c r="E22" i="37" s="1"/>
  <c r="AQ100" i="8"/>
  <c r="I8" i="40"/>
  <c r="J14" i="36"/>
  <c r="K16" i="36"/>
  <c r="AA98" i="13"/>
  <c r="H32" i="6"/>
  <c r="I12" i="36"/>
  <c r="J12" i="36" s="1"/>
  <c r="H15" i="37"/>
  <c r="H16" i="37" s="1"/>
  <c r="H22" i="37" s="1"/>
  <c r="AQ80" i="31"/>
  <c r="J18" i="40"/>
  <c r="I51" i="40"/>
  <c r="AO129" i="10"/>
  <c r="AM131" i="10"/>
  <c r="AM133" i="10" s="1"/>
  <c r="R30" i="10"/>
  <c r="AK95" i="12"/>
  <c r="H36" i="6"/>
  <c r="I13" i="36"/>
  <c r="J13" i="36" s="1"/>
  <c r="J15" i="37"/>
  <c r="J16" i="37" s="1"/>
  <c r="R63" i="6"/>
  <c r="P63" i="5"/>
  <c r="J63" i="6"/>
  <c r="L40" i="13"/>
  <c r="P42" i="13"/>
  <c r="L43" i="13"/>
  <c r="R51" i="12"/>
  <c r="G18" i="37"/>
  <c r="G19" i="37" s="1"/>
  <c r="J19" i="40"/>
  <c r="AQ82" i="33"/>
  <c r="R46" i="9"/>
  <c r="AI118" i="9"/>
  <c r="AE92" i="13"/>
  <c r="AE95" i="13"/>
  <c r="AM94" i="13"/>
  <c r="AE96" i="12"/>
  <c r="R53" i="12"/>
  <c r="P55" i="12"/>
  <c r="P57" i="12" s="1"/>
  <c r="P31" i="6" s="1"/>
  <c r="AA120" i="14"/>
  <c r="AM116" i="14"/>
  <c r="AE117" i="14"/>
  <c r="AE114" i="14"/>
  <c r="D16" i="37"/>
  <c r="D22" i="37" s="1"/>
  <c r="F15" i="37"/>
  <c r="F16" i="37" s="1"/>
  <c r="R47" i="10"/>
  <c r="AI117" i="10"/>
  <c r="I11" i="40"/>
  <c r="AQ85" i="11"/>
  <c r="H22" i="4"/>
  <c r="C8" i="40" s="1"/>
  <c r="H26" i="5"/>
  <c r="AO103" i="9"/>
  <c r="Q38" i="35" s="1"/>
  <c r="R54" i="12"/>
  <c r="J45" i="40" s="1"/>
  <c r="R28" i="9"/>
  <c r="AI100" i="9"/>
  <c r="J8" i="40"/>
  <c r="AQ103" i="8"/>
  <c r="H65" i="9"/>
  <c r="P61" i="9"/>
  <c r="L59" i="9"/>
  <c r="L62" i="9"/>
  <c r="AA104" i="9"/>
  <c r="AE104" i="9" s="1"/>
  <c r="AE105" i="9" s="1"/>
  <c r="H27" i="4"/>
  <c r="H31" i="5"/>
  <c r="AT96" i="8"/>
  <c r="AT88" i="8" s="1"/>
  <c r="G21" i="35" s="1"/>
  <c r="AO97" i="8"/>
  <c r="D11" i="34" s="1"/>
  <c r="AE124" i="10"/>
  <c r="AE131" i="9"/>
  <c r="AE134" i="9"/>
  <c r="AM133" i="9"/>
  <c r="F47" i="34"/>
  <c r="R60" i="10"/>
  <c r="J42" i="40" s="1"/>
  <c r="AK78" i="31"/>
  <c r="AE83" i="30"/>
  <c r="AG75" i="30" s="1"/>
  <c r="AK100" i="8"/>
  <c r="I50" i="40"/>
  <c r="P61" i="10"/>
  <c r="P63" i="10" s="1"/>
  <c r="P28" i="6" s="1"/>
  <c r="R59" i="10"/>
  <c r="D42" i="40" s="1"/>
  <c r="AG81" i="31"/>
  <c r="AG68" i="31"/>
  <c r="AG69" i="31"/>
  <c r="AG79" i="31"/>
  <c r="L42" i="5"/>
  <c r="J32" i="4"/>
  <c r="AG72" i="31"/>
  <c r="AG74" i="31"/>
  <c r="AG73" i="31"/>
  <c r="AO81" i="30"/>
  <c r="AO83" i="30" s="1"/>
  <c r="I17" i="40"/>
  <c r="K17" i="40" s="1"/>
  <c r="AK78" i="30"/>
  <c r="AQ78" i="30"/>
  <c r="I40" i="40"/>
  <c r="AE89" i="13"/>
  <c r="J11" i="40"/>
  <c r="AQ88" i="11"/>
  <c r="I12" i="40"/>
  <c r="AQ95" i="12"/>
  <c r="Q33" i="35"/>
  <c r="AO101" i="9"/>
  <c r="R57" i="10"/>
  <c r="AO81" i="31"/>
  <c r="I18" i="40"/>
  <c r="AQ78" i="31"/>
  <c r="AO88" i="13"/>
  <c r="AO89" i="13" s="1"/>
  <c r="AJ8" i="35"/>
  <c r="P26" i="4"/>
  <c r="D12" i="40" s="1"/>
  <c r="E12" i="40" s="1"/>
  <c r="T30" i="5"/>
  <c r="AK80" i="33"/>
  <c r="AE123" i="9"/>
  <c r="AE86" i="11"/>
  <c r="AI130" i="10"/>
  <c r="AK130" i="10" s="1"/>
  <c r="AO130" i="10"/>
  <c r="AO110" i="14"/>
  <c r="P22" i="4"/>
  <c r="D8" i="40" s="1"/>
  <c r="T26" i="5"/>
  <c r="AQ98" i="12"/>
  <c r="J12" i="40"/>
  <c r="H44" i="6"/>
  <c r="AE114" i="12"/>
  <c r="AI114" i="12" s="1"/>
  <c r="AE117" i="12"/>
  <c r="AI117" i="12" s="1"/>
  <c r="AK117" i="12" s="1"/>
  <c r="AM116" i="12"/>
  <c r="AE85" i="33"/>
  <c r="H24" i="4"/>
  <c r="H28" i="5"/>
  <c r="H41" i="5"/>
  <c r="H31" i="4"/>
  <c r="P25" i="4"/>
  <c r="D11" i="40" s="1"/>
  <c r="E11" i="40" s="1"/>
  <c r="T29" i="5"/>
  <c r="H22" i="40"/>
  <c r="K22" i="40" s="1"/>
  <c r="AO61" i="28"/>
  <c r="AO110" i="12"/>
  <c r="AE111" i="12"/>
  <c r="F45" i="34"/>
  <c r="I19" i="40"/>
  <c r="AO83" i="33"/>
  <c r="AQ80" i="33"/>
  <c r="L50" i="14"/>
  <c r="L53" i="14"/>
  <c r="P52" i="14"/>
  <c r="K18" i="34" l="1"/>
  <c r="J18" i="34"/>
  <c r="J11" i="34"/>
  <c r="D13" i="34"/>
  <c r="AQ129" i="10"/>
  <c r="K18" i="40"/>
  <c r="K19" i="40"/>
  <c r="AO92" i="13"/>
  <c r="AM118" i="12"/>
  <c r="AM120" i="12" s="1"/>
  <c r="AO116" i="12"/>
  <c r="AQ116" i="12" s="1"/>
  <c r="AE109" i="9"/>
  <c r="J42" i="5"/>
  <c r="AO133" i="9"/>
  <c r="AQ133" i="9" s="1"/>
  <c r="AM135" i="9"/>
  <c r="AM137" i="9" s="1"/>
  <c r="D45" i="40"/>
  <c r="R40" i="13"/>
  <c r="AI92" i="13"/>
  <c r="R35" i="7"/>
  <c r="J38" i="40" s="1"/>
  <c r="AO134" i="9"/>
  <c r="AO104" i="9"/>
  <c r="Q39" i="35" s="1"/>
  <c r="R38" i="35" s="1"/>
  <c r="AK117" i="10"/>
  <c r="AQ117" i="10"/>
  <c r="P36" i="7"/>
  <c r="P38" i="7" s="1"/>
  <c r="P21" i="6" s="1"/>
  <c r="P23" i="6" s="1"/>
  <c r="R34" i="7"/>
  <c r="AO131" i="9"/>
  <c r="R62" i="9"/>
  <c r="J41" i="40" s="1"/>
  <c r="AI134" i="9"/>
  <c r="AK134" i="9" s="1"/>
  <c r="AO96" i="12"/>
  <c r="AE99" i="12"/>
  <c r="AE101" i="12" s="1"/>
  <c r="AG96" i="12" s="1"/>
  <c r="R63" i="5"/>
  <c r="X63" i="5"/>
  <c r="AL75" i="7"/>
  <c r="AD73" i="7"/>
  <c r="AH73" i="7" s="1"/>
  <c r="Z69" i="7"/>
  <c r="Z79" i="7"/>
  <c r="AD76" i="7"/>
  <c r="AO111" i="14"/>
  <c r="AI117" i="14"/>
  <c r="AK117" i="14" s="1"/>
  <c r="AO117" i="14"/>
  <c r="AO85" i="33"/>
  <c r="I42" i="40"/>
  <c r="R52" i="14"/>
  <c r="D47" i="40" s="1"/>
  <c r="P54" i="14"/>
  <c r="P56" i="14" s="1"/>
  <c r="P36" i="6" s="1"/>
  <c r="P37" i="6" s="1"/>
  <c r="AK8" i="35"/>
  <c r="AK9" i="35"/>
  <c r="AK7" i="35"/>
  <c r="AK10" i="35"/>
  <c r="R59" i="9"/>
  <c r="AI131" i="9"/>
  <c r="D156" i="1"/>
  <c r="F22" i="37"/>
  <c r="G25" i="37"/>
  <c r="I18" i="37"/>
  <c r="I19" i="37" s="1"/>
  <c r="K18" i="37"/>
  <c r="AO63" i="28"/>
  <c r="AO117" i="12"/>
  <c r="P63" i="9"/>
  <c r="P65" i="9" s="1"/>
  <c r="P27" i="6" s="1"/>
  <c r="R61" i="9"/>
  <c r="AO94" i="13"/>
  <c r="AQ94" i="13" s="1"/>
  <c r="AM96" i="13"/>
  <c r="AM98" i="13" s="1"/>
  <c r="G57" i="3"/>
  <c r="I57" i="3" s="1"/>
  <c r="AK100" i="10"/>
  <c r="AQ100" i="10"/>
  <c r="R32" i="7"/>
  <c r="AE9" i="35"/>
  <c r="AO111" i="12"/>
  <c r="R53" i="14"/>
  <c r="J47" i="40" s="1"/>
  <c r="C10" i="40"/>
  <c r="R50" i="14"/>
  <c r="AG81" i="30"/>
  <c r="J31" i="4"/>
  <c r="L41" i="5"/>
  <c r="J41" i="5" s="1"/>
  <c r="AG69" i="30"/>
  <c r="AG68" i="30"/>
  <c r="AG79" i="30"/>
  <c r="AG72" i="30"/>
  <c r="AG73" i="30"/>
  <c r="AG78" i="30"/>
  <c r="AG80" i="30"/>
  <c r="AG74" i="30"/>
  <c r="G15" i="37"/>
  <c r="AA137" i="9"/>
  <c r="I7" i="36"/>
  <c r="H27" i="6"/>
  <c r="H33" i="6" s="1"/>
  <c r="AI114" i="14"/>
  <c r="AK114" i="14" s="1"/>
  <c r="AO114" i="14"/>
  <c r="AO95" i="13"/>
  <c r="T28" i="5"/>
  <c r="P24" i="4"/>
  <c r="D10" i="40" s="1"/>
  <c r="H28" i="4"/>
  <c r="H32" i="5"/>
  <c r="H21" i="6"/>
  <c r="I5" i="36"/>
  <c r="J5" i="36" s="1"/>
  <c r="R31" i="4"/>
  <c r="E41" i="3"/>
  <c r="V41" i="5"/>
  <c r="AE101" i="8"/>
  <c r="E8" i="40"/>
  <c r="AO116" i="14"/>
  <c r="AM118" i="14"/>
  <c r="AM120" i="14" s="1"/>
  <c r="L49" i="5"/>
  <c r="J36" i="4"/>
  <c r="AG56" i="28"/>
  <c r="AG60" i="28"/>
  <c r="AG59" i="28"/>
  <c r="H29" i="4"/>
  <c r="H36" i="5"/>
  <c r="I45" i="40"/>
  <c r="J22" i="37"/>
  <c r="D158" i="1"/>
  <c r="I10" i="40"/>
  <c r="AQ127" i="10"/>
  <c r="AE128" i="10"/>
  <c r="AO114" i="12"/>
  <c r="AK114" i="12"/>
  <c r="AO83" i="31"/>
  <c r="D12" i="34" s="1"/>
  <c r="F48" i="34"/>
  <c r="AK100" i="9"/>
  <c r="AQ100" i="9"/>
  <c r="H44" i="5"/>
  <c r="R43" i="13"/>
  <c r="J46" i="40" s="1"/>
  <c r="AI95" i="13"/>
  <c r="AK95" i="13" s="1"/>
  <c r="AG83" i="33"/>
  <c r="J33" i="4"/>
  <c r="AG71" i="33"/>
  <c r="L43" i="5"/>
  <c r="AG70" i="33"/>
  <c r="AG81" i="33"/>
  <c r="AG74" i="33"/>
  <c r="AG75" i="33"/>
  <c r="AG76" i="33"/>
  <c r="AG77" i="33"/>
  <c r="AG80" i="33"/>
  <c r="AG82" i="33"/>
  <c r="AE127" i="9"/>
  <c r="J10" i="40"/>
  <c r="AQ130" i="10"/>
  <c r="AO86" i="11"/>
  <c r="AE89" i="11"/>
  <c r="L32" i="4"/>
  <c r="C13" i="40"/>
  <c r="AK118" i="9"/>
  <c r="AQ118" i="9"/>
  <c r="P44" i="13"/>
  <c r="P46" i="13" s="1"/>
  <c r="P32" i="6" s="1"/>
  <c r="R42" i="13"/>
  <c r="H37" i="6"/>
  <c r="K19" i="37" l="1"/>
  <c r="K25" i="37" s="1"/>
  <c r="R34" i="35"/>
  <c r="D19" i="34"/>
  <c r="D31" i="34" s="1"/>
  <c r="AQ116" i="14"/>
  <c r="R36" i="35"/>
  <c r="R33" i="35"/>
  <c r="J13" i="34"/>
  <c r="O15" i="35" s="1"/>
  <c r="I31" i="34"/>
  <c r="I39" i="34"/>
  <c r="J26" i="34"/>
  <c r="J19" i="34"/>
  <c r="D21" i="34"/>
  <c r="D20" i="34"/>
  <c r="K57" i="3"/>
  <c r="AE93" i="13"/>
  <c r="AE96" i="13" s="1"/>
  <c r="AO105" i="9"/>
  <c r="AO109" i="9" s="1"/>
  <c r="AO128" i="9" s="1"/>
  <c r="E10" i="40"/>
  <c r="AK131" i="9"/>
  <c r="AN73" i="7"/>
  <c r="AP73" i="7" s="1"/>
  <c r="R39" i="35"/>
  <c r="R35" i="35"/>
  <c r="R32" i="35"/>
  <c r="R31" i="35"/>
  <c r="R30" i="35"/>
  <c r="AE115" i="12"/>
  <c r="E49" i="3"/>
  <c r="R36" i="4"/>
  <c r="V49" i="5"/>
  <c r="I41" i="40"/>
  <c r="AL77" i="7"/>
  <c r="AL79" i="7" s="1"/>
  <c r="AN75" i="7"/>
  <c r="AP75" i="7" s="1"/>
  <c r="T32" i="5"/>
  <c r="P28" i="4"/>
  <c r="D14" i="40" s="1"/>
  <c r="V43" i="5"/>
  <c r="R33" i="4"/>
  <c r="E43" i="3"/>
  <c r="AQ131" i="9"/>
  <c r="I9" i="40"/>
  <c r="J9" i="40"/>
  <c r="AQ134" i="9"/>
  <c r="J28" i="33"/>
  <c r="G158" i="1"/>
  <c r="AE91" i="11"/>
  <c r="AG89" i="11" s="1"/>
  <c r="AO101" i="8"/>
  <c r="AE104" i="8"/>
  <c r="AE106" i="8" s="1"/>
  <c r="I15" i="40"/>
  <c r="AQ114" i="14"/>
  <c r="AF9" i="35"/>
  <c r="AF8" i="35"/>
  <c r="AF7" i="35"/>
  <c r="D41" i="40"/>
  <c r="O27" i="35"/>
  <c r="AQ117" i="14"/>
  <c r="J15" i="40"/>
  <c r="J60" i="40"/>
  <c r="AG99" i="12"/>
  <c r="L30" i="5"/>
  <c r="AG86" i="12"/>
  <c r="AG88" i="12"/>
  <c r="J26" i="4"/>
  <c r="AG91" i="12"/>
  <c r="AG95" i="12"/>
  <c r="AG92" i="12"/>
  <c r="AG98" i="12"/>
  <c r="B17" i="40"/>
  <c r="L17" i="40" s="1"/>
  <c r="AO89" i="11"/>
  <c r="H11" i="40"/>
  <c r="K11" i="40" s="1"/>
  <c r="L33" i="4"/>
  <c r="L44" i="5"/>
  <c r="N43" i="5" s="1"/>
  <c r="AJ73" i="7"/>
  <c r="C18" i="35"/>
  <c r="D38" i="40"/>
  <c r="AE128" i="9"/>
  <c r="V42" i="5"/>
  <c r="R32" i="4"/>
  <c r="E42" i="3"/>
  <c r="B18" i="40" s="1"/>
  <c r="L18" i="40" s="1"/>
  <c r="I47" i="40"/>
  <c r="P27" i="4"/>
  <c r="D13" i="40" s="1"/>
  <c r="E13" i="40" s="1"/>
  <c r="T31" i="5"/>
  <c r="D46" i="40"/>
  <c r="AJ22" i="35"/>
  <c r="K8" i="36"/>
  <c r="J7" i="36"/>
  <c r="P33" i="6"/>
  <c r="P67" i="6" s="1"/>
  <c r="H37" i="5"/>
  <c r="L36" i="4"/>
  <c r="H23" i="6"/>
  <c r="H27" i="5"/>
  <c r="H23" i="4"/>
  <c r="AH76" i="7"/>
  <c r="AN76" i="7"/>
  <c r="J6" i="40" s="1"/>
  <c r="H12" i="40"/>
  <c r="K12" i="40" s="1"/>
  <c r="AO99" i="12"/>
  <c r="I46" i="40"/>
  <c r="L31" i="4"/>
  <c r="I13" i="40"/>
  <c r="AQ114" i="12"/>
  <c r="C15" i="40"/>
  <c r="J49" i="5"/>
  <c r="I15" i="37"/>
  <c r="I16" i="37" s="1"/>
  <c r="G16" i="37"/>
  <c r="G22" i="37" s="1"/>
  <c r="K15" i="37"/>
  <c r="J28" i="31"/>
  <c r="G156" i="1"/>
  <c r="J28" i="30"/>
  <c r="H20" i="4"/>
  <c r="H21" i="5"/>
  <c r="AK92" i="13"/>
  <c r="AQ92" i="13"/>
  <c r="I14" i="40"/>
  <c r="J43" i="5"/>
  <c r="I38" i="40"/>
  <c r="AE115" i="14"/>
  <c r="AO128" i="10"/>
  <c r="AE131" i="10"/>
  <c r="T36" i="5"/>
  <c r="T37" i="5" s="1"/>
  <c r="P29" i="4"/>
  <c r="D15" i="40" s="1"/>
  <c r="C14" i="40"/>
  <c r="AQ95" i="13"/>
  <c r="J14" i="40"/>
  <c r="AQ117" i="12"/>
  <c r="J13" i="40"/>
  <c r="AD69" i="7"/>
  <c r="AN67" i="7"/>
  <c r="AN69" i="7" s="1"/>
  <c r="P23" i="4"/>
  <c r="D9" i="40" s="1"/>
  <c r="T27" i="5"/>
  <c r="D10" i="34" l="1"/>
  <c r="C20" i="35"/>
  <c r="D44" i="1" s="1"/>
  <c r="J21" i="34"/>
  <c r="K21" i="34"/>
  <c r="AE132" i="9"/>
  <c r="AO132" i="9" s="1"/>
  <c r="AO135" i="9" s="1"/>
  <c r="AO137" i="9" s="1"/>
  <c r="V27" i="5" s="1"/>
  <c r="D15" i="34"/>
  <c r="L24" i="34" s="1"/>
  <c r="L25" i="34" s="1"/>
  <c r="L26" i="34" s="1"/>
  <c r="I15" i="34" s="1"/>
  <c r="K39" i="34"/>
  <c r="J39" i="34" s="1"/>
  <c r="L57" i="6"/>
  <c r="J31" i="34"/>
  <c r="K20" i="34"/>
  <c r="J20" i="34"/>
  <c r="AJ17" i="35" s="1"/>
  <c r="AO93" i="13"/>
  <c r="AO96" i="13" s="1"/>
  <c r="AO98" i="13" s="1"/>
  <c r="E14" i="40"/>
  <c r="E15" i="40"/>
  <c r="D60" i="40"/>
  <c r="V44" i="5"/>
  <c r="B14" i="36"/>
  <c r="L16" i="36" s="1"/>
  <c r="L28" i="30"/>
  <c r="J28" i="40"/>
  <c r="N40" i="5"/>
  <c r="N42" i="5"/>
  <c r="B16" i="36"/>
  <c r="C16" i="36" s="1"/>
  <c r="L28" i="33"/>
  <c r="B15" i="36"/>
  <c r="C15" i="36" s="1"/>
  <c r="L28" i="31"/>
  <c r="C9" i="40"/>
  <c r="E9" i="40" s="1"/>
  <c r="B19" i="40"/>
  <c r="L19" i="40" s="1"/>
  <c r="AE133" i="10"/>
  <c r="AG131" i="10" s="1"/>
  <c r="H33" i="5"/>
  <c r="AJ23" i="35"/>
  <c r="AJ31" i="35" s="1"/>
  <c r="AJ25" i="35"/>
  <c r="AJ33" i="35" s="1"/>
  <c r="AJ26" i="35"/>
  <c r="H67" i="6"/>
  <c r="AG104" i="8"/>
  <c r="AG80" i="8"/>
  <c r="AG82" i="8"/>
  <c r="AG81" i="8"/>
  <c r="J22" i="4"/>
  <c r="L26" i="5"/>
  <c r="AG83" i="8"/>
  <c r="AG94" i="8"/>
  <c r="AG86" i="8"/>
  <c r="AG91" i="8"/>
  <c r="AG87" i="8"/>
  <c r="AG95" i="8"/>
  <c r="AG88" i="8"/>
  <c r="AG93" i="8"/>
  <c r="AG96" i="8"/>
  <c r="AG92" i="8"/>
  <c r="AG100" i="8"/>
  <c r="AG103" i="8"/>
  <c r="AG97" i="8"/>
  <c r="B22" i="40"/>
  <c r="L22" i="40" s="1"/>
  <c r="AE98" i="13"/>
  <c r="AG96" i="13" s="1"/>
  <c r="AO91" i="11"/>
  <c r="AG101" i="8"/>
  <c r="I6" i="40"/>
  <c r="I28" i="40" s="1"/>
  <c r="AJ76" i="7"/>
  <c r="AP76" i="7"/>
  <c r="I22" i="37"/>
  <c r="D157" i="1"/>
  <c r="AO101" i="12"/>
  <c r="H8" i="40"/>
  <c r="K8" i="40" s="1"/>
  <c r="AO104" i="8"/>
  <c r="AO115" i="14"/>
  <c r="AE118" i="14"/>
  <c r="H23" i="5"/>
  <c r="AO115" i="12"/>
  <c r="AE118" i="12"/>
  <c r="J30" i="5"/>
  <c r="C6" i="40"/>
  <c r="H49" i="4"/>
  <c r="C30" i="40" s="1"/>
  <c r="C32" i="40" s="1"/>
  <c r="E44" i="3"/>
  <c r="L26" i="4"/>
  <c r="H10" i="40"/>
  <c r="K10" i="40" s="1"/>
  <c r="AO131" i="10"/>
  <c r="AO133" i="10" s="1"/>
  <c r="T33" i="5"/>
  <c r="AD74" i="7"/>
  <c r="I60" i="40"/>
  <c r="N41" i="5"/>
  <c r="AG78" i="11"/>
  <c r="AG75" i="11"/>
  <c r="AG74" i="11"/>
  <c r="AG73" i="11"/>
  <c r="J25" i="4"/>
  <c r="AG72" i="11"/>
  <c r="L29" i="5"/>
  <c r="AG81" i="11"/>
  <c r="AG82" i="11"/>
  <c r="AG88" i="11"/>
  <c r="AG85" i="11"/>
  <c r="AG86" i="11"/>
  <c r="P20" i="4"/>
  <c r="T21" i="5"/>
  <c r="T23" i="5" s="1"/>
  <c r="J44" i="5"/>
  <c r="G44" i="1" l="1"/>
  <c r="J26" i="7"/>
  <c r="I7" i="27" s="1"/>
  <c r="L7" i="27" s="1"/>
  <c r="AE135" i="9"/>
  <c r="AE137" i="9" s="1"/>
  <c r="AG128" i="9" s="1"/>
  <c r="R57" i="6"/>
  <c r="P57" i="5"/>
  <c r="J57" i="6"/>
  <c r="L65" i="6"/>
  <c r="N57" i="6" s="1"/>
  <c r="O25" i="35"/>
  <c r="J15" i="34"/>
  <c r="J42" i="34"/>
  <c r="K42" i="34"/>
  <c r="L28" i="34"/>
  <c r="I36" i="34"/>
  <c r="I37" i="34"/>
  <c r="I35" i="34"/>
  <c r="H14" i="40"/>
  <c r="K14" i="40" s="1"/>
  <c r="E27" i="3"/>
  <c r="B9" i="40" s="1"/>
  <c r="H9" i="40"/>
  <c r="K9" i="40" s="1"/>
  <c r="R23" i="4"/>
  <c r="H67" i="5"/>
  <c r="C28" i="40"/>
  <c r="G157" i="1"/>
  <c r="J28" i="29"/>
  <c r="L28" i="29" s="1"/>
  <c r="AJ24" i="35"/>
  <c r="AJ32" i="35" s="1"/>
  <c r="AE120" i="12"/>
  <c r="AG94" i="10"/>
  <c r="AG95" i="10"/>
  <c r="AG110" i="10"/>
  <c r="L28" i="5"/>
  <c r="AG111" i="10"/>
  <c r="AG112" i="10"/>
  <c r="J24" i="4"/>
  <c r="AG93" i="10"/>
  <c r="AG99" i="10"/>
  <c r="AG116" i="10"/>
  <c r="AG122" i="10"/>
  <c r="AG105" i="10"/>
  <c r="AG121" i="10"/>
  <c r="AG104" i="10"/>
  <c r="AG115" i="10"/>
  <c r="AG98" i="10"/>
  <c r="AG100" i="10"/>
  <c r="AG117" i="10"/>
  <c r="AG101" i="10"/>
  <c r="AG118" i="10"/>
  <c r="AG106" i="10"/>
  <c r="AG127" i="10"/>
  <c r="AG123" i="10"/>
  <c r="AG130" i="10"/>
  <c r="AG124" i="10"/>
  <c r="AG128" i="10"/>
  <c r="R26" i="4"/>
  <c r="V30" i="5"/>
  <c r="E30" i="3"/>
  <c r="D116" i="1"/>
  <c r="AK33" i="35"/>
  <c r="L30" i="31"/>
  <c r="L31" i="31" s="1"/>
  <c r="AI72" i="31"/>
  <c r="R28" i="31"/>
  <c r="R30" i="31" s="1"/>
  <c r="R31" i="31" s="1"/>
  <c r="AK31" i="35"/>
  <c r="D119" i="1"/>
  <c r="AE120" i="14"/>
  <c r="H13" i="40"/>
  <c r="K13" i="40" s="1"/>
  <c r="AO118" i="12"/>
  <c r="J26" i="5"/>
  <c r="V28" i="5"/>
  <c r="E28" i="3"/>
  <c r="AN74" i="7"/>
  <c r="AD77" i="7"/>
  <c r="L22" i="4"/>
  <c r="E32" i="3"/>
  <c r="V32" i="5"/>
  <c r="R28" i="4"/>
  <c r="AI72" i="30"/>
  <c r="L30" i="30"/>
  <c r="R28" i="30"/>
  <c r="R30" i="30" s="1"/>
  <c r="R31" i="30" s="1"/>
  <c r="R25" i="4"/>
  <c r="E29" i="3"/>
  <c r="V29" i="5"/>
  <c r="J29" i="5"/>
  <c r="C14" i="36"/>
  <c r="B23" i="36"/>
  <c r="AG93" i="13"/>
  <c r="AG76" i="13"/>
  <c r="AG77" i="13"/>
  <c r="AG78" i="13"/>
  <c r="L32" i="5"/>
  <c r="J28" i="4"/>
  <c r="AG81" i="13"/>
  <c r="AG86" i="13"/>
  <c r="AG87" i="13"/>
  <c r="AG82" i="13"/>
  <c r="AG85" i="13"/>
  <c r="AG88" i="13"/>
  <c r="AG95" i="13"/>
  <c r="AG92" i="13"/>
  <c r="AG89" i="13"/>
  <c r="L25" i="4"/>
  <c r="R28" i="33"/>
  <c r="R30" i="33" s="1"/>
  <c r="R31" i="33" s="1"/>
  <c r="L30" i="33"/>
  <c r="AI74" i="33"/>
  <c r="H15" i="40"/>
  <c r="K15" i="40" s="1"/>
  <c r="AO118" i="14"/>
  <c r="G26" i="26"/>
  <c r="G20" i="26"/>
  <c r="G24" i="26"/>
  <c r="I9" i="27"/>
  <c r="L9" i="27" s="1"/>
  <c r="G23" i="26"/>
  <c r="G21" i="26"/>
  <c r="G22" i="26"/>
  <c r="I10" i="27"/>
  <c r="L10" i="27" s="1"/>
  <c r="G25" i="26"/>
  <c r="I12" i="27"/>
  <c r="L12" i="27" s="1"/>
  <c r="I8" i="27"/>
  <c r="L8" i="27" s="1"/>
  <c r="I13" i="27"/>
  <c r="L13" i="27" s="1"/>
  <c r="I11" i="27"/>
  <c r="L11" i="27" s="1"/>
  <c r="L26" i="7"/>
  <c r="AO106" i="8"/>
  <c r="D6" i="40"/>
  <c r="AG114" i="9"/>
  <c r="AG121" i="9"/>
  <c r="C23" i="36" l="1"/>
  <c r="M16" i="36"/>
  <c r="O22" i="35"/>
  <c r="P20" i="35"/>
  <c r="AG98" i="9"/>
  <c r="AG122" i="9"/>
  <c r="AG116" i="9"/>
  <c r="AG100" i="9"/>
  <c r="AG99" i="9"/>
  <c r="AG117" i="9"/>
  <c r="AG125" i="9"/>
  <c r="AG109" i="9"/>
  <c r="AG127" i="9"/>
  <c r="AG123" i="9"/>
  <c r="AG105" i="9"/>
  <c r="AG104" i="9"/>
  <c r="AG108" i="9"/>
  <c r="AG107" i="9"/>
  <c r="AG119" i="9"/>
  <c r="AG113" i="9"/>
  <c r="AG95" i="9"/>
  <c r="AG135" i="9"/>
  <c r="AG118" i="9"/>
  <c r="AG132" i="9"/>
  <c r="AG134" i="9"/>
  <c r="AG103" i="9"/>
  <c r="AG101" i="9"/>
  <c r="AG96" i="9"/>
  <c r="AG131" i="9"/>
  <c r="AG126" i="9"/>
  <c r="L27" i="5"/>
  <c r="J27" i="5" s="1"/>
  <c r="J23" i="4"/>
  <c r="L23" i="4" s="1"/>
  <c r="K35" i="34"/>
  <c r="J35" i="34" s="1"/>
  <c r="AE11" i="35"/>
  <c r="I34" i="34"/>
  <c r="I40" i="34" s="1"/>
  <c r="J40" i="34" s="1"/>
  <c r="K37" i="34"/>
  <c r="J37" i="34" s="1"/>
  <c r="AA20" i="35"/>
  <c r="AA22" i="35" s="1"/>
  <c r="D98" i="1" s="1"/>
  <c r="K36" i="34"/>
  <c r="J36" i="34" s="1"/>
  <c r="W20" i="35"/>
  <c r="W22" i="35" s="1"/>
  <c r="D90" i="1" s="1"/>
  <c r="N63" i="6"/>
  <c r="N60" i="6"/>
  <c r="N61" i="6"/>
  <c r="N59" i="6"/>
  <c r="N58" i="6"/>
  <c r="N62" i="6"/>
  <c r="N64" i="6"/>
  <c r="X57" i="5"/>
  <c r="R57" i="5"/>
  <c r="P65" i="5"/>
  <c r="G56" i="3"/>
  <c r="I56" i="3" s="1"/>
  <c r="R65" i="6"/>
  <c r="I28" i="34" s="1"/>
  <c r="B59" i="40"/>
  <c r="L59" i="40" s="1"/>
  <c r="L9" i="40"/>
  <c r="AQ72" i="30"/>
  <c r="AI74" i="30"/>
  <c r="AK72" i="30"/>
  <c r="AI74" i="31"/>
  <c r="AK72" i="31"/>
  <c r="AQ72" i="31"/>
  <c r="AG118" i="12"/>
  <c r="AG106" i="12"/>
  <c r="J27" i="4"/>
  <c r="L31" i="5"/>
  <c r="AG109" i="12"/>
  <c r="AG110" i="12"/>
  <c r="AG111" i="12"/>
  <c r="AG117" i="12"/>
  <c r="AG114" i="12"/>
  <c r="AG115" i="12"/>
  <c r="AO120" i="14"/>
  <c r="H21" i="26"/>
  <c r="I21" i="26" s="1"/>
  <c r="N21" i="26"/>
  <c r="Q21" i="26" s="1"/>
  <c r="R21" i="26" s="1"/>
  <c r="AO120" i="12"/>
  <c r="AK32" i="35"/>
  <c r="AJ34" i="35" s="1"/>
  <c r="D117" i="1" s="1"/>
  <c r="D115" i="1"/>
  <c r="R22" i="4"/>
  <c r="E26" i="3"/>
  <c r="V26" i="5"/>
  <c r="H23" i="26"/>
  <c r="I23" i="26" s="1"/>
  <c r="N23" i="26"/>
  <c r="Q23" i="26" s="1"/>
  <c r="R23" i="26" s="1"/>
  <c r="L28" i="4"/>
  <c r="B14" i="40"/>
  <c r="L14" i="40" s="1"/>
  <c r="G116" i="1"/>
  <c r="J34" i="13"/>
  <c r="L34" i="13" s="1"/>
  <c r="J32" i="5"/>
  <c r="R24" i="4"/>
  <c r="L24" i="4"/>
  <c r="R26" i="7"/>
  <c r="R28" i="7" s="1"/>
  <c r="L33" i="7" s="1"/>
  <c r="L28" i="7"/>
  <c r="AH67" i="7"/>
  <c r="N24" i="26"/>
  <c r="Q24" i="26" s="1"/>
  <c r="H24" i="26"/>
  <c r="AI76" i="33"/>
  <c r="AK74" i="33"/>
  <c r="AQ74" i="33"/>
  <c r="J29" i="4"/>
  <c r="AG99" i="14"/>
  <c r="AG85" i="14"/>
  <c r="L36" i="5"/>
  <c r="AG103" i="14"/>
  <c r="AG102" i="14"/>
  <c r="AG89" i="14"/>
  <c r="AG108" i="14"/>
  <c r="AG88" i="14"/>
  <c r="AG94" i="14"/>
  <c r="AG93" i="14"/>
  <c r="AG90" i="14"/>
  <c r="AG107" i="14"/>
  <c r="AG104" i="14"/>
  <c r="AG109" i="14"/>
  <c r="AG110" i="14"/>
  <c r="AG96" i="14"/>
  <c r="AG95" i="14"/>
  <c r="AG111" i="14"/>
  <c r="AG117" i="14"/>
  <c r="AG114" i="14"/>
  <c r="AG115" i="14"/>
  <c r="B12" i="40"/>
  <c r="L12" i="40" s="1"/>
  <c r="H22" i="26"/>
  <c r="I22" i="26" s="1"/>
  <c r="N22" i="26"/>
  <c r="Q22" i="26" s="1"/>
  <c r="R22" i="26" s="1"/>
  <c r="N20" i="26"/>
  <c r="Q20" i="26" s="1"/>
  <c r="R20" i="26" s="1"/>
  <c r="H20" i="26"/>
  <c r="I20" i="26" s="1"/>
  <c r="L31" i="33"/>
  <c r="B11" i="40"/>
  <c r="L11" i="40" s="1"/>
  <c r="AD79" i="7"/>
  <c r="AG118" i="14"/>
  <c r="J29" i="13"/>
  <c r="L29" i="13" s="1"/>
  <c r="G119" i="1"/>
  <c r="J28" i="5"/>
  <c r="L35" i="33"/>
  <c r="AO21" i="35"/>
  <c r="AO22" i="35" s="1"/>
  <c r="I47" i="34"/>
  <c r="K47" i="34" s="1"/>
  <c r="J47" i="34" s="1"/>
  <c r="H6" i="40"/>
  <c r="AN77" i="7"/>
  <c r="B10" i="40"/>
  <c r="L10" i="40" s="1"/>
  <c r="L35" i="30"/>
  <c r="I46" i="34"/>
  <c r="K46" i="34" s="1"/>
  <c r="J46" i="34" s="1"/>
  <c r="O26" i="35"/>
  <c r="O28" i="35" s="1"/>
  <c r="AI72" i="29"/>
  <c r="AI74" i="29" s="1"/>
  <c r="AI75" i="29" s="1"/>
  <c r="AI82" i="29" s="1"/>
  <c r="P40" i="5" s="1"/>
  <c r="R28" i="29"/>
  <c r="R30" i="29" s="1"/>
  <c r="R31" i="29" s="1"/>
  <c r="R38" i="29" s="1"/>
  <c r="L30" i="29"/>
  <c r="L31" i="29" s="1"/>
  <c r="L38" i="29" s="1"/>
  <c r="L40" i="6" s="1"/>
  <c r="N26" i="26"/>
  <c r="Q26" i="26" s="1"/>
  <c r="R26" i="26" s="1"/>
  <c r="H26" i="26"/>
  <c r="I26" i="26" s="1"/>
  <c r="N25" i="26"/>
  <c r="Q25" i="26" s="1"/>
  <c r="R25" i="26" s="1"/>
  <c r="H25" i="26"/>
  <c r="I25" i="26" s="1"/>
  <c r="E6" i="40"/>
  <c r="L31" i="30"/>
  <c r="L35" i="31"/>
  <c r="I45" i="34"/>
  <c r="G22" i="35" l="1"/>
  <c r="G23" i="35" s="1"/>
  <c r="G25" i="35" s="1"/>
  <c r="D56" i="1" s="1"/>
  <c r="G56" i="1" s="1"/>
  <c r="K34" i="34"/>
  <c r="J34" i="34" s="1"/>
  <c r="J33" i="11"/>
  <c r="G90" i="1"/>
  <c r="J28" i="34"/>
  <c r="I29" i="34"/>
  <c r="G98" i="1"/>
  <c r="J28" i="12"/>
  <c r="K56" i="3"/>
  <c r="R65" i="5"/>
  <c r="X65" i="5"/>
  <c r="AE12" i="35"/>
  <c r="AE18" i="35" s="1"/>
  <c r="D104" i="1" s="1"/>
  <c r="AE13" i="35"/>
  <c r="AN79" i="7"/>
  <c r="E21" i="3" s="1"/>
  <c r="AP67" i="7"/>
  <c r="AJ67" i="7"/>
  <c r="AH69" i="7"/>
  <c r="B8" i="40"/>
  <c r="L8" i="40" s="1"/>
  <c r="J31" i="5"/>
  <c r="L37" i="5"/>
  <c r="J36" i="5"/>
  <c r="X40" i="5"/>
  <c r="R40" i="5"/>
  <c r="C21" i="35"/>
  <c r="R9" i="34" s="1"/>
  <c r="R34" i="13"/>
  <c r="AI86" i="13"/>
  <c r="R27" i="4"/>
  <c r="L27" i="4"/>
  <c r="R40" i="6"/>
  <c r="G40" i="3"/>
  <c r="P31" i="35"/>
  <c r="S31" i="35" s="1"/>
  <c r="O31" i="35" s="1"/>
  <c r="P36" i="35"/>
  <c r="S36" i="35" s="1"/>
  <c r="O36" i="35" s="1"/>
  <c r="D79" i="1" s="1"/>
  <c r="P30" i="35"/>
  <c r="S30" i="35" s="1"/>
  <c r="O30" i="35" s="1"/>
  <c r="P33" i="35"/>
  <c r="S33" i="35" s="1"/>
  <c r="O33" i="35" s="1"/>
  <c r="D76" i="1" s="1"/>
  <c r="P39" i="35"/>
  <c r="S39" i="35" s="1"/>
  <c r="O39" i="35" s="1"/>
  <c r="D81" i="1" s="1"/>
  <c r="P38" i="35"/>
  <c r="S38" i="35" s="1"/>
  <c r="O38" i="35" s="1"/>
  <c r="D80" i="1" s="1"/>
  <c r="P35" i="35"/>
  <c r="S35" i="35" s="1"/>
  <c r="O35" i="35" s="1"/>
  <c r="D78" i="1" s="1"/>
  <c r="P34" i="35"/>
  <c r="S34" i="35" s="1"/>
  <c r="O34" i="35" s="1"/>
  <c r="D77" i="1" s="1"/>
  <c r="K6" i="40"/>
  <c r="L30" i="13"/>
  <c r="AI81" i="13"/>
  <c r="R29" i="13"/>
  <c r="R30" i="13" s="1"/>
  <c r="AH74" i="7"/>
  <c r="R33" i="7"/>
  <c r="L36" i="7"/>
  <c r="L38" i="7" s="1"/>
  <c r="L29" i="4"/>
  <c r="V36" i="5"/>
  <c r="V37" i="5" s="1"/>
  <c r="E36" i="3"/>
  <c r="R29" i="4"/>
  <c r="AI79" i="30"/>
  <c r="R35" i="30"/>
  <c r="L37" i="30"/>
  <c r="L39" i="30" s="1"/>
  <c r="J33" i="13"/>
  <c r="G115" i="1"/>
  <c r="AF64" i="7"/>
  <c r="L21" i="5"/>
  <c r="AF72" i="7"/>
  <c r="J20" i="4"/>
  <c r="AF76" i="7"/>
  <c r="AF67" i="7"/>
  <c r="AF73" i="7"/>
  <c r="AF69" i="7"/>
  <c r="AF74" i="7"/>
  <c r="J35" i="13"/>
  <c r="L35" i="13" s="1"/>
  <c r="G117" i="1"/>
  <c r="AO31" i="35"/>
  <c r="D131" i="1" s="1"/>
  <c r="AO30" i="35"/>
  <c r="D129" i="1" s="1"/>
  <c r="AO32" i="35"/>
  <c r="D130" i="1" s="1"/>
  <c r="AF77" i="7"/>
  <c r="E31" i="3"/>
  <c r="E33" i="3" s="1"/>
  <c r="V31" i="5"/>
  <c r="V33" i="5" s="1"/>
  <c r="AI75" i="31"/>
  <c r="AK74" i="31"/>
  <c r="AQ74" i="31"/>
  <c r="AQ74" i="30"/>
  <c r="AK74" i="30"/>
  <c r="AI75" i="30"/>
  <c r="R35" i="31"/>
  <c r="AI79" i="31"/>
  <c r="L37" i="31"/>
  <c r="I24" i="26"/>
  <c r="B5" i="36"/>
  <c r="R24" i="26"/>
  <c r="C5" i="36" s="1"/>
  <c r="S24" i="26"/>
  <c r="R35" i="33"/>
  <c r="AI81" i="33"/>
  <c r="L37" i="33"/>
  <c r="K45" i="34"/>
  <c r="I48" i="34"/>
  <c r="AI77" i="33"/>
  <c r="AK76" i="33"/>
  <c r="AQ76" i="33"/>
  <c r="L33" i="5"/>
  <c r="AE19" i="35" l="1"/>
  <c r="D106" i="1" s="1"/>
  <c r="D72" i="1"/>
  <c r="AE14" i="35"/>
  <c r="B10" i="36"/>
  <c r="C10" i="36" s="1"/>
  <c r="L28" i="12"/>
  <c r="G104" i="1"/>
  <c r="J43" i="12"/>
  <c r="L43" i="12" s="1"/>
  <c r="L33" i="11"/>
  <c r="O45" i="27"/>
  <c r="R45" i="27" s="1"/>
  <c r="G78" i="26"/>
  <c r="O47" i="27"/>
  <c r="R47" i="27" s="1"/>
  <c r="G77" i="26"/>
  <c r="G76" i="26"/>
  <c r="O46" i="27"/>
  <c r="R46" i="27" s="1"/>
  <c r="V21" i="5"/>
  <c r="V23" i="5" s="1"/>
  <c r="R20" i="4"/>
  <c r="D73" i="1"/>
  <c r="J10" i="34"/>
  <c r="C12" i="35" s="1"/>
  <c r="C13" i="35" s="1"/>
  <c r="K10" i="34"/>
  <c r="N36" i="7"/>
  <c r="N31" i="7"/>
  <c r="N23" i="7"/>
  <c r="L21" i="6"/>
  <c r="N34" i="7"/>
  <c r="N32" i="7"/>
  <c r="N35" i="7"/>
  <c r="N26" i="7"/>
  <c r="N33" i="7"/>
  <c r="N28" i="7"/>
  <c r="N37" i="30"/>
  <c r="L41" i="6"/>
  <c r="N25" i="30"/>
  <c r="M34" i="30"/>
  <c r="N24" i="30"/>
  <c r="N29" i="30"/>
  <c r="N36" i="30"/>
  <c r="N34" i="30"/>
  <c r="N28" i="30"/>
  <c r="N30" i="30"/>
  <c r="J27" i="9"/>
  <c r="G77" i="1"/>
  <c r="I40" i="3"/>
  <c r="AI87" i="13"/>
  <c r="R35" i="13"/>
  <c r="G168" i="26"/>
  <c r="G164" i="26"/>
  <c r="G165" i="26"/>
  <c r="G155" i="26"/>
  <c r="G154" i="26"/>
  <c r="G156" i="26"/>
  <c r="G159" i="26"/>
  <c r="G171" i="26"/>
  <c r="G174" i="26"/>
  <c r="G153" i="26"/>
  <c r="G163" i="26"/>
  <c r="G157" i="26"/>
  <c r="G160" i="26"/>
  <c r="G172" i="26"/>
  <c r="G169" i="26"/>
  <c r="G175" i="26"/>
  <c r="G173" i="26"/>
  <c r="G167" i="26"/>
  <c r="G161" i="26"/>
  <c r="G162" i="26"/>
  <c r="G152" i="26"/>
  <c r="G170" i="26"/>
  <c r="G158" i="26"/>
  <c r="G166" i="26"/>
  <c r="L33" i="13"/>
  <c r="N35" i="30"/>
  <c r="G78" i="1"/>
  <c r="J44" i="9"/>
  <c r="L31" i="8"/>
  <c r="M27" i="27"/>
  <c r="M33" i="27"/>
  <c r="M31" i="27"/>
  <c r="M26" i="27"/>
  <c r="M24" i="27"/>
  <c r="M30" i="27"/>
  <c r="M36" i="27"/>
  <c r="M28" i="27"/>
  <c r="M35" i="27"/>
  <c r="M39" i="27"/>
  <c r="M37" i="27"/>
  <c r="M29" i="27"/>
  <c r="M38" i="27"/>
  <c r="M25" i="27"/>
  <c r="R37" i="30"/>
  <c r="R39" i="30" s="1"/>
  <c r="H49" i="40"/>
  <c r="K49" i="40" s="1"/>
  <c r="G80" i="1"/>
  <c r="J31" i="9"/>
  <c r="AK75" i="31"/>
  <c r="AQ75" i="31"/>
  <c r="J32" i="9"/>
  <c r="G81" i="1"/>
  <c r="G76" i="1"/>
  <c r="J26" i="9"/>
  <c r="B13" i="40"/>
  <c r="L13" i="40" s="1"/>
  <c r="E37" i="3"/>
  <c r="B15" i="40"/>
  <c r="L15" i="40" s="1"/>
  <c r="J45" i="9"/>
  <c r="G79" i="1"/>
  <c r="AI82" i="13"/>
  <c r="AK81" i="13"/>
  <c r="AQ81" i="13"/>
  <c r="N36" i="5"/>
  <c r="J37" i="5"/>
  <c r="AJ74" i="7"/>
  <c r="AP74" i="7"/>
  <c r="AH77" i="7"/>
  <c r="AP77" i="7" s="1"/>
  <c r="L39" i="31"/>
  <c r="N37" i="31" s="1"/>
  <c r="L20" i="4"/>
  <c r="G130" i="1"/>
  <c r="J25" i="14"/>
  <c r="L25" i="14" s="1"/>
  <c r="D132" i="1"/>
  <c r="H38" i="40"/>
  <c r="H1" i="40" s="1"/>
  <c r="R36" i="7"/>
  <c r="R38" i="7" s="1"/>
  <c r="AK77" i="33"/>
  <c r="AQ77" i="33"/>
  <c r="L23" i="5"/>
  <c r="J21" i="5"/>
  <c r="AJ69" i="7"/>
  <c r="AP69" i="7"/>
  <c r="AI81" i="30"/>
  <c r="AQ79" i="30"/>
  <c r="AK79" i="30"/>
  <c r="J45" i="34"/>
  <c r="K48" i="34"/>
  <c r="J48" i="34" s="1"/>
  <c r="AQ79" i="31"/>
  <c r="AK79" i="31"/>
  <c r="AI81" i="31"/>
  <c r="N30" i="5"/>
  <c r="N26" i="5"/>
  <c r="J33" i="5"/>
  <c r="N29" i="5"/>
  <c r="N28" i="5"/>
  <c r="N32" i="5"/>
  <c r="N27" i="5"/>
  <c r="H50" i="40"/>
  <c r="K50" i="40" s="1"/>
  <c r="R37" i="31"/>
  <c r="R39" i="31" s="1"/>
  <c r="AQ75" i="30"/>
  <c r="AK75" i="30"/>
  <c r="B6" i="40"/>
  <c r="E23" i="3"/>
  <c r="AK86" i="13"/>
  <c r="AQ86" i="13"/>
  <c r="L39" i="33"/>
  <c r="G129" i="1"/>
  <c r="J24" i="14"/>
  <c r="L24" i="14" s="1"/>
  <c r="AK81" i="33"/>
  <c r="AQ81" i="33"/>
  <c r="AI83" i="33"/>
  <c r="J38" i="14"/>
  <c r="L38" i="14" s="1"/>
  <c r="G131" i="1"/>
  <c r="N31" i="30"/>
  <c r="H51" i="40"/>
  <c r="K51" i="40" s="1"/>
  <c r="R37" i="33"/>
  <c r="R39" i="33" s="1"/>
  <c r="P32" i="35"/>
  <c r="S32" i="35" s="1"/>
  <c r="O32" i="35" s="1"/>
  <c r="N31" i="5"/>
  <c r="M34" i="27" l="1"/>
  <c r="D10" i="47"/>
  <c r="M41" i="27"/>
  <c r="M40" i="27"/>
  <c r="M32" i="27"/>
  <c r="J46" i="12"/>
  <c r="L46" i="12" s="1"/>
  <c r="R46" i="12" s="1"/>
  <c r="G106" i="1"/>
  <c r="AE20" i="35"/>
  <c r="D107" i="1" s="1"/>
  <c r="G72" i="1"/>
  <c r="J35" i="9"/>
  <c r="R43" i="12"/>
  <c r="AI106" i="12"/>
  <c r="N76" i="26"/>
  <c r="Q76" i="26" s="1"/>
  <c r="R76" i="26" s="1"/>
  <c r="C9" i="36" s="1"/>
  <c r="H76" i="26"/>
  <c r="N77" i="26"/>
  <c r="Q77" i="26" s="1"/>
  <c r="R77" i="26" s="1"/>
  <c r="H77" i="26"/>
  <c r="I77" i="26" s="1"/>
  <c r="N78" i="26"/>
  <c r="Q78" i="26" s="1"/>
  <c r="R78" i="26" s="1"/>
  <c r="H78" i="26"/>
  <c r="I78" i="26" s="1"/>
  <c r="R28" i="12"/>
  <c r="R29" i="12" s="1"/>
  <c r="L29" i="12"/>
  <c r="AI91" i="12"/>
  <c r="L34" i="11"/>
  <c r="AI81" i="11"/>
  <c r="R33" i="11"/>
  <c r="R34" i="11" s="1"/>
  <c r="J53" i="9"/>
  <c r="G73" i="1"/>
  <c r="D74" i="1"/>
  <c r="AH79" i="7"/>
  <c r="AP79" i="7" s="1"/>
  <c r="B51" i="40"/>
  <c r="L51" i="40" s="1"/>
  <c r="R43" i="6"/>
  <c r="G43" i="3"/>
  <c r="I43" i="3" s="1"/>
  <c r="N24" i="33"/>
  <c r="L43" i="6"/>
  <c r="N25" i="33"/>
  <c r="N29" i="33"/>
  <c r="N34" i="33"/>
  <c r="N36" i="33"/>
  <c r="N28" i="33"/>
  <c r="N30" i="33"/>
  <c r="N35" i="33"/>
  <c r="N31" i="33"/>
  <c r="AQ81" i="30"/>
  <c r="AI83" i="30"/>
  <c r="AK81" i="30"/>
  <c r="R21" i="6"/>
  <c r="R23" i="6" s="1"/>
  <c r="B38" i="40"/>
  <c r="G21" i="3"/>
  <c r="J45" i="10"/>
  <c r="L45" i="10" s="1"/>
  <c r="L44" i="9"/>
  <c r="H167" i="26"/>
  <c r="I167" i="26" s="1"/>
  <c r="N167" i="26"/>
  <c r="Q167" i="26" s="1"/>
  <c r="R167" i="26" s="1"/>
  <c r="H156" i="26"/>
  <c r="I156" i="26" s="1"/>
  <c r="N156" i="26"/>
  <c r="Q156" i="26" s="1"/>
  <c r="R156" i="26" s="1"/>
  <c r="J29" i="10"/>
  <c r="L29" i="10" s="1"/>
  <c r="L27" i="9"/>
  <c r="K38" i="40"/>
  <c r="L31" i="9"/>
  <c r="J49" i="9"/>
  <c r="L49" i="9" s="1"/>
  <c r="N173" i="26"/>
  <c r="Q173" i="26" s="1"/>
  <c r="R173" i="26" s="1"/>
  <c r="H173" i="26"/>
  <c r="I173" i="26" s="1"/>
  <c r="N154" i="26"/>
  <c r="Q154" i="26" s="1"/>
  <c r="R154" i="26" s="1"/>
  <c r="H154" i="26"/>
  <c r="I154" i="26" s="1"/>
  <c r="AI88" i="14"/>
  <c r="R24" i="14"/>
  <c r="L26" i="14"/>
  <c r="N21" i="5"/>
  <c r="J23" i="5"/>
  <c r="N30" i="31"/>
  <c r="N25" i="31"/>
  <c r="N24" i="31"/>
  <c r="L42" i="6"/>
  <c r="N29" i="31"/>
  <c r="N34" i="31"/>
  <c r="N36" i="31"/>
  <c r="N28" i="31"/>
  <c r="N31" i="31"/>
  <c r="N35" i="31"/>
  <c r="N175" i="26"/>
  <c r="Q175" i="26" s="1"/>
  <c r="R175" i="26" s="1"/>
  <c r="H175" i="26"/>
  <c r="I175" i="26" s="1"/>
  <c r="N155" i="26"/>
  <c r="Q155" i="26" s="1"/>
  <c r="R155" i="26" s="1"/>
  <c r="H155" i="26"/>
  <c r="I155" i="26" s="1"/>
  <c r="B50" i="40"/>
  <c r="L50" i="40" s="1"/>
  <c r="G42" i="3"/>
  <c r="I42" i="3" s="1"/>
  <c r="R42" i="6"/>
  <c r="N169" i="26"/>
  <c r="Q169" i="26" s="1"/>
  <c r="R169" i="26" s="1"/>
  <c r="H169" i="26"/>
  <c r="I169" i="26" s="1"/>
  <c r="N165" i="26"/>
  <c r="Q165" i="26" s="1"/>
  <c r="R165" i="26" s="1"/>
  <c r="C12" i="36" s="1"/>
  <c r="H165" i="26"/>
  <c r="H158" i="26"/>
  <c r="I158" i="26" s="1"/>
  <c r="N158" i="26"/>
  <c r="Q158" i="26" s="1"/>
  <c r="R158" i="26" s="1"/>
  <c r="AQ82" i="13"/>
  <c r="AK82" i="13"/>
  <c r="L6" i="40"/>
  <c r="J50" i="9"/>
  <c r="L50" i="9" s="1"/>
  <c r="L32" i="9"/>
  <c r="R41" i="6"/>
  <c r="B49" i="40"/>
  <c r="L49" i="40" s="1"/>
  <c r="G41" i="3"/>
  <c r="N172" i="26"/>
  <c r="Q172" i="26" s="1"/>
  <c r="R172" i="26" s="1"/>
  <c r="H172" i="26"/>
  <c r="I172" i="26" s="1"/>
  <c r="H164" i="26"/>
  <c r="I164" i="26" s="1"/>
  <c r="N164" i="26"/>
  <c r="Q164" i="26" s="1"/>
  <c r="R164" i="26" s="1"/>
  <c r="R38" i="14"/>
  <c r="AI102" i="14"/>
  <c r="AK81" i="31"/>
  <c r="AI83" i="31"/>
  <c r="AQ81" i="31"/>
  <c r="J46" i="10"/>
  <c r="L46" i="10" s="1"/>
  <c r="L45" i="9"/>
  <c r="AI85" i="13"/>
  <c r="L36" i="13"/>
  <c r="R33" i="13"/>
  <c r="N160" i="26"/>
  <c r="Q160" i="26" s="1"/>
  <c r="R160" i="26" s="1"/>
  <c r="H160" i="26"/>
  <c r="I160" i="26" s="1"/>
  <c r="N168" i="26"/>
  <c r="Q168" i="26" s="1"/>
  <c r="R168" i="26" s="1"/>
  <c r="H168" i="26"/>
  <c r="I168" i="26" s="1"/>
  <c r="AI85" i="33"/>
  <c r="AK83" i="33"/>
  <c r="AQ83" i="33"/>
  <c r="G132" i="1"/>
  <c r="J39" i="14"/>
  <c r="L39" i="14" s="1"/>
  <c r="L40" i="14" s="1"/>
  <c r="N166" i="26"/>
  <c r="Q166" i="26" s="1"/>
  <c r="R166" i="26" s="1"/>
  <c r="H166" i="26"/>
  <c r="I166" i="26" s="1"/>
  <c r="N157" i="26"/>
  <c r="Q157" i="26" s="1"/>
  <c r="R157" i="26" s="1"/>
  <c r="H157" i="26"/>
  <c r="I157" i="26" s="1"/>
  <c r="L23" i="6"/>
  <c r="N21" i="6" s="1"/>
  <c r="J21" i="6"/>
  <c r="H170" i="26"/>
  <c r="I170" i="26" s="1"/>
  <c r="N170" i="26"/>
  <c r="Q170" i="26" s="1"/>
  <c r="R170" i="26" s="1"/>
  <c r="N153" i="26"/>
  <c r="Q153" i="26" s="1"/>
  <c r="R153" i="26" s="1"/>
  <c r="H153" i="26"/>
  <c r="I153" i="26" s="1"/>
  <c r="N152" i="26"/>
  <c r="Q152" i="26" s="1"/>
  <c r="R152" i="26" s="1"/>
  <c r="H152" i="26"/>
  <c r="I152" i="26" s="1"/>
  <c r="H174" i="26"/>
  <c r="I174" i="26" s="1"/>
  <c r="N174" i="26"/>
  <c r="Q174" i="26" s="1"/>
  <c r="R174" i="26" s="1"/>
  <c r="J41" i="6"/>
  <c r="R25" i="14"/>
  <c r="AI89" i="14"/>
  <c r="N163" i="26"/>
  <c r="Q163" i="26" s="1"/>
  <c r="R163" i="26" s="1"/>
  <c r="H163" i="26"/>
  <c r="I163" i="26" s="1"/>
  <c r="H162" i="26"/>
  <c r="I162" i="26" s="1"/>
  <c r="N162" i="26"/>
  <c r="Q162" i="26" s="1"/>
  <c r="R162" i="26" s="1"/>
  <c r="H171" i="26"/>
  <c r="I171" i="26" s="1"/>
  <c r="N171" i="26"/>
  <c r="Q171" i="26" s="1"/>
  <c r="R171" i="26" s="1"/>
  <c r="N37" i="33"/>
  <c r="J28" i="10"/>
  <c r="L28" i="10" s="1"/>
  <c r="L26" i="9"/>
  <c r="R31" i="8"/>
  <c r="AI87" i="8"/>
  <c r="L32" i="8"/>
  <c r="N161" i="26"/>
  <c r="Q161" i="26" s="1"/>
  <c r="R161" i="26" s="1"/>
  <c r="H161" i="26"/>
  <c r="I161" i="26" s="1"/>
  <c r="H159" i="26"/>
  <c r="I159" i="26" s="1"/>
  <c r="N159" i="26"/>
  <c r="Q159" i="26" s="1"/>
  <c r="R159" i="26" s="1"/>
  <c r="R32" i="8" l="1"/>
  <c r="AI109" i="12"/>
  <c r="AK109" i="12" s="1"/>
  <c r="L53" i="9"/>
  <c r="J34" i="10"/>
  <c r="L34" i="10" s="1"/>
  <c r="R34" i="10" s="1"/>
  <c r="G107" i="1"/>
  <c r="J47" i="12"/>
  <c r="L35" i="9"/>
  <c r="R35" i="9" s="1"/>
  <c r="J51" i="10"/>
  <c r="L51" i="10" s="1"/>
  <c r="AI121" i="10" s="1"/>
  <c r="AI92" i="12"/>
  <c r="AK91" i="12"/>
  <c r="AQ91" i="12"/>
  <c r="AA24" i="35"/>
  <c r="R17" i="34" s="1"/>
  <c r="L33" i="12"/>
  <c r="B9" i="36"/>
  <c r="I76" i="26"/>
  <c r="L38" i="11"/>
  <c r="W24" i="35"/>
  <c r="R16" i="34" s="1"/>
  <c r="AI82" i="11"/>
  <c r="AK81" i="11"/>
  <c r="AQ81" i="11"/>
  <c r="AK106" i="12"/>
  <c r="AQ106" i="12"/>
  <c r="K43" i="3"/>
  <c r="K42" i="3"/>
  <c r="J36" i="9"/>
  <c r="G112" i="26" s="1"/>
  <c r="H112" i="26" s="1"/>
  <c r="I112" i="26" s="1"/>
  <c r="G74" i="1"/>
  <c r="P21" i="5"/>
  <c r="P23" i="5" s="1"/>
  <c r="L44" i="6"/>
  <c r="N43" i="6" s="1"/>
  <c r="AJ79" i="7"/>
  <c r="R44" i="6"/>
  <c r="AO33" i="35"/>
  <c r="AR32" i="35" s="1"/>
  <c r="R40" i="14"/>
  <c r="I41" i="3"/>
  <c r="G44" i="3"/>
  <c r="R28" i="10"/>
  <c r="AI98" i="10"/>
  <c r="L31" i="10"/>
  <c r="AI116" i="10"/>
  <c r="R46" i="10"/>
  <c r="G26" i="35"/>
  <c r="G28" i="35" s="1"/>
  <c r="AK102" i="14"/>
  <c r="AQ102" i="14"/>
  <c r="I165" i="26"/>
  <c r="B12" i="36"/>
  <c r="AI121" i="9"/>
  <c r="R49" i="9"/>
  <c r="R44" i="9"/>
  <c r="L47" i="9"/>
  <c r="AI116" i="9"/>
  <c r="AI103" i="14"/>
  <c r="R39" i="14"/>
  <c r="R36" i="13"/>
  <c r="R37" i="13" s="1"/>
  <c r="L37" i="13"/>
  <c r="R32" i="9"/>
  <c r="AI104" i="9"/>
  <c r="R31" i="9"/>
  <c r="AI103" i="9"/>
  <c r="R45" i="10"/>
  <c r="L48" i="10"/>
  <c r="AI115" i="10"/>
  <c r="AI88" i="13"/>
  <c r="AQ85" i="13"/>
  <c r="AK85" i="13"/>
  <c r="R50" i="9"/>
  <c r="AI122" i="9"/>
  <c r="AI98" i="9"/>
  <c r="L29" i="9"/>
  <c r="R26" i="9"/>
  <c r="AI117" i="9"/>
  <c r="R45" i="9"/>
  <c r="I21" i="3"/>
  <c r="G23" i="3"/>
  <c r="I23" i="3" s="1"/>
  <c r="L38" i="40"/>
  <c r="J43" i="6"/>
  <c r="P43" i="5"/>
  <c r="AK85" i="33"/>
  <c r="AQ85" i="33"/>
  <c r="J23" i="6"/>
  <c r="J42" i="6"/>
  <c r="R26" i="14"/>
  <c r="R27" i="9"/>
  <c r="AI99" i="9"/>
  <c r="P42" i="5"/>
  <c r="AK83" i="31"/>
  <c r="AQ83" i="31"/>
  <c r="AI90" i="14"/>
  <c r="AK88" i="14"/>
  <c r="AQ88" i="14"/>
  <c r="AI99" i="10"/>
  <c r="R29" i="10"/>
  <c r="AQ83" i="30"/>
  <c r="P41" i="5"/>
  <c r="AK83" i="30"/>
  <c r="R53" i="9"/>
  <c r="AI125" i="9"/>
  <c r="AK89" i="14"/>
  <c r="AQ89" i="14"/>
  <c r="AK87" i="8"/>
  <c r="AI88" i="8"/>
  <c r="AQ87" i="8"/>
  <c r="AQ109" i="12" l="1"/>
  <c r="AI107" i="9"/>
  <c r="AI104" i="10"/>
  <c r="AQ104" i="10" s="1"/>
  <c r="L47" i="12"/>
  <c r="B11" i="36"/>
  <c r="C11" i="36" s="1"/>
  <c r="R51" i="10"/>
  <c r="G110" i="26"/>
  <c r="H110" i="26" s="1"/>
  <c r="I110" i="26" s="1"/>
  <c r="G108" i="26"/>
  <c r="H108" i="26" s="1"/>
  <c r="I108" i="26" s="1"/>
  <c r="G109" i="26"/>
  <c r="H109" i="26" s="1"/>
  <c r="I109" i="26" s="1"/>
  <c r="L36" i="9"/>
  <c r="R36" i="9" s="1"/>
  <c r="J35" i="10"/>
  <c r="L35" i="10" s="1"/>
  <c r="R35" i="10" s="1"/>
  <c r="J54" i="9"/>
  <c r="J52" i="10" s="1"/>
  <c r="L52" i="10" s="1"/>
  <c r="L53" i="10" s="1"/>
  <c r="G106" i="26"/>
  <c r="H106" i="26" s="1"/>
  <c r="I106" i="26" s="1"/>
  <c r="G107" i="26"/>
  <c r="H107" i="26" s="1"/>
  <c r="I107" i="26" s="1"/>
  <c r="G105" i="26"/>
  <c r="N105" i="26" s="1"/>
  <c r="Q105" i="26" s="1"/>
  <c r="R105" i="26" s="1"/>
  <c r="G111" i="26"/>
  <c r="N111" i="26" s="1"/>
  <c r="Q111" i="26" s="1"/>
  <c r="R111" i="26" s="1"/>
  <c r="G114" i="26"/>
  <c r="H114" i="26" s="1"/>
  <c r="I114" i="26" s="1"/>
  <c r="AK82" i="11"/>
  <c r="AQ82" i="11"/>
  <c r="L36" i="12"/>
  <c r="L38" i="12" s="1"/>
  <c r="R33" i="12"/>
  <c r="AI96" i="12"/>
  <c r="R38" i="11"/>
  <c r="AI86" i="11"/>
  <c r="L41" i="11"/>
  <c r="L43" i="11" s="1"/>
  <c r="N38" i="11" s="1"/>
  <c r="G113" i="26"/>
  <c r="N113" i="26" s="1"/>
  <c r="Q113" i="26" s="1"/>
  <c r="R113" i="26" s="1"/>
  <c r="AK92" i="12"/>
  <c r="AQ92" i="12"/>
  <c r="N112" i="26"/>
  <c r="Q112" i="26" s="1"/>
  <c r="R112" i="26" s="1"/>
  <c r="K23" i="3"/>
  <c r="K21" i="3"/>
  <c r="R21" i="5"/>
  <c r="X21" i="5"/>
  <c r="N40" i="6"/>
  <c r="N42" i="6"/>
  <c r="N41" i="6"/>
  <c r="J44" i="6"/>
  <c r="R48" i="10"/>
  <c r="R29" i="9"/>
  <c r="R33" i="9" s="1"/>
  <c r="AQ121" i="9"/>
  <c r="AK121" i="9"/>
  <c r="AQ117" i="9"/>
  <c r="AK117" i="9"/>
  <c r="L41" i="13"/>
  <c r="AJ36" i="35"/>
  <c r="R19" i="34" s="1"/>
  <c r="AQ116" i="10"/>
  <c r="AK116" i="10"/>
  <c r="K41" i="3"/>
  <c r="I44" i="3"/>
  <c r="AQ104" i="9"/>
  <c r="AK104" i="9"/>
  <c r="R41" i="5"/>
  <c r="X41" i="5"/>
  <c r="P44" i="5"/>
  <c r="X42" i="5"/>
  <c r="R42" i="5"/>
  <c r="AI89" i="13"/>
  <c r="AQ88" i="13"/>
  <c r="AK88" i="13"/>
  <c r="L33" i="9"/>
  <c r="AK125" i="9"/>
  <c r="AQ125" i="9"/>
  <c r="AK88" i="8"/>
  <c r="AQ88" i="8"/>
  <c r="AQ99" i="9"/>
  <c r="AK99" i="9"/>
  <c r="AQ98" i="9"/>
  <c r="AI101" i="9"/>
  <c r="AK98" i="9"/>
  <c r="AQ115" i="10"/>
  <c r="AI118" i="10"/>
  <c r="AK115" i="10"/>
  <c r="AK103" i="14"/>
  <c r="AQ103" i="14"/>
  <c r="AQ98" i="10"/>
  <c r="AI101" i="10"/>
  <c r="AK98" i="10"/>
  <c r="AQ121" i="10"/>
  <c r="AK121" i="10"/>
  <c r="R31" i="10"/>
  <c r="AQ99" i="10"/>
  <c r="AK99" i="10"/>
  <c r="AQ116" i="9"/>
  <c r="AI119" i="9"/>
  <c r="AK116" i="9"/>
  <c r="R23" i="5"/>
  <c r="X23" i="5"/>
  <c r="AQ103" i="9"/>
  <c r="AK103" i="9"/>
  <c r="R47" i="9"/>
  <c r="R51" i="9" s="1"/>
  <c r="AI104" i="14"/>
  <c r="L51" i="9"/>
  <c r="R43" i="5"/>
  <c r="X43" i="5"/>
  <c r="AK90" i="14"/>
  <c r="AQ90" i="14"/>
  <c r="AQ122" i="9"/>
  <c r="AK122" i="9"/>
  <c r="G46" i="35"/>
  <c r="G38" i="35"/>
  <c r="G40" i="35" s="1"/>
  <c r="G42" i="35"/>
  <c r="G44" i="35" s="1"/>
  <c r="D58" i="1" s="1"/>
  <c r="G30" i="35"/>
  <c r="AQ107" i="9"/>
  <c r="AK107" i="9"/>
  <c r="AR34" i="35"/>
  <c r="AS34" i="35" s="1"/>
  <c r="AR35" i="35"/>
  <c r="AS35" i="35" s="1"/>
  <c r="AO35" i="35" s="1"/>
  <c r="D126" i="1" s="1"/>
  <c r="G118" i="26" l="1"/>
  <c r="N118" i="26" s="1"/>
  <c r="Q118" i="26" s="1"/>
  <c r="R118" i="26" s="1"/>
  <c r="AK104" i="10"/>
  <c r="AO34" i="35"/>
  <c r="D125" i="1" s="1"/>
  <c r="G48" i="35"/>
  <c r="D59" i="1" s="1"/>
  <c r="G32" i="35"/>
  <c r="D51" i="1" s="1"/>
  <c r="R47" i="12"/>
  <c r="R48" i="12" s="1"/>
  <c r="L48" i="12"/>
  <c r="AI110" i="12"/>
  <c r="G125" i="26"/>
  <c r="H125" i="26" s="1"/>
  <c r="I125" i="26" s="1"/>
  <c r="N110" i="26"/>
  <c r="Q110" i="26" s="1"/>
  <c r="R110" i="26" s="1"/>
  <c r="L54" i="9"/>
  <c r="L55" i="9" s="1"/>
  <c r="G120" i="26"/>
  <c r="H120" i="26" s="1"/>
  <c r="I120" i="26" s="1"/>
  <c r="G124" i="26"/>
  <c r="N124" i="26" s="1"/>
  <c r="Q124" i="26" s="1"/>
  <c r="R124" i="26" s="1"/>
  <c r="G116" i="26"/>
  <c r="N116" i="26" s="1"/>
  <c r="Q116" i="26" s="1"/>
  <c r="R116" i="26" s="1"/>
  <c r="G121" i="26"/>
  <c r="N121" i="26" s="1"/>
  <c r="Q121" i="26" s="1"/>
  <c r="R121" i="26" s="1"/>
  <c r="G119" i="26"/>
  <c r="H119" i="26" s="1"/>
  <c r="G117" i="26"/>
  <c r="N117" i="26" s="1"/>
  <c r="Q117" i="26" s="1"/>
  <c r="R117" i="26" s="1"/>
  <c r="G122" i="26"/>
  <c r="H122" i="26" s="1"/>
  <c r="I122" i="26" s="1"/>
  <c r="G123" i="26"/>
  <c r="H123" i="26" s="1"/>
  <c r="I123" i="26" s="1"/>
  <c r="N106" i="26"/>
  <c r="Q106" i="26" s="1"/>
  <c r="R106" i="26" s="1"/>
  <c r="H105" i="26"/>
  <c r="I105" i="26" s="1"/>
  <c r="N108" i="26"/>
  <c r="Q108" i="26" s="1"/>
  <c r="R108" i="26" s="1"/>
  <c r="L36" i="10"/>
  <c r="L54" i="10" s="1"/>
  <c r="AI105" i="10"/>
  <c r="AI106" i="10" s="1"/>
  <c r="AI108" i="9"/>
  <c r="AK108" i="9" s="1"/>
  <c r="N109" i="26"/>
  <c r="Q109" i="26" s="1"/>
  <c r="R109" i="26" s="1"/>
  <c r="AI89" i="11"/>
  <c r="AK89" i="11" s="1"/>
  <c r="AQ86" i="11"/>
  <c r="AK86" i="11"/>
  <c r="AI99" i="12"/>
  <c r="AI101" i="12" s="1"/>
  <c r="P30" i="5" s="1"/>
  <c r="AQ96" i="12"/>
  <c r="AK96" i="12"/>
  <c r="N107" i="26"/>
  <c r="Q107" i="26" s="1"/>
  <c r="R107" i="26" s="1"/>
  <c r="H111" i="26"/>
  <c r="I111" i="26" s="1"/>
  <c r="N114" i="26"/>
  <c r="Q114" i="26" s="1"/>
  <c r="R114" i="26" s="1"/>
  <c r="N36" i="12"/>
  <c r="N23" i="12"/>
  <c r="N35" i="12"/>
  <c r="L30" i="6"/>
  <c r="J30" i="6" s="1"/>
  <c r="N25" i="12"/>
  <c r="N32" i="12"/>
  <c r="N28" i="12"/>
  <c r="N29" i="12"/>
  <c r="N41" i="11"/>
  <c r="N26" i="11"/>
  <c r="N24" i="11"/>
  <c r="N39" i="11"/>
  <c r="N27" i="11"/>
  <c r="L29" i="6"/>
  <c r="J29" i="6" s="1"/>
  <c r="N25" i="11"/>
  <c r="N37" i="11"/>
  <c r="N40" i="11"/>
  <c r="N33" i="11"/>
  <c r="N34" i="11"/>
  <c r="H43" i="40"/>
  <c r="K43" i="40" s="1"/>
  <c r="R41" i="11"/>
  <c r="R43" i="11" s="1"/>
  <c r="H113" i="26"/>
  <c r="I113" i="26" s="1"/>
  <c r="N33" i="12"/>
  <c r="D53" i="1"/>
  <c r="R36" i="12"/>
  <c r="R38" i="12" s="1"/>
  <c r="H44" i="40"/>
  <c r="K44" i="40" s="1"/>
  <c r="K44" i="3"/>
  <c r="R37" i="9"/>
  <c r="R41" i="13"/>
  <c r="AI93" i="13"/>
  <c r="L44" i="13"/>
  <c r="AK104" i="14"/>
  <c r="AQ104" i="14"/>
  <c r="AI105" i="9"/>
  <c r="AQ101" i="9"/>
  <c r="AK101" i="9"/>
  <c r="G34" i="35"/>
  <c r="R44" i="5"/>
  <c r="X44" i="5"/>
  <c r="AI123" i="9"/>
  <c r="AQ119" i="9"/>
  <c r="AK119" i="9"/>
  <c r="AQ101" i="10"/>
  <c r="AK101" i="10"/>
  <c r="L37" i="9"/>
  <c r="G58" i="1"/>
  <c r="J38" i="8"/>
  <c r="H118" i="26"/>
  <c r="I118" i="26" s="1"/>
  <c r="J43" i="14"/>
  <c r="L43" i="14" s="1"/>
  <c r="G126" i="1"/>
  <c r="R36" i="10"/>
  <c r="AQ89" i="13"/>
  <c r="AK89" i="13"/>
  <c r="AQ118" i="10"/>
  <c r="AK118" i="10"/>
  <c r="AR36" i="35"/>
  <c r="AS36" i="35" s="1"/>
  <c r="AO36" i="35" s="1"/>
  <c r="AI122" i="10"/>
  <c r="AI123" i="10" s="1"/>
  <c r="R52" i="10"/>
  <c r="R53" i="10" s="1"/>
  <c r="L38" i="8" l="1"/>
  <c r="D17" i="51"/>
  <c r="N120" i="26"/>
  <c r="Q120" i="26" s="1"/>
  <c r="R120" i="26" s="1"/>
  <c r="AI126" i="9"/>
  <c r="AI127" i="9" s="1"/>
  <c r="R54" i="9"/>
  <c r="R55" i="9" s="1"/>
  <c r="N125" i="26"/>
  <c r="Q125" i="26" s="1"/>
  <c r="R125" i="26" s="1"/>
  <c r="J39" i="8"/>
  <c r="G59" i="1"/>
  <c r="G51" i="1"/>
  <c r="G125" i="1"/>
  <c r="J29" i="14"/>
  <c r="L29" i="14" s="1"/>
  <c r="R29" i="14" s="1"/>
  <c r="G36" i="35"/>
  <c r="D52" i="1" s="1"/>
  <c r="L52" i="12"/>
  <c r="AE22" i="35"/>
  <c r="R18" i="34" s="1"/>
  <c r="AK110" i="12"/>
  <c r="AI111" i="12"/>
  <c r="AQ110" i="12"/>
  <c r="H116" i="26"/>
  <c r="I116" i="26" s="1"/>
  <c r="H121" i="26"/>
  <c r="I121" i="26" s="1"/>
  <c r="N122" i="26"/>
  <c r="Q122" i="26" s="1"/>
  <c r="R122" i="26" s="1"/>
  <c r="N119" i="26"/>
  <c r="Q119" i="26" s="1"/>
  <c r="R119" i="26" s="1"/>
  <c r="C7" i="36" s="1"/>
  <c r="C8" i="36" s="1"/>
  <c r="H124" i="26"/>
  <c r="I124" i="26" s="1"/>
  <c r="N123" i="26"/>
  <c r="Q123" i="26" s="1"/>
  <c r="R123" i="26" s="1"/>
  <c r="H117" i="26"/>
  <c r="I117" i="26" s="1"/>
  <c r="AK105" i="10"/>
  <c r="AQ105" i="10"/>
  <c r="AK101" i="12"/>
  <c r="AQ108" i="9"/>
  <c r="AQ101" i="12"/>
  <c r="AQ89" i="11"/>
  <c r="AK99" i="12"/>
  <c r="AQ99" i="12"/>
  <c r="AI91" i="11"/>
  <c r="P29" i="5" s="1"/>
  <c r="G53" i="1"/>
  <c r="B44" i="40"/>
  <c r="L44" i="40" s="1"/>
  <c r="G30" i="3"/>
  <c r="I30" i="3" s="1"/>
  <c r="R30" i="6"/>
  <c r="R30" i="5"/>
  <c r="X30" i="5"/>
  <c r="B43" i="40"/>
  <c r="L43" i="40" s="1"/>
  <c r="G29" i="3"/>
  <c r="I29" i="3" s="1"/>
  <c r="R29" i="6"/>
  <c r="D127" i="1"/>
  <c r="AI107" i="14"/>
  <c r="R43" i="14"/>
  <c r="R54" i="10"/>
  <c r="L58" i="10" s="1"/>
  <c r="B7" i="36"/>
  <c r="B8" i="36" s="1"/>
  <c r="I119" i="26"/>
  <c r="AQ106" i="10"/>
  <c r="AK106" i="10"/>
  <c r="L46" i="13"/>
  <c r="N44" i="13" s="1"/>
  <c r="AQ122" i="10"/>
  <c r="AK122" i="10"/>
  <c r="AI96" i="13"/>
  <c r="AK93" i="13"/>
  <c r="AQ93" i="13"/>
  <c r="H46" i="40"/>
  <c r="K46" i="40" s="1"/>
  <c r="R44" i="13"/>
  <c r="R46" i="13" s="1"/>
  <c r="AQ123" i="10"/>
  <c r="AI124" i="10"/>
  <c r="AK123" i="10"/>
  <c r="AI94" i="8"/>
  <c r="R38" i="8"/>
  <c r="W38" i="8" s="1"/>
  <c r="L56" i="9"/>
  <c r="AQ123" i="9"/>
  <c r="AK123" i="9"/>
  <c r="AQ105" i="9"/>
  <c r="AI109" i="9"/>
  <c r="AK105" i="9"/>
  <c r="AK126" i="9" l="1"/>
  <c r="L39" i="8"/>
  <c r="D18" i="51"/>
  <c r="E17" i="51"/>
  <c r="D41" i="51"/>
  <c r="E41" i="51" s="1"/>
  <c r="O32" i="27"/>
  <c r="C8" i="48"/>
  <c r="D8" i="48" s="1"/>
  <c r="Q41" i="27"/>
  <c r="D14" i="47"/>
  <c r="O36" i="27"/>
  <c r="D12" i="47"/>
  <c r="O26" i="27"/>
  <c r="O30" i="27"/>
  <c r="O28" i="27"/>
  <c r="O23" i="27"/>
  <c r="R23" i="27" s="1"/>
  <c r="G55" i="26" s="1"/>
  <c r="H55" i="26" s="1"/>
  <c r="I55" i="26" s="1"/>
  <c r="O22" i="27"/>
  <c r="R22" i="27" s="1"/>
  <c r="O41" i="27"/>
  <c r="O39" i="27"/>
  <c r="O31" i="27"/>
  <c r="AQ126" i="9"/>
  <c r="O34" i="27"/>
  <c r="O27" i="27"/>
  <c r="O37" i="27"/>
  <c r="G52" i="1"/>
  <c r="O29" i="27"/>
  <c r="L35" i="8"/>
  <c r="AI91" i="8" s="1"/>
  <c r="AQ111" i="12"/>
  <c r="AK111" i="12"/>
  <c r="O21" i="27"/>
  <c r="R21" i="27" s="1"/>
  <c r="O24" i="27"/>
  <c r="R24" i="27" s="1"/>
  <c r="AI93" i="14"/>
  <c r="AK93" i="14" s="1"/>
  <c r="O25" i="27"/>
  <c r="AI115" i="12"/>
  <c r="L55" i="12"/>
  <c r="L57" i="12" s="1"/>
  <c r="N55" i="12" s="1"/>
  <c r="R52" i="12"/>
  <c r="O40" i="27"/>
  <c r="Q32" i="27"/>
  <c r="Q35" i="27"/>
  <c r="Q40" i="27"/>
  <c r="L37" i="8"/>
  <c r="AI93" i="8" s="1"/>
  <c r="Q38" i="27"/>
  <c r="AQ91" i="11"/>
  <c r="AK91" i="11"/>
  <c r="G229" i="26"/>
  <c r="G238" i="26"/>
  <c r="H238" i="26" s="1"/>
  <c r="I238" i="26" s="1"/>
  <c r="G232" i="26"/>
  <c r="H232" i="26" s="1"/>
  <c r="I232" i="26" s="1"/>
  <c r="G231" i="26"/>
  <c r="N231" i="26" s="1"/>
  <c r="Q231" i="26" s="1"/>
  <c r="R231" i="26" s="1"/>
  <c r="J30" i="14"/>
  <c r="L30" i="14" s="1"/>
  <c r="R30" i="14" s="1"/>
  <c r="R31" i="14" s="1"/>
  <c r="R32" i="14" s="1"/>
  <c r="G214" i="26"/>
  <c r="N214" i="26" s="1"/>
  <c r="Q214" i="26" s="1"/>
  <c r="R214" i="26" s="1"/>
  <c r="G215" i="26"/>
  <c r="N215" i="26" s="1"/>
  <c r="Q215" i="26" s="1"/>
  <c r="R215" i="26" s="1"/>
  <c r="G227" i="26"/>
  <c r="N227" i="26" s="1"/>
  <c r="Q227" i="26" s="1"/>
  <c r="R227" i="26" s="1"/>
  <c r="G219" i="26"/>
  <c r="N219" i="26" s="1"/>
  <c r="Q219" i="26" s="1"/>
  <c r="R219" i="26" s="1"/>
  <c r="G209" i="26"/>
  <c r="H209" i="26" s="1"/>
  <c r="I209" i="26" s="1"/>
  <c r="G206" i="26"/>
  <c r="H206" i="26" s="1"/>
  <c r="I206" i="26" s="1"/>
  <c r="G225" i="26"/>
  <c r="H225" i="26" s="1"/>
  <c r="G207" i="26"/>
  <c r="H207" i="26" s="1"/>
  <c r="I207" i="26" s="1"/>
  <c r="G210" i="26"/>
  <c r="H210" i="26" s="1"/>
  <c r="I210" i="26" s="1"/>
  <c r="G213" i="26"/>
  <c r="N213" i="26" s="1"/>
  <c r="Q213" i="26" s="1"/>
  <c r="R213" i="26" s="1"/>
  <c r="G217" i="26"/>
  <c r="H217" i="26" s="1"/>
  <c r="I217" i="26" s="1"/>
  <c r="G222" i="26"/>
  <c r="H222" i="26" s="1"/>
  <c r="I222" i="26" s="1"/>
  <c r="G237" i="26"/>
  <c r="N237" i="26" s="1"/>
  <c r="Q237" i="26" s="1"/>
  <c r="R237" i="26" s="1"/>
  <c r="G233" i="26"/>
  <c r="N233" i="26" s="1"/>
  <c r="Q233" i="26" s="1"/>
  <c r="R233" i="26" s="1"/>
  <c r="G236" i="26"/>
  <c r="N236" i="26" s="1"/>
  <c r="Q236" i="26" s="1"/>
  <c r="R236" i="26" s="1"/>
  <c r="G234" i="26"/>
  <c r="H234" i="26" s="1"/>
  <c r="I234" i="26" s="1"/>
  <c r="G216" i="26"/>
  <c r="N216" i="26" s="1"/>
  <c r="Q216" i="26" s="1"/>
  <c r="R216" i="26" s="1"/>
  <c r="G205" i="26"/>
  <c r="H205" i="26" s="1"/>
  <c r="I205" i="26" s="1"/>
  <c r="G223" i="26"/>
  <c r="H223" i="26" s="1"/>
  <c r="I223" i="26" s="1"/>
  <c r="G218" i="26"/>
  <c r="N218" i="26" s="1"/>
  <c r="Q218" i="26" s="1"/>
  <c r="R218" i="26" s="1"/>
  <c r="G226" i="26"/>
  <c r="H226" i="26" s="1"/>
  <c r="I226" i="26" s="1"/>
  <c r="G127" i="1"/>
  <c r="G212" i="26"/>
  <c r="H212" i="26" s="1"/>
  <c r="I212" i="26" s="1"/>
  <c r="G228" i="26"/>
  <c r="N228" i="26" s="1"/>
  <c r="Q228" i="26" s="1"/>
  <c r="R228" i="26" s="1"/>
  <c r="G211" i="26"/>
  <c r="H211" i="26" s="1"/>
  <c r="I211" i="26" s="1"/>
  <c r="G221" i="26"/>
  <c r="H221" i="26" s="1"/>
  <c r="I221" i="26" s="1"/>
  <c r="G204" i="26"/>
  <c r="N204" i="26" s="1"/>
  <c r="Q204" i="26" s="1"/>
  <c r="R204" i="26" s="1"/>
  <c r="G235" i="26"/>
  <c r="N235" i="26" s="1"/>
  <c r="Q235" i="26" s="1"/>
  <c r="R235" i="26" s="1"/>
  <c r="G208" i="26"/>
  <c r="H208" i="26" s="1"/>
  <c r="I208" i="26" s="1"/>
  <c r="G230" i="26"/>
  <c r="N230" i="26" s="1"/>
  <c r="Q230" i="26" s="1"/>
  <c r="R230" i="26" s="1"/>
  <c r="J44" i="14"/>
  <c r="L44" i="14" s="1"/>
  <c r="L45" i="14" s="1"/>
  <c r="L46" i="14" s="1"/>
  <c r="G224" i="26"/>
  <c r="N224" i="26" s="1"/>
  <c r="Q224" i="26" s="1"/>
  <c r="R224" i="26" s="1"/>
  <c r="G203" i="26"/>
  <c r="N203" i="26" s="1"/>
  <c r="Q203" i="26" s="1"/>
  <c r="R203" i="26" s="1"/>
  <c r="G202" i="26"/>
  <c r="N202" i="26" s="1"/>
  <c r="Q202" i="26" s="1"/>
  <c r="R202" i="26" s="1"/>
  <c r="K30" i="3"/>
  <c r="X29" i="5"/>
  <c r="R29" i="5"/>
  <c r="K29" i="3"/>
  <c r="AI128" i="10"/>
  <c r="R58" i="10"/>
  <c r="L61" i="10"/>
  <c r="R56" i="9"/>
  <c r="N26" i="13"/>
  <c r="N24" i="13"/>
  <c r="N25" i="13"/>
  <c r="L32" i="6"/>
  <c r="N43" i="13"/>
  <c r="N40" i="13"/>
  <c r="N34" i="13"/>
  <c r="N29" i="13"/>
  <c r="N35" i="13"/>
  <c r="N30" i="13"/>
  <c r="N33" i="13"/>
  <c r="N36" i="13"/>
  <c r="N37" i="13"/>
  <c r="N41" i="13"/>
  <c r="B46" i="40"/>
  <c r="L46" i="40" s="1"/>
  <c r="G32" i="3"/>
  <c r="I32" i="3" s="1"/>
  <c r="R32" i="6"/>
  <c r="AK107" i="14"/>
  <c r="AQ107" i="14"/>
  <c r="AK94" i="8"/>
  <c r="AQ94" i="8"/>
  <c r="AQ109" i="9"/>
  <c r="AK109" i="9"/>
  <c r="AQ127" i="9"/>
  <c r="AI128" i="9"/>
  <c r="AK127" i="9"/>
  <c r="AQ124" i="10"/>
  <c r="AK124" i="10"/>
  <c r="AI98" i="13"/>
  <c r="AK96" i="13"/>
  <c r="AQ96" i="13"/>
  <c r="P28" i="27"/>
  <c r="P27" i="27"/>
  <c r="P31" i="27"/>
  <c r="P34" i="27"/>
  <c r="E18" i="51" l="1"/>
  <c r="E25" i="51" s="1"/>
  <c r="D42" i="51"/>
  <c r="E42" i="51" s="1"/>
  <c r="E43" i="51" s="1"/>
  <c r="E55" i="51" s="1"/>
  <c r="R39" i="8"/>
  <c r="W39" i="8" s="1"/>
  <c r="AI95" i="8"/>
  <c r="O35" i="27"/>
  <c r="R28" i="27"/>
  <c r="G60" i="26" s="1"/>
  <c r="N60" i="26" s="1"/>
  <c r="Q60" i="26" s="1"/>
  <c r="C7" i="48"/>
  <c r="O33" i="27"/>
  <c r="O38" i="27"/>
  <c r="G54" i="26"/>
  <c r="N54" i="26" s="1"/>
  <c r="Q54" i="26" s="1"/>
  <c r="R31" i="27"/>
  <c r="R27" i="27"/>
  <c r="G59" i="26" s="1"/>
  <c r="N59" i="26" s="1"/>
  <c r="Q59" i="26" s="1"/>
  <c r="R34" i="27"/>
  <c r="G66" i="26" s="1"/>
  <c r="H66" i="26" s="1"/>
  <c r="I66" i="26" s="1"/>
  <c r="H54" i="26"/>
  <c r="I54" i="26" s="1"/>
  <c r="R35" i="8"/>
  <c r="W35" i="8" s="1"/>
  <c r="P25" i="27"/>
  <c r="R25" i="27" s="1"/>
  <c r="D13" i="47"/>
  <c r="P33" i="27"/>
  <c r="P30" i="27"/>
  <c r="R30" i="27" s="1"/>
  <c r="P35" i="27"/>
  <c r="P36" i="27"/>
  <c r="R36" i="27" s="1"/>
  <c r="P32" i="27"/>
  <c r="R32" i="27" s="1"/>
  <c r="P38" i="27"/>
  <c r="N55" i="26"/>
  <c r="Q55" i="26" s="1"/>
  <c r="P39" i="27"/>
  <c r="R39" i="27" s="1"/>
  <c r="G71" i="26" s="1"/>
  <c r="P40" i="27"/>
  <c r="R40" i="27" s="1"/>
  <c r="L36" i="8"/>
  <c r="AI92" i="8" s="1"/>
  <c r="P26" i="27"/>
  <c r="R26" i="27" s="1"/>
  <c r="P41" i="27"/>
  <c r="R41" i="27" s="1"/>
  <c r="H236" i="26"/>
  <c r="I236" i="26" s="1"/>
  <c r="P29" i="27"/>
  <c r="R29" i="27" s="1"/>
  <c r="G56" i="26"/>
  <c r="N56" i="26" s="1"/>
  <c r="Q56" i="26" s="1"/>
  <c r="G53" i="26"/>
  <c r="AQ93" i="14"/>
  <c r="L31" i="14"/>
  <c r="L32" i="14" s="1"/>
  <c r="L47" i="14" s="1"/>
  <c r="AI94" i="14"/>
  <c r="AI95" i="14" s="1"/>
  <c r="AQ95" i="14" s="1"/>
  <c r="N52" i="12"/>
  <c r="N54" i="12"/>
  <c r="P37" i="27"/>
  <c r="R37" i="27" s="1"/>
  <c r="N217" i="26"/>
  <c r="Q217" i="26" s="1"/>
  <c r="R217" i="26" s="1"/>
  <c r="H233" i="26"/>
  <c r="I233" i="26" s="1"/>
  <c r="H237" i="26"/>
  <c r="I237" i="26" s="1"/>
  <c r="N212" i="26"/>
  <c r="Q212" i="26" s="1"/>
  <c r="R212" i="26" s="1"/>
  <c r="N222" i="26"/>
  <c r="Q222" i="26" s="1"/>
  <c r="R222" i="26" s="1"/>
  <c r="H214" i="26"/>
  <c r="I214" i="26" s="1"/>
  <c r="H231" i="26"/>
  <c r="I231" i="26" s="1"/>
  <c r="R55" i="12"/>
  <c r="R57" i="12" s="1"/>
  <c r="H45" i="40"/>
  <c r="K45" i="40" s="1"/>
  <c r="N48" i="12"/>
  <c r="N43" i="12"/>
  <c r="N51" i="12"/>
  <c r="N47" i="12"/>
  <c r="AI118" i="12"/>
  <c r="AQ115" i="12"/>
  <c r="AK115" i="12"/>
  <c r="L31" i="6"/>
  <c r="J31" i="6" s="1"/>
  <c r="N211" i="26"/>
  <c r="Q211" i="26" s="1"/>
  <c r="R211" i="26" s="1"/>
  <c r="N46" i="12"/>
  <c r="H227" i="26"/>
  <c r="I227" i="26" s="1"/>
  <c r="H235" i="26"/>
  <c r="I235" i="26" s="1"/>
  <c r="H204" i="26"/>
  <c r="I204" i="26" s="1"/>
  <c r="N209" i="26"/>
  <c r="Q209" i="26" s="1"/>
  <c r="R209" i="26" s="1"/>
  <c r="N207" i="26"/>
  <c r="Q207" i="26" s="1"/>
  <c r="R207" i="26" s="1"/>
  <c r="N225" i="26"/>
  <c r="Q225" i="26" s="1"/>
  <c r="R225" i="26" s="1"/>
  <c r="C13" i="36" s="1"/>
  <c r="H203" i="26"/>
  <c r="I203" i="26" s="1"/>
  <c r="N210" i="26"/>
  <c r="Q210" i="26" s="1"/>
  <c r="R210" i="26" s="1"/>
  <c r="N234" i="26"/>
  <c r="Q234" i="26" s="1"/>
  <c r="R234" i="26" s="1"/>
  <c r="N208" i="26"/>
  <c r="Q208" i="26" s="1"/>
  <c r="R208" i="26" s="1"/>
  <c r="H216" i="26"/>
  <c r="I216" i="26" s="1"/>
  <c r="R37" i="8"/>
  <c r="H224" i="26"/>
  <c r="I224" i="26" s="1"/>
  <c r="N206" i="26"/>
  <c r="Q206" i="26" s="1"/>
  <c r="R206" i="26" s="1"/>
  <c r="H219" i="26"/>
  <c r="I219" i="26" s="1"/>
  <c r="N238" i="26"/>
  <c r="Q238" i="26" s="1"/>
  <c r="R238" i="26" s="1"/>
  <c r="N223" i="26"/>
  <c r="Q223" i="26" s="1"/>
  <c r="R223" i="26" s="1"/>
  <c r="H218" i="26"/>
  <c r="I218" i="26" s="1"/>
  <c r="H230" i="26"/>
  <c r="I230" i="26" s="1"/>
  <c r="R44" i="14"/>
  <c r="R45" i="14" s="1"/>
  <c r="R46" i="14" s="1"/>
  <c r="R47" i="14" s="1"/>
  <c r="L51" i="14" s="1"/>
  <c r="N226" i="26"/>
  <c r="Q226" i="26" s="1"/>
  <c r="R226" i="26" s="1"/>
  <c r="N232" i="26"/>
  <c r="Q232" i="26" s="1"/>
  <c r="R232" i="26" s="1"/>
  <c r="AI108" i="14"/>
  <c r="AI109" i="14" s="1"/>
  <c r="AK109" i="14" s="1"/>
  <c r="H228" i="26"/>
  <c r="I228" i="26" s="1"/>
  <c r="N205" i="26"/>
  <c r="Q205" i="26" s="1"/>
  <c r="R205" i="26" s="1"/>
  <c r="H202" i="26"/>
  <c r="I202" i="26" s="1"/>
  <c r="N221" i="26"/>
  <c r="Q221" i="26" s="1"/>
  <c r="R221" i="26" s="1"/>
  <c r="H213" i="26"/>
  <c r="I213" i="26" s="1"/>
  <c r="H215" i="26"/>
  <c r="I215" i="26" s="1"/>
  <c r="N229" i="26"/>
  <c r="Q229" i="26" s="1"/>
  <c r="R229" i="26" s="1"/>
  <c r="H229" i="26"/>
  <c r="I229" i="26" s="1"/>
  <c r="K32" i="3"/>
  <c r="AQ98" i="13"/>
  <c r="P32" i="5"/>
  <c r="AK98" i="13"/>
  <c r="J32" i="6"/>
  <c r="I225" i="26"/>
  <c r="B13" i="36"/>
  <c r="L63" i="10"/>
  <c r="N61" i="10" s="1"/>
  <c r="AQ128" i="9"/>
  <c r="AK128" i="9"/>
  <c r="H42" i="40"/>
  <c r="K42" i="40" s="1"/>
  <c r="R61" i="10"/>
  <c r="R63" i="10" s="1"/>
  <c r="AI131" i="10"/>
  <c r="AK128" i="10"/>
  <c r="AQ128" i="10"/>
  <c r="L60" i="9"/>
  <c r="O41" i="35"/>
  <c r="R14" i="34" s="1"/>
  <c r="AK93" i="8"/>
  <c r="AQ93" i="8"/>
  <c r="AK91" i="8"/>
  <c r="AQ91" i="8"/>
  <c r="R59" i="26" l="1"/>
  <c r="D13" i="52"/>
  <c r="E13" i="52" s="1"/>
  <c r="R56" i="26"/>
  <c r="D10" i="52"/>
  <c r="E10" i="52" s="1"/>
  <c r="R54" i="26"/>
  <c r="D8" i="52"/>
  <c r="E8" i="52" s="1"/>
  <c r="R60" i="26"/>
  <c r="D14" i="52"/>
  <c r="E14" i="52" s="1"/>
  <c r="R55" i="26"/>
  <c r="D9" i="52"/>
  <c r="E9" i="52" s="1"/>
  <c r="AK95" i="8"/>
  <c r="AQ95" i="8"/>
  <c r="R35" i="27"/>
  <c r="G67" i="26" s="1"/>
  <c r="AK95" i="14"/>
  <c r="AI96" i="14"/>
  <c r="AK96" i="14" s="1"/>
  <c r="R33" i="27"/>
  <c r="G63" i="26"/>
  <c r="H63" i="26" s="1"/>
  <c r="I63" i="26" s="1"/>
  <c r="R36" i="8"/>
  <c r="H60" i="26"/>
  <c r="I60" i="26" s="1"/>
  <c r="L40" i="8"/>
  <c r="L41" i="8" s="1"/>
  <c r="G65" i="26"/>
  <c r="H65" i="26" s="1"/>
  <c r="I65" i="26" s="1"/>
  <c r="R38" i="27"/>
  <c r="G70" i="26" s="1"/>
  <c r="N70" i="26" s="1"/>
  <c r="Q70" i="26" s="1"/>
  <c r="C9" i="48"/>
  <c r="D9" i="48" s="1"/>
  <c r="D7" i="48"/>
  <c r="N66" i="26"/>
  <c r="Q66" i="26" s="1"/>
  <c r="G62" i="26"/>
  <c r="H62" i="26" s="1"/>
  <c r="I62" i="26" s="1"/>
  <c r="H59" i="26"/>
  <c r="I59" i="26" s="1"/>
  <c r="H71" i="26"/>
  <c r="I71" i="26" s="1"/>
  <c r="N71" i="26"/>
  <c r="Q71" i="26" s="1"/>
  <c r="G58" i="26"/>
  <c r="G73" i="26"/>
  <c r="G68" i="26"/>
  <c r="G72" i="26"/>
  <c r="G57" i="26"/>
  <c r="N57" i="26" s="1"/>
  <c r="Q57" i="26" s="1"/>
  <c r="G69" i="26"/>
  <c r="H53" i="26"/>
  <c r="I53" i="26" s="1"/>
  <c r="N53" i="26"/>
  <c r="Q53" i="26" s="1"/>
  <c r="G61" i="26"/>
  <c r="G64" i="26"/>
  <c r="H56" i="26"/>
  <c r="I56" i="26" s="1"/>
  <c r="AQ94" i="14"/>
  <c r="AK94" i="14"/>
  <c r="AK118" i="12"/>
  <c r="AI120" i="12"/>
  <c r="AQ118" i="12"/>
  <c r="B45" i="40"/>
  <c r="L45" i="40" s="1"/>
  <c r="G31" i="3"/>
  <c r="I31" i="3" s="1"/>
  <c r="K31" i="3" s="1"/>
  <c r="R31" i="6"/>
  <c r="AK108" i="14"/>
  <c r="AI110" i="14"/>
  <c r="AQ109" i="14"/>
  <c r="AQ108" i="14"/>
  <c r="AO38" i="35"/>
  <c r="R20" i="34" s="1"/>
  <c r="X32" i="5"/>
  <c r="R32" i="5"/>
  <c r="R51" i="14"/>
  <c r="AI115" i="14"/>
  <c r="L54" i="14"/>
  <c r="N42" i="10"/>
  <c r="L28" i="6"/>
  <c r="N25" i="10"/>
  <c r="N23" i="10"/>
  <c r="N24" i="10"/>
  <c r="N40" i="10"/>
  <c r="N41" i="10"/>
  <c r="N57" i="10"/>
  <c r="N60" i="10"/>
  <c r="N30" i="10"/>
  <c r="N47" i="10"/>
  <c r="N29" i="10"/>
  <c r="N51" i="10"/>
  <c r="N45" i="10"/>
  <c r="N28" i="10"/>
  <c r="N34" i="10"/>
  <c r="N46" i="10"/>
  <c r="N31" i="10"/>
  <c r="N48" i="10"/>
  <c r="N35" i="10"/>
  <c r="N53" i="10"/>
  <c r="N36" i="10"/>
  <c r="N52" i="10"/>
  <c r="N54" i="10"/>
  <c r="N58" i="10"/>
  <c r="AI133" i="10"/>
  <c r="AQ131" i="10"/>
  <c r="AK131" i="10"/>
  <c r="B42" i="40"/>
  <c r="L42" i="40" s="1"/>
  <c r="R28" i="6"/>
  <c r="G28" i="3"/>
  <c r="I28" i="3" s="1"/>
  <c r="AI132" i="9"/>
  <c r="R60" i="9"/>
  <c r="L63" i="9"/>
  <c r="AK110" i="14"/>
  <c r="AQ110" i="14"/>
  <c r="AI96" i="8"/>
  <c r="AK92" i="8"/>
  <c r="AQ92" i="8"/>
  <c r="R70" i="26" l="1"/>
  <c r="D24" i="52"/>
  <c r="E24" i="52" s="1"/>
  <c r="R40" i="8"/>
  <c r="W36" i="8"/>
  <c r="R53" i="26"/>
  <c r="D7" i="52"/>
  <c r="E7" i="52" s="1"/>
  <c r="AQ96" i="14"/>
  <c r="AI111" i="14"/>
  <c r="R71" i="26"/>
  <c r="D25" i="52"/>
  <c r="E25" i="52" s="1"/>
  <c r="R66" i="26"/>
  <c r="D20" i="52"/>
  <c r="E20" i="52" s="1"/>
  <c r="R57" i="26"/>
  <c r="C6" i="36" s="1"/>
  <c r="D11" i="52"/>
  <c r="E11" i="52" s="1"/>
  <c r="N63" i="26"/>
  <c r="Q63" i="26" s="1"/>
  <c r="N65" i="26"/>
  <c r="Q65" i="26" s="1"/>
  <c r="N62" i="26"/>
  <c r="Q62" i="26" s="1"/>
  <c r="H68" i="26"/>
  <c r="I68" i="26" s="1"/>
  <c r="N68" i="26"/>
  <c r="Q68" i="26" s="1"/>
  <c r="N73" i="26"/>
  <c r="Q73" i="26" s="1"/>
  <c r="H73" i="26"/>
  <c r="I73" i="26" s="1"/>
  <c r="H58" i="26"/>
  <c r="I58" i="26" s="1"/>
  <c r="N58" i="26"/>
  <c r="Q58" i="26" s="1"/>
  <c r="H57" i="26"/>
  <c r="I57" i="26" s="1"/>
  <c r="N64" i="26"/>
  <c r="Q64" i="26" s="1"/>
  <c r="H64" i="26"/>
  <c r="I64" i="26" s="1"/>
  <c r="H67" i="26"/>
  <c r="I67" i="26" s="1"/>
  <c r="N67" i="26"/>
  <c r="Q67" i="26" s="1"/>
  <c r="H70" i="26"/>
  <c r="I70" i="26" s="1"/>
  <c r="H61" i="26"/>
  <c r="I61" i="26" s="1"/>
  <c r="N61" i="26"/>
  <c r="Q61" i="26" s="1"/>
  <c r="H72" i="26"/>
  <c r="I72" i="26" s="1"/>
  <c r="N72" i="26"/>
  <c r="Q72" i="26" s="1"/>
  <c r="H69" i="26"/>
  <c r="I69" i="26" s="1"/>
  <c r="N69" i="26"/>
  <c r="Q69" i="26" s="1"/>
  <c r="AQ120" i="12"/>
  <c r="P31" i="5"/>
  <c r="AK120" i="12"/>
  <c r="K28" i="3"/>
  <c r="L56" i="14"/>
  <c r="N54" i="14" s="1"/>
  <c r="AK115" i="14"/>
  <c r="AI118" i="14"/>
  <c r="AI120" i="14" s="1"/>
  <c r="AQ115" i="14"/>
  <c r="H47" i="40"/>
  <c r="K47" i="40" s="1"/>
  <c r="R54" i="14"/>
  <c r="R56" i="14" s="1"/>
  <c r="AK132" i="9"/>
  <c r="AI135" i="9"/>
  <c r="AQ132" i="9"/>
  <c r="H41" i="40"/>
  <c r="K41" i="40" s="1"/>
  <c r="R63" i="9"/>
  <c r="R65" i="9" s="1"/>
  <c r="AK96" i="8"/>
  <c r="AQ96" i="8"/>
  <c r="L65" i="9"/>
  <c r="AQ133" i="10"/>
  <c r="P28" i="5"/>
  <c r="AK133" i="10"/>
  <c r="J28" i="6"/>
  <c r="AK111" i="14"/>
  <c r="AQ111" i="14"/>
  <c r="AI97" i="8"/>
  <c r="G50" i="35"/>
  <c r="R10" i="34" s="1"/>
  <c r="R68" i="26" l="1"/>
  <c r="D22" i="52"/>
  <c r="E22" i="52" s="1"/>
  <c r="R65" i="26"/>
  <c r="D19" i="52"/>
  <c r="E19" i="52" s="1"/>
  <c r="R73" i="26"/>
  <c r="D27" i="52"/>
  <c r="E27" i="52" s="1"/>
  <c r="R62" i="26"/>
  <c r="D16" i="52"/>
  <c r="E16" i="52" s="1"/>
  <c r="R61" i="26"/>
  <c r="D15" i="52"/>
  <c r="E15" i="52" s="1"/>
  <c r="R72" i="26"/>
  <c r="D26" i="52"/>
  <c r="E26" i="52" s="1"/>
  <c r="R69" i="26"/>
  <c r="D23" i="52"/>
  <c r="E23" i="52" s="1"/>
  <c r="R58" i="26"/>
  <c r="U54" i="26" s="1"/>
  <c r="D12" i="52"/>
  <c r="E12" i="52" s="1"/>
  <c r="R41" i="8"/>
  <c r="W40" i="8"/>
  <c r="W32" i="8" s="1"/>
  <c r="R67" i="26"/>
  <c r="D21" i="52"/>
  <c r="E21" i="52" s="1"/>
  <c r="R63" i="26"/>
  <c r="D17" i="52"/>
  <c r="E17" i="52" s="1"/>
  <c r="R64" i="26"/>
  <c r="D18" i="52"/>
  <c r="E18" i="52" s="1"/>
  <c r="B6" i="36"/>
  <c r="X31" i="5"/>
  <c r="R31" i="5"/>
  <c r="N46" i="9"/>
  <c r="N42" i="9"/>
  <c r="N24" i="9"/>
  <c r="N41" i="9"/>
  <c r="L27" i="6"/>
  <c r="N23" i="9"/>
  <c r="N28" i="9"/>
  <c r="N59" i="9"/>
  <c r="N62" i="9"/>
  <c r="N45" i="9"/>
  <c r="N53" i="9"/>
  <c r="N35" i="9"/>
  <c r="N49" i="9"/>
  <c r="N31" i="9"/>
  <c r="N50" i="9"/>
  <c r="N44" i="9"/>
  <c r="N26" i="9"/>
  <c r="N27" i="9"/>
  <c r="N32" i="9"/>
  <c r="N47" i="9"/>
  <c r="N36" i="9"/>
  <c r="N29" i="9"/>
  <c r="N33" i="9"/>
  <c r="N51" i="9"/>
  <c r="N54" i="9"/>
  <c r="N55" i="9"/>
  <c r="N37" i="9"/>
  <c r="N56" i="9"/>
  <c r="N60" i="9"/>
  <c r="AQ135" i="9"/>
  <c r="AK135" i="9"/>
  <c r="AI137" i="9"/>
  <c r="N63" i="9"/>
  <c r="P36" i="5"/>
  <c r="AK120" i="14"/>
  <c r="AQ120" i="14"/>
  <c r="X36" i="5" s="1"/>
  <c r="AK97" i="8"/>
  <c r="AQ97" i="8"/>
  <c r="B41" i="40"/>
  <c r="L41" i="40" s="1"/>
  <c r="R27" i="6"/>
  <c r="G27" i="3"/>
  <c r="I27" i="3" s="1"/>
  <c r="B47" i="40"/>
  <c r="L47" i="40" s="1"/>
  <c r="G36" i="3"/>
  <c r="R36" i="6"/>
  <c r="R37" i="6" s="1"/>
  <c r="AK118" i="14"/>
  <c r="AQ118" i="14"/>
  <c r="X28" i="5"/>
  <c r="R28" i="5"/>
  <c r="N35" i="14"/>
  <c r="L36" i="6"/>
  <c r="N21" i="14"/>
  <c r="N53" i="14"/>
  <c r="N50" i="14"/>
  <c r="N38" i="14"/>
  <c r="N24" i="14"/>
  <c r="N25" i="14"/>
  <c r="N26" i="14"/>
  <c r="N40" i="14"/>
  <c r="N39" i="14"/>
  <c r="N29" i="14"/>
  <c r="N43" i="14"/>
  <c r="N45" i="14"/>
  <c r="N30" i="14"/>
  <c r="N44" i="14"/>
  <c r="N46" i="14"/>
  <c r="N31" i="14"/>
  <c r="N47" i="14"/>
  <c r="N32" i="14"/>
  <c r="N51" i="14"/>
  <c r="U53" i="26" l="1"/>
  <c r="R42" i="8"/>
  <c r="L45" i="8"/>
  <c r="K27" i="3"/>
  <c r="AQ137" i="9"/>
  <c r="P27" i="5"/>
  <c r="AK137" i="9"/>
  <c r="P37" i="5"/>
  <c r="R36" i="5"/>
  <c r="J27" i="6"/>
  <c r="I36" i="3"/>
  <c r="G37" i="3"/>
  <c r="L37" i="6"/>
  <c r="N36" i="6" s="1"/>
  <c r="J36" i="6"/>
  <c r="R45" i="8" l="1"/>
  <c r="AI101" i="8"/>
  <c r="L48" i="8"/>
  <c r="R37" i="5"/>
  <c r="X37" i="5"/>
  <c r="J37" i="6"/>
  <c r="R27" i="5"/>
  <c r="X27" i="5"/>
  <c r="I37" i="3"/>
  <c r="K36" i="3"/>
  <c r="AK101" i="8" l="1"/>
  <c r="AQ101" i="8"/>
  <c r="AI104" i="8"/>
  <c r="L50" i="8"/>
  <c r="N48" i="8"/>
  <c r="R48" i="8"/>
  <c r="R50" i="8" s="1"/>
  <c r="H40" i="40"/>
  <c r="K40" i="40" s="1"/>
  <c r="K37" i="3"/>
  <c r="R51" i="8" l="1"/>
  <c r="B40" i="40"/>
  <c r="L40" i="40" s="1"/>
  <c r="R26" i="6"/>
  <c r="R33" i="6" s="1"/>
  <c r="G26" i="3"/>
  <c r="N41" i="8"/>
  <c r="N40" i="8"/>
  <c r="N36" i="8"/>
  <c r="N26" i="8"/>
  <c r="N37" i="8"/>
  <c r="N32" i="8"/>
  <c r="N47" i="8"/>
  <c r="N30" i="8"/>
  <c r="N24" i="8"/>
  <c r="N25" i="8"/>
  <c r="L26" i="6"/>
  <c r="N35" i="8"/>
  <c r="N39" i="8"/>
  <c r="N38" i="8"/>
  <c r="N44" i="8"/>
  <c r="N31" i="8"/>
  <c r="N27" i="8"/>
  <c r="N45" i="8"/>
  <c r="AQ104" i="8"/>
  <c r="AI106" i="8"/>
  <c r="AO181" i="19"/>
  <c r="AO180" i="19"/>
  <c r="AO189" i="19"/>
  <c r="AO188" i="19"/>
  <c r="AO193" i="19"/>
  <c r="AO186" i="19"/>
  <c r="AO194" i="19"/>
  <c r="AO177" i="19"/>
  <c r="AO184" i="19"/>
  <c r="AO187" i="19"/>
  <c r="AO178" i="19"/>
  <c r="AO176" i="19"/>
  <c r="AO185" i="19"/>
  <c r="AO192" i="19"/>
  <c r="AO175" i="19"/>
  <c r="AO191" i="19"/>
  <c r="AQ191" i="19" s="1"/>
  <c r="AO182" i="19"/>
  <c r="AQ182" i="19" s="1"/>
  <c r="J26" i="6" l="1"/>
  <c r="L33" i="6"/>
  <c r="N26" i="6"/>
  <c r="G33" i="3"/>
  <c r="I26" i="3"/>
  <c r="AK106" i="8"/>
  <c r="AQ108" i="8"/>
  <c r="P26" i="5"/>
  <c r="AQ106" i="8"/>
  <c r="AO196" i="19"/>
  <c r="AO205" i="19"/>
  <c r="AQ205" i="19" s="1"/>
  <c r="AO203" i="19"/>
  <c r="AO207" i="19"/>
  <c r="AQ207" i="19" s="1"/>
  <c r="AO213" i="19"/>
  <c r="AO211" i="19"/>
  <c r="AQ211" i="19" s="1"/>
  <c r="AO215" i="19"/>
  <c r="AO202" i="19"/>
  <c r="AO201" i="19"/>
  <c r="AQ201" i="19" s="1"/>
  <c r="AO206" i="19"/>
  <c r="AQ206" i="19" s="1"/>
  <c r="AO210" i="19"/>
  <c r="AO212" i="19"/>
  <c r="AO214" i="19"/>
  <c r="AO200" i="19"/>
  <c r="AO264" i="19"/>
  <c r="AO253" i="19"/>
  <c r="AO255" i="19"/>
  <c r="AO248" i="19"/>
  <c r="AO245" i="19"/>
  <c r="AO252" i="19"/>
  <c r="AQ252" i="19" s="1"/>
  <c r="AO251" i="19"/>
  <c r="AQ251" i="19" s="1"/>
  <c r="AO250" i="19"/>
  <c r="AO259" i="19"/>
  <c r="AO256" i="19"/>
  <c r="AO258" i="19"/>
  <c r="AO246" i="19"/>
  <c r="AO260" i="19"/>
  <c r="AO257" i="19"/>
  <c r="AQ257" i="19" s="1"/>
  <c r="AO262" i="19"/>
  <c r="AO261" i="19"/>
  <c r="AQ261" i="19" s="1"/>
  <c r="AO263" i="19"/>
  <c r="AO247" i="19"/>
  <c r="AQ247" i="19" s="1"/>
  <c r="AM265" i="19"/>
  <c r="AM293" i="19" s="1"/>
  <c r="AO244" i="19"/>
  <c r="I33" i="3" l="1"/>
  <c r="K33" i="3" s="1"/>
  <c r="K26" i="3"/>
  <c r="N27" i="6"/>
  <c r="N31" i="6"/>
  <c r="J33" i="6"/>
  <c r="N32" i="6"/>
  <c r="N29" i="6"/>
  <c r="N28" i="6"/>
  <c r="N30" i="6"/>
  <c r="P33" i="5"/>
  <c r="R26" i="5"/>
  <c r="X26" i="5"/>
  <c r="T47" i="5"/>
  <c r="T54" i="5" s="1"/>
  <c r="T67" i="5" s="1"/>
  <c r="P34" i="4"/>
  <c r="AO265" i="19"/>
  <c r="X33" i="5" l="1"/>
  <c r="R33" i="5"/>
  <c r="AE285" i="19"/>
  <c r="AO285" i="19" s="1"/>
  <c r="N10" i="34"/>
  <c r="N17" i="34" s="1"/>
  <c r="D23" i="34" s="1"/>
  <c r="P49" i="4"/>
  <c r="D20" i="40"/>
  <c r="AE287" i="19" l="1"/>
  <c r="J23" i="34"/>
  <c r="D29" i="34"/>
  <c r="E20" i="40"/>
  <c r="E28" i="40" s="1"/>
  <c r="D28" i="40"/>
  <c r="D32" i="40" s="1"/>
  <c r="AE293" i="19"/>
  <c r="AG287" i="19" s="1"/>
  <c r="O11" i="34"/>
  <c r="O14" i="34"/>
  <c r="O12" i="34"/>
  <c r="O16" i="34"/>
  <c r="O15" i="34"/>
  <c r="O13" i="34"/>
  <c r="H20" i="40"/>
  <c r="AO287" i="19"/>
  <c r="O10" i="34"/>
  <c r="I30" i="34" l="1"/>
  <c r="J29" i="34"/>
  <c r="AG1" i="38"/>
  <c r="J110" i="38" s="1"/>
  <c r="L110" i="38" s="1"/>
  <c r="AG1" i="19"/>
  <c r="AO293" i="19"/>
  <c r="H28" i="40"/>
  <c r="K20" i="40"/>
  <c r="K28" i="40" s="1"/>
  <c r="AG291" i="19"/>
  <c r="AG292" i="19"/>
  <c r="AG182" i="19"/>
  <c r="AG282" i="19"/>
  <c r="AG263" i="19"/>
  <c r="AG180" i="19"/>
  <c r="AG281" i="19"/>
  <c r="AG202" i="19"/>
  <c r="AG191" i="19"/>
  <c r="J34" i="4"/>
  <c r="AG279" i="19"/>
  <c r="AG184" i="19"/>
  <c r="AG268" i="19"/>
  <c r="AG265" i="19"/>
  <c r="AG186" i="19"/>
  <c r="AG286" i="19"/>
  <c r="AG210" i="19"/>
  <c r="AG194" i="19"/>
  <c r="AG274" i="19"/>
  <c r="AG273" i="19"/>
  <c r="AG260" i="19"/>
  <c r="AG290" i="19"/>
  <c r="AG270" i="19"/>
  <c r="AG269" i="19"/>
  <c r="AG247" i="19"/>
  <c r="AG200" i="19"/>
  <c r="AG248" i="19"/>
  <c r="AG175" i="19"/>
  <c r="AG280" i="19"/>
  <c r="AG250" i="19"/>
  <c r="AG244" i="19"/>
  <c r="AG278" i="19"/>
  <c r="AG176" i="19"/>
  <c r="AG257" i="19"/>
  <c r="AG262" i="19"/>
  <c r="AG215" i="19"/>
  <c r="L47" i="5"/>
  <c r="AG188" i="19"/>
  <c r="AG275" i="19"/>
  <c r="AG213" i="19"/>
  <c r="AG255" i="19"/>
  <c r="AG261" i="19"/>
  <c r="AG276" i="19"/>
  <c r="AG245" i="19"/>
  <c r="AG201" i="19"/>
  <c r="AG196" i="19"/>
  <c r="AG211" i="19"/>
  <c r="AG189" i="19"/>
  <c r="AG205" i="19"/>
  <c r="AG252" i="19"/>
  <c r="AG203" i="19"/>
  <c r="AG271" i="19"/>
  <c r="AG207" i="19"/>
  <c r="AG178" i="19"/>
  <c r="AG214" i="19"/>
  <c r="AG246" i="19"/>
  <c r="AG187" i="19"/>
  <c r="AG251" i="19"/>
  <c r="AG177" i="19"/>
  <c r="AG256" i="19"/>
  <c r="AG264" i="19"/>
  <c r="AG277" i="19"/>
  <c r="AG192" i="19"/>
  <c r="AG253" i="19"/>
  <c r="AG258" i="19"/>
  <c r="AG259" i="19"/>
  <c r="AG193" i="19"/>
  <c r="AG212" i="19"/>
  <c r="AG272" i="19"/>
  <c r="AG181" i="19"/>
  <c r="AG185" i="19"/>
  <c r="AG206" i="19"/>
  <c r="AG285" i="19"/>
  <c r="J313" i="38" l="1"/>
  <c r="L313" i="38" s="1"/>
  <c r="J311" i="38"/>
  <c r="L311" i="38" s="1"/>
  <c r="J312" i="38"/>
  <c r="L312" i="38" s="1"/>
  <c r="J310" i="38"/>
  <c r="L310" i="38" s="1"/>
  <c r="J309" i="38"/>
  <c r="L309" i="38" s="1"/>
  <c r="J308" i="38"/>
  <c r="L308" i="38" s="1"/>
  <c r="J307" i="38"/>
  <c r="L307" i="38" s="1"/>
  <c r="J324" i="38"/>
  <c r="L324" i="38" s="1"/>
  <c r="J302" i="38"/>
  <c r="L302" i="38" s="1"/>
  <c r="J290" i="38"/>
  <c r="L290" i="38" s="1"/>
  <c r="J254" i="38"/>
  <c r="L254" i="38" s="1"/>
  <c r="J239" i="38"/>
  <c r="L239" i="38" s="1"/>
  <c r="J259" i="38"/>
  <c r="L259" i="38" s="1"/>
  <c r="J243" i="38"/>
  <c r="L243" i="38" s="1"/>
  <c r="J292" i="38"/>
  <c r="L292" i="38" s="1"/>
  <c r="J291" i="38"/>
  <c r="L291" i="38" s="1"/>
  <c r="J323" i="38"/>
  <c r="L323" i="38" s="1"/>
  <c r="J301" i="38"/>
  <c r="L301" i="38" s="1"/>
  <c r="J289" i="38"/>
  <c r="L289" i="38" s="1"/>
  <c r="J253" i="38"/>
  <c r="L253" i="38" s="1"/>
  <c r="J238" i="38"/>
  <c r="L238" i="38" s="1"/>
  <c r="J248" i="38"/>
  <c r="L248" i="38" s="1"/>
  <c r="J298" i="38"/>
  <c r="L298" i="38" s="1"/>
  <c r="J319" i="38"/>
  <c r="L319" i="38" s="1"/>
  <c r="R319" i="38" s="1"/>
  <c r="J261" i="38"/>
  <c r="L261" i="38" s="1"/>
  <c r="J318" i="38"/>
  <c r="L318" i="38" s="1"/>
  <c r="J245" i="38"/>
  <c r="L245" i="38" s="1"/>
  <c r="J244" i="38"/>
  <c r="L244" i="38" s="1"/>
  <c r="J258" i="38"/>
  <c r="L258" i="38" s="1"/>
  <c r="J242" i="38"/>
  <c r="L242" i="38" s="1"/>
  <c r="J241" i="38"/>
  <c r="L241" i="38" s="1"/>
  <c r="J255" i="38"/>
  <c r="L255" i="38" s="1"/>
  <c r="J322" i="38"/>
  <c r="L322" i="38" s="1"/>
  <c r="J300" i="38"/>
  <c r="L300" i="38" s="1"/>
  <c r="J264" i="38"/>
  <c r="L264" i="38" s="1"/>
  <c r="J252" i="38"/>
  <c r="L252" i="38" s="1"/>
  <c r="J237" i="38"/>
  <c r="L237" i="38" s="1"/>
  <c r="J321" i="38"/>
  <c r="L321" i="38" s="1"/>
  <c r="J299" i="38"/>
  <c r="L299" i="38" s="1"/>
  <c r="J263" i="38"/>
  <c r="L263" i="38" s="1"/>
  <c r="J236" i="38"/>
  <c r="L236" i="38" s="1"/>
  <c r="J320" i="38"/>
  <c r="L320" i="38" s="1"/>
  <c r="J262" i="38"/>
  <c r="L262" i="38" s="1"/>
  <c r="J247" i="38"/>
  <c r="L247" i="38" s="1"/>
  <c r="J297" i="38"/>
  <c r="L297" i="38" s="1"/>
  <c r="J246" i="38"/>
  <c r="L246" i="38" s="1"/>
  <c r="J296" i="38"/>
  <c r="L296" i="38" s="1"/>
  <c r="J260" i="38"/>
  <c r="L260" i="38" s="1"/>
  <c r="J317" i="38"/>
  <c r="L317" i="38" s="1"/>
  <c r="J295" i="38"/>
  <c r="L295" i="38" s="1"/>
  <c r="J306" i="38"/>
  <c r="L306" i="38" s="1"/>
  <c r="J294" i="38"/>
  <c r="L294" i="38" s="1"/>
  <c r="J305" i="38"/>
  <c r="L305" i="38" s="1"/>
  <c r="J293" i="38"/>
  <c r="L293" i="38" s="1"/>
  <c r="J257" i="38"/>
  <c r="L257" i="38" s="1"/>
  <c r="J304" i="38"/>
  <c r="L304" i="38" s="1"/>
  <c r="J256" i="38"/>
  <c r="L256" i="38" s="1"/>
  <c r="J303" i="38"/>
  <c r="L303" i="38" s="1"/>
  <c r="J240" i="38"/>
  <c r="L240" i="38" s="1"/>
  <c r="J156" i="38"/>
  <c r="L156" i="38" s="1"/>
  <c r="J103" i="19"/>
  <c r="L103" i="19" s="1"/>
  <c r="AE16" i="19"/>
  <c r="AG16" i="19" s="1"/>
  <c r="AE8" i="19"/>
  <c r="AG8" i="19" s="1"/>
  <c r="J130" i="38"/>
  <c r="L130" i="38" s="1"/>
  <c r="J185" i="38"/>
  <c r="L185" i="38" s="1"/>
  <c r="J124" i="38"/>
  <c r="L124" i="38" s="1"/>
  <c r="J128" i="38"/>
  <c r="L128" i="38" s="1"/>
  <c r="J183" i="38"/>
  <c r="L183" i="38" s="1"/>
  <c r="J193" i="38"/>
  <c r="L193" i="38" s="1"/>
  <c r="J118" i="38"/>
  <c r="L118" i="38" s="1"/>
  <c r="J224" i="38"/>
  <c r="L224" i="38" s="1"/>
  <c r="J197" i="38"/>
  <c r="L197" i="38" s="1"/>
  <c r="K28" i="38"/>
  <c r="J27" i="38"/>
  <c r="J44" i="38"/>
  <c r="K48" i="38"/>
  <c r="K45" i="38"/>
  <c r="K50" i="38"/>
  <c r="J49" i="38"/>
  <c r="J47" i="38"/>
  <c r="K49" i="38"/>
  <c r="J48" i="38"/>
  <c r="J39" i="38"/>
  <c r="K55" i="38"/>
  <c r="J54" i="38"/>
  <c r="J53" i="38"/>
  <c r="J120" i="19"/>
  <c r="L120" i="19" s="1"/>
  <c r="J117" i="19"/>
  <c r="L117" i="19" s="1"/>
  <c r="J123" i="19"/>
  <c r="L123" i="19" s="1"/>
  <c r="AE9" i="19"/>
  <c r="AG9" i="19" s="1"/>
  <c r="J172" i="38"/>
  <c r="L172" i="38" s="1"/>
  <c r="J116" i="38"/>
  <c r="L116" i="38" s="1"/>
  <c r="J182" i="38"/>
  <c r="L182" i="38" s="1"/>
  <c r="K59" i="38"/>
  <c r="J52" i="38"/>
  <c r="J28" i="38"/>
  <c r="J114" i="19"/>
  <c r="L114" i="19" s="1"/>
  <c r="J171" i="38"/>
  <c r="L171" i="38" s="1"/>
  <c r="J23" i="38"/>
  <c r="K37" i="38"/>
  <c r="AE6" i="19"/>
  <c r="AG6" i="19" s="1"/>
  <c r="J196" i="38"/>
  <c r="L196" i="38" s="1"/>
  <c r="J122" i="38"/>
  <c r="L122" i="38" s="1"/>
  <c r="J177" i="38"/>
  <c r="L177" i="38" s="1"/>
  <c r="J120" i="38"/>
  <c r="L120" i="38" s="1"/>
  <c r="J175" i="38"/>
  <c r="L175" i="38" s="1"/>
  <c r="L329" i="38"/>
  <c r="J231" i="38"/>
  <c r="L231" i="38" s="1"/>
  <c r="J181" i="38"/>
  <c r="L181" i="38" s="1"/>
  <c r="J163" i="38"/>
  <c r="L163" i="38" s="1"/>
  <c r="K20" i="38"/>
  <c r="J87" i="38"/>
  <c r="K21" i="38"/>
  <c r="K42" i="38"/>
  <c r="J41" i="38"/>
  <c r="K30" i="38"/>
  <c r="K41" i="38"/>
  <c r="J40" i="38"/>
  <c r="K47" i="38"/>
  <c r="J46" i="38"/>
  <c r="J21" i="38"/>
  <c r="J126" i="19"/>
  <c r="L126" i="19" s="1"/>
  <c r="J229" i="38"/>
  <c r="L229" i="38" s="1"/>
  <c r="J179" i="38"/>
  <c r="L179" i="38" s="1"/>
  <c r="J55" i="38"/>
  <c r="K54" i="38"/>
  <c r="J25" i="38"/>
  <c r="J24" i="38"/>
  <c r="J124" i="19"/>
  <c r="L124" i="19" s="1"/>
  <c r="J184" i="38"/>
  <c r="L184" i="38" s="1"/>
  <c r="J116" i="19"/>
  <c r="L116" i="19" s="1"/>
  <c r="AE13" i="19"/>
  <c r="AG13" i="19" s="1"/>
  <c r="J189" i="38"/>
  <c r="L189" i="38" s="1"/>
  <c r="J114" i="38"/>
  <c r="L114" i="38" s="1"/>
  <c r="J169" i="38"/>
  <c r="L169" i="38" s="1"/>
  <c r="J187" i="38"/>
  <c r="L187" i="38" s="1"/>
  <c r="J119" i="38"/>
  <c r="L119" i="38" s="1"/>
  <c r="J167" i="38"/>
  <c r="L167" i="38" s="1"/>
  <c r="J225" i="38"/>
  <c r="L225" i="38" s="1"/>
  <c r="J164" i="38"/>
  <c r="L164" i="38" s="1"/>
  <c r="J173" i="38"/>
  <c r="L173" i="38" s="1"/>
  <c r="K40" i="38"/>
  <c r="J31" i="38"/>
  <c r="K34" i="38"/>
  <c r="J33" i="38"/>
  <c r="J45" i="38"/>
  <c r="K33" i="38"/>
  <c r="J32" i="38"/>
  <c r="K46" i="38"/>
  <c r="K39" i="38"/>
  <c r="J38" i="38"/>
  <c r="J125" i="19"/>
  <c r="L125" i="19" s="1"/>
  <c r="J122" i="19"/>
  <c r="L122" i="19" s="1"/>
  <c r="AE12" i="19"/>
  <c r="AG12" i="19" s="1"/>
  <c r="J161" i="38"/>
  <c r="L161" i="38" s="1"/>
  <c r="J227" i="38"/>
  <c r="L227" i="38" s="1"/>
  <c r="J159" i="38"/>
  <c r="L159" i="38" s="1"/>
  <c r="J165" i="38"/>
  <c r="L165" i="38" s="1"/>
  <c r="J58" i="38"/>
  <c r="K26" i="38"/>
  <c r="K25" i="38"/>
  <c r="J30" i="38"/>
  <c r="J186" i="38"/>
  <c r="L186" i="38" s="1"/>
  <c r="J190" i="38"/>
  <c r="L190" i="38" s="1"/>
  <c r="J174" i="38"/>
  <c r="L174" i="38" s="1"/>
  <c r="J157" i="38"/>
  <c r="L157" i="38" s="1"/>
  <c r="K51" i="38"/>
  <c r="J20" i="38"/>
  <c r="J29" i="38"/>
  <c r="AE18" i="19"/>
  <c r="AG18" i="19" s="1"/>
  <c r="AE11" i="19"/>
  <c r="AG11" i="19" s="1"/>
  <c r="J178" i="38"/>
  <c r="L178" i="38" s="1"/>
  <c r="J195" i="38"/>
  <c r="L195" i="38" s="1"/>
  <c r="J121" i="38"/>
  <c r="L121" i="38" s="1"/>
  <c r="J176" i="38"/>
  <c r="L176" i="38" s="1"/>
  <c r="J131" i="38"/>
  <c r="L131" i="38" s="1"/>
  <c r="J166" i="38"/>
  <c r="L166" i="38" s="1"/>
  <c r="J192" i="38"/>
  <c r="L192" i="38" s="1"/>
  <c r="J125" i="38"/>
  <c r="L125" i="38" s="1"/>
  <c r="K52" i="38"/>
  <c r="J51" i="38"/>
  <c r="K43" i="38"/>
  <c r="J42" i="38"/>
  <c r="J37" i="38"/>
  <c r="K56" i="38"/>
  <c r="K86" i="38"/>
  <c r="J127" i="19"/>
  <c r="L127" i="19" s="1"/>
  <c r="J115" i="19"/>
  <c r="L115" i="19" s="1"/>
  <c r="AE5" i="19"/>
  <c r="AG5" i="19" s="1"/>
  <c r="J162" i="38"/>
  <c r="L162" i="38" s="1"/>
  <c r="J160" i="38"/>
  <c r="L160" i="38" s="1"/>
  <c r="J123" i="38"/>
  <c r="L123" i="38" s="1"/>
  <c r="J232" i="38"/>
  <c r="L232" i="38" s="1"/>
  <c r="K36" i="38"/>
  <c r="K27" i="38"/>
  <c r="K61" i="38"/>
  <c r="K58" i="38"/>
  <c r="J86" i="38"/>
  <c r="J36" i="38"/>
  <c r="J118" i="19"/>
  <c r="L118" i="19" s="1"/>
  <c r="AE17" i="19"/>
  <c r="AG17" i="19" s="1"/>
  <c r="J129" i="38"/>
  <c r="L129" i="38" s="1"/>
  <c r="J115" i="38"/>
  <c r="L115" i="38" s="1"/>
  <c r="J59" i="38"/>
  <c r="J50" i="38"/>
  <c r="K23" i="38"/>
  <c r="J121" i="19"/>
  <c r="L121" i="19" s="1"/>
  <c r="AE14" i="19"/>
  <c r="AG14" i="19" s="1"/>
  <c r="AE7" i="19"/>
  <c r="AG7" i="19" s="1"/>
  <c r="J170" i="38"/>
  <c r="L170" i="38" s="1"/>
  <c r="J188" i="38"/>
  <c r="L188" i="38" s="1"/>
  <c r="J113" i="38"/>
  <c r="L113" i="38" s="1"/>
  <c r="J168" i="38"/>
  <c r="L168" i="38" s="1"/>
  <c r="J194" i="38"/>
  <c r="L194" i="38" s="1"/>
  <c r="J230" i="38"/>
  <c r="L230" i="38" s="1"/>
  <c r="J158" i="38"/>
  <c r="L158" i="38" s="1"/>
  <c r="L328" i="38"/>
  <c r="J117" i="38"/>
  <c r="L117" i="38" s="1"/>
  <c r="K44" i="38"/>
  <c r="J43" i="38"/>
  <c r="J61" i="38"/>
  <c r="K35" i="38"/>
  <c r="J34" i="38"/>
  <c r="K32" i="38"/>
  <c r="K24" i="38"/>
  <c r="K38" i="38"/>
  <c r="J60" i="38"/>
  <c r="J119" i="19"/>
  <c r="L119" i="19" s="1"/>
  <c r="AE10" i="19"/>
  <c r="AG10" i="19" s="1"/>
  <c r="J228" i="38"/>
  <c r="L228" i="38" s="1"/>
  <c r="J180" i="38"/>
  <c r="L180" i="38" s="1"/>
  <c r="J226" i="38"/>
  <c r="L226" i="38" s="1"/>
  <c r="J126" i="38"/>
  <c r="L126" i="38" s="1"/>
  <c r="J191" i="38"/>
  <c r="L191" i="38" s="1"/>
  <c r="J35" i="38"/>
  <c r="K29" i="38"/>
  <c r="J26" i="38"/>
  <c r="J57" i="38"/>
  <c r="K57" i="38"/>
  <c r="J56" i="38"/>
  <c r="K87" i="38"/>
  <c r="K88" i="38" s="1"/>
  <c r="K89" i="38" s="1"/>
  <c r="K90" i="38" s="1"/>
  <c r="K91" i="38" s="1"/>
  <c r="K92" i="38" s="1"/>
  <c r="K93" i="38" s="1"/>
  <c r="K94" i="38" s="1"/>
  <c r="K95" i="38" s="1"/>
  <c r="K96" i="38" s="1"/>
  <c r="K97" i="38" s="1"/>
  <c r="K98" i="38" s="1"/>
  <c r="K99" i="38" s="1"/>
  <c r="K100" i="38" s="1"/>
  <c r="K101" i="38" s="1"/>
  <c r="K102" i="38" s="1"/>
  <c r="K103" i="38" s="1"/>
  <c r="K104" i="38" s="1"/>
  <c r="K105" i="38" s="1"/>
  <c r="K106" i="38" s="1"/>
  <c r="K107" i="38" s="1"/>
  <c r="K22" i="38"/>
  <c r="K31" i="38"/>
  <c r="K53" i="38"/>
  <c r="AE15" i="19"/>
  <c r="AG15" i="19" s="1"/>
  <c r="J127" i="38"/>
  <c r="L127" i="38" s="1"/>
  <c r="K60" i="38"/>
  <c r="J22" i="38"/>
  <c r="J30" i="25"/>
  <c r="J53" i="24"/>
  <c r="J56" i="19"/>
  <c r="L56" i="19" s="1"/>
  <c r="J42" i="24"/>
  <c r="J61" i="19"/>
  <c r="L61" i="19" s="1"/>
  <c r="J33" i="25"/>
  <c r="J49" i="19"/>
  <c r="L49" i="19" s="1"/>
  <c r="J36" i="25"/>
  <c r="J28" i="24"/>
  <c r="J35" i="22"/>
  <c r="J41" i="24"/>
  <c r="J59" i="19"/>
  <c r="L59" i="19" s="1"/>
  <c r="J106" i="19"/>
  <c r="L106" i="19" s="1"/>
  <c r="J107" i="19"/>
  <c r="L107" i="19" s="1"/>
  <c r="J21" i="28"/>
  <c r="J27" i="24"/>
  <c r="J53" i="19"/>
  <c r="L53" i="19" s="1"/>
  <c r="J32" i="24"/>
  <c r="J31" i="19"/>
  <c r="L31" i="19" s="1"/>
  <c r="J36" i="24"/>
  <c r="J98" i="19"/>
  <c r="L98" i="19" s="1"/>
  <c r="J23" i="19"/>
  <c r="L23" i="19" s="1"/>
  <c r="J57" i="19"/>
  <c r="L57" i="19" s="1"/>
  <c r="J136" i="19"/>
  <c r="L136" i="19" s="1"/>
  <c r="J24" i="24"/>
  <c r="J48" i="24"/>
  <c r="J60" i="19"/>
  <c r="L60" i="19" s="1"/>
  <c r="J34" i="19"/>
  <c r="L34" i="19" s="1"/>
  <c r="J43" i="24"/>
  <c r="J37" i="25"/>
  <c r="J99" i="19"/>
  <c r="L99" i="19" s="1"/>
  <c r="J51" i="19"/>
  <c r="L51" i="19" s="1"/>
  <c r="J35" i="24"/>
  <c r="J22" i="24"/>
  <c r="J94" i="19"/>
  <c r="L94" i="19" s="1"/>
  <c r="J43" i="25"/>
  <c r="J28" i="22"/>
  <c r="J29" i="22"/>
  <c r="J39" i="25"/>
  <c r="J91" i="19"/>
  <c r="L91" i="19" s="1"/>
  <c r="J97" i="19"/>
  <c r="L97" i="19" s="1"/>
  <c r="J24" i="19"/>
  <c r="L24" i="19" s="1"/>
  <c r="J108" i="19"/>
  <c r="L108" i="19" s="1"/>
  <c r="J38" i="19"/>
  <c r="L38" i="19" s="1"/>
  <c r="J64" i="24"/>
  <c r="J22" i="22"/>
  <c r="J27" i="19"/>
  <c r="L27" i="19" s="1"/>
  <c r="J26" i="19"/>
  <c r="L26" i="19" s="1"/>
  <c r="J61" i="24"/>
  <c r="J110" i="19"/>
  <c r="L110" i="19" s="1"/>
  <c r="J24" i="20"/>
  <c r="L24" i="20" s="1"/>
  <c r="J21" i="19"/>
  <c r="L21" i="19" s="1"/>
  <c r="J34" i="25"/>
  <c r="J52" i="24"/>
  <c r="J58" i="19"/>
  <c r="L58" i="19" s="1"/>
  <c r="J101" i="19"/>
  <c r="L101" i="19" s="1"/>
  <c r="J137" i="19"/>
  <c r="L137" i="19" s="1"/>
  <c r="J24" i="25"/>
  <c r="J39" i="19"/>
  <c r="L39" i="19" s="1"/>
  <c r="J34" i="24"/>
  <c r="J42" i="25"/>
  <c r="J96" i="19"/>
  <c r="L96" i="19" s="1"/>
  <c r="J30" i="19"/>
  <c r="L30" i="19" s="1"/>
  <c r="J29" i="25"/>
  <c r="J40" i="19"/>
  <c r="L40" i="19" s="1"/>
  <c r="J23" i="22"/>
  <c r="J102" i="19"/>
  <c r="L102" i="19" s="1"/>
  <c r="J105" i="19"/>
  <c r="L105" i="19" s="1"/>
  <c r="J38" i="25"/>
  <c r="J33" i="24"/>
  <c r="J23" i="24"/>
  <c r="J57" i="24"/>
  <c r="J32" i="19"/>
  <c r="L32" i="19" s="1"/>
  <c r="J29" i="24"/>
  <c r="J23" i="25"/>
  <c r="J33" i="19"/>
  <c r="L33" i="19" s="1"/>
  <c r="J60" i="24"/>
  <c r="J92" i="19"/>
  <c r="L92" i="19" s="1"/>
  <c r="J28" i="19"/>
  <c r="L28" i="19" s="1"/>
  <c r="J46" i="19"/>
  <c r="L46" i="19" s="1"/>
  <c r="J55" i="24"/>
  <c r="J30" i="22"/>
  <c r="J47" i="19"/>
  <c r="L47" i="19" s="1"/>
  <c r="J22" i="19"/>
  <c r="L22" i="19" s="1"/>
  <c r="J35" i="25"/>
  <c r="J90" i="19"/>
  <c r="L90" i="19" s="1"/>
  <c r="J46" i="24"/>
  <c r="J35" i="19"/>
  <c r="L35" i="19" s="1"/>
  <c r="J26" i="22"/>
  <c r="J25" i="25"/>
  <c r="J52" i="19"/>
  <c r="L52" i="19" s="1"/>
  <c r="J37" i="19"/>
  <c r="L37" i="19" s="1"/>
  <c r="J56" i="24"/>
  <c r="J104" i="19"/>
  <c r="L104" i="19" s="1"/>
  <c r="J51" i="24"/>
  <c r="J48" i="19"/>
  <c r="L48" i="19" s="1"/>
  <c r="J28" i="25"/>
  <c r="J36" i="22"/>
  <c r="J44" i="25"/>
  <c r="J22" i="25"/>
  <c r="J93" i="19"/>
  <c r="L93" i="19" s="1"/>
  <c r="J54" i="24"/>
  <c r="J47" i="24"/>
  <c r="J109" i="19"/>
  <c r="L109" i="19" s="1"/>
  <c r="J40" i="24"/>
  <c r="AI462" i="38"/>
  <c r="R110" i="38"/>
  <c r="L54" i="5"/>
  <c r="N47" i="5" s="1"/>
  <c r="J47" i="5"/>
  <c r="J49" i="4"/>
  <c r="N34" i="4" s="1"/>
  <c r="L34" i="4"/>
  <c r="R34" i="4"/>
  <c r="E47" i="3"/>
  <c r="V47" i="5"/>
  <c r="R308" i="38" l="1"/>
  <c r="AI660" i="38"/>
  <c r="R309" i="38"/>
  <c r="AI661" i="38"/>
  <c r="R307" i="38"/>
  <c r="AI659" i="38"/>
  <c r="R310" i="38"/>
  <c r="AI662" i="38"/>
  <c r="R312" i="38"/>
  <c r="AI664" i="38"/>
  <c r="R311" i="38"/>
  <c r="AI663" i="38"/>
  <c r="R313" i="38"/>
  <c r="AI665" i="38"/>
  <c r="L55" i="38"/>
  <c r="R55" i="38" s="1"/>
  <c r="L106" i="38"/>
  <c r="AI458" i="38" s="1"/>
  <c r="L91" i="38"/>
  <c r="AI443" i="38" s="1"/>
  <c r="R257" i="38"/>
  <c r="AI609" i="38"/>
  <c r="R262" i="38"/>
  <c r="AI614" i="38"/>
  <c r="AI593" i="38"/>
  <c r="R241" i="38"/>
  <c r="R289" i="38"/>
  <c r="AI641" i="38"/>
  <c r="R293" i="38"/>
  <c r="AI645" i="38"/>
  <c r="R320" i="38"/>
  <c r="AI671" i="38"/>
  <c r="AI594" i="38"/>
  <c r="R242" i="38"/>
  <c r="R301" i="38"/>
  <c r="AI653" i="38"/>
  <c r="AI588" i="38"/>
  <c r="L249" i="38"/>
  <c r="R236" i="38"/>
  <c r="R263" i="38"/>
  <c r="AI615" i="38"/>
  <c r="R245" i="38"/>
  <c r="AI597" i="38"/>
  <c r="R295" i="38"/>
  <c r="AI647" i="38"/>
  <c r="AI589" i="38"/>
  <c r="R237" i="38"/>
  <c r="L35" i="38"/>
  <c r="R35" i="38" s="1"/>
  <c r="R260" i="38"/>
  <c r="AI612" i="38"/>
  <c r="AI604" i="38"/>
  <c r="L314" i="38"/>
  <c r="R252" i="38"/>
  <c r="AI591" i="38"/>
  <c r="R239" i="38"/>
  <c r="R305" i="38"/>
  <c r="AI657" i="38"/>
  <c r="R306" i="38"/>
  <c r="AI658" i="38"/>
  <c r="R318" i="38"/>
  <c r="AI670" i="38"/>
  <c r="R317" i="38"/>
  <c r="AI669" i="38"/>
  <c r="L325" i="38"/>
  <c r="AI676" i="38" s="1"/>
  <c r="AI592" i="38"/>
  <c r="R240" i="38"/>
  <c r="R296" i="38"/>
  <c r="AI648" i="38"/>
  <c r="R264" i="38"/>
  <c r="AI616" i="38"/>
  <c r="R298" i="38"/>
  <c r="AI650" i="38"/>
  <c r="R254" i="38"/>
  <c r="AI606" i="38"/>
  <c r="R323" i="38"/>
  <c r="AI674" i="38"/>
  <c r="L45" i="38"/>
  <c r="AI396" i="38" s="1"/>
  <c r="R294" i="38"/>
  <c r="AI646" i="38"/>
  <c r="R299" i="38"/>
  <c r="AI651" i="38"/>
  <c r="R321" i="38"/>
  <c r="AI672" i="38"/>
  <c r="L103" i="38"/>
  <c r="AI455" i="38" s="1"/>
  <c r="L48" i="38"/>
  <c r="R48" i="38" s="1"/>
  <c r="R303" i="38"/>
  <c r="AI655" i="38"/>
  <c r="R246" i="38"/>
  <c r="AI598" i="38"/>
  <c r="R300" i="38"/>
  <c r="AI652" i="38"/>
  <c r="AI600" i="38"/>
  <c r="R248" i="38"/>
  <c r="R290" i="38"/>
  <c r="AI642" i="38"/>
  <c r="AI596" i="38"/>
  <c r="R244" i="38"/>
  <c r="R261" i="38"/>
  <c r="AI613" i="38"/>
  <c r="R256" i="38"/>
  <c r="AI608" i="38"/>
  <c r="R297" i="38"/>
  <c r="AI649" i="38"/>
  <c r="R322" i="38"/>
  <c r="AI673" i="38"/>
  <c r="AI590" i="38"/>
  <c r="R238" i="38"/>
  <c r="R302" i="38"/>
  <c r="AI654" i="38"/>
  <c r="R258" i="38"/>
  <c r="AI610" i="38"/>
  <c r="R291" i="38"/>
  <c r="AI643" i="38"/>
  <c r="R292" i="38"/>
  <c r="AI644" i="38"/>
  <c r="R243" i="38"/>
  <c r="AI595" i="38"/>
  <c r="R259" i="38"/>
  <c r="AI611" i="38"/>
  <c r="R304" i="38"/>
  <c r="AI656" i="38"/>
  <c r="R247" i="38"/>
  <c r="AI599" i="38"/>
  <c r="R255" i="38"/>
  <c r="AI607" i="38"/>
  <c r="R253" i="38"/>
  <c r="AI605" i="38"/>
  <c r="R324" i="38"/>
  <c r="AI675" i="38"/>
  <c r="L28" i="38"/>
  <c r="AI379" i="38" s="1"/>
  <c r="L22" i="38"/>
  <c r="R22" i="38" s="1"/>
  <c r="L30" i="38"/>
  <c r="R30" i="38" s="1"/>
  <c r="L99" i="38"/>
  <c r="AI451" i="38" s="1"/>
  <c r="L20" i="38"/>
  <c r="AI371" i="38" s="1"/>
  <c r="L92" i="38"/>
  <c r="R92" i="38" s="1"/>
  <c r="L60" i="38"/>
  <c r="AI411" i="38" s="1"/>
  <c r="L89" i="38"/>
  <c r="AI441" i="38" s="1"/>
  <c r="L33" i="38"/>
  <c r="AI384" i="38" s="1"/>
  <c r="L46" i="38"/>
  <c r="AI397" i="38" s="1"/>
  <c r="L59" i="38"/>
  <c r="R59" i="38" s="1"/>
  <c r="L36" i="38"/>
  <c r="AI387" i="38" s="1"/>
  <c r="L50" i="38"/>
  <c r="R50" i="38" s="1"/>
  <c r="L96" i="38"/>
  <c r="R96" i="38" s="1"/>
  <c r="L24" i="38"/>
  <c r="AI375" i="38" s="1"/>
  <c r="L27" i="38"/>
  <c r="R27" i="38" s="1"/>
  <c r="L88" i="38"/>
  <c r="AI440" i="38" s="1"/>
  <c r="L102" i="38"/>
  <c r="AI454" i="38" s="1"/>
  <c r="L37" i="38"/>
  <c r="AI388" i="38" s="1"/>
  <c r="L107" i="38"/>
  <c r="R107" i="38" s="1"/>
  <c r="L21" i="38"/>
  <c r="AI372" i="38" s="1"/>
  <c r="L93" i="38"/>
  <c r="R93" i="38" s="1"/>
  <c r="L34" i="38"/>
  <c r="AI385" i="38" s="1"/>
  <c r="L57" i="38"/>
  <c r="AI408" i="38" s="1"/>
  <c r="L61" i="38"/>
  <c r="AI412" i="38" s="1"/>
  <c r="L86" i="38"/>
  <c r="R86" i="38" s="1"/>
  <c r="AI186" i="19"/>
  <c r="R32" i="19"/>
  <c r="L24" i="24"/>
  <c r="AI521" i="38"/>
  <c r="R169" i="38"/>
  <c r="R181" i="38"/>
  <c r="AI533" i="38"/>
  <c r="L44" i="38"/>
  <c r="R48" i="19"/>
  <c r="AI202" i="19"/>
  <c r="R101" i="19"/>
  <c r="AI255" i="19"/>
  <c r="L27" i="24"/>
  <c r="AI469" i="38"/>
  <c r="R117" i="38"/>
  <c r="L58" i="38"/>
  <c r="AI476" i="38"/>
  <c r="R124" i="38"/>
  <c r="L47" i="24"/>
  <c r="L51" i="24"/>
  <c r="L46" i="24"/>
  <c r="AI182" i="19"/>
  <c r="AK182" i="19" s="1"/>
  <c r="R28" i="19"/>
  <c r="L23" i="24"/>
  <c r="AI184" i="19"/>
  <c r="R30" i="19"/>
  <c r="R58" i="19"/>
  <c r="AI212" i="19"/>
  <c r="AI181" i="19"/>
  <c r="R27" i="19"/>
  <c r="L39" i="25"/>
  <c r="R99" i="19"/>
  <c r="AI253" i="19"/>
  <c r="AI211" i="19"/>
  <c r="AK211" i="19" s="1"/>
  <c r="R57" i="19"/>
  <c r="L21" i="28"/>
  <c r="R49" i="19"/>
  <c r="AI203" i="19"/>
  <c r="R191" i="38"/>
  <c r="AI543" i="38"/>
  <c r="L330" i="38"/>
  <c r="AI680" i="38"/>
  <c r="R328" i="38"/>
  <c r="AI481" i="38"/>
  <c r="R129" i="38"/>
  <c r="AI269" i="19"/>
  <c r="R115" i="19"/>
  <c r="L51" i="38"/>
  <c r="AI473" i="38"/>
  <c r="R121" i="38"/>
  <c r="AI509" i="38"/>
  <c r="R157" i="38"/>
  <c r="R91" i="38"/>
  <c r="R173" i="38"/>
  <c r="AI525" i="38"/>
  <c r="R189" i="38"/>
  <c r="AI541" i="38"/>
  <c r="L25" i="38"/>
  <c r="L87" i="38"/>
  <c r="R329" i="38"/>
  <c r="AI681" i="38"/>
  <c r="L52" i="38"/>
  <c r="R117" i="19"/>
  <c r="AI271" i="19"/>
  <c r="L47" i="38"/>
  <c r="AI537" i="38"/>
  <c r="R185" i="38"/>
  <c r="L55" i="24"/>
  <c r="L28" i="24"/>
  <c r="AI514" i="38"/>
  <c r="R162" i="38"/>
  <c r="R109" i="19"/>
  <c r="AI263" i="19"/>
  <c r="R26" i="19"/>
  <c r="AI180" i="19"/>
  <c r="AI373" i="38"/>
  <c r="AI522" i="38"/>
  <c r="R170" i="38"/>
  <c r="AI528" i="38"/>
  <c r="R176" i="38"/>
  <c r="AI258" i="19"/>
  <c r="R104" i="19"/>
  <c r="R96" i="19"/>
  <c r="AI250" i="19"/>
  <c r="L29" i="22"/>
  <c r="L37" i="25"/>
  <c r="R23" i="19"/>
  <c r="AI177" i="19"/>
  <c r="R107" i="19"/>
  <c r="AI261" i="19"/>
  <c r="L33" i="25"/>
  <c r="AI478" i="38"/>
  <c r="R126" i="38"/>
  <c r="L94" i="38"/>
  <c r="AI510" i="38"/>
  <c r="R158" i="38"/>
  <c r="AI281" i="19"/>
  <c r="R127" i="19"/>
  <c r="R195" i="38"/>
  <c r="AI547" i="38"/>
  <c r="AI526" i="38"/>
  <c r="R174" i="38"/>
  <c r="AI517" i="38"/>
  <c r="R165" i="38"/>
  <c r="L38" i="38"/>
  <c r="AI516" i="38"/>
  <c r="R164" i="38"/>
  <c r="L98" i="38"/>
  <c r="R175" i="38"/>
  <c r="AI527" i="38"/>
  <c r="R120" i="19"/>
  <c r="AI274" i="19"/>
  <c r="L49" i="38"/>
  <c r="R197" i="38"/>
  <c r="AI549" i="38"/>
  <c r="AI482" i="38"/>
  <c r="R130" i="38"/>
  <c r="L28" i="25"/>
  <c r="R40" i="19"/>
  <c r="AI194" i="19"/>
  <c r="R97" i="19"/>
  <c r="AI251" i="19"/>
  <c r="AK251" i="19" s="1"/>
  <c r="R119" i="19"/>
  <c r="AI273" i="19"/>
  <c r="AI483" i="38"/>
  <c r="R131" i="38"/>
  <c r="AI278" i="19"/>
  <c r="R124" i="19"/>
  <c r="R128" i="38"/>
  <c r="AI480" i="38"/>
  <c r="L57" i="24"/>
  <c r="AI290" i="19"/>
  <c r="R136" i="19"/>
  <c r="L138" i="19"/>
  <c r="R115" i="38"/>
  <c r="AI467" i="38"/>
  <c r="L54" i="24"/>
  <c r="AI246" i="19"/>
  <c r="R92" i="19"/>
  <c r="L33" i="24"/>
  <c r="L52" i="24"/>
  <c r="L22" i="22"/>
  <c r="AI247" i="19"/>
  <c r="AK247" i="19" s="1"/>
  <c r="R93" i="19"/>
  <c r="L56" i="24"/>
  <c r="L35" i="25"/>
  <c r="L60" i="24"/>
  <c r="L38" i="25"/>
  <c r="L42" i="25"/>
  <c r="L34" i="25"/>
  <c r="L64" i="24"/>
  <c r="L28" i="22"/>
  <c r="L43" i="24"/>
  <c r="R98" i="19"/>
  <c r="AI252" i="19"/>
  <c r="AI260" i="19"/>
  <c r="R106" i="19"/>
  <c r="AI215" i="19"/>
  <c r="R61" i="19"/>
  <c r="L101" i="38"/>
  <c r="L56" i="38"/>
  <c r="AI578" i="38"/>
  <c r="R226" i="38"/>
  <c r="R230" i="38"/>
  <c r="AI582" i="38"/>
  <c r="R121" i="19"/>
  <c r="AI275" i="19"/>
  <c r="R118" i="19"/>
  <c r="AI272" i="19"/>
  <c r="L100" i="38"/>
  <c r="L97" i="38"/>
  <c r="R125" i="38"/>
  <c r="AI477" i="38"/>
  <c r="R178" i="38"/>
  <c r="AI530" i="38"/>
  <c r="AI542" i="38"/>
  <c r="R190" i="38"/>
  <c r="R159" i="38"/>
  <c r="AI511" i="38"/>
  <c r="L31" i="38"/>
  <c r="AI577" i="38"/>
  <c r="R225" i="38"/>
  <c r="AI406" i="38"/>
  <c r="L40" i="38"/>
  <c r="R120" i="38"/>
  <c r="AI472" i="38"/>
  <c r="L104" i="38"/>
  <c r="L53" i="38"/>
  <c r="AI576" i="38"/>
  <c r="R224" i="38"/>
  <c r="L26" i="22"/>
  <c r="L61" i="24"/>
  <c r="L30" i="25"/>
  <c r="R35" i="19"/>
  <c r="AI189" i="19"/>
  <c r="R91" i="19"/>
  <c r="AI245" i="19"/>
  <c r="R231" i="38"/>
  <c r="AI583" i="38"/>
  <c r="R123" i="19"/>
  <c r="AI277" i="19"/>
  <c r="R90" i="19"/>
  <c r="AI244" i="19"/>
  <c r="L22" i="25"/>
  <c r="AI191" i="19"/>
  <c r="AK191" i="19" s="1"/>
  <c r="R37" i="19"/>
  <c r="AI176" i="19"/>
  <c r="R22" i="19"/>
  <c r="AI187" i="19"/>
  <c r="R33" i="19"/>
  <c r="AI259" i="19"/>
  <c r="R105" i="19"/>
  <c r="L34" i="24"/>
  <c r="L42" i="19"/>
  <c r="AI175" i="19"/>
  <c r="R21" i="19"/>
  <c r="R38" i="19"/>
  <c r="AI192" i="19"/>
  <c r="L43" i="25"/>
  <c r="R34" i="19"/>
  <c r="AI188" i="19"/>
  <c r="L36" i="24"/>
  <c r="AI213" i="19"/>
  <c r="R59" i="19"/>
  <c r="L42" i="24"/>
  <c r="R180" i="38"/>
  <c r="AI532" i="38"/>
  <c r="R194" i="38"/>
  <c r="AI546" i="38"/>
  <c r="AI584" i="38"/>
  <c r="R232" i="38"/>
  <c r="R192" i="38"/>
  <c r="AI544" i="38"/>
  <c r="R186" i="38"/>
  <c r="AI538" i="38"/>
  <c r="AI579" i="38"/>
  <c r="R227" i="38"/>
  <c r="L90" i="38"/>
  <c r="AI519" i="38"/>
  <c r="R167" i="38"/>
  <c r="R116" i="19"/>
  <c r="AI270" i="19"/>
  <c r="R179" i="38"/>
  <c r="AI531" i="38"/>
  <c r="L23" i="38"/>
  <c r="AI534" i="38"/>
  <c r="R182" i="38"/>
  <c r="L54" i="38"/>
  <c r="R118" i="38"/>
  <c r="AI470" i="38"/>
  <c r="L35" i="24"/>
  <c r="R196" i="38"/>
  <c r="AI548" i="38"/>
  <c r="R46" i="19"/>
  <c r="AI200" i="19"/>
  <c r="L111" i="19"/>
  <c r="L36" i="25"/>
  <c r="R114" i="38"/>
  <c r="AI466" i="38"/>
  <c r="L44" i="25"/>
  <c r="R47" i="19"/>
  <c r="AI201" i="19"/>
  <c r="R102" i="19"/>
  <c r="AI256" i="19"/>
  <c r="AI193" i="19"/>
  <c r="R39" i="19"/>
  <c r="R108" i="19"/>
  <c r="AI262" i="19"/>
  <c r="AI248" i="19"/>
  <c r="R94" i="19"/>
  <c r="AI214" i="19"/>
  <c r="R60" i="19"/>
  <c r="R31" i="19"/>
  <c r="AI185" i="19"/>
  <c r="L41" i="24"/>
  <c r="R56" i="19"/>
  <c r="AI210" i="19"/>
  <c r="AI479" i="38"/>
  <c r="R127" i="38"/>
  <c r="AI580" i="38"/>
  <c r="R228" i="38"/>
  <c r="AI520" i="38"/>
  <c r="R168" i="38"/>
  <c r="R123" i="38"/>
  <c r="AI475" i="38"/>
  <c r="AI518" i="38"/>
  <c r="R166" i="38"/>
  <c r="R161" i="38"/>
  <c r="AI513" i="38"/>
  <c r="L32" i="38"/>
  <c r="AI471" i="38"/>
  <c r="R119" i="38"/>
  <c r="L105" i="38"/>
  <c r="AI581" i="38"/>
  <c r="R229" i="38"/>
  <c r="AI529" i="38"/>
  <c r="R177" i="38"/>
  <c r="R171" i="38"/>
  <c r="AI523" i="38"/>
  <c r="R116" i="38"/>
  <c r="AI468" i="38"/>
  <c r="AI545" i="38"/>
  <c r="R193" i="38"/>
  <c r="AI257" i="19"/>
  <c r="R103" i="19"/>
  <c r="L40" i="24"/>
  <c r="AI291" i="19"/>
  <c r="R137" i="19"/>
  <c r="AI207" i="19"/>
  <c r="AK207" i="19" s="1"/>
  <c r="R53" i="19"/>
  <c r="R188" i="38"/>
  <c r="AI540" i="38"/>
  <c r="R122" i="19"/>
  <c r="AI276" i="19"/>
  <c r="L29" i="25"/>
  <c r="AI205" i="19"/>
  <c r="AK205" i="19" s="1"/>
  <c r="R51" i="19"/>
  <c r="R125" i="19"/>
  <c r="AI279" i="19"/>
  <c r="AK462" i="38"/>
  <c r="AQ462" i="38"/>
  <c r="AI206" i="19"/>
  <c r="AK206" i="19" s="1"/>
  <c r="R52" i="19"/>
  <c r="L23" i="25"/>
  <c r="L27" i="20"/>
  <c r="AI62" i="20"/>
  <c r="R24" i="20"/>
  <c r="R27" i="20" s="1"/>
  <c r="L30" i="20" s="1"/>
  <c r="L36" i="22"/>
  <c r="L25" i="25"/>
  <c r="L30" i="22"/>
  <c r="L29" i="24"/>
  <c r="L23" i="22"/>
  <c r="L24" i="25"/>
  <c r="R110" i="19"/>
  <c r="AI264" i="19"/>
  <c r="AI178" i="19"/>
  <c r="R24" i="19"/>
  <c r="L22" i="24"/>
  <c r="L48" i="24"/>
  <c r="L32" i="24"/>
  <c r="L35" i="22"/>
  <c r="L53" i="24"/>
  <c r="L26" i="38"/>
  <c r="L43" i="38"/>
  <c r="R113" i="38"/>
  <c r="AI465" i="38"/>
  <c r="L233" i="38"/>
  <c r="L95" i="38"/>
  <c r="AI512" i="38"/>
  <c r="R160" i="38"/>
  <c r="L42" i="38"/>
  <c r="L29" i="38"/>
  <c r="R187" i="38"/>
  <c r="AI539" i="38"/>
  <c r="AI536" i="38"/>
  <c r="R184" i="38"/>
  <c r="AI280" i="19"/>
  <c r="R126" i="19"/>
  <c r="L41" i="38"/>
  <c r="AI515" i="38"/>
  <c r="R163" i="38"/>
  <c r="AI474" i="38"/>
  <c r="R122" i="38"/>
  <c r="AI268" i="19"/>
  <c r="L128" i="19"/>
  <c r="R114" i="19"/>
  <c r="AI524" i="38"/>
  <c r="R172" i="38"/>
  <c r="L39" i="38"/>
  <c r="AI535" i="38"/>
  <c r="R183" i="38"/>
  <c r="R156" i="38"/>
  <c r="AI508" i="38"/>
  <c r="B20" i="40"/>
  <c r="E54" i="3"/>
  <c r="R49" i="4"/>
  <c r="T34" i="4" s="1"/>
  <c r="N24" i="4"/>
  <c r="N22" i="4"/>
  <c r="L49" i="4"/>
  <c r="N31" i="4"/>
  <c r="N42" i="4"/>
  <c r="N33" i="4"/>
  <c r="N37" i="4"/>
  <c r="N26" i="4"/>
  <c r="N46" i="4"/>
  <c r="N29" i="4"/>
  <c r="N27" i="4"/>
  <c r="N45" i="4"/>
  <c r="N20" i="4"/>
  <c r="N23" i="4"/>
  <c r="N38" i="4"/>
  <c r="N43" i="4"/>
  <c r="N36" i="4"/>
  <c r="N30" i="4"/>
  <c r="N41" i="4"/>
  <c r="N47" i="4"/>
  <c r="N40" i="4"/>
  <c r="N32" i="4"/>
  <c r="N28" i="4"/>
  <c r="N39" i="4"/>
  <c r="N35" i="4"/>
  <c r="N48" i="4"/>
  <c r="N44" i="4"/>
  <c r="N25" i="4"/>
  <c r="V54" i="5"/>
  <c r="N50" i="5"/>
  <c r="N51" i="5"/>
  <c r="N53" i="5"/>
  <c r="N48" i="5"/>
  <c r="N52" i="5"/>
  <c r="L67" i="5"/>
  <c r="N54" i="5" s="1"/>
  <c r="N49" i="5"/>
  <c r="J54" i="5"/>
  <c r="R106" i="38" l="1"/>
  <c r="AI381" i="38"/>
  <c r="AI399" i="38"/>
  <c r="R103" i="38"/>
  <c r="AI386" i="38"/>
  <c r="AI378" i="38"/>
  <c r="AQ378" i="38" s="1"/>
  <c r="R28" i="38"/>
  <c r="AK605" i="38"/>
  <c r="AQ605" i="38"/>
  <c r="AQ652" i="38"/>
  <c r="AK652" i="38"/>
  <c r="AI601" i="38"/>
  <c r="AK607" i="38"/>
  <c r="AQ607" i="38"/>
  <c r="AI666" i="38"/>
  <c r="R45" i="38"/>
  <c r="AQ653" i="38"/>
  <c r="AK653" i="38"/>
  <c r="AK676" i="38"/>
  <c r="AQ676" i="38"/>
  <c r="AI677" i="38"/>
  <c r="R314" i="38"/>
  <c r="AQ610" i="38"/>
  <c r="AK610" i="38"/>
  <c r="R249" i="38"/>
  <c r="R325" i="38"/>
  <c r="R99" i="38"/>
  <c r="AI444" i="38"/>
  <c r="R102" i="38"/>
  <c r="R60" i="38"/>
  <c r="R37" i="38"/>
  <c r="R33" i="38"/>
  <c r="R89" i="38"/>
  <c r="R46" i="38"/>
  <c r="R20" i="38"/>
  <c r="AI410" i="38"/>
  <c r="R57" i="38"/>
  <c r="AI401" i="38"/>
  <c r="R34" i="38"/>
  <c r="AI448" i="38"/>
  <c r="R21" i="38"/>
  <c r="R36" i="38"/>
  <c r="R24" i="38"/>
  <c r="AI459" i="38"/>
  <c r="R88" i="38"/>
  <c r="AI438" i="38"/>
  <c r="AI445" i="38"/>
  <c r="R61" i="38"/>
  <c r="R330" i="38"/>
  <c r="R233" i="38"/>
  <c r="R138" i="19"/>
  <c r="R60" i="24"/>
  <c r="AI133" i="24"/>
  <c r="AK271" i="19"/>
  <c r="AQ271" i="19"/>
  <c r="R43" i="38"/>
  <c r="AI394" i="38"/>
  <c r="R43" i="25"/>
  <c r="AI99" i="25"/>
  <c r="AI137" i="24"/>
  <c r="R64" i="24"/>
  <c r="AK246" i="19"/>
  <c r="AQ246" i="19"/>
  <c r="AQ373" i="38"/>
  <c r="AK373" i="38"/>
  <c r="AK212" i="19"/>
  <c r="AQ212" i="19"/>
  <c r="AI80" i="22"/>
  <c r="R30" i="22"/>
  <c r="AI383" i="38"/>
  <c r="R32" i="38"/>
  <c r="AK185" i="19"/>
  <c r="AQ185" i="19"/>
  <c r="AQ270" i="19"/>
  <c r="AK270" i="19"/>
  <c r="AK213" i="19"/>
  <c r="AQ213" i="19"/>
  <c r="AI134" i="24"/>
  <c r="R61" i="24"/>
  <c r="AI449" i="38"/>
  <c r="R97" i="38"/>
  <c r="AI453" i="38"/>
  <c r="R101" i="38"/>
  <c r="AI292" i="19"/>
  <c r="AK290" i="19"/>
  <c r="AQ290" i="19"/>
  <c r="AI403" i="38"/>
  <c r="R52" i="38"/>
  <c r="AK255" i="19"/>
  <c r="AQ255" i="19"/>
  <c r="AK264" i="19"/>
  <c r="AQ264" i="19"/>
  <c r="R34" i="24"/>
  <c r="AI107" i="24"/>
  <c r="R53" i="24"/>
  <c r="AI126" i="24"/>
  <c r="AI79" i="25"/>
  <c r="R23" i="25"/>
  <c r="R35" i="24"/>
  <c r="AI108" i="24"/>
  <c r="R36" i="24"/>
  <c r="AI109" i="24"/>
  <c r="AK192" i="19"/>
  <c r="AQ192" i="19"/>
  <c r="AK176" i="19"/>
  <c r="AQ176" i="19"/>
  <c r="AK244" i="19"/>
  <c r="AQ244" i="19"/>
  <c r="AI391" i="38"/>
  <c r="R40" i="38"/>
  <c r="AI452" i="38"/>
  <c r="R100" i="38"/>
  <c r="AI90" i="25"/>
  <c r="R34" i="25"/>
  <c r="AI91" i="25"/>
  <c r="R35" i="25"/>
  <c r="R54" i="24"/>
  <c r="AI127" i="24"/>
  <c r="AK194" i="19"/>
  <c r="AQ194" i="19"/>
  <c r="R49" i="38"/>
  <c r="AI400" i="38"/>
  <c r="AI446" i="38"/>
  <c r="R94" i="38"/>
  <c r="AK250" i="19"/>
  <c r="AQ250" i="19"/>
  <c r="AK180" i="19"/>
  <c r="AQ180" i="19"/>
  <c r="AI128" i="24"/>
  <c r="R55" i="24"/>
  <c r="AI56" i="28"/>
  <c r="R21" i="28"/>
  <c r="AI119" i="24"/>
  <c r="R46" i="24"/>
  <c r="AI97" i="24"/>
  <c r="R24" i="24"/>
  <c r="AI102" i="24"/>
  <c r="R29" i="24"/>
  <c r="AK187" i="19"/>
  <c r="AQ187" i="19"/>
  <c r="AI456" i="38"/>
  <c r="R104" i="38"/>
  <c r="AQ275" i="19"/>
  <c r="AK275" i="19"/>
  <c r="R29" i="22"/>
  <c r="AI79" i="22"/>
  <c r="AI439" i="38"/>
  <c r="R87" i="38"/>
  <c r="R40" i="24"/>
  <c r="AI113" i="24"/>
  <c r="AK248" i="19"/>
  <c r="AQ248" i="19"/>
  <c r="AI382" i="38"/>
  <c r="R31" i="38"/>
  <c r="AI450" i="38"/>
  <c r="R98" i="38"/>
  <c r="AI376" i="38"/>
  <c r="R25" i="38"/>
  <c r="AI409" i="38"/>
  <c r="R58" i="38"/>
  <c r="AI447" i="38"/>
  <c r="R95" i="38"/>
  <c r="AI81" i="25"/>
  <c r="R25" i="25"/>
  <c r="AK262" i="19"/>
  <c r="AQ262" i="19"/>
  <c r="AI92" i="25"/>
  <c r="R36" i="25"/>
  <c r="AI392" i="38"/>
  <c r="R41" i="38"/>
  <c r="AI380" i="38"/>
  <c r="R29" i="38"/>
  <c r="L65" i="24"/>
  <c r="R22" i="24"/>
  <c r="AI95" i="24"/>
  <c r="AI80" i="25"/>
  <c r="R24" i="25"/>
  <c r="AQ279" i="19"/>
  <c r="AK279" i="19"/>
  <c r="AI85" i="25"/>
  <c r="AK85" i="25" s="1"/>
  <c r="R29" i="25"/>
  <c r="AI76" i="22"/>
  <c r="R26" i="22"/>
  <c r="AI116" i="24"/>
  <c r="R43" i="24"/>
  <c r="AI98" i="25"/>
  <c r="R42" i="25"/>
  <c r="AI129" i="24"/>
  <c r="R56" i="24"/>
  <c r="R52" i="24"/>
  <c r="AI125" i="24"/>
  <c r="AI130" i="24"/>
  <c r="R57" i="24"/>
  <c r="AK177" i="19"/>
  <c r="AQ177" i="19"/>
  <c r="AI682" i="38"/>
  <c r="AI95" i="25"/>
  <c r="R39" i="25"/>
  <c r="AI105" i="24"/>
  <c r="R32" i="24"/>
  <c r="AI101" i="24"/>
  <c r="R28" i="24"/>
  <c r="R47" i="24"/>
  <c r="AI120" i="24"/>
  <c r="R39" i="38"/>
  <c r="AI390" i="38"/>
  <c r="AI121" i="24"/>
  <c r="R48" i="24"/>
  <c r="AK256" i="19"/>
  <c r="AQ256" i="19"/>
  <c r="AI407" i="38"/>
  <c r="R56" i="38"/>
  <c r="L31" i="22"/>
  <c r="R22" i="22"/>
  <c r="AI72" i="22"/>
  <c r="AQ278" i="19"/>
  <c r="AK278" i="19"/>
  <c r="AK203" i="19"/>
  <c r="AQ203" i="19"/>
  <c r="AK253" i="19"/>
  <c r="AQ253" i="19"/>
  <c r="R26" i="38"/>
  <c r="AI377" i="38"/>
  <c r="AQ515" i="38"/>
  <c r="AK515" i="38"/>
  <c r="R128" i="19"/>
  <c r="AI85" i="22"/>
  <c r="L37" i="22"/>
  <c r="R35" i="22"/>
  <c r="AI73" i="22"/>
  <c r="R23" i="22"/>
  <c r="R36" i="22"/>
  <c r="AI86" i="22"/>
  <c r="AK210" i="19"/>
  <c r="AQ210" i="19"/>
  <c r="AK259" i="19"/>
  <c r="AQ259" i="19"/>
  <c r="AK272" i="19"/>
  <c r="AQ272" i="19"/>
  <c r="AK215" i="19"/>
  <c r="AQ215" i="19"/>
  <c r="AI106" i="24"/>
  <c r="R33" i="24"/>
  <c r="AQ273" i="19"/>
  <c r="AK273" i="19"/>
  <c r="AQ274" i="19"/>
  <c r="AK274" i="19"/>
  <c r="AI402" i="38"/>
  <c r="R51" i="38"/>
  <c r="AK184" i="19"/>
  <c r="AQ184" i="19"/>
  <c r="R51" i="24"/>
  <c r="AI124" i="24"/>
  <c r="AK202" i="19"/>
  <c r="AQ202" i="19"/>
  <c r="AQ291" i="19"/>
  <c r="AK291" i="19"/>
  <c r="AI65" i="20"/>
  <c r="AQ62" i="20"/>
  <c r="AK62" i="20"/>
  <c r="AI374" i="38"/>
  <c r="R23" i="38"/>
  <c r="AK520" i="38"/>
  <c r="AQ520" i="38"/>
  <c r="AK214" i="19"/>
  <c r="AQ214" i="19"/>
  <c r="AI100" i="25"/>
  <c r="R44" i="25"/>
  <c r="AI265" i="19"/>
  <c r="AK200" i="19"/>
  <c r="AQ200" i="19"/>
  <c r="AI405" i="38"/>
  <c r="R54" i="38"/>
  <c r="AI442" i="38"/>
  <c r="R90" i="38"/>
  <c r="AI115" i="24"/>
  <c r="R42" i="24"/>
  <c r="AK188" i="19"/>
  <c r="AQ188" i="19"/>
  <c r="R42" i="19"/>
  <c r="AK277" i="19"/>
  <c r="AQ277" i="19"/>
  <c r="AK245" i="19"/>
  <c r="AQ245" i="19"/>
  <c r="R28" i="22"/>
  <c r="AI78" i="22"/>
  <c r="AK375" i="38"/>
  <c r="AQ375" i="38"/>
  <c r="R28" i="25"/>
  <c r="AI84" i="25"/>
  <c r="R33" i="25"/>
  <c r="AI89" i="25"/>
  <c r="AI93" i="25"/>
  <c r="R37" i="25"/>
  <c r="AK263" i="19"/>
  <c r="AQ263" i="19"/>
  <c r="AI398" i="38"/>
  <c r="R47" i="38"/>
  <c r="R30" i="20"/>
  <c r="L32" i="20"/>
  <c r="AI68" i="20"/>
  <c r="AK260" i="19"/>
  <c r="AQ260" i="19"/>
  <c r="AQ269" i="19"/>
  <c r="AK269" i="19"/>
  <c r="AK189" i="19"/>
  <c r="AQ189" i="19"/>
  <c r="AI282" i="19"/>
  <c r="AK268" i="19"/>
  <c r="AQ268" i="19"/>
  <c r="R42" i="38"/>
  <c r="AI393" i="38"/>
  <c r="AI585" i="38"/>
  <c r="AK178" i="19"/>
  <c r="AQ178" i="19"/>
  <c r="AK276" i="19"/>
  <c r="AQ276" i="19"/>
  <c r="AI457" i="38"/>
  <c r="R105" i="38"/>
  <c r="R41" i="24"/>
  <c r="AI114" i="24"/>
  <c r="AK193" i="19"/>
  <c r="AQ193" i="19"/>
  <c r="R111" i="19"/>
  <c r="AK175" i="19"/>
  <c r="AI196" i="19"/>
  <c r="AQ175" i="19"/>
  <c r="AI78" i="25"/>
  <c r="R22" i="25"/>
  <c r="L45" i="25"/>
  <c r="AI86" i="25"/>
  <c r="R30" i="25"/>
  <c r="AI404" i="38"/>
  <c r="R53" i="38"/>
  <c r="R38" i="25"/>
  <c r="AI94" i="25"/>
  <c r="R38" i="38"/>
  <c r="AI389" i="38"/>
  <c r="AK258" i="19"/>
  <c r="AQ258" i="19"/>
  <c r="AK181" i="19"/>
  <c r="AQ181" i="19"/>
  <c r="AI96" i="24"/>
  <c r="R23" i="24"/>
  <c r="R27" i="24"/>
  <c r="AI100" i="24"/>
  <c r="R44" i="38"/>
  <c r="AI395" i="38"/>
  <c r="L108" i="38"/>
  <c r="AK186" i="19"/>
  <c r="AQ186" i="19"/>
  <c r="J67" i="5"/>
  <c r="N44" i="5"/>
  <c r="N23" i="5"/>
  <c r="N37" i="5"/>
  <c r="N33" i="5"/>
  <c r="N65" i="5"/>
  <c r="T35" i="4"/>
  <c r="T42" i="4"/>
  <c r="T27" i="4"/>
  <c r="T39" i="4"/>
  <c r="T30" i="4"/>
  <c r="T32" i="4"/>
  <c r="T23" i="4"/>
  <c r="T41" i="4"/>
  <c r="T40" i="4"/>
  <c r="T37" i="4"/>
  <c r="T20" i="4"/>
  <c r="T29" i="4"/>
  <c r="T26" i="4"/>
  <c r="T48" i="4"/>
  <c r="T31" i="4"/>
  <c r="T28" i="4"/>
  <c r="T43" i="4"/>
  <c r="T24" i="4"/>
  <c r="T47" i="4"/>
  <c r="T45" i="4"/>
  <c r="T46" i="4"/>
  <c r="T38" i="4"/>
  <c r="T33" i="4"/>
  <c r="T44" i="4"/>
  <c r="T36" i="4"/>
  <c r="T25" i="4"/>
  <c r="T22" i="4"/>
  <c r="V67" i="5"/>
  <c r="E59" i="3"/>
  <c r="L20" i="40"/>
  <c r="L28" i="40" s="1"/>
  <c r="B28" i="40"/>
  <c r="AK378" i="38" l="1"/>
  <c r="AQ666" i="38"/>
  <c r="AK666" i="38"/>
  <c r="AK677" i="38"/>
  <c r="AQ677" i="38"/>
  <c r="AI70" i="20"/>
  <c r="AK70" i="20" s="1"/>
  <c r="AK68" i="20"/>
  <c r="AQ68" i="20"/>
  <c r="R37" i="22"/>
  <c r="R45" i="25"/>
  <c r="L48" i="25" s="1"/>
  <c r="R48" i="25" s="1"/>
  <c r="R108" i="38"/>
  <c r="R332" i="38" s="1"/>
  <c r="L335" i="38" s="1"/>
  <c r="L338" i="38" s="1"/>
  <c r="AQ90" i="25"/>
  <c r="AK90" i="25"/>
  <c r="AK76" i="22"/>
  <c r="AQ76" i="22"/>
  <c r="AK377" i="38"/>
  <c r="AQ377" i="38"/>
  <c r="AK382" i="38"/>
  <c r="AQ382" i="38"/>
  <c r="AK439" i="38"/>
  <c r="AQ439" i="38"/>
  <c r="AQ80" i="22"/>
  <c r="AK80" i="22"/>
  <c r="AQ282" i="19"/>
  <c r="AK282" i="19"/>
  <c r="AK78" i="25"/>
  <c r="AQ78" i="25"/>
  <c r="AI101" i="25"/>
  <c r="AQ585" i="38"/>
  <c r="AK196" i="19"/>
  <c r="AQ196" i="19"/>
  <c r="AK65" i="20"/>
  <c r="AQ65" i="20"/>
  <c r="AI81" i="22"/>
  <c r="AK98" i="25"/>
  <c r="AQ98" i="25"/>
  <c r="AI138" i="24"/>
  <c r="AQ81" i="25"/>
  <c r="AK81" i="25"/>
  <c r="AQ137" i="24"/>
  <c r="AK137" i="24"/>
  <c r="AK89" i="25"/>
  <c r="AQ89" i="25"/>
  <c r="AK374" i="38"/>
  <c r="AQ374" i="38"/>
  <c r="AK84" i="25"/>
  <c r="AQ84" i="25"/>
  <c r="L34" i="20"/>
  <c r="N32" i="20" s="1"/>
  <c r="AK265" i="19"/>
  <c r="AQ265" i="19"/>
  <c r="L332" i="38"/>
  <c r="L38" i="22"/>
  <c r="R31" i="22"/>
  <c r="AQ95" i="25"/>
  <c r="AK95" i="25"/>
  <c r="R65" i="24"/>
  <c r="L68" i="24" s="1"/>
  <c r="AK376" i="38"/>
  <c r="AQ376" i="38"/>
  <c r="AK79" i="22"/>
  <c r="AQ79" i="22"/>
  <c r="AQ78" i="22"/>
  <c r="AK78" i="22"/>
  <c r="AK56" i="28"/>
  <c r="AQ56" i="28"/>
  <c r="AK394" i="38"/>
  <c r="AQ394" i="38"/>
  <c r="AK86" i="25"/>
  <c r="AQ86" i="25"/>
  <c r="H53" i="40"/>
  <c r="K53" i="40" s="1"/>
  <c r="R32" i="20"/>
  <c r="R34" i="20" s="1"/>
  <c r="AI87" i="22"/>
  <c r="AK91" i="25"/>
  <c r="AQ91" i="25"/>
  <c r="AQ79" i="25"/>
  <c r="AK79" i="25"/>
  <c r="AK292" i="19"/>
  <c r="AQ292" i="19"/>
  <c r="AQ99" i="25"/>
  <c r="AK99" i="25"/>
  <c r="AK395" i="38"/>
  <c r="AQ395" i="38"/>
  <c r="AK93" i="25"/>
  <c r="AQ93" i="25"/>
  <c r="AK92" i="25"/>
  <c r="AQ92" i="25"/>
  <c r="AK80" i="25"/>
  <c r="AQ80" i="25"/>
  <c r="AI460" i="38"/>
  <c r="L131" i="19"/>
  <c r="AK585" i="38"/>
  <c r="L24" i="28"/>
  <c r="E70" i="3"/>
  <c r="AI72" i="20" l="1"/>
  <c r="P48" i="5" s="1"/>
  <c r="AQ70" i="20"/>
  <c r="R38" i="22"/>
  <c r="L41" i="22" s="1"/>
  <c r="AI91" i="22" s="1"/>
  <c r="AI104" i="25"/>
  <c r="L50" i="25"/>
  <c r="L52" i="25" s="1"/>
  <c r="N50" i="25" s="1"/>
  <c r="R335" i="38"/>
  <c r="R338" i="38" s="1"/>
  <c r="R340" i="38" s="1"/>
  <c r="B24" i="36" s="1"/>
  <c r="C24" i="36" s="1"/>
  <c r="AI687" i="38"/>
  <c r="R24" i="28"/>
  <c r="L26" i="28"/>
  <c r="AI59" i="28"/>
  <c r="R50" i="25"/>
  <c r="R52" i="25" s="1"/>
  <c r="H57" i="40"/>
  <c r="K57" i="40" s="1"/>
  <c r="AQ81" i="22"/>
  <c r="AK81" i="22"/>
  <c r="AK87" i="22"/>
  <c r="AQ87" i="22"/>
  <c r="AI88" i="22"/>
  <c r="AK101" i="25"/>
  <c r="AQ101" i="25"/>
  <c r="B53" i="40"/>
  <c r="L53" i="40" s="1"/>
  <c r="B18" i="36"/>
  <c r="C18" i="36" s="1"/>
  <c r="R48" i="6"/>
  <c r="G48" i="3"/>
  <c r="AK138" i="24"/>
  <c r="AQ138" i="24"/>
  <c r="AK460" i="38"/>
  <c r="AQ460" i="38"/>
  <c r="AI684" i="38"/>
  <c r="N27" i="20"/>
  <c r="N31" i="20"/>
  <c r="L48" i="6"/>
  <c r="N24" i="20"/>
  <c r="N30" i="20"/>
  <c r="L133" i="19"/>
  <c r="R131" i="19"/>
  <c r="AI285" i="19"/>
  <c r="AI141" i="24"/>
  <c r="R68" i="24"/>
  <c r="L70" i="24"/>
  <c r="L72" i="24" s="1"/>
  <c r="N68" i="24" s="1"/>
  <c r="L340" i="38"/>
  <c r="N338" i="38" s="1"/>
  <c r="AQ72" i="20" l="1"/>
  <c r="AT9" i="35"/>
  <c r="R22" i="34" s="1"/>
  <c r="R24" i="34" s="1"/>
  <c r="AK72" i="20"/>
  <c r="H58" i="40"/>
  <c r="K58" i="40" s="1"/>
  <c r="R41" i="22"/>
  <c r="H55" i="40" s="1"/>
  <c r="K55" i="40" s="1"/>
  <c r="L43" i="22"/>
  <c r="L45" i="22" s="1"/>
  <c r="N41" i="22" s="1"/>
  <c r="AI61" i="28"/>
  <c r="AK61" i="28" s="1"/>
  <c r="AK59" i="28"/>
  <c r="AQ59" i="28"/>
  <c r="AI287" i="19"/>
  <c r="AK285" i="19"/>
  <c r="AQ285" i="19"/>
  <c r="AI690" i="38"/>
  <c r="AK687" i="38"/>
  <c r="AQ687" i="38"/>
  <c r="AI143" i="24"/>
  <c r="AQ143" i="24" s="1"/>
  <c r="AK141" i="24"/>
  <c r="AQ141" i="24"/>
  <c r="AI93" i="22"/>
  <c r="AQ93" i="22" s="1"/>
  <c r="AK91" i="22"/>
  <c r="AQ91" i="22"/>
  <c r="AI106" i="25"/>
  <c r="AQ104" i="25"/>
  <c r="AK104" i="25"/>
  <c r="N332" i="38"/>
  <c r="B58" i="40"/>
  <c r="R53" i="6"/>
  <c r="G53" i="3"/>
  <c r="J48" i="6"/>
  <c r="H52" i="40"/>
  <c r="R133" i="19"/>
  <c r="R139" i="19" s="1"/>
  <c r="L52" i="6"/>
  <c r="N49" i="25"/>
  <c r="N24" i="25"/>
  <c r="N33" i="25"/>
  <c r="N22" i="25"/>
  <c r="N25" i="25"/>
  <c r="N34" i="25"/>
  <c r="N42" i="25"/>
  <c r="N44" i="25"/>
  <c r="N38" i="25"/>
  <c r="N30" i="25"/>
  <c r="N43" i="25"/>
  <c r="N36" i="25"/>
  <c r="N37" i="25"/>
  <c r="N23" i="25"/>
  <c r="N35" i="25"/>
  <c r="N29" i="25"/>
  <c r="N39" i="25"/>
  <c r="N28" i="25"/>
  <c r="N45" i="25"/>
  <c r="N48" i="25"/>
  <c r="N314" i="38"/>
  <c r="N249" i="38"/>
  <c r="N340" i="38"/>
  <c r="L53" i="6"/>
  <c r="N325" i="38"/>
  <c r="N110" i="38"/>
  <c r="N22" i="38"/>
  <c r="N33" i="38"/>
  <c r="N36" i="38"/>
  <c r="N57" i="38"/>
  <c r="N61" i="38"/>
  <c r="N46" i="38"/>
  <c r="N91" i="38"/>
  <c r="N21" i="38"/>
  <c r="N60" i="38"/>
  <c r="N102" i="38"/>
  <c r="N30" i="38"/>
  <c r="N20" i="38"/>
  <c r="N92" i="38"/>
  <c r="N89" i="38"/>
  <c r="N24" i="38"/>
  <c r="N34" i="38"/>
  <c r="N55" i="38"/>
  <c r="N103" i="38"/>
  <c r="N106" i="38"/>
  <c r="N28" i="38"/>
  <c r="N27" i="38"/>
  <c r="N107" i="38"/>
  <c r="N45" i="38"/>
  <c r="N48" i="38"/>
  <c r="N50" i="38"/>
  <c r="N93" i="38"/>
  <c r="N96" i="38"/>
  <c r="N35" i="38"/>
  <c r="N88" i="38"/>
  <c r="N86" i="38"/>
  <c r="N37" i="38"/>
  <c r="N99" i="38"/>
  <c r="N59" i="38"/>
  <c r="N43" i="38"/>
  <c r="N58" i="38"/>
  <c r="N54" i="38"/>
  <c r="N47" i="38"/>
  <c r="N23" i="38"/>
  <c r="N100" i="38"/>
  <c r="N101" i="38"/>
  <c r="N29" i="38"/>
  <c r="N39" i="38"/>
  <c r="N56" i="38"/>
  <c r="N51" i="38"/>
  <c r="N52" i="38"/>
  <c r="N87" i="38"/>
  <c r="N32" i="38"/>
  <c r="N98" i="38"/>
  <c r="N233" i="38"/>
  <c r="N44" i="38"/>
  <c r="N38" i="38"/>
  <c r="N97" i="38"/>
  <c r="N31" i="38"/>
  <c r="N53" i="38"/>
  <c r="N40" i="38"/>
  <c r="N95" i="38"/>
  <c r="N90" i="38"/>
  <c r="N105" i="38"/>
  <c r="N94" i="38"/>
  <c r="N49" i="38"/>
  <c r="N42" i="38"/>
  <c r="N26" i="38"/>
  <c r="N25" i="38"/>
  <c r="N41" i="38"/>
  <c r="N104" i="38"/>
  <c r="N330" i="38"/>
  <c r="N108" i="38"/>
  <c r="L139" i="19"/>
  <c r="I48" i="3"/>
  <c r="P11" i="34"/>
  <c r="R52" i="6"/>
  <c r="G52" i="3"/>
  <c r="B22" i="36"/>
  <c r="C22" i="36" s="1"/>
  <c r="B57" i="40"/>
  <c r="L57" i="40" s="1"/>
  <c r="AQ684" i="38"/>
  <c r="AK684" i="38"/>
  <c r="AK88" i="22"/>
  <c r="AQ88" i="22"/>
  <c r="N70" i="24"/>
  <c r="L51" i="6"/>
  <c r="N69" i="24"/>
  <c r="N32" i="24"/>
  <c r="N47" i="24"/>
  <c r="N54" i="24"/>
  <c r="N53" i="24"/>
  <c r="N56" i="24"/>
  <c r="N33" i="24"/>
  <c r="N27" i="24"/>
  <c r="N36" i="24"/>
  <c r="N29" i="24"/>
  <c r="N40" i="24"/>
  <c r="N64" i="24"/>
  <c r="N57" i="24"/>
  <c r="N60" i="24"/>
  <c r="N61" i="24"/>
  <c r="N43" i="24"/>
  <c r="N28" i="24"/>
  <c r="N51" i="24"/>
  <c r="N23" i="24"/>
  <c r="N42" i="24"/>
  <c r="N35" i="24"/>
  <c r="N24" i="24"/>
  <c r="N41" i="24"/>
  <c r="N46" i="24"/>
  <c r="N52" i="24"/>
  <c r="N48" i="24"/>
  <c r="N34" i="24"/>
  <c r="N22" i="24"/>
  <c r="N55" i="24"/>
  <c r="N65" i="24"/>
  <c r="L28" i="28"/>
  <c r="N26" i="28" s="1"/>
  <c r="R70" i="24"/>
  <c r="R72" i="24" s="1"/>
  <c r="H56" i="40"/>
  <c r="K56" i="40" s="1"/>
  <c r="X48" i="5"/>
  <c r="R48" i="5"/>
  <c r="R26" i="28"/>
  <c r="R28" i="28" s="1"/>
  <c r="H54" i="40"/>
  <c r="K54" i="40" s="1"/>
  <c r="L58" i="40" l="1"/>
  <c r="N26" i="22"/>
  <c r="N42" i="22"/>
  <c r="N38" i="22"/>
  <c r="N31" i="22"/>
  <c r="N22" i="22"/>
  <c r="N36" i="22"/>
  <c r="N30" i="22"/>
  <c r="N28" i="22"/>
  <c r="N37" i="22"/>
  <c r="N23" i="22"/>
  <c r="N35" i="22"/>
  <c r="L50" i="6"/>
  <c r="J50" i="6" s="1"/>
  <c r="N29" i="22"/>
  <c r="N43" i="22"/>
  <c r="R43" i="22"/>
  <c r="R45" i="22" s="1"/>
  <c r="B20" i="36" s="1"/>
  <c r="C20" i="36" s="1"/>
  <c r="AI145" i="24"/>
  <c r="P51" i="5" s="1"/>
  <c r="AK143" i="24"/>
  <c r="AI63" i="28"/>
  <c r="AK63" i="28" s="1"/>
  <c r="AQ61" i="28"/>
  <c r="K48" i="3"/>
  <c r="AI95" i="22"/>
  <c r="AQ95" i="22" s="1"/>
  <c r="AK93" i="22"/>
  <c r="AQ106" i="25"/>
  <c r="AK106" i="25"/>
  <c r="AI108" i="25"/>
  <c r="AK690" i="38"/>
  <c r="AQ690" i="38"/>
  <c r="AI293" i="19"/>
  <c r="AK287" i="19"/>
  <c r="AQ287" i="19"/>
  <c r="AI692" i="38"/>
  <c r="AK692" i="38" s="1"/>
  <c r="G51" i="3"/>
  <c r="B21" i="36"/>
  <c r="C21" i="36" s="1"/>
  <c r="B56" i="40"/>
  <c r="L56" i="40" s="1"/>
  <c r="R51" i="6"/>
  <c r="J52" i="6"/>
  <c r="B52" i="40"/>
  <c r="R47" i="6"/>
  <c r="G47" i="3"/>
  <c r="B17" i="36"/>
  <c r="C17" i="36" s="1"/>
  <c r="N103" i="19"/>
  <c r="L47" i="6"/>
  <c r="N132" i="19"/>
  <c r="N117" i="19"/>
  <c r="N97" i="19"/>
  <c r="N124" i="19"/>
  <c r="N136" i="19"/>
  <c r="N92" i="19"/>
  <c r="N121" i="19"/>
  <c r="N94" i="19"/>
  <c r="N107" i="19"/>
  <c r="N102" i="19"/>
  <c r="N115" i="19"/>
  <c r="N127" i="19"/>
  <c r="N93" i="19"/>
  <c r="N106" i="19"/>
  <c r="N33" i="19"/>
  <c r="N137" i="19"/>
  <c r="N122" i="19"/>
  <c r="N32" i="19"/>
  <c r="N27" i="19"/>
  <c r="N57" i="19"/>
  <c r="N109" i="19"/>
  <c r="N104" i="19"/>
  <c r="N91" i="19"/>
  <c r="N123" i="19"/>
  <c r="N21" i="19"/>
  <c r="N34" i="19"/>
  <c r="N39" i="19"/>
  <c r="N52" i="19"/>
  <c r="N24" i="19"/>
  <c r="N126" i="19"/>
  <c r="N51" i="19"/>
  <c r="N49" i="19"/>
  <c r="N48" i="19"/>
  <c r="N120" i="19"/>
  <c r="N119" i="19"/>
  <c r="N118" i="19"/>
  <c r="N37" i="19"/>
  <c r="N46" i="19"/>
  <c r="N60" i="19"/>
  <c r="N56" i="19"/>
  <c r="N114" i="19"/>
  <c r="N53" i="19"/>
  <c r="N98" i="19"/>
  <c r="N22" i="19"/>
  <c r="N99" i="19"/>
  <c r="N35" i="19"/>
  <c r="N30" i="19"/>
  <c r="N23" i="19"/>
  <c r="N61" i="19"/>
  <c r="N105" i="19"/>
  <c r="N47" i="19"/>
  <c r="N125" i="19"/>
  <c r="N101" i="19"/>
  <c r="N28" i="19"/>
  <c r="N59" i="19"/>
  <c r="N26" i="19"/>
  <c r="N96" i="19"/>
  <c r="N40" i="19"/>
  <c r="N90" i="19"/>
  <c r="N38" i="19"/>
  <c r="N108" i="19"/>
  <c r="N116" i="19"/>
  <c r="N31" i="19"/>
  <c r="N58" i="19"/>
  <c r="N110" i="19"/>
  <c r="N138" i="19"/>
  <c r="N128" i="19"/>
  <c r="N42" i="19"/>
  <c r="N111" i="19"/>
  <c r="N131" i="19"/>
  <c r="I53" i="3"/>
  <c r="P16" i="34"/>
  <c r="K52" i="40"/>
  <c r="K60" i="40" s="1"/>
  <c r="H60" i="40"/>
  <c r="J53" i="6"/>
  <c r="I52" i="3"/>
  <c r="P15" i="34"/>
  <c r="B54" i="40"/>
  <c r="L54" i="40" s="1"/>
  <c r="R49" i="6"/>
  <c r="G49" i="3"/>
  <c r="B19" i="36"/>
  <c r="C19" i="36" s="1"/>
  <c r="J51" i="6"/>
  <c r="N24" i="28"/>
  <c r="N25" i="28"/>
  <c r="L49" i="6"/>
  <c r="J49" i="6" s="1"/>
  <c r="N21" i="28"/>
  <c r="N28" i="28" s="1"/>
  <c r="N133" i="19"/>
  <c r="B55" i="40" l="1"/>
  <c r="L55" i="40" s="1"/>
  <c r="AQ63" i="28"/>
  <c r="AQ145" i="24"/>
  <c r="P49" i="5"/>
  <c r="R49" i="5" s="1"/>
  <c r="AK145" i="24"/>
  <c r="G50" i="3"/>
  <c r="G54" i="3" s="1"/>
  <c r="G59" i="3" s="1"/>
  <c r="R50" i="6"/>
  <c r="R54" i="6" s="1"/>
  <c r="R67" i="6" s="1"/>
  <c r="P50" i="5"/>
  <c r="R50" i="5" s="1"/>
  <c r="AK95" i="22"/>
  <c r="K53" i="3"/>
  <c r="K52" i="3"/>
  <c r="P47" i="5"/>
  <c r="AK293" i="19"/>
  <c r="AQ293" i="19"/>
  <c r="AQ108" i="25"/>
  <c r="AK108" i="25"/>
  <c r="P52" i="5"/>
  <c r="P53" i="5"/>
  <c r="AQ692" i="38"/>
  <c r="L52" i="40"/>
  <c r="P12" i="34"/>
  <c r="I49" i="3"/>
  <c r="P10" i="34"/>
  <c r="I47" i="3"/>
  <c r="X51" i="5"/>
  <c r="R51" i="5"/>
  <c r="J47" i="6"/>
  <c r="L54" i="6"/>
  <c r="N47" i="6" s="1"/>
  <c r="I51" i="3"/>
  <c r="P14" i="34"/>
  <c r="X49" i="5" l="1"/>
  <c r="P13" i="34"/>
  <c r="P17" i="34" s="1"/>
  <c r="L60" i="40"/>
  <c r="B60" i="40"/>
  <c r="X50" i="5"/>
  <c r="I50" i="3"/>
  <c r="K50" i="3" s="1"/>
  <c r="P54" i="5"/>
  <c r="P67" i="5" s="1"/>
  <c r="K51" i="3"/>
  <c r="K49" i="3"/>
  <c r="X53" i="5"/>
  <c r="R53" i="5"/>
  <c r="X52" i="5"/>
  <c r="R52" i="5"/>
  <c r="R47" i="5"/>
  <c r="X47" i="5"/>
  <c r="K47" i="3"/>
  <c r="G70" i="3"/>
  <c r="I59" i="3"/>
  <c r="N49" i="6"/>
  <c r="J54" i="6"/>
  <c r="L67" i="6"/>
  <c r="N54" i="6" s="1"/>
  <c r="N48" i="6"/>
  <c r="N52" i="6"/>
  <c r="N53" i="6"/>
  <c r="N51" i="6"/>
  <c r="N50" i="6"/>
  <c r="I54" i="3" l="1"/>
  <c r="K54" i="3" s="1"/>
  <c r="X54" i="5"/>
  <c r="R54" i="5"/>
  <c r="N33" i="6"/>
  <c r="N37" i="6"/>
  <c r="N23" i="6"/>
  <c r="N65" i="6"/>
  <c r="J67" i="6"/>
  <c r="N44" i="6"/>
  <c r="R67" i="5"/>
  <c r="X67" i="5"/>
  <c r="I70" i="3"/>
  <c r="K59" i="3"/>
  <c r="K7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F37" authorId="0" shapeId="0" xr:uid="{1EB7F07F-1445-4129-8ABA-BE791E26F922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G37" authorId="0" shapeId="0" xr:uid="{4E2FA7A4-FEB4-4A6D-A426-348F9FA369D8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7" authorId="0" shapeId="0" xr:uid="{8E721BD0-3BD7-4371-B080-10103DE0E63C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7" authorId="0" shapeId="0" xr:uid="{11055EB5-D906-475D-978A-02F159DA5A76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7" authorId="0" shapeId="0" xr:uid="{DA656BFE-6376-4AD6-9588-DDBBCA59889A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F39" authorId="0" shapeId="0" xr:uid="{7C160F98-B261-4682-820F-46626CD5B41A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G39" authorId="0" shapeId="0" xr:uid="{78C529E8-84B8-4DAF-A45A-05FC54B5DEC7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9" authorId="0" shapeId="0" xr:uid="{D5575E20-15F5-4DE9-959D-D5397BC9B70A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9" authorId="0" shapeId="0" xr:uid="{C624F75E-0261-4E9D-A93A-C1F559DBA698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9" authorId="0" shapeId="0" xr:uid="{BABAAA58-9EB7-411E-9949-43093A9C68B1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</commentList>
</comments>
</file>

<file path=xl/sharedStrings.xml><?xml version="1.0" encoding="utf-8"?>
<sst xmlns="http://schemas.openxmlformats.org/spreadsheetml/2006/main" count="6905" uniqueCount="1403">
  <si>
    <t>AUTOMATED RATE CASE FILING SYSTEM</t>
  </si>
  <si>
    <t>SERVICE:</t>
  </si>
  <si>
    <t>(ELECTRIC SERVICE)</t>
  </si>
  <si>
    <t>WITNESS:</t>
  </si>
  <si>
    <t>WITNESS RESPONSIBLE:</t>
  </si>
  <si>
    <t xml:space="preserve">  CURRENT ANNUALIZED</t>
  </si>
  <si>
    <t>PROPOSED</t>
  </si>
  <si>
    <t>% OF REV TO</t>
  </si>
  <si>
    <t>CURRENT</t>
  </si>
  <si>
    <t>REVENUE</t>
  </si>
  <si>
    <t>% INCR IN</t>
  </si>
  <si>
    <t>TOTAL</t>
  </si>
  <si>
    <t>REVENUE LESS</t>
  </si>
  <si>
    <t>TOTAL LESS</t>
  </si>
  <si>
    <t>MOST</t>
  </si>
  <si>
    <t>INCR LESS</t>
  </si>
  <si>
    <t xml:space="preserve">REV LESS </t>
  </si>
  <si>
    <t>LINE</t>
  </si>
  <si>
    <t>RATE</t>
  </si>
  <si>
    <t>CLASS /</t>
  </si>
  <si>
    <t>CUSTOMER</t>
  </si>
  <si>
    <t>% INCREASE</t>
  </si>
  <si>
    <t xml:space="preserve"> NO.</t>
  </si>
  <si>
    <t>CODE</t>
  </si>
  <si>
    <t>DESCRIPTION</t>
  </si>
  <si>
    <t>BILLS(1)</t>
  </si>
  <si>
    <t>SALES</t>
  </si>
  <si>
    <t>RATES</t>
  </si>
  <si>
    <t>(F + H)</t>
  </si>
  <si>
    <t>(F - K)</t>
  </si>
  <si>
    <t>(M / K)</t>
  </si>
  <si>
    <t>(K + H)</t>
  </si>
  <si>
    <t>(M / K1)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</si>
  <si>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</si>
  <si>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</si>
  <si>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</si>
  <si>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</si>
  <si>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</si>
  <si>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</si>
  <si>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</si>
  <si>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</si>
  <si>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</si>
  <si>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</si>
  <si>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</si>
  <si>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</si>
  <si>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</si>
  <si>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</si>
  <si>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(K1)</t>
  </si>
  <si>
    <t>(O)</t>
  </si>
  <si>
    <t>(KWH)</t>
  </si>
  <si>
    <t>($)</t>
  </si>
  <si>
    <t>(%)</t>
  </si>
  <si>
    <t>RS</t>
  </si>
  <si>
    <t>RESIDENTIAL</t>
  </si>
  <si>
    <t>SUMMER:</t>
  </si>
  <si>
    <t>BILLS</t>
  </si>
  <si>
    <t>TOTAL SUMMER</t>
  </si>
  <si>
    <t>WINTER:</t>
  </si>
  <si>
    <t>TOTAL WINTER</t>
  </si>
  <si>
    <t>(1) BILLS THAT TERMINATE IN RESPECTIVE RATE STEPS.</t>
  </si>
  <si>
    <t>TT</t>
  </si>
  <si>
    <t>TIME OF DAY</t>
  </si>
  <si>
    <t>CUSTOMER CHARGE</t>
  </si>
  <si>
    <t>DEMAND CHARGE:</t>
  </si>
  <si>
    <t xml:space="preserve">  ON PEAK KW</t>
  </si>
  <si>
    <t xml:space="preserve">  OFF PEAK KW</t>
  </si>
  <si>
    <t>TOTAL DEMAND</t>
  </si>
  <si>
    <t>ENERGY CHARGE:</t>
  </si>
  <si>
    <t xml:space="preserve">  ALL KWH</t>
  </si>
  <si>
    <t>($/UNIT)</t>
  </si>
  <si>
    <t>SE</t>
  </si>
  <si>
    <t xml:space="preserve">STREET LIGHTING - </t>
  </si>
  <si>
    <t xml:space="preserve"> OVERHEAD EQUIVALENT RATE</t>
  </si>
  <si>
    <t>SC</t>
  </si>
  <si>
    <t xml:space="preserve"> CUST OWNED/CUST MAINT</t>
  </si>
  <si>
    <t>ENERGY ONLY</t>
  </si>
  <si>
    <t>(1) THESE FIGURES REPRESENT NUMBER OF UNITS BILLED.</t>
  </si>
  <si>
    <t>SL</t>
  </si>
  <si>
    <t>STREET LIGHTING</t>
  </si>
  <si>
    <t>OVERHEAD DISTRIBUTION:</t>
  </si>
  <si>
    <t>UNDERGROUND DISTRIBUTION:</t>
  </si>
  <si>
    <t>TL</t>
  </si>
  <si>
    <t>TRAFFIC LIGHTING</t>
  </si>
  <si>
    <t xml:space="preserve">    SERVICE</t>
  </si>
  <si>
    <t>(A) WHERE COMPANY</t>
  </si>
  <si>
    <t xml:space="preserve">  ALL CONSUMPTION</t>
  </si>
  <si>
    <t>NSU</t>
  </si>
  <si>
    <t xml:space="preserve">  2,500 LUMEN MULTIPLE</t>
  </si>
  <si>
    <t xml:space="preserve">  2,500 LUMEN SERIES</t>
  </si>
  <si>
    <t xml:space="preserve">  21,000 LUMEN</t>
  </si>
  <si>
    <t>TOTAL COMPANY OWNED</t>
  </si>
  <si>
    <t>DS</t>
  </si>
  <si>
    <t>DP</t>
  </si>
  <si>
    <t>GSFL</t>
  </si>
  <si>
    <t>EH</t>
  </si>
  <si>
    <t>SP</t>
  </si>
  <si>
    <t>IS</t>
  </si>
  <si>
    <t>OTHER MISC</t>
  </si>
  <si>
    <t xml:space="preserve">    TOTAL</t>
  </si>
  <si>
    <t>PAGE 1 OF 5</t>
  </si>
  <si>
    <t>WORK PAPER REFERENCE NO(S).: SEE BELOW</t>
  </si>
  <si>
    <t>LEVEL</t>
  </si>
  <si>
    <t>DOLLAR</t>
  </si>
  <si>
    <t>PERCENT</t>
  </si>
  <si>
    <t>of</t>
  </si>
  <si>
    <t>INCREASE</t>
  </si>
  <si>
    <t>BILL</t>
  </si>
  <si>
    <t>KWH</t>
  </si>
  <si>
    <t>DEMAND</t>
  </si>
  <si>
    <t>USE</t>
  </si>
  <si>
    <t>(D - C)</t>
  </si>
  <si>
    <t>(E / C)</t>
  </si>
  <si>
    <t>FIRST</t>
  </si>
  <si>
    <t>SECOND</t>
  </si>
  <si>
    <t>THIRD</t>
  </si>
  <si>
    <t>CHARGE</t>
  </si>
  <si>
    <t>STEP</t>
  </si>
  <si>
    <t>(KW)</t>
  </si>
  <si>
    <t>NA</t>
  </si>
  <si>
    <t>WINTER</t>
  </si>
  <si>
    <t>PAGE 2 OF 5</t>
  </si>
  <si>
    <t>CST CHRG</t>
  </si>
  <si>
    <t>ALL KWH</t>
  </si>
  <si>
    <t>PAGE 5 OF 5</t>
  </si>
  <si>
    <t xml:space="preserve">   TT (SUMMER)</t>
  </si>
  <si>
    <t xml:space="preserve">   TT (WINTER)</t>
  </si>
  <si>
    <t>PAGE 3 OF 5</t>
  </si>
  <si>
    <t xml:space="preserve">   DT (SUMMER)</t>
  </si>
  <si>
    <t xml:space="preserve">   DT (WINTER)</t>
  </si>
  <si>
    <t>PROPOSED ANNUALIZED</t>
  </si>
  <si>
    <t>CURRENT ANNUALIZED</t>
  </si>
  <si>
    <t>SERVICE AT SECONDARY</t>
  </si>
  <si>
    <t>DISTRIBUTION VOLTAGE</t>
  </si>
  <si>
    <t>CUSTOMER CHARGE:</t>
  </si>
  <si>
    <t xml:space="preserve">  SINGLE PHASE</t>
  </si>
  <si>
    <t xml:space="preserve">  THREE PHASE</t>
  </si>
  <si>
    <t>TOTAL CUSTOMER CHARGE</t>
  </si>
  <si>
    <t xml:space="preserve">  FIRST 15 KW</t>
  </si>
  <si>
    <t xml:space="preserve">  ADDITIONAL KW</t>
  </si>
  <si>
    <t xml:space="preserve">  FIRST  6000 KWH</t>
  </si>
  <si>
    <t xml:space="preserve">  NEXT 300KWH/KW</t>
  </si>
  <si>
    <t xml:space="preserve">  ADDITIONAL KWH</t>
  </si>
  <si>
    <t>TOTAL ENERGY</t>
  </si>
  <si>
    <t>SERVICE AT</t>
  </si>
  <si>
    <t xml:space="preserve">  PRIMARY VOLTAGE</t>
  </si>
  <si>
    <t>SUB-TOTAL</t>
  </si>
  <si>
    <t>PRIMARY SERV. DIS.</t>
  </si>
  <si>
    <t>FIRST 1000 KW</t>
  </si>
  <si>
    <t>ADDITIONAL KW</t>
  </si>
  <si>
    <t>SERVICE AT PRIMARY</t>
  </si>
  <si>
    <t xml:space="preserve">  ALL KW</t>
  </si>
  <si>
    <t xml:space="preserve">  FIRST 300KWH/KW</t>
  </si>
  <si>
    <t>SMALL FIXED LOADS</t>
  </si>
  <si>
    <t xml:space="preserve">    ALL CONSUMPTION</t>
  </si>
  <si>
    <t>OPTIONAL RATE FOR</t>
  </si>
  <si>
    <t>ELEC. SPACE HEATING</t>
  </si>
  <si>
    <t>SCHEDULE M-2.3</t>
  </si>
  <si>
    <t>SCHEDULE M-2.2</t>
  </si>
  <si>
    <t>PAGE  1  OF  1</t>
  </si>
  <si>
    <t>CLASSIFICATION</t>
  </si>
  <si>
    <t>REVENUE AT</t>
  </si>
  <si>
    <t>CHANGE</t>
  </si>
  <si>
    <t>(D=C-B)</t>
  </si>
  <si>
    <t>(AMOUNT)</t>
  </si>
  <si>
    <t>SCHEDULE M</t>
  </si>
  <si>
    <t>(E=D / B)</t>
  </si>
  <si>
    <t xml:space="preserve">  TOTAL DISTRIBUTION</t>
  </si>
  <si>
    <t xml:space="preserve">  TOTAL TRANSMISSION</t>
  </si>
  <si>
    <t xml:space="preserve">  TOTAL LIGHTING</t>
  </si>
  <si>
    <t>TOTAL REVENUE</t>
  </si>
  <si>
    <t>WORK PAPER REFERENCE NO(S).:</t>
  </si>
  <si>
    <t>TYPICAL BILL COMPARISON</t>
  </si>
  <si>
    <t>SCHEDULE N</t>
  </si>
  <si>
    <t xml:space="preserve"> </t>
  </si>
  <si>
    <t>Summer</t>
  </si>
  <si>
    <t>Winter</t>
  </si>
  <si>
    <t xml:space="preserve">CURRENT RATE DS BILL      </t>
  </si>
  <si>
    <t xml:space="preserve">PROPOSED RATE DS BILL      </t>
  </si>
  <si>
    <t xml:space="preserve"> CURRENT RATE EH BILL      </t>
  </si>
  <si>
    <t xml:space="preserve">PROPOSED RATES EH BILL      </t>
  </si>
  <si>
    <t>PAGE 4 OF 5</t>
  </si>
  <si>
    <t>PRIMARY VOLTAGE</t>
  </si>
  <si>
    <t>CURRENT RATES RS BILL</t>
  </si>
  <si>
    <t>PROPOSED RATES RS BILL</t>
  </si>
  <si>
    <t>PRESENT</t>
  </si>
  <si>
    <t>% OF</t>
  </si>
  <si>
    <t xml:space="preserve">WORK PAPER REFERENCE NO(S).: </t>
  </si>
  <si>
    <t>SCHEDULE M-2.1</t>
  </si>
  <si>
    <t>AVERAGE</t>
  </si>
  <si>
    <t>(F=E/D)</t>
  </si>
  <si>
    <t>% OF REV</t>
  </si>
  <si>
    <t>TO TOTAL</t>
  </si>
  <si>
    <t xml:space="preserve">EXCLUSIVE OF </t>
  </si>
  <si>
    <t>NOTE: DETAIL CONTAINED ON SCHEDULES M-2.2 AND M-2.3.</t>
  </si>
  <si>
    <t>Input Areas in Grey</t>
  </si>
  <si>
    <t xml:space="preserve">  TOTAL RESIDENTIAL</t>
  </si>
  <si>
    <t>(KW/KWH)</t>
  </si>
  <si>
    <t>(¢/KWH)</t>
  </si>
  <si>
    <t>MINIMUM BILLS</t>
  </si>
  <si>
    <t xml:space="preserve">  LOAD RANGE 540 TO 720 HRS</t>
  </si>
  <si>
    <t xml:space="preserve">  LOAD RANGE LESS THAN 540 HRS</t>
  </si>
  <si>
    <t>MERCURY VAPOR :</t>
  </si>
  <si>
    <t>SODIUM VAPOR:</t>
  </si>
  <si>
    <t>DECORATIVE SODIUM VAPOR:</t>
  </si>
  <si>
    <t>MERCURY VAPOR:</t>
  </si>
  <si>
    <t xml:space="preserve">     7,000 LUMEN (OPEN)</t>
  </si>
  <si>
    <t xml:space="preserve">     7,000 LUMEN</t>
  </si>
  <si>
    <t xml:space="preserve">    10,000 LUMEN</t>
  </si>
  <si>
    <t xml:space="preserve">    21,000 LUMEN</t>
  </si>
  <si>
    <t xml:space="preserve">     9,500 LUMEN (OPEN)</t>
  </si>
  <si>
    <t xml:space="preserve">     9,500 LUMEN</t>
  </si>
  <si>
    <t xml:space="preserve">   16,000 LUMEN</t>
  </si>
  <si>
    <t xml:space="preserve">   22,000 LUMEN</t>
  </si>
  <si>
    <t xml:space="preserve">   50,000 LUMEN</t>
  </si>
  <si>
    <t xml:space="preserve">  10,000 LUMEN</t>
  </si>
  <si>
    <t xml:space="preserve">    22,000 LUMEN (RECTILINEAR)</t>
  </si>
  <si>
    <t xml:space="preserve">    50,000 LUMEN (RECTILINEAR)</t>
  </si>
  <si>
    <t xml:space="preserve">  21,000 LUMEN MERCURY VAPOR</t>
  </si>
  <si>
    <t>NON STANDARD STREET LIGHT UNITS</t>
  </si>
  <si>
    <t>(A) COMPANY OWNED</t>
  </si>
  <si>
    <t>(1) BOULEVARD INCANDESCENT(UG):</t>
  </si>
  <si>
    <t>(2) HOLOPHANE DECORATIVE:</t>
  </si>
  <si>
    <t xml:space="preserve">  10,000 LUMEN MV W </t>
  </si>
  <si>
    <t xml:space="preserve">     17' FIBERGLASS POLE</t>
  </si>
  <si>
    <t>(3) STREET LGT UNITS (OH)</t>
  </si>
  <si>
    <t xml:space="preserve">    2,500 LUMEN INDANDESCENT</t>
  </si>
  <si>
    <t xml:space="preserve">    2,500 LUMEN MERCURY VAPOR</t>
  </si>
  <si>
    <t>(B) CUSTOMER OWNED WITH LTD MAINT</t>
  </si>
  <si>
    <t>TOTAL CUSTOMER OWNED</t>
  </si>
  <si>
    <t>MERCURY VAPOR 7,000 LUMEN:</t>
  </si>
  <si>
    <t xml:space="preserve">   TOWN &amp; COUNTRY</t>
  </si>
  <si>
    <t xml:space="preserve">    HOLOPHANE</t>
  </si>
  <si>
    <t xml:space="preserve">    GAS REPLICA</t>
  </si>
  <si>
    <t xml:space="preserve">    ASPEN</t>
  </si>
  <si>
    <t>SODIUM VAPOR 9,500 LUMEN:</t>
  </si>
  <si>
    <t xml:space="preserve">    RECTILINEAR</t>
  </si>
  <si>
    <t xml:space="preserve">  50,000 LUMEN (SETBACK)</t>
  </si>
  <si>
    <t xml:space="preserve">  50,000 LUMEN (RECTILINEAR)</t>
  </si>
  <si>
    <t xml:space="preserve">  22,000 LUMEN (RECTILINEAR)</t>
  </si>
  <si>
    <t>UOLS</t>
  </si>
  <si>
    <t>UNMETERED OUTDOOR LIGHTING SERV</t>
  </si>
  <si>
    <t>BASE RATE</t>
  </si>
  <si>
    <t>RESIDENTIAL SERV</t>
  </si>
  <si>
    <t>DISTRIBUTION SERV</t>
  </si>
  <si>
    <t>SPORTS SERV</t>
  </si>
  <si>
    <t>ELEC SPACE HEATING</t>
  </si>
  <si>
    <t>UNMTRD OUTDR LIGHT</t>
  </si>
  <si>
    <t>NON STD STREET LIGHT</t>
  </si>
  <si>
    <t>BAD CHECK CHARGES</t>
  </si>
  <si>
    <t xml:space="preserve">UOLS </t>
  </si>
  <si>
    <t>RENTS</t>
  </si>
  <si>
    <t>RECONNECTION CHGS</t>
  </si>
  <si>
    <t>RIDER</t>
  </si>
  <si>
    <t>DISTRIBUTION</t>
  </si>
  <si>
    <t>TRANSMISSION</t>
  </si>
  <si>
    <t>DSMR (2)</t>
  </si>
  <si>
    <t>DSMR (3)</t>
  </si>
  <si>
    <t>REAL TIME PRICING</t>
  </si>
  <si>
    <t xml:space="preserve"> CUST OWNED/LTD MAINT</t>
  </si>
  <si>
    <t>STREET LIGHTING -- CO OWNED &amp; MAINTAINED</t>
  </si>
  <si>
    <t>DS-RTP</t>
  </si>
  <si>
    <t>TT-RTP</t>
  </si>
  <si>
    <t xml:space="preserve">  TOTAL REAL TIME PRICING</t>
  </si>
  <si>
    <t xml:space="preserve"> TOTAL REAL TIME PRICING</t>
  </si>
  <si>
    <t>TOTAL OVERHEAD</t>
  </si>
  <si>
    <t>STREET LIGHTING -- CO OWNED &amp; MAINTAINED (CONT'D.)</t>
  </si>
  <si>
    <t>TOTAL UNDERGROUND</t>
  </si>
  <si>
    <t>METAL HALIDE:</t>
  </si>
  <si>
    <t xml:space="preserve">    GRANVILLE ACORN</t>
  </si>
  <si>
    <t xml:space="preserve">    36,000 LUMEN</t>
  </si>
  <si>
    <t xml:space="preserve">    14,000 LUMEN</t>
  </si>
  <si>
    <t xml:space="preserve">    20,500 LUMEN</t>
  </si>
  <si>
    <t xml:space="preserve">  7,000 LUMEN  TOWN &amp; COUNTRY</t>
  </si>
  <si>
    <t xml:space="preserve">  7,000 LUMEN HOLOPHANE</t>
  </si>
  <si>
    <t xml:space="preserve">  7,000 LUMEN ASPEN</t>
  </si>
  <si>
    <t>DECORATIVE MERCURY VAPOR:</t>
  </si>
  <si>
    <t xml:space="preserve">  9,500 LUMEN TOWN &amp; COUNTRY</t>
  </si>
  <si>
    <t xml:space="preserve">  9,500 LUMEN HOLOPHANE</t>
  </si>
  <si>
    <t xml:space="preserve">   27,500 LUMEN</t>
  </si>
  <si>
    <t>DECORATIVE METAL HALIDE:</t>
  </si>
  <si>
    <t xml:space="preserve"> 14,000 LUMEN GRANVILLE</t>
  </si>
  <si>
    <t xml:space="preserve">   TRADITIONAIRE</t>
  </si>
  <si>
    <t>Pole Rate Increases</t>
  </si>
  <si>
    <t>w17</t>
  </si>
  <si>
    <t>w30</t>
  </si>
  <si>
    <t>w35</t>
  </si>
  <si>
    <t>w40</t>
  </si>
  <si>
    <t>a12</t>
  </si>
  <si>
    <t>a28</t>
  </si>
  <si>
    <t>a28h</t>
  </si>
  <si>
    <t>a30</t>
  </si>
  <si>
    <t>f17</t>
  </si>
  <si>
    <t>f30</t>
  </si>
  <si>
    <t>f35</t>
  </si>
  <si>
    <t>s27</t>
  </si>
  <si>
    <t>s27h</t>
  </si>
  <si>
    <t>f12</t>
  </si>
  <si>
    <t>code</t>
  </si>
  <si>
    <t>base fuel</t>
  </si>
  <si>
    <t>annual kwh</t>
  </si>
  <si>
    <t>current</t>
  </si>
  <si>
    <t>proposed</t>
  </si>
  <si>
    <t>($/UNIT)/</t>
  </si>
  <si>
    <t>ADD'L FACILITIES CHARGE:</t>
  </si>
  <si>
    <t>TOTAL ADD'L FACILITIES CHG</t>
  </si>
  <si>
    <t>TT  RTP</t>
  </si>
  <si>
    <t>DT  RTP</t>
  </si>
  <si>
    <t>DS RTP</t>
  </si>
  <si>
    <t>DS  RTP</t>
  </si>
  <si>
    <t>TIME OF DAY SERVICE AT</t>
  </si>
  <si>
    <t>TRANSMISSION VOLTAGE</t>
  </si>
  <si>
    <t xml:space="preserve">  BILLS  (Real-Time Pricing)</t>
  </si>
  <si>
    <t>($/KWH)</t>
  </si>
  <si>
    <t>RESIDENTIAL SERVICE  (RS)</t>
  </si>
  <si>
    <t>DISTRIBUTION SERVICE  (DS)</t>
  </si>
  <si>
    <t>SPORTS SERVICE  (SP)</t>
  </si>
  <si>
    <t>SMALL FIXED LOADS  (GSFL)</t>
  </si>
  <si>
    <t>PRIMARY VOLTAGE  (DP)</t>
  </si>
  <si>
    <t>TIME OF DAY  (TT)</t>
  </si>
  <si>
    <t>DS-REAL TIME PRICING  (DS-RTP)</t>
  </si>
  <si>
    <t>TT-REAL TIME PRICING  (TT-RTP)</t>
  </si>
  <si>
    <t>STREET LIGHTING  (SL)</t>
  </si>
  <si>
    <t>TRAFFIC LIGHTING  (TL)</t>
  </si>
  <si>
    <t>REVENUE (2)</t>
  </si>
  <si>
    <t>RATES(3)</t>
  </si>
  <si>
    <t>RATES(1A)</t>
  </si>
  <si>
    <t>INTERDEPARTMENTAL</t>
  </si>
  <si>
    <t>SPECIAL CONTRACTS</t>
  </si>
  <si>
    <t>($/KW)</t>
  </si>
  <si>
    <t>WS</t>
  </si>
  <si>
    <t>8A</t>
  </si>
  <si>
    <t>($/KWH)/</t>
  </si>
  <si>
    <t>$ PER KWH</t>
  </si>
  <si>
    <t>TYPE OF FILING: _X_ ORIGINAL   ___UPDATED  ___ REVISED</t>
  </si>
  <si>
    <t xml:space="preserve">  STANDARD UNIT-COBRAHEAD</t>
  </si>
  <si>
    <t xml:space="preserve">    MERCURY VAPOR --</t>
  </si>
  <si>
    <t xml:space="preserve">   10,000 LUMEN</t>
  </si>
  <si>
    <t xml:space="preserve">   21,000 LUMEN</t>
  </si>
  <si>
    <t xml:space="preserve">  METAL HALIDE --</t>
  </si>
  <si>
    <t xml:space="preserve">   14,000 LUMEN</t>
  </si>
  <si>
    <t xml:space="preserve">   20,500 LUMEN</t>
  </si>
  <si>
    <t xml:space="preserve">   36,000 LUMEN</t>
  </si>
  <si>
    <t xml:space="preserve">  SODIUM VAPOR--</t>
  </si>
  <si>
    <t xml:space="preserve">    9,500 LUMEN</t>
  </si>
  <si>
    <t>DECORATIVE UNITS:</t>
  </si>
  <si>
    <t xml:space="preserve">   7,000 LUMEN MERCURY VAPOR--</t>
  </si>
  <si>
    <t xml:space="preserve">    TOWN &amp; COUNTRY</t>
  </si>
  <si>
    <t xml:space="preserve"> 14,000 LUMEN METAL HALIDE--</t>
  </si>
  <si>
    <t xml:space="preserve">    TRADITIONAIRE</t>
  </si>
  <si>
    <t xml:space="preserve">  9,500 LUMEN SODIUM VAPOR--</t>
  </si>
  <si>
    <t>SODIUM VAPOR --</t>
  </si>
  <si>
    <t>ANNUAL</t>
  </si>
  <si>
    <t>ID01</t>
  </si>
  <si>
    <t xml:space="preserve">  LOAD MANAGEMENT RIDER</t>
  </si>
  <si>
    <t>EXCLUDES ALL RIDERS AND FUEL</t>
  </si>
  <si>
    <t>FAC (1)</t>
  </si>
  <si>
    <t>GS-FL</t>
  </si>
  <si>
    <t>RIDERS</t>
  </si>
  <si>
    <t>PSM (5)</t>
  </si>
  <si>
    <t>FAC (2)</t>
  </si>
  <si>
    <t xml:space="preserve">  NON-CHURCH "CAP" RATE</t>
  </si>
  <si>
    <t xml:space="preserve">  CHURCH CAP RATE</t>
  </si>
  <si>
    <t>TIME OF DAY SERVICE AT SECONDARY</t>
  </si>
  <si>
    <t>TIME OF DAY SERVICE AT PRIMARY</t>
  </si>
  <si>
    <t xml:space="preserve">DT RTP </t>
  </si>
  <si>
    <t xml:space="preserve">REVENUE </t>
  </si>
  <si>
    <t>TOTAL RETAIL REVENUE</t>
  </si>
  <si>
    <t>DT PRIMARY-REAL TIME PRICING  (DT-RTP PRI)</t>
  </si>
  <si>
    <t>DT-RTP PRI</t>
  </si>
  <si>
    <t>DT-RTP SEC</t>
  </si>
  <si>
    <t xml:space="preserve">  COMMODITY CHARGES</t>
  </si>
  <si>
    <t>ENERGY CHARGE (3):</t>
  </si>
  <si>
    <t>BASE RATE (3):</t>
  </si>
  <si>
    <t>SUPPLIES ENERGY ONLY (3):</t>
  </si>
  <si>
    <t xml:space="preserve"> BILL DATA LESS RIDERS</t>
  </si>
  <si>
    <t>TIME OF DAY PRIMARY</t>
  </si>
  <si>
    <t>DT-SEC</t>
  </si>
  <si>
    <t>TIME OF DAY SECONDARY</t>
  </si>
  <si>
    <t>DT-PRI</t>
  </si>
  <si>
    <t>DT PRIMARY TIME OF DAY (DT-PRI)</t>
  </si>
  <si>
    <t>DT SECONDARY TIME OF DAY  (DT-SEC)</t>
  </si>
  <si>
    <t xml:space="preserve">  ALL  KWH</t>
  </si>
  <si>
    <t>DT SECONDARY-REAL TIME PRICING  (DT-RTP SEC)</t>
  </si>
  <si>
    <t xml:space="preserve">  ON PEAK KWH</t>
  </si>
  <si>
    <t xml:space="preserve">  OFF PEAK KWH</t>
  </si>
  <si>
    <t xml:space="preserve"> LIGHTING</t>
  </si>
  <si>
    <t>All Rates</t>
  </si>
  <si>
    <t>(4) 1.5% OF INSTALLED TRANSFORMER AMD METERING COSTS BUT NOT LESS THAN CUSTOMER CHARGE WHETHER SERVICE IS ON OR DISCONNECTED.</t>
  </si>
  <si>
    <t>SEASONAL SPORTS SERVICE</t>
  </si>
  <si>
    <t xml:space="preserve">   50,000 LUMEN SETBACK</t>
  </si>
  <si>
    <t xml:space="preserve">     9,500 LUMEN RECTILINEAR</t>
  </si>
  <si>
    <t xml:space="preserve">   22,000 LUMEN RECTILINEAR</t>
  </si>
  <si>
    <t xml:space="preserve">   50,000 LUMEN RECTILINEAR</t>
  </si>
  <si>
    <t xml:space="preserve">  22,000 LUMEN RECTILINEAR</t>
  </si>
  <si>
    <t xml:space="preserve">  50,000 LUMEN RECTILINEAR</t>
  </si>
  <si>
    <t xml:space="preserve">  50,000 LUMEN SETBACK</t>
  </si>
  <si>
    <t xml:space="preserve">     9,500 LUMEN </t>
  </si>
  <si>
    <t xml:space="preserve">  7,000 LUMEN GRANVILLE </t>
  </si>
  <si>
    <t xml:space="preserve"> 14,000 LUMEN TRADITIONAIRE</t>
  </si>
  <si>
    <t xml:space="preserve">  9,500 LUMEN TRADITIONAIRE</t>
  </si>
  <si>
    <t xml:space="preserve">  9,500 LUMEN GRANVILLE </t>
  </si>
  <si>
    <t xml:space="preserve"> 14,000 LUMEN GAS REPLICA</t>
  </si>
  <si>
    <t>Lighting rate on</t>
  </si>
  <si>
    <t>Tariff Sheet</t>
  </si>
  <si>
    <t>less Base Fuel</t>
  </si>
  <si>
    <t>UNDERGROUND DISTRIBUTION (CONT'D.):</t>
  </si>
  <si>
    <t>METAL HALIDE 14,000 LUMEN:</t>
  </si>
  <si>
    <t xml:space="preserve">   GRANVILLE ACORN</t>
  </si>
  <si>
    <t xml:space="preserve">   GAS REPLICA</t>
  </si>
  <si>
    <t>REVENUES AT PRESENT AND PROPOSED RATES</t>
  </si>
  <si>
    <t xml:space="preserve">RESIDENTIAL </t>
  </si>
  <si>
    <t>LIGHTING</t>
  </si>
  <si>
    <t>OTHER MISC REVENUE</t>
  </si>
  <si>
    <t xml:space="preserve">  TOTAL MISC REVENUE</t>
  </si>
  <si>
    <t>MINIMUM BILLS (4)</t>
  </si>
  <si>
    <t>ELECTRIC SPACE HEATING  (EH)</t>
  </si>
  <si>
    <t>UNMETERED OUTDOOR LIGHTING (UOLS)</t>
  </si>
  <si>
    <t>NON STANDARD STREET LIGHTING  (NSU)</t>
  </si>
  <si>
    <t>CUST OWNED STREET LIGHTING SERVICE  (SC)</t>
  </si>
  <si>
    <t>OVERHEAD EQUIV STREET LIGHTING SERVICE  (SE)</t>
  </si>
  <si>
    <t>RECONNECTION CHARGES</t>
  </si>
  <si>
    <t>OTHER MISCELLANEOUS</t>
  </si>
  <si>
    <t xml:space="preserve">  TOTAL MISCELLANEOUS REVENUE</t>
  </si>
  <si>
    <t>OTHER MISCELLANEOUS REVENUE</t>
  </si>
  <si>
    <t xml:space="preserve">CUST OWNED STREET LIGHTING </t>
  </si>
  <si>
    <t>OVR HD EQUIV STREET LIGHTING</t>
  </si>
  <si>
    <t>INCLUDES FUEL AND ALL RIDERS</t>
  </si>
  <si>
    <t>SCHEDULE M-2.2       (CURRENT RATES)</t>
  </si>
  <si>
    <t>SCHEDULE M-2.3       (PROPOSED RATES)</t>
  </si>
  <si>
    <t>BASE FUEL COST:</t>
  </si>
  <si>
    <t>RIDERS:</t>
  </si>
  <si>
    <t xml:space="preserve">  TOTAL RATE RS EXCLUDING RIDERS</t>
  </si>
  <si>
    <t>PROFIT SHARING MECHANISM (PSM)</t>
  </si>
  <si>
    <t>HOME ENERGY ASSISTANCE (HEA)</t>
  </si>
  <si>
    <t>DEMAND SIDE MANAGEMENT RIDER (DSMR)</t>
  </si>
  <si>
    <t xml:space="preserve">  TOTAL RIDERS</t>
  </si>
  <si>
    <t xml:space="preserve">  TOTAL RATE RS INCLUDING RIDERS</t>
  </si>
  <si>
    <t>TOTAL RATE DS EXCLUDING RIDERS</t>
  </si>
  <si>
    <t xml:space="preserve"> TOTAL RATE DS INCLUDING RIDERS</t>
  </si>
  <si>
    <t xml:space="preserve">  TOTAL RATE DT PRIMARY EXCLUDING RIDERS</t>
  </si>
  <si>
    <t xml:space="preserve">  TOTAL RATE DT PRIMARY INCLUDING RIDERS</t>
  </si>
  <si>
    <t xml:space="preserve">  TOTAL RATE DT SECONDARY INCLUDING RIDERS</t>
  </si>
  <si>
    <t xml:space="preserve">  TOTAL RATE DT SECONDARY EXCLUDING RIDERS</t>
  </si>
  <si>
    <t xml:space="preserve">  TOTAL RATE EH EXCLUDING RIDERS</t>
  </si>
  <si>
    <t xml:space="preserve">    TOTAL RATE EH INCLUDING RIDERS</t>
  </si>
  <si>
    <t xml:space="preserve">  TOTAL RATE SP EXCLUDING RIDERS</t>
  </si>
  <si>
    <t xml:space="preserve">  TOTAL RATE GS-FL EXCLUDING RIDERS</t>
  </si>
  <si>
    <t>TOTAL RATE GS-FL INCLUDING RIDERS</t>
  </si>
  <si>
    <t>TOTAL RATE SP INCLUDING RIDERS</t>
  </si>
  <si>
    <t xml:space="preserve">  TOTAL RATE DP EXCLUDING RIDERS</t>
  </si>
  <si>
    <t xml:space="preserve"> TOTAL RATE DP INCLUDING RIDERS</t>
  </si>
  <si>
    <t>TOTAL RATE DP INCLUDING RIDERS</t>
  </si>
  <si>
    <t xml:space="preserve">  TOTAL RATE TT EXCLUDING RIDERS</t>
  </si>
  <si>
    <t xml:space="preserve">  TOTAL RATE TT INCLUDING RIDERS</t>
  </si>
  <si>
    <t xml:space="preserve">  TOTAL RATE DT RTP PRIMARY EXCLUDING RIDERS</t>
  </si>
  <si>
    <t xml:space="preserve">  TOTAL RATE  DT RTP PRIMARY INCLUDING RIDERS</t>
  </si>
  <si>
    <t xml:space="preserve">  TOTAL RATE DT RTP SECONDARY EXCLUDING RIDERS</t>
  </si>
  <si>
    <t xml:space="preserve"> TOTAL RATE DT RTP SECONDARY INCLUDING RIDERS</t>
  </si>
  <si>
    <t xml:space="preserve">  TOTAL RATE  DT RTP SECONDARY INCLUDING RIDERS</t>
  </si>
  <si>
    <t xml:space="preserve">  TOTAL RATE  DS RTP INCLUDING RIDERS</t>
  </si>
  <si>
    <t xml:space="preserve">  TOTAL RATE DS RTP  EXCLUDING RIDERS</t>
  </si>
  <si>
    <t xml:space="preserve">  TOTAL RATE TT RTP  EXCLUDING RIDERS</t>
  </si>
  <si>
    <t xml:space="preserve">  TOTAL RATE  TT RTP INCLUDING RIDERS</t>
  </si>
  <si>
    <t xml:space="preserve">  TOTAL RIDERS NOT INCLUDED IN RATES ABOVE</t>
  </si>
  <si>
    <t xml:space="preserve">  TOTAL RATE TL  EXCLUDING RIDERS</t>
  </si>
  <si>
    <t xml:space="preserve">    TOTAL RATE TL INCLUDING RIDERS</t>
  </si>
  <si>
    <t>TOTAL RATE UOLS INCLUDING RIDERS</t>
  </si>
  <si>
    <t>RIDERS NOT INCLUDED IN RATES ABOVE ($/KWH):</t>
  </si>
  <si>
    <t xml:space="preserve">  TOTAL RATE NSU  EXCLUDING RIDERS</t>
  </si>
  <si>
    <t>TOTAL RATE NSU INCLUDING RIDERS</t>
  </si>
  <si>
    <t xml:space="preserve">  TOTAL RATE SC  EXCLUDING RIDERS</t>
  </si>
  <si>
    <t>TOTAL RATE SC INCLUDING RIDERS</t>
  </si>
  <si>
    <t xml:space="preserve">  TOTAL RATE SE  EXCLUDING RIDERS</t>
  </si>
  <si>
    <t xml:space="preserve">  TOTAL RATE SE INCLUDING RIDERS</t>
  </si>
  <si>
    <t xml:space="preserve">TOTAL RATE SLI NCLUDING RIDERS </t>
  </si>
  <si>
    <t>TOTAL RATE SL INCLUDING RIDERS</t>
  </si>
  <si>
    <t>RIDERS NOT INCLUDED IN RATES ABOVE:</t>
  </si>
  <si>
    <t xml:space="preserve"> 14,500 LUMEN GAS REPLICA </t>
  </si>
  <si>
    <t>POLE AND LINE ATTACHMENTS</t>
  </si>
  <si>
    <t>DUKE ENERGY KENTUCKY, INC.</t>
  </si>
  <si>
    <t>$ PER MONTH</t>
  </si>
  <si>
    <t>ENERGY CHARGE</t>
  </si>
  <si>
    <t xml:space="preserve">  Single Phase</t>
  </si>
  <si>
    <t xml:space="preserve">  Three Phase</t>
  </si>
  <si>
    <t xml:space="preserve">  First 6000</t>
  </si>
  <si>
    <t xml:space="preserve">  Next 300 KWH/KW</t>
  </si>
  <si>
    <t xml:space="preserve">  Additional</t>
  </si>
  <si>
    <t>DEMAND CHARGE</t>
  </si>
  <si>
    <t>$ PER KW</t>
  </si>
  <si>
    <t xml:space="preserve">  First 15 KW</t>
  </si>
  <si>
    <t>CAP RATES</t>
  </si>
  <si>
    <t xml:space="preserve">  NON-CHURCH</t>
  </si>
  <si>
    <t xml:space="preserve">  CHURCH</t>
  </si>
  <si>
    <t xml:space="preserve">  Primary Voltage</t>
  </si>
  <si>
    <t xml:space="preserve">  Summer On-Peak</t>
  </si>
  <si>
    <t xml:space="preserve">  Winter On-Peak</t>
  </si>
  <si>
    <t xml:space="preserve">  Off-Peak</t>
  </si>
  <si>
    <t xml:space="preserve">  Summer Off-Peak</t>
  </si>
  <si>
    <t xml:space="preserve">  Winter Off-Peak</t>
  </si>
  <si>
    <t xml:space="preserve">  Primary Service Discount First 1000 KW</t>
  </si>
  <si>
    <t xml:space="preserve">  Primary Service Discount Additional KW</t>
  </si>
  <si>
    <t xml:space="preserve">  All KWH</t>
  </si>
  <si>
    <t xml:space="preserve">  All KW</t>
  </si>
  <si>
    <t xml:space="preserve">  Minimum Bill</t>
  </si>
  <si>
    <t xml:space="preserve">  Loads &lt; 540 Hours Use per Month</t>
  </si>
  <si>
    <t xml:space="preserve">  Loads Between 540 to 720 Hours Use per Month</t>
  </si>
  <si>
    <t>MINIMUM BILL</t>
  </si>
  <si>
    <t xml:space="preserve">  First 300 KWH/KW</t>
  </si>
  <si>
    <t xml:space="preserve">  Customer Charge</t>
  </si>
  <si>
    <t xml:space="preserve">  Secondary Voltage</t>
  </si>
  <si>
    <t xml:space="preserve">  Transmission Voltage</t>
  </si>
  <si>
    <t>ENERGY DELIVERY CHARGE</t>
  </si>
  <si>
    <t>ANSCILLARY SERVICES CHARGE</t>
  </si>
  <si>
    <t>COMMODITY CHARGE</t>
  </si>
  <si>
    <t xml:space="preserve">  Distribution Service</t>
  </si>
  <si>
    <t xml:space="preserve">  Primary Service</t>
  </si>
  <si>
    <t xml:space="preserve">  Transmission Service</t>
  </si>
  <si>
    <t>PROGRAM CHARGE</t>
  </si>
  <si>
    <t xml:space="preserve">  Program Charge</t>
  </si>
  <si>
    <t xml:space="preserve">PJM AND TRANSMISSION </t>
  </si>
  <si>
    <t>PJM AND TRANSMISSION</t>
  </si>
  <si>
    <t>Lighting kWh on</t>
  </si>
  <si>
    <t>Annual kWh / Light</t>
  </si>
  <si>
    <t>PAGE  xx  OF  20</t>
  </si>
  <si>
    <t>EXCLUDES ALL RIDERS AND FUEL-UNFINISHED-NOT USED</t>
  </si>
  <si>
    <t>On-peak Energy %</t>
  </si>
  <si>
    <t>On-peak Demand %</t>
  </si>
  <si>
    <t>EXCLUDES TRANSMISSION</t>
  </si>
  <si>
    <t xml:space="preserve">  CAP RATE KWH</t>
  </si>
  <si>
    <t xml:space="preserve">  Cap Rate</t>
  </si>
  <si>
    <t>RIDER NAMES:</t>
  </si>
  <si>
    <t>ENVIRONMENTAL SURCHARGE MECHANISM RIDER (ESM)</t>
  </si>
  <si>
    <t>ESM (4)</t>
  </si>
  <si>
    <t>FUEL ADJUSTMENT CLAUSE (FAC):</t>
  </si>
  <si>
    <t>ESM (3)</t>
  </si>
  <si>
    <t xml:space="preserve">  On-Peak Summer</t>
  </si>
  <si>
    <t xml:space="preserve">  On-Peak Winter</t>
  </si>
  <si>
    <t>DT-Primary</t>
  </si>
  <si>
    <t>DT-Secondary</t>
  </si>
  <si>
    <t>DATA: ____ BASE PERIOD   __X__FORECASTED PERIOD</t>
  </si>
  <si>
    <t>ANNUALIZED TEST YEAR REVENUES AT PROPOSED VS. MOST CURRENT RATES</t>
  </si>
  <si>
    <t>REVENUE REQUIREMENTS FROM COST OF SERVICE STUDY</t>
  </si>
  <si>
    <t>Total</t>
  </si>
  <si>
    <t>OTHER</t>
  </si>
  <si>
    <t>Proposed Revenue Requirements</t>
  </si>
  <si>
    <t>DT-Secondary - RTP</t>
  </si>
  <si>
    <t>DT-Primary - RTP</t>
  </si>
  <si>
    <t>TT - RTP</t>
  </si>
  <si>
    <t>Lighting</t>
  </si>
  <si>
    <t>Customer Bills</t>
  </si>
  <si>
    <t>Current Average Customer Charge</t>
  </si>
  <si>
    <t>Gap</t>
  </si>
  <si>
    <t>PROPOSED RATE CALCULATIONS</t>
  </si>
  <si>
    <t>COSS - RS Customer Component</t>
  </si>
  <si>
    <t>Rate:  RS</t>
  </si>
  <si>
    <t>Test Period</t>
  </si>
  <si>
    <t>Current Customer Charge</t>
  </si>
  <si>
    <t>Proposed Customer Charge</t>
  </si>
  <si>
    <t>Proposed Customer Charge Revenues</t>
  </si>
  <si>
    <t>COSS - RS Revenue Requirement</t>
  </si>
  <si>
    <t>Proposed Energy Charge</t>
  </si>
  <si>
    <t>Rate:  DS</t>
  </si>
  <si>
    <t>Customer Bills - 3 Phase</t>
  </si>
  <si>
    <t>Customer Bills - Total</t>
  </si>
  <si>
    <t>Customer Bills - Single Phase</t>
  </si>
  <si>
    <t>Proposed Customer Charge - Single Phase</t>
  </si>
  <si>
    <t>Adjusted Customer Charge - Single Phase</t>
  </si>
  <si>
    <t>Adjusted Customer Charge - 3 Phase</t>
  </si>
  <si>
    <t>Proposed Customer Charge - 3 Phase</t>
  </si>
  <si>
    <t>Demand &gt; 15 kW</t>
  </si>
  <si>
    <t>Proposed Demand Charge for kW &gt; 15 kW</t>
  </si>
  <si>
    <t>First 6000 kWh</t>
  </si>
  <si>
    <t>Proposed Energy Charge - First 6000 kWh</t>
  </si>
  <si>
    <t>Next 300 kWh / kW kWh</t>
  </si>
  <si>
    <t>Proposed Energy Charge - Next 300 kWh / kW kWh</t>
  </si>
  <si>
    <t>Additional kWh</t>
  </si>
  <si>
    <t>Proposed Energy Charge - Additional kWh</t>
  </si>
  <si>
    <t>Non-church Cap Rate kWh</t>
  </si>
  <si>
    <t>Proposed Energy Charge - Non-church Cap Rate</t>
  </si>
  <si>
    <t>Church Cap Rate kWh</t>
  </si>
  <si>
    <t>Church Cap Rate Current Revenue Percent</t>
  </si>
  <si>
    <t xml:space="preserve">Proposed Energy Charge - Church Cap Rate </t>
  </si>
  <si>
    <t>Rate:  DS-RTP</t>
  </si>
  <si>
    <t>Rates sourced from COSS - See separate schedules</t>
  </si>
  <si>
    <t>Rate:  DT</t>
  </si>
  <si>
    <t>DT RTP Base Revenues</t>
  </si>
  <si>
    <t>Customer Bills - DT Primary</t>
  </si>
  <si>
    <t>Customer Bills - DT Secondary Three Phase</t>
  </si>
  <si>
    <t>Current Customer Charge - DT Primary</t>
  </si>
  <si>
    <t>Proposed Summer On-Peak kWh</t>
  </si>
  <si>
    <t>Proposed Winter On-Peak kWh</t>
  </si>
  <si>
    <t>Proposed Off-Peak kWh</t>
  </si>
  <si>
    <t>Proposed Summer On-Peak kW</t>
  </si>
  <si>
    <t>Proposed Summer Off-Peak kW</t>
  </si>
  <si>
    <t>Proposed Winter On-Peak kW</t>
  </si>
  <si>
    <t>Proposed Winter Off-Peak kW</t>
  </si>
  <si>
    <t>Proposed Primary Service Discount First 1000 KW</t>
  </si>
  <si>
    <t>Primary Service Discount Additional KW</t>
  </si>
  <si>
    <t>Rate:  EH</t>
  </si>
  <si>
    <t>Current Customer Charge - Average</t>
  </si>
  <si>
    <t>Proposed EH Secondary Customer Charge - Three Phase</t>
  </si>
  <si>
    <t>Proposed EH Customer Charge - Single Phase</t>
  </si>
  <si>
    <t>Proposed Customer Charges - Total</t>
  </si>
  <si>
    <t>Proposed kWh Rate</t>
  </si>
  <si>
    <t>Rate:  SP</t>
  </si>
  <si>
    <t>Customer Bills - SP</t>
  </si>
  <si>
    <t xml:space="preserve">Proposed SP Customer Charge </t>
  </si>
  <si>
    <t>Rate:  GSFL</t>
  </si>
  <si>
    <t>Percentage</t>
  </si>
  <si>
    <t>Minimum Bill Revenues</t>
  </si>
  <si>
    <t>LOAD RANGE 540 TO 720 HRS Revenues</t>
  </si>
  <si>
    <t>LOAD RANGE LESS THAN 540 HRS Revenues</t>
  </si>
  <si>
    <t>Current Period</t>
  </si>
  <si>
    <t>Proposed GSFL Minimum Bill Charge</t>
  </si>
  <si>
    <t>Proposed LOAD RANGE 540 TO 720 HRS Rate</t>
  </si>
  <si>
    <t>Proposed LOAD RANGE LESS THAN 540 HRS Rate</t>
  </si>
  <si>
    <t>GSFL Minimum Bills</t>
  </si>
  <si>
    <t>Rate:  DP</t>
  </si>
  <si>
    <t>Demand Charge Revenues</t>
  </si>
  <si>
    <t>KWH Revenues - FIRST 300KWH/KW</t>
  </si>
  <si>
    <t>KWH Revenues - ADDITIONAL KWH</t>
  </si>
  <si>
    <t>KWH Revenues - CAP RATE</t>
  </si>
  <si>
    <t>Proposed Demand Rate</t>
  </si>
  <si>
    <t>Proposed KWH - FIRST 300KWH/KW Rate</t>
  </si>
  <si>
    <t>Proposed ADDITIONAL KWH Rate</t>
  </si>
  <si>
    <t>Proposed KWH - CAP Rate</t>
  </si>
  <si>
    <t xml:space="preserve">  DS &amp; DP (INTERVAL DATA RECORDER)</t>
  </si>
  <si>
    <t xml:space="preserve">  DS (NO INTERVAL DATA RECORDER)</t>
  </si>
  <si>
    <t>Rate:  TT</t>
  </si>
  <si>
    <t>Customer Bills - TT</t>
  </si>
  <si>
    <t>Proposed TT Custommer Charge</t>
  </si>
  <si>
    <t>TT Customer Charge Revenue</t>
  </si>
  <si>
    <t>TT RTP Base Revenues</t>
  </si>
  <si>
    <t>TT Summer On-Peak kWh Rate</t>
  </si>
  <si>
    <t>TT Winter On-Peak kWh Rate</t>
  </si>
  <si>
    <t>TT Off-Peak kWh Rate</t>
  </si>
  <si>
    <t>TEST PERIOD REVENUES AT CURRENT RATES</t>
  </si>
  <si>
    <t>Lighting Breakdown</t>
  </si>
  <si>
    <t>Lighting Rate Schedule</t>
  </si>
  <si>
    <t>Rate</t>
  </si>
  <si>
    <t>COSS Total - Test Year</t>
  </si>
  <si>
    <t>Rate:  All Street Lighting</t>
  </si>
  <si>
    <t>Street Lighting revenues are allocated and</t>
  </si>
  <si>
    <t>Increase in Street Lighting rate SL per COSS:</t>
  </si>
  <si>
    <t>Customer Bills - DT Secondary Single Phase</t>
  </si>
  <si>
    <t>TEST PERIOD</t>
  </si>
  <si>
    <t>PROPOSED RATE CALCULATION</t>
  </si>
  <si>
    <t>HEA $ / MONTH</t>
  </si>
  <si>
    <t>Customer Bills - DP</t>
  </si>
  <si>
    <t>Proposed EH Primary Customer Charge</t>
  </si>
  <si>
    <t xml:space="preserve">RATE WS: </t>
  </si>
  <si>
    <t>Energy</t>
  </si>
  <si>
    <t xml:space="preserve">  Distribution Service (DS-Secondary)</t>
  </si>
  <si>
    <t xml:space="preserve">  Primary Service (DT-Secondary)</t>
  </si>
  <si>
    <t>Test Period kWh</t>
  </si>
  <si>
    <t>Check to Revenue Requirements</t>
  </si>
  <si>
    <t>Comparison of Calculated Proposed Revenues Less COS Revenue Requirement</t>
  </si>
  <si>
    <t>+ value is high &amp; - value is low</t>
  </si>
  <si>
    <t>Test Year Demand Revenue</t>
  </si>
  <si>
    <t>Proposed DT Primary Customer Charge @ Migration %</t>
  </si>
  <si>
    <t>LOAD RANGE 540 TO 720 HRS - Test Period KWH</t>
  </si>
  <si>
    <t>LOAD RANGE LESS THAN 540 HRS - Test Period KWH</t>
  </si>
  <si>
    <t>SUM</t>
  </si>
  <si>
    <t>rates calculated in the individual rate sheets</t>
  </si>
  <si>
    <t>SCHEDULE M - CURRENT RATE Revenues</t>
  </si>
  <si>
    <t>No Riders but Including Fuel</t>
  </si>
  <si>
    <t>Current Rate Revenues - No Riders - Including Fuel</t>
  </si>
  <si>
    <t>% Change</t>
  </si>
  <si>
    <t>Test Period Revenues Using Current Rates - No Riders - with Fuel</t>
  </si>
  <si>
    <t>COS - no riders - includes fuel and FAC</t>
  </si>
  <si>
    <t>Customer Component RRs</t>
  </si>
  <si>
    <t>not used</t>
  </si>
  <si>
    <t>Water Pumping</t>
  </si>
  <si>
    <t>COSS Customer Charge</t>
  </si>
  <si>
    <t>COSS - DS Customer Component Less RTP Customer Charge</t>
  </si>
  <si>
    <t>COSS Percent Increase</t>
  </si>
  <si>
    <t>% Migration to COSS</t>
  </si>
  <si>
    <t>Test Period % of Revenues @ Current Rates from Demand Charges / Total Revenue Less Customer Charges</t>
  </si>
  <si>
    <t>Demand Charge Target</t>
  </si>
  <si>
    <t>COSS DS Energy Revenue Target</t>
  </si>
  <si>
    <t>First 6000 kWh Block @ Current Rates Percent</t>
  </si>
  <si>
    <t>First 6000 kWh Block Revenue Target</t>
  </si>
  <si>
    <t>Next 300 kWh / kW Block Revenue Target</t>
  </si>
  <si>
    <t>Additional kWh Block @ Current  Rates Percent</t>
  </si>
  <si>
    <t>Additional kWh Block Revenue Target</t>
  </si>
  <si>
    <t>Non-church Cap Rate @ Current Rates Percent</t>
  </si>
  <si>
    <t>Non-church Cap Rate Revenue Target</t>
  </si>
  <si>
    <t>Church Cap Rate Revenue Target</t>
  </si>
  <si>
    <t>Same process for DT-RTP and TT-RTP</t>
  </si>
  <si>
    <t>RTP revenues are deducted from the rate class revenues</t>
  </si>
  <si>
    <t>COSS - DT Secondary Customer Component Less RTP Customer Charge</t>
  </si>
  <si>
    <t>COSS Average Customer Charge</t>
  </si>
  <si>
    <t>COSS Average Customer Charge - DT Secondary</t>
  </si>
  <si>
    <t>Proposed Customer Charge - DT Secondary Three Phase</t>
  </si>
  <si>
    <t>Proposed Customer Charge - DT Secondary Single Phase</t>
  </si>
  <si>
    <t>COSS - DT Primary Customer Component</t>
  </si>
  <si>
    <t>COSS Customer Charge - DT Primary</t>
  </si>
  <si>
    <t>Current Customer Charge - DT Secondary Three Phase</t>
  </si>
  <si>
    <t>Proposed DT Customer Charges Total</t>
  </si>
  <si>
    <t>COSS Target Revenue - Rate DT</t>
  </si>
  <si>
    <t>Target % Based on Current Revenues</t>
  </si>
  <si>
    <t>Calculated Rate</t>
  </si>
  <si>
    <t>DT Revenue Targets</t>
  </si>
  <si>
    <t>Customer Bills - EH Single Phase</t>
  </si>
  <si>
    <t>Customer Bills - EH Three Phase</t>
  </si>
  <si>
    <t>COSS Customer Component</t>
  </si>
  <si>
    <t>COSS Customer Charge @ Migration %</t>
  </si>
  <si>
    <t>Target Minimum Bill Revenues</t>
  </si>
  <si>
    <t xml:space="preserve">Proposed DP Customer Charge </t>
  </si>
  <si>
    <t>COSS Target Demand Charges</t>
  </si>
  <si>
    <t>COSS Target KWH Charges - FIRST 300KWH/KW</t>
  </si>
  <si>
    <t>COSS Target KWH Charges - ADDITIONAL KWH</t>
  </si>
  <si>
    <t>COSS Target KWH Charges - CAP RATE</t>
  </si>
  <si>
    <t>DP Demand kW</t>
  </si>
  <si>
    <t>DP KWH - FIRST 300KWH/KW</t>
  </si>
  <si>
    <t>DP KWH - ADDITIONAL KWH</t>
  </si>
  <si>
    <t>DP KWH - CAP RATE</t>
  </si>
  <si>
    <t>Summer Demand On-Peak Revenues</t>
  </si>
  <si>
    <t>Winter Demand On-Peak Revenues</t>
  </si>
  <si>
    <t>Demand Off-Peak Revenues</t>
  </si>
  <si>
    <t>kWh Revenues</t>
  </si>
  <si>
    <t>COSS Customer Component Less RTP Customer Charges</t>
  </si>
  <si>
    <t>COSS Target Revenue Rate TT</t>
  </si>
  <si>
    <t>Proposed Summer Demand On-Peak Rate</t>
  </si>
  <si>
    <t>Proposed Winter Demand On-Peak Rate</t>
  </si>
  <si>
    <t>Proposed Demand Off-Peak Rate</t>
  </si>
  <si>
    <t>Proposed TT Demand Revenues</t>
  </si>
  <si>
    <t>Less Proposed Customer Charge Revenues Less FAC</t>
  </si>
  <si>
    <t>COSS DS Demand and Energy Components Less RTP Energy Less FAC</t>
  </si>
  <si>
    <t>Target Revenue for Rate DT Less RTP Less Customer Charges Less FAC</t>
  </si>
  <si>
    <t>DT Revenues @ Current Rates</t>
  </si>
  <si>
    <t>DT FAC</t>
  </si>
  <si>
    <t>Target Revenue Less Customer Charges Less FAC</t>
  </si>
  <si>
    <t>COSS - GSFL Revenue Requirement Less FAC</t>
  </si>
  <si>
    <t>COSS - Target Revenue</t>
  </si>
  <si>
    <t>COSS - Target Revenue Less Customer Charges Less FAC</t>
  </si>
  <si>
    <t>COSS Target Revenue Less RTP Less Customer Charges Less FAC</t>
  </si>
  <si>
    <t>Typical Bill Increase Amounts for Newspaper Notice</t>
  </si>
  <si>
    <t>Tariff Description</t>
  </si>
  <si>
    <t>Average Bill Increase</t>
  </si>
  <si>
    <t>$</t>
  </si>
  <si>
    <t>%</t>
  </si>
  <si>
    <t>Rate DS</t>
  </si>
  <si>
    <t>Rate DT Primary</t>
  </si>
  <si>
    <t>Rate DT Secondary</t>
  </si>
  <si>
    <t>Rate EH</t>
  </si>
  <si>
    <t>Rate SP</t>
  </si>
  <si>
    <t>Rate GS-FL</t>
  </si>
  <si>
    <t>Rate DP</t>
  </si>
  <si>
    <t>Rate TT</t>
  </si>
  <si>
    <t>Rate DT-RTP Secondary</t>
  </si>
  <si>
    <t>Rate DS-RTP</t>
  </si>
  <si>
    <t>Rate TT-RTP</t>
  </si>
  <si>
    <t>Rate SL</t>
  </si>
  <si>
    <t>Rate TL</t>
  </si>
  <si>
    <t>Rate UOLS</t>
  </si>
  <si>
    <t>Rate NSU</t>
  </si>
  <si>
    <t>Rate SC</t>
  </si>
  <si>
    <t>Rate SE</t>
  </si>
  <si>
    <t>Rate RS</t>
  </si>
  <si>
    <t>is an average / fixture and not / bill</t>
  </si>
  <si>
    <t>DT Together % Increase</t>
  </si>
  <si>
    <t xml:space="preserve">  9,500 LUMEN ASPEN</t>
  </si>
  <si>
    <t>Duke Energy Kentucky, Inc.</t>
  </si>
  <si>
    <t>Transmission and Distribution Charges for Rate GSS and Rate RTP</t>
  </si>
  <si>
    <t>Data:  Cost of Service Study</t>
  </si>
  <si>
    <t>Type of Filing:  "X" Original    Updated    Revised</t>
  </si>
  <si>
    <t>Line No.</t>
  </si>
  <si>
    <t>Line Description</t>
  </si>
  <si>
    <t>Distribution Energy Allocated-Electric Cost of Service</t>
  </si>
  <si>
    <t>Distribution Demand Allocated-Electric Cost of Service</t>
  </si>
  <si>
    <t>Transmission Energy Allocated-Electric Cost of Service</t>
  </si>
  <si>
    <t>Transmission Demand Allocated-Electric Cost of Service</t>
  </si>
  <si>
    <t>Total T&amp;D Allocated-Electric Cost of Service</t>
  </si>
  <si>
    <t>kWh - Test Period</t>
  </si>
  <si>
    <t>kW - Test Period</t>
  </si>
  <si>
    <t>$ / kW (Rate GSS Reservation Charge)</t>
  </si>
  <si>
    <t>$ / kWh (Rate RTP Delivery Charge)</t>
  </si>
  <si>
    <t>RTP Current Rate - Total</t>
  </si>
  <si>
    <t>% Increase</t>
  </si>
  <si>
    <t>GSS Current Rate - Total</t>
  </si>
  <si>
    <t>Rate DT Sec</t>
  </si>
  <si>
    <t>Total Secondary</t>
  </si>
  <si>
    <t>Rate DT Pri</t>
  </si>
  <si>
    <t>Total Primary</t>
  </si>
  <si>
    <t>Rate DT</t>
  </si>
  <si>
    <t>Increase</t>
  </si>
  <si>
    <t>DT-RTP</t>
  </si>
  <si>
    <t>Current</t>
  </si>
  <si>
    <t>Proposed</t>
  </si>
  <si>
    <t>Rate RTP - Total</t>
  </si>
  <si>
    <t>Enter Here</t>
  </si>
  <si>
    <t>Residential</t>
  </si>
  <si>
    <t>Non Residential</t>
  </si>
  <si>
    <t>% of REV</t>
  </si>
  <si>
    <t>LED</t>
  </si>
  <si>
    <t>STREET LIGHTING -- LED</t>
  </si>
  <si>
    <t xml:space="preserve">   70W LED Open Deluxe Acorn</t>
  </si>
  <si>
    <t xml:space="preserve">   150W LED Teardrop</t>
  </si>
  <si>
    <t xml:space="preserve">   50W LED Teardrop Pedestrian</t>
  </si>
  <si>
    <t xml:space="preserve">   220W LED Shoebox</t>
  </si>
  <si>
    <t xml:space="preserve">   420W LED Shoebox</t>
  </si>
  <si>
    <t xml:space="preserve">   50W Neighborhood</t>
  </si>
  <si>
    <t xml:space="preserve">   50W Neighborhood with Lens</t>
  </si>
  <si>
    <t>Monthly kwh/light</t>
  </si>
  <si>
    <t>TOTAL LED FIXTURES</t>
  </si>
  <si>
    <t>ENERGY CHARGE (1A)</t>
  </si>
  <si>
    <t>FIXTURE</t>
  </si>
  <si>
    <t>MAINTNCE</t>
  </si>
  <si>
    <t>(E1)</t>
  </si>
  <si>
    <t>(E2)</t>
  </si>
  <si>
    <t>MOST CURRENT</t>
  </si>
  <si>
    <t>(J2)</t>
  </si>
  <si>
    <t>(J1)</t>
  </si>
  <si>
    <t>STREET LIGHTING -- LED (CONT'D)</t>
  </si>
  <si>
    <t>POLES</t>
  </si>
  <si>
    <t>FIXTURES</t>
  </si>
  <si>
    <t xml:space="preserve">   30' Class 7 Wood Pole</t>
  </si>
  <si>
    <t xml:space="preserve">   35' Class 5 Wood Pole</t>
  </si>
  <si>
    <t xml:space="preserve">   40' Class 4 Wood Pole</t>
  </si>
  <si>
    <t xml:space="preserve">   45' Class 4 Wood Pole</t>
  </si>
  <si>
    <t>TOTAL LED POLES</t>
  </si>
  <si>
    <t>TOTAL RATE LED INCLUDING RIDERS</t>
  </si>
  <si>
    <t>LED OUTDOOR LIGHT</t>
  </si>
  <si>
    <t>LED OUTDOOR LIGHTING (LED)</t>
  </si>
  <si>
    <t>Interdepartmental</t>
  </si>
  <si>
    <t>Summer On-Peak kWh</t>
  </si>
  <si>
    <t>Winter On-Peak kWh</t>
  </si>
  <si>
    <t>Off Peak kWh</t>
  </si>
  <si>
    <t>BILL(1)(6)</t>
  </si>
  <si>
    <t>BILL (5)</t>
  </si>
  <si>
    <t>PSM (4)</t>
  </si>
  <si>
    <t>BILL (5)(6)</t>
  </si>
  <si>
    <t>Base</t>
  </si>
  <si>
    <t>Total Base and Fuel Revenue per Schedule M</t>
  </si>
  <si>
    <t>Interdepartmental/Special Contracts</t>
  </si>
  <si>
    <t>UOL</t>
  </si>
  <si>
    <t>TT RTP</t>
  </si>
  <si>
    <t>DT RTP-S</t>
  </si>
  <si>
    <t>DT- Sec</t>
  </si>
  <si>
    <t>DT-Pri</t>
  </si>
  <si>
    <t>FAC</t>
  </si>
  <si>
    <t>PSM</t>
  </si>
  <si>
    <t>DSM</t>
  </si>
  <si>
    <t>ESM</t>
  </si>
  <si>
    <t>HEA</t>
  </si>
  <si>
    <t>Revenue</t>
  </si>
  <si>
    <t>Fuel Cost</t>
  </si>
  <si>
    <t>DT RTP-P</t>
  </si>
  <si>
    <t>Riders</t>
  </si>
  <si>
    <t>less Riders &amp;</t>
  </si>
  <si>
    <t>Adjusted Average Customer Charge @ Overall COSS Rate DT Increase</t>
  </si>
  <si>
    <t>Current Revenues</t>
  </si>
  <si>
    <t>Target Revenues</t>
  </si>
  <si>
    <t>Increase in Customer Charge at COSS Overall Class Increase</t>
  </si>
  <si>
    <t>Customer Charge at COSS Overall Class Increase</t>
  </si>
  <si>
    <t xml:space="preserve">   50W Open Monticello LED</t>
  </si>
  <si>
    <t xml:space="preserve">   50W Mitchell Top Hat with Ribs, Bands, and Medallions LED</t>
  </si>
  <si>
    <t xml:space="preserve">   50W Mitchell Top Hat LED</t>
  </si>
  <si>
    <t xml:space="preserve">   50W Mitchell Ribs, Bands, and Medallions LED</t>
  </si>
  <si>
    <t xml:space="preserve">   50W Monticello LED</t>
  </si>
  <si>
    <t xml:space="preserve">   260W Flood LED</t>
  </si>
  <si>
    <t xml:space="preserve">   130W Flood LED</t>
  </si>
  <si>
    <t xml:space="preserve">   150W Clermont LED</t>
  </si>
  <si>
    <t xml:space="preserve">   150W Sanibel LED</t>
  </si>
  <si>
    <t xml:space="preserve">   70W Sanibel LED</t>
  </si>
  <si>
    <t xml:space="preserve">   50W Enterprise LED</t>
  </si>
  <si>
    <t xml:space="preserve">   50W Mini Bell LED</t>
  </si>
  <si>
    <t xml:space="preserve">   50W Open Traditional LED</t>
  </si>
  <si>
    <t xml:space="preserve">   50W Traditional LED</t>
  </si>
  <si>
    <t xml:space="preserve">   50W Deluxe Acorn LED</t>
  </si>
  <si>
    <t xml:space="preserve">   50W Acorn LED</t>
  </si>
  <si>
    <t xml:space="preserve">   280W Standard LED</t>
  </si>
  <si>
    <t xml:space="preserve">   220W Standard LED</t>
  </si>
  <si>
    <t xml:space="preserve">   150W Standard LED</t>
  </si>
  <si>
    <t xml:space="preserve">   110W Standard LED</t>
  </si>
  <si>
    <t xml:space="preserve">   70W Standard LED</t>
  </si>
  <si>
    <t xml:space="preserve">   50W Standard LED</t>
  </si>
  <si>
    <t xml:space="preserve">   530W LED Shoebox</t>
  </si>
  <si>
    <t xml:space="preserve">   50W Mitchell Finial</t>
  </si>
  <si>
    <t xml:space="preserve">   Style A 12 Ft Long Anchor Base Top Tenon Aluminum</t>
  </si>
  <si>
    <t xml:space="preserve">   Style A 15 Ft Long Direct Buried Top Tenon Aluminum</t>
  </si>
  <si>
    <t xml:space="preserve">   Style A 15 Ft Long Anchor Base Top Tenon Aluminum</t>
  </si>
  <si>
    <t xml:space="preserve">   Style A 18 Ft Long Direct Buried Top Tenon Aluminum</t>
  </si>
  <si>
    <t xml:space="preserve">   Style A 17 Ft Long Anchor Base Top Tenon Aluminum</t>
  </si>
  <si>
    <t xml:space="preserve">   Style A 25 Ft Long Direct Buried Top Tenon Aluminum</t>
  </si>
  <si>
    <t xml:space="preserve">   Style A 22 Ft Long Anchor Base Top Tenon Aluminum</t>
  </si>
  <si>
    <t xml:space="preserve">   Style A 30 Ft Long Direct Buried Top Tenon Aluminum</t>
  </si>
  <si>
    <t xml:space="preserve">   Style A 27 Ft Long Anchor Base  Top Tenon Aluminum</t>
  </si>
  <si>
    <t xml:space="preserve">   Style A 35 Ft Long Direct Buried Top Tenon Aluminum</t>
  </si>
  <si>
    <t xml:space="preserve">   Style A 32 Ft Long Anchor Base  Top Tenon Aluminum</t>
  </si>
  <si>
    <t xml:space="preserve">   Style A 41 Ft Long Direct Buried Top Tenon Aluminum</t>
  </si>
  <si>
    <t xml:space="preserve">   Style B 12 Ft Long Anchor Base Post Top Aluminum</t>
  </si>
  <si>
    <t xml:space="preserve">   Style C 12 Ft Long Anchor Base Post Top Aluminum</t>
  </si>
  <si>
    <t xml:space="preserve">   Style C 12 Ft Long Anchor Base Davit Steel</t>
  </si>
  <si>
    <t xml:space="preserve">   Style C 14 Ft Long Anchor Base Top Tenon Steel</t>
  </si>
  <si>
    <t xml:space="preserve">   Style C 21 Ft Long Anchor Base Davit Steel</t>
  </si>
  <si>
    <t xml:space="preserve">   Style C 23 Ft Long Anchor Base Boston Harbor Steel</t>
  </si>
  <si>
    <t xml:space="preserve">   Style D 12 Ft Long Anchor Base Breakaway Aluminum</t>
  </si>
  <si>
    <t xml:space="preserve">   Style E 12 Ft Long Anchor Base Post Top Aluminum</t>
  </si>
  <si>
    <t xml:space="preserve">   Style F 12 Ft Long Anchor Base Post Top Aluminum</t>
  </si>
  <si>
    <t xml:space="preserve">   Legacy Style 39 Ft Direct Buried Single or Twin Side Mount Aluminum Satin Finish</t>
  </si>
  <si>
    <t xml:space="preserve">   Legacy Style 27 Ft Long Anchor Base Side Mount Aluminum Pole Satin Finish Breakaway</t>
  </si>
  <si>
    <t xml:space="preserve">   Legacy Style 33 Ft Long Anchor Base Side Mount Aluminum Pole Satin Finish Breakaway</t>
  </si>
  <si>
    <t xml:space="preserve">   Legacy Style 37 Ft Long Anchor Base Side Mount Aluminum Pole Satin Finish</t>
  </si>
  <si>
    <t xml:space="preserve">   15' Style A - Fluted - for Shroud - Aluminum Direct Buried Pole </t>
  </si>
  <si>
    <t xml:space="preserve">   20' Style A - Fluted - for Shroud - Aluminum Direct Buried Pole </t>
  </si>
  <si>
    <t xml:space="preserve">   15' Style A - Smooth - for Shroud - Aluminum Direct Buried Pole </t>
  </si>
  <si>
    <t xml:space="preserve">   20' Style A - Smooth - for Shroud - Aluminum Direct Buried Pole </t>
  </si>
  <si>
    <t xml:space="preserve">   Shroud - Standard Style for anchor base poles</t>
  </si>
  <si>
    <t xml:space="preserve">   Shroud - Style B Pole for smooth and fluted poles</t>
  </si>
  <si>
    <t xml:space="preserve">   Shroud - Style C Pole for smooth and fluted poles</t>
  </si>
  <si>
    <t xml:space="preserve">   Shroud - Style D Pole for smooth and fluted poles </t>
  </si>
  <si>
    <t>POLE FOUNDATIONS</t>
  </si>
  <si>
    <t>TOTAL LED POLE FOUNDATIONS</t>
  </si>
  <si>
    <t xml:space="preserve">   Flush - Pre-fabricated - Style A Pole</t>
  </si>
  <si>
    <t xml:space="preserve">   Flush - Pre-fabricated - Style B Pole</t>
  </si>
  <si>
    <t xml:space="preserve">   Flush - Pre-fabricated - Style C Pole</t>
  </si>
  <si>
    <t xml:space="preserve">   Flush - Pre-fabricated - Style E Pole</t>
  </si>
  <si>
    <t xml:space="preserve">   Flush - Pre-fabricated - Style F Pole</t>
  </si>
  <si>
    <t xml:space="preserve">   Flush - Pre-fabricated - Style D Pole</t>
  </si>
  <si>
    <t xml:space="preserve">   Reveal - Pre-fabricated - Style A Pole</t>
  </si>
  <si>
    <t xml:space="preserve">   Reveal - Pre-fabricated - Style B Pole</t>
  </si>
  <si>
    <t xml:space="preserve">   Reveal - Pre-fabricated - Style C Pole</t>
  </si>
  <si>
    <t xml:space="preserve">   Reveal - Pre-fabricated - Style D Pole</t>
  </si>
  <si>
    <t xml:space="preserve">   Reveal - Pre-fabricated - Style E Pole</t>
  </si>
  <si>
    <t xml:space="preserve">   Reveal - Pre-fabricated - Style F Pole</t>
  </si>
  <si>
    <t xml:space="preserve">   Screw-in Foundation</t>
  </si>
  <si>
    <t>BRACKETS</t>
  </si>
  <si>
    <t>TOTAL BRACKETS</t>
  </si>
  <si>
    <t xml:space="preserve">   14 inch bracket - wood pole - side mount</t>
  </si>
  <si>
    <t xml:space="preserve">   4 foot bracket - wood pole - side mount</t>
  </si>
  <si>
    <t xml:space="preserve">   6 foot bracket - wood pole - side mount</t>
  </si>
  <si>
    <t xml:space="preserve">   8 foot bracket - wood pole - side mount</t>
  </si>
  <si>
    <t xml:space="preserve">   10 foot bracket - wood pole - side mount</t>
  </si>
  <si>
    <t xml:space="preserve">   12 foot bracket - wood pole - side mount</t>
  </si>
  <si>
    <t xml:space="preserve">   15 foot bracket - wood pole - side mount</t>
  </si>
  <si>
    <t xml:space="preserve">   4 foot bracket - metal pole - side mount</t>
  </si>
  <si>
    <t xml:space="preserve">   6 foot bracket - metal pole - side mount</t>
  </si>
  <si>
    <t xml:space="preserve">   8 foot bracket - metal pole - side mount</t>
  </si>
  <si>
    <t xml:space="preserve">   10 foot bracket - metal pole - side mount</t>
  </si>
  <si>
    <t xml:space="preserve">   12 foot bracket - metal pole - side mount</t>
  </si>
  <si>
    <t xml:space="preserve">   15 foot bracket - metal pole - side mount</t>
  </si>
  <si>
    <t xml:space="preserve">   18 inch bracket - metal pole - double Flood Mount - top mount </t>
  </si>
  <si>
    <t xml:space="preserve">   14 inch bracket - metal pole - single mount - top tenon</t>
  </si>
  <si>
    <t xml:space="preserve">   14 inch bracket - metal pole - double mount - top tenon</t>
  </si>
  <si>
    <t xml:space="preserve">   14 inch bracket - metal pole - triple mount - top tenon</t>
  </si>
  <si>
    <t xml:space="preserve">   14 inch bracket - metal pole - quad mount - top tenon</t>
  </si>
  <si>
    <t xml:space="preserve">   6 foot - metal pole - single - top tenon</t>
  </si>
  <si>
    <t xml:space="preserve">   6 foot - metal pole - double - top tenon</t>
  </si>
  <si>
    <t xml:space="preserve">   4 foot - Boston Harbor - top tenon</t>
  </si>
  <si>
    <t xml:space="preserve">   6 foot - Boston Harbor - top tenon</t>
  </si>
  <si>
    <t xml:space="preserve">   12 foot - Boston Harbor Style C pole double mount - top tenon</t>
  </si>
  <si>
    <t xml:space="preserve">   4 foot - Davit arm - top tenon</t>
  </si>
  <si>
    <t xml:space="preserve">   18 inch - Cobrahead fixture for wood pole</t>
  </si>
  <si>
    <t xml:space="preserve">   18 inch - Flood light for wood pole</t>
  </si>
  <si>
    <t>WIRING EQUIPMENT</t>
  </si>
  <si>
    <t>TOTAL WIRING EQUIPMENT</t>
  </si>
  <si>
    <t xml:space="preserve">   Secondary Pedestal (cost per unit)</t>
  </si>
  <si>
    <t xml:space="preserve">   Handhole (cost per unit)</t>
  </si>
  <si>
    <t>Customers</t>
  </si>
  <si>
    <t>kWh</t>
  </si>
  <si>
    <t>Average</t>
  </si>
  <si>
    <t>FUEL ADJUSTMENT CLAUSE (FAC)</t>
  </si>
  <si>
    <t>FAC REV</t>
  </si>
  <si>
    <t>Number of Pages</t>
  </si>
  <si>
    <t>Schedule M-2.2</t>
  </si>
  <si>
    <t>Schedule M-2.3</t>
  </si>
  <si>
    <t>(L-K) / K</t>
  </si>
  <si>
    <r>
      <t>FUEL COSTS:</t>
    </r>
    <r>
      <rPr>
        <u/>
        <sz val="14"/>
        <color theme="5" tint="-0.249977111117893"/>
        <rFont val="Arial"/>
        <family val="2"/>
      </rPr>
      <t xml:space="preserve">  </t>
    </r>
  </si>
  <si>
    <t>B. L. Sailers</t>
  </si>
  <si>
    <t>TOTAL RATE LED EXCLUDING RIDERS</t>
  </si>
  <si>
    <t>Schedule M Summary  - Current Rates</t>
  </si>
  <si>
    <t>Per Contract, WP increases at DT</t>
  </si>
  <si>
    <t xml:space="preserve">  DISTRIBUTION</t>
  </si>
  <si>
    <t xml:space="preserve">  Distribution</t>
  </si>
  <si>
    <t>Proposed Distribution kW</t>
  </si>
  <si>
    <t>Target Revenue for Rate DT - Distribution Demand</t>
  </si>
  <si>
    <t>DS+GSFL+EH+SP+Int</t>
  </si>
  <si>
    <t xml:space="preserve">   150W LED Shoebox</t>
  </si>
  <si>
    <t xml:space="preserve">   50W Sanibel LED</t>
  </si>
  <si>
    <t xml:space="preserve">   40W Acorn No Finial LED</t>
  </si>
  <si>
    <t xml:space="preserve">   50W Ocala Acorn LED</t>
  </si>
  <si>
    <t xml:space="preserve">   50W Deluxe Traditional LED</t>
  </si>
  <si>
    <t xml:space="preserve">   30W Town &amp; Country LED</t>
  </si>
  <si>
    <t xml:space="preserve">   30W Open Town &amp; Country LED</t>
  </si>
  <si>
    <t xml:space="preserve">   150W Enterprise LED</t>
  </si>
  <si>
    <t xml:space="preserve">   220W Enterprise LED</t>
  </si>
  <si>
    <t xml:space="preserve">   50W Clermont LED</t>
  </si>
  <si>
    <t xml:space="preserve">   30W Gaslight Replica LED</t>
  </si>
  <si>
    <t xml:space="preserve">   50W Cobra LED</t>
  </si>
  <si>
    <t xml:space="preserve">   70W Cobra LED</t>
  </si>
  <si>
    <t>Schedule M Summary  - Proposed Rates</t>
  </si>
  <si>
    <t xml:space="preserve">   21' Style A - Fluted - Direct Buried</t>
  </si>
  <si>
    <t xml:space="preserve">   30' Style A - Transformer Base - Anchor Base</t>
  </si>
  <si>
    <t xml:space="preserve">   35' Style A - Transformer Base - Anchor Base</t>
  </si>
  <si>
    <t xml:space="preserve">   19' Style A - Breakaway - Direct Buried</t>
  </si>
  <si>
    <t xml:space="preserve">   24' Style A - Breakaway - Direct Buried</t>
  </si>
  <si>
    <t xml:space="preserve">   27' Style A - Breakaway - Direct Buried</t>
  </si>
  <si>
    <t xml:space="preserve">   32' Style A - Breakaway - Direct Buried</t>
  </si>
  <si>
    <t xml:space="preserve">   37' Style A - Breakaway - Direct Buried</t>
  </si>
  <si>
    <t xml:space="preserve">   42' Style A - Breakaway - Direct Buried</t>
  </si>
  <si>
    <t xml:space="preserve">   17' Style B - Anchor Base</t>
  </si>
  <si>
    <t xml:space="preserve">   17' Style C - Post Top - Anchor Base</t>
  </si>
  <si>
    <t xml:space="preserve">   17' Style C - Davit - Anchor Base</t>
  </si>
  <si>
    <t xml:space="preserve">   17' Style C - Boston Harbor - Anchor Base</t>
  </si>
  <si>
    <t xml:space="preserve">   25' Style D - Boston Harbor - Anchor Base</t>
  </si>
  <si>
    <t xml:space="preserve">   50' Wood - Direct Buried</t>
  </si>
  <si>
    <t xml:space="preserve">   55' Wood - Direct Buried</t>
  </si>
  <si>
    <t xml:space="preserve">   18' Style C - Breakaway - Direct Buried</t>
  </si>
  <si>
    <t xml:space="preserve">   18" Metal - Flood - Bullhorn - Top Tenon</t>
  </si>
  <si>
    <t xml:space="preserve">   4' Transmission - Top Tenon</t>
  </si>
  <si>
    <t xml:space="preserve">   10' Transmission - Top Tenon</t>
  </si>
  <si>
    <t xml:space="preserve">   15' Transmission - Top Tenon</t>
  </si>
  <si>
    <t xml:space="preserve">   18" Transmission - Flood - Top Tenon</t>
  </si>
  <si>
    <t xml:space="preserve">   3' Shepherds Crook - Single - Top Tenon</t>
  </si>
  <si>
    <t xml:space="preserve">   3' Shepherds Crook w/ Scroll - Single - Top Tenon</t>
  </si>
  <si>
    <t xml:space="preserve">   3' Shepherds Crook - Double - Top Tenon</t>
  </si>
  <si>
    <t xml:space="preserve">   3' Shepherds Crook w/ Scroll - Double - Top Tenon</t>
  </si>
  <si>
    <t xml:space="preserve">   3' Shepherds Crook w/ Scroll &amp; Festoon - Single - Top Tenon</t>
  </si>
  <si>
    <t xml:space="preserve">   3' Shepherds Crook w/ Scroll - Wood - Top Tenon</t>
  </si>
  <si>
    <t xml:space="preserve">   17" Masterpiece - Top Tenon - Double Post Mount - Top Tenon</t>
  </si>
  <si>
    <t xml:space="preserve">   Shroud - Style B - Assembly</t>
  </si>
  <si>
    <t xml:space="preserve">   Shroud - Style C - Assembly</t>
  </si>
  <si>
    <t xml:space="preserve">   Shroud - Style D - Assembly</t>
  </si>
  <si>
    <t xml:space="preserve">   Shroud - Style Standard - Assembly 6"/18"</t>
  </si>
  <si>
    <t xml:space="preserve">   Shroud - Style Standard - Assembly 6"/15"</t>
  </si>
  <si>
    <t xml:space="preserve">   Pullbox</t>
  </si>
  <si>
    <t xml:space="preserve">   6AL DUPLEX and Trench (cost per 10 feet)</t>
  </si>
  <si>
    <t xml:space="preserve">   6AL DUPLEX and Trench with conduit (cost per 10 feet)</t>
  </si>
  <si>
    <t xml:space="preserve">   6AL DUPLEX with existing conduit (cost per 10 feet)</t>
  </si>
  <si>
    <t xml:space="preserve">   6AL DUPLEX and Bore with conduit (cost per 10 feet)</t>
  </si>
  <si>
    <t>(I1)</t>
  </si>
  <si>
    <t>(I2)</t>
  </si>
  <si>
    <t>ESM (7)</t>
  </si>
  <si>
    <t>(C+G+H+I1+J)</t>
  </si>
  <si>
    <t>(D+G+H+I2+J)</t>
  </si>
  <si>
    <t>ESM (6)</t>
  </si>
  <si>
    <t>REVENUE(4)</t>
  </si>
  <si>
    <t>(7) CUSTOMER CHARGE IS BASED ON THREE PHASE SECONDARY SERVICE.</t>
  </si>
  <si>
    <t>BILL (5,7)</t>
  </si>
  <si>
    <t>FOR THE TWELVE MONTHS ENDED June 30, 2026</t>
  </si>
  <si>
    <t>RATE SP:</t>
  </si>
  <si>
    <t>RATE EH:</t>
  </si>
  <si>
    <t>RATE DT:</t>
  </si>
  <si>
    <t>RATE DS:</t>
  </si>
  <si>
    <t xml:space="preserve">RIDER DSMR: </t>
  </si>
  <si>
    <t xml:space="preserve">RIDER PSM : </t>
  </si>
  <si>
    <t>RATE RS:</t>
  </si>
  <si>
    <t xml:space="preserve">Reserved for Future Use: </t>
  </si>
  <si>
    <t>RIDER LM:</t>
  </si>
  <si>
    <t>RATE GSFL:</t>
  </si>
  <si>
    <t>RATE DP:</t>
  </si>
  <si>
    <t>RATE TT:</t>
  </si>
  <si>
    <t>Reserved for Future Use</t>
  </si>
  <si>
    <t>RATE RTP:</t>
  </si>
  <si>
    <t>RIDER ESM :</t>
  </si>
  <si>
    <t>TOTAL POLE CHARGES</t>
  </si>
  <si>
    <t>POLE CHARGES</t>
  </si>
  <si>
    <t>WOOD 17 FOOT LAMINATED</t>
  </si>
  <si>
    <t>WOOD 30 FOOT</t>
  </si>
  <si>
    <t>WOOD 35 FOOT</t>
  </si>
  <si>
    <t>WOOD 40 FOOT</t>
  </si>
  <si>
    <t>ALUMINUM 12 FOOT DECORATIVE</t>
  </si>
  <si>
    <t>ALUMINUM 28 FOOT</t>
  </si>
  <si>
    <t>ALUMINUM 28 FOOT HEAVY DUTY</t>
  </si>
  <si>
    <t>ALUMINUM 30 FOOT ANCHOR BASE</t>
  </si>
  <si>
    <t>FIBERGLASS 17 FOOT</t>
  </si>
  <si>
    <t>FIBERGLASS 12 FOOT DECORATIVE</t>
  </si>
  <si>
    <t>FIBERGLASS 30 FOOT BRONZE</t>
  </si>
  <si>
    <t>FIBERGLASS 35 FOOT BRONZE</t>
  </si>
  <si>
    <t>STEEL 27 FOOT 11 GAUGE</t>
  </si>
  <si>
    <t>STEEL 27 FOOT 3 GAUGE</t>
  </si>
  <si>
    <t xml:space="preserve">  7,000 LUMEN GAS REPLICA</t>
  </si>
  <si>
    <t xml:space="preserve">  9,500 LUMEN RECTILINEAR</t>
  </si>
  <si>
    <t xml:space="preserve">  9,500 LUMEN GAS REPLICA</t>
  </si>
  <si>
    <t xml:space="preserve">   30W Granville Acorn LED</t>
  </si>
  <si>
    <t xml:space="preserve">   30W Style B Bollard LED</t>
  </si>
  <si>
    <t xml:space="preserve">   30W Style C Bollard LED</t>
  </si>
  <si>
    <t xml:space="preserve">   30W Style D Bollard LED</t>
  </si>
  <si>
    <t xml:space="preserve">   30W Style E Bollard LED</t>
  </si>
  <si>
    <t xml:space="preserve">   40W Colonial Bollard LED</t>
  </si>
  <si>
    <t xml:space="preserve">   40W Washington Bollard LED</t>
  </si>
  <si>
    <t xml:space="preserve">   26W Holiday Riser Receptacle LED</t>
  </si>
  <si>
    <t xml:space="preserve">   26W Holiday Bracket Top Receptacle LED</t>
  </si>
  <si>
    <t xml:space="preserve">   26W Holiday Festoon Receptacle LED</t>
  </si>
  <si>
    <t xml:space="preserve">   26W Holiday Post Top Receptacle LED</t>
  </si>
  <si>
    <t xml:space="preserve">   26W Holiday Post Top with Adapter Receptacle LED</t>
  </si>
  <si>
    <t xml:space="preserve">   26W Dual Post Top Receptacle LED</t>
  </si>
  <si>
    <t xml:space="preserve">   26W Dual Post Top with Adapter Receptacle LED</t>
  </si>
  <si>
    <t xml:space="preserve">   26W Dual Bracket Top Receptacle LED</t>
  </si>
  <si>
    <t xml:space="preserve">   50W Senoia LED</t>
  </si>
  <si>
    <t xml:space="preserve">   50W Halo LED</t>
  </si>
  <si>
    <t xml:space="preserve">   30W Standard LED</t>
  </si>
  <si>
    <t xml:space="preserve">   40W Standard LED</t>
  </si>
  <si>
    <t>SHIELDS</t>
  </si>
  <si>
    <t>TOTAL SHIELDS</t>
  </si>
  <si>
    <t xml:space="preserve">   Standard</t>
  </si>
  <si>
    <t xml:space="preserve">   Decorative</t>
  </si>
  <si>
    <t xml:space="preserve">   17' Wood Laminated</t>
  </si>
  <si>
    <t xml:space="preserve">   12' Aluminum (decorative)</t>
  </si>
  <si>
    <t xml:space="preserve">   28' Aluminum</t>
  </si>
  <si>
    <t xml:space="preserve">   28' Aluminum - Heavy Duty</t>
  </si>
  <si>
    <t xml:space="preserve">   30' Aluminum - Anchor Base</t>
  </si>
  <si>
    <t xml:space="preserve">   17' Fiberglass</t>
  </si>
  <si>
    <t xml:space="preserve">   12' Fiberglass - Decorative</t>
  </si>
  <si>
    <t xml:space="preserve">   30'  Fiberglass (Bronze)</t>
  </si>
  <si>
    <t xml:space="preserve">   35'  Fiberglass (Bronze)</t>
  </si>
  <si>
    <t xml:space="preserve">   27' Steel (11 gauge)</t>
  </si>
  <si>
    <t xml:space="preserve">   27' Steel (3 gauge)</t>
  </si>
  <si>
    <t xml:space="preserve">   30W Open Bottom LED</t>
  </si>
  <si>
    <t>FIXTURES (CONT'D)</t>
  </si>
  <si>
    <t>POLES (CONT'D)</t>
  </si>
  <si>
    <t>BRACKETS (CONT'D)</t>
  </si>
  <si>
    <t>Check Total</t>
  </si>
  <si>
    <t>Total Fuel</t>
  </si>
  <si>
    <t>Billed kW</t>
  </si>
  <si>
    <t>2022 Case</t>
  </si>
  <si>
    <t>Difference</t>
  </si>
  <si>
    <t>Approx $/kW</t>
  </si>
  <si>
    <t>From 12 ME 8/24</t>
  </si>
  <si>
    <t xml:space="preserve">   6AL DUPLEX OH wire (cost per 100 feet)</t>
  </si>
  <si>
    <t xml:space="preserve">    OVERHEAD(3)</t>
  </si>
  <si>
    <t xml:space="preserve">    UNDERGROUND(3)</t>
  </si>
  <si>
    <t>Not Other Revenues</t>
  </si>
  <si>
    <t>Rate LED</t>
  </si>
  <si>
    <t>Primary Customer Charge @ Overall COSS Rate DT Primary Increase</t>
  </si>
  <si>
    <t>Customer Charge @ Overall COSS Rate DP Increase</t>
  </si>
  <si>
    <t>DT</t>
  </si>
  <si>
    <t>REVENUE (1)</t>
  </si>
  <si>
    <t>RATES(2)</t>
  </si>
  <si>
    <t>(1) THESE FIGURES REPRESENT NUMBER OF BILLS.</t>
  </si>
  <si>
    <t>CASE NO.   2024-00354</t>
  </si>
  <si>
    <r>
      <t xml:space="preserve">RIDERS NOT INCLUDED IN RATES ABOVE </t>
    </r>
    <r>
      <rPr>
        <b/>
        <i/>
        <sz val="11"/>
        <rFont val="Arial"/>
        <family val="2"/>
      </rPr>
      <t>($ PER KWH)</t>
    </r>
    <r>
      <rPr>
        <b/>
        <i/>
        <sz val="12"/>
        <rFont val="Arial"/>
        <family val="2"/>
      </rPr>
      <t>:</t>
    </r>
  </si>
  <si>
    <t>PAGE 3 OF 24</t>
  </si>
  <si>
    <t>12 Months Projected with Riders</t>
  </si>
  <si>
    <t>(2) REFLECTS FUEL COMPONENT OF $0.003487  PER KWH.</t>
  </si>
  <si>
    <t>(3) REFLECTS FUEL COST RECOVERY INCLUDED IN BASE RATES OF $0.033780  PER KWH.</t>
  </si>
  <si>
    <t>(4) REFLECTS REVENUE ADDED FOR RIDER LM PROVISION</t>
  </si>
  <si>
    <t xml:space="preserve">0.0 </t>
  </si>
  <si>
    <t>PAGE 11 OF 24</t>
  </si>
  <si>
    <t>Description</t>
  </si>
  <si>
    <t>Units</t>
  </si>
  <si>
    <t>Proposed Rate</t>
  </si>
  <si>
    <t>Customer Charge</t>
  </si>
  <si>
    <t>Single Phase Service</t>
  </si>
  <si>
    <t>month</t>
  </si>
  <si>
    <t>Three Phase Service</t>
  </si>
  <si>
    <t>Demand Charge</t>
  </si>
  <si>
    <t>First 15 kilowatts</t>
  </si>
  <si>
    <t>kW</t>
  </si>
  <si>
    <t>Additional kilowatts</t>
  </si>
  <si>
    <t>Energy Charge</t>
  </si>
  <si>
    <t>[Block 1]   First 6,000 kWh</t>
  </si>
  <si>
    <t>[Block 2]   Next 300 kWh/kW</t>
  </si>
  <si>
    <t>[Block 3]   Additional kWh</t>
  </si>
  <si>
    <t>Classification</t>
  </si>
  <si>
    <t>Cost of Service</t>
  </si>
  <si>
    <t>Customer</t>
  </si>
  <si>
    <t>Demand</t>
  </si>
  <si>
    <t>Revenue/
Cost of Service</t>
  </si>
  <si>
    <t>FR-16(7)(v)-16</t>
  </si>
  <si>
    <t>CLASSIFIED</t>
  </si>
  <si>
    <t>ALL</t>
  </si>
  <si>
    <t>NO.</t>
  </si>
  <si>
    <t>SUMMARY OF RESULTS</t>
  </si>
  <si>
    <t>ALLO</t>
  </si>
  <si>
    <t>DISTR. SEC.</t>
  </si>
  <si>
    <t>ENERGY</t>
  </si>
  <si>
    <t>AT ISSUE</t>
  </si>
  <si>
    <t>Schedule 1</t>
  </si>
  <si>
    <t>NET INCOME COMPUTATION</t>
  </si>
  <si>
    <t>OPERATING EXPENSES</t>
  </si>
  <si>
    <t>NET STATE INCOME TAX EXP ALLOWABLE</t>
  </si>
  <si>
    <t>RESERVED</t>
  </si>
  <si>
    <t>RETURN ON RATE BASE</t>
  </si>
  <si>
    <t>TOTAL OTHER OPERATING REVENUES</t>
  </si>
  <si>
    <t>ADJUSTMENT FOR INTERCLASS SUBSIDIZATION</t>
  </si>
  <si>
    <t>PROPOSED REVENUES</t>
  </si>
  <si>
    <t>DIFFERENCE (REQUESTED LESS PROPOSED)</t>
  </si>
  <si>
    <t>TOTAL RETURN EARNED</t>
  </si>
  <si>
    <t>RATE OF RETURN EARNED</t>
  </si>
  <si>
    <t>TOTAL RATE OF RETURN ALLOWABLE</t>
  </si>
  <si>
    <t>Not Part of print range</t>
  </si>
  <si>
    <t>RETURN EARNED ON COMMON EQUITY</t>
  </si>
  <si>
    <t>Not Filed</t>
  </si>
  <si>
    <t>ALLOWED RETURN ON COMMON EQUITY</t>
  </si>
  <si>
    <t>PRESENT REVENUES</t>
  </si>
  <si>
    <t>REVENUE INCREASE JUSTIFIED</t>
  </si>
  <si>
    <t>PER UNIT PRES REV</t>
  </si>
  <si>
    <t>REVENUE INCREASE REQUESTED</t>
  </si>
  <si>
    <t>GROSS ELECTRIC PLANT IN SERVICE</t>
  </si>
  <si>
    <t>Schedule 2</t>
  </si>
  <si>
    <t>PRODUCTION PLANT</t>
  </si>
  <si>
    <t>PRODUCTION STEAM</t>
  </si>
  <si>
    <t>PRODUCTION OTHER</t>
  </si>
  <si>
    <t>TRANSMISSION PLANT</t>
  </si>
  <si>
    <t>MAIN STEP-UP TRANSFORMERS</t>
  </si>
  <si>
    <t>OTHER TRANSMISSION</t>
  </si>
  <si>
    <t>ADJUSTMENT</t>
  </si>
  <si>
    <t>TOTAL PROD &amp; TRANS PLANT</t>
  </si>
  <si>
    <t>DISTRIBUTION PLANT</t>
  </si>
  <si>
    <t>TOTAL TRANS &amp; DIST PLANT</t>
  </si>
  <si>
    <t>TOTAL GROSS PTD PLANT</t>
  </si>
  <si>
    <t>GENERAL &amp; INTANGIBLE PLANT</t>
  </si>
  <si>
    <t>COMMON &amp; OTHER PLANT</t>
  </si>
  <si>
    <t>DEPRECIATION RESERVE</t>
  </si>
  <si>
    <t>Schedule 3</t>
  </si>
  <si>
    <t>TOTAL TRANS &amp; DIST DEPREC RESERVE</t>
  </si>
  <si>
    <t>TOTAL GROSS PTD PLANT DEPREC RESERVE</t>
  </si>
  <si>
    <t>TOTAL DEPRECIATION RESERVE</t>
  </si>
  <si>
    <t>Schedule 4</t>
  </si>
  <si>
    <t>NET PROD &amp; TRANS PLANT</t>
  </si>
  <si>
    <t>NET PTD PLANT</t>
  </si>
  <si>
    <t>NET TRANS &amp; DIST PLANT</t>
  </si>
  <si>
    <t>SUBTRACTIVE RATE BASE ADJUSTMENTS</t>
  </si>
  <si>
    <t>Schedule 5</t>
  </si>
  <si>
    <t>RATE BASE ADJUSTMENTS</t>
  </si>
  <si>
    <t>ACCUMULATED DEFERRED INCOME TAXES</t>
  </si>
  <si>
    <t xml:space="preserve"> ACCUM DEF INC TAXES (282)</t>
  </si>
  <si>
    <t xml:space="preserve"> ACCUM DEF INC TAXES (283)</t>
  </si>
  <si>
    <t xml:space="preserve"> OTHER ACCUMULATED DEFERRED INCOME TAXES</t>
  </si>
  <si>
    <t>ADDITIVE RATE BASE ADJUSTMENTS</t>
  </si>
  <si>
    <t>Schedule 5.1</t>
  </si>
  <si>
    <t>OTHER ACCUMULATED DEFERRED INCOME TAXES</t>
  </si>
  <si>
    <t xml:space="preserve"> ACCUM DEF INC TAXES (190)</t>
  </si>
  <si>
    <t xml:space="preserve"> OTHER</t>
  </si>
  <si>
    <t>CONSTRUCTION WORK IN PROGRESS</t>
  </si>
  <si>
    <t>WORKING CAPITAL</t>
  </si>
  <si>
    <t>Schedule 5.2</t>
  </si>
  <si>
    <t>NET ORIGINAL COST RATE BASE</t>
  </si>
  <si>
    <t>PLANT MATERIALS &amp; SUPPLIES</t>
  </si>
  <si>
    <t>TOTAL MATERIALS &amp; SUPPLIES</t>
  </si>
  <si>
    <t>PREPAYMENTS</t>
  </si>
  <si>
    <t>AUTO CALC (O&amp;M-ELECTRIC FUEL COST)/8</t>
  </si>
  <si>
    <t xml:space="preserve">  TOTAL WORKING CASH</t>
  </si>
  <si>
    <t>MISCELLANEOUS WORKING CAPITAL</t>
  </si>
  <si>
    <t>TOTAL WORKING CAPITAL</t>
  </si>
  <si>
    <t>PRELIMINARY SUMMARY</t>
  </si>
  <si>
    <t>RATE BASE CALCULATION</t>
  </si>
  <si>
    <t>O&amp;M EXPENSES</t>
  </si>
  <si>
    <t>Schedule 6</t>
  </si>
  <si>
    <t>PRODUCTION O&amp;M</t>
  </si>
  <si>
    <t>DEMAND RELATED &amp; OTHER PROD O&amp;M</t>
  </si>
  <si>
    <t>TOTAL PRODUCTION O&amp;M</t>
  </si>
  <si>
    <t>TRANSMISSION O &amp; M</t>
  </si>
  <si>
    <t>REGIONAL MARKET O&amp;M</t>
  </si>
  <si>
    <t>DISTRIBUTION O &amp; M</t>
  </si>
  <si>
    <t>CUSTOMER ACCOUNTING</t>
  </si>
  <si>
    <t>Schedule 6.1</t>
  </si>
  <si>
    <t>CUSTOMER SERVICE &amp; INFORMATION</t>
  </si>
  <si>
    <t xml:space="preserve">ADMINISTRATIVE &amp; GENERAL </t>
  </si>
  <si>
    <t>DEPRECIATION EXPENSE</t>
  </si>
  <si>
    <t>Schedule 7</t>
  </si>
  <si>
    <t>PRODUCTION DEPRECIATION</t>
  </si>
  <si>
    <t>TRANSMISSION DEPRECIATION</t>
  </si>
  <si>
    <t>DISTRIBUTION DEPRECIATION</t>
  </si>
  <si>
    <t>GENERAL DEPRECIATION</t>
  </si>
  <si>
    <t>COMMON AND OTHER DEPRECIATION</t>
  </si>
  <si>
    <t>TOTAL DEPRECIATION EXPENSE</t>
  </si>
  <si>
    <t>OTHER TAXES &amp; MISC EXPENSES</t>
  </si>
  <si>
    <t>Schedule 8</t>
  </si>
  <si>
    <t>TAXES OTHER THAN INC &amp; REV</t>
  </si>
  <si>
    <t xml:space="preserve"> REAL ESTATE &amp; PROPERTY TAX</t>
  </si>
  <si>
    <t xml:space="preserve"> MISCELLANEOUS TAXES</t>
  </si>
  <si>
    <t xml:space="preserve"> MISCELLANEOUS EXPENSES</t>
  </si>
  <si>
    <t>TOTAL OTHER TAX &amp; MISC EXPENSE</t>
  </si>
  <si>
    <t>FEDERAL INCOME TAX BASED ON RETURN</t>
  </si>
  <si>
    <t>Schedule 9</t>
  </si>
  <si>
    <t>FEDERAL INCOME TAX DEDUCTIONS</t>
  </si>
  <si>
    <t xml:space="preserve"> AUTOMATIC INTEREST CALCULATION</t>
  </si>
  <si>
    <t xml:space="preserve"> OTHER DEDUCTIONS</t>
  </si>
  <si>
    <t>NET DEDUCTIONS AND ADDITIONS</t>
  </si>
  <si>
    <t xml:space="preserve"> FED DEFERRED INCOME TAX (410 &amp; 411)</t>
  </si>
  <si>
    <t xml:space="preserve"> AMORT INV TAX CREDIT</t>
  </si>
  <si>
    <t xml:space="preserve"> OTHER FEDERAL TAX CREDITS</t>
  </si>
  <si>
    <t>FEDERAL INCOME TAX COMPUTATION</t>
  </si>
  <si>
    <t>TOTAL STATE PROV DEF IT (410 &amp; 411)</t>
  </si>
  <si>
    <t>INCOME TAX BASED ON RETURN</t>
  </si>
  <si>
    <t>FEDERAL INCOME TAX PAYABLE</t>
  </si>
  <si>
    <t>STATE INCOME TAX BASED ON RETURN</t>
  </si>
  <si>
    <t>Allo</t>
  </si>
  <si>
    <t>GAS</t>
  </si>
  <si>
    <t>Schedule 9.1</t>
  </si>
  <si>
    <t>DEDUCTIONS IN ADDITION TO Y871</t>
  </si>
  <si>
    <t>KY TAXABLE INCOME ADJUSTMENT</t>
  </si>
  <si>
    <t>RESERVED FOR FUTURE USE</t>
  </si>
  <si>
    <t xml:space="preserve">  DEDUCTIONS IN ADD TO Y871</t>
  </si>
  <si>
    <t>STATE INCOME TAX ADJUSTMENTS</t>
  </si>
  <si>
    <t>STATE PROV DEF INC TAX (410 &amp; 411)</t>
  </si>
  <si>
    <t>OTHER DEFERRED INCOME TAXES - NET</t>
  </si>
  <si>
    <t xml:space="preserve">  TOT STATE PROV DEF IT (410 &amp; 411)</t>
  </si>
  <si>
    <t>OTHER SIT ADJUSTMENTS</t>
  </si>
  <si>
    <t>CURRENT YEAR PAYABLE ADJUSTMENT</t>
  </si>
  <si>
    <t xml:space="preserve">  OTHER SIT ADJUSMENTS</t>
  </si>
  <si>
    <t>TOTAL STATE INC TAX ADJUSTMENT</t>
  </si>
  <si>
    <t>SUMMARY OF SIT CALCULATION</t>
  </si>
  <si>
    <t>NET FED INCOME TAX ALLOWABLE</t>
  </si>
  <si>
    <t>NET FED. DED. AND ADDITIONS</t>
  </si>
  <si>
    <t>DEDUCTIONS IN ADD TO Y871</t>
  </si>
  <si>
    <t>TOTAL STATE INC TAX ADJ</t>
  </si>
  <si>
    <t xml:space="preserve">  BASE FOR SIT COMPUTATION</t>
  </si>
  <si>
    <t>SIT FACTOR K192/(1-K192)</t>
  </si>
  <si>
    <t>PRELIMINARY STATE INCOME TAX</t>
  </si>
  <si>
    <t>TOTAL STATE INCOME TAX ADJ.</t>
  </si>
  <si>
    <t xml:space="preserve">  NET STATE INC TAX ALLOWABLE</t>
  </si>
  <si>
    <t>STATE INCOME TAX PAYABLE</t>
  </si>
  <si>
    <t xml:space="preserve">  NET STATE INCOME TAX PAYABLE</t>
  </si>
  <si>
    <t>COMPOSITE TAX RATE</t>
  </si>
  <si>
    <t>COST OF SERVICE COMPUTATION</t>
  </si>
  <si>
    <t>Schedule 10</t>
  </si>
  <si>
    <t>OTHER OPERATING REVENUES</t>
  </si>
  <si>
    <t xml:space="preserve">PROPOSED REVENUES </t>
  </si>
  <si>
    <t>TOTAL ELECTRIC COST OF SERVICE</t>
  </si>
  <si>
    <t>EXCESS REVENUES</t>
  </si>
  <si>
    <t>EXCESS TAX</t>
  </si>
  <si>
    <t>EXCESS RETURN</t>
  </si>
  <si>
    <t>ROR, TAX RATES &amp; SPEC FACTORS</t>
  </si>
  <si>
    <t>Schedule 11</t>
  </si>
  <si>
    <t>RATE OF RETURN</t>
  </si>
  <si>
    <t xml:space="preserve"> CAPITALIZATION AMOUNTS</t>
  </si>
  <si>
    <t>RATIO</t>
  </si>
  <si>
    <t xml:space="preserve"> COST OF CAPITAL</t>
  </si>
  <si>
    <t xml:space="preserve"> WEIGHTED COST OF CAPITAL</t>
  </si>
  <si>
    <t>TAX RATES AND SPECIAL FACTORS</t>
  </si>
  <si>
    <t>DO NOT FILE THIS PAGE</t>
  </si>
  <si>
    <t>INCOME TAX BASED ON REVENUES</t>
  </si>
  <si>
    <t>COMMODITY</t>
  </si>
  <si>
    <t>Schedule 13</t>
  </si>
  <si>
    <t>ADJUSTMENTS TO NET INCOME</t>
  </si>
  <si>
    <t>Check</t>
  </si>
  <si>
    <t>(1) REFLECTS DSM HEA RIDER  OF $0.30 PER BILL.</t>
  </si>
  <si>
    <t>(2) REFLECTS FUEL ADJUSTMENT CLAUSE (FAC) OF $0.003487 PER KWH.</t>
  </si>
  <si>
    <t>(3) RIDER DSMR $0.001352  PER KWH.</t>
  </si>
  <si>
    <t>(4) RIDER ESM 0.42%  OF TOTAL CURRENT BILL.</t>
  </si>
  <si>
    <t>(5) RIDER PSM $0.002475  PER KWH.</t>
  </si>
  <si>
    <t>(6) REFLECTS FUEL COST RECOVERY INCLUDED IN BASE RATES OF $0.033780  PER KWH.</t>
  </si>
  <si>
    <t>(7) RIDER ESM 0.35%  OF TOTAL PROPOSED BILL.</t>
  </si>
  <si>
    <t>(1) REFLECTS FUEL ADJUSTMENT COMPONENT (FAC) OF $0.003487 PER KWH.</t>
  </si>
  <si>
    <t>(2) RIDER DSMR $0.003503 PER KWH.</t>
  </si>
  <si>
    <t>(3) RIDER ESM 0.65%  OF TOTAL CURRENT BILL.</t>
  </si>
  <si>
    <t>(4) RIDER PSM  $0.002475 PER KWH.</t>
  </si>
  <si>
    <t>(5) REFLECTS FUEL COST RECOVERY INCLUDED IN BASE RATES OF $0.033780  PER KWH.</t>
  </si>
  <si>
    <t>(6) RIDER ESM 0.55%  OF TOTAL PROPOSED BILL.</t>
  </si>
  <si>
    <t>(4) RIDER PSM $0.002475  PER KWH.</t>
  </si>
  <si>
    <t>(5) REFLECTS FUEL COST RECOVERY INCLUDED IN BASE RATES OF $0.033780  PER KWH AND THREE PHASE SECONDARY SERVICE.</t>
  </si>
  <si>
    <t>(6) DEMAND AND ENERGY VALUES REPRESENT THE SUM OF ON AND OFF PEAK.  FOR BILL CALCULATION, VALUES ARE SPLIT USING THE RATIO OF VALUES IN SCHEDULE M-2.3.</t>
  </si>
  <si>
    <t>(7) RIDER ESM 0.55%  OF TOTAL PROPOSED BILL.</t>
  </si>
  <si>
    <t>(6) RIDER ESM 0.55%  OF TOTAL CURRENT BILL.</t>
  </si>
  <si>
    <t>(2) RIDER DSMR $0.000514 PER KWH.</t>
  </si>
  <si>
    <t>(6) DEMAND VALUE REPRESENTS THE SUM OF ON AND OFF PEAK.  FOR BILL CALCULATION, VALUE IS SPLIT USING THE RATIO OF VALUES IN SCHEDULE M-2.3.</t>
  </si>
  <si>
    <t>(7) RIDER ESM 0.55%  OF TOTAL CURRENT BILL.</t>
  </si>
  <si>
    <t>Max</t>
  </si>
  <si>
    <t>Min</t>
  </si>
  <si>
    <t>Duke Energy Kentucky Proposed Rate DS</t>
  </si>
  <si>
    <t>at Duke Energy Kentucky Revenue Requirement</t>
  </si>
  <si>
    <t>Compared to Cost of Service</t>
  </si>
  <si>
    <t>at Duke Energy Kentucky Proposed Revenue Requirement</t>
  </si>
  <si>
    <t>Kroger Proposed Rate DS</t>
  </si>
  <si>
    <t>Classification of Revenues by Rate Component</t>
  </si>
  <si>
    <t>Proposed Revenue</t>
  </si>
  <si>
    <t/>
  </si>
  <si>
    <t xml:space="preserve">Total Schedule </t>
  </si>
  <si>
    <t xml:space="preserve">kW </t>
  </si>
  <si>
    <t>Demand Total</t>
  </si>
  <si>
    <t>Energy Total</t>
  </si>
  <si>
    <t>Revenue Verification and Classification of Revenues by Rate Component</t>
  </si>
  <si>
    <t>Load Management Rider</t>
  </si>
  <si>
    <t>Single Phase</t>
  </si>
  <si>
    <t>Three Phase</t>
  </si>
  <si>
    <t>Customer Bills/
Sales</t>
  </si>
  <si>
    <t>First 15 kW</t>
  </si>
  <si>
    <t>Additional kW</t>
  </si>
  <si>
    <t>First 6,000 kWh</t>
  </si>
  <si>
    <t>Next 300 kWh/kW</t>
  </si>
  <si>
    <t>Non-Church Cap Rate</t>
  </si>
  <si>
    <t>Church Cap Rate</t>
  </si>
  <si>
    <t>Fuel Adjustment Clause (FAC)</t>
  </si>
  <si>
    <t>Rate DS RTP</t>
  </si>
  <si>
    <t>Rate DS RTP - Customer Charge</t>
  </si>
  <si>
    <t>Customer Total</t>
  </si>
  <si>
    <t>KWh</t>
  </si>
  <si>
    <t>Rate DS Bill Impacts</t>
  </si>
  <si>
    <t>At Kroger Recommended Rate Design</t>
  </si>
  <si>
    <t>And Duke Energy Kentucky Proposed Revenue Requirement</t>
  </si>
  <si>
    <t>Level of
Demand (kW)</t>
  </si>
  <si>
    <t>Level of
Use (kWh)</t>
  </si>
  <si>
    <t>Total Proposed
Bill</t>
  </si>
  <si>
    <t>Percent
Increase</t>
  </si>
  <si>
    <t>Total Current
Bill</t>
  </si>
  <si>
    <t>Hours Use Premium Considered Demand-Related</t>
  </si>
  <si>
    <t>Per kWh Premium Considered Demand-Related</t>
  </si>
  <si>
    <t>Energy Revenues Based on Additional kWh Rate</t>
  </si>
  <si>
    <t>Total Energy</t>
  </si>
  <si>
    <t>Bills</t>
  </si>
  <si>
    <t>Current Rate</t>
  </si>
  <si>
    <t xml:space="preserve">Duke </t>
  </si>
  <si>
    <t>Kroger</t>
  </si>
  <si>
    <t>Increase %</t>
  </si>
  <si>
    <t>Kroger and DEK Proposed Rate DS</t>
  </si>
  <si>
    <t>Compared to Cost of Service by Classification</t>
  </si>
  <si>
    <t>Duke 
Revenue/
Cost of Service</t>
  </si>
  <si>
    <t>Kroger 
Revenue/
Cost of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</si>
</sst>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000_)"/>
    <numFmt numFmtId="166" formatCode="0.00_)"/>
    <numFmt numFmtId="167" formatCode="0.000_)"/>
    <numFmt numFmtId="168" formatCode="#,##0.0000_);\(#,##0.0000\)"/>
    <numFmt numFmtId="169" formatCode="0.0_)"/>
    <numFmt numFmtId="170" formatCode="#,##0.0_);\(#,##0.0\)"/>
    <numFmt numFmtId="171" formatCode="0_)"/>
    <numFmt numFmtId="172" formatCode="#,##0.000000_);\(#,##0.000000\)"/>
    <numFmt numFmtId="173" formatCode="0.00_);\(0.00\)"/>
    <numFmt numFmtId="174" formatCode="0.0000_);\(0.0000\)"/>
    <numFmt numFmtId="175" formatCode="0_);\(0\)"/>
    <numFmt numFmtId="176" formatCode="#,##0.000_);\(#,##0.000\)"/>
    <numFmt numFmtId="177" formatCode="0.000000_);\(0.000000\)"/>
    <numFmt numFmtId="178" formatCode="0.000000%"/>
    <numFmt numFmtId="179" formatCode="&quot;$&quot;#,##0.000000_);\(&quot;$&quot;#,##0.000000\)"/>
    <numFmt numFmtId="180" formatCode="0.000000"/>
    <numFmt numFmtId="181" formatCode="0.0_);\(0.0\)"/>
    <numFmt numFmtId="182" formatCode="0.000000_)"/>
    <numFmt numFmtId="183" formatCode="_(* #,##0_);_(* \(#,##0\);_(* &quot;-&quot;??_);_(@_)"/>
    <numFmt numFmtId="184" formatCode="0.0%"/>
    <numFmt numFmtId="185" formatCode="_(&quot;$&quot;* #,##0_);_(&quot;$&quot;* \(#,##0\);_(&quot;$&quot;* &quot;-&quot;??_);_(@_)"/>
    <numFmt numFmtId="186" formatCode="_(* #,##0.000000_);_(* \(#,##0.000000\);_(* &quot;-&quot;??_);_(@_)"/>
    <numFmt numFmtId="187" formatCode="_(&quot;$&quot;* #,##0.000000_);_(&quot;$&quot;* \(#,##0.000000\);_(&quot;$&quot;* &quot;-&quot;??_);_(@_)"/>
    <numFmt numFmtId="188" formatCode="0.0000%"/>
    <numFmt numFmtId="189" formatCode="0.0"/>
    <numFmt numFmtId="190" formatCode="&quot;$&quot;#,##0.00"/>
    <numFmt numFmtId="191" formatCode="&quot;$&quot;#,##0.000000_);[Red]\(&quot;$&quot;#,##0.000000\)"/>
    <numFmt numFmtId="192" formatCode="#,##0.00000_);\(#,##0.00000\)"/>
    <numFmt numFmtId="193" formatCode="0.00000_);\(0.00000\)"/>
    <numFmt numFmtId="194" formatCode="#,##0.00000000_);\(#,##0.00000000\)"/>
    <numFmt numFmtId="195" formatCode="&quot;$&quot;#,##0.0000000_);[Red]\(&quot;$&quot;#,##0.0000000\)"/>
  </numFmts>
  <fonts count="8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u/>
      <sz val="12"/>
      <name val="Arial"/>
      <family val="2"/>
    </font>
    <font>
      <u val="double"/>
      <sz val="12"/>
      <name val="Arial"/>
      <family val="2"/>
    </font>
    <font>
      <sz val="8"/>
      <name val="Courier"/>
      <family val="3"/>
    </font>
    <font>
      <sz val="20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2"/>
      <color theme="8" tint="-0.499984740745262"/>
      <name val="Arial"/>
      <family val="2"/>
    </font>
    <font>
      <b/>
      <sz val="12"/>
      <color theme="5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5" tint="-0.249977111117893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2"/>
      <color rgb="FFC00000"/>
      <name val="Arial"/>
      <family val="2"/>
    </font>
    <font>
      <b/>
      <sz val="12"/>
      <color theme="3" tint="-0.249977111117893"/>
      <name val="Arial"/>
      <family val="2"/>
    </font>
    <font>
      <sz val="12"/>
      <color rgb="FFC00000"/>
      <name val="Arial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u/>
      <sz val="14"/>
      <color theme="5" tint="-0.249977111117893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b/>
      <sz val="12"/>
      <color rgb="FFFF0000"/>
      <name val="Arial"/>
      <family val="2"/>
    </font>
    <font>
      <b/>
      <sz val="8"/>
      <color theme="5" tint="-0.249977111117893"/>
      <name val="Arial"/>
      <family val="2"/>
    </font>
    <font>
      <b/>
      <sz val="12"/>
      <color rgb="FF000000"/>
      <name val="Arial"/>
      <family val="2"/>
    </font>
    <font>
      <b/>
      <sz val="8"/>
      <color rgb="FF000080"/>
      <name val="Arial"/>
      <family val="2"/>
    </font>
    <font>
      <b/>
      <sz val="8"/>
      <color rgb="FF000000"/>
      <name val="Arial"/>
      <family val="2"/>
    </font>
    <font>
      <b/>
      <sz val="8"/>
      <color rgb="FF996666"/>
      <name val="Arial"/>
      <family val="2"/>
    </font>
    <font>
      <u/>
      <sz val="14"/>
      <color theme="5" tint="-0.249977111117893"/>
      <name val="Arial"/>
      <family val="2"/>
    </font>
    <font>
      <sz val="12"/>
      <name val="Courier"/>
      <family val="3"/>
    </font>
    <font>
      <sz val="12"/>
      <name val="Courier"/>
      <family val="3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theme="8" tint="0.59999389629810485"/>
      <name val="Arial"/>
      <family val="2"/>
    </font>
    <font>
      <b/>
      <sz val="12"/>
      <color rgb="FF0000FF"/>
      <name val="Arial"/>
      <family val="2"/>
    </font>
    <font>
      <sz val="8"/>
      <color rgb="FF000000"/>
      <name val="Segoe UI"/>
      <family val="2"/>
    </font>
    <font>
      <b/>
      <sz val="15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mbria"/>
      <family val="1"/>
      <scheme val="major"/>
    </font>
    <font>
      <sz val="12"/>
      <name val="Cambria"/>
      <family val="1"/>
      <scheme val="major"/>
    </font>
    <font>
      <u/>
      <sz val="11"/>
      <color theme="1"/>
      <name val="Cambria"/>
      <family val="1"/>
      <scheme val="major"/>
    </font>
    <font>
      <sz val="12"/>
      <color rgb="FFFF0000"/>
      <name val="Arial"/>
      <family val="2"/>
    </font>
    <font>
      <sz val="12"/>
      <name val="helv"/>
    </font>
    <font>
      <sz val="10"/>
      <name val="Arial"/>
      <family val="2"/>
    </font>
    <font>
      <b/>
      <i/>
      <u/>
      <sz val="12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2"/>
      <color theme="3"/>
      <name val="Arial"/>
      <family val="2"/>
    </font>
    <font>
      <b/>
      <i/>
      <sz val="12"/>
      <color theme="3"/>
      <name val="Arial"/>
      <family val="2"/>
    </font>
    <font>
      <b/>
      <i/>
      <sz val="11"/>
      <color theme="3"/>
      <name val="Arial"/>
      <family val="2"/>
    </font>
    <font>
      <sz val="12"/>
      <color theme="3"/>
      <name val="Arial"/>
      <family val="2"/>
    </font>
    <font>
      <i/>
      <sz val="11"/>
      <color theme="3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sz val="12"/>
      <name val="Arial MT"/>
    </font>
    <font>
      <b/>
      <sz val="10"/>
      <color rgb="FFFF0000"/>
      <name val="Arial"/>
      <family val="2"/>
    </font>
    <font>
      <sz val="10"/>
      <color indexed="53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b/>
      <sz val="12"/>
      <name val="Arial MT"/>
    </font>
    <font>
      <b/>
      <sz val="16"/>
      <color rgb="FFFF0000"/>
      <name val="Arial"/>
      <family val="2"/>
    </font>
    <font>
      <sz val="10"/>
      <color indexed="81"/>
      <name val="Tahoma"/>
      <family val="2"/>
    </font>
    <font>
      <b/>
      <sz val="16"/>
      <color theme="1"/>
      <name val="Times New Roman"/>
      <family val="1"/>
    </font>
    <font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000080"/>
      <name val="Courier"/>
      <family val="3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75">
    <xf numFmtId="0" fontId="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67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</cellStyleXfs>
  <cellXfs count="79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37" fontId="4" fillId="0" borderId="0" xfId="0" applyNumberFormat="1" applyFont="1"/>
    <xf numFmtId="169" fontId="4" fillId="0" borderId="0" xfId="0" applyNumberFormat="1" applyFont="1"/>
    <xf numFmtId="39" fontId="4" fillId="0" borderId="0" xfId="0" applyNumberFormat="1" applyFont="1"/>
    <xf numFmtId="170" fontId="4" fillId="0" borderId="0" xfId="0" applyNumberFormat="1" applyFont="1"/>
    <xf numFmtId="166" fontId="4" fillId="0" borderId="0" xfId="0" applyNumberFormat="1" applyFont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Continuous"/>
    </xf>
    <xf numFmtId="39" fontId="4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Continuous"/>
    </xf>
    <xf numFmtId="39" fontId="5" fillId="0" borderId="0" xfId="0" applyNumberFormat="1" applyFont="1"/>
    <xf numFmtId="171" fontId="4" fillId="0" borderId="0" xfId="0" applyNumberFormat="1" applyFont="1"/>
    <xf numFmtId="0" fontId="4" fillId="2" borderId="0" xfId="0" applyFont="1" applyFill="1"/>
    <xf numFmtId="39" fontId="4" fillId="2" borderId="0" xfId="0" applyNumberFormat="1" applyFont="1" applyFill="1"/>
    <xf numFmtId="39" fontId="5" fillId="2" borderId="0" xfId="0" applyNumberFormat="1" applyFont="1" applyFill="1"/>
    <xf numFmtId="0" fontId="0" fillId="3" borderId="0" xfId="0" applyFill="1"/>
    <xf numFmtId="0" fontId="4" fillId="4" borderId="0" xfId="0" applyFont="1" applyFill="1"/>
    <xf numFmtId="0" fontId="4" fillId="4" borderId="0" xfId="0" applyFont="1" applyFill="1" applyAlignment="1">
      <alignment horizontal="left"/>
    </xf>
    <xf numFmtId="0" fontId="4" fillId="4" borderId="0" xfId="0" quotePrefix="1" applyFont="1" applyFill="1" applyAlignment="1">
      <alignment horizontal="left"/>
    </xf>
    <xf numFmtId="0" fontId="7" fillId="4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>
      <alignment horizontal="centerContinuous"/>
    </xf>
    <xf numFmtId="0" fontId="5" fillId="4" borderId="0" xfId="0" applyFont="1" applyFill="1" applyAlignment="1" applyProtection="1">
      <alignment horizontal="left"/>
      <protection locked="0"/>
    </xf>
    <xf numFmtId="172" fontId="8" fillId="4" borderId="0" xfId="0" applyNumberFormat="1" applyFont="1" applyFill="1" applyProtection="1">
      <protection locked="0"/>
    </xf>
    <xf numFmtId="0" fontId="5" fillId="4" borderId="0" xfId="0" applyFont="1" applyFill="1" applyProtection="1">
      <protection locked="0"/>
    </xf>
    <xf numFmtId="0" fontId="6" fillId="4" borderId="0" xfId="0" applyFont="1" applyFill="1"/>
    <xf numFmtId="0" fontId="9" fillId="4" borderId="0" xfId="0" applyFont="1" applyFill="1"/>
    <xf numFmtId="0" fontId="7" fillId="5" borderId="2" xfId="0" applyFont="1" applyFill="1" applyBorder="1" applyAlignment="1" applyProtection="1">
      <alignment horizontal="left"/>
      <protection locked="0"/>
    </xf>
    <xf numFmtId="0" fontId="4" fillId="5" borderId="3" xfId="0" applyFont="1" applyFill="1" applyBorder="1" applyAlignment="1">
      <alignment horizontal="centerContinuous"/>
    </xf>
    <xf numFmtId="0" fontId="4" fillId="5" borderId="4" xfId="0" applyFont="1" applyFill="1" applyBorder="1" applyAlignment="1">
      <alignment horizontal="centerContinuous"/>
    </xf>
    <xf numFmtId="0" fontId="6" fillId="5" borderId="4" xfId="0" applyFont="1" applyFill="1" applyBorder="1"/>
    <xf numFmtId="0" fontId="4" fillId="5" borderId="4" xfId="0" applyFont="1" applyFill="1" applyBorder="1"/>
    <xf numFmtId="0" fontId="6" fillId="5" borderId="2" xfId="0" applyFont="1" applyFill="1" applyBorder="1" applyAlignment="1" applyProtection="1">
      <alignment horizontal="left"/>
      <protection locked="0"/>
    </xf>
    <xf numFmtId="0" fontId="6" fillId="5" borderId="3" xfId="0" applyFont="1" applyFill="1" applyBorder="1"/>
    <xf numFmtId="0" fontId="6" fillId="5" borderId="3" xfId="0" applyFont="1" applyFill="1" applyBorder="1" applyAlignment="1" applyProtection="1">
      <alignment horizontal="left"/>
      <protection locked="0"/>
    </xf>
    <xf numFmtId="0" fontId="6" fillId="4" borderId="0" xfId="0" applyFont="1" applyFill="1" applyAlignment="1" applyProtection="1">
      <alignment horizontal="left"/>
      <protection locked="0"/>
    </xf>
    <xf numFmtId="0" fontId="6" fillId="4" borderId="0" xfId="0" applyFont="1" applyFill="1" applyAlignment="1">
      <alignment horizontal="left"/>
    </xf>
    <xf numFmtId="0" fontId="6" fillId="5" borderId="2" xfId="0" applyFont="1" applyFill="1" applyBorder="1" applyAlignment="1">
      <alignment horizontal="left"/>
    </xf>
    <xf numFmtId="0" fontId="6" fillId="0" borderId="0" xfId="0" applyFont="1" applyAlignment="1">
      <alignment horizontal="centerContinuous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fill"/>
    </xf>
    <xf numFmtId="0" fontId="6" fillId="0" borderId="0" xfId="0" applyFont="1" applyAlignment="1">
      <alignment horizontal="center"/>
    </xf>
    <xf numFmtId="37" fontId="6" fillId="0" borderId="0" xfId="0" applyNumberFormat="1" applyFont="1"/>
    <xf numFmtId="169" fontId="6" fillId="0" borderId="0" xfId="0" applyNumberFormat="1" applyFont="1"/>
    <xf numFmtId="166" fontId="6" fillId="0" borderId="0" xfId="0" applyNumberFormat="1" applyFont="1"/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fill"/>
    </xf>
    <xf numFmtId="37" fontId="6" fillId="0" borderId="0" xfId="0" applyNumberFormat="1" applyFont="1" applyAlignment="1">
      <alignment horizontal="right"/>
    </xf>
    <xf numFmtId="170" fontId="6" fillId="0" borderId="0" xfId="0" applyNumberFormat="1" applyFont="1"/>
    <xf numFmtId="7" fontId="6" fillId="0" borderId="0" xfId="0" applyNumberFormat="1" applyFont="1" applyAlignment="1">
      <alignment horizontal="center"/>
    </xf>
    <xf numFmtId="7" fontId="6" fillId="0" borderId="0" xfId="0" applyNumberFormat="1" applyFont="1"/>
    <xf numFmtId="37" fontId="6" fillId="0" borderId="0" xfId="0" applyNumberFormat="1" applyFont="1" applyAlignment="1">
      <alignment horizontal="fill"/>
    </xf>
    <xf numFmtId="169" fontId="6" fillId="0" borderId="0" xfId="0" applyNumberFormat="1" applyFont="1" applyAlignment="1">
      <alignment horizontal="fill"/>
    </xf>
    <xf numFmtId="39" fontId="6" fillId="0" borderId="0" xfId="0" applyNumberFormat="1" applyFont="1"/>
    <xf numFmtId="39" fontId="6" fillId="0" borderId="0" xfId="0" applyNumberFormat="1" applyFont="1" applyAlignment="1">
      <alignment horizontal="fill"/>
    </xf>
    <xf numFmtId="39" fontId="6" fillId="0" borderId="0" xfId="0" applyNumberFormat="1" applyFont="1" applyAlignment="1">
      <alignment horizontal="center"/>
    </xf>
    <xf numFmtId="171" fontId="6" fillId="0" borderId="0" xfId="0" applyNumberFormat="1" applyFont="1"/>
    <xf numFmtId="0" fontId="6" fillId="0" borderId="0" xfId="0" quotePrefix="1" applyFont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5" xfId="0" applyFont="1" applyBorder="1" applyAlignment="1">
      <alignment horizontal="center"/>
    </xf>
    <xf numFmtId="39" fontId="6" fillId="0" borderId="0" xfId="0" applyNumberFormat="1" applyFont="1" applyAlignment="1">
      <alignment horizontal="right"/>
    </xf>
    <xf numFmtId="0" fontId="6" fillId="0" borderId="1" xfId="0" applyFont="1" applyBorder="1" applyAlignment="1">
      <alignment horizontal="center"/>
    </xf>
    <xf numFmtId="37" fontId="4" fillId="0" borderId="1" xfId="0" applyNumberFormat="1" applyFont="1" applyBorder="1"/>
    <xf numFmtId="37" fontId="4" fillId="0" borderId="6" xfId="0" applyNumberFormat="1" applyFont="1" applyBorder="1"/>
    <xf numFmtId="37" fontId="4" fillId="0" borderId="0" xfId="0" applyNumberFormat="1" applyFont="1" applyProtection="1">
      <protection locked="0"/>
    </xf>
    <xf numFmtId="37" fontId="4" fillId="0" borderId="1" xfId="0" applyNumberFormat="1" applyFont="1" applyBorder="1" applyProtection="1">
      <protection locked="0"/>
    </xf>
    <xf numFmtId="169" fontId="4" fillId="0" borderId="1" xfId="0" applyNumberFormat="1" applyFont="1" applyBorder="1"/>
    <xf numFmtId="37" fontId="4" fillId="0" borderId="7" xfId="0" applyNumberFormat="1" applyFont="1" applyBorder="1" applyProtection="1">
      <protection locked="0"/>
    </xf>
    <xf numFmtId="37" fontId="4" fillId="0" borderId="7" xfId="0" applyNumberFormat="1" applyFont="1" applyBorder="1"/>
    <xf numFmtId="169" fontId="4" fillId="0" borderId="6" xfId="0" applyNumberFormat="1" applyFont="1" applyBorder="1"/>
    <xf numFmtId="169" fontId="4" fillId="0" borderId="7" xfId="0" applyNumberFormat="1" applyFont="1" applyBorder="1"/>
    <xf numFmtId="37" fontId="4" fillId="0" borderId="6" xfId="0" applyNumberFormat="1" applyFont="1" applyBorder="1" applyProtection="1">
      <protection locked="0"/>
    </xf>
    <xf numFmtId="7" fontId="4" fillId="0" borderId="0" xfId="0" applyNumberFormat="1" applyFont="1" applyProtection="1">
      <protection locked="0"/>
    </xf>
    <xf numFmtId="0" fontId="4" fillId="0" borderId="0" xfId="0" applyFont="1" applyAlignment="1">
      <alignment horizontal="fill"/>
    </xf>
    <xf numFmtId="37" fontId="4" fillId="0" borderId="0" xfId="0" applyNumberFormat="1" applyFont="1" applyAlignment="1">
      <alignment horizontal="right"/>
    </xf>
    <xf numFmtId="169" fontId="10" fillId="0" borderId="0" xfId="0" applyNumberFormat="1" applyFont="1"/>
    <xf numFmtId="7" fontId="4" fillId="0" borderId="0" xfId="0" applyNumberFormat="1" applyFont="1"/>
    <xf numFmtId="7" fontId="4" fillId="0" borderId="0" xfId="0" applyNumberFormat="1" applyFont="1" applyAlignment="1">
      <alignment horizontal="center"/>
    </xf>
    <xf numFmtId="0" fontId="4" fillId="0" borderId="0" xfId="0" quotePrefix="1" applyFont="1" applyAlignment="1">
      <alignment horizontal="center"/>
    </xf>
    <xf numFmtId="37" fontId="4" fillId="0" borderId="8" xfId="0" applyNumberFormat="1" applyFont="1" applyBorder="1"/>
    <xf numFmtId="0" fontId="4" fillId="0" borderId="7" xfId="0" applyFont="1" applyBorder="1"/>
    <xf numFmtId="39" fontId="4" fillId="0" borderId="0" xfId="0" applyNumberFormat="1" applyFont="1" applyAlignment="1">
      <alignment horizontal="right"/>
    </xf>
    <xf numFmtId="39" fontId="4" fillId="0" borderId="8" xfId="0" applyNumberFormat="1" applyFont="1" applyBorder="1" applyAlignment="1">
      <alignment horizontal="right"/>
    </xf>
    <xf numFmtId="39" fontId="4" fillId="0" borderId="1" xfId="0" applyNumberFormat="1" applyFont="1" applyBorder="1"/>
    <xf numFmtId="39" fontId="4" fillId="0" borderId="6" xfId="0" applyNumberFormat="1" applyFont="1" applyBorder="1"/>
    <xf numFmtId="10" fontId="10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7" xfId="0" applyFont="1" applyBorder="1"/>
    <xf numFmtId="39" fontId="4" fillId="0" borderId="7" xfId="0" applyNumberFormat="1" applyFont="1" applyBorder="1"/>
    <xf numFmtId="0" fontId="6" fillId="5" borderId="9" xfId="0" applyFont="1" applyFill="1" applyBorder="1"/>
    <xf numFmtId="0" fontId="6" fillId="5" borderId="10" xfId="0" applyFont="1" applyFill="1" applyBorder="1"/>
    <xf numFmtId="0" fontId="4" fillId="5" borderId="3" xfId="0" applyFont="1" applyFill="1" applyBorder="1"/>
    <xf numFmtId="181" fontId="6" fillId="0" borderId="0" xfId="0" applyNumberFormat="1" applyFont="1"/>
    <xf numFmtId="181" fontId="6" fillId="0" borderId="0" xfId="0" applyNumberFormat="1" applyFont="1" applyAlignment="1">
      <alignment horizontal="centerContinuous"/>
    </xf>
    <xf numFmtId="181" fontId="6" fillId="0" borderId="1" xfId="0" applyNumberFormat="1" applyFont="1" applyBorder="1" applyAlignment="1">
      <alignment horizontal="fill"/>
    </xf>
    <xf numFmtId="181" fontId="6" fillId="0" borderId="0" xfId="0" applyNumberFormat="1" applyFont="1" applyAlignment="1">
      <alignment horizontal="center"/>
    </xf>
    <xf numFmtId="181" fontId="4" fillId="0" borderId="0" xfId="0" applyNumberFormat="1" applyFont="1"/>
    <xf numFmtId="181" fontId="4" fillId="0" borderId="1" xfId="0" applyNumberFormat="1" applyFont="1" applyBorder="1"/>
    <xf numFmtId="181" fontId="4" fillId="0" borderId="7" xfId="0" applyNumberFormat="1" applyFont="1" applyBorder="1"/>
    <xf numFmtId="181" fontId="4" fillId="0" borderId="6" xfId="0" applyNumberFormat="1" applyFont="1" applyBorder="1"/>
    <xf numFmtId="181" fontId="6" fillId="0" borderId="0" xfId="0" applyNumberFormat="1" applyFont="1" applyAlignment="1">
      <alignment horizontal="fill"/>
    </xf>
    <xf numFmtId="181" fontId="4" fillId="0" borderId="0" xfId="0" applyNumberFormat="1" applyFont="1" applyAlignment="1">
      <alignment horizontal="center"/>
    </xf>
    <xf numFmtId="181" fontId="6" fillId="0" borderId="5" xfId="0" applyNumberFormat="1" applyFont="1" applyBorder="1" applyAlignment="1">
      <alignment horizontal="center"/>
    </xf>
    <xf numFmtId="181" fontId="6" fillId="0" borderId="0" xfId="0" applyNumberFormat="1" applyFont="1" applyAlignment="1">
      <alignment horizontal="left"/>
    </xf>
    <xf numFmtId="181" fontId="6" fillId="0" borderId="0" xfId="0" applyNumberFormat="1" applyFont="1" applyAlignment="1">
      <alignment horizontal="right"/>
    </xf>
    <xf numFmtId="181" fontId="4" fillId="0" borderId="1" xfId="0" applyNumberFormat="1" applyFont="1" applyBorder="1" applyAlignment="1">
      <alignment horizontal="right"/>
    </xf>
    <xf numFmtId="181" fontId="4" fillId="0" borderId="0" xfId="0" applyNumberFormat="1" applyFont="1" applyAlignment="1">
      <alignment horizontal="right"/>
    </xf>
    <xf numFmtId="181" fontId="4" fillId="0" borderId="7" xfId="0" applyNumberFormat="1" applyFont="1" applyBorder="1" applyAlignment="1">
      <alignment horizontal="right"/>
    </xf>
    <xf numFmtId="181" fontId="4" fillId="0" borderId="6" xfId="0" applyNumberFormat="1" applyFont="1" applyBorder="1" applyAlignment="1">
      <alignment horizontal="right"/>
    </xf>
    <xf numFmtId="181" fontId="4" fillId="0" borderId="0" xfId="0" applyNumberFormat="1" applyFont="1" applyProtection="1">
      <protection locked="0"/>
    </xf>
    <xf numFmtId="177" fontId="6" fillId="5" borderId="11" xfId="0" applyNumberFormat="1" applyFont="1" applyFill="1" applyBorder="1" applyProtection="1">
      <protection locked="0"/>
    </xf>
    <xf numFmtId="177" fontId="6" fillId="5" borderId="11" xfId="0" applyNumberFormat="1" applyFont="1" applyFill="1" applyBorder="1" applyAlignment="1" applyProtection="1">
      <alignment horizontal="right"/>
      <protection locked="0"/>
    </xf>
    <xf numFmtId="177" fontId="6" fillId="4" borderId="0" xfId="0" applyNumberFormat="1" applyFont="1" applyFill="1" applyAlignment="1" applyProtection="1">
      <alignment horizontal="left"/>
      <protection locked="0"/>
    </xf>
    <xf numFmtId="182" fontId="6" fillId="0" borderId="0" xfId="0" applyNumberFormat="1" applyFont="1"/>
    <xf numFmtId="7" fontId="6" fillId="5" borderId="11" xfId="0" applyNumberFormat="1" applyFont="1" applyFill="1" applyBorder="1"/>
    <xf numFmtId="172" fontId="6" fillId="5" borderId="11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183" fontId="6" fillId="0" borderId="0" xfId="0" applyNumberFormat="1" applyFont="1"/>
    <xf numFmtId="3" fontId="4" fillId="0" borderId="0" xfId="0" applyNumberFormat="1" applyFont="1"/>
    <xf numFmtId="22" fontId="6" fillId="0" borderId="0" xfId="0" applyNumberFormat="1" applyFont="1"/>
    <xf numFmtId="177" fontId="14" fillId="6" borderId="11" xfId="0" applyNumberFormat="1" applyFont="1" applyFill="1" applyBorder="1" applyProtection="1">
      <protection locked="0"/>
    </xf>
    <xf numFmtId="0" fontId="6" fillId="0" borderId="0" xfId="0" applyFont="1" applyAlignment="1">
      <alignment horizontal="left" indent="1"/>
    </xf>
    <xf numFmtId="39" fontId="16" fillId="0" borderId="0" xfId="0" applyNumberFormat="1" applyFont="1"/>
    <xf numFmtId="0" fontId="18" fillId="0" borderId="0" xfId="0" applyFont="1"/>
    <xf numFmtId="0" fontId="19" fillId="0" borderId="0" xfId="0" applyFont="1"/>
    <xf numFmtId="39" fontId="6" fillId="0" borderId="0" xfId="0" applyNumberFormat="1" applyFont="1" applyProtection="1">
      <protection locked="0"/>
    </xf>
    <xf numFmtId="0" fontId="18" fillId="0" borderId="0" xfId="0" applyFont="1" applyAlignment="1">
      <alignment horizontal="left"/>
    </xf>
    <xf numFmtId="172" fontId="6" fillId="0" borderId="0" xfId="0" applyNumberFormat="1" applyFont="1" applyProtection="1">
      <protection locked="0"/>
    </xf>
    <xf numFmtId="168" fontId="4" fillId="0" borderId="0" xfId="0" applyNumberFormat="1" applyFont="1" applyAlignment="1">
      <alignment horizontal="right"/>
    </xf>
    <xf numFmtId="168" fontId="4" fillId="0" borderId="1" xfId="0" applyNumberFormat="1" applyFont="1" applyBorder="1" applyAlignment="1">
      <alignment horizontal="right"/>
    </xf>
    <xf numFmtId="168" fontId="4" fillId="0" borderId="6" xfId="0" applyNumberFormat="1" applyFont="1" applyBorder="1" applyAlignment="1">
      <alignment horizontal="right"/>
    </xf>
    <xf numFmtId="3" fontId="6" fillId="0" borderId="0" xfId="0" applyNumberFormat="1" applyFont="1"/>
    <xf numFmtId="174" fontId="4" fillId="0" borderId="0" xfId="0" applyNumberFormat="1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left"/>
    </xf>
    <xf numFmtId="0" fontId="21" fillId="0" borderId="0" xfId="0" applyFont="1" applyAlignment="1">
      <alignment horizontal="center"/>
    </xf>
    <xf numFmtId="0" fontId="24" fillId="6" borderId="3" xfId="0" applyFont="1" applyFill="1" applyBorder="1"/>
    <xf numFmtId="0" fontId="24" fillId="6" borderId="4" xfId="0" applyFont="1" applyFill="1" applyBorder="1"/>
    <xf numFmtId="0" fontId="26" fillId="4" borderId="0" xfId="0" applyFont="1" applyFill="1" applyAlignment="1">
      <alignment horizontal="center"/>
    </xf>
    <xf numFmtId="0" fontId="22" fillId="6" borderId="3" xfId="0" applyFont="1" applyFill="1" applyBorder="1"/>
    <xf numFmtId="0" fontId="7" fillId="5" borderId="3" xfId="0" applyFont="1" applyFill="1" applyBorder="1" applyAlignment="1" applyProtection="1">
      <alignment horizontal="left"/>
      <protection locked="0"/>
    </xf>
    <xf numFmtId="0" fontId="6" fillId="4" borderId="0" xfId="0" applyFont="1" applyFill="1" applyProtection="1">
      <protection locked="0"/>
    </xf>
    <xf numFmtId="0" fontId="26" fillId="4" borderId="0" xfId="0" applyFont="1" applyFill="1"/>
    <xf numFmtId="0" fontId="27" fillId="4" borderId="0" xfId="0" applyFont="1" applyFill="1"/>
    <xf numFmtId="0" fontId="28" fillId="4" borderId="0" xfId="0" applyFont="1" applyFill="1"/>
    <xf numFmtId="0" fontId="6" fillId="6" borderId="2" xfId="0" applyFont="1" applyFill="1" applyBorder="1" applyAlignment="1">
      <alignment horizontal="left"/>
    </xf>
    <xf numFmtId="172" fontId="4" fillId="0" borderId="0" xfId="0" applyNumberFormat="1" applyFont="1" applyProtection="1">
      <protection locked="0"/>
    </xf>
    <xf numFmtId="177" fontId="4" fillId="0" borderId="0" xfId="0" applyNumberFormat="1" applyFont="1"/>
    <xf numFmtId="177" fontId="4" fillId="0" borderId="0" xfId="0" applyNumberFormat="1" applyFont="1" applyProtection="1">
      <protection locked="0"/>
    </xf>
    <xf numFmtId="0" fontId="17" fillId="4" borderId="0" xfId="0" applyFont="1" applyFill="1" applyProtection="1">
      <protection locked="0"/>
    </xf>
    <xf numFmtId="0" fontId="17" fillId="4" borderId="0" xfId="0" applyFont="1" applyFill="1"/>
    <xf numFmtId="0" fontId="30" fillId="4" borderId="0" xfId="0" applyFont="1" applyFill="1"/>
    <xf numFmtId="37" fontId="6" fillId="0" borderId="0" xfId="1" applyNumberFormat="1" applyFont="1"/>
    <xf numFmtId="0" fontId="6" fillId="0" borderId="0" xfId="10" applyFont="1"/>
    <xf numFmtId="0" fontId="31" fillId="4" borderId="0" xfId="0" applyFont="1" applyFill="1" applyProtection="1">
      <protection locked="0"/>
    </xf>
    <xf numFmtId="0" fontId="31" fillId="4" borderId="0" xfId="0" applyFont="1" applyFill="1"/>
    <xf numFmtId="168" fontId="6" fillId="0" borderId="0" xfId="0" applyNumberFormat="1" applyFont="1" applyAlignment="1">
      <alignment horizontal="right"/>
    </xf>
    <xf numFmtId="37" fontId="6" fillId="0" borderId="0" xfId="0" applyNumberFormat="1" applyFont="1" applyProtection="1">
      <protection locked="0"/>
    </xf>
    <xf numFmtId="0" fontId="4" fillId="4" borderId="0" xfId="0" applyFont="1" applyFill="1" applyAlignment="1" applyProtection="1">
      <alignment horizontal="left"/>
      <protection locked="0"/>
    </xf>
    <xf numFmtId="173" fontId="6" fillId="5" borderId="11" xfId="0" applyNumberFormat="1" applyFont="1" applyFill="1" applyBorder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183" fontId="6" fillId="0" borderId="0" xfId="56" applyNumberFormat="1" applyFont="1"/>
    <xf numFmtId="186" fontId="6" fillId="0" borderId="0" xfId="0" applyNumberFormat="1" applyFont="1"/>
    <xf numFmtId="37" fontId="6" fillId="0" borderId="0" xfId="0" applyNumberFormat="1" applyFont="1" applyAlignment="1">
      <alignment horizontal="center"/>
    </xf>
    <xf numFmtId="172" fontId="4" fillId="4" borderId="0" xfId="0" applyNumberFormat="1" applyFont="1" applyFill="1"/>
    <xf numFmtId="0" fontId="6" fillId="0" borderId="16" xfId="0" applyFont="1" applyBorder="1"/>
    <xf numFmtId="0" fontId="6" fillId="0" borderId="17" xfId="0" applyFont="1" applyBorder="1"/>
    <xf numFmtId="0" fontId="6" fillId="0" borderId="18" xfId="0" applyFont="1" applyBorder="1"/>
    <xf numFmtId="9" fontId="4" fillId="0" borderId="0" xfId="58" applyFont="1" applyBorder="1" applyAlignment="1" applyProtection="1">
      <alignment horizontal="center"/>
    </xf>
    <xf numFmtId="2" fontId="6" fillId="0" borderId="0" xfId="0" applyNumberFormat="1" applyFont="1"/>
    <xf numFmtId="187" fontId="39" fillId="0" borderId="0" xfId="57" applyNumberFormat="1" applyFont="1" applyFill="1"/>
    <xf numFmtId="0" fontId="27" fillId="4" borderId="0" xfId="0" quotePrefix="1" applyFont="1" applyFill="1" applyAlignment="1" applyProtection="1">
      <alignment horizontal="left"/>
      <protection locked="0"/>
    </xf>
    <xf numFmtId="0" fontId="6" fillId="5" borderId="2" xfId="0" quotePrefix="1" applyFont="1" applyFill="1" applyBorder="1" applyAlignment="1">
      <alignment horizontal="left"/>
    </xf>
    <xf numFmtId="0" fontId="7" fillId="5" borderId="2" xfId="0" quotePrefix="1" applyFont="1" applyFill="1" applyBorder="1" applyAlignment="1" applyProtection="1">
      <alignment horizontal="left"/>
      <protection locked="0"/>
    </xf>
    <xf numFmtId="0" fontId="4" fillId="4" borderId="16" xfId="0" applyFont="1" applyFill="1" applyBorder="1"/>
    <xf numFmtId="0" fontId="4" fillId="4" borderId="18" xfId="0" applyFont="1" applyFill="1" applyBorder="1"/>
    <xf numFmtId="0" fontId="41" fillId="4" borderId="0" xfId="0" applyFont="1" applyFill="1"/>
    <xf numFmtId="177" fontId="42" fillId="5" borderId="11" xfId="0" applyNumberFormat="1" applyFont="1" applyFill="1" applyBorder="1" applyProtection="1">
      <protection locked="0"/>
    </xf>
    <xf numFmtId="172" fontId="42" fillId="5" borderId="11" xfId="0" applyNumberFormat="1" applyFont="1" applyFill="1" applyBorder="1" applyAlignment="1">
      <alignment horizontal="right"/>
    </xf>
    <xf numFmtId="173" fontId="42" fillId="5" borderId="11" xfId="0" applyNumberFormat="1" applyFont="1" applyFill="1" applyBorder="1" applyProtection="1">
      <protection locked="0"/>
    </xf>
    <xf numFmtId="7" fontId="42" fillId="5" borderId="11" xfId="0" applyNumberFormat="1" applyFont="1" applyFill="1" applyBorder="1"/>
    <xf numFmtId="10" fontId="6" fillId="5" borderId="11" xfId="58" applyNumberFormat="1" applyFont="1" applyFill="1" applyBorder="1" applyAlignment="1" applyProtection="1">
      <alignment horizontal="right"/>
    </xf>
    <xf numFmtId="10" fontId="42" fillId="5" borderId="11" xfId="58" applyNumberFormat="1" applyFont="1" applyFill="1" applyBorder="1" applyAlignment="1" applyProtection="1">
      <alignment horizontal="right"/>
    </xf>
    <xf numFmtId="0" fontId="6" fillId="4" borderId="0" xfId="0" quotePrefix="1" applyFont="1" applyFill="1" applyAlignment="1" applyProtection="1">
      <alignment horizontal="left"/>
      <protection locked="0"/>
    </xf>
    <xf numFmtId="0" fontId="44" fillId="9" borderId="0" xfId="0" applyFont="1" applyFill="1"/>
    <xf numFmtId="0" fontId="45" fillId="9" borderId="0" xfId="0" applyFont="1" applyFill="1"/>
    <xf numFmtId="0" fontId="45" fillId="0" borderId="0" xfId="0" applyFont="1"/>
    <xf numFmtId="0" fontId="45" fillId="8" borderId="0" xfId="0" applyFont="1" applyFill="1"/>
    <xf numFmtId="0" fontId="45" fillId="0" borderId="21" xfId="0" applyFont="1" applyBorder="1"/>
    <xf numFmtId="0" fontId="45" fillId="0" borderId="5" xfId="0" applyFont="1" applyBorder="1"/>
    <xf numFmtId="0" fontId="45" fillId="0" borderId="22" xfId="0" applyFont="1" applyBorder="1"/>
    <xf numFmtId="0" fontId="45" fillId="0" borderId="12" xfId="0" applyFont="1" applyBorder="1" applyAlignment="1">
      <alignment wrapText="1"/>
    </xf>
    <xf numFmtId="37" fontId="45" fillId="0" borderId="13" xfId="0" applyNumberFormat="1" applyFont="1" applyBorder="1"/>
    <xf numFmtId="0" fontId="45" fillId="0" borderId="0" xfId="0" applyFont="1" applyAlignment="1">
      <alignment wrapText="1"/>
    </xf>
    <xf numFmtId="0" fontId="45" fillId="0" borderId="23" xfId="0" applyFont="1" applyBorder="1" applyAlignment="1">
      <alignment wrapText="1"/>
    </xf>
    <xf numFmtId="37" fontId="45" fillId="0" borderId="0" xfId="0" applyNumberFormat="1" applyFont="1"/>
    <xf numFmtId="184" fontId="45" fillId="0" borderId="24" xfId="58" applyNumberFormat="1" applyFont="1" applyBorder="1"/>
    <xf numFmtId="0" fontId="45" fillId="0" borderId="9" xfId="0" applyFont="1" applyBorder="1"/>
    <xf numFmtId="185" fontId="45" fillId="0" borderId="10" xfId="57" applyNumberFormat="1" applyFont="1" applyBorder="1"/>
    <xf numFmtId="0" fontId="45" fillId="0" borderId="9" xfId="0" applyFont="1" applyBorder="1" applyAlignment="1">
      <alignment wrapText="1"/>
    </xf>
    <xf numFmtId="37" fontId="45" fillId="0" borderId="10" xfId="0" applyNumberFormat="1" applyFont="1" applyBorder="1"/>
    <xf numFmtId="185" fontId="45" fillId="0" borderId="0" xfId="57" applyNumberFormat="1" applyFont="1" applyBorder="1"/>
    <xf numFmtId="44" fontId="45" fillId="0" borderId="10" xfId="0" applyNumberFormat="1" applyFont="1" applyBorder="1"/>
    <xf numFmtId="184" fontId="45" fillId="0" borderId="25" xfId="58" applyNumberFormat="1" applyFont="1" applyBorder="1"/>
    <xf numFmtId="185" fontId="45" fillId="0" borderId="0" xfId="57" applyNumberFormat="1" applyFont="1" applyFill="1" applyBorder="1"/>
    <xf numFmtId="37" fontId="45" fillId="8" borderId="0" xfId="0" applyNumberFormat="1" applyFont="1" applyFill="1"/>
    <xf numFmtId="44" fontId="45" fillId="0" borderId="10" xfId="57" applyFont="1" applyBorder="1"/>
    <xf numFmtId="0" fontId="45" fillId="0" borderId="10" xfId="0" applyFont="1" applyBorder="1"/>
    <xf numFmtId="0" fontId="45" fillId="0" borderId="12" xfId="0" applyFont="1" applyBorder="1"/>
    <xf numFmtId="0" fontId="45" fillId="0" borderId="13" xfId="0" applyFont="1" applyBorder="1"/>
    <xf numFmtId="184" fontId="45" fillId="0" borderId="0" xfId="58" applyNumberFormat="1" applyFont="1"/>
    <xf numFmtId="183" fontId="45" fillId="0" borderId="10" xfId="56" applyNumberFormat="1" applyFont="1" applyBorder="1"/>
    <xf numFmtId="0" fontId="45" fillId="0" borderId="2" xfId="0" applyFont="1" applyBorder="1" applyAlignment="1">
      <alignment wrapText="1"/>
    </xf>
    <xf numFmtId="44" fontId="45" fillId="10" borderId="4" xfId="0" applyNumberFormat="1" applyFont="1" applyFill="1" applyBorder="1"/>
    <xf numFmtId="9" fontId="45" fillId="0" borderId="10" xfId="58" applyFont="1" applyBorder="1"/>
    <xf numFmtId="9" fontId="45" fillId="0" borderId="0" xfId="58" applyFont="1"/>
    <xf numFmtId="185" fontId="45" fillId="0" borderId="13" xfId="0" applyNumberFormat="1" applyFont="1" applyBorder="1"/>
    <xf numFmtId="44" fontId="45" fillId="10" borderId="13" xfId="57" applyFont="1" applyFill="1" applyBorder="1"/>
    <xf numFmtId="44" fontId="45" fillId="0" borderId="10" xfId="57" applyFont="1" applyFill="1" applyBorder="1"/>
    <xf numFmtId="0" fontId="45" fillId="0" borderId="14" xfId="0" applyFont="1" applyBorder="1" applyAlignment="1">
      <alignment wrapText="1"/>
    </xf>
    <xf numFmtId="44" fontId="45" fillId="10" borderId="15" xfId="57" applyFont="1" applyFill="1" applyBorder="1"/>
    <xf numFmtId="44" fontId="45" fillId="10" borderId="4" xfId="57" applyFont="1" applyFill="1" applyBorder="1"/>
    <xf numFmtId="185" fontId="45" fillId="0" borderId="10" xfId="0" applyNumberFormat="1" applyFont="1" applyBorder="1"/>
    <xf numFmtId="44" fontId="45" fillId="10" borderId="13" xfId="0" applyNumberFormat="1" applyFont="1" applyFill="1" applyBorder="1"/>
    <xf numFmtId="187" fontId="45" fillId="10" borderId="10" xfId="57" applyNumberFormat="1" applyFont="1" applyFill="1" applyBorder="1"/>
    <xf numFmtId="185" fontId="45" fillId="0" borderId="13" xfId="57" applyNumberFormat="1" applyFont="1" applyFill="1" applyBorder="1"/>
    <xf numFmtId="186" fontId="45" fillId="10" borderId="4" xfId="56" applyNumberFormat="1" applyFont="1" applyFill="1" applyBorder="1"/>
    <xf numFmtId="187" fontId="45" fillId="10" borderId="15" xfId="57" applyNumberFormat="1" applyFont="1" applyFill="1" applyBorder="1"/>
    <xf numFmtId="185" fontId="45" fillId="8" borderId="0" xfId="0" applyNumberFormat="1" applyFont="1" applyFill="1"/>
    <xf numFmtId="9" fontId="45" fillId="0" borderId="13" xfId="58" applyFont="1" applyBorder="1"/>
    <xf numFmtId="187" fontId="45" fillId="10" borderId="4" xfId="57" applyNumberFormat="1" applyFont="1" applyFill="1" applyBorder="1"/>
    <xf numFmtId="185" fontId="45" fillId="0" borderId="19" xfId="57" applyNumberFormat="1" applyFont="1" applyBorder="1"/>
    <xf numFmtId="0" fontId="45" fillId="0" borderId="19" xfId="0" applyFont="1" applyBorder="1"/>
    <xf numFmtId="172" fontId="45" fillId="0" borderId="10" xfId="0" applyNumberFormat="1" applyFont="1" applyBorder="1"/>
    <xf numFmtId="185" fontId="45" fillId="0" borderId="15" xfId="0" applyNumberFormat="1" applyFont="1" applyBorder="1"/>
    <xf numFmtId="185" fontId="45" fillId="0" borderId="0" xfId="0" applyNumberFormat="1" applyFont="1"/>
    <xf numFmtId="44" fontId="45" fillId="0" borderId="0" xfId="0" applyNumberFormat="1" applyFont="1"/>
    <xf numFmtId="9" fontId="45" fillId="0" borderId="0" xfId="58" applyFont="1" applyBorder="1"/>
    <xf numFmtId="44" fontId="45" fillId="0" borderId="0" xfId="0" applyNumberFormat="1" applyFont="1" applyAlignment="1">
      <alignment wrapText="1"/>
    </xf>
    <xf numFmtId="0" fontId="45" fillId="0" borderId="10" xfId="0" applyFont="1" applyBorder="1" applyAlignment="1">
      <alignment wrapText="1"/>
    </xf>
    <xf numFmtId="180" fontId="45" fillId="0" borderId="10" xfId="0" applyNumberFormat="1" applyFont="1" applyBorder="1"/>
    <xf numFmtId="44" fontId="45" fillId="10" borderId="10" xfId="0" applyNumberFormat="1" applyFont="1" applyFill="1" applyBorder="1"/>
    <xf numFmtId="187" fontId="45" fillId="10" borderId="4" xfId="0" applyNumberFormat="1" applyFont="1" applyFill="1" applyBorder="1"/>
    <xf numFmtId="44" fontId="45" fillId="10" borderId="15" xfId="0" applyNumberFormat="1" applyFont="1" applyFill="1" applyBorder="1"/>
    <xf numFmtId="0" fontId="45" fillId="10" borderId="10" xfId="0" applyFont="1" applyFill="1" applyBorder="1"/>
    <xf numFmtId="187" fontId="45" fillId="8" borderId="10" xfId="57" applyNumberFormat="1" applyFont="1" applyFill="1" applyBorder="1"/>
    <xf numFmtId="187" fontId="45" fillId="10" borderId="10" xfId="0" applyNumberFormat="1" applyFont="1" applyFill="1" applyBorder="1"/>
    <xf numFmtId="0" fontId="45" fillId="10" borderId="15" xfId="0" applyFont="1" applyFill="1" applyBorder="1"/>
    <xf numFmtId="185" fontId="45" fillId="0" borderId="20" xfId="57" applyNumberFormat="1" applyFont="1" applyBorder="1"/>
    <xf numFmtId="37" fontId="45" fillId="0" borderId="20" xfId="0" applyNumberFormat="1" applyFont="1" applyBorder="1"/>
    <xf numFmtId="9" fontId="45" fillId="0" borderId="20" xfId="58" applyFont="1" applyBorder="1"/>
    <xf numFmtId="0" fontId="45" fillId="0" borderId="15" xfId="0" applyFont="1" applyBorder="1"/>
    <xf numFmtId="187" fontId="45" fillId="8" borderId="4" xfId="0" applyNumberFormat="1" applyFont="1" applyFill="1" applyBorder="1"/>
    <xf numFmtId="184" fontId="45" fillId="0" borderId="10" xfId="58" applyNumberFormat="1" applyFont="1" applyBorder="1"/>
    <xf numFmtId="185" fontId="45" fillId="0" borderId="0" xfId="57" applyNumberFormat="1" applyFont="1"/>
    <xf numFmtId="0" fontId="22" fillId="6" borderId="2" xfId="0" quotePrefix="1" applyFont="1" applyFill="1" applyBorder="1" applyAlignment="1">
      <alignment horizontal="left"/>
    </xf>
    <xf numFmtId="0" fontId="47" fillId="0" borderId="0" xfId="59" applyFont="1"/>
    <xf numFmtId="183" fontId="48" fillId="0" borderId="0" xfId="61" applyNumberFormat="1" applyFont="1"/>
    <xf numFmtId="183" fontId="48" fillId="0" borderId="1" xfId="61" applyNumberFormat="1" applyFont="1" applyBorder="1"/>
    <xf numFmtId="0" fontId="47" fillId="0" borderId="0" xfId="59" applyFont="1" applyAlignment="1">
      <alignment horizontal="center" wrapText="1"/>
    </xf>
    <xf numFmtId="0" fontId="47" fillId="0" borderId="0" xfId="59" quotePrefix="1" applyFont="1" applyAlignment="1">
      <alignment horizontal="center" vertical="center"/>
    </xf>
    <xf numFmtId="0" fontId="47" fillId="0" borderId="1" xfId="59" quotePrefix="1" applyFont="1" applyBorder="1" applyAlignment="1">
      <alignment horizontal="centerContinuous" vertical="center"/>
    </xf>
    <xf numFmtId="0" fontId="47" fillId="0" borderId="1" xfId="59" applyFont="1" applyBorder="1" applyAlignment="1">
      <alignment horizontal="centerContinuous"/>
    </xf>
    <xf numFmtId="0" fontId="47" fillId="0" borderId="0" xfId="59" quotePrefix="1" applyFont="1" applyAlignment="1">
      <alignment horizontal="center" wrapText="1"/>
    </xf>
    <xf numFmtId="0" fontId="47" fillId="0" borderId="0" xfId="59" applyFont="1" applyAlignment="1">
      <alignment horizontal="center"/>
    </xf>
    <xf numFmtId="0" fontId="49" fillId="0" borderId="0" xfId="59" quotePrefix="1" applyFont="1" applyAlignment="1">
      <alignment horizontal="center"/>
    </xf>
    <xf numFmtId="0" fontId="49" fillId="0" borderId="0" xfId="59" applyFont="1" applyAlignment="1">
      <alignment horizontal="center"/>
    </xf>
    <xf numFmtId="0" fontId="45" fillId="0" borderId="14" xfId="0" applyFont="1" applyBorder="1"/>
    <xf numFmtId="187" fontId="45" fillId="0" borderId="0" xfId="0" applyNumberFormat="1" applyFont="1"/>
    <xf numFmtId="0" fontId="6" fillId="6" borderId="2" xfId="0" quotePrefix="1" applyFont="1" applyFill="1" applyBorder="1" applyAlignment="1">
      <alignment horizontal="left"/>
    </xf>
    <xf numFmtId="181" fontId="6" fillId="0" borderId="0" xfId="0" quotePrefix="1" applyNumberFormat="1" applyFont="1" applyAlignment="1">
      <alignment horizontal="center"/>
    </xf>
    <xf numFmtId="175" fontId="6" fillId="5" borderId="11" xfId="0" applyNumberFormat="1" applyFont="1" applyFill="1" applyBorder="1" applyProtection="1">
      <protection locked="0"/>
    </xf>
    <xf numFmtId="37" fontId="6" fillId="0" borderId="7" xfId="0" applyNumberFormat="1" applyFont="1" applyBorder="1"/>
    <xf numFmtId="172" fontId="30" fillId="5" borderId="11" xfId="0" applyNumberFormat="1" applyFont="1" applyFill="1" applyBorder="1" applyAlignment="1">
      <alignment horizontal="right"/>
    </xf>
    <xf numFmtId="0" fontId="50" fillId="4" borderId="0" xfId="0" applyFont="1" applyFill="1"/>
    <xf numFmtId="177" fontId="30" fillId="5" borderId="11" xfId="0" applyNumberFormat="1" applyFont="1" applyFill="1" applyBorder="1" applyProtection="1">
      <protection locked="0"/>
    </xf>
    <xf numFmtId="10" fontId="6" fillId="0" borderId="0" xfId="58" applyNumberFormat="1" applyFont="1" applyFill="1" applyBorder="1" applyAlignment="1" applyProtection="1">
      <alignment horizontal="center"/>
    </xf>
    <xf numFmtId="172" fontId="6" fillId="5" borderId="0" xfId="0" applyNumberFormat="1" applyFont="1" applyFill="1" applyAlignment="1">
      <alignment horizontal="right"/>
    </xf>
    <xf numFmtId="183" fontId="6" fillId="0" borderId="0" xfId="56" applyNumberFormat="1" applyFont="1" applyBorder="1"/>
    <xf numFmtId="183" fontId="47" fillId="0" borderId="0" xfId="59" applyNumberFormat="1" applyFont="1"/>
    <xf numFmtId="183" fontId="47" fillId="0" borderId="0" xfId="56" applyNumberFormat="1" applyFont="1"/>
    <xf numFmtId="188" fontId="45" fillId="0" borderId="0" xfId="0" applyNumberFormat="1" applyFont="1"/>
    <xf numFmtId="10" fontId="4" fillId="0" borderId="1" xfId="0" applyNumberFormat="1" applyFont="1" applyBorder="1" applyAlignment="1">
      <alignment horizontal="center"/>
    </xf>
    <xf numFmtId="10" fontId="4" fillId="0" borderId="7" xfId="0" applyNumberFormat="1" applyFont="1" applyBorder="1" applyAlignment="1">
      <alignment horizontal="center"/>
    </xf>
    <xf numFmtId="44" fontId="48" fillId="0" borderId="0" xfId="57" applyFont="1"/>
    <xf numFmtId="2" fontId="6" fillId="0" borderId="0" xfId="0" applyNumberFormat="1" applyFont="1" applyAlignment="1">
      <alignment horizontal="right"/>
    </xf>
    <xf numFmtId="0" fontId="45" fillId="8" borderId="13" xfId="0" applyFont="1" applyFill="1" applyBorder="1"/>
    <xf numFmtId="187" fontId="45" fillId="10" borderId="15" xfId="0" applyNumberFormat="1" applyFont="1" applyFill="1" applyBorder="1"/>
    <xf numFmtId="187" fontId="45" fillId="8" borderId="13" xfId="0" applyNumberFormat="1" applyFont="1" applyFill="1" applyBorder="1"/>
    <xf numFmtId="183" fontId="6" fillId="0" borderId="0" xfId="56" applyNumberFormat="1" applyFont="1" applyAlignment="1">
      <alignment horizontal="center"/>
    </xf>
    <xf numFmtId="180" fontId="45" fillId="8" borderId="10" xfId="0" applyNumberFormat="1" applyFont="1" applyFill="1" applyBorder="1"/>
    <xf numFmtId="0" fontId="21" fillId="0" borderId="0" xfId="0" applyFont="1" applyAlignment="1">
      <alignment horizontal="left"/>
    </xf>
    <xf numFmtId="0" fontId="18" fillId="0" borderId="0" xfId="0" applyFont="1" applyAlignment="1">
      <alignment horizontal="centerContinuous"/>
    </xf>
    <xf numFmtId="0" fontId="18" fillId="0" borderId="1" xfId="0" quotePrefix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21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indent="1"/>
    </xf>
    <xf numFmtId="0" fontId="18" fillId="0" borderId="0" xfId="0" quotePrefix="1" applyFont="1" applyAlignment="1">
      <alignment horizontal="left" indent="1"/>
    </xf>
    <xf numFmtId="0" fontId="18" fillId="0" borderId="0" xfId="0" quotePrefix="1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18" fillId="0" borderId="0" xfId="0" quotePrefix="1" applyFont="1" applyAlignment="1">
      <alignment horizontal="left"/>
    </xf>
    <xf numFmtId="181" fontId="18" fillId="0" borderId="0" xfId="0" applyNumberFormat="1" applyFont="1" applyAlignment="1">
      <alignment horizontal="center"/>
    </xf>
    <xf numFmtId="181" fontId="20" fillId="0" borderId="0" xfId="0" applyNumberFormat="1" applyFont="1" applyAlignment="1">
      <alignment horizontal="center"/>
    </xf>
    <xf numFmtId="174" fontId="4" fillId="0" borderId="0" xfId="0" applyNumberFormat="1" applyFont="1" applyAlignment="1" applyProtection="1">
      <alignment horizontal="center"/>
      <protection locked="0"/>
    </xf>
    <xf numFmtId="166" fontId="4" fillId="0" borderId="0" xfId="0" applyNumberFormat="1" applyFont="1" applyProtection="1">
      <protection locked="0"/>
    </xf>
    <xf numFmtId="5" fontId="6" fillId="0" borderId="0" xfId="0" applyNumberFormat="1" applyFont="1"/>
    <xf numFmtId="7" fontId="6" fillId="0" borderId="0" xfId="0" applyNumberFormat="1" applyFont="1" applyProtection="1">
      <protection locked="0"/>
    </xf>
    <xf numFmtId="0" fontId="4" fillId="0" borderId="0" xfId="0" applyFont="1" applyProtection="1">
      <protection locked="0"/>
    </xf>
    <xf numFmtId="37" fontId="6" fillId="0" borderId="1" xfId="0" applyNumberFormat="1" applyFont="1" applyBorder="1" applyProtection="1">
      <protection locked="0"/>
    </xf>
    <xf numFmtId="165" fontId="4" fillId="0" borderId="0" xfId="0" applyNumberFormat="1" applyFont="1" applyProtection="1">
      <protection locked="0"/>
    </xf>
    <xf numFmtId="179" fontId="6" fillId="0" borderId="0" xfId="0" applyNumberFormat="1" applyFont="1" applyProtection="1">
      <protection locked="0"/>
    </xf>
    <xf numFmtId="10" fontId="6" fillId="0" borderId="0" xfId="58" applyNumberFormat="1" applyFont="1" applyProtection="1">
      <protection locked="0"/>
    </xf>
    <xf numFmtId="168" fontId="4" fillId="0" borderId="0" xfId="0" applyNumberFormat="1" applyFont="1" applyProtection="1">
      <protection locked="0"/>
    </xf>
    <xf numFmtId="177" fontId="6" fillId="0" borderId="0" xfId="0" applyNumberFormat="1" applyFont="1" applyProtection="1">
      <protection locked="0"/>
    </xf>
    <xf numFmtId="0" fontId="54" fillId="0" borderId="0" xfId="0" applyFont="1"/>
    <xf numFmtId="168" fontId="6" fillId="0" borderId="0" xfId="0" applyNumberFormat="1" applyFont="1" applyProtection="1">
      <protection locked="0"/>
    </xf>
    <xf numFmtId="166" fontId="6" fillId="0" borderId="0" xfId="0" applyNumberFormat="1" applyFont="1" applyProtection="1">
      <protection locked="0"/>
    </xf>
    <xf numFmtId="177" fontId="6" fillId="0" borderId="0" xfId="0" applyNumberFormat="1" applyFont="1"/>
    <xf numFmtId="181" fontId="54" fillId="0" borderId="0" xfId="0" applyNumberFormat="1" applyFont="1"/>
    <xf numFmtId="0" fontId="6" fillId="0" borderId="0" xfId="0" applyFont="1" applyProtection="1">
      <protection locked="0"/>
    </xf>
    <xf numFmtId="170" fontId="4" fillId="0" borderId="0" xfId="0" applyNumberFormat="1" applyFont="1" applyProtection="1">
      <protection locked="0"/>
    </xf>
    <xf numFmtId="165" fontId="6" fillId="0" borderId="0" xfId="0" applyNumberFormat="1" applyFont="1" applyProtection="1">
      <protection locked="0"/>
    </xf>
    <xf numFmtId="10" fontId="6" fillId="0" borderId="0" xfId="58" applyNumberFormat="1" applyFont="1" applyProtection="1"/>
    <xf numFmtId="181" fontId="6" fillId="0" borderId="0" xfId="0" applyNumberFormat="1" applyFont="1" applyProtection="1">
      <protection locked="0"/>
    </xf>
    <xf numFmtId="170" fontId="6" fillId="0" borderId="0" xfId="0" applyNumberFormat="1" applyFont="1" applyProtection="1">
      <protection locked="0"/>
    </xf>
    <xf numFmtId="169" fontId="6" fillId="0" borderId="0" xfId="0" applyNumberFormat="1" applyFont="1" applyProtection="1">
      <protection locked="0"/>
    </xf>
    <xf numFmtId="167" fontId="6" fillId="0" borderId="0" xfId="0" applyNumberFormat="1" applyFont="1" applyProtection="1">
      <protection locked="0"/>
    </xf>
    <xf numFmtId="164" fontId="6" fillId="0" borderId="0" xfId="0" applyNumberFormat="1" applyFont="1" applyProtection="1">
      <protection locked="0"/>
    </xf>
    <xf numFmtId="37" fontId="6" fillId="0" borderId="0" xfId="0" applyNumberFormat="1" applyFont="1" applyAlignment="1" applyProtection="1">
      <alignment horizontal="fill"/>
      <protection locked="0"/>
    </xf>
    <xf numFmtId="0" fontId="6" fillId="0" borderId="0" xfId="0" applyFont="1" applyAlignment="1" applyProtection="1">
      <alignment horizontal="left"/>
      <protection locked="0"/>
    </xf>
    <xf numFmtId="167" fontId="4" fillId="0" borderId="0" xfId="0" applyNumberFormat="1" applyFont="1" applyProtection="1">
      <protection locked="0"/>
    </xf>
    <xf numFmtId="164" fontId="4" fillId="0" borderId="0" xfId="0" applyNumberFormat="1" applyFont="1" applyProtection="1">
      <protection locked="0"/>
    </xf>
    <xf numFmtId="39" fontId="4" fillId="0" borderId="0" xfId="0" applyNumberFormat="1" applyFont="1" applyProtection="1">
      <protection locked="0"/>
    </xf>
    <xf numFmtId="37" fontId="6" fillId="0" borderId="1" xfId="0" applyNumberFormat="1" applyFont="1" applyBorder="1"/>
    <xf numFmtId="0" fontId="20" fillId="0" borderId="5" xfId="0" quotePrefix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181" fontId="20" fillId="0" borderId="5" xfId="0" applyNumberFormat="1" applyFont="1" applyBorder="1" applyAlignment="1">
      <alignment horizontal="center"/>
    </xf>
    <xf numFmtId="178" fontId="6" fillId="0" borderId="0" xfId="0" applyNumberFormat="1" applyFont="1"/>
    <xf numFmtId="10" fontId="6" fillId="0" borderId="0" xfId="0" applyNumberFormat="1" applyFont="1"/>
    <xf numFmtId="39" fontId="6" fillId="0" borderId="0" xfId="0" applyNumberFormat="1" applyFont="1" applyAlignment="1">
      <alignment horizontal="left"/>
    </xf>
    <xf numFmtId="0" fontId="6" fillId="0" borderId="0" xfId="0" quotePrefix="1" applyFont="1" applyAlignment="1">
      <alignment horizontal="right"/>
    </xf>
    <xf numFmtId="0" fontId="6" fillId="0" borderId="0" xfId="43" applyFont="1"/>
    <xf numFmtId="166" fontId="6" fillId="0" borderId="0" xfId="0" applyNumberFormat="1" applyFont="1" applyAlignment="1">
      <alignment horizontal="right"/>
    </xf>
    <xf numFmtId="39" fontId="4" fillId="0" borderId="0" xfId="0" quotePrefix="1" applyNumberFormat="1" applyFont="1"/>
    <xf numFmtId="183" fontId="6" fillId="0" borderId="0" xfId="56" applyNumberFormat="1" applyFont="1" applyFill="1" applyBorder="1" applyAlignment="1"/>
    <xf numFmtId="0" fontId="6" fillId="0" borderId="0" xfId="1" applyFont="1"/>
    <xf numFmtId="0" fontId="6" fillId="0" borderId="0" xfId="13" applyFont="1"/>
    <xf numFmtId="0" fontId="6" fillId="0" borderId="0" xfId="16" applyFont="1"/>
    <xf numFmtId="0" fontId="6" fillId="0" borderId="0" xfId="17" quotePrefix="1" applyFont="1" applyAlignment="1">
      <alignment horizontal="left"/>
    </xf>
    <xf numFmtId="0" fontId="6" fillId="0" borderId="0" xfId="17" applyFont="1"/>
    <xf numFmtId="0" fontId="6" fillId="0" borderId="0" xfId="19" quotePrefix="1" applyFont="1" applyAlignment="1">
      <alignment horizontal="left"/>
    </xf>
    <xf numFmtId="0" fontId="6" fillId="0" borderId="0" xfId="19" applyFont="1"/>
    <xf numFmtId="0" fontId="20" fillId="0" borderId="0" xfId="0" applyFont="1"/>
    <xf numFmtId="181" fontId="20" fillId="0" borderId="0" xfId="0" applyNumberFormat="1" applyFont="1"/>
    <xf numFmtId="39" fontId="20" fillId="0" borderId="0" xfId="0" applyNumberFormat="1" applyFont="1"/>
    <xf numFmtId="0" fontId="6" fillId="0" borderId="0" xfId="46" applyFont="1"/>
    <xf numFmtId="0" fontId="6" fillId="0" borderId="0" xfId="21" applyFont="1" applyAlignment="1">
      <alignment horizontal="left"/>
    </xf>
    <xf numFmtId="0" fontId="6" fillId="0" borderId="0" xfId="21" applyFont="1"/>
    <xf numFmtId="0" fontId="6" fillId="0" borderId="0" xfId="21" quotePrefix="1" applyFont="1" applyAlignment="1">
      <alignment horizontal="left"/>
    </xf>
    <xf numFmtId="2" fontId="4" fillId="0" borderId="0" xfId="0" applyNumberFormat="1" applyFont="1" applyAlignment="1">
      <alignment horizontal="right"/>
    </xf>
    <xf numFmtId="169" fontId="4" fillId="0" borderId="8" xfId="0" applyNumberFormat="1" applyFont="1" applyBorder="1"/>
    <xf numFmtId="175" fontId="4" fillId="0" borderId="0" xfId="0" applyNumberFormat="1" applyFont="1"/>
    <xf numFmtId="0" fontId="6" fillId="0" borderId="0" xfId="25" applyFont="1"/>
    <xf numFmtId="0" fontId="6" fillId="0" borderId="0" xfId="30" applyFont="1"/>
    <xf numFmtId="0" fontId="6" fillId="0" borderId="0" xfId="31" applyFont="1"/>
    <xf numFmtId="0" fontId="6" fillId="0" borderId="0" xfId="39" applyFont="1"/>
    <xf numFmtId="0" fontId="15" fillId="0" borderId="0" xfId="0" applyFont="1"/>
    <xf numFmtId="181" fontId="15" fillId="0" borderId="0" xfId="0" applyNumberFormat="1" applyFont="1" applyAlignment="1">
      <alignment horizontal="right"/>
    </xf>
    <xf numFmtId="0" fontId="6" fillId="0" borderId="0" xfId="28" applyFont="1" applyAlignment="1">
      <alignment horizontal="left"/>
    </xf>
    <xf numFmtId="0" fontId="6" fillId="0" borderId="0" xfId="28" applyFont="1"/>
    <xf numFmtId="0" fontId="6" fillId="0" borderId="0" xfId="33" applyFont="1"/>
    <xf numFmtId="0" fontId="6" fillId="0" borderId="0" xfId="35" applyFont="1"/>
    <xf numFmtId="0" fontId="6" fillId="0" borderId="0" xfId="37" applyFont="1"/>
    <xf numFmtId="37" fontId="4" fillId="0" borderId="5" xfId="0" applyNumberFormat="1" applyFont="1" applyBorder="1"/>
    <xf numFmtId="181" fontId="4" fillId="0" borderId="8" xfId="0" applyNumberFormat="1" applyFont="1" applyBorder="1"/>
    <xf numFmtId="181" fontId="4" fillId="0" borderId="8" xfId="0" applyNumberFormat="1" applyFont="1" applyBorder="1" applyAlignment="1">
      <alignment horizontal="right"/>
    </xf>
    <xf numFmtId="188" fontId="6" fillId="0" borderId="0" xfId="0" applyNumberFormat="1" applyFont="1"/>
    <xf numFmtId="10" fontId="6" fillId="0" borderId="0" xfId="58" applyNumberFormat="1" applyFont="1" applyFill="1" applyBorder="1"/>
    <xf numFmtId="175" fontId="6" fillId="0" borderId="0" xfId="0" applyNumberFormat="1" applyFont="1"/>
    <xf numFmtId="0" fontId="18" fillId="0" borderId="0" xfId="0" applyFont="1" applyAlignment="1">
      <alignment horizontal="left" vertical="center"/>
    </xf>
    <xf numFmtId="172" fontId="6" fillId="0" borderId="0" xfId="0" applyNumberFormat="1" applyFont="1"/>
    <xf numFmtId="173" fontId="6" fillId="0" borderId="0" xfId="0" applyNumberFormat="1" applyFont="1"/>
    <xf numFmtId="176" fontId="4" fillId="0" borderId="0" xfId="0" applyNumberFormat="1" applyFont="1"/>
    <xf numFmtId="172" fontId="6" fillId="0" borderId="0" xfId="0" applyNumberFormat="1" applyFont="1" applyAlignment="1">
      <alignment horizontal="right"/>
    </xf>
    <xf numFmtId="174" fontId="4" fillId="0" borderId="0" xfId="0" applyNumberFormat="1" applyFont="1"/>
    <xf numFmtId="37" fontId="6" fillId="0" borderId="0" xfId="0" applyNumberFormat="1" applyFont="1" applyAlignment="1">
      <alignment horizontal="left"/>
    </xf>
    <xf numFmtId="170" fontId="4" fillId="0" borderId="6" xfId="0" applyNumberFormat="1" applyFont="1" applyBorder="1"/>
    <xf numFmtId="0" fontId="18" fillId="0" borderId="5" xfId="0" applyFont="1" applyBorder="1" applyAlignment="1">
      <alignment horizontal="center"/>
    </xf>
    <xf numFmtId="0" fontId="18" fillId="0" borderId="5" xfId="0" quotePrefix="1" applyFont="1" applyBorder="1" applyAlignment="1">
      <alignment horizontal="center"/>
    </xf>
    <xf numFmtId="181" fontId="18" fillId="0" borderId="5" xfId="0" applyNumberFormat="1" applyFont="1" applyBorder="1" applyAlignment="1">
      <alignment horizontal="center"/>
    </xf>
    <xf numFmtId="37" fontId="55" fillId="0" borderId="0" xfId="0" applyNumberFormat="1" applyFont="1"/>
    <xf numFmtId="179" fontId="6" fillId="0" borderId="0" xfId="0" applyNumberFormat="1" applyFont="1"/>
    <xf numFmtId="37" fontId="6" fillId="0" borderId="6" xfId="0" applyNumberFormat="1" applyFont="1" applyBorder="1"/>
    <xf numFmtId="39" fontId="6" fillId="0" borderId="0" xfId="0" applyNumberFormat="1" applyFont="1" applyAlignment="1">
      <alignment horizontal="centerContinuous"/>
    </xf>
    <xf numFmtId="170" fontId="6" fillId="0" borderId="0" xfId="0" applyNumberFormat="1" applyFont="1" applyAlignment="1">
      <alignment horizontal="right"/>
    </xf>
    <xf numFmtId="0" fontId="4" fillId="0" borderId="6" xfId="0" applyFont="1" applyBorder="1"/>
    <xf numFmtId="39" fontId="20" fillId="0" borderId="0" xfId="0" quotePrefix="1" applyNumberFormat="1" applyFont="1" applyAlignment="1">
      <alignment horizontal="center"/>
    </xf>
    <xf numFmtId="182" fontId="6" fillId="0" borderId="0" xfId="0" applyNumberFormat="1" applyFont="1" applyProtection="1">
      <protection locked="0"/>
    </xf>
    <xf numFmtId="180" fontId="6" fillId="0" borderId="0" xfId="0" applyNumberFormat="1" applyFont="1"/>
    <xf numFmtId="190" fontId="45" fillId="0" borderId="0" xfId="62" applyNumberFormat="1" applyFont="1"/>
    <xf numFmtId="0" fontId="46" fillId="0" borderId="0" xfId="62" applyFont="1" applyAlignment="1">
      <alignment horizontal="center" vertical="center"/>
    </xf>
    <xf numFmtId="0" fontId="46" fillId="0" borderId="0" xfId="62" applyFont="1" applyAlignment="1">
      <alignment horizontal="center" vertical="center" wrapText="1"/>
    </xf>
    <xf numFmtId="189" fontId="46" fillId="0" borderId="0" xfId="62" applyNumberFormat="1" applyFont="1" applyAlignment="1">
      <alignment horizontal="center"/>
    </xf>
    <xf numFmtId="0" fontId="46" fillId="0" borderId="0" xfId="62" applyFont="1" applyAlignment="1">
      <alignment horizontal="center"/>
    </xf>
    <xf numFmtId="0" fontId="6" fillId="0" borderId="0" xfId="47" applyFont="1"/>
    <xf numFmtId="0" fontId="6" fillId="0" borderId="0" xfId="0" quotePrefix="1" applyFont="1" applyAlignment="1">
      <alignment horizontal="centerContinuous"/>
    </xf>
    <xf numFmtId="170" fontId="4" fillId="0" borderId="7" xfId="0" applyNumberFormat="1" applyFont="1" applyBorder="1"/>
    <xf numFmtId="183" fontId="6" fillId="0" borderId="1" xfId="56" applyNumberFormat="1" applyFont="1" applyFill="1" applyBorder="1" applyAlignment="1">
      <alignment horizontal="center"/>
    </xf>
    <xf numFmtId="175" fontId="4" fillId="0" borderId="7" xfId="0" applyNumberFormat="1" applyFont="1" applyBorder="1"/>
    <xf numFmtId="37" fontId="4" fillId="0" borderId="8" xfId="0" applyNumberFormat="1" applyFont="1" applyBorder="1" applyProtection="1">
      <protection locked="0"/>
    </xf>
    <xf numFmtId="10" fontId="6" fillId="0" borderId="0" xfId="58" applyNumberFormat="1" applyFont="1" applyFill="1"/>
    <xf numFmtId="0" fontId="6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39" fontId="4" fillId="0" borderId="0" xfId="0" quotePrefix="1" applyNumberFormat="1" applyFont="1" applyAlignment="1">
      <alignment horizontal="right"/>
    </xf>
    <xf numFmtId="0" fontId="20" fillId="0" borderId="1" xfId="0" applyFont="1" applyBorder="1" applyAlignment="1">
      <alignment horizontal="center"/>
    </xf>
    <xf numFmtId="0" fontId="44" fillId="0" borderId="0" xfId="0" applyFont="1"/>
    <xf numFmtId="9" fontId="45" fillId="0" borderId="0" xfId="58" applyFont="1" applyFill="1"/>
    <xf numFmtId="0" fontId="46" fillId="0" borderId="0" xfId="0" applyFont="1"/>
    <xf numFmtId="0" fontId="45" fillId="0" borderId="0" xfId="0" quotePrefix="1" applyFont="1"/>
    <xf numFmtId="183" fontId="45" fillId="0" borderId="0" xfId="56" applyNumberFormat="1" applyFont="1" applyFill="1" applyAlignment="1">
      <alignment wrapText="1"/>
    </xf>
    <xf numFmtId="184" fontId="45" fillId="0" borderId="0" xfId="58" applyNumberFormat="1" applyFont="1" applyFill="1"/>
    <xf numFmtId="185" fontId="45" fillId="0" borderId="0" xfId="57" applyNumberFormat="1" applyFont="1" applyFill="1"/>
    <xf numFmtId="183" fontId="45" fillId="0" borderId="0" xfId="56" applyNumberFormat="1" applyFont="1" applyFill="1"/>
    <xf numFmtId="43" fontId="45" fillId="0" borderId="0" xfId="0" applyNumberFormat="1" applyFont="1"/>
    <xf numFmtId="183" fontId="45" fillId="0" borderId="0" xfId="0" applyNumberFormat="1" applyFont="1"/>
    <xf numFmtId="0" fontId="45" fillId="0" borderId="16" xfId="0" applyFont="1" applyBorder="1"/>
    <xf numFmtId="10" fontId="45" fillId="0" borderId="17" xfId="58" applyNumberFormat="1" applyFont="1" applyFill="1" applyBorder="1"/>
    <xf numFmtId="185" fontId="45" fillId="0" borderId="17" xfId="57" applyNumberFormat="1" applyFont="1" applyFill="1" applyBorder="1"/>
    <xf numFmtId="185" fontId="45" fillId="0" borderId="18" xfId="0" applyNumberFormat="1" applyFont="1" applyBorder="1"/>
    <xf numFmtId="188" fontId="45" fillId="0" borderId="0" xfId="58" applyNumberFormat="1" applyFont="1" applyFill="1"/>
    <xf numFmtId="0" fontId="45" fillId="0" borderId="18" xfId="0" applyFont="1" applyBorder="1"/>
    <xf numFmtId="0" fontId="45" fillId="0" borderId="0" xfId="0" quotePrefix="1" applyFont="1" applyAlignment="1">
      <alignment horizontal="left"/>
    </xf>
    <xf numFmtId="189" fontId="4" fillId="0" borderId="0" xfId="0" applyNumberFormat="1" applyFont="1"/>
    <xf numFmtId="183" fontId="4" fillId="0" borderId="0" xfId="56" applyNumberFormat="1" applyFont="1" applyFill="1"/>
    <xf numFmtId="189" fontId="4" fillId="0" borderId="0" xfId="58" applyNumberFormat="1" applyFont="1" applyFill="1"/>
    <xf numFmtId="0" fontId="39" fillId="0" borderId="0" xfId="0" applyFont="1"/>
    <xf numFmtId="0" fontId="40" fillId="0" borderId="0" xfId="0" applyFont="1"/>
    <xf numFmtId="0" fontId="40" fillId="0" borderId="0" xfId="0" applyFont="1" applyAlignment="1">
      <alignment horizontal="center" wrapText="1"/>
    </xf>
    <xf numFmtId="0" fontId="39" fillId="0" borderId="0" xfId="0" applyFont="1" applyAlignment="1">
      <alignment horizontal="center"/>
    </xf>
    <xf numFmtId="185" fontId="39" fillId="0" borderId="0" xfId="57" applyNumberFormat="1" applyFont="1" applyFill="1"/>
    <xf numFmtId="37" fontId="39" fillId="0" borderId="0" xfId="0" applyNumberFormat="1" applyFont="1"/>
    <xf numFmtId="9" fontId="39" fillId="0" borderId="0" xfId="58" applyFont="1" applyFill="1"/>
    <xf numFmtId="0" fontId="56" fillId="0" borderId="0" xfId="0" applyFont="1" applyAlignment="1">
      <alignment horizontal="centerContinuous"/>
    </xf>
    <xf numFmtId="0" fontId="56" fillId="0" borderId="0" xfId="0" applyFont="1"/>
    <xf numFmtId="181" fontId="56" fillId="0" borderId="0" xfId="0" applyNumberFormat="1" applyFont="1"/>
    <xf numFmtId="0" fontId="56" fillId="0" borderId="0" xfId="0" applyFont="1" applyAlignment="1">
      <alignment horizontal="left"/>
    </xf>
    <xf numFmtId="181" fontId="56" fillId="0" borderId="0" xfId="0" applyNumberFormat="1" applyFont="1" applyAlignment="1">
      <alignment horizontal="left"/>
    </xf>
    <xf numFmtId="0" fontId="56" fillId="0" borderId="0" xfId="0" quotePrefix="1" applyFont="1" applyAlignment="1">
      <alignment horizontal="left"/>
    </xf>
    <xf numFmtId="0" fontId="57" fillId="0" borderId="0" xfId="0" applyFont="1" applyAlignment="1">
      <alignment horizontal="left"/>
    </xf>
    <xf numFmtId="0" fontId="56" fillId="0" borderId="1" xfId="0" applyFont="1" applyBorder="1" applyAlignment="1">
      <alignment horizontal="fill"/>
    </xf>
    <xf numFmtId="0" fontId="56" fillId="0" borderId="0" xfId="0" applyFont="1" applyAlignment="1">
      <alignment horizontal="fill"/>
    </xf>
    <xf numFmtId="181" fontId="56" fillId="0" borderId="0" xfId="0" applyNumberFormat="1" applyFont="1" applyAlignment="1">
      <alignment horizontal="fill"/>
    </xf>
    <xf numFmtId="0" fontId="56" fillId="0" borderId="0" xfId="0" applyFont="1" applyAlignment="1">
      <alignment horizontal="center"/>
    </xf>
    <xf numFmtId="181" fontId="56" fillId="0" borderId="0" xfId="0" applyNumberFormat="1" applyFont="1" applyAlignment="1">
      <alignment horizontal="center"/>
    </xf>
    <xf numFmtId="0" fontId="57" fillId="0" borderId="0" xfId="0" applyFont="1" applyAlignment="1">
      <alignment horizontal="center"/>
    </xf>
    <xf numFmtId="0" fontId="57" fillId="0" borderId="0" xfId="0" applyFont="1"/>
    <xf numFmtId="0" fontId="58" fillId="0" borderId="0" xfId="0" quotePrefix="1" applyFont="1" applyAlignment="1">
      <alignment horizontal="center"/>
    </xf>
    <xf numFmtId="0" fontId="58" fillId="0" borderId="0" xfId="0" applyFont="1" applyAlignment="1">
      <alignment horizontal="center"/>
    </xf>
    <xf numFmtId="0" fontId="59" fillId="0" borderId="0" xfId="0" applyFont="1"/>
    <xf numFmtId="0" fontId="60" fillId="0" borderId="0" xfId="0" applyFont="1"/>
    <xf numFmtId="37" fontId="56" fillId="0" borderId="0" xfId="0" applyNumberFormat="1" applyFont="1"/>
    <xf numFmtId="7" fontId="56" fillId="0" borderId="0" xfId="0" applyNumberFormat="1" applyFont="1" applyProtection="1">
      <protection locked="0"/>
    </xf>
    <xf numFmtId="169" fontId="56" fillId="0" borderId="0" xfId="0" applyNumberFormat="1" applyFont="1"/>
    <xf numFmtId="7" fontId="56" fillId="0" borderId="0" xfId="0" applyNumberFormat="1" applyFont="1"/>
    <xf numFmtId="37" fontId="59" fillId="0" borderId="0" xfId="0" applyNumberFormat="1" applyFont="1"/>
    <xf numFmtId="169" fontId="59" fillId="0" borderId="0" xfId="0" applyNumberFormat="1" applyFont="1"/>
    <xf numFmtId="37" fontId="56" fillId="0" borderId="0" xfId="0" applyNumberFormat="1" applyFont="1" applyProtection="1">
      <protection locked="0"/>
    </xf>
    <xf numFmtId="37" fontId="59" fillId="0" borderId="0" xfId="0" applyNumberFormat="1" applyFont="1" applyProtection="1">
      <protection locked="0"/>
    </xf>
    <xf numFmtId="7" fontId="59" fillId="0" borderId="0" xfId="0" applyNumberFormat="1" applyFont="1" applyProtection="1">
      <protection locked="0"/>
    </xf>
    <xf numFmtId="37" fontId="56" fillId="0" borderId="0" xfId="0" applyNumberFormat="1" applyFont="1" applyAlignment="1">
      <alignment horizontal="right"/>
    </xf>
    <xf numFmtId="37" fontId="59" fillId="0" borderId="7" xfId="0" applyNumberFormat="1" applyFont="1" applyBorder="1"/>
    <xf numFmtId="166" fontId="59" fillId="0" borderId="0" xfId="0" applyNumberFormat="1" applyFont="1" applyProtection="1">
      <protection locked="0"/>
    </xf>
    <xf numFmtId="169" fontId="59" fillId="0" borderId="7" xfId="0" applyNumberFormat="1" applyFont="1" applyBorder="1"/>
    <xf numFmtId="168" fontId="56" fillId="0" borderId="0" xfId="0" applyNumberFormat="1" applyFont="1" applyProtection="1">
      <protection locked="0"/>
    </xf>
    <xf numFmtId="166" fontId="56" fillId="0" borderId="0" xfId="0" applyNumberFormat="1" applyFont="1" applyProtection="1">
      <protection locked="0"/>
    </xf>
    <xf numFmtId="181" fontId="56" fillId="0" borderId="0" xfId="0" applyNumberFormat="1" applyFont="1" applyAlignment="1">
      <alignment horizontal="right"/>
    </xf>
    <xf numFmtId="183" fontId="56" fillId="0" borderId="0" xfId="56" applyNumberFormat="1" applyFont="1" applyBorder="1"/>
    <xf numFmtId="0" fontId="57" fillId="0" borderId="0" xfId="0" quotePrefix="1" applyFont="1" applyAlignment="1">
      <alignment horizontal="left"/>
    </xf>
    <xf numFmtId="166" fontId="59" fillId="0" borderId="0" xfId="0" applyNumberFormat="1" applyFont="1"/>
    <xf numFmtId="177" fontId="56" fillId="0" borderId="0" xfId="0" applyNumberFormat="1" applyFont="1" applyProtection="1">
      <protection locked="0"/>
    </xf>
    <xf numFmtId="165" fontId="59" fillId="0" borderId="0" xfId="0" applyNumberFormat="1" applyFont="1" applyProtection="1">
      <protection locked="0"/>
    </xf>
    <xf numFmtId="37" fontId="59" fillId="0" borderId="1" xfId="0" applyNumberFormat="1" applyFont="1" applyBorder="1" applyProtection="1">
      <protection locked="0"/>
    </xf>
    <xf numFmtId="37" fontId="59" fillId="0" borderId="1" xfId="0" applyNumberFormat="1" applyFont="1" applyBorder="1"/>
    <xf numFmtId="177" fontId="59" fillId="0" borderId="0" xfId="0" applyNumberFormat="1" applyFont="1"/>
    <xf numFmtId="0" fontId="56" fillId="0" borderId="0" xfId="0" applyFont="1" applyAlignment="1">
      <alignment horizontal="left" indent="1"/>
    </xf>
    <xf numFmtId="177" fontId="56" fillId="0" borderId="0" xfId="0" applyNumberFormat="1" applyFont="1"/>
    <xf numFmtId="181" fontId="59" fillId="0" borderId="0" xfId="0" applyNumberFormat="1" applyFont="1"/>
    <xf numFmtId="10" fontId="56" fillId="0" borderId="0" xfId="58" applyNumberFormat="1" applyFont="1" applyProtection="1">
      <protection locked="0"/>
    </xf>
    <xf numFmtId="181" fontId="59" fillId="0" borderId="1" xfId="0" applyNumberFormat="1" applyFont="1" applyBorder="1"/>
    <xf numFmtId="181" fontId="59" fillId="0" borderId="7" xfId="0" applyNumberFormat="1" applyFont="1" applyBorder="1"/>
    <xf numFmtId="37" fontId="59" fillId="0" borderId="6" xfId="0" applyNumberFormat="1" applyFont="1" applyBorder="1"/>
    <xf numFmtId="169" fontId="59" fillId="0" borderId="6" xfId="0" applyNumberFormat="1" applyFont="1" applyBorder="1"/>
    <xf numFmtId="0" fontId="58" fillId="0" borderId="0" xfId="0" applyFont="1" applyAlignment="1">
      <alignment horizontal="left"/>
    </xf>
    <xf numFmtId="166" fontId="56" fillId="0" borderId="0" xfId="0" applyNumberFormat="1" applyFont="1"/>
    <xf numFmtId="37" fontId="56" fillId="0" borderId="0" xfId="1" applyNumberFormat="1" applyFont="1"/>
    <xf numFmtId="181" fontId="56" fillId="0" borderId="0" xfId="0" applyNumberFormat="1" applyFont="1" applyAlignment="1">
      <alignment horizontal="centerContinuous"/>
    </xf>
    <xf numFmtId="0" fontId="56" fillId="0" borderId="0" xfId="10" applyFont="1"/>
    <xf numFmtId="181" fontId="56" fillId="0" borderId="1" xfId="0" applyNumberFormat="1" applyFont="1" applyBorder="1" applyAlignment="1">
      <alignment horizontal="fill"/>
    </xf>
    <xf numFmtId="181" fontId="57" fillId="0" borderId="0" xfId="0" applyNumberFormat="1" applyFont="1" applyAlignment="1">
      <alignment horizontal="center"/>
    </xf>
    <xf numFmtId="181" fontId="58" fillId="0" borderId="0" xfId="0" applyNumberFormat="1" applyFont="1" applyAlignment="1">
      <alignment horizontal="center"/>
    </xf>
    <xf numFmtId="181" fontId="60" fillId="0" borderId="0" xfId="0" applyNumberFormat="1" applyFont="1"/>
    <xf numFmtId="170" fontId="59" fillId="0" borderId="0" xfId="0" applyNumberFormat="1" applyFont="1"/>
    <xf numFmtId="181" fontId="59" fillId="0" borderId="0" xfId="0" applyNumberFormat="1" applyFont="1" applyAlignment="1">
      <alignment horizontal="right"/>
    </xf>
    <xf numFmtId="0" fontId="56" fillId="0" borderId="0" xfId="0" applyFont="1" applyProtection="1">
      <protection locked="0"/>
    </xf>
    <xf numFmtId="181" fontId="59" fillId="0" borderId="1" xfId="0" applyNumberFormat="1" applyFont="1" applyBorder="1" applyAlignment="1">
      <alignment horizontal="right"/>
    </xf>
    <xf numFmtId="181" fontId="59" fillId="0" borderId="7" xfId="0" applyNumberFormat="1" applyFont="1" applyBorder="1" applyAlignment="1">
      <alignment horizontal="right"/>
    </xf>
    <xf numFmtId="181" fontId="59" fillId="0" borderId="0" xfId="0" applyNumberFormat="1" applyFont="1" applyProtection="1">
      <protection locked="0"/>
    </xf>
    <xf numFmtId="170" fontId="59" fillId="0" borderId="0" xfId="0" applyNumberFormat="1" applyFont="1" applyProtection="1">
      <protection locked="0"/>
    </xf>
    <xf numFmtId="165" fontId="56" fillId="0" borderId="0" xfId="0" applyNumberFormat="1" applyFont="1" applyProtection="1">
      <protection locked="0"/>
    </xf>
    <xf numFmtId="168" fontId="59" fillId="0" borderId="0" xfId="0" applyNumberFormat="1" applyFont="1" applyProtection="1">
      <protection locked="0"/>
    </xf>
    <xf numFmtId="0" fontId="56" fillId="0" borderId="16" xfId="0" applyFont="1" applyBorder="1"/>
    <xf numFmtId="0" fontId="56" fillId="0" borderId="17" xfId="0" applyFont="1" applyBorder="1"/>
    <xf numFmtId="0" fontId="56" fillId="0" borderId="18" xfId="0" applyFont="1" applyBorder="1"/>
    <xf numFmtId="10" fontId="56" fillId="0" borderId="0" xfId="58" applyNumberFormat="1" applyFont="1" applyProtection="1"/>
    <xf numFmtId="181" fontId="59" fillId="0" borderId="6" xfId="0" applyNumberFormat="1" applyFont="1" applyBorder="1"/>
    <xf numFmtId="181" fontId="59" fillId="0" borderId="6" xfId="0" applyNumberFormat="1" applyFont="1" applyBorder="1" applyAlignment="1">
      <alignment horizontal="right"/>
    </xf>
    <xf numFmtId="181" fontId="56" fillId="0" borderId="0" xfId="0" applyNumberFormat="1" applyFont="1" applyProtection="1">
      <protection locked="0"/>
    </xf>
    <xf numFmtId="170" fontId="56" fillId="0" borderId="0" xfId="0" applyNumberFormat="1" applyFont="1" applyProtection="1">
      <protection locked="0"/>
    </xf>
    <xf numFmtId="169" fontId="56" fillId="0" borderId="0" xfId="0" applyNumberFormat="1" applyFont="1" applyProtection="1">
      <protection locked="0"/>
    </xf>
    <xf numFmtId="170" fontId="56" fillId="0" borderId="0" xfId="0" applyNumberFormat="1" applyFont="1"/>
    <xf numFmtId="167" fontId="56" fillId="0" borderId="0" xfId="0" applyNumberFormat="1" applyFont="1" applyProtection="1">
      <protection locked="0"/>
    </xf>
    <xf numFmtId="39" fontId="56" fillId="0" borderId="0" xfId="0" applyNumberFormat="1" applyFont="1" applyProtection="1">
      <protection locked="0"/>
    </xf>
    <xf numFmtId="164" fontId="56" fillId="0" borderId="0" xfId="0" applyNumberFormat="1" applyFont="1" applyProtection="1">
      <protection locked="0"/>
    </xf>
    <xf numFmtId="7" fontId="56" fillId="0" borderId="0" xfId="0" applyNumberFormat="1" applyFont="1" applyAlignment="1">
      <alignment horizontal="center"/>
    </xf>
    <xf numFmtId="37" fontId="56" fillId="0" borderId="0" xfId="0" applyNumberFormat="1" applyFont="1" applyAlignment="1">
      <alignment horizontal="fill"/>
    </xf>
    <xf numFmtId="37" fontId="56" fillId="0" borderId="0" xfId="0" applyNumberFormat="1" applyFont="1" applyAlignment="1" applyProtection="1">
      <alignment horizontal="fill"/>
      <protection locked="0"/>
    </xf>
    <xf numFmtId="169" fontId="56" fillId="0" borderId="0" xfId="0" applyNumberFormat="1" applyFont="1" applyAlignment="1">
      <alignment horizontal="fill"/>
    </xf>
    <xf numFmtId="39" fontId="56" fillId="0" borderId="0" xfId="0" applyNumberFormat="1" applyFont="1"/>
    <xf numFmtId="39" fontId="56" fillId="0" borderId="0" xfId="0" applyNumberFormat="1" applyFont="1" applyAlignment="1">
      <alignment horizontal="fill"/>
    </xf>
    <xf numFmtId="39" fontId="56" fillId="0" borderId="0" xfId="0" applyNumberFormat="1" applyFont="1" applyAlignment="1">
      <alignment horizontal="center"/>
    </xf>
    <xf numFmtId="171" fontId="56" fillId="0" borderId="0" xfId="0" applyNumberFormat="1" applyFont="1"/>
    <xf numFmtId="0" fontId="56" fillId="0" borderId="0" xfId="0" applyFont="1" applyAlignment="1" applyProtection="1">
      <alignment horizontal="left"/>
      <protection locked="0"/>
    </xf>
    <xf numFmtId="37" fontId="59" fillId="0" borderId="7" xfId="0" applyNumberFormat="1" applyFont="1" applyBorder="1" applyProtection="1">
      <protection locked="0"/>
    </xf>
    <xf numFmtId="172" fontId="56" fillId="0" borderId="0" xfId="0" applyNumberFormat="1" applyFont="1" applyProtection="1">
      <protection locked="0"/>
    </xf>
    <xf numFmtId="0" fontId="56" fillId="0" borderId="0" xfId="0" quotePrefix="1" applyFont="1" applyAlignment="1">
      <alignment horizontal="center"/>
    </xf>
    <xf numFmtId="181" fontId="56" fillId="0" borderId="0" xfId="0" quotePrefix="1" applyNumberFormat="1" applyFont="1" applyAlignment="1">
      <alignment horizontal="center"/>
    </xf>
    <xf numFmtId="0" fontId="28" fillId="0" borderId="0" xfId="70" quotePrefix="1" applyFont="1"/>
    <xf numFmtId="0" fontId="52" fillId="0" borderId="0" xfId="70" applyFont="1"/>
    <xf numFmtId="0" fontId="28" fillId="0" borderId="0" xfId="70" applyFont="1"/>
    <xf numFmtId="0" fontId="28" fillId="0" borderId="0" xfId="70" applyFont="1" applyAlignment="1">
      <alignment horizontal="center"/>
    </xf>
    <xf numFmtId="0" fontId="28" fillId="0" borderId="0" xfId="70" applyFont="1" applyAlignment="1">
      <alignment horizontal="left"/>
    </xf>
    <xf numFmtId="0" fontId="64" fillId="0" borderId="0" xfId="70" applyFont="1"/>
    <xf numFmtId="0" fontId="28" fillId="11" borderId="26" xfId="70" applyFont="1" applyFill="1" applyBorder="1" applyAlignment="1">
      <alignment horizontal="centerContinuous"/>
    </xf>
    <xf numFmtId="0" fontId="28" fillId="11" borderId="7" xfId="70" applyFont="1" applyFill="1" applyBorder="1" applyAlignment="1" applyProtection="1">
      <alignment horizontal="centerContinuous"/>
      <protection locked="0"/>
    </xf>
    <xf numFmtId="0" fontId="28" fillId="11" borderId="27" xfId="70" applyFont="1" applyFill="1" applyBorder="1" applyAlignment="1" applyProtection="1">
      <alignment horizontal="centerContinuous"/>
      <protection locked="0"/>
    </xf>
    <xf numFmtId="0" fontId="28" fillId="0" borderId="1" xfId="70" applyFont="1" applyBorder="1" applyAlignment="1">
      <alignment horizontal="center"/>
    </xf>
    <xf numFmtId="0" fontId="28" fillId="0" borderId="1" xfId="70" applyFont="1" applyBorder="1"/>
    <xf numFmtId="0" fontId="64" fillId="12" borderId="1" xfId="70" applyFont="1" applyFill="1" applyBorder="1" applyAlignment="1">
      <alignment horizontal="center"/>
    </xf>
    <xf numFmtId="0" fontId="64" fillId="11" borderId="28" xfId="70" applyFont="1" applyFill="1" applyBorder="1" applyAlignment="1">
      <alignment horizontal="center"/>
    </xf>
    <xf numFmtId="0" fontId="64" fillId="11" borderId="1" xfId="70" applyFont="1" applyFill="1" applyBorder="1" applyAlignment="1">
      <alignment horizontal="center"/>
    </xf>
    <xf numFmtId="0" fontId="64" fillId="11" borderId="25" xfId="70" applyFont="1" applyFill="1" applyBorder="1" applyAlignment="1">
      <alignment horizontal="center"/>
    </xf>
    <xf numFmtId="0" fontId="28" fillId="0" borderId="0" xfId="70" applyFont="1" applyAlignment="1">
      <alignment horizontal="right"/>
    </xf>
    <xf numFmtId="0" fontId="65" fillId="12" borderId="23" xfId="70" applyFont="1" applyFill="1" applyBorder="1" applyAlignment="1" applyProtection="1">
      <alignment horizontal="center"/>
      <protection locked="0"/>
    </xf>
    <xf numFmtId="0" fontId="65" fillId="12" borderId="0" xfId="70" applyFont="1" applyFill="1" applyAlignment="1" applyProtection="1">
      <alignment horizontal="center"/>
      <protection locked="0"/>
    </xf>
    <xf numFmtId="0" fontId="65" fillId="12" borderId="24" xfId="70" applyFont="1" applyFill="1" applyBorder="1" applyAlignment="1" applyProtection="1">
      <alignment horizontal="center"/>
      <protection locked="0"/>
    </xf>
    <xf numFmtId="0" fontId="52" fillId="0" borderId="0" xfId="70" applyFont="1" applyAlignment="1">
      <alignment horizontal="center"/>
    </xf>
    <xf numFmtId="0" fontId="52" fillId="11" borderId="23" xfId="70" applyFont="1" applyFill="1" applyBorder="1"/>
    <xf numFmtId="0" fontId="52" fillId="11" borderId="0" xfId="70" applyFont="1" applyFill="1"/>
    <xf numFmtId="0" fontId="52" fillId="11" borderId="24" xfId="70" applyFont="1" applyFill="1" applyBorder="1"/>
    <xf numFmtId="37" fontId="52" fillId="0" borderId="0" xfId="70" applyNumberFormat="1" applyFont="1"/>
    <xf numFmtId="37" fontId="52" fillId="11" borderId="23" xfId="70" applyNumberFormat="1" applyFont="1" applyFill="1" applyBorder="1"/>
    <xf numFmtId="37" fontId="52" fillId="11" borderId="0" xfId="70" applyNumberFormat="1" applyFont="1" applyFill="1"/>
    <xf numFmtId="37" fontId="52" fillId="11" borderId="24" xfId="70" applyNumberFormat="1" applyFont="1" applyFill="1" applyBorder="1"/>
    <xf numFmtId="0" fontId="52" fillId="0" borderId="1" xfId="70" applyFont="1" applyBorder="1"/>
    <xf numFmtId="37" fontId="66" fillId="0" borderId="5" xfId="70" applyNumberFormat="1" applyFont="1" applyBorder="1"/>
    <xf numFmtId="37" fontId="66" fillId="11" borderId="21" xfId="70" applyNumberFormat="1" applyFont="1" applyFill="1" applyBorder="1"/>
    <xf numFmtId="37" fontId="66" fillId="11" borderId="5" xfId="70" applyNumberFormat="1" applyFont="1" applyFill="1" applyBorder="1"/>
    <xf numFmtId="37" fontId="66" fillId="11" borderId="22" xfId="70" applyNumberFormat="1" applyFont="1" applyFill="1" applyBorder="1"/>
    <xf numFmtId="37" fontId="52" fillId="0" borderId="0" xfId="70" applyNumberFormat="1" applyFont="1" applyProtection="1">
      <protection locked="0"/>
    </xf>
    <xf numFmtId="37" fontId="66" fillId="11" borderId="26" xfId="70" applyNumberFormat="1" applyFont="1" applyFill="1" applyBorder="1"/>
    <xf numFmtId="37" fontId="66" fillId="11" borderId="7" xfId="70" applyNumberFormat="1" applyFont="1" applyFill="1" applyBorder="1"/>
    <xf numFmtId="37" fontId="66" fillId="11" borderId="27" xfId="70" applyNumberFormat="1" applyFont="1" applyFill="1" applyBorder="1"/>
    <xf numFmtId="37" fontId="65" fillId="0" borderId="1" xfId="71" applyNumberFormat="1" applyFont="1" applyBorder="1"/>
    <xf numFmtId="10" fontId="28" fillId="0" borderId="0" xfId="70" applyNumberFormat="1" applyFont="1" applyAlignment="1">
      <alignment horizontal="center"/>
    </xf>
    <xf numFmtId="37" fontId="52" fillId="0" borderId="1" xfId="70" applyNumberFormat="1" applyFont="1" applyBorder="1"/>
    <xf numFmtId="37" fontId="52" fillId="0" borderId="28" xfId="70" applyNumberFormat="1" applyFont="1" applyBorder="1"/>
    <xf numFmtId="37" fontId="52" fillId="0" borderId="25" xfId="70" applyNumberFormat="1" applyFont="1" applyBorder="1"/>
    <xf numFmtId="0" fontId="52" fillId="0" borderId="0" xfId="71" applyFont="1"/>
    <xf numFmtId="37" fontId="52" fillId="0" borderId="23" xfId="70" applyNumberFormat="1" applyFont="1" applyBorder="1"/>
    <xf numFmtId="37" fontId="52" fillId="0" borderId="24" xfId="70" applyNumberFormat="1" applyFont="1" applyBorder="1"/>
    <xf numFmtId="0" fontId="52" fillId="0" borderId="0" xfId="71" applyFont="1" applyProtection="1">
      <protection locked="0"/>
    </xf>
    <xf numFmtId="0" fontId="52" fillId="13" borderId="29" xfId="71" applyFont="1" applyFill="1" applyBorder="1"/>
    <xf numFmtId="0" fontId="52" fillId="13" borderId="0" xfId="70" applyFont="1" applyFill="1"/>
    <xf numFmtId="0" fontId="28" fillId="13" borderId="0" xfId="70" applyFont="1" applyFill="1" applyAlignment="1">
      <alignment horizontal="center"/>
    </xf>
    <xf numFmtId="0" fontId="28" fillId="13" borderId="0" xfId="70" applyFont="1" applyFill="1"/>
    <xf numFmtId="37" fontId="66" fillId="13" borderId="5" xfId="70" applyNumberFormat="1" applyFont="1" applyFill="1" applyBorder="1"/>
    <xf numFmtId="37" fontId="66" fillId="13" borderId="21" xfId="70" applyNumberFormat="1" applyFont="1" applyFill="1" applyBorder="1"/>
    <xf numFmtId="37" fontId="66" fillId="13" borderId="22" xfId="70" applyNumberFormat="1" applyFont="1" applyFill="1" applyBorder="1"/>
    <xf numFmtId="0" fontId="52" fillId="13" borderId="23" xfId="70" applyFont="1" applyFill="1" applyBorder="1"/>
    <xf numFmtId="0" fontId="52" fillId="13" borderId="24" xfId="70" applyFont="1" applyFill="1" applyBorder="1"/>
    <xf numFmtId="37" fontId="52" fillId="13" borderId="0" xfId="70" applyNumberFormat="1" applyFont="1" applyFill="1"/>
    <xf numFmtId="37" fontId="52" fillId="13" borderId="23" xfId="70" applyNumberFormat="1" applyFont="1" applyFill="1" applyBorder="1"/>
    <xf numFmtId="37" fontId="52" fillId="13" borderId="24" xfId="70" applyNumberFormat="1" applyFont="1" applyFill="1" applyBorder="1"/>
    <xf numFmtId="192" fontId="52" fillId="13" borderId="0" xfId="70" applyNumberFormat="1" applyFont="1" applyFill="1"/>
    <xf numFmtId="192" fontId="52" fillId="13" borderId="23" xfId="70" applyNumberFormat="1" applyFont="1" applyFill="1" applyBorder="1"/>
    <xf numFmtId="192" fontId="52" fillId="13" borderId="24" xfId="70" applyNumberFormat="1" applyFont="1" applyFill="1" applyBorder="1"/>
    <xf numFmtId="0" fontId="68" fillId="0" borderId="0" xfId="70" applyFont="1"/>
    <xf numFmtId="37" fontId="52" fillId="13" borderId="0" xfId="70" applyNumberFormat="1" applyFont="1" applyFill="1" applyProtection="1">
      <protection locked="0"/>
    </xf>
    <xf numFmtId="192" fontId="52" fillId="13" borderId="28" xfId="70" applyNumberFormat="1" applyFont="1" applyFill="1" applyBorder="1"/>
    <xf numFmtId="192" fontId="52" fillId="13" borderId="1" xfId="70" applyNumberFormat="1" applyFont="1" applyFill="1" applyBorder="1"/>
    <xf numFmtId="192" fontId="52" fillId="13" borderId="25" xfId="70" applyNumberFormat="1" applyFont="1" applyFill="1" applyBorder="1"/>
    <xf numFmtId="0" fontId="28" fillId="11" borderId="28" xfId="70" applyFont="1" applyFill="1" applyBorder="1" applyAlignment="1">
      <alignment horizontal="center"/>
    </xf>
    <xf numFmtId="0" fontId="28" fillId="11" borderId="1" xfId="70" applyFont="1" applyFill="1" applyBorder="1" applyAlignment="1">
      <alignment horizontal="center"/>
    </xf>
    <xf numFmtId="0" fontId="28" fillId="11" borderId="25" xfId="70" applyFont="1" applyFill="1" applyBorder="1" applyAlignment="1">
      <alignment horizontal="center"/>
    </xf>
    <xf numFmtId="0" fontId="52" fillId="11" borderId="23" xfId="70" applyFont="1" applyFill="1" applyBorder="1" applyAlignment="1" applyProtection="1">
      <alignment horizontal="center"/>
      <protection locked="0"/>
    </xf>
    <xf numFmtId="0" fontId="52" fillId="11" borderId="0" xfId="70" applyFont="1" applyFill="1" applyAlignment="1" applyProtection="1">
      <alignment horizontal="center"/>
      <protection locked="0"/>
    </xf>
    <xf numFmtId="0" fontId="52" fillId="11" borderId="24" xfId="70" applyFont="1" applyFill="1" applyBorder="1" applyAlignment="1" applyProtection="1">
      <alignment horizontal="center"/>
      <protection locked="0"/>
    </xf>
    <xf numFmtId="0" fontId="52" fillId="0" borderId="5" xfId="70" applyFont="1" applyBorder="1"/>
    <xf numFmtId="37" fontId="52" fillId="0" borderId="5" xfId="70" applyNumberFormat="1" applyFont="1" applyBorder="1"/>
    <xf numFmtId="37" fontId="52" fillId="11" borderId="28" xfId="70" applyNumberFormat="1" applyFont="1" applyFill="1" applyBorder="1"/>
    <xf numFmtId="37" fontId="52" fillId="11" borderId="1" xfId="70" applyNumberFormat="1" applyFont="1" applyFill="1" applyBorder="1"/>
    <xf numFmtId="37" fontId="52" fillId="11" borderId="25" xfId="70" applyNumberFormat="1" applyFont="1" applyFill="1" applyBorder="1"/>
    <xf numFmtId="0" fontId="52" fillId="0" borderId="0" xfId="70" quotePrefix="1" applyFont="1"/>
    <xf numFmtId="0" fontId="66" fillId="0" borderId="0" xfId="70" applyFont="1"/>
    <xf numFmtId="0" fontId="69" fillId="0" borderId="0" xfId="70" applyFont="1"/>
    <xf numFmtId="37" fontId="52" fillId="11" borderId="21" xfId="70" applyNumberFormat="1" applyFont="1" applyFill="1" applyBorder="1"/>
    <xf numFmtId="37" fontId="52" fillId="11" borderId="5" xfId="70" applyNumberFormat="1" applyFont="1" applyFill="1" applyBorder="1"/>
    <xf numFmtId="37" fontId="52" fillId="11" borderId="22" xfId="70" applyNumberFormat="1" applyFont="1" applyFill="1" applyBorder="1"/>
    <xf numFmtId="192" fontId="52" fillId="0" borderId="0" xfId="70" applyNumberFormat="1" applyFont="1"/>
    <xf numFmtId="193" fontId="52" fillId="0" borderId="23" xfId="70" applyNumberFormat="1" applyFont="1" applyBorder="1"/>
    <xf numFmtId="193" fontId="52" fillId="0" borderId="0" xfId="70" applyNumberFormat="1" applyFont="1"/>
    <xf numFmtId="193" fontId="52" fillId="0" borderId="24" xfId="70" applyNumberFormat="1" applyFont="1" applyBorder="1"/>
    <xf numFmtId="37" fontId="66" fillId="0" borderId="26" xfId="70" applyNumberFormat="1" applyFont="1" applyBorder="1"/>
    <xf numFmtId="37" fontId="66" fillId="0" borderId="7" xfId="70" applyNumberFormat="1" applyFont="1" applyBorder="1"/>
    <xf numFmtId="37" fontId="66" fillId="0" borderId="27" xfId="70" applyNumberFormat="1" applyFont="1" applyBorder="1"/>
    <xf numFmtId="37" fontId="52" fillId="0" borderId="5" xfId="70" applyNumberFormat="1" applyFont="1" applyBorder="1" applyProtection="1">
      <protection locked="0"/>
    </xf>
    <xf numFmtId="37" fontId="52" fillId="11" borderId="21" xfId="70" applyNumberFormat="1" applyFont="1" applyFill="1" applyBorder="1" applyProtection="1">
      <protection locked="0"/>
    </xf>
    <xf numFmtId="37" fontId="52" fillId="11" borderId="5" xfId="70" applyNumberFormat="1" applyFont="1" applyFill="1" applyBorder="1" applyProtection="1">
      <protection locked="0"/>
    </xf>
    <xf numFmtId="37" fontId="52" fillId="11" borderId="22" xfId="70" applyNumberFormat="1" applyFont="1" applyFill="1" applyBorder="1" applyProtection="1">
      <protection locked="0"/>
    </xf>
    <xf numFmtId="37" fontId="52" fillId="0" borderId="21" xfId="70" applyNumberFormat="1" applyFont="1" applyBorder="1" applyProtection="1">
      <protection locked="0"/>
    </xf>
    <xf numFmtId="37" fontId="66" fillId="0" borderId="0" xfId="70" applyNumberFormat="1" applyFont="1"/>
    <xf numFmtId="37" fontId="70" fillId="0" borderId="0" xfId="70" applyNumberFormat="1" applyFont="1" applyProtection="1">
      <protection locked="0"/>
    </xf>
    <xf numFmtId="0" fontId="71" fillId="0" borderId="0" xfId="70" applyFont="1"/>
    <xf numFmtId="37" fontId="66" fillId="11" borderId="23" xfId="70" applyNumberFormat="1" applyFont="1" applyFill="1" applyBorder="1"/>
    <xf numFmtId="37" fontId="66" fillId="11" borderId="0" xfId="70" applyNumberFormat="1" applyFont="1" applyFill="1"/>
    <xf numFmtId="37" fontId="66" fillId="11" borderId="24" xfId="70" applyNumberFormat="1" applyFont="1" applyFill="1" applyBorder="1"/>
    <xf numFmtId="0" fontId="6" fillId="0" borderId="0" xfId="70" applyFont="1" applyAlignment="1">
      <alignment horizontal="center"/>
    </xf>
    <xf numFmtId="0" fontId="6" fillId="0" borderId="0" xfId="70" applyFont="1"/>
    <xf numFmtId="0" fontId="4" fillId="0" borderId="0" xfId="70"/>
    <xf numFmtId="192" fontId="52" fillId="11" borderId="23" xfId="70" applyNumberFormat="1" applyFont="1" applyFill="1" applyBorder="1"/>
    <xf numFmtId="192" fontId="52" fillId="11" borderId="0" xfId="70" applyNumberFormat="1" applyFont="1" applyFill="1"/>
    <xf numFmtId="192" fontId="52" fillId="11" borderId="24" xfId="70" applyNumberFormat="1" applyFont="1" applyFill="1" applyBorder="1"/>
    <xf numFmtId="0" fontId="28" fillId="0" borderId="1" xfId="71" applyFont="1" applyBorder="1"/>
    <xf numFmtId="0" fontId="52" fillId="0" borderId="30" xfId="71" applyFont="1" applyBorder="1" applyAlignment="1">
      <alignment horizontal="center"/>
    </xf>
    <xf numFmtId="0" fontId="52" fillId="0" borderId="30" xfId="71" applyFont="1" applyBorder="1" applyAlignment="1" applyProtection="1">
      <alignment horizontal="center"/>
      <protection locked="0"/>
    </xf>
    <xf numFmtId="0" fontId="67" fillId="0" borderId="0" xfId="71"/>
    <xf numFmtId="0" fontId="28" fillId="0" borderId="0" xfId="72" applyFont="1"/>
    <xf numFmtId="0" fontId="28" fillId="0" borderId="0" xfId="72" applyFont="1" applyAlignment="1">
      <alignment horizontal="right"/>
    </xf>
    <xf numFmtId="0" fontId="52" fillId="11" borderId="21" xfId="70" applyFont="1" applyFill="1" applyBorder="1" applyAlignment="1" applyProtection="1">
      <alignment horizontal="center"/>
      <protection locked="0"/>
    </xf>
    <xf numFmtId="0" fontId="52" fillId="11" borderId="5" xfId="70" applyFont="1" applyFill="1" applyBorder="1" applyAlignment="1" applyProtection="1">
      <alignment horizontal="center"/>
      <protection locked="0"/>
    </xf>
    <xf numFmtId="0" fontId="52" fillId="11" borderId="22" xfId="70" applyFont="1" applyFill="1" applyBorder="1" applyAlignment="1" applyProtection="1">
      <alignment horizontal="center"/>
      <protection locked="0"/>
    </xf>
    <xf numFmtId="0" fontId="52" fillId="0" borderId="0" xfId="71" applyFont="1" applyAlignment="1">
      <alignment horizontal="center"/>
    </xf>
    <xf numFmtId="0" fontId="71" fillId="0" borderId="0" xfId="71" applyFont="1"/>
    <xf numFmtId="0" fontId="28" fillId="11" borderId="23" xfId="70" applyFont="1" applyFill="1" applyBorder="1"/>
    <xf numFmtId="0" fontId="28" fillId="11" borderId="0" xfId="70" applyFont="1" applyFill="1"/>
    <xf numFmtId="0" fontId="28" fillId="11" borderId="24" xfId="70" applyFont="1" applyFill="1" applyBorder="1"/>
    <xf numFmtId="0" fontId="70" fillId="0" borderId="0" xfId="71" applyFont="1" applyProtection="1">
      <protection locked="0"/>
    </xf>
    <xf numFmtId="0" fontId="52" fillId="0" borderId="1" xfId="71" applyFont="1" applyBorder="1"/>
    <xf numFmtId="0" fontId="52" fillId="0" borderId="29" xfId="71" applyFont="1" applyBorder="1"/>
    <xf numFmtId="0" fontId="28" fillId="0" borderId="0" xfId="71" applyFont="1" applyAlignment="1">
      <alignment horizontal="center"/>
    </xf>
    <xf numFmtId="37" fontId="52" fillId="0" borderId="22" xfId="70" applyNumberFormat="1" applyFont="1" applyBorder="1"/>
    <xf numFmtId="0" fontId="72" fillId="0" borderId="0" xfId="71" applyFont="1" applyAlignment="1">
      <alignment horizontal="center"/>
    </xf>
    <xf numFmtId="0" fontId="28" fillId="0" borderId="0" xfId="71" applyFont="1"/>
    <xf numFmtId="0" fontId="70" fillId="0" borderId="0" xfId="71" applyFont="1"/>
    <xf numFmtId="37" fontId="52" fillId="11" borderId="31" xfId="70" applyNumberFormat="1" applyFont="1" applyFill="1" applyBorder="1"/>
    <xf numFmtId="0" fontId="52" fillId="0" borderId="0" xfId="72" applyFont="1"/>
    <xf numFmtId="0" fontId="28" fillId="0" borderId="0" xfId="72" applyFont="1" applyAlignment="1">
      <alignment horizontal="center"/>
    </xf>
    <xf numFmtId="0" fontId="68" fillId="0" borderId="0" xfId="70" applyFont="1" applyAlignment="1">
      <alignment horizontal="right"/>
    </xf>
    <xf numFmtId="37" fontId="28" fillId="0" borderId="0" xfId="71" applyNumberFormat="1" applyFont="1"/>
    <xf numFmtId="37" fontId="52" fillId="0" borderId="31" xfId="70" applyNumberFormat="1" applyFont="1" applyBorder="1"/>
    <xf numFmtId="194" fontId="52" fillId="0" borderId="0" xfId="71" applyNumberFormat="1" applyFont="1"/>
    <xf numFmtId="194" fontId="52" fillId="11" borderId="23" xfId="71" applyNumberFormat="1" applyFont="1" applyFill="1" applyBorder="1"/>
    <xf numFmtId="194" fontId="52" fillId="11" borderId="0" xfId="71" applyNumberFormat="1" applyFont="1" applyFill="1"/>
    <xf numFmtId="194" fontId="52" fillId="11" borderId="24" xfId="71" applyNumberFormat="1" applyFont="1" applyFill="1" applyBorder="1"/>
    <xf numFmtId="37" fontId="52" fillId="0" borderId="0" xfId="71" applyNumberFormat="1" applyFont="1"/>
    <xf numFmtId="37" fontId="52" fillId="11" borderId="0" xfId="71" applyNumberFormat="1" applyFont="1" applyFill="1"/>
    <xf numFmtId="37" fontId="52" fillId="11" borderId="24" xfId="71" applyNumberFormat="1" applyFont="1" applyFill="1" applyBorder="1"/>
    <xf numFmtId="37" fontId="52" fillId="11" borderId="23" xfId="71" applyNumberFormat="1" applyFont="1" applyFill="1" applyBorder="1"/>
    <xf numFmtId="37" fontId="52" fillId="0" borderId="29" xfId="71" applyNumberFormat="1" applyFont="1" applyBorder="1"/>
    <xf numFmtId="37" fontId="52" fillId="11" borderId="32" xfId="71" applyNumberFormat="1" applyFont="1" applyFill="1" applyBorder="1"/>
    <xf numFmtId="37" fontId="52" fillId="11" borderId="29" xfId="71" applyNumberFormat="1" applyFont="1" applyFill="1" applyBorder="1"/>
    <xf numFmtId="37" fontId="52" fillId="11" borderId="33" xfId="71" applyNumberFormat="1" applyFont="1" applyFill="1" applyBorder="1"/>
    <xf numFmtId="172" fontId="52" fillId="0" borderId="0" xfId="71" quotePrefix="1" applyNumberFormat="1" applyFont="1"/>
    <xf numFmtId="172" fontId="52" fillId="11" borderId="28" xfId="71" quotePrefix="1" applyNumberFormat="1" applyFont="1" applyFill="1" applyBorder="1"/>
    <xf numFmtId="172" fontId="52" fillId="11" borderId="1" xfId="71" quotePrefix="1" applyNumberFormat="1" applyFont="1" applyFill="1" applyBorder="1"/>
    <xf numFmtId="172" fontId="52" fillId="11" borderId="25" xfId="71" quotePrefix="1" applyNumberFormat="1" applyFont="1" applyFill="1" applyBorder="1"/>
    <xf numFmtId="0" fontId="71" fillId="0" borderId="0" xfId="70" applyFont="1" applyAlignment="1">
      <alignment horizontal="center"/>
    </xf>
    <xf numFmtId="168" fontId="52" fillId="0" borderId="0" xfId="70" applyNumberFormat="1" applyFont="1"/>
    <xf numFmtId="168" fontId="66" fillId="0" borderId="5" xfId="70" applyNumberFormat="1" applyFont="1" applyBorder="1"/>
    <xf numFmtId="192" fontId="52" fillId="0" borderId="0" xfId="70" applyNumberFormat="1" applyFont="1" applyProtection="1">
      <protection locked="0"/>
    </xf>
    <xf numFmtId="192" fontId="70" fillId="0" borderId="0" xfId="70" applyNumberFormat="1" applyFont="1" applyProtection="1">
      <protection locked="0"/>
    </xf>
    <xf numFmtId="168" fontId="52" fillId="0" borderId="5" xfId="70" applyNumberFormat="1" applyFont="1" applyBorder="1"/>
    <xf numFmtId="192" fontId="66" fillId="0" borderId="0" xfId="70" applyNumberFormat="1" applyFont="1" applyProtection="1">
      <protection locked="0"/>
    </xf>
    <xf numFmtId="0" fontId="73" fillId="0" borderId="0" xfId="70" applyFont="1"/>
    <xf numFmtId="192" fontId="52" fillId="11" borderId="28" xfId="70" applyNumberFormat="1" applyFont="1" applyFill="1" applyBorder="1"/>
    <xf numFmtId="192" fontId="52" fillId="11" borderId="1" xfId="70" applyNumberFormat="1" applyFont="1" applyFill="1" applyBorder="1"/>
    <xf numFmtId="192" fontId="52" fillId="11" borderId="25" xfId="70" applyNumberFormat="1" applyFont="1" applyFill="1" applyBorder="1"/>
    <xf numFmtId="0" fontId="50" fillId="0" borderId="0" xfId="0" applyFont="1" applyAlignment="1">
      <alignment horizontal="right"/>
    </xf>
    <xf numFmtId="177" fontId="30" fillId="0" borderId="0" xfId="0" applyNumberFormat="1" applyFont="1" applyProtection="1">
      <protection locked="0"/>
    </xf>
    <xf numFmtId="7" fontId="30" fillId="0" borderId="0" xfId="0" applyNumberFormat="1" applyFont="1" applyProtection="1">
      <protection locked="0"/>
    </xf>
    <xf numFmtId="37" fontId="30" fillId="0" borderId="0" xfId="0" applyNumberFormat="1" applyFont="1"/>
    <xf numFmtId="0" fontId="56" fillId="0" borderId="1" xfId="0" applyFont="1" applyBorder="1" applyAlignment="1">
      <alignment horizontal="centerContinuous"/>
    </xf>
    <xf numFmtId="0" fontId="56" fillId="0" borderId="1" xfId="0" applyFont="1" applyBorder="1" applyAlignment="1">
      <alignment horizontal="center"/>
    </xf>
    <xf numFmtId="0" fontId="57" fillId="0" borderId="0" xfId="0" quotePrefix="1" applyFont="1" applyAlignment="1">
      <alignment horizontal="center"/>
    </xf>
    <xf numFmtId="0" fontId="56" fillId="0" borderId="1" xfId="0" applyFont="1" applyBorder="1"/>
    <xf numFmtId="0" fontId="56" fillId="0" borderId="1" xfId="0" applyFont="1" applyBorder="1" applyAlignment="1">
      <alignment horizontal="left"/>
    </xf>
    <xf numFmtId="0" fontId="57" fillId="0" borderId="1" xfId="0" applyFont="1" applyBorder="1" applyAlignment="1">
      <alignment horizontal="center"/>
    </xf>
    <xf numFmtId="0" fontId="57" fillId="0" borderId="1" xfId="0" quotePrefix="1" applyFont="1" applyBorder="1" applyAlignment="1">
      <alignment horizontal="center"/>
    </xf>
    <xf numFmtId="0" fontId="59" fillId="0" borderId="0" xfId="0" applyFont="1" applyAlignment="1">
      <alignment horizontal="center"/>
    </xf>
    <xf numFmtId="39" fontId="59" fillId="0" borderId="0" xfId="0" applyNumberFormat="1" applyFont="1"/>
    <xf numFmtId="0" fontId="59" fillId="0" borderId="0" xfId="0" applyFont="1" applyAlignment="1">
      <alignment horizontal="left"/>
    </xf>
    <xf numFmtId="0" fontId="58" fillId="0" borderId="1" xfId="0" applyFont="1" applyBorder="1" applyAlignment="1">
      <alignment horizontal="center"/>
    </xf>
    <xf numFmtId="39" fontId="59" fillId="0" borderId="0" xfId="0" quotePrefix="1" applyNumberFormat="1" applyFont="1" applyAlignment="1">
      <alignment horizontal="right"/>
    </xf>
    <xf numFmtId="0" fontId="76" fillId="14" borderId="0" xfId="73" applyFont="1" applyFill="1"/>
    <xf numFmtId="0" fontId="76" fillId="14" borderId="0" xfId="73" applyFont="1" applyFill="1" applyAlignment="1">
      <alignment horizontal="center"/>
    </xf>
    <xf numFmtId="0" fontId="77" fillId="14" borderId="0" xfId="73" applyFont="1" applyFill="1"/>
    <xf numFmtId="0" fontId="77" fillId="14" borderId="0" xfId="73" applyFont="1" applyFill="1" applyAlignment="1">
      <alignment horizontal="center"/>
    </xf>
    <xf numFmtId="0" fontId="77" fillId="14" borderId="0" xfId="73" applyFont="1" applyFill="1" applyAlignment="1">
      <alignment wrapText="1"/>
    </xf>
    <xf numFmtId="37" fontId="76" fillId="14" borderId="0" xfId="74" applyNumberFormat="1" applyFont="1" applyFill="1" applyBorder="1" applyAlignment="1">
      <alignment horizontal="center"/>
    </xf>
    <xf numFmtId="8" fontId="76" fillId="14" borderId="0" xfId="73" applyNumberFormat="1" applyFont="1" applyFill="1" applyAlignment="1">
      <alignment horizontal="center"/>
    </xf>
    <xf numFmtId="6" fontId="76" fillId="14" borderId="0" xfId="73" applyNumberFormat="1" applyFont="1" applyFill="1" applyAlignment="1">
      <alignment horizontal="center"/>
    </xf>
    <xf numFmtId="0" fontId="76" fillId="14" borderId="0" xfId="73" applyFont="1" applyFill="1" applyAlignment="1">
      <alignment horizontal="left" indent="1"/>
    </xf>
    <xf numFmtId="195" fontId="76" fillId="14" borderId="0" xfId="73" applyNumberFormat="1" applyFont="1" applyFill="1" applyAlignment="1">
      <alignment horizontal="center"/>
    </xf>
    <xf numFmtId="0" fontId="76" fillId="14" borderId="0" xfId="73" applyFont="1" applyFill="1" applyAlignment="1">
      <alignment horizontal="left"/>
    </xf>
    <xf numFmtId="0" fontId="78" fillId="14" borderId="8" xfId="73" applyFont="1" applyFill="1" applyBorder="1"/>
    <xf numFmtId="0" fontId="76" fillId="14" borderId="8" xfId="73" applyFont="1" applyFill="1" applyBorder="1" applyAlignment="1">
      <alignment horizontal="center"/>
    </xf>
    <xf numFmtId="6" fontId="76" fillId="14" borderId="8" xfId="73" applyNumberFormat="1" applyFont="1" applyFill="1" applyBorder="1" applyAlignment="1">
      <alignment horizontal="center"/>
    </xf>
    <xf numFmtId="6" fontId="78" fillId="14" borderId="8" xfId="73" applyNumberFormat="1" applyFont="1" applyFill="1" applyBorder="1" applyAlignment="1">
      <alignment horizontal="center"/>
    </xf>
    <xf numFmtId="0" fontId="78" fillId="14" borderId="0" xfId="73" applyFont="1" applyFill="1"/>
    <xf numFmtId="0" fontId="79" fillId="14" borderId="0" xfId="73" applyFont="1" applyFill="1" applyAlignment="1">
      <alignment horizontal="left" indent="1"/>
    </xf>
    <xf numFmtId="0" fontId="78" fillId="14" borderId="0" xfId="73" applyFont="1" applyFill="1" applyAlignment="1">
      <alignment horizontal="center"/>
    </xf>
    <xf numFmtId="6" fontId="78" fillId="14" borderId="0" xfId="73" applyNumberFormat="1" applyFont="1" applyFill="1" applyAlignment="1">
      <alignment horizontal="center"/>
    </xf>
    <xf numFmtId="0" fontId="77" fillId="14" borderId="0" xfId="73" applyFont="1" applyFill="1" applyAlignment="1">
      <alignment horizontal="center" wrapText="1"/>
    </xf>
    <xf numFmtId="191" fontId="76" fillId="14" borderId="0" xfId="73" applyNumberFormat="1" applyFont="1" applyFill="1" applyAlignment="1">
      <alignment horizontal="center"/>
    </xf>
    <xf numFmtId="5" fontId="76" fillId="14" borderId="0" xfId="73" applyNumberFormat="1" applyFont="1" applyFill="1" applyAlignment="1">
      <alignment horizontal="center"/>
    </xf>
    <xf numFmtId="6" fontId="78" fillId="14" borderId="31" xfId="73" applyNumberFormat="1" applyFont="1" applyFill="1" applyBorder="1" applyAlignment="1">
      <alignment horizontal="center"/>
    </xf>
    <xf numFmtId="5" fontId="76" fillId="14" borderId="1" xfId="73" applyNumberFormat="1" applyFont="1" applyFill="1" applyBorder="1" applyAlignment="1">
      <alignment horizontal="center"/>
    </xf>
    <xf numFmtId="37" fontId="76" fillId="14" borderId="0" xfId="73" applyNumberFormat="1" applyFont="1" applyFill="1" applyAlignment="1">
      <alignment horizontal="center"/>
    </xf>
    <xf numFmtId="184" fontId="76" fillId="14" borderId="0" xfId="58" applyNumberFormat="1" applyFont="1" applyFill="1" applyAlignment="1">
      <alignment horizontal="center"/>
    </xf>
    <xf numFmtId="0" fontId="27" fillId="4" borderId="0" xfId="0" applyFont="1" applyFill="1" applyAlignment="1">
      <alignment horizontal="left"/>
    </xf>
    <xf numFmtId="0" fontId="27" fillId="4" borderId="0" xfId="0" quotePrefix="1" applyFont="1" applyFill="1" applyAlignment="1" applyProtection="1">
      <alignment horizontal="left"/>
      <protection locked="0"/>
    </xf>
    <xf numFmtId="0" fontId="27" fillId="4" borderId="0" xfId="0" applyFont="1" applyFill="1" applyAlignment="1" applyProtection="1">
      <alignment horizontal="left"/>
      <protection locked="0"/>
    </xf>
    <xf numFmtId="0" fontId="27" fillId="4" borderId="0" xfId="0" quotePrefix="1" applyFont="1" applyFill="1" applyAlignment="1">
      <alignment horizontal="left"/>
    </xf>
    <xf numFmtId="0" fontId="25" fillId="4" borderId="0" xfId="0" quotePrefix="1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3" fillId="7" borderId="2" xfId="0" applyFont="1" applyFill="1" applyBorder="1" applyAlignment="1">
      <alignment horizontal="center"/>
    </xf>
    <xf numFmtId="0" fontId="23" fillId="7" borderId="3" xfId="0" applyFont="1" applyFill="1" applyBorder="1" applyAlignment="1">
      <alignment horizontal="center"/>
    </xf>
    <xf numFmtId="0" fontId="23" fillId="7" borderId="4" xfId="0" applyFont="1" applyFill="1" applyBorder="1" applyAlignment="1">
      <alignment horizontal="center"/>
    </xf>
    <xf numFmtId="0" fontId="25" fillId="3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6" fillId="14" borderId="0" xfId="73" applyFont="1" applyFill="1" applyAlignment="1">
      <alignment horizontal="center"/>
    </xf>
    <xf numFmtId="0" fontId="75" fillId="14" borderId="0" xfId="73" applyFont="1" applyFill="1" applyAlignment="1">
      <alignment horizontal="center"/>
    </xf>
    <xf numFmtId="0" fontId="6" fillId="0" borderId="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56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184" fontId="6" fillId="0" borderId="0" xfId="58" applyNumberFormat="1" applyFont="1"/>
    <xf numFmtId="184" fontId="6" fillId="0" borderId="16" xfId="58" applyNumberFormat="1" applyFont="1" applyBorder="1"/>
    <xf numFmtId="184" fontId="6" fillId="0" borderId="17" xfId="58" applyNumberFormat="1" applyFont="1" applyBorder="1"/>
    <xf numFmtId="184" fontId="6" fillId="0" borderId="18" xfId="58" applyNumberFormat="1" applyFont="1" applyBorder="1"/>
    <xf numFmtId="0" fontId="61" fillId="14" borderId="0" xfId="0" applyFont="1" applyFill="1" applyAlignment="1">
      <alignment horizontal="center"/>
    </xf>
    <xf numFmtId="0" fontId="61" fillId="14" borderId="0" xfId="0" applyFont="1" applyFill="1"/>
    <xf numFmtId="0" fontId="63" fillId="14" borderId="0" xfId="0" applyFont="1" applyFill="1" applyAlignment="1">
      <alignment horizontal="center" vertical="center" wrapText="1"/>
    </xf>
    <xf numFmtId="0" fontId="61" fillId="14" borderId="0" xfId="0" applyFont="1" applyFill="1" applyAlignment="1">
      <alignment vertical="center" wrapText="1"/>
    </xf>
    <xf numFmtId="0" fontId="61" fillId="14" borderId="0" xfId="0" applyFont="1" applyFill="1" applyAlignment="1">
      <alignment horizontal="center" vertical="center" wrapText="1"/>
    </xf>
    <xf numFmtId="0" fontId="61" fillId="14" borderId="0" xfId="0" applyFont="1" applyFill="1" applyAlignment="1">
      <alignment horizontal="left" vertical="center" wrapText="1" indent="1"/>
    </xf>
    <xf numFmtId="8" fontId="61" fillId="14" borderId="0" xfId="0" applyNumberFormat="1" applyFont="1" applyFill="1" applyAlignment="1">
      <alignment horizontal="center" vertical="center" wrapText="1"/>
    </xf>
    <xf numFmtId="184" fontId="61" fillId="14" borderId="0" xfId="58" applyNumberFormat="1" applyFont="1" applyFill="1" applyAlignment="1">
      <alignment horizontal="center"/>
    </xf>
    <xf numFmtId="191" fontId="61" fillId="14" borderId="0" xfId="0" applyNumberFormat="1" applyFont="1" applyFill="1" applyAlignment="1">
      <alignment horizontal="center" vertical="center" wrapText="1"/>
    </xf>
    <xf numFmtId="0" fontId="63" fillId="14" borderId="0" xfId="0" applyFont="1" applyFill="1" applyAlignment="1">
      <alignment vertical="center" wrapText="1"/>
    </xf>
    <xf numFmtId="6" fontId="61" fillId="14" borderId="0" xfId="0" applyNumberFormat="1" applyFont="1" applyFill="1" applyAlignment="1">
      <alignment horizontal="center" vertical="center" wrapText="1"/>
    </xf>
    <xf numFmtId="0" fontId="62" fillId="14" borderId="0" xfId="0" applyFont="1" applyFill="1" applyAlignment="1">
      <alignment vertical="center" wrapText="1"/>
    </xf>
    <xf numFmtId="6" fontId="62" fillId="14" borderId="0" xfId="0" applyNumberFormat="1" applyFont="1" applyFill="1" applyAlignment="1">
      <alignment horizontal="center" vertical="center" wrapText="1"/>
    </xf>
    <xf numFmtId="37" fontId="61" fillId="14" borderId="0" xfId="0" applyNumberFormat="1" applyFont="1" applyFill="1"/>
    <xf numFmtId="184" fontId="61" fillId="14" borderId="0" xfId="0" applyNumberFormat="1" applyFont="1" applyFill="1" applyAlignment="1">
      <alignment horizontal="center" vertical="center" wrapText="1"/>
    </xf>
    <xf numFmtId="184" fontId="62" fillId="14" borderId="0" xfId="0" applyNumberFormat="1" applyFont="1" applyFill="1" applyAlignment="1">
      <alignment horizontal="center" vertical="center" wrapText="1"/>
    </xf>
    <xf numFmtId="184" fontId="4" fillId="0" borderId="0" xfId="58" applyNumberFormat="1" applyFont="1"/>
    <xf numFmtId="0" fontId="63" fillId="14" borderId="0" xfId="0" applyFont="1" applyFill="1" applyAlignment="1">
      <alignment horizontal="center" wrapText="1"/>
    </xf>
    <xf numFmtId="0" fontId="63" fillId="14" borderId="0" xfId="0" applyFont="1" applyFill="1" applyAlignment="1">
      <alignment horizontal="left" wrapText="1"/>
    </xf>
  </cellXfs>
  <cellStyles count="75">
    <cellStyle name="Comma" xfId="56" builtinId="3"/>
    <cellStyle name="Comma 2" xfId="61" xr:uid="{00000000-0005-0000-0000-000001000000}"/>
    <cellStyle name="Comma 2 2" xfId="68" xr:uid="{BD3E171E-1C2F-4E21-ADC7-76EF4E8FA4ED}"/>
    <cellStyle name="Comma 3" xfId="63" xr:uid="{B844575C-8ADC-4D67-872E-6594CDF4CFC4}"/>
    <cellStyle name="Currency" xfId="57" builtinId="4"/>
    <cellStyle name="Currency 2" xfId="66" xr:uid="{BC34E618-FB5B-49EF-8D23-BFE65EC1FF1B}"/>
    <cellStyle name="Currency 3" xfId="69" xr:uid="{87DCCA76-DF0B-4E0B-9FAB-CA8826172F6D}"/>
    <cellStyle name="Currency 4" xfId="64" xr:uid="{A500E150-305B-4B3E-AAA4-83938CB5FA8B}"/>
    <cellStyle name="Currency 5" xfId="74" xr:uid="{9189F5E9-6483-40B7-8E2C-E1A7CE6FB4E5}"/>
    <cellStyle name="Normal" xfId="0" builtinId="0"/>
    <cellStyle name="Normal 10" xfId="10" xr:uid="{00000000-0005-0000-0000-000004000000}"/>
    <cellStyle name="Normal 11" xfId="11" xr:uid="{00000000-0005-0000-0000-000005000000}"/>
    <cellStyle name="Normal 12" xfId="13" xr:uid="{00000000-0005-0000-0000-000006000000}"/>
    <cellStyle name="Normal 12 2" xfId="50" xr:uid="{00000000-0005-0000-0000-000007000000}"/>
    <cellStyle name="Normal 12 3" xfId="51" xr:uid="{00000000-0005-0000-0000-000008000000}"/>
    <cellStyle name="Normal 12 4" xfId="53" xr:uid="{00000000-0005-0000-0000-000009000000}"/>
    <cellStyle name="Normal 12 5" xfId="52" xr:uid="{00000000-0005-0000-0000-00000A000000}"/>
    <cellStyle name="Normal 12 6" xfId="54" xr:uid="{00000000-0005-0000-0000-00000B000000}"/>
    <cellStyle name="Normal 13" xfId="12" xr:uid="{00000000-0005-0000-0000-00000C000000}"/>
    <cellStyle name="Normal 14" xfId="16" xr:uid="{00000000-0005-0000-0000-00000D000000}"/>
    <cellStyle name="Normal 15" xfId="17" xr:uid="{00000000-0005-0000-0000-00000E000000}"/>
    <cellStyle name="Normal 16" xfId="19" xr:uid="{00000000-0005-0000-0000-00000F000000}"/>
    <cellStyle name="Normal 17" xfId="21" xr:uid="{00000000-0005-0000-0000-000010000000}"/>
    <cellStyle name="Normal 18" xfId="23" xr:uid="{00000000-0005-0000-0000-000011000000}"/>
    <cellStyle name="Normal 19" xfId="25" xr:uid="{00000000-0005-0000-0000-000012000000}"/>
    <cellStyle name="Normal 2" xfId="1" xr:uid="{00000000-0005-0000-0000-000013000000}"/>
    <cellStyle name="Normal 2 10" xfId="29" xr:uid="{00000000-0005-0000-0000-000014000000}"/>
    <cellStyle name="Normal 2 11" xfId="32" xr:uid="{00000000-0005-0000-0000-000015000000}"/>
    <cellStyle name="Normal 2 12" xfId="34" xr:uid="{00000000-0005-0000-0000-000016000000}"/>
    <cellStyle name="Normal 2 13" xfId="36" xr:uid="{00000000-0005-0000-0000-000017000000}"/>
    <cellStyle name="Normal 2 14" xfId="38" xr:uid="{00000000-0005-0000-0000-000018000000}"/>
    <cellStyle name="Normal 2 15" xfId="40" xr:uid="{00000000-0005-0000-0000-000019000000}"/>
    <cellStyle name="Normal 2 16" xfId="27" xr:uid="{00000000-0005-0000-0000-00001A000000}"/>
    <cellStyle name="Normal 2 17" xfId="41" xr:uid="{00000000-0005-0000-0000-00001B000000}"/>
    <cellStyle name="Normal 2 18" xfId="44" xr:uid="{00000000-0005-0000-0000-00001C000000}"/>
    <cellStyle name="Normal 2 19" xfId="45" xr:uid="{00000000-0005-0000-0000-00001D000000}"/>
    <cellStyle name="Normal 2 2" xfId="2" xr:uid="{00000000-0005-0000-0000-00001E000000}"/>
    <cellStyle name="Normal 2 20" xfId="48" xr:uid="{00000000-0005-0000-0000-00001F000000}"/>
    <cellStyle name="Normal 2 3" xfId="14" xr:uid="{00000000-0005-0000-0000-000020000000}"/>
    <cellStyle name="Normal 2 4" xfId="15" xr:uid="{00000000-0005-0000-0000-000021000000}"/>
    <cellStyle name="Normal 2 5" xfId="18" xr:uid="{00000000-0005-0000-0000-000022000000}"/>
    <cellStyle name="Normal 2 5 2" xfId="71" xr:uid="{8649B53B-0399-4846-A2F5-918E4FA5677F}"/>
    <cellStyle name="Normal 2 6" xfId="20" xr:uid="{00000000-0005-0000-0000-000023000000}"/>
    <cellStyle name="Normal 2 7" xfId="22" xr:uid="{00000000-0005-0000-0000-000024000000}"/>
    <cellStyle name="Normal 2 8" xfId="24" xr:uid="{00000000-0005-0000-0000-000025000000}"/>
    <cellStyle name="Normal 2 9" xfId="26" xr:uid="{00000000-0005-0000-0000-000026000000}"/>
    <cellStyle name="Normal 20" xfId="30" xr:uid="{00000000-0005-0000-0000-000027000000}"/>
    <cellStyle name="Normal 21" xfId="31" xr:uid="{00000000-0005-0000-0000-000028000000}"/>
    <cellStyle name="Normal 22" xfId="33" xr:uid="{00000000-0005-0000-0000-000029000000}"/>
    <cellStyle name="Normal 23" xfId="35" xr:uid="{00000000-0005-0000-0000-00002A000000}"/>
    <cellStyle name="Normal 24" xfId="37" xr:uid="{00000000-0005-0000-0000-00002B000000}"/>
    <cellStyle name="Normal 25" xfId="39" xr:uid="{00000000-0005-0000-0000-00002C000000}"/>
    <cellStyle name="Normal 26" xfId="28" xr:uid="{00000000-0005-0000-0000-00002D000000}"/>
    <cellStyle name="Normal 27" xfId="42" xr:uid="{00000000-0005-0000-0000-00002E000000}"/>
    <cellStyle name="Normal 28" xfId="43" xr:uid="{00000000-0005-0000-0000-00002F000000}"/>
    <cellStyle name="Normal 29" xfId="46" xr:uid="{00000000-0005-0000-0000-000030000000}"/>
    <cellStyle name="Normal 3" xfId="3" xr:uid="{00000000-0005-0000-0000-000031000000}"/>
    <cellStyle name="Normal 3 2" xfId="67" xr:uid="{8FE07A52-7991-447D-A37B-F91F75CE5CE8}"/>
    <cellStyle name="Normal 30" xfId="47" xr:uid="{00000000-0005-0000-0000-000032000000}"/>
    <cellStyle name="Normal 31" xfId="55" xr:uid="{00000000-0005-0000-0000-000033000000}"/>
    <cellStyle name="Normal 32" xfId="49" xr:uid="{00000000-0005-0000-0000-000034000000}"/>
    <cellStyle name="Normal 33" xfId="59" xr:uid="{00000000-0005-0000-0000-000035000000}"/>
    <cellStyle name="Normal 34" xfId="62" xr:uid="{FCE9C858-1F8A-4033-A237-94BEA584FCE0}"/>
    <cellStyle name="Normal 35" xfId="70" xr:uid="{0351A986-6B73-43FA-80A0-94BC1AE34C20}"/>
    <cellStyle name="Normal 36" xfId="73" xr:uid="{4932AFEB-4D2D-4752-A43D-DCFBB2FFD739}"/>
    <cellStyle name="Normal 38" xfId="72" xr:uid="{4F800C42-2EB3-4D67-8281-57C3D19C7D3E}"/>
    <cellStyle name="Normal 4" xfId="4" xr:uid="{00000000-0005-0000-0000-000036000000}"/>
    <cellStyle name="Normal 5" xfId="5" xr:uid="{00000000-0005-0000-0000-000037000000}"/>
    <cellStyle name="Normal 6" xfId="6" xr:uid="{00000000-0005-0000-0000-000038000000}"/>
    <cellStyle name="Normal 7" xfId="7" xr:uid="{00000000-0005-0000-0000-000039000000}"/>
    <cellStyle name="Normal 8" xfId="8" xr:uid="{00000000-0005-0000-0000-00003A000000}"/>
    <cellStyle name="Normal 9" xfId="9" xr:uid="{00000000-0005-0000-0000-00003B000000}"/>
    <cellStyle name="Percent" xfId="58" builtinId="5"/>
    <cellStyle name="Percent 2" xfId="60" xr:uid="{00000000-0005-0000-0000-00003D000000}"/>
    <cellStyle name="Percent 3" xfId="65" xr:uid="{E18A49BD-A1BE-4879-98B3-992808E35AB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66CC"/>
      <color rgb="FF0000FF"/>
      <color rgb="FF3333FF"/>
      <color rgb="FF255997"/>
      <color rgb="FFB919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trlProps/ctrlProp1.xml><?xml version="1.0" encoding="utf-8"?>
<formControlPr xmlns="http://schemas.microsoft.com/office/spreadsheetml/2009/9/main" objectType="Radio" checked="Checked" firstButton="1" fmlaLink="$H$7" lockText="1" noThreeD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4</xdr:row>
          <xdr:rowOff>9525</xdr:rowOff>
        </xdr:from>
        <xdr:to>
          <xdr:col>8</xdr:col>
          <xdr:colOff>0</xdr:colOff>
          <xdr:row>5</xdr:row>
          <xdr:rowOff>9525</xdr:rowOff>
        </xdr:to>
        <xdr:sp macro="" textlink="">
          <xdr:nvSpPr>
            <xdr:cNvPr id="157697" name="Option Button 1" descr="With Riders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00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 Riders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5</xdr:row>
          <xdr:rowOff>0</xdr:rowOff>
        </xdr:from>
        <xdr:to>
          <xdr:col>8</xdr:col>
          <xdr:colOff>0</xdr:colOff>
          <xdr:row>6</xdr:row>
          <xdr:rowOff>0</xdr:rowOff>
        </xdr:to>
        <xdr:sp macro="" textlink="">
          <xdr:nvSpPr>
            <xdr:cNvPr id="157698" name="Option Button 2" hidden="1">
              <a:extLst>
                <a:ext uri="{63B3BB69-23CF-44E3-9099-C40C66FF867C}">
                  <a14:compatExt spid="_x0000_s157698"/>
                </a:ext>
                <a:ext uri="{FF2B5EF4-FFF2-40B4-BE49-F238E27FC236}">
                  <a16:creationId xmlns:a16="http://schemas.microsoft.com/office/drawing/2014/main" id="{00000000-0008-0000-0000-000002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Without Riders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3</xdr:row>
          <xdr:rowOff>19050</xdr:rowOff>
        </xdr:from>
        <xdr:to>
          <xdr:col>7</xdr:col>
          <xdr:colOff>9525</xdr:colOff>
          <xdr:row>4</xdr:row>
          <xdr:rowOff>9525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3</xdr:row>
          <xdr:rowOff>0</xdr:rowOff>
        </xdr:from>
        <xdr:to>
          <xdr:col>20</xdr:col>
          <xdr:colOff>0</xdr:colOff>
          <xdr:row>4</xdr:row>
          <xdr:rowOff>9525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N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Typical Bill Comparison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752475</xdr:colOff>
          <xdr:row>9</xdr:row>
          <xdr:rowOff>9525</xdr:rowOff>
        </xdr:from>
        <xdr:to>
          <xdr:col>2</xdr:col>
          <xdr:colOff>9525</xdr:colOff>
          <xdr:row>10</xdr:row>
          <xdr:rowOff>9525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11</xdr:row>
          <xdr:rowOff>0</xdr:rowOff>
        </xdr:from>
        <xdr:to>
          <xdr:col>2</xdr:col>
          <xdr:colOff>0</xdr:colOff>
          <xdr:row>12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4</xdr:col>
          <xdr:colOff>0</xdr:colOff>
          <xdr:row>8</xdr:row>
          <xdr:rowOff>9525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180975</xdr:rowOff>
        </xdr:from>
        <xdr:to>
          <xdr:col>3</xdr:col>
          <xdr:colOff>1085850</xdr:colOff>
          <xdr:row>10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9525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9525</xdr:rowOff>
        </xdr:from>
        <xdr:to>
          <xdr:col>5</xdr:col>
          <xdr:colOff>1085850</xdr:colOff>
          <xdr:row>10</xdr:row>
          <xdr:rowOff>9525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190500</xdr:rowOff>
        </xdr:from>
        <xdr:to>
          <xdr:col>6</xdr:col>
          <xdr:colOff>0</xdr:colOff>
          <xdr:row>8</xdr:row>
          <xdr:rowOff>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180975</xdr:rowOff>
        </xdr:from>
        <xdr:to>
          <xdr:col>4</xdr:col>
          <xdr:colOff>9525</xdr:colOff>
          <xdr:row>15</xdr:row>
          <xdr:rowOff>495300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1076325</xdr:colOff>
          <xdr:row>10</xdr:row>
          <xdr:rowOff>180975</xdr:rowOff>
        </xdr:from>
        <xdr:to>
          <xdr:col>6</xdr:col>
          <xdr:colOff>0</xdr:colOff>
          <xdr:row>11</xdr:row>
          <xdr:rowOff>495300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9525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9</xdr:row>
          <xdr:rowOff>9525</xdr:rowOff>
        </xdr:from>
        <xdr:to>
          <xdr:col>10</xdr:col>
          <xdr:colOff>9525</xdr:colOff>
          <xdr:row>10</xdr:row>
          <xdr:rowOff>9525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9525</xdr:rowOff>
        </xdr:from>
        <xdr:to>
          <xdr:col>8</xdr:col>
          <xdr:colOff>0</xdr:colOff>
          <xdr:row>11</xdr:row>
          <xdr:rowOff>504825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15</xdr:row>
          <xdr:rowOff>0</xdr:rowOff>
        </xdr:from>
        <xdr:to>
          <xdr:col>8</xdr:col>
          <xdr:colOff>19050</xdr:colOff>
          <xdr:row>16</xdr:row>
          <xdr:rowOff>0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9525</xdr:rowOff>
        </xdr:from>
        <xdr:to>
          <xdr:col>12</xdr:col>
          <xdr:colOff>0</xdr:colOff>
          <xdr:row>7</xdr:row>
          <xdr:rowOff>495300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742950</xdr:colOff>
          <xdr:row>9</xdr:row>
          <xdr:rowOff>0</xdr:rowOff>
        </xdr:from>
        <xdr:to>
          <xdr:col>12</xdr:col>
          <xdr:colOff>0</xdr:colOff>
          <xdr:row>10</xdr:row>
          <xdr:rowOff>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11</xdr:row>
          <xdr:rowOff>0</xdr:rowOff>
        </xdr:from>
        <xdr:to>
          <xdr:col>12</xdr:col>
          <xdr:colOff>0</xdr:colOff>
          <xdr:row>12</xdr:row>
          <xdr:rowOff>19050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7</xdr:row>
          <xdr:rowOff>9525</xdr:rowOff>
        </xdr:from>
        <xdr:to>
          <xdr:col>14</xdr:col>
          <xdr:colOff>0</xdr:colOff>
          <xdr:row>8</xdr:row>
          <xdr:rowOff>9525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161925</xdr:colOff>
          <xdr:row>8</xdr:row>
          <xdr:rowOff>180975</xdr:rowOff>
        </xdr:from>
        <xdr:to>
          <xdr:col>13</xdr:col>
          <xdr:colOff>1085850</xdr:colOff>
          <xdr:row>10</xdr:row>
          <xdr:rowOff>9525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</a:t>
              </a: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161925</xdr:colOff>
          <xdr:row>11</xdr:row>
          <xdr:rowOff>0</xdr:rowOff>
        </xdr:from>
        <xdr:to>
          <xdr:col>14</xdr:col>
          <xdr:colOff>0</xdr:colOff>
          <xdr:row>12</xdr:row>
          <xdr:rowOff>19050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9</xdr:row>
          <xdr:rowOff>9525</xdr:rowOff>
        </xdr:from>
        <xdr:to>
          <xdr:col>15</xdr:col>
          <xdr:colOff>1085850</xdr:colOff>
          <xdr:row>10</xdr:row>
          <xdr:rowOff>9525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7</xdr:row>
          <xdr:rowOff>9525</xdr:rowOff>
        </xdr:from>
        <xdr:to>
          <xdr:col>15</xdr:col>
          <xdr:colOff>1085850</xdr:colOff>
          <xdr:row>8</xdr:row>
          <xdr:rowOff>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15</xdr:row>
          <xdr:rowOff>0</xdr:rowOff>
        </xdr:from>
        <xdr:to>
          <xdr:col>13</xdr:col>
          <xdr:colOff>1085850</xdr:colOff>
          <xdr:row>16</xdr:row>
          <xdr:rowOff>9525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11</xdr:row>
          <xdr:rowOff>9525</xdr:rowOff>
        </xdr:from>
        <xdr:to>
          <xdr:col>15</xdr:col>
          <xdr:colOff>1085850</xdr:colOff>
          <xdr:row>11</xdr:row>
          <xdr:rowOff>495300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9525</xdr:rowOff>
        </xdr:from>
        <xdr:to>
          <xdr:col>18</xdr:col>
          <xdr:colOff>19050</xdr:colOff>
          <xdr:row>9</xdr:row>
          <xdr:rowOff>504825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28575</xdr:colOff>
          <xdr:row>8</xdr:row>
          <xdr:rowOff>152400</xdr:rowOff>
        </xdr:from>
        <xdr:to>
          <xdr:col>20</xdr:col>
          <xdr:colOff>9525</xdr:colOff>
          <xdr:row>10</xdr:row>
          <xdr:rowOff>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11</xdr:row>
          <xdr:rowOff>9525</xdr:rowOff>
        </xdr:from>
        <xdr:to>
          <xdr:col>18</xdr:col>
          <xdr:colOff>9525</xdr:colOff>
          <xdr:row>12</xdr:row>
          <xdr:rowOff>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15</xdr:row>
          <xdr:rowOff>9525</xdr:rowOff>
        </xdr:from>
        <xdr:to>
          <xdr:col>18</xdr:col>
          <xdr:colOff>38100</xdr:colOff>
          <xdr:row>16</xdr:row>
          <xdr:rowOff>9525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</xdr:row>
          <xdr:rowOff>209550</xdr:rowOff>
        </xdr:from>
        <xdr:to>
          <xdr:col>13</xdr:col>
          <xdr:colOff>9525</xdr:colOff>
          <xdr:row>4</xdr:row>
          <xdr:rowOff>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M-2.1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at Average Rates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7</xdr:row>
          <xdr:rowOff>9525</xdr:rowOff>
        </xdr:from>
        <xdr:to>
          <xdr:col>10</xdr:col>
          <xdr:colOff>0</xdr:colOff>
          <xdr:row>8</xdr:row>
          <xdr:rowOff>9525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</xdr:row>
          <xdr:rowOff>9525</xdr:rowOff>
        </xdr:from>
        <xdr:to>
          <xdr:col>20</xdr:col>
          <xdr:colOff>9525</xdr:colOff>
          <xdr:row>7</xdr:row>
          <xdr:rowOff>495300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13</xdr:row>
          <xdr:rowOff>9525</xdr:rowOff>
        </xdr:from>
        <xdr:to>
          <xdr:col>2</xdr:col>
          <xdr:colOff>9525</xdr:colOff>
          <xdr:row>13</xdr:row>
          <xdr:rowOff>495300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19050</xdr:rowOff>
        </xdr:from>
        <xdr:to>
          <xdr:col>12</xdr:col>
          <xdr:colOff>0</xdr:colOff>
          <xdr:row>13</xdr:row>
          <xdr:rowOff>495300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13</xdr:row>
          <xdr:rowOff>0</xdr:rowOff>
        </xdr:from>
        <xdr:to>
          <xdr:col>14</xdr:col>
          <xdr:colOff>0</xdr:colOff>
          <xdr:row>13</xdr:row>
          <xdr:rowOff>495300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1085850</xdr:colOff>
          <xdr:row>12</xdr:row>
          <xdr:rowOff>180975</xdr:rowOff>
        </xdr:from>
        <xdr:to>
          <xdr:col>4</xdr:col>
          <xdr:colOff>9525</xdr:colOff>
          <xdr:row>13</xdr:row>
          <xdr:rowOff>485775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13</xdr:row>
          <xdr:rowOff>9525</xdr:rowOff>
        </xdr:from>
        <xdr:to>
          <xdr:col>18</xdr:col>
          <xdr:colOff>19050</xdr:colOff>
          <xdr:row>13</xdr:row>
          <xdr:rowOff>504825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13</xdr:row>
          <xdr:rowOff>0</xdr:rowOff>
        </xdr:from>
        <xdr:to>
          <xdr:col>8</xdr:col>
          <xdr:colOff>0</xdr:colOff>
          <xdr:row>14</xdr:row>
          <xdr:rowOff>9525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1085850</xdr:colOff>
          <xdr:row>13</xdr:row>
          <xdr:rowOff>0</xdr:rowOff>
        </xdr:from>
        <xdr:to>
          <xdr:col>6</xdr:col>
          <xdr:colOff>0</xdr:colOff>
          <xdr:row>14</xdr:row>
          <xdr:rowOff>0</xdr:rowOff>
        </xdr:to>
        <xdr:sp macro="" textlink="">
          <xdr:nvSpPr>
            <xdr:cNvPr id="1071" name="Butto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1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15</xdr:row>
          <xdr:rowOff>0</xdr:rowOff>
        </xdr:from>
        <xdr:to>
          <xdr:col>6</xdr:col>
          <xdr:colOff>0</xdr:colOff>
          <xdr:row>15</xdr:row>
          <xdr:rowOff>495300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7</xdr:row>
          <xdr:rowOff>9525</xdr:rowOff>
        </xdr:from>
        <xdr:to>
          <xdr:col>8</xdr:col>
          <xdr:colOff>9525</xdr:colOff>
          <xdr:row>8</xdr:row>
          <xdr:rowOff>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171450</xdr:colOff>
          <xdr:row>13</xdr:row>
          <xdr:rowOff>9525</xdr:rowOff>
        </xdr:from>
        <xdr:to>
          <xdr:col>15</xdr:col>
          <xdr:colOff>1085850</xdr:colOff>
          <xdr:row>14</xdr:row>
          <xdr:rowOff>0</xdr:rowOff>
        </xdr:to>
        <xdr:sp macro="" textlink="">
          <xdr:nvSpPr>
            <xdr:cNvPr id="1075" name="Butto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15</xdr:row>
          <xdr:rowOff>9525</xdr:rowOff>
        </xdr:from>
        <xdr:to>
          <xdr:col>16</xdr:col>
          <xdr:colOff>9525</xdr:colOff>
          <xdr:row>16</xdr:row>
          <xdr:rowOff>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1076325</xdr:colOff>
          <xdr:row>7</xdr:row>
          <xdr:rowOff>9525</xdr:rowOff>
        </xdr:from>
        <xdr:to>
          <xdr:col>18</xdr:col>
          <xdr:colOff>9525</xdr:colOff>
          <xdr:row>7</xdr:row>
          <xdr:rowOff>495300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11</xdr:row>
          <xdr:rowOff>9525</xdr:rowOff>
        </xdr:from>
        <xdr:to>
          <xdr:col>10</xdr:col>
          <xdr:colOff>9525</xdr:colOff>
          <xdr:row>12</xdr:row>
          <xdr:rowOff>9525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11</xdr:row>
          <xdr:rowOff>9525</xdr:rowOff>
        </xdr:from>
        <xdr:to>
          <xdr:col>20</xdr:col>
          <xdr:colOff>9525</xdr:colOff>
          <xdr:row>12</xdr:row>
          <xdr:rowOff>9525</xdr:rowOff>
        </xdr:to>
        <xdr:sp macro="" textlink="">
          <xdr:nvSpPr>
            <xdr:cNvPr id="1080" name="Butto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24</xdr:row>
      <xdr:rowOff>10885</xdr:rowOff>
    </xdr:from>
    <xdr:to>
      <xdr:col>12</xdr:col>
      <xdr:colOff>478972</xdr:colOff>
      <xdr:row>40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5131F082-9837-4F02-BF8E-C3A15881F33C}"/>
            </a:ext>
          </a:extLst>
        </xdr:cNvPr>
        <xdr:cNvSpPr/>
      </xdr:nvSpPr>
      <xdr:spPr bwMode="auto">
        <a:xfrm>
          <a:off x="12472307" y="3897085"/>
          <a:ext cx="970190" cy="25908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crgroup22com-my.sharepoint.com/albgp02/R:/Fuel%20Over-Under%20and%20Revenue%20Worksheets/TEXAS%20OVER-UNDER%20Fuel%20Recovery%20Worksheet/FUEL%20PUC%201997-2001detail-backup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DS.xlsx" TargetMode="External"/><Relationship Id="rId1" Type="http://schemas.openxmlformats.org/officeDocument/2006/relationships/externalLinkPath" Target="https://dukeenergy-my.sharepoint.com/Rate%20Case%20Filings/DEK%20Electric%20Case%202024-xxx/M%20Schedules/Sched%20M%20Detail/Rate%20Class%20Files%20-%20Application/DEK_DS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DT.xlsx" TargetMode="External"/><Relationship Id="rId1" Type="http://schemas.openxmlformats.org/officeDocument/2006/relationships/externalLinkPath" Target="https://dukeenergy-my.sharepoint.com/Rate%20Case%20Filings/DEK%20Electric%20Case%202024-xxx/M%20Schedules/Sched%20M%20Detail/Rate%20Class%20Files%20-%20Application/DEK_DT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EH.xlsx" TargetMode="External"/><Relationship Id="rId1" Type="http://schemas.openxmlformats.org/officeDocument/2006/relationships/externalLinkPath" Target="https://dukeenergy-my.sharepoint.com/Rate%20Case%20Filings/DEK%20Electric%20Case%202024-xxx/M%20Schedules/Sched%20M%20Detail/Rate%20Class%20Files%20-%20Application/DEK_EH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SP.xlsx" TargetMode="External"/><Relationship Id="rId1" Type="http://schemas.openxmlformats.org/officeDocument/2006/relationships/externalLinkPath" Target="https://dukeenergy-my.sharepoint.com/Rate%20Case%20Filings/DEK%20Electric%20Case%202024-xxx/M%20Schedules/Sched%20M%20Detail/Rate%20Class%20Files%20-%20Application/DEK_SP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GSFL.xlsx" TargetMode="External"/><Relationship Id="rId1" Type="http://schemas.openxmlformats.org/officeDocument/2006/relationships/externalLinkPath" Target="https://dukeenergy-my.sharepoint.com/Rate%20Case%20Filings/DEK%20Electric%20Case%202024-xxx/M%20Schedules/Sched%20M%20Detail/Rate%20Class%20Files%20-%20Application/DEK_GSFL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DP.xlsx" TargetMode="External"/><Relationship Id="rId1" Type="http://schemas.openxmlformats.org/officeDocument/2006/relationships/externalLinkPath" Target="https://dukeenergy-my.sharepoint.com/Rate%20Case%20Filings/DEK%20Electric%20Case%202024-xxx/M%20Schedules/Sched%20M%20Detail/Rate%20Class%20Files%20-%20Application/DEK_DP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TT.xlsx" TargetMode="External"/><Relationship Id="rId1" Type="http://schemas.openxmlformats.org/officeDocument/2006/relationships/externalLinkPath" Target="https://dukeenergy-my.sharepoint.com/Rate%20Case%20Filings/DEK%20Electric%20Case%202024-xxx/M%20Schedules/Sched%20M%20Detail/Rate%20Class%20Files%20-%20Application/DEK_TT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Allocation%20Files\Allocators%20for%20Customer%20Class%20to%20Rate%20Schedules%20-%20w%20Fixed%20SL%20KWH%20Addressed.xlsx" TargetMode="External"/><Relationship Id="rId1" Type="http://schemas.openxmlformats.org/officeDocument/2006/relationships/externalLinkPath" Target="https://dukeenergy-my.sharepoint.com/Rate%20Case%20Filings/DEK%20Electric%20Case%202024-xxx/M%20Schedules/Sched%20M%20Detail/Allocation%20Files/Allocators%20for%20Customer%20Class%20to%20Rate%20Schedules%20-%20w%20Fixed%20SL%20KWH%20Address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crgroup22com-my.sharepoint.com/albgp02/C:/Documents%20and%20Settings/bsparks/Local%20Settings/Temporary%20Internet%20Files/OLK3/2003%20Da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ate%20Case%20Filings\DEK%20Electric%20Case%202011-00xxx%20Not%20Filed\COSS\2011-xxx_2010_TestYearCOSS%20FILE\DEK%20COMBINED%202011%20ELEC%20RATE%20CASE%20COSS_HistoricalSFR_PROPOSED-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lbgp02/albgp02/Pricing/09-Weather%20Info/ABQ%20Daily%20Temp%20Data%20-%20'48%20to%20Present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jbieber\Downloads\STAFF-DR-01-054_Attachment_-_DEK_Electric_COSS_2024_Macros_Disabled.xlsx" TargetMode="External"/><Relationship Id="rId2" Type="http://schemas.microsoft.com/office/2019/04/relationships/externalLinkLongPath" Target="/sites/EnergyStrategies797/Project%20Folders/Kroger%20-%20Kentucky/Duke%20Kentucky%202024%20Rate%20Case%20(2024-00354)/Karan's%20work/Direct%20Testimony/Workpapers/STAFF-DR-01-054_Attachment_-_DEK_Electric_COSS_2024_Macros_Disabled.xlsx?6DD2B71F" TargetMode="External"/><Relationship Id="rId1" Type="http://schemas.openxmlformats.org/officeDocument/2006/relationships/externalLinkPath" Target="file:///\\6DD2B71F\STAFF-DR-01-054_Attachment_-_DEK_Electric_COSS_2024_Macros_Disable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%20Filings/DEK%20Electric%20Case%202010/COSS/ULHP%20Elec%202006%20COSS%20as%20Filed/12%20CP%20COSS%20and%20WPs/RS%20WITH%20FORMULAS%20ULHP_unbundled_Allocation_8%20761%20from%20Marlene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nergystrategy.sharepoint.com/sites/EnergyStrategies797/Project%20Folders/Kroger%20-%20New%20Mexico/PNM%202024%20Rate%20Case%20(24-00089)/Karan's%20work/2022%20Files/Kroger%203B%20Rate%20Design%20Attachments%20WP_06-23-2023.xlsm" TargetMode="External"/><Relationship Id="rId1" Type="http://schemas.openxmlformats.org/officeDocument/2006/relationships/externalLinkPath" Target="/sites/EnergyStrategies797/Project%20Folders/Kroger%20-%20New%20Mexico/PNM%202024%20Rate%20Case%20(24-00089)/Karan's%20work/2022%20Files/Kroger%203B%20Rate%20Design%20Attachments%20WP_06-23-2023.xlsm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Rate%20Case%20Filings\DEK%20Electric%20Case%202024-xxx\M%20Schedules\Sched%20M%20Detail\Rate%20Class%20Files%20-%20Application\DEK_WS.xlsx" TargetMode="External"/><Relationship Id="rId1" Type="http://schemas.openxmlformats.org/officeDocument/2006/relationships/externalLinkPath" Target="https://dukeenergy-my.sharepoint.com/Rate%20Case%20Filings/DEK%20Electric%20Case%202024-xxx/M%20Schedules/Sched%20M%20Detail/Rate%20Class%20Files%20-%20Application/DEK_WS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RS.xlsx" TargetMode="External"/><Relationship Id="rId1" Type="http://schemas.openxmlformats.org/officeDocument/2006/relationships/externalLinkPath" Target="https://dukeenergy-my.sharepoint.com/Rate%20Case%20Filings/DEK%20Electric%20Case%202024-xxx/M%20Schedules/Sched%20M%20Detail/Rate%20Class%20Files%20-%20Application/DEK_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 Under Recovery Calc"/>
      <sheetName val="Fuels Burned Expense"/>
      <sheetName val="Eligible Pur Pow Energy Expense"/>
      <sheetName val="TNP1 Replacmnt Pwr Expense"/>
      <sheetName val="Total Pur Pwr Expense"/>
      <sheetName val="Non Recon Fuel Expense"/>
      <sheetName val="Amoco Mkt Adj"/>
      <sheetName val="Off System Sales"/>
      <sheetName val="OffSystemSales (2)"/>
      <sheetName val="kWh Sales per Gen Ledger "/>
      <sheetName val="Rev by CClass per Gen Ledger"/>
      <sheetName val="Customers"/>
      <sheetName val="kWh Sales by class per Reg"/>
      <sheetName val="Fuel Rev by Cust Class per Reg"/>
      <sheetName val="Nat Gas Purchases"/>
      <sheetName val="Lignite Purchases"/>
      <sheetName val="Alt Fuels Pur"/>
      <sheetName val="PCRF Energy Rev by cust class"/>
      <sheetName val="CompUse"/>
      <sheetName val="System Loss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SIN"/>
      <sheetName val="DSINSAP"/>
      <sheetName val="kWh"/>
      <sheetName val="kW"/>
      <sheetName val="Bills"/>
      <sheetName val="KWHtoCC"/>
      <sheetName val="Bills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0">
          <cell r="B70">
            <v>348050244</v>
          </cell>
          <cell r="D70">
            <v>228571887</v>
          </cell>
          <cell r="E70">
            <v>66268</v>
          </cell>
          <cell r="F70">
            <v>928876</v>
          </cell>
          <cell r="G70">
            <v>-2961</v>
          </cell>
          <cell r="I70">
            <v>519725648</v>
          </cell>
        </row>
      </sheetData>
      <sheetData sheetId="9">
        <row r="71">
          <cell r="B71">
            <v>1355176</v>
          </cell>
          <cell r="C71">
            <v>2641511</v>
          </cell>
        </row>
      </sheetData>
      <sheetData sheetId="10">
        <row r="71">
          <cell r="C71">
            <v>75311</v>
          </cell>
          <cell r="D71">
            <v>1545</v>
          </cell>
          <cell r="G71">
            <v>12</v>
          </cell>
          <cell r="I71">
            <v>79682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TIN"/>
      <sheetName val="kWh"/>
      <sheetName val="kW"/>
      <sheetName val="Bills"/>
      <sheetName val="KWH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B70">
            <v>122342951</v>
          </cell>
          <cell r="C70">
            <v>47977504</v>
          </cell>
          <cell r="E70">
            <v>83597903</v>
          </cell>
          <cell r="G70">
            <v>63597049</v>
          </cell>
          <cell r="H70">
            <v>274429684</v>
          </cell>
          <cell r="I70">
            <v>109435196</v>
          </cell>
          <cell r="J70">
            <v>1106948</v>
          </cell>
          <cell r="L70">
            <v>221049082</v>
          </cell>
          <cell r="M70">
            <v>152583920</v>
          </cell>
        </row>
      </sheetData>
      <sheetData sheetId="7">
        <row r="72">
          <cell r="B72">
            <v>7223</v>
          </cell>
          <cell r="C72">
            <v>338380</v>
          </cell>
          <cell r="D72">
            <v>14975</v>
          </cell>
          <cell r="E72">
            <v>611457</v>
          </cell>
          <cell r="F72">
            <v>5222</v>
          </cell>
          <cell r="G72">
            <v>429404</v>
          </cell>
          <cell r="H72">
            <v>15182</v>
          </cell>
          <cell r="I72">
            <v>778656</v>
          </cell>
          <cell r="J72">
            <v>115401</v>
          </cell>
          <cell r="K72">
            <v>230030</v>
          </cell>
          <cell r="L72">
            <v>235648</v>
          </cell>
          <cell r="M72">
            <v>390956</v>
          </cell>
        </row>
      </sheetData>
      <sheetData sheetId="8">
        <row r="71">
          <cell r="B71">
            <v>131</v>
          </cell>
          <cell r="C71">
            <v>264</v>
          </cell>
          <cell r="D71">
            <v>458</v>
          </cell>
          <cell r="G71">
            <v>12</v>
          </cell>
          <cell r="I71">
            <v>905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HINSAP"/>
      <sheetName val="KWHtoCC"/>
      <sheetName val="RCtoCCtable"/>
      <sheetName val="Forecast KWH"/>
      <sheetName val="Forecast BILLS"/>
    </sheetNames>
    <sheetDataSet>
      <sheetData sheetId="0"/>
      <sheetData sheetId="1"/>
      <sheetData sheetId="2"/>
      <sheetData sheetId="3">
        <row r="70">
          <cell r="I70">
            <v>19145457</v>
          </cell>
        </row>
      </sheetData>
      <sheetData sheetId="4">
        <row r="71">
          <cell r="B71">
            <v>204</v>
          </cell>
          <cell r="I71">
            <v>802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IN"/>
      <sheetName val="KWHtoCC"/>
      <sheetName val="RCtoCCtable"/>
      <sheetName val="Forecast KWH"/>
      <sheetName val="Forecast BILLS"/>
    </sheetNames>
    <sheetDataSet>
      <sheetData sheetId="0"/>
      <sheetData sheetId="1"/>
      <sheetData sheetId="2"/>
      <sheetData sheetId="3">
        <row r="70">
          <cell r="B70">
            <v>327203</v>
          </cell>
        </row>
      </sheetData>
      <sheetData sheetId="4">
        <row r="71">
          <cell r="B71">
            <v>166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SFLIN"/>
      <sheetName val="GSFLINY"/>
      <sheetName val="kwh"/>
      <sheetName val="Bills"/>
      <sheetName val="KWHtoCC"/>
      <sheetName val="RCtoCCtable"/>
      <sheetName val="Forecast KWH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B70">
            <v>11644</v>
          </cell>
          <cell r="I70">
            <v>5911099</v>
          </cell>
        </row>
      </sheetData>
      <sheetData sheetId="7">
        <row r="71">
          <cell r="D71">
            <v>275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PINSAP"/>
      <sheetName val="kWh"/>
      <sheetName val="kW"/>
      <sheetName val="Bills"/>
      <sheetName val="KWH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C70">
            <v>869355</v>
          </cell>
          <cell r="D70">
            <v>0</v>
          </cell>
          <cell r="I70">
            <v>6857618</v>
          </cell>
        </row>
      </sheetData>
      <sheetData sheetId="7">
        <row r="71">
          <cell r="B71">
            <v>27415</v>
          </cell>
        </row>
      </sheetData>
      <sheetData sheetId="8">
        <row r="71">
          <cell r="B71">
            <v>120</v>
          </cell>
          <cell r="D71">
            <v>24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TIN"/>
      <sheetName val="kWh"/>
      <sheetName val="kW"/>
      <sheetName val="Bills"/>
      <sheetName val="KWH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C70">
            <v>16346458</v>
          </cell>
          <cell r="E70">
            <v>32710232</v>
          </cell>
          <cell r="F70">
            <v>12132774</v>
          </cell>
          <cell r="H70">
            <v>45720250</v>
          </cell>
          <cell r="I70">
            <v>90686117</v>
          </cell>
        </row>
      </sheetData>
      <sheetData sheetId="7">
        <row r="72">
          <cell r="B72">
            <v>5347</v>
          </cell>
          <cell r="C72">
            <v>127467</v>
          </cell>
          <cell r="D72">
            <v>8487</v>
          </cell>
          <cell r="E72">
            <v>256942</v>
          </cell>
        </row>
      </sheetData>
      <sheetData sheetId="8">
        <row r="71">
          <cell r="B71">
            <v>52</v>
          </cell>
          <cell r="C71">
            <v>104</v>
          </cell>
          <cell r="G71">
            <v>24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"/>
      <sheetName val="COM"/>
      <sheetName val="IND"/>
      <sheetName val="OPA"/>
      <sheetName val="SL"/>
      <sheetName val="Fixed SL"/>
      <sheetName val="CU"/>
      <sheetName val="Forecast kWh"/>
      <sheetName val="RAC KWH"/>
      <sheetName val="RES Bills"/>
      <sheetName val="COM Bills"/>
      <sheetName val="IND Bills"/>
      <sheetName val="OPA Bills"/>
      <sheetName val="SL Bills"/>
      <sheetName val="CU Bills"/>
      <sheetName val="Forecast Bills"/>
      <sheetName val="RAC Bills"/>
    </sheetNames>
    <sheetDataSet>
      <sheetData sheetId="0"/>
      <sheetData sheetId="1"/>
      <sheetData sheetId="2"/>
      <sheetData sheetId="3"/>
      <sheetData sheetId="4"/>
      <sheetData sheetId="5">
        <row r="6">
          <cell r="T6">
            <v>1436827.8010000002</v>
          </cell>
        </row>
      </sheetData>
      <sheetData sheetId="6"/>
      <sheetData sheetId="7">
        <row r="21">
          <cell r="U21">
            <v>705518</v>
          </cell>
        </row>
        <row r="22">
          <cell r="U22">
            <v>385187</v>
          </cell>
        </row>
        <row r="23">
          <cell r="U23">
            <v>982791</v>
          </cell>
        </row>
        <row r="24">
          <cell r="U24">
            <v>650856</v>
          </cell>
        </row>
        <row r="25">
          <cell r="U25">
            <v>752960</v>
          </cell>
        </row>
        <row r="26">
          <cell r="U26">
            <v>835765</v>
          </cell>
        </row>
        <row r="27">
          <cell r="U27">
            <v>782698</v>
          </cell>
        </row>
        <row r="28">
          <cell r="U28">
            <v>679063</v>
          </cell>
        </row>
        <row r="29">
          <cell r="U29">
            <v>759934</v>
          </cell>
        </row>
        <row r="30">
          <cell r="U30">
            <v>697511</v>
          </cell>
        </row>
        <row r="31">
          <cell r="U31">
            <v>542784</v>
          </cell>
        </row>
        <row r="32">
          <cell r="U32">
            <v>767112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t 232017"/>
      <sheetName val="Disp Fee 232053"/>
      <sheetName val="253077 - Dry Cask Storage "/>
      <sheetName val="D&amp;D 228400"/>
      <sheetName val="120 Detail"/>
      <sheetName val="Acct 518"/>
      <sheetName val="Acct 120.5"/>
      <sheetName val="D&amp;D 426500"/>
      <sheetName val="Acct 419120_00"/>
      <sheetName val="PVNGS Generation"/>
      <sheetName val="Mapping Table"/>
      <sheetName val="Control 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B ck"/>
      <sheetName val="WP Data Req Summary"/>
      <sheetName val="NOTES"/>
      <sheetName val="HEADERS"/>
      <sheetName val="SFR_tie"/>
      <sheetName val="macro"/>
      <sheetName val="coss"/>
      <sheetName val="allocators"/>
      <sheetName val="RS"/>
      <sheetName val="RS allocators"/>
      <sheetName val="DS"/>
      <sheetName val="DS allocators"/>
      <sheetName val="DS-RTP"/>
      <sheetName val="DS-RTP allocators"/>
      <sheetName val="GSFL"/>
      <sheetName val="GSFL allocators"/>
      <sheetName val="EH"/>
      <sheetName val="EH allocators"/>
      <sheetName val="SP"/>
      <sheetName val="SP allocators"/>
      <sheetName val="DT_SEC"/>
      <sheetName val="DT_SEC allocators"/>
      <sheetName val="DT_SEC_RTP"/>
      <sheetName val="DT_SEC_RTP allocators"/>
      <sheetName val="DT_PRI"/>
      <sheetName val="DT_PRI allocators"/>
      <sheetName val="DT_PRI_RTP"/>
      <sheetName val="DT_PRI_RTP allocators"/>
      <sheetName val="DP"/>
      <sheetName val="DP allocators"/>
      <sheetName val="TT"/>
      <sheetName val="TT allocators"/>
      <sheetName val="TT_RTP"/>
      <sheetName val="TT_RTP allocators"/>
      <sheetName val="LT"/>
      <sheetName val="LT allocators"/>
      <sheetName val="OTHER"/>
      <sheetName val="OTHER allocators"/>
      <sheetName val="P1of51 rateincr_exhibit"/>
      <sheetName val="print_macros"/>
      <sheetName val="P2of51-gen"/>
      <sheetName val="P3of51-dist"/>
      <sheetName val="P4of51-meters"/>
      <sheetName val="P5of51-CustAcct"/>
      <sheetName val="P6of51-Distlines"/>
      <sheetName val="P7of51-Wtd services"/>
      <sheetName val="P8of51 kwhanalysis"/>
      <sheetName val="P9of51 CP NCP sum"/>
      <sheetName val="P10of51 Sys Peak"/>
      <sheetName val="P11of51 RS"/>
      <sheetName val="P12 of51 "/>
      <sheetName val="P13to17of51DS Sec"/>
      <sheetName val="P18TO19of51DP Pri"/>
      <sheetName val="P20to21of51 TT"/>
      <sheetName val="P22of51 LT"/>
      <sheetName val="P23to24of51 DT Pri"/>
      <sheetName val="P25to26of51 DT Sec"/>
      <sheetName val="P27of51 OTHER"/>
      <sheetName val="p28OF51 GSFL"/>
      <sheetName val="p29OF51 EH"/>
      <sheetName val="p30OF51 sp"/>
      <sheetName val="p31to36of51 LossRatios"/>
      <sheetName val="P37of11 Load Res RS"/>
      <sheetName val="P38of51 Load Res DS"/>
      <sheetName val="P39of51 LoadRes DS_LG"/>
      <sheetName val="P40of51 LoadRes DP"/>
      <sheetName val="P41of51 LoadRes DTSEC"/>
      <sheetName val="P42of51 DTPRI"/>
      <sheetName val="P43of51LoadRes EH"/>
      <sheetName val="p44of51LoadRes TT"/>
      <sheetName val="P45of51Conduct&amp;dev"/>
      <sheetName val="P46of51Service cost wgt"/>
      <sheetName val="P47of51 901 - 913 AcctSum "/>
      <sheetName val="P48of51 BurnHours"/>
      <sheetName val="P49of51 2010KWH"/>
      <sheetName val="P50of51 2010CUST"/>
      <sheetName val="P51of51 Func labor"/>
      <sheetName val="51backup"/>
      <sheetName val="PRINT"/>
    </sheetNames>
    <sheetDataSet>
      <sheetData sheetId="0"/>
      <sheetData sheetId="1" refreshError="1"/>
      <sheetData sheetId="2"/>
      <sheetData sheetId="3">
        <row r="2">
          <cell r="F2" t="str">
            <v>TBD</v>
          </cell>
        </row>
      </sheetData>
      <sheetData sheetId="4"/>
      <sheetData sheetId="5"/>
      <sheetData sheetId="6">
        <row r="313">
          <cell r="J313">
            <v>605180442</v>
          </cell>
        </row>
      </sheetData>
      <sheetData sheetId="7">
        <row r="1">
          <cell r="V1" t="str">
            <v>FR-9v-1</v>
          </cell>
        </row>
      </sheetData>
      <sheetData sheetId="8"/>
      <sheetData sheetId="9">
        <row r="9">
          <cell r="D9" t="str">
            <v>K_rbprod_d</v>
          </cell>
        </row>
      </sheetData>
      <sheetData sheetId="10"/>
      <sheetData sheetId="11">
        <row r="9">
          <cell r="D9" t="str">
            <v>K_rbprod_d</v>
          </cell>
        </row>
      </sheetData>
      <sheetData sheetId="12"/>
      <sheetData sheetId="13">
        <row r="9">
          <cell r="D9" t="str">
            <v>K_rbprod_d</v>
          </cell>
        </row>
      </sheetData>
      <sheetData sheetId="14"/>
      <sheetData sheetId="15">
        <row r="9">
          <cell r="D9" t="str">
            <v>K_rbprod_d</v>
          </cell>
        </row>
      </sheetData>
      <sheetData sheetId="16"/>
      <sheetData sheetId="17">
        <row r="9">
          <cell r="D9" t="str">
            <v>K_rbprod_d</v>
          </cell>
        </row>
      </sheetData>
      <sheetData sheetId="18"/>
      <sheetData sheetId="19">
        <row r="9">
          <cell r="D9" t="str">
            <v>K_rbprod_d</v>
          </cell>
        </row>
      </sheetData>
      <sheetData sheetId="20"/>
      <sheetData sheetId="21">
        <row r="9">
          <cell r="D9" t="str">
            <v>K_rbprod_d</v>
          </cell>
        </row>
      </sheetData>
      <sheetData sheetId="22"/>
      <sheetData sheetId="23">
        <row r="9">
          <cell r="D9" t="str">
            <v>K_rbprod_d</v>
          </cell>
        </row>
      </sheetData>
      <sheetData sheetId="24"/>
      <sheetData sheetId="25">
        <row r="9">
          <cell r="D9" t="str">
            <v>K_rbprod_d</v>
          </cell>
        </row>
      </sheetData>
      <sheetData sheetId="26"/>
      <sheetData sheetId="27">
        <row r="9">
          <cell r="D9" t="str">
            <v>K_rbprod_d</v>
          </cell>
        </row>
      </sheetData>
      <sheetData sheetId="28"/>
      <sheetData sheetId="29">
        <row r="9">
          <cell r="D9" t="str">
            <v>K_rbprod_d</v>
          </cell>
        </row>
      </sheetData>
      <sheetData sheetId="30"/>
      <sheetData sheetId="31">
        <row r="9">
          <cell r="D9" t="str">
            <v>K_rbprod_d</v>
          </cell>
        </row>
      </sheetData>
      <sheetData sheetId="32"/>
      <sheetData sheetId="33">
        <row r="9">
          <cell r="D9" t="str">
            <v>K_rbprod_d</v>
          </cell>
        </row>
      </sheetData>
      <sheetData sheetId="34"/>
      <sheetData sheetId="35">
        <row r="9">
          <cell r="D9" t="str">
            <v>K_rbprod_d</v>
          </cell>
        </row>
      </sheetData>
      <sheetData sheetId="36"/>
      <sheetData sheetId="37">
        <row r="9">
          <cell r="D9" t="str">
            <v>K_rbprod_d</v>
          </cell>
        </row>
      </sheetData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Dat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WP Data Req Summary"/>
      <sheetName val="Print &amp; Input"/>
      <sheetName val="Rev req link"/>
      <sheetName val="CustomerCharge"/>
      <sheetName val="FR-16(7)(v)-1 Functional"/>
      <sheetName val="FR-16(7)(v)-2 PROD Classified"/>
      <sheetName val="FR-16(7)(v)-3 PROD Demand"/>
      <sheetName val="FR-16(7)(v)-4 PROD Energy"/>
      <sheetName val="FR-16(7)(v)-5 PROD Cust"/>
      <sheetName val="FR-16(7)(v)-6 TRANS Classified"/>
      <sheetName val="FR-16(7)(v)-7 TRANS Demand"/>
      <sheetName val="FR-16(7)(v)-8 TRANS Energy"/>
      <sheetName val="FR-16(7)(v)-9 TRANS Cust"/>
      <sheetName val="FR-16(7)(v)-10 DIST Classified"/>
      <sheetName val="FR-16(7)(v)-11 DIST Demand"/>
      <sheetName val="FR-16(7)(v)-12 DIST Energy"/>
      <sheetName val="FR-16(7)(v)-13 DIST Cust"/>
      <sheetName val="Allocated COSS Check Total"/>
      <sheetName val="FR-16(7)(v)-14 TOTAL CLASS"/>
      <sheetName val="FR-16(7)(v)-15 RES Classified"/>
      <sheetName val="FR-16(7)(v)-16 DS Classified"/>
      <sheetName val="FR-16(7)(v)-17 GSFL Classified"/>
      <sheetName val="FR-16(7)(v)-18 EH Classified"/>
      <sheetName val="FR-16(7)(v)-19 SP Classified"/>
      <sheetName val="FR-16(7)(v)-20 DTS Classified"/>
      <sheetName val="FR-16(7)(v)-21 DTP Classified"/>
      <sheetName val="FR-16(7)(v)-22 DP Classified"/>
      <sheetName val="FR-16(7)(v)-23 TT Classified"/>
      <sheetName val="FR-16(7)(v)-24 LT Classified"/>
      <sheetName val="FR-16(7)(v)-25 OTH Classified"/>
      <sheetName val="Input Data"/>
      <sheetName val="WP FR-16(7)(v)-KW &amp; KWH @Gen"/>
      <sheetName val="WP FR-16(7)(v)-KW &amp; KWH @Dist"/>
      <sheetName val="WP FR-16(7)(v) Meters"/>
      <sheetName val="WP FR-16(7)(v) CustAcct"/>
      <sheetName val="WP FR-16(7)(v) Distlines"/>
      <sheetName val="WP FR-16(7)(v) Wtd services"/>
      <sheetName val="WP FR-16(7)(v) kwh analysis"/>
      <sheetName val="WP FR-16(7)(v) CP NCP sum"/>
      <sheetName val="WP FR-16(7)(v) Sys Peak"/>
      <sheetName val="WP FR-16(7)(v) RS - KW"/>
      <sheetName val="WP FR-16(7)(v) DS Tot - KW"/>
      <sheetName val="WP FR-16(7)(v) DS Sec - KW"/>
      <sheetName val="WP FR-16(7)(v) DP Pri - KW"/>
      <sheetName val="WP FR-16(7)(v) TT - KW"/>
      <sheetName val="WP FR-16(7)(v) LT - KW"/>
      <sheetName val="WP FR-16(7)(v) DT Pri - KW"/>
      <sheetName val="WP FR-16(7)(v) DT Sec - KW"/>
      <sheetName val="WP FR-16(7)(v) OTHER - KW"/>
      <sheetName val="WP FR-16(7)(v) GSFL - KW"/>
      <sheetName val="WP FR-16(7)(v) EH - KW"/>
      <sheetName val="WP FR-16(7)(v) SP - KW"/>
      <sheetName val="WP FR-16(7)(v) LossRatios"/>
      <sheetName val="WP FR-16(7)(v) Load Res RS"/>
      <sheetName val="WP FR-16(7)(v) LoadRes DS"/>
      <sheetName val="WP FR-16(7)(v) LoadRes DS_LG"/>
      <sheetName val="WP FR-16(7)(v) LoadRes DP"/>
      <sheetName val="WP FR-16(7)(v) LoadRes DTSEC"/>
      <sheetName val="WP FR-16(7)(v) LoadRes DTPRI"/>
      <sheetName val="WP FR-16(7)(v) LoadRes EH"/>
      <sheetName val="WP FR-16(7)(v) LoadRes TT"/>
      <sheetName val="WP FR-16(7)(v) Conduct&amp;dev"/>
      <sheetName val="WP FR-16(7)(v) Serv cost wgt"/>
      <sheetName val="WP FR-16(7)(v) BurnHours"/>
      <sheetName val="WP FR-16(7)(v) KWH"/>
      <sheetName val="WP FR-16(7)(v) AVG CUST"/>
      <sheetName val="WP FR-16(7)(v) Min Siz Trans 1"/>
      <sheetName val="WP FR-16(7)(v) Min Siz Trans 2"/>
      <sheetName val="WP FR-16(7)(v) MinSizPrimPole1"/>
      <sheetName val="WP FR-16(7)(v) MinSizPrimPole2"/>
      <sheetName val="WP FR-16(7)(v) MinSizSecPole1"/>
      <sheetName val="WP FR-16(7)(v) MinSizSecPole2"/>
      <sheetName val="WP FR-16(7)(v) MinSizOHPRIM1"/>
      <sheetName val="WP FR-16(7)(v) MinSizeOHPRIM2"/>
      <sheetName val="WP FR-16(7)(v) MinSizOHSEC1"/>
      <sheetName val="WP FR-16(7)(v) MinSizOHSEC2"/>
      <sheetName val="WP FR-16(7)(v) MinSizUGPRIM1"/>
      <sheetName val="WP FR-16(7)(v) MinSizUGPRIM2"/>
      <sheetName val="WP FR-16(7)(v) MinSizUGSEC1"/>
      <sheetName val="WP FR-16(7)(v) MinSizUGSEC2"/>
      <sheetName val="Minimum Size Summary"/>
      <sheetName val="WP FR-16(7)(v) A&amp;G WP"/>
      <sheetName val="WP FR-16(7)(v) Pres NOI"/>
      <sheetName val="WP FR-16(7)(v) Rate Incr"/>
    </sheetNames>
    <sheetDataSet>
      <sheetData sheetId="0" refreshError="1"/>
      <sheetData sheetId="1">
        <row r="1">
          <cell r="A1" t="str">
            <v>DUKE ENERGY KENTUCKY, INC.</v>
          </cell>
          <cell r="D1" t="str">
            <v>No</v>
          </cell>
        </row>
        <row r="2">
          <cell r="A2" t="str">
            <v xml:space="preserve">ELECTRIC COST OF SERVICE STUDY </v>
          </cell>
          <cell r="D2">
            <v>18</v>
          </cell>
        </row>
        <row r="3">
          <cell r="A3" t="str">
            <v>CASE NO: 2024-00354</v>
          </cell>
          <cell r="D3">
            <v>15</v>
          </cell>
        </row>
        <row r="4">
          <cell r="A4" t="str">
            <v>TWELVE MONTHS ENDING JUNE 30, 2026</v>
          </cell>
        </row>
        <row r="5">
          <cell r="A5" t="str">
            <v>DATA: 12 MONTHS ACTUAL  &amp; 0 MONTHS ESTIMATED</v>
          </cell>
        </row>
        <row r="6">
          <cell r="A6" t="str">
            <v>JAMES E. ZIOLKOWSKI</v>
          </cell>
        </row>
        <row r="7">
          <cell r="A7" t="str">
            <v>JAMES E. ZIOLKOWSKI</v>
          </cell>
        </row>
        <row r="8">
          <cell r="A8" t="str">
            <v xml:space="preserve">TYPE OF FILING: "X" ORIGINAL   UPDATED    REVISED  </v>
          </cell>
        </row>
        <row r="9">
          <cell r="A9" t="str">
            <v>ALLOCATION FACTORS FOR COST OF SERVICE STUDY</v>
          </cell>
        </row>
        <row r="10">
          <cell r="A10" t="str">
            <v>TWELVE MONTHS ENDING MAY 31, 2024</v>
          </cell>
        </row>
        <row r="11">
          <cell r="A11" t="str">
            <v>TOTAL KW (12 COIN PEAK)</v>
          </cell>
        </row>
      </sheetData>
      <sheetData sheetId="2" refreshError="1"/>
      <sheetData sheetId="3" refreshError="1"/>
      <sheetData sheetId="4">
        <row r="12">
          <cell r="C12" t="str">
            <v>GROSS ELECTRIC PLANT IN SERVICE</v>
          </cell>
        </row>
        <row r="13">
          <cell r="C13" t="str">
            <v>TOTAL DEPRECIATION RESERVE</v>
          </cell>
        </row>
        <row r="14">
          <cell r="C14" t="str">
            <v>TOTAL RATE BASE ADJUSTMENTS</v>
          </cell>
        </row>
        <row r="15">
          <cell r="C15" t="str">
            <v xml:space="preserve">  TOTAL RATE BASE</v>
          </cell>
        </row>
        <row r="18">
          <cell r="C18" t="str">
            <v>TOTAL O&amp;M EXPENSE</v>
          </cell>
        </row>
        <row r="19">
          <cell r="C19" t="str">
            <v>TOTAL DEPRECIATION EXPENSE</v>
          </cell>
        </row>
        <row r="20">
          <cell r="C20" t="str">
            <v>TOTAL OTHER TAX &amp; MISC EXPENSE</v>
          </cell>
        </row>
        <row r="21">
          <cell r="C21" t="str">
            <v xml:space="preserve">  TOTAL OP EXP EXCLUDING INC &amp; REV TAX</v>
          </cell>
        </row>
        <row r="22">
          <cell r="C22" t="str">
            <v>NET FED INCOME TAX EXP ALLOWABLE</v>
          </cell>
        </row>
        <row r="24">
          <cell r="D24" t="str">
            <v>CW29</v>
          </cell>
        </row>
        <row r="25">
          <cell r="C25" t="str">
            <v>REVENUE TAX</v>
          </cell>
        </row>
        <row r="26">
          <cell r="C26" t="str">
            <v xml:space="preserve">  TOTAL OPERATING EXPENSE</v>
          </cell>
        </row>
        <row r="30">
          <cell r="C30" t="str">
            <v>TOTAL ELECTRIC COST OF SERVICE</v>
          </cell>
        </row>
        <row r="32">
          <cell r="B32" t="str">
            <v>REQUESTED REVENUES (COST OF SERVICE ADJUSTED FOR SUBSIDIES)</v>
          </cell>
        </row>
        <row r="59">
          <cell r="D59" t="str">
            <v>K201</v>
          </cell>
        </row>
        <row r="60">
          <cell r="D60" t="str">
            <v>K201</v>
          </cell>
        </row>
        <row r="61">
          <cell r="C61" t="str">
            <v>ADJUSTMENT</v>
          </cell>
          <cell r="D61" t="str">
            <v>K201</v>
          </cell>
        </row>
        <row r="62">
          <cell r="C62" t="str">
            <v xml:space="preserve">  PRODUCTION PLANT IN SERVICE</v>
          </cell>
        </row>
        <row r="65">
          <cell r="D65" t="str">
            <v>K202</v>
          </cell>
        </row>
        <row r="66">
          <cell r="D66" t="str">
            <v>K202</v>
          </cell>
        </row>
        <row r="67">
          <cell r="D67" t="str">
            <v>K202</v>
          </cell>
        </row>
        <row r="68">
          <cell r="C68" t="str">
            <v xml:space="preserve">  TRANSMISSION PLANT IN SERVICE</v>
          </cell>
        </row>
        <row r="73">
          <cell r="C73" t="str">
            <v>SUBSTATIONS</v>
          </cell>
          <cell r="D73" t="str">
            <v>K215</v>
          </cell>
        </row>
        <row r="74">
          <cell r="C74" t="str">
            <v>POLES, TOWERS  &amp; FIXTURES - PRIMARY - DEMAND</v>
          </cell>
          <cell r="D74" t="str">
            <v>K205</v>
          </cell>
        </row>
        <row r="75">
          <cell r="C75" t="str">
            <v>POLES, TOWERS  &amp; FIXTURES - PRIMARY - CUSTOMER</v>
          </cell>
          <cell r="D75" t="str">
            <v>K405</v>
          </cell>
        </row>
        <row r="76">
          <cell r="C76" t="str">
            <v>POLES, TOWERS  &amp; FIXTURES - SECONDARY - DEMAND</v>
          </cell>
          <cell r="D76" t="str">
            <v>K206</v>
          </cell>
        </row>
        <row r="77">
          <cell r="C77" t="str">
            <v>POLES, TOWERS  &amp; FIXTURES - SECONDARY - CUSTOMER</v>
          </cell>
          <cell r="D77" t="str">
            <v>K405</v>
          </cell>
        </row>
        <row r="78">
          <cell r="C78" t="str">
            <v>CONDUCTORS - OVERHEAD / PRIMARY - DEMAND</v>
          </cell>
          <cell r="D78" t="str">
            <v>K205</v>
          </cell>
        </row>
        <row r="79">
          <cell r="C79" t="str">
            <v>CONDUCTORS - OVERHEAD / PRIMARY - CUSTOMER</v>
          </cell>
          <cell r="D79" t="str">
            <v>K405</v>
          </cell>
        </row>
        <row r="80">
          <cell r="C80" t="str">
            <v>CONDUCTORS - OVERHEAD / SECONDARY - DEMAND</v>
          </cell>
          <cell r="D80" t="str">
            <v>K206</v>
          </cell>
        </row>
        <row r="81">
          <cell r="C81" t="str">
            <v>CONDUCTORS - OVERHEAD / SECONDARY - CUSTOMER</v>
          </cell>
          <cell r="D81" t="str">
            <v>K405</v>
          </cell>
        </row>
        <row r="82">
          <cell r="C82" t="str">
            <v>CONDUCTORS - UNDERGROUND / PRIMARY - DEMAND</v>
          </cell>
          <cell r="D82" t="str">
            <v>K205</v>
          </cell>
        </row>
        <row r="83">
          <cell r="C83" t="str">
            <v>CONDUCTORS - UNDERGROUND / PRIMARY - CUSTOMER</v>
          </cell>
          <cell r="D83" t="str">
            <v>K405</v>
          </cell>
        </row>
        <row r="84">
          <cell r="C84" t="str">
            <v>CONDUCTORS - UNDERGROUND / SECONDARY - DEMAND</v>
          </cell>
          <cell r="D84" t="str">
            <v>K206</v>
          </cell>
        </row>
        <row r="85">
          <cell r="C85" t="str">
            <v>CONDUCTORS - UNDERGROUND / SECONDARY - CUSTOMER</v>
          </cell>
          <cell r="D85" t="str">
            <v>K405</v>
          </cell>
        </row>
        <row r="86">
          <cell r="C86" t="str">
            <v>TRANSFORMERS DEMAND RELATED</v>
          </cell>
          <cell r="D86" t="str">
            <v>K215</v>
          </cell>
        </row>
        <row r="87">
          <cell r="C87" t="str">
            <v>TRANSFORMERS CUSTOMER RELATED</v>
          </cell>
          <cell r="D87" t="str">
            <v>K405</v>
          </cell>
        </row>
        <row r="88">
          <cell r="C88" t="str">
            <v>SERVICES</v>
          </cell>
          <cell r="D88" t="str">
            <v>K217</v>
          </cell>
        </row>
        <row r="89">
          <cell r="C89" t="str">
            <v>METERS</v>
          </cell>
          <cell r="D89" t="str">
            <v>K407</v>
          </cell>
        </row>
        <row r="90">
          <cell r="C90" t="str">
            <v>STREET LIGHTS</v>
          </cell>
          <cell r="D90" t="str">
            <v>K401</v>
          </cell>
        </row>
        <row r="91">
          <cell r="C91" t="str">
            <v xml:space="preserve">ADJUSTMENT  </v>
          </cell>
          <cell r="D91" t="str">
            <v>K209</v>
          </cell>
        </row>
        <row r="92">
          <cell r="C92" t="str">
            <v>CONSTRUCTION NOT CLASSIFIED</v>
          </cell>
          <cell r="D92" t="str">
            <v>K209</v>
          </cell>
        </row>
        <row r="93">
          <cell r="C93" t="str">
            <v>RWIP</v>
          </cell>
          <cell r="D93" t="str">
            <v>K215</v>
          </cell>
        </row>
        <row r="94">
          <cell r="C94" t="str">
            <v xml:space="preserve">  DISTRIBUTION PLANT IN SERVICE</v>
          </cell>
        </row>
        <row r="100">
          <cell r="C100" t="str">
            <v>PRODUCTION - DEMAND</v>
          </cell>
          <cell r="D100" t="str">
            <v>K201</v>
          </cell>
        </row>
        <row r="101">
          <cell r="C101" t="str">
            <v>PRODUCTION - ENERGY</v>
          </cell>
          <cell r="D101" t="str">
            <v>K301</v>
          </cell>
        </row>
        <row r="102">
          <cell r="C102" t="str">
            <v>TRANSMISSION</v>
          </cell>
          <cell r="D102" t="str">
            <v>K202</v>
          </cell>
        </row>
        <row r="103">
          <cell r="C103" t="str">
            <v>DISTRIBUTION - DEMAND</v>
          </cell>
          <cell r="D103" t="str">
            <v>K201</v>
          </cell>
        </row>
        <row r="104">
          <cell r="C104" t="str">
            <v>DISTRIBUTION - CUSTOMER</v>
          </cell>
          <cell r="D104" t="str">
            <v>K405</v>
          </cell>
        </row>
        <row r="105">
          <cell r="C105" t="str">
            <v>CUSTOMER ACCOUNTING</v>
          </cell>
          <cell r="D105" t="str">
            <v>A308</v>
          </cell>
        </row>
        <row r="106">
          <cell r="C106" t="str">
            <v>CUSTOMER SERVICE &amp; INFORMATION</v>
          </cell>
          <cell r="D106" t="str">
            <v>A310</v>
          </cell>
        </row>
        <row r="107">
          <cell r="C107" t="str">
            <v>SALES</v>
          </cell>
          <cell r="D107" t="str">
            <v>A312</v>
          </cell>
        </row>
        <row r="108">
          <cell r="C108" t="str">
            <v>ADJUSTMENT</v>
          </cell>
          <cell r="D108" t="str">
            <v>A315</v>
          </cell>
        </row>
        <row r="109">
          <cell r="C109" t="str">
            <v xml:space="preserve">  GEN &amp; INTANG PLANT IN SERVICE</v>
          </cell>
        </row>
        <row r="112">
          <cell r="C112" t="str">
            <v>PRODUCTION - DEMAND</v>
          </cell>
          <cell r="D112" t="str">
            <v>K201</v>
          </cell>
        </row>
        <row r="113">
          <cell r="C113" t="str">
            <v>PRODUCTION - ENERGY</v>
          </cell>
          <cell r="D113" t="str">
            <v>K301</v>
          </cell>
        </row>
        <row r="114">
          <cell r="C114" t="str">
            <v>TRANSMISSION</v>
          </cell>
          <cell r="D114" t="str">
            <v>K202</v>
          </cell>
        </row>
        <row r="115">
          <cell r="C115" t="str">
            <v>DISTRIBUTION - DEMAND</v>
          </cell>
          <cell r="D115" t="str">
            <v>K201</v>
          </cell>
        </row>
        <row r="116">
          <cell r="C116" t="str">
            <v>DISTRIBUTION - CUSTOMER</v>
          </cell>
          <cell r="D116" t="str">
            <v>K405</v>
          </cell>
        </row>
        <row r="117">
          <cell r="C117" t="str">
            <v>CUSTOMER ACCOUNTING</v>
          </cell>
          <cell r="D117" t="str">
            <v>A308</v>
          </cell>
        </row>
        <row r="118">
          <cell r="C118" t="str">
            <v>CUSTOMER SERVICE &amp; INFORMATION</v>
          </cell>
          <cell r="D118" t="str">
            <v>A310</v>
          </cell>
        </row>
        <row r="119">
          <cell r="C119" t="str">
            <v>SALES</v>
          </cell>
          <cell r="D119" t="str">
            <v>A312</v>
          </cell>
        </row>
        <row r="120">
          <cell r="C120" t="str">
            <v>ADJUSTMENT</v>
          </cell>
          <cell r="D120" t="str">
            <v>A315</v>
          </cell>
        </row>
        <row r="121">
          <cell r="C121" t="str">
            <v xml:space="preserve">  COMMON &amp; OTHER PLANT IN SERVICE</v>
          </cell>
        </row>
        <row r="136">
          <cell r="C136" t="str">
            <v>PRODUCTION STEAM</v>
          </cell>
          <cell r="D136" t="str">
            <v>K201</v>
          </cell>
        </row>
        <row r="137">
          <cell r="C137" t="str">
            <v>PRODUCTION OTHER</v>
          </cell>
          <cell r="D137" t="str">
            <v>K201</v>
          </cell>
        </row>
        <row r="138">
          <cell r="C138" t="str">
            <v>ADJUSTMENT</v>
          </cell>
          <cell r="D138" t="str">
            <v>K201</v>
          </cell>
        </row>
        <row r="139">
          <cell r="C139" t="str">
            <v xml:space="preserve">  TOTAL PROD DEPREC RESERVE</v>
          </cell>
        </row>
        <row r="142">
          <cell r="C142" t="str">
            <v>MAIN STEP-UP TRANSFORMERS</v>
          </cell>
          <cell r="D142" t="str">
            <v>K202</v>
          </cell>
        </row>
        <row r="143">
          <cell r="C143" t="str">
            <v>OTHER TRANSMISSION</v>
          </cell>
          <cell r="D143" t="str">
            <v>K202</v>
          </cell>
        </row>
        <row r="144">
          <cell r="C144" t="str">
            <v>ADJUSTMENT</v>
          </cell>
          <cell r="D144" t="str">
            <v>K202</v>
          </cell>
        </row>
        <row r="145">
          <cell r="C145" t="str">
            <v xml:space="preserve">  TOTAL TRANS DEPREC RESERVE</v>
          </cell>
        </row>
        <row r="147">
          <cell r="C147" t="str">
            <v>TOTAL PROD &amp; TRANS DEPREC RESERVE</v>
          </cell>
        </row>
        <row r="150">
          <cell r="C150" t="str">
            <v>SUBSTATIONS</v>
          </cell>
          <cell r="D150" t="str">
            <v>K215</v>
          </cell>
        </row>
        <row r="151">
          <cell r="C151" t="str">
            <v>POLES, TOWERS  &amp; FIXTURES - PRIMARY - DEMAND</v>
          </cell>
          <cell r="D151" t="str">
            <v>K205</v>
          </cell>
        </row>
        <row r="152">
          <cell r="C152" t="str">
            <v>POLES, TOWERS  &amp; FIXTURES - PRIMARY - CUSTOMER</v>
          </cell>
          <cell r="D152" t="str">
            <v>K405</v>
          </cell>
        </row>
        <row r="153">
          <cell r="C153" t="str">
            <v>POLES, TOWERS  &amp; FIXTURES - SECONDARY - DEMAND</v>
          </cell>
          <cell r="D153" t="str">
            <v>K206</v>
          </cell>
        </row>
        <row r="154">
          <cell r="C154" t="str">
            <v>POLES, TOWERS  &amp; FIXTURES - SECONDARY - CUSTOMER</v>
          </cell>
          <cell r="D154" t="str">
            <v>K405</v>
          </cell>
        </row>
        <row r="155">
          <cell r="C155" t="str">
            <v>CONDUCTORS - OVERHEAD / PRIMARY - DEMAND</v>
          </cell>
          <cell r="D155" t="str">
            <v>K205</v>
          </cell>
        </row>
        <row r="156">
          <cell r="C156" t="str">
            <v>CONDUCTORS - OVERHEAD / PRIMARY - CUSTOMER</v>
          </cell>
          <cell r="D156" t="str">
            <v>K405</v>
          </cell>
        </row>
        <row r="157">
          <cell r="C157" t="str">
            <v>CONDUCTORS - OVERHEAD / SECONDARY - DEMAND</v>
          </cell>
          <cell r="D157" t="str">
            <v>K206</v>
          </cell>
        </row>
        <row r="158">
          <cell r="C158" t="str">
            <v>CONDUCTORS - OVERHEAD / SECONDARY - CUSTOMER</v>
          </cell>
          <cell r="D158" t="str">
            <v>K405</v>
          </cell>
        </row>
        <row r="159">
          <cell r="C159" t="str">
            <v>CONDUCTORS - UNDERGROUND / PRIMARY - DEMAND</v>
          </cell>
          <cell r="D159" t="str">
            <v>K205</v>
          </cell>
        </row>
        <row r="160">
          <cell r="C160" t="str">
            <v>CONDUCTORS - UNDERGROUND / PRIMARY - CUSTOMER</v>
          </cell>
          <cell r="D160" t="str">
            <v>K405</v>
          </cell>
        </row>
        <row r="161">
          <cell r="C161" t="str">
            <v>CONDUCTORS - UNDERGROUND / SECONDARY - DEMAND</v>
          </cell>
          <cell r="D161" t="str">
            <v>K206</v>
          </cell>
        </row>
        <row r="162">
          <cell r="C162" t="str">
            <v>CONDUCTORS - UNDERGROUND / SECONDARY - CUSTOMER</v>
          </cell>
          <cell r="D162" t="str">
            <v>K405</v>
          </cell>
        </row>
        <row r="163">
          <cell r="C163" t="str">
            <v>TRANSFORMERS DEMAND RELATED</v>
          </cell>
          <cell r="D163" t="str">
            <v>K215</v>
          </cell>
        </row>
        <row r="164">
          <cell r="C164" t="str">
            <v>TRANSFORMERS CUSTOMER RELATED</v>
          </cell>
          <cell r="D164" t="str">
            <v>K405</v>
          </cell>
        </row>
        <row r="165">
          <cell r="C165" t="str">
            <v>SERVICES</v>
          </cell>
          <cell r="D165" t="str">
            <v>K217</v>
          </cell>
        </row>
        <row r="166">
          <cell r="C166" t="str">
            <v>METERS</v>
          </cell>
          <cell r="D166" t="str">
            <v>K407</v>
          </cell>
        </row>
        <row r="167">
          <cell r="C167" t="str">
            <v>STREET LIGHTS</v>
          </cell>
          <cell r="D167" t="str">
            <v>K401</v>
          </cell>
        </row>
        <row r="168">
          <cell r="C168" t="str">
            <v xml:space="preserve">ADJUSTMENT  </v>
          </cell>
          <cell r="D168" t="str">
            <v>K209</v>
          </cell>
        </row>
        <row r="169">
          <cell r="C169" t="str">
            <v>CONSTRUCTION NOT CLASSIFIED</v>
          </cell>
          <cell r="D169" t="str">
            <v>K209</v>
          </cell>
        </row>
        <row r="170">
          <cell r="C170" t="str">
            <v>RWIP</v>
          </cell>
          <cell r="D170" t="str">
            <v>K215</v>
          </cell>
        </row>
        <row r="171">
          <cell r="C171" t="str">
            <v xml:space="preserve">  TOTAL DIST DEPREC RESERVE</v>
          </cell>
        </row>
        <row r="177">
          <cell r="C177" t="str">
            <v>PRODUCTION - DEMAND</v>
          </cell>
          <cell r="D177" t="str">
            <v>K201</v>
          </cell>
        </row>
        <row r="178">
          <cell r="C178" t="str">
            <v>PRODUCTION - ENERGY</v>
          </cell>
          <cell r="D178" t="str">
            <v>K301</v>
          </cell>
        </row>
        <row r="179">
          <cell r="C179" t="str">
            <v>TRANSMISSION</v>
          </cell>
          <cell r="D179" t="str">
            <v>K202</v>
          </cell>
        </row>
        <row r="180">
          <cell r="C180" t="str">
            <v>DISTRIBUTION - DEMAND</v>
          </cell>
          <cell r="D180" t="str">
            <v>K201</v>
          </cell>
        </row>
        <row r="181">
          <cell r="C181" t="str">
            <v>DISTRIBUTION - CUSTOMER</v>
          </cell>
          <cell r="D181" t="str">
            <v>K405</v>
          </cell>
        </row>
        <row r="182">
          <cell r="C182" t="str">
            <v>CUSTOMER ACCOUNTING</v>
          </cell>
          <cell r="D182" t="str">
            <v>A308</v>
          </cell>
        </row>
        <row r="183">
          <cell r="C183" t="str">
            <v>CUSTOMER SERVICE &amp; INFORMATION</v>
          </cell>
          <cell r="D183" t="str">
            <v>A310</v>
          </cell>
        </row>
        <row r="184">
          <cell r="C184" t="str">
            <v>SALES</v>
          </cell>
          <cell r="D184" t="str">
            <v>A312</v>
          </cell>
        </row>
        <row r="185">
          <cell r="C185" t="str">
            <v>ADJUSTMENT</v>
          </cell>
          <cell r="D185" t="str">
            <v>A315</v>
          </cell>
        </row>
        <row r="186">
          <cell r="C186" t="str">
            <v xml:space="preserve">  GENERAL &amp; INTANG PLANT</v>
          </cell>
        </row>
        <row r="189">
          <cell r="C189" t="str">
            <v>PRODUCTION - DEMAND</v>
          </cell>
          <cell r="D189" t="str">
            <v>K201</v>
          </cell>
        </row>
        <row r="190">
          <cell r="C190" t="str">
            <v>PRODUCTION - ENERGY</v>
          </cell>
          <cell r="D190" t="str">
            <v>K301</v>
          </cell>
        </row>
        <row r="191">
          <cell r="C191" t="str">
            <v>TRANSMISSION</v>
          </cell>
          <cell r="D191" t="str">
            <v>K202</v>
          </cell>
        </row>
        <row r="192">
          <cell r="C192" t="str">
            <v>DISTRIBUTION - DEMAND</v>
          </cell>
          <cell r="D192" t="str">
            <v>K201</v>
          </cell>
        </row>
        <row r="193">
          <cell r="C193" t="str">
            <v>DISTRIBUTION - CUSTOMER</v>
          </cell>
          <cell r="D193" t="str">
            <v>K405</v>
          </cell>
        </row>
        <row r="194">
          <cell r="C194" t="str">
            <v>CUSTOMER ACCOUNTING</v>
          </cell>
          <cell r="D194" t="str">
            <v>A308</v>
          </cell>
        </row>
        <row r="195">
          <cell r="C195" t="str">
            <v>CUSTOMER SERVICE &amp; INFORMATION</v>
          </cell>
          <cell r="D195" t="str">
            <v>A310</v>
          </cell>
        </row>
        <row r="196">
          <cell r="C196" t="str">
            <v>SALES</v>
          </cell>
          <cell r="D196" t="str">
            <v>A312</v>
          </cell>
        </row>
        <row r="197">
          <cell r="C197" t="str">
            <v>ADJUSTMENT</v>
          </cell>
          <cell r="D197" t="str">
            <v>A315</v>
          </cell>
        </row>
        <row r="198">
          <cell r="C198" t="str">
            <v xml:space="preserve">  COMMON &amp; OTHER PLANT IN SERVICE</v>
          </cell>
        </row>
        <row r="213">
          <cell r="C213" t="str">
            <v>PRODUCTION STEAM</v>
          </cell>
        </row>
        <row r="214">
          <cell r="C214" t="str">
            <v>PRODUCTION OTHER</v>
          </cell>
        </row>
        <row r="215">
          <cell r="C215" t="str">
            <v>ADJUSTMENT</v>
          </cell>
        </row>
        <row r="216">
          <cell r="C216" t="str">
            <v xml:space="preserve">  NET PRODUCTION PLANT</v>
          </cell>
        </row>
        <row r="219">
          <cell r="C219" t="str">
            <v>MAIN STEP-UP TRANSFORMERS</v>
          </cell>
        </row>
        <row r="220">
          <cell r="C220" t="str">
            <v>OTHER TRANSMISSION</v>
          </cell>
        </row>
        <row r="221">
          <cell r="C221" t="str">
            <v>ADJUSTMENT</v>
          </cell>
        </row>
        <row r="222">
          <cell r="C222" t="str">
            <v xml:space="preserve">    NET TRANSMISSION PLANT</v>
          </cell>
        </row>
        <row r="227">
          <cell r="C227" t="str">
            <v>SUBSTATIONS</v>
          </cell>
        </row>
        <row r="228">
          <cell r="C228" t="str">
            <v>POLES, TOWERS  &amp; FIXTURES - PRIMARY - DEMAND</v>
          </cell>
        </row>
        <row r="229">
          <cell r="C229" t="str">
            <v>POLES, TOWERS  &amp; FIXTURES - PRIMARY - CUSTOMER</v>
          </cell>
        </row>
        <row r="230">
          <cell r="C230" t="str">
            <v>POLES, TOWERS  &amp; FIXTURES - SECONDARY - DEMAND</v>
          </cell>
        </row>
        <row r="231">
          <cell r="C231" t="str">
            <v>POLES, TOWERS  &amp; FIXTURES - SECONDARY - CUSTOMER</v>
          </cell>
        </row>
        <row r="232">
          <cell r="C232" t="str">
            <v>CONDUCTORS - OVERHEAD / PRIMARY - DEMAND</v>
          </cell>
        </row>
        <row r="233">
          <cell r="C233" t="str">
            <v>CONDUCTORS - OVERHEAD / PRIMARY - CUSTOMER</v>
          </cell>
        </row>
        <row r="234">
          <cell r="C234" t="str">
            <v>CONDUCTORS - OVERHEAD / SECONDARY - DEMAND</v>
          </cell>
        </row>
        <row r="235">
          <cell r="C235" t="str">
            <v>CONDUCTORS - OVERHEAD / SECONDARY - CUSTOMER</v>
          </cell>
        </row>
        <row r="236">
          <cell r="C236" t="str">
            <v>CONDUCTORS - UNDERGROUND / PRIMARY - DEMAND</v>
          </cell>
        </row>
        <row r="237">
          <cell r="C237" t="str">
            <v>CONDUCTORS - UNDERGROUND / PRIMARY - CUSTOMER</v>
          </cell>
        </row>
        <row r="238">
          <cell r="C238" t="str">
            <v>CONDUCTORS - UNDERGROUND / SECONDARY - DEMAND</v>
          </cell>
        </row>
        <row r="239">
          <cell r="C239" t="str">
            <v>CONDUCTORS - UNDERGROUND / SECONDARY - CUSTOMER</v>
          </cell>
        </row>
        <row r="240">
          <cell r="C240" t="str">
            <v>TRANSFORMERS DEMAND RELATED</v>
          </cell>
        </row>
        <row r="241">
          <cell r="C241" t="str">
            <v>TRANSFORMERS CUSTOMER RELATED</v>
          </cell>
        </row>
        <row r="242">
          <cell r="C242" t="str">
            <v>SERVICES</v>
          </cell>
        </row>
        <row r="243">
          <cell r="C243" t="str">
            <v>METERS</v>
          </cell>
        </row>
        <row r="244">
          <cell r="C244" t="str">
            <v>STREET LIGHTS</v>
          </cell>
        </row>
        <row r="245">
          <cell r="C245" t="str">
            <v xml:space="preserve">ADJUSTMENT  </v>
          </cell>
        </row>
        <row r="246">
          <cell r="C246" t="str">
            <v>CONSTRUCTION NOT CLASSIFIED</v>
          </cell>
        </row>
        <row r="247">
          <cell r="C247" t="str">
            <v>RWIP</v>
          </cell>
        </row>
        <row r="248">
          <cell r="C248" t="str">
            <v xml:space="preserve">  NET DISTRIBUTION PLANT</v>
          </cell>
        </row>
        <row r="254">
          <cell r="C254" t="str">
            <v>PRODUCTION - DEMAND</v>
          </cell>
        </row>
        <row r="255">
          <cell r="C255" t="str">
            <v>PRODUCTION - ENERGY</v>
          </cell>
        </row>
        <row r="256">
          <cell r="C256" t="str">
            <v>TRANSMISSION</v>
          </cell>
        </row>
        <row r="257">
          <cell r="C257" t="str">
            <v>DISTRIBUTION - DEMAND</v>
          </cell>
        </row>
        <row r="258">
          <cell r="C258" t="str">
            <v>DISTRIBUTION - CUSTOMER</v>
          </cell>
        </row>
        <row r="259">
          <cell r="C259" t="str">
            <v>CUSTOMER ACCOUNTING</v>
          </cell>
        </row>
        <row r="260">
          <cell r="C260" t="str">
            <v>CUSTOMER SERVICE &amp; INFORMATION</v>
          </cell>
        </row>
        <row r="261">
          <cell r="C261" t="str">
            <v>SALES</v>
          </cell>
        </row>
        <row r="262">
          <cell r="C262" t="str">
            <v>ADJUSTMENT</v>
          </cell>
        </row>
        <row r="263">
          <cell r="C263" t="str">
            <v xml:space="preserve">  NET GENERAL &amp; INTANG PLANT</v>
          </cell>
        </row>
        <row r="266">
          <cell r="C266" t="str">
            <v>PRODUCTION - DEMAND</v>
          </cell>
        </row>
        <row r="267">
          <cell r="C267" t="str">
            <v>PRODUCTION - ENERGY</v>
          </cell>
        </row>
        <row r="268">
          <cell r="C268" t="str">
            <v>TRANSMISSION</v>
          </cell>
        </row>
        <row r="269">
          <cell r="C269" t="str">
            <v>DISTRIBUTION - DEMAND</v>
          </cell>
        </row>
        <row r="270">
          <cell r="C270" t="str">
            <v>DISTRIBUTION - CUSTOMER</v>
          </cell>
        </row>
        <row r="271">
          <cell r="C271" t="str">
            <v>CUSTOMER ACCOUNTING</v>
          </cell>
        </row>
        <row r="272">
          <cell r="C272" t="str">
            <v>CUSTOMER SERVICE &amp; INFORMATION</v>
          </cell>
        </row>
        <row r="273">
          <cell r="C273" t="str">
            <v>SALES</v>
          </cell>
        </row>
        <row r="274">
          <cell r="C274" t="str">
            <v>ADJUSTMENT</v>
          </cell>
        </row>
        <row r="275">
          <cell r="C275" t="str">
            <v xml:space="preserve">  COMMON &amp; OTHER PLANT IN SERVICE</v>
          </cell>
        </row>
        <row r="277">
          <cell r="C277" t="str">
            <v>NET ELECTRIC PLANT IN SERVICE</v>
          </cell>
        </row>
        <row r="292">
          <cell r="C292" t="str">
            <v>LIBERALIZED DEPRECIATION</v>
          </cell>
          <cell r="D292" t="str">
            <v>NP29</v>
          </cell>
        </row>
        <row r="293">
          <cell r="C293" t="str">
            <v>LEASED METERS</v>
          </cell>
          <cell r="D293" t="str">
            <v>NP29</v>
          </cell>
        </row>
        <row r="294">
          <cell r="C294" t="str">
            <v>CONTRIB AID CONSTR</v>
          </cell>
          <cell r="D294" t="str">
            <v>NP29</v>
          </cell>
        </row>
        <row r="295">
          <cell r="C295" t="str">
            <v>TAX INTEREST, EXPENSING, DEPR.</v>
          </cell>
          <cell r="D295" t="str">
            <v>NP29</v>
          </cell>
        </row>
        <row r="296">
          <cell r="C296" t="str">
            <v>AFUDC IN DEBT</v>
          </cell>
          <cell r="D296" t="str">
            <v>NP29</v>
          </cell>
        </row>
        <row r="297">
          <cell r="C297" t="str">
            <v>CASUALTY LOSS</v>
          </cell>
          <cell r="D297" t="str">
            <v>NP29</v>
          </cell>
        </row>
        <row r="298">
          <cell r="C298" t="str">
            <v>NON-CASH OVERHEADS</v>
          </cell>
          <cell r="D298" t="str">
            <v>NP29</v>
          </cell>
        </row>
        <row r="299">
          <cell r="C299" t="str">
            <v>PLANT FAS 109</v>
          </cell>
          <cell r="D299" t="str">
            <v>NP29</v>
          </cell>
        </row>
        <row r="300">
          <cell r="C300" t="str">
            <v>PP&amp;E &amp; MISCELLANEOUS</v>
          </cell>
          <cell r="D300" t="str">
            <v>NP29</v>
          </cell>
        </row>
        <row r="301">
          <cell r="C301" t="str">
            <v xml:space="preserve">  TOTAL ACCOUNT 282</v>
          </cell>
        </row>
        <row r="304">
          <cell r="C304" t="str">
            <v>TRANSITION FROM MISO TO PJM</v>
          </cell>
          <cell r="D304" t="str">
            <v>NP29</v>
          </cell>
        </row>
        <row r="305">
          <cell r="C305" t="str">
            <v>DEFERRED PLANT COSTS</v>
          </cell>
          <cell r="D305" t="str">
            <v>K201</v>
          </cell>
        </row>
        <row r="306">
          <cell r="C306" t="str">
            <v>MISCELLANEOUS</v>
          </cell>
          <cell r="D306" t="str">
            <v>OM39</v>
          </cell>
        </row>
        <row r="307">
          <cell r="C307" t="str">
            <v>ENVIRONMENTAL RESERVE</v>
          </cell>
          <cell r="D307" t="str">
            <v>NP29</v>
          </cell>
        </row>
        <row r="308">
          <cell r="C308" t="str">
            <v>POST IN-SERVICE CARRYING COSTS</v>
          </cell>
          <cell r="D308" t="str">
            <v>NP29</v>
          </cell>
        </row>
        <row r="309">
          <cell r="C309" t="str">
            <v>ARO CUMULATIVE EFFECT</v>
          </cell>
          <cell r="D309" t="str">
            <v>NP29</v>
          </cell>
        </row>
        <row r="310">
          <cell r="C310" t="str">
            <v>LOSS ON REACQUIRED DEBT</v>
          </cell>
          <cell r="D310" t="str">
            <v>D249</v>
          </cell>
        </row>
        <row r="311">
          <cell r="C311" t="str">
            <v>VACATION PAY ACCRUAL</v>
          </cell>
          <cell r="D311" t="str">
            <v>A315</v>
          </cell>
        </row>
        <row r="312">
          <cell r="C312" t="str">
            <v>NON-AMI METERS RETIRED EARLY</v>
          </cell>
          <cell r="D312" t="str">
            <v>OM39</v>
          </cell>
        </row>
        <row r="313">
          <cell r="C313" t="str">
            <v>PENSION EXPENSE</v>
          </cell>
          <cell r="D313" t="str">
            <v>A315</v>
          </cell>
        </row>
        <row r="314">
          <cell r="C314" t="str">
            <v>UNCOLLECTIBLE ACCOUNTS</v>
          </cell>
          <cell r="D314" t="str">
            <v>K411</v>
          </cell>
        </row>
        <row r="315">
          <cell r="C315" t="str">
            <v xml:space="preserve">  TOTAL ACCOUNT 283</v>
          </cell>
        </row>
        <row r="318">
          <cell r="C318" t="str">
            <v>EXCESS ADIT</v>
          </cell>
          <cell r="D318" t="str">
            <v>NP29</v>
          </cell>
        </row>
        <row r="319">
          <cell r="C319" t="str">
            <v>CUSTOMER SERVICE DEPOSITS</v>
          </cell>
          <cell r="D319" t="str">
            <v>NP29</v>
          </cell>
        </row>
        <row r="320">
          <cell r="C320" t="str">
            <v>POST RETIREMENT BENEFITS</v>
          </cell>
          <cell r="D320" t="str">
            <v>NP29</v>
          </cell>
        </row>
        <row r="321">
          <cell r="C321" t="str">
            <v>INVESTMENT TAX CREDIT</v>
          </cell>
          <cell r="D321" t="str">
            <v>NP29</v>
          </cell>
        </row>
        <row r="322">
          <cell r="C322" t="str">
            <v xml:space="preserve">  TOTAL OTHER SUBTRACTIVE ADJUSTMENTS</v>
          </cell>
        </row>
        <row r="324">
          <cell r="B324" t="str">
            <v>TOTAL SUBTRACTIVE RATE BASE ADJUSTMENTS</v>
          </cell>
        </row>
        <row r="338">
          <cell r="C338" t="str">
            <v>UNCOLLECTIBLE ACCTS</v>
          </cell>
          <cell r="D338" t="str">
            <v>K411</v>
          </cell>
        </row>
        <row r="339">
          <cell r="C339" t="str">
            <v>CASH FLOW HEDGE</v>
          </cell>
          <cell r="D339" t="str">
            <v>A315</v>
          </cell>
        </row>
        <row r="340">
          <cell r="C340" t="str">
            <v>RESERVED FOR FUTURE USE</v>
          </cell>
          <cell r="D340" t="str">
            <v>NP29</v>
          </cell>
        </row>
        <row r="341">
          <cell r="C341" t="str">
            <v>RESERVED FOR FUTURE USE</v>
          </cell>
          <cell r="D341" t="str">
            <v>NP29</v>
          </cell>
        </row>
        <row r="342">
          <cell r="C342" t="str">
            <v>ELECTRIC METERS</v>
          </cell>
          <cell r="D342" t="str">
            <v>K407</v>
          </cell>
        </row>
        <row r="343">
          <cell r="C343" t="str">
            <v>UNAMORTIZED DEBT PREMIUM</v>
          </cell>
          <cell r="D343" t="str">
            <v>D249</v>
          </cell>
        </row>
        <row r="344">
          <cell r="C344" t="str">
            <v>ARO CUMULATIVE EFFECT</v>
          </cell>
          <cell r="D344" t="str">
            <v>NP29</v>
          </cell>
        </row>
        <row r="345">
          <cell r="C345" t="str">
            <v>RETIREMENT PLAN</v>
          </cell>
          <cell r="D345" t="str">
            <v>A315</v>
          </cell>
        </row>
        <row r="346">
          <cell r="C346" t="str">
            <v xml:space="preserve">POST RETIREMENT BENEFITS </v>
          </cell>
          <cell r="D346" t="str">
            <v>A315</v>
          </cell>
        </row>
        <row r="347">
          <cell r="C347" t="str">
            <v>POST RETIREMENT BENEFITS - HEALTH CARE</v>
          </cell>
          <cell r="D347" t="str">
            <v>A315</v>
          </cell>
        </row>
        <row r="348">
          <cell r="C348" t="str">
            <v>POST EMPLOYMENT BENEFITS - SFAS 112</v>
          </cell>
          <cell r="D348" t="str">
            <v>A315</v>
          </cell>
        </row>
        <row r="349">
          <cell r="C349" t="str">
            <v>SUPPLEMENTAL PENSION PLAN</v>
          </cell>
          <cell r="D349" t="str">
            <v>A315</v>
          </cell>
        </row>
        <row r="350">
          <cell r="C350" t="str">
            <v>INCENTIVE PLAN</v>
          </cell>
          <cell r="D350" t="str">
            <v>A315</v>
          </cell>
        </row>
        <row r="351">
          <cell r="C351" t="str">
            <v>FEDERAL DEFERRED TAX RECEIVEABLE</v>
          </cell>
          <cell r="D351" t="str">
            <v>A315</v>
          </cell>
        </row>
        <row r="352">
          <cell r="C352" t="str">
            <v>MISCELLANEOUS</v>
          </cell>
          <cell r="D352" t="str">
            <v>A315</v>
          </cell>
        </row>
        <row r="353">
          <cell r="C353" t="str">
            <v>DEFERRED TAX</v>
          </cell>
          <cell r="D353" t="str">
            <v>A315</v>
          </cell>
        </row>
        <row r="354">
          <cell r="C354" t="str">
            <v>NET OPERATING LOSS</v>
          </cell>
          <cell r="D354" t="str">
            <v>NP29</v>
          </cell>
        </row>
        <row r="355">
          <cell r="C355" t="str">
            <v>401K INCENTIVE PLAN</v>
          </cell>
          <cell r="D355" t="str">
            <v>A315</v>
          </cell>
        </row>
        <row r="356">
          <cell r="C356" t="str">
            <v>ENVIRONMENTAL RESERVE</v>
          </cell>
          <cell r="D356" t="str">
            <v>NP29</v>
          </cell>
        </row>
        <row r="357">
          <cell r="C357" t="str">
            <v>VACATION PAY ACCRUALS</v>
          </cell>
          <cell r="D357" t="str">
            <v>A315</v>
          </cell>
        </row>
        <row r="358">
          <cell r="C358" t="str">
            <v>DEMAND SIDE MANAGEMENT DEFERRAL</v>
          </cell>
          <cell r="D358" t="str">
            <v>NP29</v>
          </cell>
        </row>
        <row r="359">
          <cell r="C359" t="str">
            <v>OPERATING LEASE OBLIGATION</v>
          </cell>
          <cell r="D359" t="str">
            <v>NP29</v>
          </cell>
        </row>
        <row r="360">
          <cell r="C360" t="str">
            <v>INJURIES &amp; DAMAGES</v>
          </cell>
          <cell r="D360" t="str">
            <v>NP29</v>
          </cell>
        </row>
        <row r="361">
          <cell r="C361" t="str">
            <v xml:space="preserve">  TOTAL ACCOUNT 190</v>
          </cell>
        </row>
        <row r="364">
          <cell r="C364" t="str">
            <v>RESERVED FOR FUTURE USE</v>
          </cell>
          <cell r="D364" t="str">
            <v>NP29</v>
          </cell>
        </row>
        <row r="365">
          <cell r="C365" t="str">
            <v>OTHER RATE BASE ADJUSTMENTS</v>
          </cell>
          <cell r="D365" t="str">
            <v>NP29</v>
          </cell>
        </row>
        <row r="366">
          <cell r="C366" t="str">
            <v>RESERVED FOR FUTURE USE</v>
          </cell>
          <cell r="D366" t="str">
            <v>NP29</v>
          </cell>
        </row>
        <row r="367">
          <cell r="C367" t="str">
            <v xml:space="preserve">  OTHER</v>
          </cell>
        </row>
        <row r="370">
          <cell r="C370" t="str">
            <v>PRODUCTION</v>
          </cell>
          <cell r="D370" t="str">
            <v>P129</v>
          </cell>
        </row>
        <row r="371">
          <cell r="C371" t="str">
            <v>TRANSMISSION</v>
          </cell>
          <cell r="D371" t="str">
            <v>T129</v>
          </cell>
        </row>
        <row r="372">
          <cell r="C372" t="str">
            <v>DISTRIBUTION</v>
          </cell>
          <cell r="D372" t="str">
            <v>D149</v>
          </cell>
        </row>
        <row r="373">
          <cell r="C373" t="str">
            <v>COMMON</v>
          </cell>
          <cell r="D373" t="str">
            <v>C129</v>
          </cell>
        </row>
        <row r="374">
          <cell r="C374" t="str">
            <v>GENERAL</v>
          </cell>
          <cell r="D374" t="str">
            <v>G129</v>
          </cell>
        </row>
        <row r="375">
          <cell r="C375" t="str">
            <v>TOTAL CONSTRUCTION WORK IN PROGRESS</v>
          </cell>
        </row>
        <row r="377">
          <cell r="B377" t="str">
            <v>TOTAL ADDITIVE RATE BASE ADJUSTMENTS</v>
          </cell>
        </row>
        <row r="395">
          <cell r="C395" t="str">
            <v>OTHER MATERIALS &amp; SUPPLIES</v>
          </cell>
          <cell r="D395" t="str">
            <v>PD29</v>
          </cell>
        </row>
        <row r="396">
          <cell r="C396" t="str">
            <v>FUEL</v>
          </cell>
          <cell r="D396" t="str">
            <v>K301</v>
          </cell>
        </row>
        <row r="397">
          <cell r="C397" t="str">
            <v>EMISSION ALLOWANCES</v>
          </cell>
          <cell r="D397" t="str">
            <v>K301</v>
          </cell>
        </row>
        <row r="398">
          <cell r="C398" t="str">
            <v xml:space="preserve">  TOTAL PLANT MATS. &amp; SUPPLIES</v>
          </cell>
        </row>
        <row r="402">
          <cell r="C402" t="str">
            <v>INSURANCE GENERAL</v>
          </cell>
          <cell r="D402" t="str">
            <v>NP29</v>
          </cell>
        </row>
        <row r="403">
          <cell r="C403" t="str">
            <v>EXCISE TAX</v>
          </cell>
          <cell r="D403" t="str">
            <v>NP29</v>
          </cell>
        </row>
        <row r="404">
          <cell r="C404" t="str">
            <v>COLLATERAL ASSET</v>
          </cell>
          <cell r="D404" t="str">
            <v>K301</v>
          </cell>
        </row>
        <row r="405">
          <cell r="C405" t="str">
            <v xml:space="preserve">  TOTAL PREPAYMENTS</v>
          </cell>
        </row>
        <row r="411">
          <cell r="C411" t="str">
            <v>RESERVED FOR FUTURE USE</v>
          </cell>
          <cell r="D411" t="str">
            <v>K301</v>
          </cell>
        </row>
        <row r="412">
          <cell r="C412" t="str">
            <v>PIPP UNCOLLECTIBLES</v>
          </cell>
          <cell r="D412" t="str">
            <v>A315</v>
          </cell>
        </row>
        <row r="413">
          <cell r="C413" t="str">
            <v>RESERVED FOR FUTURE USE</v>
          </cell>
          <cell r="D413" t="str">
            <v>D249</v>
          </cell>
        </row>
        <row r="414">
          <cell r="C414" t="str">
            <v xml:space="preserve">  TOTAL MISC WORK CAPITAL</v>
          </cell>
        </row>
        <row r="418">
          <cell r="C418" t="str">
            <v>TOTAL ACCUMULATED DEFERRED INCOME TAXES</v>
          </cell>
        </row>
        <row r="419">
          <cell r="C419" t="str">
            <v>TOTAL OTHER ACCUMULATED DEFERRED INCOME TAXES</v>
          </cell>
        </row>
        <row r="420">
          <cell r="C420" t="str">
            <v>TOTAL WORKING CAPITAL</v>
          </cell>
        </row>
        <row r="421">
          <cell r="C421" t="str">
            <v xml:space="preserve">  TOTAL RATE BASE ADJUSTMENTS</v>
          </cell>
        </row>
        <row r="424">
          <cell r="C424" t="str">
            <v>NET ELECTRIC PLANT IN SERVICE</v>
          </cell>
        </row>
        <row r="425">
          <cell r="C425" t="str">
            <v>TOTAL RATE BASE ADJUSTMENTS</v>
          </cell>
        </row>
        <row r="426">
          <cell r="C426" t="str">
            <v xml:space="preserve">  TOTAL RATE BASE</v>
          </cell>
        </row>
        <row r="431">
          <cell r="B431" t="str">
            <v>ELECTRIC RATE BASE</v>
          </cell>
          <cell r="D431" t="str">
            <v>RB99</v>
          </cell>
        </row>
        <row r="432">
          <cell r="B432" t="str">
            <v>TOTAL RATE OF RETURN ALLOWABLE</v>
          </cell>
        </row>
        <row r="433">
          <cell r="B433" t="str">
            <v>RETURN ON RATE BASE</v>
          </cell>
        </row>
        <row r="446">
          <cell r="B446" t="str">
            <v>ENERGY RELATED PRODUCTION O&amp;M</v>
          </cell>
        </row>
        <row r="447">
          <cell r="C447" t="str">
            <v>FUEL</v>
          </cell>
          <cell r="D447" t="str">
            <v>K302</v>
          </cell>
        </row>
        <row r="448">
          <cell r="C448" t="str">
            <v>FUEL AND PURCHASED POWER ADJUSTMENT</v>
          </cell>
          <cell r="D448" t="str">
            <v>K302</v>
          </cell>
        </row>
        <row r="449">
          <cell r="C449" t="str">
            <v>EMISSION ALLOWANCES</v>
          </cell>
          <cell r="D449" t="str">
            <v>K301</v>
          </cell>
        </row>
        <row r="450">
          <cell r="C450" t="str">
            <v>ELIMINATE EMISSION ALLOW &amp; OTHER VAR COST</v>
          </cell>
          <cell r="D450" t="str">
            <v>K301</v>
          </cell>
        </row>
        <row r="451">
          <cell r="C451" t="str">
            <v>OTHER PRODUCTION EXPENSE - MAINTENANCE</v>
          </cell>
          <cell r="D451" t="str">
            <v>K301</v>
          </cell>
        </row>
        <row r="452">
          <cell r="C452" t="str">
            <v>MISO TRANSMISSION CHARGES - ACCT 555</v>
          </cell>
          <cell r="D452" t="str">
            <v>K301</v>
          </cell>
        </row>
        <row r="453">
          <cell r="C453" t="str">
            <v xml:space="preserve">  TOTAL ENERGY RELATED</v>
          </cell>
        </row>
        <row r="456">
          <cell r="C456" t="str">
            <v>OTHER PRODUCTION EXPENSES - OPERATIONS</v>
          </cell>
          <cell r="D456" t="str">
            <v>K201</v>
          </cell>
        </row>
        <row r="457">
          <cell r="C457" t="str">
            <v xml:space="preserve">  TOTAL DEMAND REL &amp; OTH PROD O&amp;M </v>
          </cell>
        </row>
        <row r="462">
          <cell r="C462" t="str">
            <v>TRANSFORMER LEASE PAYMENTS</v>
          </cell>
          <cell r="D462" t="str">
            <v>K202</v>
          </cell>
        </row>
        <row r="463">
          <cell r="C463" t="str">
            <v>OTHER TRANSMISSION</v>
          </cell>
          <cell r="D463" t="str">
            <v>K202</v>
          </cell>
        </row>
        <row r="464">
          <cell r="C464" t="str">
            <v>MISCELLANEOUS ADJUSTMENTS</v>
          </cell>
          <cell r="D464" t="str">
            <v>K202</v>
          </cell>
        </row>
        <row r="465">
          <cell r="C465" t="str">
            <v>NETWORK SERVICE RATES ADJUSTMENT</v>
          </cell>
          <cell r="D465" t="str">
            <v>K202</v>
          </cell>
        </row>
        <row r="466">
          <cell r="C466" t="str">
            <v xml:space="preserve">  TOTAL TRANSMISSION O &amp; M</v>
          </cell>
        </row>
        <row r="469">
          <cell r="C469" t="str">
            <v>MARKET FACILITATION - MONITORING &amp; COMPLIANCE</v>
          </cell>
          <cell r="D469" t="str">
            <v>K202</v>
          </cell>
        </row>
        <row r="470">
          <cell r="C470" t="str">
            <v>TOTAL REGIONAL MARKET O&amp;M</v>
          </cell>
        </row>
        <row r="473">
          <cell r="C473" t="str">
            <v>SUBSTATIONS</v>
          </cell>
          <cell r="D473" t="str">
            <v>K201</v>
          </cell>
        </row>
        <row r="474">
          <cell r="C474" t="str">
            <v>POLES, TOWERS &amp; FIXTURES</v>
          </cell>
          <cell r="D474" t="str">
            <v>PL49</v>
          </cell>
        </row>
        <row r="475">
          <cell r="C475" t="str">
            <v>OVERHEAD LINES - PRIMARY / DEMAND</v>
          </cell>
          <cell r="D475" t="str">
            <v>K205</v>
          </cell>
        </row>
        <row r="476">
          <cell r="C476" t="str">
            <v>OVERHEAD LINES - PRIMARY / CUSTOMER</v>
          </cell>
          <cell r="D476" t="str">
            <v>K405</v>
          </cell>
        </row>
        <row r="477">
          <cell r="C477" t="str">
            <v>OVERHEAD LINES - SECONDARY / DEMAND</v>
          </cell>
          <cell r="D477" t="str">
            <v>K206</v>
          </cell>
        </row>
        <row r="478">
          <cell r="C478" t="str">
            <v>OVERHEAD LINES - SECONDARY / CUSTOMER</v>
          </cell>
          <cell r="D478" t="str">
            <v>K405</v>
          </cell>
        </row>
        <row r="479">
          <cell r="C479" t="str">
            <v>UNDERGROUND LINES - PRIMARY / DEMAND</v>
          </cell>
          <cell r="D479" t="str">
            <v>K205</v>
          </cell>
        </row>
        <row r="480">
          <cell r="C480" t="str">
            <v>UNDERGROUND LINES - PRIMARY / CUSTOMER</v>
          </cell>
          <cell r="D480" t="str">
            <v>K405</v>
          </cell>
        </row>
        <row r="481">
          <cell r="C481" t="str">
            <v>UNDERGROUND LINES - SECONDARY / DEMAND</v>
          </cell>
          <cell r="D481" t="str">
            <v>K206</v>
          </cell>
        </row>
        <row r="482">
          <cell r="C482" t="str">
            <v>UNDERGROUND LINES - SECONDARY / CUSTOMER</v>
          </cell>
          <cell r="D482" t="str">
            <v>K405</v>
          </cell>
        </row>
        <row r="483">
          <cell r="C483" t="str">
            <v>TRANSFORMERS DEMAND RELATED</v>
          </cell>
          <cell r="D483" t="str">
            <v>K203</v>
          </cell>
        </row>
        <row r="484">
          <cell r="C484" t="str">
            <v>TRANSFORMERS CUSTOMER RELATED</v>
          </cell>
          <cell r="D484" t="str">
            <v>K401</v>
          </cell>
        </row>
        <row r="485">
          <cell r="C485" t="str">
            <v>OTHER MAINTENANCE</v>
          </cell>
          <cell r="D485" t="str">
            <v>K203</v>
          </cell>
        </row>
        <row r="486">
          <cell r="C486" t="str">
            <v>LOAD DISPATCH</v>
          </cell>
          <cell r="D486" t="str">
            <v>K215</v>
          </cell>
        </row>
        <row r="487">
          <cell r="C487" t="str">
            <v>METERS</v>
          </cell>
          <cell r="D487" t="str">
            <v>K407</v>
          </cell>
        </row>
        <row r="488">
          <cell r="C488" t="str">
            <v>STREET LIGHTING AND SIGNAL SYSTEMS</v>
          </cell>
          <cell r="D488" t="str">
            <v>K401</v>
          </cell>
        </row>
        <row r="489">
          <cell r="C489" t="str">
            <v>OTHER OPERATIONS</v>
          </cell>
          <cell r="D489" t="str">
            <v>K203</v>
          </cell>
        </row>
        <row r="490">
          <cell r="C490" t="str">
            <v>MISCELLANEOUS EXPENSES ADJUSTMENT</v>
          </cell>
          <cell r="D490" t="str">
            <v>K203</v>
          </cell>
        </row>
        <row r="491">
          <cell r="C491" t="str">
            <v>AFFILIATED COMPANY RENTS ADJUSTMENT</v>
          </cell>
          <cell r="D491" t="str">
            <v>D249</v>
          </cell>
        </row>
        <row r="492">
          <cell r="C492" t="str">
            <v xml:space="preserve">  TOTAL DISTRIBUTION O &amp; M</v>
          </cell>
        </row>
        <row r="495">
          <cell r="C495" t="str">
            <v>CUSTOMER ACCOUNTING EXPENSE</v>
          </cell>
          <cell r="D495" t="str">
            <v>K409</v>
          </cell>
        </row>
        <row r="496">
          <cell r="C496" t="str">
            <v>UNCOLLECTIBLE EXP</v>
          </cell>
          <cell r="D496" t="str">
            <v>K411</v>
          </cell>
        </row>
        <row r="497">
          <cell r="C497" t="str">
            <v>METER READING</v>
          </cell>
          <cell r="D497" t="str">
            <v>K407</v>
          </cell>
        </row>
        <row r="498">
          <cell r="C498" t="str">
            <v>UNCOLLECTIBLE EXP ADJUSTMENT</v>
          </cell>
          <cell r="D498" t="str">
            <v>K411</v>
          </cell>
        </row>
        <row r="499">
          <cell r="C499" t="str">
            <v>CREDIT CARD FEES</v>
          </cell>
          <cell r="D499" t="str">
            <v>K407</v>
          </cell>
        </row>
        <row r="500">
          <cell r="C500" t="str">
            <v>ELIMINATE REV &amp; EXP - DSM RIDER</v>
          </cell>
          <cell r="D500" t="str">
            <v>K405</v>
          </cell>
        </row>
        <row r="501">
          <cell r="C501" t="str">
            <v>SALE OF A/R</v>
          </cell>
          <cell r="D501" t="str">
            <v>K411</v>
          </cell>
        </row>
        <row r="502">
          <cell r="C502" t="str">
            <v>ELIMINATE MISC EXPENSE</v>
          </cell>
          <cell r="D502" t="str">
            <v>K405</v>
          </cell>
        </row>
        <row r="503">
          <cell r="C503" t="str">
            <v xml:space="preserve">  TOTAL CUSTOMER ACCT EXPENSE</v>
          </cell>
        </row>
        <row r="516">
          <cell r="C516" t="str">
            <v>TOTAL CUST SERVICE &amp; INFO</v>
          </cell>
          <cell r="D516" t="str">
            <v>K405</v>
          </cell>
        </row>
        <row r="517">
          <cell r="C517" t="str">
            <v>INFORMATIONAL &amp; INSTRUCTIONAL ADV</v>
          </cell>
          <cell r="D517" t="str">
            <v>K405</v>
          </cell>
        </row>
        <row r="518">
          <cell r="C518" t="str">
            <v>TOTAL CUSTOMER SERV. &amp; INFO.</v>
          </cell>
        </row>
        <row r="521">
          <cell r="C521" t="str">
            <v>SALES EXPENSE</v>
          </cell>
          <cell r="D521" t="str">
            <v>K405</v>
          </cell>
        </row>
        <row r="522">
          <cell r="C522" t="str">
            <v>TOTAL SALES EXPENSE</v>
          </cell>
        </row>
        <row r="525">
          <cell r="C525" t="str">
            <v>PRODUCTION - DEMAND RELATED</v>
          </cell>
          <cell r="D525" t="str">
            <v>P349</v>
          </cell>
        </row>
        <row r="526">
          <cell r="C526" t="str">
            <v>PRODUCTION - ENERGY RELATED</v>
          </cell>
          <cell r="D526" t="str">
            <v>E349</v>
          </cell>
        </row>
        <row r="527">
          <cell r="D527" t="str">
            <v>T349</v>
          </cell>
        </row>
        <row r="528">
          <cell r="C528" t="str">
            <v>DISTRIBUTION</v>
          </cell>
          <cell r="D528" t="str">
            <v>D349</v>
          </cell>
        </row>
        <row r="529">
          <cell r="C529" t="str">
            <v>CUSTOMER ACCOUNTING</v>
          </cell>
          <cell r="D529" t="str">
            <v>C319</v>
          </cell>
        </row>
        <row r="530">
          <cell r="C530" t="str">
            <v>CUSTOMER SERVICE &amp; INFORMATION</v>
          </cell>
          <cell r="D530" t="str">
            <v>C331</v>
          </cell>
        </row>
        <row r="531">
          <cell r="C531" t="str">
            <v>SALES</v>
          </cell>
          <cell r="D531" t="str">
            <v>S319</v>
          </cell>
        </row>
        <row r="532">
          <cell r="C532" t="str">
            <v>TOT ADMIN &amp; GEN LESS REG EXP</v>
          </cell>
        </row>
        <row r="533">
          <cell r="C533" t="str">
            <v>RATE CASE EXPENSE ADJUSTMENT</v>
          </cell>
          <cell r="D533" t="str">
            <v>A315</v>
          </cell>
        </row>
        <row r="534">
          <cell r="C534" t="str">
            <v>ELIMINATE MISCELLANEOUS EXPENSES ADJUSTMENT</v>
          </cell>
          <cell r="D534" t="str">
            <v>A315</v>
          </cell>
        </row>
        <row r="535">
          <cell r="C535" t="str">
            <v>RIDER ESM ELIMINATION</v>
          </cell>
          <cell r="D535" t="str">
            <v>A315</v>
          </cell>
        </row>
        <row r="536">
          <cell r="C536" t="str">
            <v>ELIMINATE DSM</v>
          </cell>
          <cell r="D536" t="str">
            <v>A315</v>
          </cell>
        </row>
        <row r="537">
          <cell r="C537" t="str">
            <v>DSM DEFERRAL - ELECTRIC</v>
          </cell>
          <cell r="D537" t="str">
            <v>A315</v>
          </cell>
        </row>
        <row r="538">
          <cell r="C538" t="str">
            <v>PENSION ADJUSTMENT</v>
          </cell>
          <cell r="D538" t="str">
            <v>A315</v>
          </cell>
        </row>
        <row r="539">
          <cell r="C539" t="str">
            <v>ELIMINATE MISC EXPENSES</v>
          </cell>
          <cell r="D539" t="str">
            <v>A315</v>
          </cell>
        </row>
        <row r="540">
          <cell r="C540" t="str">
            <v>ELIMINATE MERGER COSTS AND CREDITS</v>
          </cell>
          <cell r="D540" t="str">
            <v>A315</v>
          </cell>
        </row>
        <row r="541">
          <cell r="C541" t="str">
            <v>ANNUALIZE KYPSC MAINT TAX</v>
          </cell>
          <cell r="D541" t="str">
            <v>A315</v>
          </cell>
        </row>
        <row r="542">
          <cell r="C542" t="str">
            <v>REMOVE INCENTIVE COMP</v>
          </cell>
          <cell r="D542" t="str">
            <v>A315</v>
          </cell>
        </row>
        <row r="543">
          <cell r="C543" t="str">
            <v>STATE REG COMMISSION EXPENSE</v>
          </cell>
          <cell r="D543" t="str">
            <v>A315</v>
          </cell>
        </row>
        <row r="544">
          <cell r="C544" t="str">
            <v>ELIMINATE INCENTIVE COMPENSATION ADJUSTMENT</v>
          </cell>
          <cell r="D544" t="str">
            <v>A315</v>
          </cell>
        </row>
        <row r="545">
          <cell r="C545" t="str">
            <v>AMORTIZATION OF DEFERRAL ASSET</v>
          </cell>
          <cell r="D545" t="str">
            <v>A315</v>
          </cell>
        </row>
        <row r="546">
          <cell r="C546" t="str">
            <v>AMORTIZATION OF DEFERRED EXPENSES</v>
          </cell>
          <cell r="D546" t="str">
            <v>A315</v>
          </cell>
        </row>
        <row r="547">
          <cell r="C547" t="str">
            <v>TOTAL ADMIN. &amp; GENERAL</v>
          </cell>
        </row>
        <row r="549">
          <cell r="C549" t="str">
            <v>TOTAL O &amp; M EXPENSE</v>
          </cell>
        </row>
        <row r="562">
          <cell r="C562" t="str">
            <v>PRODUCTION DEPRECIATION</v>
          </cell>
          <cell r="D562" t="str">
            <v>P229</v>
          </cell>
        </row>
        <row r="563">
          <cell r="C563" t="str">
            <v xml:space="preserve">  TOTAL PRODUCTION DEPREC EXP.</v>
          </cell>
        </row>
        <row r="566">
          <cell r="D566" t="str">
            <v>T229</v>
          </cell>
        </row>
        <row r="567">
          <cell r="C567" t="str">
            <v xml:space="preserve">  TOTAL TRANSMISSION DEP. EXP.</v>
          </cell>
        </row>
        <row r="570">
          <cell r="C570" t="str">
            <v>DISTRIBUTION DEPRECIATION</v>
          </cell>
          <cell r="D570" t="str">
            <v>D249</v>
          </cell>
        </row>
        <row r="571">
          <cell r="C571" t="str">
            <v xml:space="preserve">  TOTAL DIST. DEPREC EXP.</v>
          </cell>
        </row>
        <row r="574">
          <cell r="C574" t="str">
            <v>GENERAL DEPRECIATION</v>
          </cell>
          <cell r="D574" t="str">
            <v>G229</v>
          </cell>
        </row>
        <row r="575">
          <cell r="C575" t="str">
            <v xml:space="preserve">  TOTAL GENERAL DEPREC EXP.</v>
          </cell>
        </row>
        <row r="578">
          <cell r="C578" t="str">
            <v>COMMON DEPRECIATION</v>
          </cell>
          <cell r="D578" t="str">
            <v>C229</v>
          </cell>
        </row>
        <row r="579">
          <cell r="C579" t="str">
            <v xml:space="preserve">  TOTAL COM &amp; OTHER DEPREC EXP.</v>
          </cell>
        </row>
        <row r="596">
          <cell r="C596" t="str">
            <v>REAL ESTATE &amp; PROPERTY TAX</v>
          </cell>
          <cell r="D596" t="str">
            <v>NP29</v>
          </cell>
        </row>
        <row r="597">
          <cell r="C597" t="str">
            <v>ANNUALIZE PROPERTY TAX</v>
          </cell>
          <cell r="D597" t="str">
            <v>NP29</v>
          </cell>
        </row>
        <row r="598">
          <cell r="C598" t="str">
            <v xml:space="preserve">  TOTAL REAL ESTATE &amp; PROPERTY TAX</v>
          </cell>
        </row>
        <row r="601">
          <cell r="C601" t="str">
            <v xml:space="preserve">PAYROLL </v>
          </cell>
          <cell r="D601" t="str">
            <v>A315</v>
          </cell>
        </row>
        <row r="602">
          <cell r="C602" t="str">
            <v xml:space="preserve">ELIMINATE DSM </v>
          </cell>
          <cell r="D602" t="str">
            <v>A315</v>
          </cell>
        </row>
        <row r="603">
          <cell r="C603" t="str">
            <v>ELIMINATE INCENTIVE COMPENSATION</v>
          </cell>
          <cell r="D603" t="str">
            <v>A315</v>
          </cell>
        </row>
        <row r="604">
          <cell r="C604" t="str">
            <v>ELIMINATE ESM</v>
          </cell>
          <cell r="D604" t="str">
            <v>A315</v>
          </cell>
        </row>
        <row r="605">
          <cell r="C605" t="str">
            <v xml:space="preserve">  TOTAL MISCELLANEOUS TAXES</v>
          </cell>
        </row>
        <row r="608">
          <cell r="C608" t="str">
            <v>PSC MAINT. EXP ON INCREASE</v>
          </cell>
          <cell r="D608" t="str">
            <v>K902</v>
          </cell>
        </row>
        <row r="609">
          <cell r="C609" t="str">
            <v>RESERVED FOR FUTURE USE</v>
          </cell>
          <cell r="D609" t="str">
            <v>K902</v>
          </cell>
        </row>
        <row r="610">
          <cell r="C610" t="str">
            <v xml:space="preserve">  TOTAL MISCELLANEOUS EXPENSES</v>
          </cell>
        </row>
        <row r="615">
          <cell r="C615" t="str">
            <v>TOTAL O&amp;M EXPENSE</v>
          </cell>
        </row>
        <row r="616">
          <cell r="C616" t="str">
            <v>TOTAL DEPRECIATION EXPENSE</v>
          </cell>
        </row>
        <row r="617">
          <cell r="C617" t="str">
            <v>TOTAL OTHER TAX &amp; MISC EXPENSE</v>
          </cell>
        </row>
        <row r="618">
          <cell r="C618" t="str">
            <v xml:space="preserve">  TOTAL OPER EXP EXCL INCOME &amp; REV TAX</v>
          </cell>
        </row>
        <row r="632">
          <cell r="C632" t="str">
            <v>AUTO PROC INTEREST DED</v>
          </cell>
          <cell r="D632" t="str">
            <v>RB99</v>
          </cell>
        </row>
        <row r="633">
          <cell r="C633" t="str">
            <v xml:space="preserve">  TOTAL INTEREST EXPENSE</v>
          </cell>
        </row>
        <row r="636">
          <cell r="C636" t="str">
            <v>DEPREC EXCESS TAX-BOOK</v>
          </cell>
          <cell r="D636" t="str">
            <v>DE49</v>
          </cell>
        </row>
        <row r="637">
          <cell r="C637" t="str">
            <v>PERMANENT DIFFERENCES</v>
          </cell>
          <cell r="D637" t="str">
            <v>A357</v>
          </cell>
        </row>
        <row r="638">
          <cell r="C638" t="str">
            <v>TEMPORARY DIFFERENCES</v>
          </cell>
          <cell r="D638" t="str">
            <v>DE49</v>
          </cell>
        </row>
        <row r="639">
          <cell r="C639" t="str">
            <v xml:space="preserve">  TOTAL OTHER DEDUCTIONS</v>
          </cell>
        </row>
        <row r="644">
          <cell r="C644" t="str">
            <v>DEFERRED INCOME TAXES - NET</v>
          </cell>
          <cell r="D644" t="str">
            <v>OM39</v>
          </cell>
        </row>
        <row r="645">
          <cell r="C645" t="str">
            <v>RESERVED</v>
          </cell>
          <cell r="D645" t="str">
            <v>A357</v>
          </cell>
        </row>
        <row r="646">
          <cell r="C646" t="str">
            <v>DIT ADJUSTMENT - S/L DEPRECIATION</v>
          </cell>
          <cell r="D646" t="str">
            <v>DE49</v>
          </cell>
        </row>
        <row r="647">
          <cell r="C647" t="str">
            <v>DIT ADJUSTMENT - ARAM</v>
          </cell>
          <cell r="D647" t="str">
            <v>K201</v>
          </cell>
        </row>
        <row r="648">
          <cell r="C648" t="str">
            <v>DIT ADJUSTMENT - AMORT OF EXCESS DEF TAXES</v>
          </cell>
          <cell r="D648" t="str">
            <v>A357</v>
          </cell>
        </row>
        <row r="649">
          <cell r="C649" t="str">
            <v xml:space="preserve">  TOTAL FED DEF IT (410 &amp; 411)</v>
          </cell>
        </row>
        <row r="652">
          <cell r="C652" t="str">
            <v>AMORTIZE ITC</v>
          </cell>
          <cell r="D652" t="str">
            <v>NP29</v>
          </cell>
        </row>
        <row r="653">
          <cell r="C653" t="str">
            <v xml:space="preserve">  TOTAL AMORTIZED ITC</v>
          </cell>
        </row>
        <row r="656">
          <cell r="C656" t="str">
            <v>FUEL TAX CREDIT</v>
          </cell>
          <cell r="D656" t="str">
            <v>K301</v>
          </cell>
        </row>
        <row r="657">
          <cell r="C657" t="str">
            <v>R&amp;D CREDIT - SECTION 41</v>
          </cell>
          <cell r="D657" t="str">
            <v>A315</v>
          </cell>
        </row>
        <row r="658">
          <cell r="C658" t="str">
            <v xml:space="preserve">  TOTAL OTHER FEDERAL TAX CREDITS</v>
          </cell>
        </row>
        <row r="661">
          <cell r="C661" t="str">
            <v>TOTAL FED DEF IT (410 &amp; 411)</v>
          </cell>
        </row>
        <row r="662">
          <cell r="C662" t="str">
            <v>TOTAL AMORTIZED ITC &amp; OTHER FEDERAL TAX CREDITS</v>
          </cell>
        </row>
        <row r="663">
          <cell r="C663" t="str">
            <v xml:space="preserve">  TOTAL FEDERAL TAX ADJUSTMENTS</v>
          </cell>
        </row>
        <row r="667">
          <cell r="C667" t="str">
            <v>NET DEDUCTIONS AND ADDITIONS</v>
          </cell>
        </row>
        <row r="668">
          <cell r="C668" t="str">
            <v>TOTAL FEDERAL TAX ADJUSTMENTS</v>
          </cell>
        </row>
        <row r="671">
          <cell r="C671" t="str">
            <v xml:space="preserve">  BASE FOR FIT COMPUATION</v>
          </cell>
        </row>
        <row r="673">
          <cell r="C673" t="str">
            <v>FIT FACTOR K190/(1-K190)</v>
          </cell>
        </row>
        <row r="674">
          <cell r="C674" t="str">
            <v>PRELIM FED INCOME TAX</v>
          </cell>
        </row>
        <row r="675">
          <cell r="C675" t="str">
            <v>TOTAL FEDERAL TAX ADJUSTMENTS</v>
          </cell>
        </row>
        <row r="676">
          <cell r="C676" t="str">
            <v xml:space="preserve">  NET FED INCOME TAX ALLOWABLE</v>
          </cell>
        </row>
        <row r="680">
          <cell r="C680" t="str">
            <v>PRELIM FEDERAL INCOME TAX</v>
          </cell>
        </row>
        <row r="681">
          <cell r="C681" t="str">
            <v xml:space="preserve">  NET FED INCOME TAX PAYABLE</v>
          </cell>
        </row>
        <row r="694">
          <cell r="D694" t="str">
            <v>NP29</v>
          </cell>
        </row>
        <row r="695">
          <cell r="D695" t="str">
            <v>NP29</v>
          </cell>
        </row>
        <row r="700">
          <cell r="D700" t="str">
            <v>A357</v>
          </cell>
        </row>
        <row r="704">
          <cell r="D704" t="str">
            <v>NP29</v>
          </cell>
        </row>
        <row r="729">
          <cell r="F729">
            <v>0.24925115</v>
          </cell>
        </row>
        <row r="742">
          <cell r="C742" t="str">
            <v>MISC SERVICE REVENUE</v>
          </cell>
          <cell r="D742" t="str">
            <v>D249</v>
          </cell>
        </row>
        <row r="743">
          <cell r="C743" t="str">
            <v>RECONNECTION CHARGES</v>
          </cell>
          <cell r="D743" t="str">
            <v>K405</v>
          </cell>
        </row>
        <row r="744">
          <cell r="C744" t="str">
            <v>POLE &amp; LINE ATTACHMENTS</v>
          </cell>
          <cell r="D744" t="str">
            <v>D249</v>
          </cell>
        </row>
        <row r="745">
          <cell r="C745" t="str">
            <v>RENTS</v>
          </cell>
          <cell r="D745" t="str">
            <v>D249</v>
          </cell>
        </row>
        <row r="746">
          <cell r="C746" t="str">
            <v>TRANSMISSION CHARGE PTP</v>
          </cell>
          <cell r="D746" t="str">
            <v>T229</v>
          </cell>
        </row>
        <row r="747">
          <cell r="C747" t="str">
            <v>PJM REACTIVE REVENUE</v>
          </cell>
          <cell r="D747" t="str">
            <v>K401</v>
          </cell>
        </row>
        <row r="748">
          <cell r="C748" t="str">
            <v>OTHER TRANSMISSION REVENUES</v>
          </cell>
          <cell r="D748" t="str">
            <v>T229</v>
          </cell>
        </row>
        <row r="749">
          <cell r="C749" t="str">
            <v>BAD CHECK CHARGES</v>
          </cell>
          <cell r="D749" t="str">
            <v>K405</v>
          </cell>
        </row>
        <row r="750">
          <cell r="C750" t="str">
            <v xml:space="preserve">  TOTAL OTHER OPERATING REVS</v>
          </cell>
        </row>
        <row r="753">
          <cell r="C753" t="str">
            <v>TOTAL OP EXP EXC INC &amp; REV TAX</v>
          </cell>
        </row>
        <row r="755">
          <cell r="C755" t="str">
            <v>NET FED INCOME TAX ALLOWABLE</v>
          </cell>
        </row>
        <row r="756">
          <cell r="C756" t="str">
            <v>NET STATE INCOME TAX ALLOWABLE</v>
          </cell>
        </row>
        <row r="757">
          <cell r="C757" t="str">
            <v>TOTAL OTHER OPERATING REVENUES</v>
          </cell>
        </row>
        <row r="758">
          <cell r="C758" t="str">
            <v xml:space="preserve">  SUBTOTAL B</v>
          </cell>
        </row>
        <row r="760">
          <cell r="C760" t="str">
            <v>TOTAL OTHER OPERATING REVENUES</v>
          </cell>
        </row>
        <row r="761">
          <cell r="C761" t="str">
            <v>LESS: REVS EXCL FROM REV TAX CALC</v>
          </cell>
        </row>
        <row r="762">
          <cell r="C762" t="str">
            <v>OTHER OPERATING REVS TO BE TAXED</v>
          </cell>
        </row>
        <row r="764">
          <cell r="C764" t="str">
            <v>REVENUE TAX FACTOR</v>
          </cell>
        </row>
        <row r="765">
          <cell r="C765" t="str">
            <v>REVENUE TAX ON OTHER OPER. REVS</v>
          </cell>
        </row>
        <row r="766">
          <cell r="C766" t="str">
            <v>REVENUE TAX ON COST OF SERVICE</v>
          </cell>
        </row>
        <row r="767">
          <cell r="C767" t="str">
            <v>TOTAL REVENUE TAX</v>
          </cell>
        </row>
        <row r="770">
          <cell r="C770" t="str">
            <v xml:space="preserve">  TOTAL ELECTRIC COST OF SERVICE</v>
          </cell>
        </row>
        <row r="791">
          <cell r="C791" t="str">
            <v>LONG TERM DEBT</v>
          </cell>
          <cell r="F791">
            <v>930883285.61461544</v>
          </cell>
        </row>
        <row r="792">
          <cell r="C792" t="str">
            <v>PREFERRED STOCK</v>
          </cell>
          <cell r="F792">
            <v>0</v>
          </cell>
        </row>
        <row r="793">
          <cell r="C793" t="str">
            <v>COMMON STOCK</v>
          </cell>
          <cell r="F793">
            <v>1155393756</v>
          </cell>
        </row>
        <row r="794">
          <cell r="C794" t="str">
            <v>SHORT TERM DEBT</v>
          </cell>
          <cell r="F794">
            <v>104930903</v>
          </cell>
        </row>
        <row r="795">
          <cell r="C795" t="str">
            <v>UNAMORTIZED DISCOUNT</v>
          </cell>
          <cell r="F795">
            <v>0</v>
          </cell>
        </row>
        <row r="796">
          <cell r="C796" t="str">
            <v xml:space="preserve">  TOTAL</v>
          </cell>
          <cell r="F796">
            <v>2191207944.6146154</v>
          </cell>
        </row>
        <row r="799">
          <cell r="C799" t="str">
            <v>LONG TERM DEBT</v>
          </cell>
          <cell r="F799">
            <v>4.929E-2</v>
          </cell>
        </row>
        <row r="800">
          <cell r="C800" t="str">
            <v>PREFERRED STOCK</v>
          </cell>
          <cell r="F800">
            <v>0</v>
          </cell>
        </row>
        <row r="801">
          <cell r="C801" t="str">
            <v>COMMON STOCK</v>
          </cell>
          <cell r="F801">
            <v>0.1085</v>
          </cell>
        </row>
        <row r="802">
          <cell r="C802" t="str">
            <v>SHORT TERM DEBT</v>
          </cell>
          <cell r="F802">
            <v>3.1969999999999998E-2</v>
          </cell>
        </row>
        <row r="803">
          <cell r="C803" t="str">
            <v>UNAMORTIZED DISCOUNT</v>
          </cell>
          <cell r="F803">
            <v>0</v>
          </cell>
        </row>
        <row r="806">
          <cell r="C806" t="str">
            <v>LONG TERM DEBT</v>
          </cell>
        </row>
        <row r="807">
          <cell r="C807" t="str">
            <v>PREFERRED STOCK</v>
          </cell>
        </row>
        <row r="808">
          <cell r="C808" t="str">
            <v>COMMON STOCK</v>
          </cell>
        </row>
        <row r="809">
          <cell r="C809" t="str">
            <v>SHORT TERM DEBT</v>
          </cell>
        </row>
        <row r="810">
          <cell r="C810" t="str">
            <v>UNAMORTIZED DISCOUNT</v>
          </cell>
        </row>
        <row r="811">
          <cell r="C811" t="str">
            <v xml:space="preserve">  TOT RATE OF RETURN ALLOWABLE</v>
          </cell>
          <cell r="F811">
            <v>7.9680000000000001E-2</v>
          </cell>
        </row>
        <row r="814">
          <cell r="C814" t="str">
            <v>SHORT TERM DEBT COST</v>
          </cell>
        </row>
        <row r="815">
          <cell r="C815" t="str">
            <v>FEDERAL INCOME TAX RATE</v>
          </cell>
          <cell r="F815">
            <v>0.21</v>
          </cell>
          <cell r="K815">
            <v>0.21</v>
          </cell>
        </row>
        <row r="816">
          <cell r="C816" t="str">
            <v>STATE INCOME TAX RATE</v>
          </cell>
          <cell r="F816">
            <v>4.9685000000000007E-2</v>
          </cell>
        </row>
        <row r="817">
          <cell r="C817" t="str">
            <v>REVENUE TAX RATE</v>
          </cell>
          <cell r="F817">
            <v>0</v>
          </cell>
          <cell r="K817">
            <v>0</v>
          </cell>
        </row>
        <row r="830">
          <cell r="F830">
            <v>648083</v>
          </cell>
          <cell r="G830">
            <v>648083</v>
          </cell>
          <cell r="H830">
            <v>0</v>
          </cell>
          <cell r="I830">
            <v>0</v>
          </cell>
        </row>
        <row r="831">
          <cell r="E831" t="str">
            <v>K201</v>
          </cell>
          <cell r="F831">
            <v>1</v>
          </cell>
          <cell r="G831">
            <v>1</v>
          </cell>
          <cell r="H831">
            <v>0</v>
          </cell>
          <cell r="I831">
            <v>0</v>
          </cell>
        </row>
        <row r="832">
          <cell r="F832">
            <v>648083</v>
          </cell>
          <cell r="G832">
            <v>0</v>
          </cell>
          <cell r="H832">
            <v>648083</v>
          </cell>
          <cell r="I832">
            <v>0</v>
          </cell>
        </row>
        <row r="833">
          <cell r="E833" t="str">
            <v>K202</v>
          </cell>
          <cell r="F833">
            <v>1</v>
          </cell>
          <cell r="G833">
            <v>0</v>
          </cell>
          <cell r="H833">
            <v>1</v>
          </cell>
          <cell r="I833">
            <v>0</v>
          </cell>
        </row>
        <row r="834">
          <cell r="F834">
            <v>1647331</v>
          </cell>
          <cell r="G834">
            <v>0</v>
          </cell>
          <cell r="H834">
            <v>0</v>
          </cell>
          <cell r="I834">
            <v>1647331</v>
          </cell>
        </row>
        <row r="835">
          <cell r="E835" t="str">
            <v>K203</v>
          </cell>
          <cell r="F835">
            <v>1</v>
          </cell>
          <cell r="G835">
            <v>0</v>
          </cell>
          <cell r="H835">
            <v>0</v>
          </cell>
          <cell r="I835">
            <v>1</v>
          </cell>
        </row>
        <row r="836">
          <cell r="F836">
            <v>708591</v>
          </cell>
          <cell r="G836">
            <v>0</v>
          </cell>
          <cell r="H836">
            <v>0</v>
          </cell>
          <cell r="I836">
            <v>708591</v>
          </cell>
        </row>
        <row r="837">
          <cell r="E837" t="str">
            <v>K205</v>
          </cell>
          <cell r="F837">
            <v>1</v>
          </cell>
          <cell r="G837">
            <v>0</v>
          </cell>
          <cell r="H837">
            <v>0</v>
          </cell>
          <cell r="I837">
            <v>1</v>
          </cell>
        </row>
        <row r="838">
          <cell r="F838">
            <v>708591</v>
          </cell>
          <cell r="G838">
            <v>0</v>
          </cell>
          <cell r="H838">
            <v>0</v>
          </cell>
          <cell r="I838">
            <v>708591</v>
          </cell>
        </row>
        <row r="839">
          <cell r="E839" t="str">
            <v>K206</v>
          </cell>
          <cell r="F839">
            <v>1</v>
          </cell>
          <cell r="G839">
            <v>0</v>
          </cell>
          <cell r="H839">
            <v>0</v>
          </cell>
          <cell r="I839">
            <v>1</v>
          </cell>
        </row>
        <row r="840">
          <cell r="F840">
            <v>799139727</v>
          </cell>
          <cell r="G840">
            <v>0</v>
          </cell>
          <cell r="H840">
            <v>26570</v>
          </cell>
          <cell r="I840">
            <v>799113157</v>
          </cell>
        </row>
        <row r="841">
          <cell r="E841" t="str">
            <v>K209</v>
          </cell>
          <cell r="F841">
            <v>1</v>
          </cell>
          <cell r="G841">
            <v>0</v>
          </cell>
          <cell r="H841">
            <v>3.0000000000000001E-5</v>
          </cell>
          <cell r="I841">
            <v>0.99997000000000003</v>
          </cell>
        </row>
        <row r="842">
          <cell r="F842">
            <v>708591</v>
          </cell>
          <cell r="G842">
            <v>0</v>
          </cell>
          <cell r="H842">
            <v>0</v>
          </cell>
          <cell r="I842">
            <v>708591</v>
          </cell>
        </row>
        <row r="843">
          <cell r="E843" t="str">
            <v>K215</v>
          </cell>
          <cell r="F843">
            <v>1</v>
          </cell>
          <cell r="G843">
            <v>0</v>
          </cell>
          <cell r="H843">
            <v>0</v>
          </cell>
          <cell r="I843">
            <v>1</v>
          </cell>
        </row>
        <row r="844">
          <cell r="F844">
            <v>165672</v>
          </cell>
          <cell r="G844">
            <v>0</v>
          </cell>
          <cell r="H844">
            <v>0</v>
          </cell>
          <cell r="I844">
            <v>165672</v>
          </cell>
        </row>
        <row r="845">
          <cell r="E845" t="str">
            <v>K217</v>
          </cell>
          <cell r="F845">
            <v>1</v>
          </cell>
          <cell r="G845">
            <v>0</v>
          </cell>
          <cell r="H845">
            <v>0</v>
          </cell>
          <cell r="I845">
            <v>1</v>
          </cell>
        </row>
        <row r="846">
          <cell r="F846">
            <v>4101134214.1489997</v>
          </cell>
          <cell r="G846">
            <v>4101134214.1489997</v>
          </cell>
          <cell r="H846">
            <v>0</v>
          </cell>
          <cell r="I846">
            <v>0</v>
          </cell>
        </row>
        <row r="847">
          <cell r="E847" t="str">
            <v>K301</v>
          </cell>
          <cell r="F847">
            <v>1</v>
          </cell>
          <cell r="G847">
            <v>1</v>
          </cell>
          <cell r="H847">
            <v>0</v>
          </cell>
          <cell r="I847">
            <v>0</v>
          </cell>
        </row>
        <row r="848">
          <cell r="F848">
            <v>4101134214.1489997</v>
          </cell>
          <cell r="G848">
            <v>0</v>
          </cell>
          <cell r="H848">
            <v>0</v>
          </cell>
          <cell r="I848">
            <v>4101134214.1489997</v>
          </cell>
        </row>
        <row r="849">
          <cell r="E849" t="str">
            <v>K303</v>
          </cell>
          <cell r="F849">
            <v>1</v>
          </cell>
          <cell r="G849">
            <v>0</v>
          </cell>
          <cell r="H849">
            <v>0</v>
          </cell>
          <cell r="I849">
            <v>1</v>
          </cell>
        </row>
        <row r="850">
          <cell r="F850">
            <v>4082162442.6229997</v>
          </cell>
          <cell r="G850">
            <v>4082162442.6229997</v>
          </cell>
          <cell r="H850">
            <v>0</v>
          </cell>
          <cell r="I850">
            <v>0</v>
          </cell>
        </row>
        <row r="851">
          <cell r="E851" t="str">
            <v>K305</v>
          </cell>
          <cell r="F851">
            <v>1</v>
          </cell>
          <cell r="G851">
            <v>1</v>
          </cell>
          <cell r="H851">
            <v>0</v>
          </cell>
          <cell r="I851">
            <v>0</v>
          </cell>
        </row>
        <row r="852">
          <cell r="F852">
            <v>1</v>
          </cell>
          <cell r="G852">
            <v>0</v>
          </cell>
          <cell r="H852">
            <v>0</v>
          </cell>
          <cell r="I852">
            <v>1</v>
          </cell>
        </row>
        <row r="853">
          <cell r="E853" t="str">
            <v>K307</v>
          </cell>
          <cell r="F853">
            <v>1</v>
          </cell>
          <cell r="G853">
            <v>0</v>
          </cell>
          <cell r="H853">
            <v>0</v>
          </cell>
          <cell r="I853">
            <v>1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1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1</v>
          </cell>
        </row>
        <row r="856">
          <cell r="F856">
            <v>152867</v>
          </cell>
          <cell r="G856">
            <v>0</v>
          </cell>
          <cell r="H856">
            <v>0</v>
          </cell>
          <cell r="I856">
            <v>152867</v>
          </cell>
        </row>
        <row r="857">
          <cell r="E857" t="str">
            <v>K405</v>
          </cell>
          <cell r="F857">
            <v>1</v>
          </cell>
          <cell r="G857">
            <v>0</v>
          </cell>
          <cell r="H857">
            <v>0</v>
          </cell>
          <cell r="I857">
            <v>1</v>
          </cell>
        </row>
        <row r="858">
          <cell r="F858">
            <v>22486890.793596428</v>
          </cell>
          <cell r="G858">
            <v>0</v>
          </cell>
          <cell r="H858">
            <v>16328.400000000001</v>
          </cell>
          <cell r="I858">
            <v>22470562.393596429</v>
          </cell>
        </row>
        <row r="859">
          <cell r="E859" t="str">
            <v>K407</v>
          </cell>
          <cell r="F859">
            <v>1</v>
          </cell>
          <cell r="G859">
            <v>0</v>
          </cell>
          <cell r="H859">
            <v>7.2999999999999996E-4</v>
          </cell>
          <cell r="I859">
            <v>0.99926999999999999</v>
          </cell>
        </row>
        <row r="860">
          <cell r="F860">
            <v>154110</v>
          </cell>
          <cell r="G860">
            <v>0</v>
          </cell>
          <cell r="H860">
            <v>0</v>
          </cell>
          <cell r="I860">
            <v>154110</v>
          </cell>
        </row>
        <row r="861">
          <cell r="E861" t="str">
            <v>K409</v>
          </cell>
          <cell r="F861">
            <v>1</v>
          </cell>
          <cell r="G861">
            <v>0</v>
          </cell>
          <cell r="H861">
            <v>0</v>
          </cell>
          <cell r="I861">
            <v>1</v>
          </cell>
        </row>
        <row r="862">
          <cell r="F862">
            <v>2137114.169997225</v>
          </cell>
          <cell r="G862">
            <v>0</v>
          </cell>
          <cell r="H862">
            <v>13016</v>
          </cell>
          <cell r="I862">
            <v>2124098.169997225</v>
          </cell>
        </row>
        <row r="863">
          <cell r="E863" t="str">
            <v>K411</v>
          </cell>
          <cell r="F863">
            <v>1</v>
          </cell>
          <cell r="G863">
            <v>0</v>
          </cell>
          <cell r="H863">
            <v>6.0899999999999999E-3</v>
          </cell>
          <cell r="I863">
            <v>0.99390999999999996</v>
          </cell>
        </row>
        <row r="864">
          <cell r="F864">
            <v>4087989911.1489997</v>
          </cell>
          <cell r="G864">
            <v>4087989911.1489997</v>
          </cell>
          <cell r="H864">
            <v>0</v>
          </cell>
          <cell r="I864">
            <v>0</v>
          </cell>
        </row>
        <row r="865">
          <cell r="E865" t="str">
            <v>K302</v>
          </cell>
          <cell r="F865">
            <v>1</v>
          </cell>
          <cell r="G865">
            <v>1</v>
          </cell>
          <cell r="H865">
            <v>0</v>
          </cell>
          <cell r="I865">
            <v>0</v>
          </cell>
        </row>
        <row r="867">
          <cell r="E867" t="str">
            <v>R600</v>
          </cell>
          <cell r="F867">
            <v>450848090</v>
          </cell>
          <cell r="G867">
            <v>304128022</v>
          </cell>
          <cell r="H867">
            <v>49081129</v>
          </cell>
          <cell r="I867">
            <v>97638939</v>
          </cell>
        </row>
        <row r="868">
          <cell r="E868" t="str">
            <v>R602</v>
          </cell>
          <cell r="F868">
            <v>450848089</v>
          </cell>
          <cell r="G868">
            <v>303123204</v>
          </cell>
          <cell r="H868">
            <v>16126836</v>
          </cell>
          <cell r="I868">
            <v>131598049</v>
          </cell>
        </row>
        <row r="877">
          <cell r="F877" t="str">
            <v>TOTAL</v>
          </cell>
          <cell r="G877" t="str">
            <v>FUNCTIONAL</v>
          </cell>
        </row>
        <row r="878">
          <cell r="E878" t="str">
            <v>ALLO</v>
          </cell>
          <cell r="F878" t="str">
            <v>ELECTRIC</v>
          </cell>
          <cell r="G878" t="str">
            <v>PRODUCTION</v>
          </cell>
          <cell r="H878" t="str">
            <v>TRANSMISSION</v>
          </cell>
          <cell r="I878" t="str">
            <v>DISTRIBUTION</v>
          </cell>
        </row>
        <row r="879">
          <cell r="E879">
            <v>1</v>
          </cell>
          <cell r="F879">
            <v>2</v>
          </cell>
          <cell r="G879">
            <v>3</v>
          </cell>
          <cell r="H879">
            <v>4</v>
          </cell>
          <cell r="I879">
            <v>5</v>
          </cell>
        </row>
        <row r="881">
          <cell r="F881">
            <v>450848090</v>
          </cell>
          <cell r="G881">
            <v>304128022</v>
          </cell>
          <cell r="H881">
            <v>49081129</v>
          </cell>
          <cell r="I881">
            <v>97638939</v>
          </cell>
        </row>
        <row r="882">
          <cell r="E882" t="str">
            <v>K901</v>
          </cell>
          <cell r="F882">
            <v>1</v>
          </cell>
          <cell r="G882">
            <v>0.67457</v>
          </cell>
          <cell r="H882">
            <v>0.10886</v>
          </cell>
          <cell r="I882">
            <v>0.21657000000000001</v>
          </cell>
        </row>
        <row r="883">
          <cell r="F883">
            <v>450848089</v>
          </cell>
          <cell r="G883">
            <v>303123204</v>
          </cell>
          <cell r="H883">
            <v>16126836</v>
          </cell>
          <cell r="I883">
            <v>131598049</v>
          </cell>
        </row>
        <row r="884">
          <cell r="E884" t="str">
            <v>K902</v>
          </cell>
          <cell r="F884">
            <v>1</v>
          </cell>
          <cell r="G884">
            <v>0.67234000000000005</v>
          </cell>
          <cell r="H884">
            <v>3.5770000000000003E-2</v>
          </cell>
          <cell r="I884">
            <v>0.29188999999999998</v>
          </cell>
        </row>
        <row r="888">
          <cell r="E888" t="str">
            <v>P129</v>
          </cell>
          <cell r="F888">
            <v>1</v>
          </cell>
          <cell r="G888">
            <v>1</v>
          </cell>
          <cell r="H888">
            <v>0</v>
          </cell>
          <cell r="I888">
            <v>0</v>
          </cell>
        </row>
        <row r="889">
          <cell r="E889" t="str">
            <v>T129</v>
          </cell>
          <cell r="F889">
            <v>1</v>
          </cell>
          <cell r="G889">
            <v>0</v>
          </cell>
          <cell r="H889">
            <v>1</v>
          </cell>
          <cell r="I889">
            <v>0</v>
          </cell>
        </row>
        <row r="890">
          <cell r="E890" t="str">
            <v>PT29</v>
          </cell>
          <cell r="F890">
            <v>1</v>
          </cell>
          <cell r="G890">
            <v>0.89193999999999996</v>
          </cell>
          <cell r="H890">
            <v>0.10806</v>
          </cell>
          <cell r="I890">
            <v>0</v>
          </cell>
        </row>
        <row r="891">
          <cell r="E891" t="str">
            <v>D149</v>
          </cell>
          <cell r="F891">
            <v>1</v>
          </cell>
          <cell r="G891">
            <v>0</v>
          </cell>
          <cell r="H891">
            <v>3.0000000000000001E-5</v>
          </cell>
          <cell r="I891">
            <v>0.99997000000000003</v>
          </cell>
        </row>
        <row r="892">
          <cell r="E892" t="str">
            <v>TD29</v>
          </cell>
          <cell r="F892">
            <v>1</v>
          </cell>
          <cell r="G892">
            <v>0</v>
          </cell>
          <cell r="H892">
            <v>0.16744999999999999</v>
          </cell>
          <cell r="I892">
            <v>0.83255000000000001</v>
          </cell>
        </row>
        <row r="893">
          <cell r="E893" t="str">
            <v>PD29</v>
          </cell>
          <cell r="F893">
            <v>1</v>
          </cell>
          <cell r="G893">
            <v>0.58018999999999998</v>
          </cell>
          <cell r="H893">
            <v>7.0300000000000001E-2</v>
          </cell>
          <cell r="I893">
            <v>0.34950999999999999</v>
          </cell>
        </row>
        <row r="894">
          <cell r="E894" t="str">
            <v>G129</v>
          </cell>
          <cell r="F894">
            <v>1</v>
          </cell>
          <cell r="G894">
            <v>0.80805000000000005</v>
          </cell>
          <cell r="H894">
            <v>3.576E-2</v>
          </cell>
          <cell r="I894">
            <v>0.15618999999999994</v>
          </cell>
        </row>
        <row r="895">
          <cell r="E895" t="str">
            <v>C129</v>
          </cell>
          <cell r="F895">
            <v>1</v>
          </cell>
          <cell r="G895">
            <v>0.80805000000000005</v>
          </cell>
          <cell r="H895">
            <v>3.576E-2</v>
          </cell>
          <cell r="I895">
            <v>0.15618999999999994</v>
          </cell>
        </row>
        <row r="896">
          <cell r="E896" t="str">
            <v>GP19</v>
          </cell>
          <cell r="F896">
            <v>1</v>
          </cell>
          <cell r="G896">
            <v>0.59367000000000003</v>
          </cell>
          <cell r="H896">
            <v>6.8260000000000001E-2</v>
          </cell>
          <cell r="I896">
            <v>0.33806999999999998</v>
          </cell>
        </row>
        <row r="897">
          <cell r="E897" t="str">
            <v>DR19</v>
          </cell>
          <cell r="F897">
            <v>1</v>
          </cell>
          <cell r="G897">
            <v>0.78671000000000002</v>
          </cell>
          <cell r="H897">
            <v>1.5520000000000001E-2</v>
          </cell>
          <cell r="I897">
            <v>0.19777</v>
          </cell>
        </row>
        <row r="900">
          <cell r="E900" t="str">
            <v>P229</v>
          </cell>
          <cell r="F900">
            <v>1</v>
          </cell>
          <cell r="G900">
            <v>1</v>
          </cell>
          <cell r="H900">
            <v>0</v>
          </cell>
          <cell r="I900">
            <v>0</v>
          </cell>
        </row>
        <row r="901">
          <cell r="E901" t="str">
            <v>T229</v>
          </cell>
          <cell r="F901">
            <v>1</v>
          </cell>
          <cell r="G901">
            <v>0</v>
          </cell>
          <cell r="H901">
            <v>1</v>
          </cell>
          <cell r="I901">
            <v>0</v>
          </cell>
        </row>
        <row r="902">
          <cell r="E902" t="str">
            <v>PL49</v>
          </cell>
          <cell r="F902">
            <v>1</v>
          </cell>
          <cell r="G902">
            <v>0</v>
          </cell>
          <cell r="H902">
            <v>0</v>
          </cell>
          <cell r="I902">
            <v>1</v>
          </cell>
        </row>
        <row r="903">
          <cell r="E903" t="str">
            <v>D249</v>
          </cell>
          <cell r="F903">
            <v>1</v>
          </cell>
          <cell r="G903">
            <v>0</v>
          </cell>
          <cell r="H903">
            <v>3.0000000000000001E-5</v>
          </cell>
          <cell r="I903">
            <v>0.99997000000000003</v>
          </cell>
        </row>
        <row r="904">
          <cell r="E904" t="str">
            <v>NT29</v>
          </cell>
          <cell r="F904">
            <v>1</v>
          </cell>
          <cell r="G904">
            <v>0.44746000000000002</v>
          </cell>
          <cell r="H904">
            <v>0.10654</v>
          </cell>
          <cell r="I904">
            <v>0.44599999999999995</v>
          </cell>
        </row>
        <row r="905">
          <cell r="E905" t="str">
            <v>G229</v>
          </cell>
          <cell r="F905">
            <v>1</v>
          </cell>
          <cell r="G905">
            <v>0.80817000000000005</v>
          </cell>
          <cell r="H905">
            <v>3.576E-2</v>
          </cell>
          <cell r="I905">
            <v>0.15606999999999993</v>
          </cell>
        </row>
        <row r="906">
          <cell r="E906" t="str">
            <v>C229</v>
          </cell>
          <cell r="F906">
            <v>1</v>
          </cell>
          <cell r="G906">
            <v>0.80961000000000005</v>
          </cell>
          <cell r="H906">
            <v>3.576E-2</v>
          </cell>
          <cell r="I906">
            <v>0.15462999999999993</v>
          </cell>
        </row>
        <row r="907">
          <cell r="E907" t="str">
            <v>NP29</v>
          </cell>
          <cell r="F907">
            <v>1</v>
          </cell>
          <cell r="G907">
            <v>0.46893000000000001</v>
          </cell>
          <cell r="H907">
            <v>0.10233</v>
          </cell>
          <cell r="I907">
            <v>0.42874000000000001</v>
          </cell>
        </row>
        <row r="910">
          <cell r="E910" t="str">
            <v>W669</v>
          </cell>
          <cell r="F910">
            <v>1</v>
          </cell>
          <cell r="G910">
            <v>0.76262000000000008</v>
          </cell>
          <cell r="H910">
            <v>3.9750000000000001E-2</v>
          </cell>
          <cell r="I910">
            <v>0.19763</v>
          </cell>
        </row>
        <row r="911">
          <cell r="E911" t="str">
            <v>W689</v>
          </cell>
          <cell r="F911">
            <v>1</v>
          </cell>
          <cell r="G911">
            <v>0.84689000000000003</v>
          </cell>
          <cell r="H911">
            <v>2.9499999999999998E-2</v>
          </cell>
          <cell r="I911">
            <v>0.12361</v>
          </cell>
        </row>
        <row r="912">
          <cell r="E912" t="str">
            <v>W719</v>
          </cell>
          <cell r="F912">
            <v>1</v>
          </cell>
          <cell r="G912">
            <v>1</v>
          </cell>
          <cell r="H912">
            <v>0</v>
          </cell>
          <cell r="I912">
            <v>0</v>
          </cell>
        </row>
        <row r="913">
          <cell r="E913" t="str">
            <v>W749</v>
          </cell>
          <cell r="F913">
            <v>1</v>
          </cell>
          <cell r="G913">
            <v>0</v>
          </cell>
          <cell r="H913">
            <v>0</v>
          </cell>
          <cell r="I913">
            <v>0</v>
          </cell>
        </row>
        <row r="914">
          <cell r="E914" t="str">
            <v>WC79</v>
          </cell>
          <cell r="F914">
            <v>1</v>
          </cell>
          <cell r="G914">
            <v>0.79222999999999999</v>
          </cell>
          <cell r="H914">
            <v>3.499E-2</v>
          </cell>
          <cell r="I914">
            <v>0.17277999999999999</v>
          </cell>
        </row>
        <row r="917">
          <cell r="E917" t="str">
            <v>RB29</v>
          </cell>
          <cell r="F917">
            <v>1</v>
          </cell>
          <cell r="G917">
            <v>0.46694999999999998</v>
          </cell>
          <cell r="H917">
            <v>0.10245</v>
          </cell>
          <cell r="I917">
            <v>0.43059999999999998</v>
          </cell>
        </row>
        <row r="918">
          <cell r="E918" t="str">
            <v>RB99</v>
          </cell>
          <cell r="F918">
            <v>1</v>
          </cell>
          <cell r="G918">
            <v>0.47771753769999997</v>
          </cell>
          <cell r="H918">
            <v>0.10022</v>
          </cell>
          <cell r="I918">
            <v>0.4220624623</v>
          </cell>
        </row>
        <row r="919">
          <cell r="E919" t="str">
            <v>CW29</v>
          </cell>
          <cell r="F919">
            <v>1</v>
          </cell>
          <cell r="G919">
            <v>0</v>
          </cell>
          <cell r="H919">
            <v>0</v>
          </cell>
          <cell r="I919">
            <v>1</v>
          </cell>
        </row>
        <row r="928">
          <cell r="F928" t="str">
            <v>TOTAL</v>
          </cell>
          <cell r="G928" t="str">
            <v>FUNCTIONAL</v>
          </cell>
        </row>
        <row r="929">
          <cell r="E929" t="str">
            <v>ALLO</v>
          </cell>
          <cell r="F929" t="str">
            <v>ELECTRIC</v>
          </cell>
          <cell r="G929" t="str">
            <v>PRODUCTION</v>
          </cell>
          <cell r="H929" t="str">
            <v>TRANSMISSION</v>
          </cell>
          <cell r="I929" t="str">
            <v>DISTRIBUTION</v>
          </cell>
        </row>
        <row r="930">
          <cell r="E930">
            <v>1</v>
          </cell>
          <cell r="F930">
            <v>2</v>
          </cell>
          <cell r="G930">
            <v>3</v>
          </cell>
          <cell r="H930">
            <v>4</v>
          </cell>
          <cell r="I930">
            <v>5</v>
          </cell>
        </row>
        <row r="932">
          <cell r="E932" t="str">
            <v>P349</v>
          </cell>
          <cell r="F932">
            <v>1</v>
          </cell>
          <cell r="G932">
            <v>0</v>
          </cell>
          <cell r="H932">
            <v>0</v>
          </cell>
          <cell r="I932">
            <v>0</v>
          </cell>
        </row>
        <row r="933">
          <cell r="E933" t="str">
            <v>E349</v>
          </cell>
          <cell r="F933">
            <v>1</v>
          </cell>
          <cell r="G933">
            <v>1</v>
          </cell>
          <cell r="H933">
            <v>0</v>
          </cell>
          <cell r="I933">
            <v>0</v>
          </cell>
        </row>
        <row r="934">
          <cell r="E934" t="str">
            <v>P459</v>
          </cell>
          <cell r="F934">
            <v>1</v>
          </cell>
          <cell r="G934">
            <v>1</v>
          </cell>
          <cell r="H934">
            <v>0</v>
          </cell>
          <cell r="I934">
            <v>0</v>
          </cell>
        </row>
        <row r="935">
          <cell r="E935" t="str">
            <v>T349</v>
          </cell>
          <cell r="F935">
            <v>1</v>
          </cell>
          <cell r="G935">
            <v>0</v>
          </cell>
          <cell r="H935">
            <v>1</v>
          </cell>
          <cell r="I935">
            <v>0</v>
          </cell>
        </row>
        <row r="936">
          <cell r="E936" t="str">
            <v>D349</v>
          </cell>
          <cell r="F936">
            <v>1</v>
          </cell>
          <cell r="G936">
            <v>2.664E-2</v>
          </cell>
          <cell r="H936">
            <v>6.0000000000000002E-5</v>
          </cell>
          <cell r="I936">
            <v>0.97331000000000001</v>
          </cell>
        </row>
        <row r="937">
          <cell r="E937" t="str">
            <v>C311</v>
          </cell>
          <cell r="F937">
            <v>1</v>
          </cell>
          <cell r="G937">
            <v>0</v>
          </cell>
          <cell r="H937">
            <v>6.0899999999999999E-3</v>
          </cell>
          <cell r="I937">
            <v>0.99390999999999996</v>
          </cell>
        </row>
        <row r="938">
          <cell r="E938" t="str">
            <v>C319</v>
          </cell>
          <cell r="F938">
            <v>1</v>
          </cell>
          <cell r="G938">
            <v>0</v>
          </cell>
          <cell r="H938">
            <v>2.82E-3</v>
          </cell>
          <cell r="I938">
            <v>0.99717999999999996</v>
          </cell>
        </row>
        <row r="939">
          <cell r="E939" t="str">
            <v>C331</v>
          </cell>
          <cell r="F939">
            <v>1</v>
          </cell>
          <cell r="G939">
            <v>0</v>
          </cell>
          <cell r="H939">
            <v>0</v>
          </cell>
          <cell r="I939">
            <v>1</v>
          </cell>
        </row>
        <row r="940">
          <cell r="E940" t="str">
            <v>S319</v>
          </cell>
          <cell r="F940">
            <v>1</v>
          </cell>
          <cell r="G940">
            <v>0</v>
          </cell>
          <cell r="H940">
            <v>0</v>
          </cell>
          <cell r="I940">
            <v>1</v>
          </cell>
        </row>
        <row r="941">
          <cell r="E941" t="str">
            <v>OM39</v>
          </cell>
          <cell r="F941">
            <v>1</v>
          </cell>
          <cell r="G941">
            <v>0.75080000000000002</v>
          </cell>
          <cell r="H941">
            <v>0.12991</v>
          </cell>
          <cell r="I941">
            <v>0.11928</v>
          </cell>
        </row>
        <row r="944">
          <cell r="E944" t="str">
            <v>A300</v>
          </cell>
          <cell r="F944">
            <v>1</v>
          </cell>
          <cell r="G944">
            <v>1</v>
          </cell>
          <cell r="H944">
            <v>0</v>
          </cell>
          <cell r="I944">
            <v>0</v>
          </cell>
        </row>
        <row r="945">
          <cell r="E945" t="str">
            <v>A302</v>
          </cell>
          <cell r="F945">
            <v>1</v>
          </cell>
          <cell r="G945">
            <v>1</v>
          </cell>
          <cell r="H945">
            <v>0</v>
          </cell>
          <cell r="I945">
            <v>0</v>
          </cell>
        </row>
        <row r="946">
          <cell r="E946" t="str">
            <v>A304</v>
          </cell>
          <cell r="F946">
            <v>1</v>
          </cell>
          <cell r="G946">
            <v>0</v>
          </cell>
          <cell r="H946">
            <v>1</v>
          </cell>
          <cell r="I946">
            <v>0</v>
          </cell>
        </row>
        <row r="947">
          <cell r="E947" t="str">
            <v>A306</v>
          </cell>
          <cell r="F947">
            <v>1</v>
          </cell>
          <cell r="G947">
            <v>2.6630000000000001E-2</v>
          </cell>
          <cell r="H947">
            <v>6.0000000000000002E-5</v>
          </cell>
          <cell r="I947">
            <v>0.97331000000000001</v>
          </cell>
        </row>
        <row r="948">
          <cell r="E948" t="str">
            <v>A308</v>
          </cell>
          <cell r="F948">
            <v>1</v>
          </cell>
          <cell r="G948">
            <v>0</v>
          </cell>
          <cell r="H948">
            <v>2.82E-3</v>
          </cell>
          <cell r="I948">
            <v>0.99717999999999996</v>
          </cell>
        </row>
        <row r="949">
          <cell r="E949" t="str">
            <v>A310</v>
          </cell>
          <cell r="F949">
            <v>1</v>
          </cell>
          <cell r="G949">
            <v>0</v>
          </cell>
          <cell r="H949">
            <v>0</v>
          </cell>
          <cell r="I949">
            <v>1</v>
          </cell>
        </row>
        <row r="950">
          <cell r="E950" t="str">
            <v>A312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</row>
        <row r="951">
          <cell r="E951" t="str">
            <v>A315</v>
          </cell>
          <cell r="F951">
            <v>1</v>
          </cell>
          <cell r="G951">
            <v>0.67234000000000005</v>
          </cell>
          <cell r="H951">
            <v>3.5770000000000003E-2</v>
          </cell>
          <cell r="I951">
            <v>0.29188999999999998</v>
          </cell>
        </row>
        <row r="952">
          <cell r="E952" t="str">
            <v>A357</v>
          </cell>
          <cell r="F952">
            <v>1</v>
          </cell>
          <cell r="G952">
            <v>0.67235</v>
          </cell>
          <cell r="H952">
            <v>3.5770000000000003E-2</v>
          </cell>
          <cell r="I952">
            <v>0.29188999999999998</v>
          </cell>
        </row>
        <row r="955">
          <cell r="E955" t="str">
            <v>P489</v>
          </cell>
          <cell r="F955">
            <v>1</v>
          </cell>
          <cell r="G955">
            <v>1</v>
          </cell>
          <cell r="H955">
            <v>0</v>
          </cell>
          <cell r="I955">
            <v>0</v>
          </cell>
        </row>
        <row r="956">
          <cell r="E956" t="str">
            <v>T489</v>
          </cell>
          <cell r="F956">
            <v>1</v>
          </cell>
          <cell r="G956">
            <v>0</v>
          </cell>
          <cell r="H956">
            <v>1</v>
          </cell>
          <cell r="I956">
            <v>0</v>
          </cell>
        </row>
        <row r="957">
          <cell r="E957" t="str">
            <v>D489</v>
          </cell>
          <cell r="F957">
            <v>1</v>
          </cell>
          <cell r="G957">
            <v>0</v>
          </cell>
          <cell r="H957">
            <v>3.0000000000000001E-5</v>
          </cell>
          <cell r="I957">
            <v>0.99997000000000003</v>
          </cell>
        </row>
        <row r="958">
          <cell r="E958" t="str">
            <v>G489</v>
          </cell>
          <cell r="F958">
            <v>1</v>
          </cell>
          <cell r="G958">
            <v>0.80817000000000005</v>
          </cell>
          <cell r="H958">
            <v>3.576E-2</v>
          </cell>
          <cell r="I958">
            <v>0.15606999999999999</v>
          </cell>
        </row>
        <row r="959">
          <cell r="E959" t="str">
            <v>C489</v>
          </cell>
          <cell r="F959">
            <v>1</v>
          </cell>
          <cell r="G959">
            <v>0.80961000000000005</v>
          </cell>
          <cell r="H959">
            <v>3.576E-2</v>
          </cell>
          <cell r="I959">
            <v>0.15462999999999999</v>
          </cell>
        </row>
        <row r="960">
          <cell r="E960" t="str">
            <v>DE49</v>
          </cell>
          <cell r="F960">
            <v>1</v>
          </cell>
          <cell r="G960">
            <v>0.70855000000000001</v>
          </cell>
          <cell r="H960">
            <v>4.4139999999999999E-2</v>
          </cell>
          <cell r="I960">
            <v>0.24731</v>
          </cell>
        </row>
        <row r="963">
          <cell r="E963" t="str">
            <v>L529</v>
          </cell>
          <cell r="F963">
            <v>1</v>
          </cell>
          <cell r="G963">
            <v>0.46893000000000001</v>
          </cell>
          <cell r="H963">
            <v>0.10233</v>
          </cell>
          <cell r="I963">
            <v>0.42874000000000001</v>
          </cell>
        </row>
        <row r="964">
          <cell r="E964" t="str">
            <v>L589</v>
          </cell>
          <cell r="F964">
            <v>1</v>
          </cell>
          <cell r="G964">
            <v>0.67234000000000005</v>
          </cell>
          <cell r="H964">
            <v>3.5770000000000003E-2</v>
          </cell>
          <cell r="I964">
            <v>0.29188999999999998</v>
          </cell>
        </row>
        <row r="965">
          <cell r="E965" t="str">
            <v>L599</v>
          </cell>
          <cell r="F965">
            <v>1</v>
          </cell>
          <cell r="G965">
            <v>0.49104999999999999</v>
          </cell>
          <cell r="H965">
            <v>9.5089999999999994E-2</v>
          </cell>
          <cell r="I965">
            <v>0.41386000000000001</v>
          </cell>
        </row>
        <row r="966">
          <cell r="E966" t="str">
            <v>OP69</v>
          </cell>
          <cell r="F966">
            <v>1</v>
          </cell>
          <cell r="G966">
            <v>0.72964000000000007</v>
          </cell>
          <cell r="H966">
            <v>0.10954</v>
          </cell>
          <cell r="I966">
            <v>0.16081999999999999</v>
          </cell>
        </row>
        <row r="969">
          <cell r="E969" t="str">
            <v>CS09</v>
          </cell>
          <cell r="F969">
            <v>1</v>
          </cell>
          <cell r="G969">
            <v>0.67456872700000003</v>
          </cell>
          <cell r="H969">
            <v>0.108864005</v>
          </cell>
          <cell r="I969">
            <v>0.21656726700000001</v>
          </cell>
        </row>
        <row r="972">
          <cell r="E972" t="str">
            <v>K669</v>
          </cell>
        </row>
        <row r="1008">
          <cell r="C1008" t="str">
            <v>TOTAL ELECTRIC COST OF SERVICE</v>
          </cell>
        </row>
        <row r="1009">
          <cell r="C1009" t="str">
            <v>TOTAL OTHER OPERATING REVENUES</v>
          </cell>
        </row>
        <row r="1010">
          <cell r="C1010" t="str">
            <v xml:space="preserve">  TOTAL ELECTRIC REVENUE</v>
          </cell>
        </row>
        <row r="1011">
          <cell r="C1011" t="str">
            <v>TOTAL OP EXP EX INC &amp; REV TAX</v>
          </cell>
        </row>
        <row r="1012">
          <cell r="C1012" t="str">
            <v>FIRM SERVICE REVENUE TAX</v>
          </cell>
        </row>
        <row r="1013">
          <cell r="C1013" t="str">
            <v xml:space="preserve">  NET INCOME</v>
          </cell>
        </row>
        <row r="1016">
          <cell r="C1016" t="str">
            <v>TOTAL INTEREST EXPENSE</v>
          </cell>
        </row>
        <row r="1017">
          <cell r="C1017" t="str">
            <v>TOTAL OTHER DEDUCTIONS</v>
          </cell>
        </row>
        <row r="1018">
          <cell r="C1018" t="str">
            <v xml:space="preserve">  PRELIMINARY TAXABLE INCOME</v>
          </cell>
        </row>
        <row r="1022">
          <cell r="C1022" t="str">
            <v>PRELIMINARY TAXABLE INCOME</v>
          </cell>
        </row>
        <row r="1023">
          <cell r="C1023" t="str">
            <v xml:space="preserve">  NET FEDERAL TAXABLE INCOME</v>
          </cell>
        </row>
        <row r="1024">
          <cell r="C1024" t="str">
            <v xml:space="preserve">  FEDERAL INCOME TAX RATE</v>
          </cell>
        </row>
        <row r="1025">
          <cell r="C1025" t="str">
            <v>PRELIMINARY FIT = FI01 * K190</v>
          </cell>
        </row>
        <row r="1026">
          <cell r="C1026" t="str">
            <v>TOTAL FED DEF IT (410 &amp; 411)</v>
          </cell>
        </row>
        <row r="1027">
          <cell r="C1027" t="str">
            <v>TOTAL AMORTIZED ITC</v>
          </cell>
        </row>
        <row r="1028">
          <cell r="C1028" t="str">
            <v xml:space="preserve">  NET FED INC TAX ALLOWABLE</v>
          </cell>
        </row>
        <row r="1031">
          <cell r="C1031" t="str">
            <v>PRELIM FIT</v>
          </cell>
        </row>
        <row r="1032">
          <cell r="C1032" t="str">
            <v>TEST YEAR INV TAX CREDIT</v>
          </cell>
        </row>
        <row r="1033">
          <cell r="C1033" t="str">
            <v xml:space="preserve">  FED INC TAX PAYABLE</v>
          </cell>
        </row>
        <row r="1036">
          <cell r="C1036" t="str">
            <v>NET INCOME</v>
          </cell>
        </row>
        <row r="1037">
          <cell r="C1037" t="str">
            <v>NET FED INC TAX ALLOWABLE</v>
          </cell>
        </row>
        <row r="1038">
          <cell r="C1038" t="str">
            <v xml:space="preserve">  OVERALL RETURN EARNED</v>
          </cell>
        </row>
        <row r="1040">
          <cell r="C1040" t="str">
            <v xml:space="preserve">  RATE OF RETURN EARNED</v>
          </cell>
        </row>
      </sheetData>
      <sheetData sheetId="5">
        <row r="830">
          <cell r="F830">
            <v>648083</v>
          </cell>
          <cell r="G830">
            <v>648083</v>
          </cell>
          <cell r="H830">
            <v>0</v>
          </cell>
          <cell r="I830">
            <v>0</v>
          </cell>
        </row>
        <row r="831">
          <cell r="E831" t="str">
            <v>K201</v>
          </cell>
          <cell r="F831">
            <v>1</v>
          </cell>
          <cell r="G831">
            <v>1</v>
          </cell>
          <cell r="H831">
            <v>0</v>
          </cell>
          <cell r="I831">
            <v>0</v>
          </cell>
        </row>
        <row r="832">
          <cell r="F832">
            <v>648083</v>
          </cell>
          <cell r="G832">
            <v>648083</v>
          </cell>
          <cell r="H832">
            <v>0</v>
          </cell>
          <cell r="I832">
            <v>0</v>
          </cell>
        </row>
        <row r="833">
          <cell r="E833" t="str">
            <v>K202</v>
          </cell>
          <cell r="F833">
            <v>1</v>
          </cell>
          <cell r="G833">
            <v>1</v>
          </cell>
          <cell r="H833">
            <v>0</v>
          </cell>
          <cell r="I833">
            <v>0</v>
          </cell>
        </row>
        <row r="834">
          <cell r="F834">
            <v>1647331</v>
          </cell>
          <cell r="G834">
            <v>1647331</v>
          </cell>
          <cell r="H834">
            <v>0</v>
          </cell>
          <cell r="I834">
            <v>0</v>
          </cell>
        </row>
        <row r="835">
          <cell r="E835" t="str">
            <v>K203</v>
          </cell>
          <cell r="F835">
            <v>1</v>
          </cell>
          <cell r="G835">
            <v>1</v>
          </cell>
          <cell r="H835">
            <v>0</v>
          </cell>
          <cell r="I835">
            <v>0</v>
          </cell>
        </row>
        <row r="836">
          <cell r="F836">
            <v>708591</v>
          </cell>
          <cell r="G836">
            <v>708591</v>
          </cell>
          <cell r="H836">
            <v>0</v>
          </cell>
          <cell r="I836">
            <v>0</v>
          </cell>
        </row>
        <row r="837">
          <cell r="E837" t="str">
            <v>K205</v>
          </cell>
          <cell r="F837">
            <v>1</v>
          </cell>
          <cell r="G837">
            <v>1</v>
          </cell>
          <cell r="H837">
            <v>0</v>
          </cell>
          <cell r="I837">
            <v>0</v>
          </cell>
        </row>
        <row r="838">
          <cell r="F838">
            <v>708591</v>
          </cell>
          <cell r="G838">
            <v>708591</v>
          </cell>
          <cell r="H838">
            <v>0</v>
          </cell>
          <cell r="I838">
            <v>0</v>
          </cell>
        </row>
        <row r="839">
          <cell r="E839" t="str">
            <v>K206</v>
          </cell>
          <cell r="F839">
            <v>1</v>
          </cell>
          <cell r="G839">
            <v>1</v>
          </cell>
          <cell r="H839">
            <v>0</v>
          </cell>
          <cell r="I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</row>
        <row r="841">
          <cell r="E841" t="str">
            <v>K209</v>
          </cell>
          <cell r="F841">
            <v>1</v>
          </cell>
          <cell r="G841">
            <v>0</v>
          </cell>
          <cell r="H841">
            <v>0</v>
          </cell>
          <cell r="I841">
            <v>0</v>
          </cell>
        </row>
        <row r="842">
          <cell r="F842">
            <v>708591</v>
          </cell>
          <cell r="G842">
            <v>708591</v>
          </cell>
          <cell r="H842">
            <v>0</v>
          </cell>
          <cell r="I842">
            <v>0</v>
          </cell>
        </row>
        <row r="843">
          <cell r="E843" t="str">
            <v>K215</v>
          </cell>
          <cell r="F843">
            <v>1</v>
          </cell>
          <cell r="G843">
            <v>1</v>
          </cell>
          <cell r="H843">
            <v>0</v>
          </cell>
          <cell r="I843">
            <v>0</v>
          </cell>
        </row>
        <row r="844">
          <cell r="F844">
            <v>165672</v>
          </cell>
          <cell r="G844">
            <v>0</v>
          </cell>
          <cell r="H844">
            <v>0</v>
          </cell>
          <cell r="I844">
            <v>165672</v>
          </cell>
        </row>
        <row r="845">
          <cell r="E845" t="str">
            <v>K217</v>
          </cell>
          <cell r="F845">
            <v>1</v>
          </cell>
          <cell r="G845">
            <v>0</v>
          </cell>
          <cell r="H845">
            <v>0</v>
          </cell>
          <cell r="I845">
            <v>1</v>
          </cell>
        </row>
        <row r="846">
          <cell r="F846">
            <v>4101134214.1489997</v>
          </cell>
          <cell r="G846">
            <v>0</v>
          </cell>
          <cell r="H846">
            <v>4101134214.1489997</v>
          </cell>
          <cell r="I846">
            <v>0</v>
          </cell>
        </row>
        <row r="847">
          <cell r="E847" t="str">
            <v>K301</v>
          </cell>
          <cell r="F847">
            <v>1</v>
          </cell>
          <cell r="G847">
            <v>0</v>
          </cell>
          <cell r="H847">
            <v>1</v>
          </cell>
          <cell r="I847">
            <v>0</v>
          </cell>
        </row>
        <row r="848">
          <cell r="F848">
            <v>4101134214.1489997</v>
          </cell>
          <cell r="G848">
            <v>0</v>
          </cell>
          <cell r="H848">
            <v>4101134214.1489997</v>
          </cell>
          <cell r="I848">
            <v>0</v>
          </cell>
        </row>
        <row r="849">
          <cell r="E849" t="str">
            <v>K303</v>
          </cell>
          <cell r="F849">
            <v>1</v>
          </cell>
          <cell r="G849">
            <v>0</v>
          </cell>
          <cell r="H849">
            <v>1</v>
          </cell>
          <cell r="I849">
            <v>0</v>
          </cell>
        </row>
        <row r="850">
          <cell r="F850">
            <v>4082162442.6229997</v>
          </cell>
          <cell r="G850">
            <v>0</v>
          </cell>
          <cell r="H850">
            <v>4082162442.6229997</v>
          </cell>
          <cell r="I850">
            <v>0</v>
          </cell>
        </row>
        <row r="851">
          <cell r="E851" t="str">
            <v>K305</v>
          </cell>
          <cell r="F851">
            <v>1</v>
          </cell>
          <cell r="G851">
            <v>0</v>
          </cell>
          <cell r="H851">
            <v>1</v>
          </cell>
          <cell r="I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</row>
        <row r="854">
          <cell r="F854">
            <v>1</v>
          </cell>
          <cell r="G854">
            <v>1</v>
          </cell>
          <cell r="H854">
            <v>0</v>
          </cell>
          <cell r="I854">
            <v>0</v>
          </cell>
        </row>
        <row r="855">
          <cell r="E855" t="str">
            <v>K401</v>
          </cell>
          <cell r="F855">
            <v>1</v>
          </cell>
          <cell r="G855">
            <v>1</v>
          </cell>
          <cell r="H855">
            <v>0</v>
          </cell>
          <cell r="I855">
            <v>0</v>
          </cell>
        </row>
        <row r="856">
          <cell r="F856">
            <v>152867</v>
          </cell>
          <cell r="G856">
            <v>0</v>
          </cell>
          <cell r="H856">
            <v>0</v>
          </cell>
          <cell r="I856">
            <v>152867</v>
          </cell>
        </row>
        <row r="857">
          <cell r="E857" t="str">
            <v>K405</v>
          </cell>
          <cell r="F857">
            <v>1</v>
          </cell>
          <cell r="G857">
            <v>0</v>
          </cell>
          <cell r="H857">
            <v>0</v>
          </cell>
          <cell r="I857">
            <v>1</v>
          </cell>
        </row>
        <row r="858">
          <cell r="F858">
            <v>22486890.793596428</v>
          </cell>
          <cell r="G858">
            <v>0</v>
          </cell>
          <cell r="H858">
            <v>0</v>
          </cell>
          <cell r="I858">
            <v>22486890.793596428</v>
          </cell>
        </row>
        <row r="859">
          <cell r="E859" t="str">
            <v>K407</v>
          </cell>
          <cell r="F859">
            <v>1</v>
          </cell>
          <cell r="G859">
            <v>0</v>
          </cell>
          <cell r="H859">
            <v>0</v>
          </cell>
          <cell r="I859">
            <v>1</v>
          </cell>
        </row>
        <row r="860">
          <cell r="F860">
            <v>154110</v>
          </cell>
          <cell r="G860">
            <v>0</v>
          </cell>
          <cell r="H860">
            <v>0</v>
          </cell>
          <cell r="I860">
            <v>154110</v>
          </cell>
        </row>
        <row r="861">
          <cell r="E861" t="str">
            <v>K409</v>
          </cell>
          <cell r="F861">
            <v>1</v>
          </cell>
          <cell r="G861">
            <v>0</v>
          </cell>
          <cell r="H861">
            <v>0</v>
          </cell>
          <cell r="I861">
            <v>1</v>
          </cell>
        </row>
        <row r="862">
          <cell r="F862">
            <v>2137114.169997225</v>
          </cell>
          <cell r="G862">
            <v>0</v>
          </cell>
          <cell r="H862">
            <v>0</v>
          </cell>
          <cell r="I862">
            <v>2137114.169997225</v>
          </cell>
        </row>
        <row r="863">
          <cell r="E863" t="str">
            <v>K411</v>
          </cell>
          <cell r="F863">
            <v>1</v>
          </cell>
          <cell r="G863">
            <v>0</v>
          </cell>
          <cell r="H863">
            <v>0</v>
          </cell>
          <cell r="I863">
            <v>1</v>
          </cell>
        </row>
        <row r="864">
          <cell r="F864">
            <v>4087989911.1489997</v>
          </cell>
          <cell r="G864">
            <v>0</v>
          </cell>
          <cell r="H864">
            <v>4087989911.1489997</v>
          </cell>
          <cell r="I864">
            <v>0</v>
          </cell>
        </row>
        <row r="865">
          <cell r="E865" t="str">
            <v>K302</v>
          </cell>
          <cell r="F865">
            <v>1</v>
          </cell>
          <cell r="G865">
            <v>0</v>
          </cell>
          <cell r="H865">
            <v>1</v>
          </cell>
          <cell r="I865">
            <v>0</v>
          </cell>
        </row>
        <row r="867">
          <cell r="E867" t="str">
            <v>R600</v>
          </cell>
          <cell r="F867">
            <v>304128022</v>
          </cell>
          <cell r="G867">
            <v>116278732</v>
          </cell>
          <cell r="H867">
            <v>187849289</v>
          </cell>
          <cell r="I867">
            <v>1</v>
          </cell>
        </row>
        <row r="868">
          <cell r="E868" t="str">
            <v>R602</v>
          </cell>
          <cell r="F868">
            <v>303123204</v>
          </cell>
          <cell r="G868">
            <v>176693547</v>
          </cell>
          <cell r="H868">
            <v>126429657</v>
          </cell>
          <cell r="I868">
            <v>0</v>
          </cell>
        </row>
        <row r="877">
          <cell r="F877" t="str">
            <v>TOTAL</v>
          </cell>
          <cell r="G877" t="str">
            <v>CLASSIFIED</v>
          </cell>
        </row>
        <row r="878">
          <cell r="E878" t="str">
            <v>ALLO</v>
          </cell>
          <cell r="F878" t="str">
            <v>PRODUCTION</v>
          </cell>
          <cell r="G878" t="str">
            <v>DEMAND</v>
          </cell>
          <cell r="H878" t="str">
            <v>ENERGY</v>
          </cell>
          <cell r="I878" t="str">
            <v>CUSTOMER</v>
          </cell>
        </row>
        <row r="879">
          <cell r="E879">
            <v>1</v>
          </cell>
          <cell r="F879">
            <v>2</v>
          </cell>
          <cell r="G879">
            <v>3</v>
          </cell>
          <cell r="H879">
            <v>4</v>
          </cell>
          <cell r="I879">
            <v>5</v>
          </cell>
        </row>
        <row r="881">
          <cell r="F881">
            <v>304128022</v>
          </cell>
          <cell r="G881">
            <v>116278732</v>
          </cell>
          <cell r="H881">
            <v>187849289</v>
          </cell>
          <cell r="I881">
            <v>1</v>
          </cell>
        </row>
        <row r="882">
          <cell r="E882" t="str">
            <v>K901</v>
          </cell>
          <cell r="F882">
            <v>1</v>
          </cell>
          <cell r="G882">
            <v>0.38233</v>
          </cell>
          <cell r="H882">
            <v>0.61767000000000005</v>
          </cell>
          <cell r="I882">
            <v>0</v>
          </cell>
        </row>
        <row r="883">
          <cell r="F883">
            <v>303123204</v>
          </cell>
          <cell r="G883">
            <v>176693547</v>
          </cell>
          <cell r="H883">
            <v>126429657</v>
          </cell>
          <cell r="I883">
            <v>0</v>
          </cell>
        </row>
        <row r="884">
          <cell r="E884" t="str">
            <v>K902</v>
          </cell>
          <cell r="F884">
            <v>1</v>
          </cell>
          <cell r="G884">
            <v>0.58291000000000004</v>
          </cell>
          <cell r="H884">
            <v>0.41709000000000002</v>
          </cell>
          <cell r="I884">
            <v>0</v>
          </cell>
        </row>
        <row r="888">
          <cell r="E888" t="str">
            <v>P129</v>
          </cell>
          <cell r="F888">
            <v>1</v>
          </cell>
          <cell r="G888">
            <v>1</v>
          </cell>
          <cell r="H888">
            <v>0</v>
          </cell>
          <cell r="I888">
            <v>0</v>
          </cell>
        </row>
        <row r="889">
          <cell r="E889" t="str">
            <v>T129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</row>
        <row r="890">
          <cell r="E890" t="str">
            <v>PT29</v>
          </cell>
          <cell r="F890">
            <v>1</v>
          </cell>
          <cell r="G890">
            <v>1</v>
          </cell>
          <cell r="H890">
            <v>0</v>
          </cell>
          <cell r="I890">
            <v>0</v>
          </cell>
        </row>
        <row r="891">
          <cell r="E891" t="str">
            <v>D149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</row>
        <row r="892">
          <cell r="E892" t="str">
            <v>TD29</v>
          </cell>
          <cell r="F892">
            <v>1</v>
          </cell>
          <cell r="G892">
            <v>1</v>
          </cell>
          <cell r="H892">
            <v>0</v>
          </cell>
          <cell r="I892">
            <v>0</v>
          </cell>
        </row>
        <row r="893">
          <cell r="E893" t="str">
            <v>PD29</v>
          </cell>
          <cell r="F893">
            <v>1</v>
          </cell>
          <cell r="G893">
            <v>0.65295000000000003</v>
          </cell>
          <cell r="H893">
            <v>0.34705000000000003</v>
          </cell>
          <cell r="I893">
            <v>0</v>
          </cell>
        </row>
        <row r="894">
          <cell r="E894" t="str">
            <v>G129</v>
          </cell>
          <cell r="F894">
            <v>1</v>
          </cell>
          <cell r="G894">
            <v>0.65295000000000003</v>
          </cell>
          <cell r="H894">
            <v>0.34705000000000003</v>
          </cell>
          <cell r="I894">
            <v>0</v>
          </cell>
        </row>
        <row r="895">
          <cell r="E895" t="str">
            <v>C129</v>
          </cell>
          <cell r="F895">
            <v>1</v>
          </cell>
          <cell r="G895">
            <v>0.97204999999999997</v>
          </cell>
          <cell r="H895">
            <v>2.7949999999999999E-2</v>
          </cell>
          <cell r="I895">
            <v>0</v>
          </cell>
        </row>
        <row r="896">
          <cell r="E896" t="str">
            <v>GP19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E897" t="str">
            <v>DR19</v>
          </cell>
          <cell r="F897">
            <v>1</v>
          </cell>
          <cell r="G897">
            <v>0.97907</v>
          </cell>
          <cell r="H897">
            <v>2.0930000000000001E-2</v>
          </cell>
          <cell r="I897">
            <v>0</v>
          </cell>
        </row>
        <row r="900">
          <cell r="E900" t="str">
            <v>P229</v>
          </cell>
          <cell r="F900">
            <v>1</v>
          </cell>
          <cell r="G900">
            <v>1</v>
          </cell>
          <cell r="H900">
            <v>0</v>
          </cell>
          <cell r="I900">
            <v>0</v>
          </cell>
        </row>
        <row r="901">
          <cell r="E901" t="str">
            <v>T229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</row>
        <row r="902">
          <cell r="E902" t="str">
            <v>PL49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</row>
        <row r="903">
          <cell r="E903" t="str">
            <v>D249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</row>
        <row r="904">
          <cell r="E904" t="str">
            <v>NT29</v>
          </cell>
          <cell r="F904">
            <v>1</v>
          </cell>
          <cell r="G904">
            <v>1</v>
          </cell>
          <cell r="H904">
            <v>0</v>
          </cell>
          <cell r="I904">
            <v>0</v>
          </cell>
        </row>
        <row r="905">
          <cell r="E905" t="str">
            <v>G229</v>
          </cell>
          <cell r="F905">
            <v>1</v>
          </cell>
          <cell r="G905">
            <v>0.65300999999999998</v>
          </cell>
          <cell r="H905">
            <v>0.34699000000000002</v>
          </cell>
          <cell r="I905">
            <v>0</v>
          </cell>
        </row>
        <row r="906">
          <cell r="E906" t="str">
            <v>C229</v>
          </cell>
          <cell r="F906">
            <v>1</v>
          </cell>
          <cell r="G906">
            <v>0.65363000000000004</v>
          </cell>
          <cell r="H906">
            <v>0.34637000000000001</v>
          </cell>
          <cell r="I906">
            <v>0</v>
          </cell>
        </row>
        <row r="907">
          <cell r="E907" t="str">
            <v>NP29</v>
          </cell>
          <cell r="F907">
            <v>1</v>
          </cell>
          <cell r="G907">
            <v>0.96443999999999996</v>
          </cell>
          <cell r="H907">
            <v>3.5560000000000001E-2</v>
          </cell>
          <cell r="I907">
            <v>0</v>
          </cell>
        </row>
        <row r="910">
          <cell r="E910" t="str">
            <v>W669</v>
          </cell>
          <cell r="F910">
            <v>1</v>
          </cell>
          <cell r="G910">
            <v>0.28088000000000002</v>
          </cell>
          <cell r="H910">
            <v>0.71911999999999998</v>
          </cell>
          <cell r="I910">
            <v>0</v>
          </cell>
        </row>
        <row r="911">
          <cell r="E911" t="str">
            <v>W689</v>
          </cell>
          <cell r="F911">
            <v>1</v>
          </cell>
          <cell r="G911">
            <v>0.15396000000000001</v>
          </cell>
          <cell r="H911">
            <v>0.84604000000000001</v>
          </cell>
          <cell r="I911">
            <v>0</v>
          </cell>
        </row>
        <row r="912">
          <cell r="E912" t="str">
            <v>W719</v>
          </cell>
          <cell r="F912">
            <v>1</v>
          </cell>
          <cell r="G912">
            <v>1</v>
          </cell>
          <cell r="H912">
            <v>0</v>
          </cell>
          <cell r="I912">
            <v>0</v>
          </cell>
        </row>
        <row r="913">
          <cell r="E913" t="str">
            <v>W749</v>
          </cell>
          <cell r="F913">
            <v>1</v>
          </cell>
          <cell r="G913">
            <v>0</v>
          </cell>
          <cell r="H913">
            <v>0</v>
          </cell>
          <cell r="I913">
            <v>0</v>
          </cell>
        </row>
        <row r="914">
          <cell r="E914" t="str">
            <v>WC79</v>
          </cell>
          <cell r="F914">
            <v>1</v>
          </cell>
          <cell r="G914">
            <v>0.37109999999999999</v>
          </cell>
          <cell r="H914">
            <v>0.62890000000000001</v>
          </cell>
          <cell r="I914">
            <v>0</v>
          </cell>
        </row>
        <row r="917">
          <cell r="E917" t="str">
            <v>RB29</v>
          </cell>
          <cell r="F917">
            <v>1</v>
          </cell>
          <cell r="G917">
            <v>0.95865</v>
          </cell>
          <cell r="H917">
            <v>4.1349999999999998E-2</v>
          </cell>
          <cell r="I917">
            <v>0</v>
          </cell>
        </row>
        <row r="918">
          <cell r="E918" t="str">
            <v>RB99</v>
          </cell>
          <cell r="F918">
            <v>1</v>
          </cell>
          <cell r="G918">
            <v>0.9264</v>
          </cell>
          <cell r="H918">
            <v>7.3599999999999999E-2</v>
          </cell>
          <cell r="I918">
            <v>0</v>
          </cell>
        </row>
        <row r="919">
          <cell r="E919" t="str">
            <v>CW29</v>
          </cell>
          <cell r="F919">
            <v>1</v>
          </cell>
          <cell r="G919">
            <v>0</v>
          </cell>
          <cell r="H919">
            <v>0</v>
          </cell>
          <cell r="I919">
            <v>0</v>
          </cell>
        </row>
        <row r="928">
          <cell r="F928" t="str">
            <v>TOTAL</v>
          </cell>
          <cell r="G928" t="str">
            <v>CLASSIFIED</v>
          </cell>
        </row>
        <row r="929">
          <cell r="E929" t="str">
            <v>ALLO</v>
          </cell>
          <cell r="F929" t="str">
            <v>PRODUCTION</v>
          </cell>
          <cell r="G929" t="str">
            <v>DEMAND</v>
          </cell>
          <cell r="H929" t="str">
            <v>ENERGY</v>
          </cell>
          <cell r="I929" t="str">
            <v>CUSTOMER</v>
          </cell>
        </row>
        <row r="930">
          <cell r="E930">
            <v>1</v>
          </cell>
          <cell r="F930">
            <v>2</v>
          </cell>
          <cell r="G930">
            <v>3</v>
          </cell>
          <cell r="H930">
            <v>4</v>
          </cell>
          <cell r="I930">
            <v>5</v>
          </cell>
        </row>
        <row r="932">
          <cell r="E932" t="str">
            <v>P349</v>
          </cell>
          <cell r="F932">
            <v>1</v>
          </cell>
          <cell r="G932">
            <v>0</v>
          </cell>
          <cell r="H932">
            <v>0</v>
          </cell>
          <cell r="I932">
            <v>0</v>
          </cell>
        </row>
        <row r="933">
          <cell r="E933" t="str">
            <v>E349</v>
          </cell>
          <cell r="F933">
            <v>1</v>
          </cell>
          <cell r="G933">
            <v>0</v>
          </cell>
          <cell r="H933">
            <v>1</v>
          </cell>
          <cell r="I933">
            <v>0</v>
          </cell>
        </row>
        <row r="934">
          <cell r="E934" t="str">
            <v>P459</v>
          </cell>
          <cell r="F934">
            <v>1</v>
          </cell>
          <cell r="G934">
            <v>0</v>
          </cell>
          <cell r="H934">
            <v>1</v>
          </cell>
          <cell r="I934">
            <v>0</v>
          </cell>
        </row>
        <row r="935">
          <cell r="E935" t="str">
            <v>T349</v>
          </cell>
          <cell r="F935">
            <v>1</v>
          </cell>
          <cell r="G935">
            <v>0</v>
          </cell>
          <cell r="H935">
            <v>0</v>
          </cell>
          <cell r="I935">
            <v>0</v>
          </cell>
        </row>
        <row r="936">
          <cell r="E936" t="str">
            <v>D349</v>
          </cell>
          <cell r="F936">
            <v>1</v>
          </cell>
          <cell r="G936">
            <v>1</v>
          </cell>
          <cell r="H936">
            <v>0</v>
          </cell>
          <cell r="I936">
            <v>0</v>
          </cell>
        </row>
        <row r="937">
          <cell r="E937" t="str">
            <v>C311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</row>
        <row r="938">
          <cell r="E938" t="str">
            <v>C319</v>
          </cell>
          <cell r="F938">
            <v>1</v>
          </cell>
          <cell r="G938">
            <v>0</v>
          </cell>
          <cell r="H938">
            <v>0</v>
          </cell>
          <cell r="I938">
            <v>0</v>
          </cell>
        </row>
        <row r="939">
          <cell r="E939" t="str">
            <v>C331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</row>
        <row r="940">
          <cell r="E940" t="str">
            <v>S319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</row>
        <row r="941">
          <cell r="E941" t="str">
            <v>OM39</v>
          </cell>
          <cell r="F941">
            <v>1</v>
          </cell>
          <cell r="G941">
            <v>6.4659999999999995E-2</v>
          </cell>
          <cell r="H941">
            <v>0.93533999999999995</v>
          </cell>
          <cell r="I941">
            <v>0</v>
          </cell>
        </row>
        <row r="944">
          <cell r="E944" t="str">
            <v>A300</v>
          </cell>
          <cell r="F944">
            <v>1</v>
          </cell>
          <cell r="G944">
            <v>1</v>
          </cell>
          <cell r="H944">
            <v>0</v>
          </cell>
          <cell r="I944">
            <v>0</v>
          </cell>
        </row>
        <row r="945">
          <cell r="E945" t="str">
            <v>A302</v>
          </cell>
          <cell r="F945">
            <v>1</v>
          </cell>
          <cell r="G945">
            <v>0</v>
          </cell>
          <cell r="H945">
            <v>1</v>
          </cell>
          <cell r="I945">
            <v>0</v>
          </cell>
        </row>
        <row r="946">
          <cell r="E946" t="str">
            <v>A304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</row>
        <row r="947">
          <cell r="E947" t="str">
            <v>A306</v>
          </cell>
          <cell r="F947">
            <v>1</v>
          </cell>
          <cell r="G947">
            <v>1</v>
          </cell>
          <cell r="H947">
            <v>0</v>
          </cell>
          <cell r="I947">
            <v>0</v>
          </cell>
        </row>
        <row r="948">
          <cell r="E948" t="str">
            <v>A308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</row>
        <row r="949">
          <cell r="E949" t="str">
            <v>A310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</row>
        <row r="950">
          <cell r="E950" t="str">
            <v>A312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</row>
        <row r="951">
          <cell r="E951" t="str">
            <v>A315</v>
          </cell>
          <cell r="F951">
            <v>1</v>
          </cell>
          <cell r="G951">
            <v>0.58291000000000004</v>
          </cell>
          <cell r="H951">
            <v>0.41709000000000002</v>
          </cell>
          <cell r="I951">
            <v>0</v>
          </cell>
        </row>
        <row r="952">
          <cell r="E952" t="str">
            <v>A357</v>
          </cell>
          <cell r="F952">
            <v>1</v>
          </cell>
          <cell r="G952">
            <v>0.58291000000000004</v>
          </cell>
          <cell r="H952">
            <v>0.41709000000000002</v>
          </cell>
          <cell r="I952">
            <v>0</v>
          </cell>
        </row>
        <row r="955">
          <cell r="E955" t="str">
            <v>P489</v>
          </cell>
          <cell r="F955">
            <v>1</v>
          </cell>
          <cell r="G955">
            <v>1</v>
          </cell>
          <cell r="H955">
            <v>0</v>
          </cell>
          <cell r="I955">
            <v>0</v>
          </cell>
        </row>
        <row r="956">
          <cell r="E956" t="str">
            <v>T489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</row>
        <row r="957">
          <cell r="E957" t="str">
            <v>D489</v>
          </cell>
          <cell r="F957">
            <v>1</v>
          </cell>
          <cell r="G957">
            <v>0</v>
          </cell>
          <cell r="H957">
            <v>0</v>
          </cell>
          <cell r="I957">
            <v>0</v>
          </cell>
        </row>
        <row r="958">
          <cell r="E958" t="str">
            <v>G489</v>
          </cell>
          <cell r="F958">
            <v>1</v>
          </cell>
          <cell r="G958">
            <v>0.65300999999999998</v>
          </cell>
          <cell r="H958">
            <v>0.34699000000000002</v>
          </cell>
          <cell r="I958">
            <v>0</v>
          </cell>
        </row>
        <row r="959">
          <cell r="E959" t="str">
            <v>C489</v>
          </cell>
          <cell r="F959">
            <v>1</v>
          </cell>
          <cell r="G959">
            <v>0.65363000000000004</v>
          </cell>
          <cell r="H959">
            <v>0.34637000000000001</v>
          </cell>
          <cell r="I959">
            <v>0</v>
          </cell>
        </row>
        <row r="960">
          <cell r="E960" t="str">
            <v>DE49</v>
          </cell>
          <cell r="F960">
            <v>1</v>
          </cell>
          <cell r="G960">
            <v>0.95670999999999995</v>
          </cell>
          <cell r="H960">
            <v>4.3290000000000002E-2</v>
          </cell>
          <cell r="I960">
            <v>0</v>
          </cell>
        </row>
        <row r="963">
          <cell r="E963" t="str">
            <v>L529</v>
          </cell>
          <cell r="F963">
            <v>1</v>
          </cell>
          <cell r="G963">
            <v>0.96443999999999996</v>
          </cell>
          <cell r="H963">
            <v>3.5560000000000001E-2</v>
          </cell>
          <cell r="I963">
            <v>0</v>
          </cell>
        </row>
        <row r="964">
          <cell r="E964" t="str">
            <v>L589</v>
          </cell>
          <cell r="F964">
            <v>1</v>
          </cell>
          <cell r="G964">
            <v>0.58291000000000004</v>
          </cell>
          <cell r="H964">
            <v>0.41709000000000002</v>
          </cell>
          <cell r="I964">
            <v>0</v>
          </cell>
        </row>
        <row r="965">
          <cell r="E965" t="str">
            <v>L599</v>
          </cell>
          <cell r="F965">
            <v>1</v>
          </cell>
          <cell r="G965">
            <v>0.90764</v>
          </cell>
          <cell r="H965">
            <v>9.2359999999999998E-2</v>
          </cell>
          <cell r="I965">
            <v>0</v>
          </cell>
        </row>
        <row r="966">
          <cell r="E966" t="str">
            <v>OP69</v>
          </cell>
          <cell r="F966">
            <v>1</v>
          </cell>
          <cell r="G966">
            <v>0.28033000000000002</v>
          </cell>
          <cell r="H966">
            <v>0.71967000000000003</v>
          </cell>
          <cell r="I966">
            <v>0</v>
          </cell>
        </row>
        <row r="969">
          <cell r="E969" t="str">
            <v>CS09</v>
          </cell>
          <cell r="F969">
            <v>1</v>
          </cell>
          <cell r="G969">
            <v>0.38233481800000002</v>
          </cell>
          <cell r="H969">
            <v>0.61766518000000004</v>
          </cell>
          <cell r="I969">
            <v>1.9999999434361371E-9</v>
          </cell>
        </row>
      </sheetData>
      <sheetData sheetId="6">
        <row r="24">
          <cell r="H24">
            <v>0</v>
          </cell>
        </row>
        <row r="33">
          <cell r="H33">
            <v>588390</v>
          </cell>
        </row>
        <row r="59">
          <cell r="H59">
            <v>273833422</v>
          </cell>
        </row>
        <row r="60">
          <cell r="H60">
            <v>115988952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12261944</v>
          </cell>
        </row>
        <row r="101">
          <cell r="H101">
            <v>0</v>
          </cell>
        </row>
        <row r="102">
          <cell r="H102">
            <v>0</v>
          </cell>
        </row>
        <row r="103">
          <cell r="H103">
            <v>4434909</v>
          </cell>
        </row>
        <row r="104">
          <cell r="H104">
            <v>0</v>
          </cell>
        </row>
        <row r="105">
          <cell r="H105">
            <v>0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4114000</v>
          </cell>
        </row>
        <row r="113">
          <cell r="H113">
            <v>0</v>
          </cell>
        </row>
        <row r="114">
          <cell r="H114">
            <v>0</v>
          </cell>
        </row>
        <row r="115">
          <cell r="H115">
            <v>1487954</v>
          </cell>
        </row>
        <row r="116">
          <cell r="H116">
            <v>0</v>
          </cell>
        </row>
        <row r="117">
          <cell r="H117">
            <v>0</v>
          </cell>
        </row>
        <row r="118">
          <cell r="H118">
            <v>0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138691525</v>
          </cell>
        </row>
        <row r="137">
          <cell r="H137">
            <v>66745841</v>
          </cell>
        </row>
        <row r="138">
          <cell r="H138">
            <v>1810511</v>
          </cell>
        </row>
        <row r="142">
          <cell r="H142">
            <v>0</v>
          </cell>
        </row>
        <row r="143">
          <cell r="H143">
            <v>0</v>
          </cell>
        </row>
        <row r="144">
          <cell r="H144">
            <v>0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0</v>
          </cell>
        </row>
        <row r="156">
          <cell r="H156">
            <v>0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67">
          <cell r="H167">
            <v>0</v>
          </cell>
        </row>
        <row r="168">
          <cell r="H168">
            <v>0</v>
          </cell>
        </row>
        <row r="169">
          <cell r="H169">
            <v>0</v>
          </cell>
        </row>
        <row r="170">
          <cell r="H170">
            <v>0</v>
          </cell>
        </row>
        <row r="177">
          <cell r="H177">
            <v>4179690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1511713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4">
          <cell r="H184">
            <v>0</v>
          </cell>
        </row>
        <row r="185">
          <cell r="H185">
            <v>83</v>
          </cell>
        </row>
        <row r="189">
          <cell r="H189">
            <v>2170228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784930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255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28718283</v>
          </cell>
        </row>
        <row r="304">
          <cell r="H304">
            <v>0</v>
          </cell>
        </row>
        <row r="305">
          <cell r="H305">
            <v>2667461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5887212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15278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1741371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2237328</v>
          </cell>
        </row>
        <row r="396">
          <cell r="H396">
            <v>0</v>
          </cell>
        </row>
        <row r="397">
          <cell r="H397">
            <v>0</v>
          </cell>
        </row>
        <row r="402">
          <cell r="H402">
            <v>81216</v>
          </cell>
        </row>
        <row r="403">
          <cell r="H403">
            <v>0</v>
          </cell>
        </row>
        <row r="404">
          <cell r="H404">
            <v>0</v>
          </cell>
        </row>
        <row r="407">
          <cell r="H407">
            <v>1324887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164354325</v>
          </cell>
        </row>
        <row r="447">
          <cell r="H447">
            <v>0</v>
          </cell>
        </row>
        <row r="448">
          <cell r="H448">
            <v>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0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0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0</v>
          </cell>
        </row>
        <row r="473">
          <cell r="H473">
            <v>112989</v>
          </cell>
        </row>
        <row r="474">
          <cell r="H474">
            <v>0</v>
          </cell>
        </row>
        <row r="475">
          <cell r="H475">
            <v>0</v>
          </cell>
        </row>
        <row r="476">
          <cell r="H476">
            <v>0</v>
          </cell>
        </row>
        <row r="477">
          <cell r="H477">
            <v>0</v>
          </cell>
        </row>
        <row r="478">
          <cell r="H478">
            <v>0</v>
          </cell>
        </row>
        <row r="479">
          <cell r="H479">
            <v>0</v>
          </cell>
        </row>
        <row r="480">
          <cell r="H480">
            <v>0</v>
          </cell>
        </row>
        <row r="481">
          <cell r="H481">
            <v>0</v>
          </cell>
        </row>
        <row r="482">
          <cell r="H482">
            <v>0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0</v>
          </cell>
        </row>
        <row r="486">
          <cell r="H486">
            <v>0</v>
          </cell>
        </row>
        <row r="487">
          <cell r="H487">
            <v>0</v>
          </cell>
        </row>
        <row r="488">
          <cell r="H488">
            <v>0</v>
          </cell>
        </row>
        <row r="489">
          <cell r="H489">
            <v>0</v>
          </cell>
        </row>
        <row r="490">
          <cell r="H490">
            <v>0</v>
          </cell>
        </row>
        <row r="491">
          <cell r="H491">
            <v>0</v>
          </cell>
        </row>
        <row r="495">
          <cell r="H495">
            <v>0</v>
          </cell>
        </row>
        <row r="496">
          <cell r="H496">
            <v>0</v>
          </cell>
        </row>
        <row r="497">
          <cell r="H497">
            <v>0</v>
          </cell>
        </row>
        <row r="498">
          <cell r="H498">
            <v>0</v>
          </cell>
        </row>
        <row r="499">
          <cell r="H499">
            <v>0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0</v>
          </cell>
        </row>
        <row r="516">
          <cell r="H516">
            <v>0</v>
          </cell>
        </row>
        <row r="517">
          <cell r="H517">
            <v>0</v>
          </cell>
        </row>
        <row r="521">
          <cell r="H521">
            <v>0</v>
          </cell>
        </row>
        <row r="525">
          <cell r="H525">
            <v>0</v>
          </cell>
        </row>
        <row r="526">
          <cell r="H526">
            <v>0</v>
          </cell>
        </row>
        <row r="527">
          <cell r="H527">
            <v>0</v>
          </cell>
        </row>
        <row r="528">
          <cell r="H528">
            <v>51351</v>
          </cell>
        </row>
        <row r="529">
          <cell r="H529">
            <v>0</v>
          </cell>
        </row>
        <row r="530">
          <cell r="H530">
            <v>0</v>
          </cell>
        </row>
        <row r="531">
          <cell r="H531">
            <v>0</v>
          </cell>
        </row>
        <row r="533">
          <cell r="H533">
            <v>230</v>
          </cell>
        </row>
        <row r="534">
          <cell r="H534">
            <v>0</v>
          </cell>
        </row>
        <row r="535">
          <cell r="H535">
            <v>-2521</v>
          </cell>
        </row>
        <row r="536">
          <cell r="H536">
            <v>-397</v>
          </cell>
        </row>
        <row r="537">
          <cell r="H537">
            <v>0</v>
          </cell>
        </row>
        <row r="538">
          <cell r="H538">
            <v>-696</v>
          </cell>
        </row>
        <row r="539">
          <cell r="H539">
            <v>-1127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-3034</v>
          </cell>
        </row>
        <row r="543">
          <cell r="H543">
            <v>986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1673</v>
          </cell>
        </row>
        <row r="562">
          <cell r="H562">
            <v>16020772</v>
          </cell>
        </row>
        <row r="566">
          <cell r="H566">
            <v>0</v>
          </cell>
        </row>
        <row r="570">
          <cell r="H570">
            <v>0</v>
          </cell>
        </row>
        <row r="574">
          <cell r="H574">
            <v>1431544</v>
          </cell>
        </row>
        <row r="578">
          <cell r="H578">
            <v>61214</v>
          </cell>
        </row>
        <row r="596">
          <cell r="H596">
            <v>2181967</v>
          </cell>
        </row>
        <row r="597">
          <cell r="H597">
            <v>0</v>
          </cell>
        </row>
        <row r="601">
          <cell r="H601">
            <v>2487</v>
          </cell>
        </row>
        <row r="602">
          <cell r="H602">
            <v>-97</v>
          </cell>
        </row>
        <row r="603">
          <cell r="H603">
            <v>-131</v>
          </cell>
        </row>
        <row r="604">
          <cell r="H604">
            <v>213</v>
          </cell>
        </row>
        <row r="608">
          <cell r="H608">
            <v>12195</v>
          </cell>
        </row>
        <row r="609">
          <cell r="H609">
            <v>0</v>
          </cell>
        </row>
        <row r="632">
          <cell r="H632">
            <v>3693192</v>
          </cell>
        </row>
        <row r="636">
          <cell r="H636">
            <v>-3588581</v>
          </cell>
        </row>
        <row r="637">
          <cell r="H637">
            <v>-190</v>
          </cell>
        </row>
        <row r="638">
          <cell r="H638">
            <v>6063609</v>
          </cell>
        </row>
        <row r="644">
          <cell r="H644">
            <v>1275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-9331</v>
          </cell>
        </row>
        <row r="648">
          <cell r="H648">
            <v>-2402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94">
          <cell r="H694">
            <v>1523371</v>
          </cell>
        </row>
        <row r="695">
          <cell r="H695">
            <v>0</v>
          </cell>
        </row>
        <row r="700">
          <cell r="H700">
            <v>1219</v>
          </cell>
        </row>
        <row r="704">
          <cell r="H704">
            <v>-3147</v>
          </cell>
        </row>
        <row r="742">
          <cell r="H742">
            <v>0</v>
          </cell>
        </row>
        <row r="743">
          <cell r="H743">
            <v>0</v>
          </cell>
        </row>
        <row r="744">
          <cell r="H744">
            <v>0</v>
          </cell>
        </row>
        <row r="745">
          <cell r="H745">
            <v>0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0</v>
          </cell>
        </row>
        <row r="761">
          <cell r="H761">
            <v>0</v>
          </cell>
        </row>
        <row r="772">
          <cell r="H772">
            <v>588390</v>
          </cell>
        </row>
        <row r="776">
          <cell r="H776">
            <v>-8619581</v>
          </cell>
        </row>
        <row r="777">
          <cell r="H777">
            <v>-25962328</v>
          </cell>
        </row>
        <row r="830">
          <cell r="F830">
            <v>648083</v>
          </cell>
          <cell r="G830">
            <v>275875</v>
          </cell>
          <cell r="H830">
            <v>190449</v>
          </cell>
          <cell r="I830">
            <v>819</v>
          </cell>
          <cell r="J830">
            <v>3656</v>
          </cell>
          <cell r="K830">
            <v>44</v>
          </cell>
          <cell r="L830">
            <v>84146</v>
          </cell>
          <cell r="M830">
            <v>67809</v>
          </cell>
          <cell r="N830">
            <v>917</v>
          </cell>
          <cell r="O830">
            <v>22422</v>
          </cell>
          <cell r="P830">
            <v>0</v>
          </cell>
          <cell r="Q830">
            <v>1946</v>
          </cell>
          <cell r="R830">
            <v>648083</v>
          </cell>
          <cell r="S830">
            <v>0</v>
          </cell>
        </row>
        <row r="831">
          <cell r="E831" t="str">
            <v>K201</v>
          </cell>
          <cell r="F831">
            <v>1</v>
          </cell>
          <cell r="G831">
            <v>0.42568000000000006</v>
          </cell>
          <cell r="H831">
            <v>0.29387000000000002</v>
          </cell>
          <cell r="I831">
            <v>1.2600000000000001E-3</v>
          </cell>
          <cell r="J831">
            <v>5.64E-3</v>
          </cell>
          <cell r="K831">
            <v>6.9999999999999994E-5</v>
          </cell>
          <cell r="L831">
            <v>0.12984000000000001</v>
          </cell>
          <cell r="M831">
            <v>0.10463</v>
          </cell>
          <cell r="N831">
            <v>1.41E-3</v>
          </cell>
          <cell r="O831">
            <v>3.4599999999999999E-2</v>
          </cell>
          <cell r="P831">
            <v>0</v>
          </cell>
          <cell r="Q831">
            <v>3.0000000000000001E-3</v>
          </cell>
          <cell r="R831">
            <v>1.0000000000000002</v>
          </cell>
          <cell r="S831">
            <v>0</v>
          </cell>
        </row>
        <row r="832">
          <cell r="F832">
            <v>648083</v>
          </cell>
          <cell r="G832">
            <v>275875</v>
          </cell>
          <cell r="H832">
            <v>190449</v>
          </cell>
          <cell r="I832">
            <v>819</v>
          </cell>
          <cell r="J832">
            <v>3656</v>
          </cell>
          <cell r="K832">
            <v>44</v>
          </cell>
          <cell r="L832">
            <v>84146</v>
          </cell>
          <cell r="M832">
            <v>67809</v>
          </cell>
          <cell r="N832">
            <v>917</v>
          </cell>
          <cell r="O832">
            <v>22422</v>
          </cell>
          <cell r="P832">
            <v>0</v>
          </cell>
          <cell r="Q832">
            <v>1946</v>
          </cell>
          <cell r="R832">
            <v>648083</v>
          </cell>
          <cell r="S832">
            <v>0</v>
          </cell>
        </row>
        <row r="833">
          <cell r="E833" t="str">
            <v>K202</v>
          </cell>
          <cell r="F833">
            <v>1</v>
          </cell>
          <cell r="G833">
            <v>0.42568000000000006</v>
          </cell>
          <cell r="H833">
            <v>0.29387000000000002</v>
          </cell>
          <cell r="I833">
            <v>1.2600000000000001E-3</v>
          </cell>
          <cell r="J833">
            <v>5.64E-3</v>
          </cell>
          <cell r="K833">
            <v>6.9999999999999994E-5</v>
          </cell>
          <cell r="L833">
            <v>0.12984000000000001</v>
          </cell>
          <cell r="M833">
            <v>0.10463</v>
          </cell>
          <cell r="N833">
            <v>1.41E-3</v>
          </cell>
          <cell r="O833">
            <v>3.4599999999999999E-2</v>
          </cell>
          <cell r="P833">
            <v>0</v>
          </cell>
          <cell r="Q833">
            <v>3.0000000000000001E-3</v>
          </cell>
          <cell r="R833">
            <v>1.0000000000000002</v>
          </cell>
          <cell r="S833">
            <v>0</v>
          </cell>
        </row>
        <row r="834">
          <cell r="F834">
            <v>1647331</v>
          </cell>
          <cell r="G834">
            <v>1006247</v>
          </cell>
          <cell r="H834">
            <v>345716</v>
          </cell>
          <cell r="I834">
            <v>1108</v>
          </cell>
          <cell r="J834">
            <v>13538</v>
          </cell>
          <cell r="K834">
            <v>107</v>
          </cell>
          <cell r="L834">
            <v>117501</v>
          </cell>
          <cell r="M834">
            <v>94629</v>
          </cell>
          <cell r="N834">
            <v>6558</v>
          </cell>
          <cell r="O834">
            <v>52159</v>
          </cell>
          <cell r="P834">
            <v>6010</v>
          </cell>
          <cell r="Q834">
            <v>3758</v>
          </cell>
          <cell r="R834">
            <v>1647331</v>
          </cell>
          <cell r="S834">
            <v>0</v>
          </cell>
        </row>
        <row r="835">
          <cell r="E835" t="str">
            <v>K203</v>
          </cell>
          <cell r="F835">
            <v>1</v>
          </cell>
          <cell r="G835">
            <v>0.61085</v>
          </cell>
          <cell r="H835">
            <v>0.20985999999999999</v>
          </cell>
          <cell r="I835">
            <v>6.7000000000000002E-4</v>
          </cell>
          <cell r="J835">
            <v>8.2199999999999999E-3</v>
          </cell>
          <cell r="K835">
            <v>6.0000000000000002E-5</v>
          </cell>
          <cell r="L835">
            <v>7.1330000000000005E-2</v>
          </cell>
          <cell r="M835">
            <v>5.7439999999999998E-2</v>
          </cell>
          <cell r="N835">
            <v>3.98E-3</v>
          </cell>
          <cell r="O835">
            <v>3.1660000000000001E-2</v>
          </cell>
          <cell r="P835">
            <v>3.65E-3</v>
          </cell>
          <cell r="Q835">
            <v>2.2799999999999999E-3</v>
          </cell>
          <cell r="R835">
            <v>1</v>
          </cell>
          <cell r="S835">
            <v>0</v>
          </cell>
        </row>
        <row r="836">
          <cell r="F836">
            <v>708591</v>
          </cell>
          <cell r="G836">
            <v>315144</v>
          </cell>
          <cell r="H836">
            <v>219094</v>
          </cell>
          <cell r="I836">
            <v>924</v>
          </cell>
          <cell r="J836">
            <v>4810</v>
          </cell>
          <cell r="K836">
            <v>51</v>
          </cell>
          <cell r="L836">
            <v>88885</v>
          </cell>
          <cell r="M836">
            <v>71748</v>
          </cell>
          <cell r="N836">
            <v>939</v>
          </cell>
          <cell r="O836">
            <v>0</v>
          </cell>
          <cell r="P836">
            <v>4747</v>
          </cell>
          <cell r="Q836">
            <v>2249</v>
          </cell>
          <cell r="R836">
            <v>708591</v>
          </cell>
          <cell r="S836">
            <v>0</v>
          </cell>
        </row>
        <row r="837">
          <cell r="E837" t="str">
            <v>K205</v>
          </cell>
          <cell r="F837">
            <v>1</v>
          </cell>
          <cell r="G837">
            <v>0.44474999999999987</v>
          </cell>
          <cell r="H837">
            <v>0.30919999999999997</v>
          </cell>
          <cell r="I837">
            <v>1.2999999999999999E-3</v>
          </cell>
          <cell r="J837">
            <v>6.79E-3</v>
          </cell>
          <cell r="K837">
            <v>6.9999999999999994E-5</v>
          </cell>
          <cell r="L837">
            <v>0.12544</v>
          </cell>
          <cell r="M837">
            <v>0.10125000000000001</v>
          </cell>
          <cell r="N837">
            <v>1.33E-3</v>
          </cell>
          <cell r="O837">
            <v>0</v>
          </cell>
          <cell r="P837">
            <v>6.7000000000000002E-3</v>
          </cell>
          <cell r="Q837">
            <v>3.1700000000000001E-3</v>
          </cell>
          <cell r="R837">
            <v>1</v>
          </cell>
          <cell r="S837">
            <v>0</v>
          </cell>
        </row>
        <row r="838">
          <cell r="F838">
            <v>708591</v>
          </cell>
          <cell r="G838">
            <v>315144</v>
          </cell>
          <cell r="H838">
            <v>219094</v>
          </cell>
          <cell r="I838">
            <v>924</v>
          </cell>
          <cell r="J838">
            <v>4810</v>
          </cell>
          <cell r="K838">
            <v>51</v>
          </cell>
          <cell r="L838">
            <v>88885</v>
          </cell>
          <cell r="M838">
            <v>71748</v>
          </cell>
          <cell r="N838">
            <v>939</v>
          </cell>
          <cell r="O838">
            <v>0</v>
          </cell>
          <cell r="P838">
            <v>4747</v>
          </cell>
          <cell r="Q838">
            <v>2249</v>
          </cell>
          <cell r="R838">
            <v>708591</v>
          </cell>
          <cell r="S838">
            <v>0</v>
          </cell>
        </row>
        <row r="839">
          <cell r="E839" t="str">
            <v>K206</v>
          </cell>
          <cell r="F839">
            <v>1</v>
          </cell>
          <cell r="G839">
            <v>0.44474999999999987</v>
          </cell>
          <cell r="H839">
            <v>0.30919999999999997</v>
          </cell>
          <cell r="I839">
            <v>1.2999999999999999E-3</v>
          </cell>
          <cell r="J839">
            <v>6.79E-3</v>
          </cell>
          <cell r="K839">
            <v>6.9999999999999994E-5</v>
          </cell>
          <cell r="L839">
            <v>0.12544</v>
          </cell>
          <cell r="M839">
            <v>0.10125000000000001</v>
          </cell>
          <cell r="N839">
            <v>1.33E-3</v>
          </cell>
          <cell r="O839">
            <v>0</v>
          </cell>
          <cell r="P839">
            <v>6.7000000000000002E-3</v>
          </cell>
          <cell r="Q839">
            <v>3.1700000000000001E-3</v>
          </cell>
          <cell r="R839">
            <v>1</v>
          </cell>
          <cell r="S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E841" t="str">
            <v>K209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F842">
            <v>708591</v>
          </cell>
          <cell r="G842">
            <v>315144</v>
          </cell>
          <cell r="H842">
            <v>219094</v>
          </cell>
          <cell r="I842">
            <v>924</v>
          </cell>
          <cell r="J842">
            <v>4810</v>
          </cell>
          <cell r="K842">
            <v>51</v>
          </cell>
          <cell r="L842">
            <v>88885</v>
          </cell>
          <cell r="M842">
            <v>71748</v>
          </cell>
          <cell r="N842">
            <v>939</v>
          </cell>
          <cell r="O842">
            <v>0</v>
          </cell>
          <cell r="P842">
            <v>4747</v>
          </cell>
          <cell r="Q842">
            <v>2249</v>
          </cell>
          <cell r="R842">
            <v>708591</v>
          </cell>
          <cell r="S842">
            <v>0</v>
          </cell>
        </row>
        <row r="843">
          <cell r="E843" t="str">
            <v>K215</v>
          </cell>
          <cell r="F843">
            <v>1</v>
          </cell>
          <cell r="G843">
            <v>0.44474999999999987</v>
          </cell>
          <cell r="H843">
            <v>0.30919999999999997</v>
          </cell>
          <cell r="I843">
            <v>1.2999999999999999E-3</v>
          </cell>
          <cell r="J843">
            <v>6.79E-3</v>
          </cell>
          <cell r="K843">
            <v>6.9999999999999994E-5</v>
          </cell>
          <cell r="L843">
            <v>0.12544</v>
          </cell>
          <cell r="M843">
            <v>0.10125000000000001</v>
          </cell>
          <cell r="N843">
            <v>1.33E-3</v>
          </cell>
          <cell r="O843">
            <v>0</v>
          </cell>
          <cell r="P843">
            <v>6.7000000000000002E-3</v>
          </cell>
          <cell r="Q843">
            <v>3.1700000000000001E-3</v>
          </cell>
          <cell r="R843">
            <v>1</v>
          </cell>
          <cell r="S843">
            <v>0</v>
          </cell>
        </row>
        <row r="844">
          <cell r="F844">
            <v>165672</v>
          </cell>
          <cell r="G844">
            <v>137520</v>
          </cell>
          <cell r="H844">
            <v>24512</v>
          </cell>
          <cell r="I844">
            <v>46</v>
          </cell>
          <cell r="J844">
            <v>264</v>
          </cell>
          <cell r="K844">
            <v>12</v>
          </cell>
          <cell r="L844">
            <v>342</v>
          </cell>
          <cell r="M844">
            <v>105</v>
          </cell>
          <cell r="N844">
            <v>30</v>
          </cell>
          <cell r="O844">
            <v>36</v>
          </cell>
          <cell r="P844">
            <v>2792</v>
          </cell>
          <cell r="Q844">
            <v>3</v>
          </cell>
          <cell r="R844">
            <v>165662</v>
          </cell>
          <cell r="S844">
            <v>10</v>
          </cell>
        </row>
        <row r="845">
          <cell r="E845" t="str">
            <v>K217</v>
          </cell>
          <cell r="F845">
            <v>1</v>
          </cell>
          <cell r="G845">
            <v>0.83006999999999997</v>
          </cell>
          <cell r="H845">
            <v>0.14795</v>
          </cell>
          <cell r="I845">
            <v>2.7999999999999998E-4</v>
          </cell>
          <cell r="J845">
            <v>1.5900000000000001E-3</v>
          </cell>
          <cell r="K845">
            <v>6.9999999999999994E-5</v>
          </cell>
          <cell r="L845">
            <v>2.0600000000000002E-3</v>
          </cell>
          <cell r="M845">
            <v>6.3000000000000003E-4</v>
          </cell>
          <cell r="N845">
            <v>1.8000000000000001E-4</v>
          </cell>
          <cell r="O845">
            <v>2.2000000000000001E-4</v>
          </cell>
          <cell r="P845">
            <v>1.685E-2</v>
          </cell>
          <cell r="Q845">
            <v>2.0000000000000002E-5</v>
          </cell>
          <cell r="R845">
            <v>0.99991999999999992</v>
          </cell>
          <cell r="S845">
            <v>8.0000000000080007E-5</v>
          </cell>
        </row>
        <row r="846">
          <cell r="F846">
            <v>4101134214.1489997</v>
          </cell>
          <cell r="G846">
            <v>1470196498.845</v>
          </cell>
          <cell r="H846">
            <v>1255081996.2449999</v>
          </cell>
          <cell r="I846">
            <v>6350133.8709999984</v>
          </cell>
          <cell r="J846">
            <v>19355665.91</v>
          </cell>
          <cell r="K846">
            <v>288048</v>
          </cell>
          <cell r="L846">
            <v>610848200.07483399</v>
          </cell>
          <cell r="M846">
            <v>509222309.26616597</v>
          </cell>
          <cell r="N846">
            <v>5979794.5269999998</v>
          </cell>
          <cell r="O846">
            <v>191982350.88400003</v>
          </cell>
          <cell r="P846">
            <v>18971771.526000001</v>
          </cell>
          <cell r="Q846">
            <v>12857445</v>
          </cell>
          <cell r="R846">
            <v>4101134214.1489997</v>
          </cell>
          <cell r="S846">
            <v>0</v>
          </cell>
        </row>
        <row r="847">
          <cell r="E847" t="str">
            <v>K301</v>
          </cell>
          <cell r="F847">
            <v>1</v>
          </cell>
          <cell r="G847">
            <v>0.35846999999999984</v>
          </cell>
          <cell r="H847">
            <v>0.30603000000000002</v>
          </cell>
          <cell r="I847">
            <v>1.5499999999999999E-3</v>
          </cell>
          <cell r="J847">
            <v>4.7200000000000002E-3</v>
          </cell>
          <cell r="K847">
            <v>6.9999999999999994E-5</v>
          </cell>
          <cell r="L847">
            <v>0.14895</v>
          </cell>
          <cell r="M847">
            <v>0.12417</v>
          </cell>
          <cell r="N847">
            <v>1.4599999999999999E-3</v>
          </cell>
          <cell r="O847">
            <v>4.6809999999999997E-2</v>
          </cell>
          <cell r="P847">
            <v>4.6299999999999996E-3</v>
          </cell>
          <cell r="Q847">
            <v>3.14E-3</v>
          </cell>
          <cell r="R847">
            <v>1</v>
          </cell>
          <cell r="S847">
            <v>0</v>
          </cell>
        </row>
        <row r="848">
          <cell r="F848">
            <v>4101134214.1489997</v>
          </cell>
          <cell r="G848">
            <v>1470196498.845</v>
          </cell>
          <cell r="H848">
            <v>1255081996.2449999</v>
          </cell>
          <cell r="I848">
            <v>6350133.8709999984</v>
          </cell>
          <cell r="J848">
            <v>19355665.91</v>
          </cell>
          <cell r="K848">
            <v>288048</v>
          </cell>
          <cell r="L848">
            <v>610848200.07483399</v>
          </cell>
          <cell r="M848">
            <v>509222309.26616597</v>
          </cell>
          <cell r="N848">
            <v>5979794.5269999998</v>
          </cell>
          <cell r="O848">
            <v>179959630.88400003</v>
          </cell>
          <cell r="P848">
            <v>18971771.526000001</v>
          </cell>
          <cell r="Q848">
            <v>12857445</v>
          </cell>
          <cell r="R848">
            <v>4089111494.1489997</v>
          </cell>
          <cell r="S848">
            <v>12022720</v>
          </cell>
        </row>
        <row r="849">
          <cell r="E849" t="str">
            <v>K303</v>
          </cell>
          <cell r="F849">
            <v>1</v>
          </cell>
          <cell r="G849">
            <v>0.35848999999999998</v>
          </cell>
          <cell r="H849">
            <v>0.30603000000000002</v>
          </cell>
          <cell r="I849">
            <v>1.5499999999999999E-3</v>
          </cell>
          <cell r="J849">
            <v>4.7200000000000002E-3</v>
          </cell>
          <cell r="K849">
            <v>6.9999999999999994E-5</v>
          </cell>
          <cell r="L849">
            <v>0.14895</v>
          </cell>
          <cell r="M849">
            <v>0.12417</v>
          </cell>
          <cell r="N849">
            <v>1.4599999999999999E-3</v>
          </cell>
          <cell r="O849">
            <v>4.3880000000000002E-2</v>
          </cell>
          <cell r="P849">
            <v>4.6299999999999996E-3</v>
          </cell>
          <cell r="Q849">
            <v>3.14E-3</v>
          </cell>
          <cell r="R849">
            <v>0.99709000000000014</v>
          </cell>
          <cell r="S849">
            <v>2.9099999999998571E-3</v>
          </cell>
        </row>
        <row r="850">
          <cell r="F850">
            <v>4082162442.6229997</v>
          </cell>
          <cell r="G850">
            <v>1470196498.845</v>
          </cell>
          <cell r="H850">
            <v>1255081996.2449999</v>
          </cell>
          <cell r="I850">
            <v>6350133.8709999984</v>
          </cell>
          <cell r="J850">
            <v>19355665.91</v>
          </cell>
          <cell r="K850">
            <v>288048</v>
          </cell>
          <cell r="L850">
            <v>610848200.07483399</v>
          </cell>
          <cell r="M850">
            <v>509222309.26616597</v>
          </cell>
          <cell r="N850">
            <v>5979794.5269999998</v>
          </cell>
          <cell r="O850">
            <v>191982350.88400003</v>
          </cell>
          <cell r="P850">
            <v>0</v>
          </cell>
          <cell r="Q850">
            <v>12857445</v>
          </cell>
          <cell r="R850">
            <v>4082162442.6229997</v>
          </cell>
          <cell r="S850">
            <v>0</v>
          </cell>
        </row>
        <row r="851">
          <cell r="E851" t="str">
            <v>K305</v>
          </cell>
          <cell r="F851">
            <v>1</v>
          </cell>
          <cell r="G851">
            <v>0.36014999999999997</v>
          </cell>
          <cell r="H851">
            <v>0.30746000000000001</v>
          </cell>
          <cell r="I851">
            <v>1.56E-3</v>
          </cell>
          <cell r="J851">
            <v>4.7400000000000003E-3</v>
          </cell>
          <cell r="K851">
            <v>6.9999999999999994E-5</v>
          </cell>
          <cell r="L851">
            <v>0.14964</v>
          </cell>
          <cell r="M851">
            <v>0.12474</v>
          </cell>
          <cell r="N851">
            <v>1.4599999999999999E-3</v>
          </cell>
          <cell r="O851">
            <v>4.7030000000000002E-2</v>
          </cell>
          <cell r="P851">
            <v>0</v>
          </cell>
          <cell r="Q851">
            <v>3.15E-3</v>
          </cell>
          <cell r="R851">
            <v>1</v>
          </cell>
          <cell r="S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0</v>
          </cell>
          <cell r="R854">
            <v>1</v>
          </cell>
          <cell r="S854">
            <v>0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0</v>
          </cell>
        </row>
        <row r="856">
          <cell r="F856">
            <v>152867</v>
          </cell>
          <cell r="G856">
            <v>137520</v>
          </cell>
          <cell r="H856">
            <v>12257</v>
          </cell>
          <cell r="I856">
            <v>23</v>
          </cell>
          <cell r="J856">
            <v>88</v>
          </cell>
          <cell r="K856">
            <v>12</v>
          </cell>
          <cell r="L856">
            <v>115</v>
          </cell>
          <cell r="M856">
            <v>35</v>
          </cell>
          <cell r="N856">
            <v>10</v>
          </cell>
          <cell r="O856">
            <v>12</v>
          </cell>
          <cell r="P856">
            <v>2792</v>
          </cell>
          <cell r="Q856">
            <v>1</v>
          </cell>
          <cell r="R856">
            <v>152865</v>
          </cell>
          <cell r="S856">
            <v>2</v>
          </cell>
        </row>
        <row r="857">
          <cell r="E857" t="str">
            <v>K405</v>
          </cell>
          <cell r="F857">
            <v>1</v>
          </cell>
          <cell r="G857">
            <v>0.89961000000000002</v>
          </cell>
          <cell r="H857">
            <v>8.0180000000000001E-2</v>
          </cell>
          <cell r="I857">
            <v>1.4999999999999999E-4</v>
          </cell>
          <cell r="J857">
            <v>5.8E-4</v>
          </cell>
          <cell r="K857">
            <v>8.0000000000000007E-5</v>
          </cell>
          <cell r="L857">
            <v>7.5000000000000002E-4</v>
          </cell>
          <cell r="M857">
            <v>2.3000000000000001E-4</v>
          </cell>
          <cell r="N857">
            <v>6.9999999999999994E-5</v>
          </cell>
          <cell r="O857">
            <v>8.0000000000000007E-5</v>
          </cell>
          <cell r="P857">
            <v>1.8259999999999998E-2</v>
          </cell>
          <cell r="Q857">
            <v>1.0000000000000001E-5</v>
          </cell>
          <cell r="R857">
            <v>0.99999999999999989</v>
          </cell>
          <cell r="S857">
            <v>0</v>
          </cell>
        </row>
        <row r="858">
          <cell r="F858">
            <v>22486890.793596428</v>
          </cell>
          <cell r="G858">
            <v>19829008.800000001</v>
          </cell>
          <cell r="H858">
            <v>2433684.8645095793</v>
          </cell>
          <cell r="I858">
            <v>0</v>
          </cell>
          <cell r="J858">
            <v>31509.280000000046</v>
          </cell>
          <cell r="K858">
            <v>2448</v>
          </cell>
          <cell r="L858">
            <v>111217.43855421687</v>
          </cell>
          <cell r="M858">
            <v>41635.072972972972</v>
          </cell>
          <cell r="N858">
            <v>20860.366666666669</v>
          </cell>
          <cell r="O858">
            <v>16328.400000000001</v>
          </cell>
          <cell r="P858">
            <v>0</v>
          </cell>
          <cell r="Q858">
            <v>198.5708929919696</v>
          </cell>
          <cell r="R858">
            <v>22486890.793596428</v>
          </cell>
          <cell r="S858">
            <v>0</v>
          </cell>
        </row>
        <row r="859">
          <cell r="E859" t="str">
            <v>K407</v>
          </cell>
          <cell r="F859">
            <v>1</v>
          </cell>
          <cell r="G859">
            <v>0.88178999999999996</v>
          </cell>
          <cell r="H859">
            <v>0.10823000000000001</v>
          </cell>
          <cell r="I859">
            <v>0</v>
          </cell>
          <cell r="J859">
            <v>1.4E-3</v>
          </cell>
          <cell r="K859">
            <v>1.1E-4</v>
          </cell>
          <cell r="L859">
            <v>4.9500000000000004E-3</v>
          </cell>
          <cell r="M859">
            <v>1.8500000000000001E-3</v>
          </cell>
          <cell r="N859">
            <v>9.3000000000000005E-4</v>
          </cell>
          <cell r="O859">
            <v>7.2999999999999996E-4</v>
          </cell>
          <cell r="P859">
            <v>0</v>
          </cell>
          <cell r="Q859">
            <v>1.0000000000000001E-5</v>
          </cell>
          <cell r="R859">
            <v>1</v>
          </cell>
          <cell r="S859">
            <v>0</v>
          </cell>
        </row>
        <row r="860">
          <cell r="F860">
            <v>154110</v>
          </cell>
          <cell r="G860">
            <v>137520</v>
          </cell>
          <cell r="H860">
            <v>12257</v>
          </cell>
          <cell r="I860">
            <v>23</v>
          </cell>
          <cell r="J860">
            <v>176</v>
          </cell>
          <cell r="K860">
            <v>12</v>
          </cell>
          <cell r="L860">
            <v>799</v>
          </cell>
          <cell r="M860">
            <v>280</v>
          </cell>
          <cell r="N860">
            <v>140</v>
          </cell>
          <cell r="O860">
            <v>110</v>
          </cell>
          <cell r="P860">
            <v>2792</v>
          </cell>
          <cell r="Q860">
            <v>1</v>
          </cell>
          <cell r="R860">
            <v>154110</v>
          </cell>
          <cell r="S860">
            <v>0</v>
          </cell>
        </row>
        <row r="861">
          <cell r="E861" t="str">
            <v>K409</v>
          </cell>
          <cell r="F861">
            <v>1</v>
          </cell>
          <cell r="G861">
            <v>0.89234999999999998</v>
          </cell>
          <cell r="H861">
            <v>7.9530000000000003E-2</v>
          </cell>
          <cell r="I861">
            <v>1.4999999999999999E-4</v>
          </cell>
          <cell r="J861">
            <v>1.14E-3</v>
          </cell>
          <cell r="K861">
            <v>8.0000000000000007E-5</v>
          </cell>
          <cell r="L861">
            <v>5.1799999999999997E-3</v>
          </cell>
          <cell r="M861">
            <v>1.82E-3</v>
          </cell>
          <cell r="N861">
            <v>9.1E-4</v>
          </cell>
          <cell r="O861">
            <v>7.1000000000000002E-4</v>
          </cell>
          <cell r="P861">
            <v>1.8120000000000001E-2</v>
          </cell>
          <cell r="Q861">
            <v>1.0000000000000001E-5</v>
          </cell>
          <cell r="R861">
            <v>0.99999999999999989</v>
          </cell>
          <cell r="S861">
            <v>0</v>
          </cell>
        </row>
        <row r="862">
          <cell r="F862">
            <v>2137114.169997225</v>
          </cell>
          <cell r="G862">
            <v>1924403</v>
          </cell>
          <cell r="H862">
            <v>108413.16999722505</v>
          </cell>
          <cell r="I862">
            <v>674</v>
          </cell>
          <cell r="J862">
            <v>1538</v>
          </cell>
          <cell r="K862">
            <v>43</v>
          </cell>
          <cell r="L862">
            <v>48098</v>
          </cell>
          <cell r="M862">
            <v>37329</v>
          </cell>
          <cell r="N862">
            <v>710</v>
          </cell>
          <cell r="O862">
            <v>13016</v>
          </cell>
          <cell r="P862">
            <v>2099</v>
          </cell>
          <cell r="Q862">
            <v>791</v>
          </cell>
          <cell r="R862">
            <v>2137114.169997225</v>
          </cell>
          <cell r="S862">
            <v>0</v>
          </cell>
        </row>
        <row r="863">
          <cell r="E863" t="str">
            <v>K411</v>
          </cell>
          <cell r="F863">
            <v>1</v>
          </cell>
          <cell r="G863">
            <v>0.90046000000000004</v>
          </cell>
          <cell r="H863">
            <v>5.0729999999999997E-2</v>
          </cell>
          <cell r="I863">
            <v>3.2000000000000003E-4</v>
          </cell>
          <cell r="J863">
            <v>7.2000000000000005E-4</v>
          </cell>
          <cell r="K863">
            <v>2.0000000000000002E-5</v>
          </cell>
          <cell r="L863">
            <v>2.2509999999999999E-2</v>
          </cell>
          <cell r="M863">
            <v>1.7469999999999999E-2</v>
          </cell>
          <cell r="N863">
            <v>3.3E-4</v>
          </cell>
          <cell r="O863">
            <v>6.0899999999999999E-3</v>
          </cell>
          <cell r="P863">
            <v>9.7999999999999997E-4</v>
          </cell>
          <cell r="Q863">
            <v>3.6999999999999999E-4</v>
          </cell>
          <cell r="R863">
            <v>1.0000000000000002</v>
          </cell>
          <cell r="S863">
            <v>0</v>
          </cell>
        </row>
        <row r="864">
          <cell r="F864">
            <v>4087989911.1489997</v>
          </cell>
          <cell r="G864">
            <v>1470196498.845</v>
          </cell>
          <cell r="H864">
            <v>1255084711.2449999</v>
          </cell>
          <cell r="I864">
            <v>6350133.8709999984</v>
          </cell>
          <cell r="J864">
            <v>19355665.91</v>
          </cell>
          <cell r="K864">
            <v>288048</v>
          </cell>
          <cell r="L864">
            <v>609723902.07483399</v>
          </cell>
          <cell r="M864">
            <v>509222309.26616597</v>
          </cell>
          <cell r="N864">
            <v>5979794.5269999998</v>
          </cell>
          <cell r="O864">
            <v>179959630.88400003</v>
          </cell>
          <cell r="P864">
            <v>18971771.526000001</v>
          </cell>
          <cell r="Q864">
            <v>12857445</v>
          </cell>
          <cell r="R864">
            <v>4087989911.1489997</v>
          </cell>
          <cell r="S864">
            <v>0</v>
          </cell>
        </row>
        <row r="865">
          <cell r="E865" t="str">
            <v>K302</v>
          </cell>
          <cell r="F865">
            <v>1</v>
          </cell>
          <cell r="G865">
            <v>0.35964000000000007</v>
          </cell>
          <cell r="H865">
            <v>0.30702000000000002</v>
          </cell>
          <cell r="I865">
            <v>1.5499999999999999E-3</v>
          </cell>
          <cell r="J865">
            <v>4.7299999999999998E-3</v>
          </cell>
          <cell r="K865">
            <v>6.9999999999999994E-5</v>
          </cell>
          <cell r="L865">
            <v>0.14915</v>
          </cell>
          <cell r="M865">
            <v>0.12457</v>
          </cell>
          <cell r="N865">
            <v>1.4599999999999999E-3</v>
          </cell>
          <cell r="O865">
            <v>4.4019999999999997E-2</v>
          </cell>
          <cell r="P865">
            <v>4.64E-3</v>
          </cell>
          <cell r="Q865">
            <v>3.15E-3</v>
          </cell>
          <cell r="R865">
            <v>1</v>
          </cell>
          <cell r="S865">
            <v>0</v>
          </cell>
        </row>
        <row r="867">
          <cell r="E867" t="str">
            <v>R600</v>
          </cell>
          <cell r="F867">
            <v>116278732</v>
          </cell>
          <cell r="G867">
            <v>56782510</v>
          </cell>
          <cell r="H867">
            <v>30443049</v>
          </cell>
          <cell r="I867">
            <v>130548</v>
          </cell>
          <cell r="J867">
            <v>584419</v>
          </cell>
          <cell r="K867">
            <v>7280</v>
          </cell>
          <cell r="L867">
            <v>13450411</v>
          </cell>
          <cell r="M867">
            <v>10838715</v>
          </cell>
          <cell r="N867">
            <v>146130</v>
          </cell>
          <cell r="O867">
            <v>3584544</v>
          </cell>
          <cell r="P867">
            <v>204</v>
          </cell>
          <cell r="Q867">
            <v>310922</v>
          </cell>
          <cell r="R867">
            <v>116278732</v>
          </cell>
          <cell r="S867">
            <v>0</v>
          </cell>
        </row>
        <row r="868">
          <cell r="E868" t="str">
            <v>R602</v>
          </cell>
          <cell r="F868">
            <v>176693547</v>
          </cell>
          <cell r="G868">
            <v>175545038</v>
          </cell>
          <cell r="H868">
            <v>588390</v>
          </cell>
          <cell r="I868">
            <v>1767</v>
          </cell>
          <cell r="J868">
            <v>10602</v>
          </cell>
          <cell r="K868">
            <v>0</v>
          </cell>
          <cell r="L868">
            <v>259740</v>
          </cell>
          <cell r="M868">
            <v>210265</v>
          </cell>
          <cell r="N868">
            <v>3534</v>
          </cell>
          <cell r="O868">
            <v>68910</v>
          </cell>
          <cell r="P868">
            <v>0</v>
          </cell>
          <cell r="Q868">
            <v>5301</v>
          </cell>
          <cell r="R868">
            <v>176693547</v>
          </cell>
          <cell r="S868">
            <v>0</v>
          </cell>
        </row>
        <row r="870">
          <cell r="R870" t="str">
            <v>FR-16(7)(v)-3</v>
          </cell>
        </row>
        <row r="871">
          <cell r="R871" t="str">
            <v>WITNESS RESPONSIBLE:</v>
          </cell>
        </row>
        <row r="872">
          <cell r="R872" t="str">
            <v>JAMES E. ZIOLKOWSKI</v>
          </cell>
        </row>
        <row r="873">
          <cell r="R873" t="str">
            <v>PAGE 17 OF 18</v>
          </cell>
        </row>
        <row r="876">
          <cell r="F876" t="str">
            <v>TOTAL</v>
          </cell>
          <cell r="H876" t="str">
            <v>DS</v>
          </cell>
          <cell r="I876" t="str">
            <v>GSFL</v>
          </cell>
          <cell r="J876" t="str">
            <v>EH</v>
          </cell>
          <cell r="K876" t="str">
            <v>SP</v>
          </cell>
          <cell r="L876" t="str">
            <v>DT SEC</v>
          </cell>
          <cell r="M876" t="str">
            <v>DT PRI</v>
          </cell>
          <cell r="N876" t="str">
            <v>DP</v>
          </cell>
          <cell r="O876" t="str">
            <v>TT</v>
          </cell>
          <cell r="Q876" t="str">
            <v>OTHER</v>
          </cell>
        </row>
        <row r="877">
          <cell r="F877" t="str">
            <v>PRODUCTION</v>
          </cell>
          <cell r="G877" t="str">
            <v>RS</v>
          </cell>
          <cell r="H877" t="str">
            <v>SECONDARY</v>
          </cell>
          <cell r="I877" t="str">
            <v>SECONDARY</v>
          </cell>
          <cell r="J877" t="str">
            <v>SECONDARY</v>
          </cell>
          <cell r="K877" t="str">
            <v>SECONDARY</v>
          </cell>
          <cell r="L877" t="str">
            <v>SECONDARY</v>
          </cell>
          <cell r="M877" t="str">
            <v>PRIMARY</v>
          </cell>
          <cell r="N877" t="str">
            <v>PRIMARY</v>
          </cell>
          <cell r="O877" t="str">
            <v>TRANSMISSION</v>
          </cell>
          <cell r="P877" t="str">
            <v>LT</v>
          </cell>
          <cell r="Q877" t="str">
            <v>WATER</v>
          </cell>
          <cell r="R877" t="str">
            <v>TOTAL</v>
          </cell>
          <cell r="S877" t="str">
            <v>ALL</v>
          </cell>
        </row>
        <row r="878">
          <cell r="E878" t="str">
            <v>ALLO</v>
          </cell>
          <cell r="F878" t="str">
            <v>DEMAND</v>
          </cell>
          <cell r="G878" t="str">
            <v>RESIDENTIAL</v>
          </cell>
          <cell r="H878" t="str">
            <v>DISTRIBUTION</v>
          </cell>
          <cell r="I878" t="str">
            <v>DISTRIBUTION</v>
          </cell>
          <cell r="J878" t="str">
            <v>DISTRIBUTION</v>
          </cell>
          <cell r="K878" t="str">
            <v>DISTRIBUTION</v>
          </cell>
          <cell r="L878" t="str">
            <v>DISTRIBUTION</v>
          </cell>
          <cell r="M878" t="str">
            <v>DISTRIBUTION</v>
          </cell>
          <cell r="N878" t="str">
            <v>DISTRIBUTION</v>
          </cell>
          <cell r="O878" t="str">
            <v>TIME OF DAY</v>
          </cell>
          <cell r="P878" t="str">
            <v>LIGHTING</v>
          </cell>
          <cell r="Q878" t="str">
            <v>PUMPING</v>
          </cell>
          <cell r="R878" t="str">
            <v>AT ISSUE</v>
          </cell>
          <cell r="S878" t="str">
            <v>OTHER</v>
          </cell>
        </row>
        <row r="879">
          <cell r="E879">
            <v>1</v>
          </cell>
          <cell r="G879">
            <v>3</v>
          </cell>
          <cell r="H879">
            <v>4</v>
          </cell>
          <cell r="I879">
            <v>5</v>
          </cell>
          <cell r="J879">
            <v>6</v>
          </cell>
          <cell r="K879">
            <v>7</v>
          </cell>
          <cell r="L879">
            <v>8</v>
          </cell>
          <cell r="M879">
            <v>9</v>
          </cell>
          <cell r="N879">
            <v>10</v>
          </cell>
          <cell r="O879">
            <v>11</v>
          </cell>
          <cell r="P879">
            <v>12</v>
          </cell>
          <cell r="Q879">
            <v>13</v>
          </cell>
          <cell r="S879" t="str">
            <v xml:space="preserve"> </v>
          </cell>
        </row>
        <row r="881">
          <cell r="F881">
            <v>450848089</v>
          </cell>
          <cell r="G881">
            <v>197851566</v>
          </cell>
          <cell r="H881">
            <v>128946845</v>
          </cell>
          <cell r="I881">
            <v>800742</v>
          </cell>
          <cell r="J881">
            <v>1829152</v>
          </cell>
          <cell r="K881">
            <v>50918</v>
          </cell>
          <cell r="L881">
            <v>57206760</v>
          </cell>
          <cell r="M881">
            <v>44398656</v>
          </cell>
          <cell r="N881">
            <v>846253</v>
          </cell>
          <cell r="O881">
            <v>15479736</v>
          </cell>
          <cell r="P881">
            <v>2496338</v>
          </cell>
          <cell r="Q881">
            <v>941124</v>
          </cell>
          <cell r="R881">
            <v>450848090</v>
          </cell>
          <cell r="S881">
            <v>-1</v>
          </cell>
        </row>
        <row r="882">
          <cell r="E882" t="str">
            <v>K901</v>
          </cell>
          <cell r="F882">
            <v>1</v>
          </cell>
          <cell r="G882">
            <v>0.43884308399999999</v>
          </cell>
          <cell r="H882">
            <v>0.28600951899999999</v>
          </cell>
          <cell r="I882">
            <v>1.7760790000000001E-3</v>
          </cell>
          <cell r="J882">
            <v>4.0571360000000002E-3</v>
          </cell>
          <cell r="K882">
            <v>1.12938E-4</v>
          </cell>
          <cell r="L882">
            <v>0.126886997</v>
          </cell>
          <cell r="M882">
            <v>9.8478083999999994E-2</v>
          </cell>
          <cell r="N882">
            <v>1.877025E-3</v>
          </cell>
          <cell r="O882">
            <v>3.4334705E-2</v>
          </cell>
          <cell r="P882">
            <v>5.5369829999999997E-3</v>
          </cell>
          <cell r="Q882">
            <v>2.087453E-3</v>
          </cell>
          <cell r="R882">
            <v>1.000000003</v>
          </cell>
          <cell r="S882">
            <v>-3.0000000261765081E-9</v>
          </cell>
        </row>
        <row r="883">
          <cell r="F883">
            <v>450848089</v>
          </cell>
          <cell r="G883">
            <v>197851566</v>
          </cell>
          <cell r="H883">
            <v>128946845</v>
          </cell>
          <cell r="I883">
            <v>800742</v>
          </cell>
          <cell r="J883">
            <v>1829152</v>
          </cell>
          <cell r="K883">
            <v>50918</v>
          </cell>
          <cell r="L883">
            <v>57206760</v>
          </cell>
          <cell r="M883">
            <v>44398656</v>
          </cell>
          <cell r="N883">
            <v>846253</v>
          </cell>
          <cell r="O883">
            <v>15479736</v>
          </cell>
          <cell r="P883">
            <v>2496338</v>
          </cell>
          <cell r="Q883">
            <v>941124</v>
          </cell>
          <cell r="R883">
            <v>450848090</v>
          </cell>
          <cell r="S883">
            <v>-1</v>
          </cell>
        </row>
        <row r="884">
          <cell r="E884" t="str">
            <v>K902</v>
          </cell>
          <cell r="F884">
            <v>1</v>
          </cell>
          <cell r="G884">
            <v>0.43884000000000001</v>
          </cell>
          <cell r="H884">
            <v>0.28600951899999999</v>
          </cell>
          <cell r="I884">
            <v>1.7760790000000001E-3</v>
          </cell>
          <cell r="J884">
            <v>4.0571360000000002E-3</v>
          </cell>
          <cell r="K884">
            <v>1.12938E-4</v>
          </cell>
          <cell r="L884">
            <v>0.126886997</v>
          </cell>
          <cell r="M884">
            <v>9.8478083999999994E-2</v>
          </cell>
          <cell r="N884">
            <v>1.877025E-3</v>
          </cell>
          <cell r="O884">
            <v>3.4334705E-2</v>
          </cell>
          <cell r="P884">
            <v>5.5369829999999997E-3</v>
          </cell>
          <cell r="Q884">
            <v>2.087453E-3</v>
          </cell>
          <cell r="R884">
            <v>0.99999691899999998</v>
          </cell>
          <cell r="S884">
            <v>3.0810000000158766E-6</v>
          </cell>
        </row>
        <row r="888">
          <cell r="E888" t="str">
            <v>P129</v>
          </cell>
          <cell r="F888">
            <v>1</v>
          </cell>
          <cell r="G888">
            <v>0.42568000000000006</v>
          </cell>
          <cell r="H888">
            <v>0.29387000000000002</v>
          </cell>
          <cell r="I888">
            <v>1.2600000000000001E-3</v>
          </cell>
          <cell r="J888">
            <v>5.64E-3</v>
          </cell>
          <cell r="K888">
            <v>6.9999999999999994E-5</v>
          </cell>
          <cell r="L888">
            <v>0.12984000000000001</v>
          </cell>
          <cell r="M888">
            <v>0.10463</v>
          </cell>
          <cell r="N888">
            <v>1.41E-3</v>
          </cell>
          <cell r="O888">
            <v>3.4599999999999999E-2</v>
          </cell>
          <cell r="P888">
            <v>0</v>
          </cell>
          <cell r="Q888">
            <v>3.0000000000000001E-3</v>
          </cell>
          <cell r="R888">
            <v>1.0000000000000002</v>
          </cell>
          <cell r="S888">
            <v>0</v>
          </cell>
        </row>
        <row r="889">
          <cell r="E889" t="str">
            <v>T129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</row>
        <row r="890">
          <cell r="E890" t="str">
            <v>PT29</v>
          </cell>
          <cell r="F890">
            <v>1</v>
          </cell>
          <cell r="G890">
            <v>0.42568000000000006</v>
          </cell>
          <cell r="H890">
            <v>0.29387000000000002</v>
          </cell>
          <cell r="I890">
            <v>1.2600000000000001E-3</v>
          </cell>
          <cell r="J890">
            <v>5.64E-3</v>
          </cell>
          <cell r="K890">
            <v>6.9999999999999994E-5</v>
          </cell>
          <cell r="L890">
            <v>0.12984000000000001</v>
          </cell>
          <cell r="M890">
            <v>0.10463</v>
          </cell>
          <cell r="N890">
            <v>1.41E-3</v>
          </cell>
          <cell r="O890">
            <v>3.4599999999999999E-2</v>
          </cell>
          <cell r="P890">
            <v>0</v>
          </cell>
          <cell r="Q890">
            <v>3.0000000000000001E-3</v>
          </cell>
          <cell r="R890">
            <v>1.0000000000000002</v>
          </cell>
          <cell r="S890">
            <v>0</v>
          </cell>
        </row>
        <row r="891">
          <cell r="E891" t="str">
            <v>D149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</row>
        <row r="892">
          <cell r="E892" t="str">
            <v>TD29</v>
          </cell>
          <cell r="F892">
            <v>1</v>
          </cell>
          <cell r="G892">
            <v>0.42568000000000006</v>
          </cell>
          <cell r="H892">
            <v>0.29387000000000002</v>
          </cell>
          <cell r="I892">
            <v>1.2600000000000001E-3</v>
          </cell>
          <cell r="J892">
            <v>5.64E-3</v>
          </cell>
          <cell r="K892">
            <v>6.9999999999999994E-5</v>
          </cell>
          <cell r="L892">
            <v>0.12984000000000001</v>
          </cell>
          <cell r="M892">
            <v>0.10463</v>
          </cell>
          <cell r="N892">
            <v>1.41E-3</v>
          </cell>
          <cell r="O892">
            <v>3.4599999999999999E-2</v>
          </cell>
          <cell r="P892">
            <v>0</v>
          </cell>
          <cell r="Q892">
            <v>3.0000000000000001E-3</v>
          </cell>
          <cell r="R892">
            <v>1.0000000000000002</v>
          </cell>
          <cell r="S892">
            <v>0</v>
          </cell>
        </row>
        <row r="893">
          <cell r="E893" t="str">
            <v>PD29</v>
          </cell>
          <cell r="F893">
            <v>1</v>
          </cell>
          <cell r="G893">
            <v>0.42568000000000006</v>
          </cell>
          <cell r="H893">
            <v>0.29387000000000002</v>
          </cell>
          <cell r="I893">
            <v>1.2600000000000001E-3</v>
          </cell>
          <cell r="J893">
            <v>5.64E-3</v>
          </cell>
          <cell r="K893">
            <v>6.9999999999999994E-5</v>
          </cell>
          <cell r="L893">
            <v>0.12984000000000001</v>
          </cell>
          <cell r="M893">
            <v>0.10463</v>
          </cell>
          <cell r="N893">
            <v>1.41E-3</v>
          </cell>
          <cell r="O893">
            <v>3.4599999999999999E-2</v>
          </cell>
          <cell r="P893">
            <v>0</v>
          </cell>
          <cell r="Q893">
            <v>3.0000000000000001E-3</v>
          </cell>
          <cell r="R893">
            <v>1.0000000000000002</v>
          </cell>
          <cell r="S893">
            <v>0</v>
          </cell>
        </row>
        <row r="894">
          <cell r="E894" t="str">
            <v>G129</v>
          </cell>
          <cell r="F894">
            <v>1</v>
          </cell>
          <cell r="G894">
            <v>0.42568000000000006</v>
          </cell>
          <cell r="H894">
            <v>0.29387000000000002</v>
          </cell>
          <cell r="I894">
            <v>1.2600000000000001E-3</v>
          </cell>
          <cell r="J894">
            <v>5.64E-3</v>
          </cell>
          <cell r="K894">
            <v>6.9999999999999994E-5</v>
          </cell>
          <cell r="L894">
            <v>0.12984000000000001</v>
          </cell>
          <cell r="M894">
            <v>0.10463</v>
          </cell>
          <cell r="N894">
            <v>1.41E-3</v>
          </cell>
          <cell r="O894">
            <v>3.4599999999999999E-2</v>
          </cell>
          <cell r="P894">
            <v>0</v>
          </cell>
          <cell r="Q894">
            <v>3.0000000000000001E-3</v>
          </cell>
          <cell r="R894">
            <v>1.0000000000000002</v>
          </cell>
          <cell r="S894">
            <v>0</v>
          </cell>
        </row>
        <row r="895">
          <cell r="E895" t="str">
            <v>C129</v>
          </cell>
          <cell r="F895">
            <v>1</v>
          </cell>
          <cell r="G895">
            <v>0.42568000000000006</v>
          </cell>
          <cell r="H895">
            <v>0.29387000000000002</v>
          </cell>
          <cell r="I895">
            <v>1.2600000000000001E-3</v>
          </cell>
          <cell r="J895">
            <v>5.64E-3</v>
          </cell>
          <cell r="K895">
            <v>6.9999999999999994E-5</v>
          </cell>
          <cell r="L895">
            <v>0.12984000000000001</v>
          </cell>
          <cell r="M895">
            <v>0.10463</v>
          </cell>
          <cell r="N895">
            <v>1.41E-3</v>
          </cell>
          <cell r="O895">
            <v>3.4599999999999999E-2</v>
          </cell>
          <cell r="P895">
            <v>0</v>
          </cell>
          <cell r="Q895">
            <v>3.0000000000000001E-3</v>
          </cell>
          <cell r="R895">
            <v>1.0000000000000002</v>
          </cell>
          <cell r="S895">
            <v>0</v>
          </cell>
        </row>
        <row r="896">
          <cell r="E896" t="str">
            <v>GP19</v>
          </cell>
          <cell r="F896">
            <v>1</v>
          </cell>
          <cell r="G896">
            <v>1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1</v>
          </cell>
          <cell r="S896">
            <v>0</v>
          </cell>
        </row>
        <row r="897">
          <cell r="E897" t="str">
            <v>DR19</v>
          </cell>
          <cell r="F897">
            <v>1</v>
          </cell>
          <cell r="G897">
            <v>0.42575000000000007</v>
          </cell>
          <cell r="H897">
            <v>0.29382999999999998</v>
          </cell>
          <cell r="I897">
            <v>1.2600000000000001E-3</v>
          </cell>
          <cell r="J897">
            <v>5.64E-3</v>
          </cell>
          <cell r="K897">
            <v>6.9999999999999994E-5</v>
          </cell>
          <cell r="L897">
            <v>0.12981999999999999</v>
          </cell>
          <cell r="M897">
            <v>0.10462</v>
          </cell>
          <cell r="N897">
            <v>1.41E-3</v>
          </cell>
          <cell r="O897">
            <v>3.4599999999999999E-2</v>
          </cell>
          <cell r="P897">
            <v>0</v>
          </cell>
          <cell r="Q897">
            <v>3.0000000000000001E-3</v>
          </cell>
          <cell r="R897">
            <v>1</v>
          </cell>
          <cell r="S897">
            <v>0</v>
          </cell>
        </row>
        <row r="900">
          <cell r="E900" t="str">
            <v>P229</v>
          </cell>
          <cell r="F900">
            <v>1</v>
          </cell>
          <cell r="G900">
            <v>0.42568000000000006</v>
          </cell>
          <cell r="H900">
            <v>0.29387000000000002</v>
          </cell>
          <cell r="I900">
            <v>1.2600000000000001E-3</v>
          </cell>
          <cell r="J900">
            <v>5.64E-3</v>
          </cell>
          <cell r="K900">
            <v>6.9999999999999994E-5</v>
          </cell>
          <cell r="L900">
            <v>0.12984000000000001</v>
          </cell>
          <cell r="M900">
            <v>0.10463</v>
          </cell>
          <cell r="N900">
            <v>1.41E-3</v>
          </cell>
          <cell r="O900">
            <v>3.4599999999999999E-2</v>
          </cell>
          <cell r="P900">
            <v>0</v>
          </cell>
          <cell r="Q900">
            <v>3.0000000000000001E-3</v>
          </cell>
          <cell r="R900">
            <v>1.0000000000000002</v>
          </cell>
          <cell r="S900">
            <v>0</v>
          </cell>
        </row>
        <row r="901">
          <cell r="E901" t="str">
            <v>T229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</row>
        <row r="902">
          <cell r="E902" t="str">
            <v>PL49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E903" t="str">
            <v>D249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E904" t="str">
            <v>NT29</v>
          </cell>
          <cell r="F904">
            <v>1</v>
          </cell>
          <cell r="G904">
            <v>0.42568000000000006</v>
          </cell>
          <cell r="H904">
            <v>0.29387000000000002</v>
          </cell>
          <cell r="I904">
            <v>1.2600000000000001E-3</v>
          </cell>
          <cell r="J904">
            <v>5.64E-3</v>
          </cell>
          <cell r="K904">
            <v>6.9999999999999994E-5</v>
          </cell>
          <cell r="L904">
            <v>0.12984000000000001</v>
          </cell>
          <cell r="M904">
            <v>0.10463</v>
          </cell>
          <cell r="N904">
            <v>1.41E-3</v>
          </cell>
          <cell r="O904">
            <v>3.4599999999999999E-2</v>
          </cell>
          <cell r="P904">
            <v>0</v>
          </cell>
          <cell r="Q904">
            <v>3.0000000000000001E-3</v>
          </cell>
          <cell r="R904">
            <v>1.0000000000000002</v>
          </cell>
          <cell r="S904">
            <v>0</v>
          </cell>
        </row>
        <row r="905">
          <cell r="E905" t="str">
            <v>G229</v>
          </cell>
          <cell r="F905">
            <v>1</v>
          </cell>
          <cell r="G905">
            <v>0.42531000000000008</v>
          </cell>
          <cell r="H905">
            <v>0.29405999999999999</v>
          </cell>
          <cell r="I905">
            <v>1.2600000000000001E-3</v>
          </cell>
          <cell r="J905">
            <v>5.64E-3</v>
          </cell>
          <cell r="K905">
            <v>6.9999999999999994E-5</v>
          </cell>
          <cell r="L905">
            <v>0.12992999999999999</v>
          </cell>
          <cell r="M905">
            <v>0.1047</v>
          </cell>
          <cell r="N905">
            <v>1.41E-3</v>
          </cell>
          <cell r="O905">
            <v>3.4619999999999998E-2</v>
          </cell>
          <cell r="P905">
            <v>0</v>
          </cell>
          <cell r="Q905">
            <v>3.0000000000000001E-3</v>
          </cell>
          <cell r="R905">
            <v>1</v>
          </cell>
          <cell r="S905">
            <v>0</v>
          </cell>
        </row>
        <row r="906">
          <cell r="E906" t="str">
            <v>C229</v>
          </cell>
          <cell r="F906">
            <v>1</v>
          </cell>
          <cell r="G906">
            <v>0.42081000000000013</v>
          </cell>
          <cell r="H906">
            <v>0.29636000000000001</v>
          </cell>
          <cell r="I906">
            <v>1.2700000000000001E-3</v>
          </cell>
          <cell r="J906">
            <v>5.6899999999999997E-3</v>
          </cell>
          <cell r="K906">
            <v>6.9999999999999994E-5</v>
          </cell>
          <cell r="L906">
            <v>0.13094</v>
          </cell>
          <cell r="M906">
            <v>0.10552</v>
          </cell>
          <cell r="N906">
            <v>1.42E-3</v>
          </cell>
          <cell r="O906">
            <v>3.4889999999999997E-2</v>
          </cell>
          <cell r="P906">
            <v>0</v>
          </cell>
          <cell r="Q906">
            <v>3.0300000000000001E-3</v>
          </cell>
          <cell r="R906">
            <v>1</v>
          </cell>
          <cell r="S906">
            <v>0</v>
          </cell>
        </row>
        <row r="907">
          <cell r="E907" t="str">
            <v>NP29</v>
          </cell>
          <cell r="F907">
            <v>1</v>
          </cell>
          <cell r="G907">
            <v>0.42558999999999991</v>
          </cell>
          <cell r="H907">
            <v>0.29391</v>
          </cell>
          <cell r="I907">
            <v>1.2600000000000001E-3</v>
          </cell>
          <cell r="J907">
            <v>5.64E-3</v>
          </cell>
          <cell r="K907">
            <v>6.9999999999999994E-5</v>
          </cell>
          <cell r="L907">
            <v>0.12986</v>
          </cell>
          <cell r="M907">
            <v>0.10465000000000001</v>
          </cell>
          <cell r="N907">
            <v>1.41E-3</v>
          </cell>
          <cell r="O907">
            <v>3.4610000000000002E-2</v>
          </cell>
          <cell r="P907">
            <v>0</v>
          </cell>
          <cell r="Q907">
            <v>3.0000000000000001E-3</v>
          </cell>
          <cell r="R907">
            <v>1</v>
          </cell>
          <cell r="S907">
            <v>0</v>
          </cell>
        </row>
        <row r="910">
          <cell r="E910" t="str">
            <v>W669</v>
          </cell>
          <cell r="F910">
            <v>1</v>
          </cell>
          <cell r="G910">
            <v>0.42568000000000006</v>
          </cell>
          <cell r="H910">
            <v>0.29387000000000002</v>
          </cell>
          <cell r="I910">
            <v>1.2600000000000001E-3</v>
          </cell>
          <cell r="J910">
            <v>5.64E-3</v>
          </cell>
          <cell r="K910">
            <v>6.9999999999999994E-5</v>
          </cell>
          <cell r="L910">
            <v>0.12984000000000001</v>
          </cell>
          <cell r="M910">
            <v>0.10463</v>
          </cell>
          <cell r="N910">
            <v>1.41E-3</v>
          </cell>
          <cell r="O910">
            <v>3.4599999999999999E-2</v>
          </cell>
          <cell r="P910">
            <v>0</v>
          </cell>
          <cell r="Q910">
            <v>3.0000000000000001E-3</v>
          </cell>
          <cell r="R910">
            <v>1.0000000000000002</v>
          </cell>
          <cell r="S910">
            <v>0</v>
          </cell>
        </row>
        <row r="911">
          <cell r="E911" t="str">
            <v>W689</v>
          </cell>
          <cell r="F911">
            <v>1</v>
          </cell>
          <cell r="G911">
            <v>0.42558999999999991</v>
          </cell>
          <cell r="H911">
            <v>0.29391</v>
          </cell>
          <cell r="I911">
            <v>1.2600000000000001E-3</v>
          </cell>
          <cell r="J911">
            <v>5.64E-3</v>
          </cell>
          <cell r="K911">
            <v>6.9999999999999994E-5</v>
          </cell>
          <cell r="L911">
            <v>0.12986</v>
          </cell>
          <cell r="M911">
            <v>0.10465000000000001</v>
          </cell>
          <cell r="N911">
            <v>1.41E-3</v>
          </cell>
          <cell r="O911">
            <v>3.4610000000000002E-2</v>
          </cell>
          <cell r="P911">
            <v>0</v>
          </cell>
          <cell r="Q911">
            <v>3.0000000000000001E-3</v>
          </cell>
          <cell r="R911">
            <v>1</v>
          </cell>
          <cell r="S911">
            <v>0</v>
          </cell>
        </row>
        <row r="912">
          <cell r="E912" t="str">
            <v>W719</v>
          </cell>
          <cell r="F912">
            <v>1</v>
          </cell>
          <cell r="G912">
            <v>0.42558999999999991</v>
          </cell>
          <cell r="H912">
            <v>0.29391</v>
          </cell>
          <cell r="I912">
            <v>1.2600000000000001E-3</v>
          </cell>
          <cell r="J912">
            <v>5.64E-3</v>
          </cell>
          <cell r="K912">
            <v>6.9999999999999994E-5</v>
          </cell>
          <cell r="L912">
            <v>0.12986</v>
          </cell>
          <cell r="M912">
            <v>0.10465000000000001</v>
          </cell>
          <cell r="N912">
            <v>1.41E-3</v>
          </cell>
          <cell r="O912">
            <v>3.4610000000000002E-2</v>
          </cell>
          <cell r="P912">
            <v>0</v>
          </cell>
          <cell r="Q912">
            <v>3.0000000000000001E-3</v>
          </cell>
          <cell r="R912">
            <v>1</v>
          </cell>
          <cell r="S912">
            <v>0</v>
          </cell>
        </row>
        <row r="913">
          <cell r="E913" t="str">
            <v>W749</v>
          </cell>
          <cell r="F913">
            <v>1</v>
          </cell>
          <cell r="G913">
            <v>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1</v>
          </cell>
          <cell r="S913">
            <v>0</v>
          </cell>
        </row>
        <row r="914">
          <cell r="E914" t="str">
            <v>WC79</v>
          </cell>
          <cell r="F914">
            <v>1</v>
          </cell>
          <cell r="G914">
            <v>0.42564000000000013</v>
          </cell>
          <cell r="H914">
            <v>0.29388999999999998</v>
          </cell>
          <cell r="I914">
            <v>1.2600000000000001E-3</v>
          </cell>
          <cell r="J914">
            <v>5.64E-3</v>
          </cell>
          <cell r="K914">
            <v>6.9999999999999994E-5</v>
          </cell>
          <cell r="L914">
            <v>0.12984999999999999</v>
          </cell>
          <cell r="M914">
            <v>0.10464</v>
          </cell>
          <cell r="N914">
            <v>1.41E-3</v>
          </cell>
          <cell r="O914">
            <v>3.4599999999999999E-2</v>
          </cell>
          <cell r="P914">
            <v>0</v>
          </cell>
          <cell r="Q914">
            <v>3.0000000000000001E-3</v>
          </cell>
          <cell r="R914">
            <v>1</v>
          </cell>
          <cell r="S914">
            <v>0</v>
          </cell>
        </row>
        <row r="917">
          <cell r="E917" t="str">
            <v>RB29</v>
          </cell>
          <cell r="F917">
            <v>1</v>
          </cell>
          <cell r="G917">
            <v>0.43032000000000015</v>
          </cell>
          <cell r="H917">
            <v>0.29149999999999998</v>
          </cell>
          <cell r="I917">
            <v>1.25E-3</v>
          </cell>
          <cell r="J917">
            <v>5.5900000000000004E-3</v>
          </cell>
          <cell r="K917">
            <v>6.9999999999999994E-5</v>
          </cell>
          <cell r="L917">
            <v>0.12878999999999999</v>
          </cell>
          <cell r="M917">
            <v>0.10378</v>
          </cell>
          <cell r="N917">
            <v>1.4E-3</v>
          </cell>
          <cell r="O917">
            <v>3.4320000000000003E-2</v>
          </cell>
          <cell r="P917">
            <v>0</v>
          </cell>
          <cell r="Q917">
            <v>2.98E-3</v>
          </cell>
          <cell r="R917">
            <v>1</v>
          </cell>
          <cell r="S917">
            <v>0</v>
          </cell>
        </row>
        <row r="918">
          <cell r="E918" t="str">
            <v>RB99</v>
          </cell>
          <cell r="F918">
            <v>1</v>
          </cell>
          <cell r="G918">
            <v>0.43021000000000009</v>
          </cell>
          <cell r="H918">
            <v>0.29154999999999998</v>
          </cell>
          <cell r="I918">
            <v>1.25E-3</v>
          </cell>
          <cell r="J918">
            <v>5.5999999999999999E-3</v>
          </cell>
          <cell r="K918">
            <v>6.9999999999999994E-5</v>
          </cell>
          <cell r="L918">
            <v>0.12881000000000001</v>
          </cell>
          <cell r="M918">
            <v>0.1038</v>
          </cell>
          <cell r="N918">
            <v>1.4E-3</v>
          </cell>
          <cell r="O918">
            <v>3.4329999999999999E-2</v>
          </cell>
          <cell r="P918">
            <v>0</v>
          </cell>
          <cell r="Q918">
            <v>2.98E-3</v>
          </cell>
          <cell r="R918">
            <v>1</v>
          </cell>
          <cell r="S918">
            <v>0</v>
          </cell>
        </row>
        <row r="919">
          <cell r="E919" t="str">
            <v>CW29</v>
          </cell>
          <cell r="F919">
            <v>1</v>
          </cell>
          <cell r="G919">
            <v>1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</row>
        <row r="921">
          <cell r="R921" t="str">
            <v>FR-16(7)(v)-3</v>
          </cell>
        </row>
        <row r="922">
          <cell r="R922" t="str">
            <v>WITNESS RESPONSIBLE:</v>
          </cell>
        </row>
        <row r="923">
          <cell r="R923" t="str">
            <v>JAMES E. ZIOLKOWSKI</v>
          </cell>
        </row>
        <row r="924">
          <cell r="R924" t="str">
            <v>PAGE 18 OF 18</v>
          </cell>
        </row>
        <row r="927">
          <cell r="F927" t="str">
            <v>TOTAL</v>
          </cell>
          <cell r="H927" t="str">
            <v>DS</v>
          </cell>
          <cell r="I927" t="str">
            <v>GSFL</v>
          </cell>
          <cell r="J927" t="str">
            <v>EH</v>
          </cell>
          <cell r="K927" t="str">
            <v>SP</v>
          </cell>
          <cell r="L927" t="str">
            <v>DT SEC</v>
          </cell>
          <cell r="M927" t="str">
            <v>DT PRI</v>
          </cell>
          <cell r="N927" t="str">
            <v>DP</v>
          </cell>
          <cell r="O927" t="str">
            <v>TT</v>
          </cell>
          <cell r="Q927" t="str">
            <v>OTHER</v>
          </cell>
        </row>
        <row r="928">
          <cell r="F928" t="str">
            <v>PRODUCTION</v>
          </cell>
          <cell r="G928" t="str">
            <v>RS</v>
          </cell>
          <cell r="H928" t="str">
            <v>SECONDARY</v>
          </cell>
          <cell r="I928" t="str">
            <v>SECONDARY</v>
          </cell>
          <cell r="J928" t="str">
            <v>SECONDARY</v>
          </cell>
          <cell r="K928" t="str">
            <v>SECONDARY</v>
          </cell>
          <cell r="L928" t="str">
            <v>SECONDARY</v>
          </cell>
          <cell r="M928" t="str">
            <v>PRIMARY</v>
          </cell>
          <cell r="N928" t="str">
            <v>PRIMARY</v>
          </cell>
          <cell r="O928" t="str">
            <v>TRANSMISSION</v>
          </cell>
          <cell r="P928" t="str">
            <v>LT</v>
          </cell>
          <cell r="Q928" t="str">
            <v>WATER</v>
          </cell>
          <cell r="R928" t="str">
            <v>TOTAL</v>
          </cell>
          <cell r="S928" t="str">
            <v>ALL</v>
          </cell>
        </row>
        <row r="929">
          <cell r="E929" t="str">
            <v>ALLO</v>
          </cell>
          <cell r="F929" t="str">
            <v>DEMAND</v>
          </cell>
          <cell r="G929" t="str">
            <v>RESIDENTIAL</v>
          </cell>
          <cell r="H929" t="str">
            <v>DISTRIBUTION</v>
          </cell>
          <cell r="I929" t="str">
            <v>DISTRIBUTION</v>
          </cell>
          <cell r="J929" t="str">
            <v>DISTRIBUTION</v>
          </cell>
          <cell r="K929" t="str">
            <v>DISTRIBUTION</v>
          </cell>
          <cell r="L929" t="str">
            <v>DISTRIBUTION</v>
          </cell>
          <cell r="M929" t="str">
            <v>DISTRIBUTION</v>
          </cell>
          <cell r="N929" t="str">
            <v>DISTRIBUTION</v>
          </cell>
          <cell r="O929" t="str">
            <v>TIME OF DAY</v>
          </cell>
          <cell r="P929" t="str">
            <v>LIGHTING</v>
          </cell>
          <cell r="Q929" t="str">
            <v>PUMPING</v>
          </cell>
          <cell r="R929" t="str">
            <v>AT ISSUE</v>
          </cell>
          <cell r="S929" t="str">
            <v>OTHER</v>
          </cell>
        </row>
        <row r="930">
          <cell r="E930">
            <v>1</v>
          </cell>
          <cell r="G930">
            <v>3</v>
          </cell>
          <cell r="H930">
            <v>4</v>
          </cell>
          <cell r="I930">
            <v>5</v>
          </cell>
          <cell r="J930">
            <v>6</v>
          </cell>
          <cell r="K930">
            <v>7</v>
          </cell>
          <cell r="L930">
            <v>8</v>
          </cell>
          <cell r="M930">
            <v>9</v>
          </cell>
          <cell r="N930">
            <v>10</v>
          </cell>
          <cell r="O930">
            <v>11</v>
          </cell>
          <cell r="P930">
            <v>12</v>
          </cell>
          <cell r="Q930">
            <v>13</v>
          </cell>
          <cell r="S930" t="str">
            <v xml:space="preserve"> </v>
          </cell>
        </row>
        <row r="932">
          <cell r="E932" t="str">
            <v>P349</v>
          </cell>
          <cell r="F932">
            <v>1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1</v>
          </cell>
        </row>
        <row r="933">
          <cell r="E933" t="str">
            <v>E349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1</v>
          </cell>
        </row>
        <row r="934">
          <cell r="E934" t="str">
            <v>P459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</v>
          </cell>
        </row>
        <row r="935">
          <cell r="E935" t="str">
            <v>T349</v>
          </cell>
          <cell r="F935">
            <v>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1</v>
          </cell>
        </row>
        <row r="936">
          <cell r="E936" t="str">
            <v>D349</v>
          </cell>
          <cell r="F936">
            <v>1</v>
          </cell>
          <cell r="G936">
            <v>0.42568</v>
          </cell>
          <cell r="H936">
            <v>0.29387000000000002</v>
          </cell>
          <cell r="I936">
            <v>1.2600000000000001E-3</v>
          </cell>
          <cell r="J936">
            <v>5.64E-3</v>
          </cell>
          <cell r="K936">
            <v>6.9999999999999994E-5</v>
          </cell>
          <cell r="L936">
            <v>0.12984000000000001</v>
          </cell>
          <cell r="M936">
            <v>0.10463</v>
          </cell>
          <cell r="N936">
            <v>1.41E-3</v>
          </cell>
          <cell r="O936">
            <v>3.4599999999999999E-2</v>
          </cell>
          <cell r="P936">
            <v>0</v>
          </cell>
          <cell r="Q936">
            <v>3.0000000000000001E-3</v>
          </cell>
          <cell r="R936">
            <v>1</v>
          </cell>
          <cell r="S936">
            <v>0</v>
          </cell>
        </row>
        <row r="937">
          <cell r="E937" t="str">
            <v>C311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1</v>
          </cell>
        </row>
        <row r="938">
          <cell r="E938" t="str">
            <v>C319</v>
          </cell>
          <cell r="F938">
            <v>1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1</v>
          </cell>
        </row>
        <row r="939">
          <cell r="E939" t="str">
            <v>C331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E940" t="str">
            <v>S319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1</v>
          </cell>
        </row>
        <row r="941">
          <cell r="E941" t="str">
            <v>OM39</v>
          </cell>
          <cell r="F941">
            <v>1</v>
          </cell>
          <cell r="G941">
            <v>0.97826000000000002</v>
          </cell>
          <cell r="H941">
            <v>1.1129999999999999E-2</v>
          </cell>
          <cell r="I941">
            <v>5.0000000000000002E-5</v>
          </cell>
          <cell r="J941">
            <v>2.1000000000000001E-4</v>
          </cell>
          <cell r="K941">
            <v>0</v>
          </cell>
          <cell r="L941">
            <v>4.9199999999999999E-3</v>
          </cell>
          <cell r="M941">
            <v>3.96E-3</v>
          </cell>
          <cell r="N941">
            <v>5.0000000000000002E-5</v>
          </cell>
          <cell r="O941">
            <v>1.31E-3</v>
          </cell>
          <cell r="P941">
            <v>0</v>
          </cell>
          <cell r="Q941">
            <v>1.1E-4</v>
          </cell>
          <cell r="R941">
            <v>1</v>
          </cell>
          <cell r="S941">
            <v>0</v>
          </cell>
        </row>
        <row r="944">
          <cell r="E944" t="str">
            <v>A300</v>
          </cell>
          <cell r="F944">
            <v>1</v>
          </cell>
          <cell r="G944">
            <v>1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1</v>
          </cell>
          <cell r="S944">
            <v>0</v>
          </cell>
        </row>
        <row r="945">
          <cell r="E945" t="str">
            <v>A302</v>
          </cell>
          <cell r="F945">
            <v>1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1</v>
          </cell>
        </row>
        <row r="946">
          <cell r="E946" t="str">
            <v>A304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1</v>
          </cell>
        </row>
        <row r="947">
          <cell r="E947" t="str">
            <v>A306</v>
          </cell>
          <cell r="F947">
            <v>1</v>
          </cell>
          <cell r="G947">
            <v>0.42569000000000001</v>
          </cell>
          <cell r="H947">
            <v>0.29387000000000002</v>
          </cell>
          <cell r="I947">
            <v>1.2600000000000001E-3</v>
          </cell>
          <cell r="J947">
            <v>5.64E-3</v>
          </cell>
          <cell r="K947">
            <v>6.9999999999999994E-5</v>
          </cell>
          <cell r="L947">
            <v>0.12984000000000001</v>
          </cell>
          <cell r="M947">
            <v>0.10463</v>
          </cell>
          <cell r="N947">
            <v>1.41E-3</v>
          </cell>
          <cell r="O947">
            <v>3.4599999999999999E-2</v>
          </cell>
          <cell r="P947">
            <v>0</v>
          </cell>
          <cell r="Q947">
            <v>3.0000000000000001E-3</v>
          </cell>
          <cell r="R947">
            <v>1.0000100000000001</v>
          </cell>
          <cell r="S947">
            <v>-1.0000000000065512E-5</v>
          </cell>
        </row>
        <row r="948">
          <cell r="E948" t="str">
            <v>A308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</row>
        <row r="949">
          <cell r="E949" t="str">
            <v>A310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1</v>
          </cell>
        </row>
        <row r="950">
          <cell r="E950" t="str">
            <v>A312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</v>
          </cell>
        </row>
        <row r="951">
          <cell r="E951" t="str">
            <v>A315</v>
          </cell>
          <cell r="F951">
            <v>1</v>
          </cell>
          <cell r="G951">
            <v>0.99348999999999998</v>
          </cell>
          <cell r="H951">
            <v>3.3300000000000001E-3</v>
          </cell>
          <cell r="I951">
            <v>1.0000000000000001E-5</v>
          </cell>
          <cell r="J951">
            <v>6.0000000000000002E-5</v>
          </cell>
          <cell r="K951">
            <v>0</v>
          </cell>
          <cell r="L951">
            <v>1.47E-3</v>
          </cell>
          <cell r="M951">
            <v>1.1900000000000001E-3</v>
          </cell>
          <cell r="N951">
            <v>2.0000000000000002E-5</v>
          </cell>
          <cell r="O951">
            <v>3.8999999999999999E-4</v>
          </cell>
          <cell r="P951">
            <v>0</v>
          </cell>
          <cell r="Q951">
            <v>3.0000000000000001E-5</v>
          </cell>
          <cell r="R951">
            <v>0.99998999999999993</v>
          </cell>
          <cell r="S951">
            <v>1.0000000000065512E-5</v>
          </cell>
        </row>
        <row r="952">
          <cell r="E952" t="str">
            <v>A357</v>
          </cell>
          <cell r="F952">
            <v>1</v>
          </cell>
          <cell r="G952">
            <v>0.99348999999999998</v>
          </cell>
          <cell r="H952">
            <v>3.3300000000000001E-3</v>
          </cell>
          <cell r="I952">
            <v>1.0000000000000001E-5</v>
          </cell>
          <cell r="J952">
            <v>6.0000000000000002E-5</v>
          </cell>
          <cell r="K952">
            <v>0</v>
          </cell>
          <cell r="L952">
            <v>1.47E-3</v>
          </cell>
          <cell r="M952">
            <v>1.1900000000000001E-3</v>
          </cell>
          <cell r="N952">
            <v>2.0000000000000002E-5</v>
          </cell>
          <cell r="O952">
            <v>3.8999999999999999E-4</v>
          </cell>
          <cell r="P952">
            <v>0</v>
          </cell>
          <cell r="Q952">
            <v>3.0000000000000001E-5</v>
          </cell>
          <cell r="R952">
            <v>0.99998999999999993</v>
          </cell>
          <cell r="S952">
            <v>1.0000000000065512E-5</v>
          </cell>
        </row>
        <row r="955">
          <cell r="E955" t="str">
            <v>P489</v>
          </cell>
          <cell r="F955">
            <v>1</v>
          </cell>
          <cell r="G955">
            <v>0.42568</v>
          </cell>
          <cell r="H955">
            <v>0.29387000000000002</v>
          </cell>
          <cell r="I955">
            <v>1.2600000000000001E-3</v>
          </cell>
          <cell r="J955">
            <v>5.64E-3</v>
          </cell>
          <cell r="K955">
            <v>6.9999999999999994E-5</v>
          </cell>
          <cell r="L955">
            <v>0.12984000000000001</v>
          </cell>
          <cell r="M955">
            <v>0.10463</v>
          </cell>
          <cell r="N955">
            <v>1.41E-3</v>
          </cell>
          <cell r="O955">
            <v>3.4599999999999999E-2</v>
          </cell>
          <cell r="P955">
            <v>0</v>
          </cell>
          <cell r="Q955">
            <v>3.0000000000000001E-3</v>
          </cell>
          <cell r="R955">
            <v>1</v>
          </cell>
          <cell r="S955">
            <v>0</v>
          </cell>
        </row>
        <row r="956">
          <cell r="E956" t="str">
            <v>T489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1</v>
          </cell>
        </row>
        <row r="957">
          <cell r="E957" t="str">
            <v>D489</v>
          </cell>
          <cell r="F957">
            <v>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1</v>
          </cell>
        </row>
        <row r="958">
          <cell r="E958" t="str">
            <v>G489</v>
          </cell>
          <cell r="F958">
            <v>1</v>
          </cell>
          <cell r="G958">
            <v>0.42531000000000002</v>
          </cell>
          <cell r="H958">
            <v>0.29405999999999999</v>
          </cell>
          <cell r="I958">
            <v>1.2600000000000001E-3</v>
          </cell>
          <cell r="J958">
            <v>5.64E-3</v>
          </cell>
          <cell r="K958">
            <v>6.9999999999999994E-5</v>
          </cell>
          <cell r="L958">
            <v>0.12992999999999999</v>
          </cell>
          <cell r="M958">
            <v>0.1047</v>
          </cell>
          <cell r="N958">
            <v>1.41E-3</v>
          </cell>
          <cell r="O958">
            <v>3.4619999999999998E-2</v>
          </cell>
          <cell r="P958">
            <v>0</v>
          </cell>
          <cell r="Q958">
            <v>3.0000000000000001E-3</v>
          </cell>
          <cell r="R958">
            <v>1</v>
          </cell>
          <cell r="S958">
            <v>0</v>
          </cell>
        </row>
        <row r="959">
          <cell r="E959" t="str">
            <v>C489</v>
          </cell>
          <cell r="F959">
            <v>1</v>
          </cell>
          <cell r="G959">
            <v>0.42082000000000003</v>
          </cell>
          <cell r="H959">
            <v>0.29636000000000001</v>
          </cell>
          <cell r="I959">
            <v>1.2700000000000001E-3</v>
          </cell>
          <cell r="J959">
            <v>5.6899999999999997E-3</v>
          </cell>
          <cell r="K959">
            <v>6.9999999999999994E-5</v>
          </cell>
          <cell r="L959">
            <v>0.13094</v>
          </cell>
          <cell r="M959">
            <v>0.10552</v>
          </cell>
          <cell r="N959">
            <v>1.42E-3</v>
          </cell>
          <cell r="O959">
            <v>3.4889999999999997E-2</v>
          </cell>
          <cell r="P959">
            <v>0</v>
          </cell>
          <cell r="Q959">
            <v>3.0300000000000001E-3</v>
          </cell>
          <cell r="R959">
            <v>1.0000100000000001</v>
          </cell>
          <cell r="S959">
            <v>-1.0000000000065512E-5</v>
          </cell>
        </row>
        <row r="960">
          <cell r="E960" t="str">
            <v>DE49</v>
          </cell>
          <cell r="F960">
            <v>1</v>
          </cell>
          <cell r="G960">
            <v>0.42563000000000001</v>
          </cell>
          <cell r="H960">
            <v>0.29388999999999998</v>
          </cell>
          <cell r="I960">
            <v>1.2600000000000001E-3</v>
          </cell>
          <cell r="J960">
            <v>5.64E-3</v>
          </cell>
          <cell r="K960">
            <v>6.9999999999999994E-5</v>
          </cell>
          <cell r="L960">
            <v>0.12984999999999999</v>
          </cell>
          <cell r="M960">
            <v>0.10464</v>
          </cell>
          <cell r="N960">
            <v>1.41E-3</v>
          </cell>
          <cell r="O960">
            <v>3.4599999999999999E-2</v>
          </cell>
          <cell r="P960">
            <v>0</v>
          </cell>
          <cell r="Q960">
            <v>3.0000000000000001E-3</v>
          </cell>
          <cell r="R960">
            <v>0.99998999999999993</v>
          </cell>
          <cell r="S960">
            <v>1.0000000000065512E-5</v>
          </cell>
        </row>
        <row r="963">
          <cell r="E963" t="str">
            <v>L529</v>
          </cell>
          <cell r="F963">
            <v>1</v>
          </cell>
          <cell r="G963">
            <v>0.42559000000000002</v>
          </cell>
          <cell r="H963">
            <v>0.29391</v>
          </cell>
          <cell r="I963">
            <v>1.2600000000000001E-3</v>
          </cell>
          <cell r="J963">
            <v>5.64E-3</v>
          </cell>
          <cell r="K963">
            <v>6.9999999999999994E-5</v>
          </cell>
          <cell r="L963">
            <v>0.12986</v>
          </cell>
          <cell r="M963">
            <v>0.10465000000000001</v>
          </cell>
          <cell r="N963">
            <v>1.41E-3</v>
          </cell>
          <cell r="O963">
            <v>3.4610000000000002E-2</v>
          </cell>
          <cell r="P963">
            <v>0</v>
          </cell>
          <cell r="Q963">
            <v>3.0000000000000001E-3</v>
          </cell>
          <cell r="R963">
            <v>1</v>
          </cell>
          <cell r="S963">
            <v>0</v>
          </cell>
        </row>
        <row r="964">
          <cell r="E964" t="str">
            <v>L589</v>
          </cell>
          <cell r="F964">
            <v>1</v>
          </cell>
          <cell r="G964">
            <v>0.99350000000000005</v>
          </cell>
          <cell r="H964">
            <v>3.3300000000000001E-3</v>
          </cell>
          <cell r="I964">
            <v>1.0000000000000001E-5</v>
          </cell>
          <cell r="J964">
            <v>6.0000000000000002E-5</v>
          </cell>
          <cell r="K964">
            <v>0</v>
          </cell>
          <cell r="L964">
            <v>1.47E-3</v>
          </cell>
          <cell r="M964">
            <v>1.1900000000000001E-3</v>
          </cell>
          <cell r="N964">
            <v>2.0000000000000002E-5</v>
          </cell>
          <cell r="O964">
            <v>3.8999999999999999E-4</v>
          </cell>
          <cell r="P964">
            <v>0</v>
          </cell>
          <cell r="Q964">
            <v>3.0000000000000001E-5</v>
          </cell>
          <cell r="R964">
            <v>1</v>
          </cell>
          <cell r="S964">
            <v>0</v>
          </cell>
        </row>
        <row r="965">
          <cell r="E965" t="str">
            <v>L599</v>
          </cell>
          <cell r="F965">
            <v>1</v>
          </cell>
          <cell r="G965">
            <v>0.47699999999999998</v>
          </cell>
          <cell r="H965">
            <v>0.2676</v>
          </cell>
          <cell r="I965">
            <v>1.15E-3</v>
          </cell>
          <cell r="J965">
            <v>5.13E-3</v>
          </cell>
          <cell r="K965">
            <v>6.0000000000000002E-5</v>
          </cell>
          <cell r="L965">
            <v>0.11824</v>
          </cell>
          <cell r="M965">
            <v>9.5259999999999997E-2</v>
          </cell>
          <cell r="N965">
            <v>1.2899999999999999E-3</v>
          </cell>
          <cell r="O965">
            <v>3.1510000000000003E-2</v>
          </cell>
          <cell r="P965">
            <v>3.0000000000000001E-5</v>
          </cell>
          <cell r="Q965">
            <v>2.7299999999999998E-3</v>
          </cell>
          <cell r="R965">
            <v>0.99999999999999989</v>
          </cell>
          <cell r="S965">
            <v>0</v>
          </cell>
        </row>
        <row r="966">
          <cell r="E966" t="str">
            <v>OP69</v>
          </cell>
          <cell r="F966">
            <v>1</v>
          </cell>
          <cell r="G966">
            <v>0.5272</v>
          </cell>
          <cell r="H966">
            <v>0.24192</v>
          </cell>
          <cell r="I966">
            <v>1.0399999999999999E-3</v>
          </cell>
          <cell r="J966">
            <v>4.64E-3</v>
          </cell>
          <cell r="K966">
            <v>6.0000000000000002E-5</v>
          </cell>
          <cell r="L966">
            <v>0.10689</v>
          </cell>
          <cell r="M966">
            <v>8.6129999999999998E-2</v>
          </cell>
          <cell r="N966">
            <v>1.16E-3</v>
          </cell>
          <cell r="O966">
            <v>2.8479999999999998E-2</v>
          </cell>
          <cell r="P966">
            <v>0</v>
          </cell>
          <cell r="Q966">
            <v>2.47E-3</v>
          </cell>
          <cell r="R966">
            <v>0.99999000000000005</v>
          </cell>
          <cell r="S966">
            <v>9.9999999999544897E-6</v>
          </cell>
        </row>
        <row r="969">
          <cell r="E969" t="str">
            <v>CS09</v>
          </cell>
          <cell r="F969">
            <v>1</v>
          </cell>
          <cell r="G969">
            <v>0.48833099699999999</v>
          </cell>
          <cell r="H969">
            <v>0.26181098400000002</v>
          </cell>
          <cell r="I969">
            <v>1.122718E-3</v>
          </cell>
          <cell r="J969">
            <v>5.0260210000000003E-3</v>
          </cell>
          <cell r="K969">
            <v>6.2605000000000001E-5</v>
          </cell>
          <cell r="L969">
            <v>0.115673869</v>
          </cell>
          <cell r="M969">
            <v>9.3213222999999998E-2</v>
          </cell>
          <cell r="N969">
            <v>1.2567189999999999E-3</v>
          </cell>
          <cell r="O969">
            <v>3.0827166E-2</v>
          </cell>
          <cell r="P969">
            <v>1.7570000000000001E-6</v>
          </cell>
          <cell r="Q969">
            <v>2.673941E-3</v>
          </cell>
          <cell r="R969">
            <v>1.0000000000000002</v>
          </cell>
          <cell r="S969">
            <v>0</v>
          </cell>
        </row>
      </sheetData>
      <sheetData sheetId="7">
        <row r="24">
          <cell r="H24">
            <v>0</v>
          </cell>
        </row>
        <row r="33">
          <cell r="H33">
            <v>38787354</v>
          </cell>
        </row>
        <row r="42">
          <cell r="H42">
            <v>57624614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0</v>
          </cell>
        </row>
        <row r="101">
          <cell r="H101">
            <v>9241630</v>
          </cell>
        </row>
        <row r="102">
          <cell r="H102">
            <v>0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H105">
            <v>0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0</v>
          </cell>
        </row>
        <row r="113">
          <cell r="H113">
            <v>3100655</v>
          </cell>
        </row>
        <row r="114">
          <cell r="H114">
            <v>0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H117">
            <v>0</v>
          </cell>
        </row>
        <row r="118">
          <cell r="H118">
            <v>0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42">
          <cell r="H142">
            <v>0</v>
          </cell>
        </row>
        <row r="143">
          <cell r="H143">
            <v>0</v>
          </cell>
        </row>
        <row r="144">
          <cell r="H144">
            <v>0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0</v>
          </cell>
        </row>
        <row r="156">
          <cell r="H156">
            <v>0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67">
          <cell r="H167">
            <v>0</v>
          </cell>
        </row>
        <row r="168">
          <cell r="H168">
            <v>0</v>
          </cell>
        </row>
        <row r="169">
          <cell r="H169">
            <v>0</v>
          </cell>
        </row>
        <row r="170">
          <cell r="H170">
            <v>0</v>
          </cell>
        </row>
        <row r="177">
          <cell r="H177">
            <v>0</v>
          </cell>
        </row>
        <row r="178">
          <cell r="H178">
            <v>3150165</v>
          </cell>
        </row>
        <row r="179">
          <cell r="H179">
            <v>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4">
          <cell r="H184">
            <v>0</v>
          </cell>
        </row>
        <row r="185">
          <cell r="H185">
            <v>5485</v>
          </cell>
        </row>
        <row r="189">
          <cell r="H189">
            <v>0</v>
          </cell>
        </row>
        <row r="190">
          <cell r="H190">
            <v>1635666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16790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1102541</v>
          </cell>
        </row>
        <row r="304">
          <cell r="H304">
            <v>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226019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1007130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66854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1238370</v>
          </cell>
        </row>
        <row r="396">
          <cell r="H396">
            <v>4726683</v>
          </cell>
        </row>
        <row r="397">
          <cell r="H397">
            <v>0</v>
          </cell>
        </row>
        <row r="402">
          <cell r="H402">
            <v>3118</v>
          </cell>
        </row>
        <row r="403">
          <cell r="H403">
            <v>0</v>
          </cell>
        </row>
        <row r="404">
          <cell r="H404">
            <v>461587</v>
          </cell>
        </row>
        <row r="407">
          <cell r="H407">
            <v>0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13708259</v>
          </cell>
        </row>
        <row r="447">
          <cell r="H447">
            <v>0</v>
          </cell>
        </row>
        <row r="448">
          <cell r="H448">
            <v>46319330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14222954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0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0</v>
          </cell>
        </row>
        <row r="473">
          <cell r="H473">
            <v>0</v>
          </cell>
        </row>
        <row r="474">
          <cell r="H474">
            <v>0</v>
          </cell>
        </row>
        <row r="475">
          <cell r="H475">
            <v>0</v>
          </cell>
        </row>
        <row r="476">
          <cell r="H476">
            <v>0</v>
          </cell>
        </row>
        <row r="477">
          <cell r="H477">
            <v>0</v>
          </cell>
        </row>
        <row r="478">
          <cell r="H478">
            <v>0</v>
          </cell>
        </row>
        <row r="479">
          <cell r="H479">
            <v>0</v>
          </cell>
        </row>
        <row r="480">
          <cell r="H480">
            <v>0</v>
          </cell>
        </row>
        <row r="481">
          <cell r="H481">
            <v>0</v>
          </cell>
        </row>
        <row r="482">
          <cell r="H482">
            <v>0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0</v>
          </cell>
        </row>
        <row r="486">
          <cell r="H486">
            <v>0</v>
          </cell>
        </row>
        <row r="487">
          <cell r="H487">
            <v>0</v>
          </cell>
        </row>
        <row r="488">
          <cell r="H488">
            <v>0</v>
          </cell>
        </row>
        <row r="489">
          <cell r="H489">
            <v>0</v>
          </cell>
        </row>
        <row r="490">
          <cell r="H490">
            <v>0</v>
          </cell>
        </row>
        <row r="491">
          <cell r="H491">
            <v>0</v>
          </cell>
        </row>
        <row r="495">
          <cell r="H495">
            <v>0</v>
          </cell>
        </row>
        <row r="496">
          <cell r="H496">
            <v>0</v>
          </cell>
        </row>
        <row r="497">
          <cell r="H497">
            <v>0</v>
          </cell>
        </row>
        <row r="498">
          <cell r="H498">
            <v>0</v>
          </cell>
        </row>
        <row r="499">
          <cell r="H499">
            <v>0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0</v>
          </cell>
        </row>
        <row r="516">
          <cell r="H516">
            <v>0</v>
          </cell>
        </row>
        <row r="517">
          <cell r="H517">
            <v>0</v>
          </cell>
        </row>
        <row r="521">
          <cell r="H521">
            <v>0</v>
          </cell>
        </row>
        <row r="525">
          <cell r="H525">
            <v>0</v>
          </cell>
        </row>
        <row r="526">
          <cell r="H526">
            <v>3383770</v>
          </cell>
        </row>
        <row r="527">
          <cell r="H527">
            <v>0</v>
          </cell>
        </row>
        <row r="528">
          <cell r="H528">
            <v>0</v>
          </cell>
        </row>
        <row r="529">
          <cell r="H529">
            <v>0</v>
          </cell>
        </row>
        <row r="530">
          <cell r="H530">
            <v>0</v>
          </cell>
        </row>
        <row r="531">
          <cell r="H531">
            <v>0</v>
          </cell>
        </row>
        <row r="533">
          <cell r="H533">
            <v>15147</v>
          </cell>
        </row>
        <row r="534">
          <cell r="H534">
            <v>0</v>
          </cell>
        </row>
        <row r="535">
          <cell r="H535">
            <v>-166160</v>
          </cell>
        </row>
        <row r="536">
          <cell r="H536">
            <v>-26155</v>
          </cell>
        </row>
        <row r="537">
          <cell r="H537">
            <v>0</v>
          </cell>
        </row>
        <row r="538">
          <cell r="H538">
            <v>-45907</v>
          </cell>
        </row>
        <row r="539">
          <cell r="H539">
            <v>-74304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-200010</v>
          </cell>
        </row>
        <row r="543">
          <cell r="H543">
            <v>64975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110258</v>
          </cell>
        </row>
        <row r="562">
          <cell r="H562">
            <v>0</v>
          </cell>
        </row>
        <row r="566">
          <cell r="H566">
            <v>0</v>
          </cell>
        </row>
        <row r="570">
          <cell r="H570">
            <v>0</v>
          </cell>
        </row>
        <row r="574">
          <cell r="H574">
            <v>791644</v>
          </cell>
        </row>
        <row r="578">
          <cell r="H578">
            <v>33496</v>
          </cell>
        </row>
        <row r="596">
          <cell r="H596">
            <v>83769</v>
          </cell>
        </row>
        <row r="597">
          <cell r="H597">
            <v>0</v>
          </cell>
        </row>
        <row r="601">
          <cell r="H601">
            <v>163925</v>
          </cell>
        </row>
        <row r="602">
          <cell r="H602">
            <v>-6393</v>
          </cell>
        </row>
        <row r="603">
          <cell r="H603">
            <v>-8665</v>
          </cell>
        </row>
        <row r="604">
          <cell r="H604">
            <v>14050</v>
          </cell>
        </row>
        <row r="608">
          <cell r="H608">
            <v>8726</v>
          </cell>
        </row>
        <row r="609">
          <cell r="H609">
            <v>0</v>
          </cell>
        </row>
        <row r="632">
          <cell r="H632">
            <v>308037</v>
          </cell>
        </row>
        <row r="636">
          <cell r="H636">
            <v>-169086</v>
          </cell>
        </row>
        <row r="637">
          <cell r="H637">
            <v>-12496</v>
          </cell>
        </row>
        <row r="638">
          <cell r="H638">
            <v>285705</v>
          </cell>
        </row>
        <row r="644">
          <cell r="H644">
            <v>508398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0</v>
          </cell>
        </row>
        <row r="648">
          <cell r="H648">
            <v>-158324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74">
          <cell r="H674">
            <v>295205</v>
          </cell>
        </row>
        <row r="694">
          <cell r="H694">
            <v>58485</v>
          </cell>
        </row>
        <row r="695">
          <cell r="H695">
            <v>0</v>
          </cell>
        </row>
        <row r="700">
          <cell r="H700">
            <v>80345</v>
          </cell>
        </row>
        <row r="704">
          <cell r="H704">
            <v>-121</v>
          </cell>
        </row>
        <row r="742">
          <cell r="H742">
            <v>0</v>
          </cell>
        </row>
        <row r="743">
          <cell r="H743">
            <v>0</v>
          </cell>
        </row>
        <row r="744">
          <cell r="H744">
            <v>0</v>
          </cell>
        </row>
        <row r="745">
          <cell r="H745">
            <v>0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0</v>
          </cell>
        </row>
        <row r="761">
          <cell r="H761">
            <v>0</v>
          </cell>
        </row>
        <row r="772">
          <cell r="H772">
            <v>38787354</v>
          </cell>
        </row>
        <row r="830">
          <cell r="F830">
            <v>648083</v>
          </cell>
          <cell r="G830">
            <v>275875</v>
          </cell>
          <cell r="H830">
            <v>190449</v>
          </cell>
          <cell r="I830">
            <v>819</v>
          </cell>
          <cell r="J830">
            <v>3656</v>
          </cell>
          <cell r="K830">
            <v>44</v>
          </cell>
          <cell r="L830">
            <v>84146</v>
          </cell>
          <cell r="M830">
            <v>67809</v>
          </cell>
          <cell r="N830">
            <v>917</v>
          </cell>
          <cell r="O830">
            <v>22422</v>
          </cell>
          <cell r="P830">
            <v>0</v>
          </cell>
          <cell r="Q830">
            <v>1946</v>
          </cell>
          <cell r="R830">
            <v>648083</v>
          </cell>
          <cell r="S830">
            <v>0</v>
          </cell>
        </row>
        <row r="831">
          <cell r="E831" t="str">
            <v>K201</v>
          </cell>
          <cell r="F831">
            <v>1</v>
          </cell>
          <cell r="G831">
            <v>0.42568000000000006</v>
          </cell>
          <cell r="H831">
            <v>0.29387000000000002</v>
          </cell>
          <cell r="I831">
            <v>1.2600000000000001E-3</v>
          </cell>
          <cell r="J831">
            <v>5.64E-3</v>
          </cell>
          <cell r="K831">
            <v>6.9999999999999994E-5</v>
          </cell>
          <cell r="L831">
            <v>0.12984000000000001</v>
          </cell>
          <cell r="M831">
            <v>0.10463</v>
          </cell>
          <cell r="N831">
            <v>1.41E-3</v>
          </cell>
          <cell r="O831">
            <v>3.4599999999999999E-2</v>
          </cell>
          <cell r="P831">
            <v>0</v>
          </cell>
          <cell r="Q831">
            <v>3.0000000000000001E-3</v>
          </cell>
          <cell r="R831">
            <v>1.0000000000000002</v>
          </cell>
          <cell r="S831">
            <v>0</v>
          </cell>
        </row>
        <row r="832">
          <cell r="F832">
            <v>648083</v>
          </cell>
          <cell r="G832">
            <v>275875</v>
          </cell>
          <cell r="H832">
            <v>190449</v>
          </cell>
          <cell r="I832">
            <v>819</v>
          </cell>
          <cell r="J832">
            <v>3656</v>
          </cell>
          <cell r="K832">
            <v>44</v>
          </cell>
          <cell r="L832">
            <v>84146</v>
          </cell>
          <cell r="M832">
            <v>67809</v>
          </cell>
          <cell r="N832">
            <v>917</v>
          </cell>
          <cell r="O832">
            <v>22422</v>
          </cell>
          <cell r="P832">
            <v>0</v>
          </cell>
          <cell r="Q832">
            <v>1946</v>
          </cell>
          <cell r="R832">
            <v>648083</v>
          </cell>
          <cell r="S832">
            <v>0</v>
          </cell>
        </row>
        <row r="833">
          <cell r="E833" t="str">
            <v>K202</v>
          </cell>
          <cell r="F833">
            <v>1</v>
          </cell>
          <cell r="G833">
            <v>0.42568000000000006</v>
          </cell>
          <cell r="H833">
            <v>0.29387000000000002</v>
          </cell>
          <cell r="I833">
            <v>1.2600000000000001E-3</v>
          </cell>
          <cell r="J833">
            <v>5.64E-3</v>
          </cell>
          <cell r="K833">
            <v>6.9999999999999994E-5</v>
          </cell>
          <cell r="L833">
            <v>0.12984000000000001</v>
          </cell>
          <cell r="M833">
            <v>0.10463</v>
          </cell>
          <cell r="N833">
            <v>1.41E-3</v>
          </cell>
          <cell r="O833">
            <v>3.4599999999999999E-2</v>
          </cell>
          <cell r="P833">
            <v>0</v>
          </cell>
          <cell r="Q833">
            <v>3.0000000000000001E-3</v>
          </cell>
          <cell r="R833">
            <v>1.0000000000000002</v>
          </cell>
          <cell r="S833">
            <v>0</v>
          </cell>
        </row>
        <row r="834">
          <cell r="F834">
            <v>1647331</v>
          </cell>
          <cell r="G834">
            <v>1006247</v>
          </cell>
          <cell r="H834">
            <v>345716</v>
          </cell>
          <cell r="I834">
            <v>1108</v>
          </cell>
          <cell r="J834">
            <v>13538</v>
          </cell>
          <cell r="K834">
            <v>107</v>
          </cell>
          <cell r="L834">
            <v>117501</v>
          </cell>
          <cell r="M834">
            <v>94629</v>
          </cell>
          <cell r="N834">
            <v>6558</v>
          </cell>
          <cell r="O834">
            <v>52159</v>
          </cell>
          <cell r="P834">
            <v>6010</v>
          </cell>
          <cell r="Q834">
            <v>3758</v>
          </cell>
          <cell r="R834">
            <v>1647331</v>
          </cell>
          <cell r="S834">
            <v>0</v>
          </cell>
        </row>
        <row r="835">
          <cell r="E835" t="str">
            <v>K203</v>
          </cell>
          <cell r="F835">
            <v>1</v>
          </cell>
          <cell r="G835">
            <v>0.61085</v>
          </cell>
          <cell r="H835">
            <v>0.20985999999999999</v>
          </cell>
          <cell r="I835">
            <v>6.7000000000000002E-4</v>
          </cell>
          <cell r="J835">
            <v>8.2199999999999999E-3</v>
          </cell>
          <cell r="K835">
            <v>6.0000000000000002E-5</v>
          </cell>
          <cell r="L835">
            <v>7.1330000000000005E-2</v>
          </cell>
          <cell r="M835">
            <v>5.7439999999999998E-2</v>
          </cell>
          <cell r="N835">
            <v>3.98E-3</v>
          </cell>
          <cell r="O835">
            <v>3.1660000000000001E-2</v>
          </cell>
          <cell r="P835">
            <v>3.65E-3</v>
          </cell>
          <cell r="Q835">
            <v>2.2799999999999999E-3</v>
          </cell>
          <cell r="R835">
            <v>1</v>
          </cell>
          <cell r="S835">
            <v>0</v>
          </cell>
        </row>
        <row r="836">
          <cell r="F836">
            <v>708591</v>
          </cell>
          <cell r="G836">
            <v>315144</v>
          </cell>
          <cell r="H836">
            <v>219094</v>
          </cell>
          <cell r="I836">
            <v>924</v>
          </cell>
          <cell r="J836">
            <v>4810</v>
          </cell>
          <cell r="K836">
            <v>51</v>
          </cell>
          <cell r="L836">
            <v>88885</v>
          </cell>
          <cell r="M836">
            <v>71748</v>
          </cell>
          <cell r="N836">
            <v>939</v>
          </cell>
          <cell r="O836">
            <v>0</v>
          </cell>
          <cell r="P836">
            <v>4747</v>
          </cell>
          <cell r="Q836">
            <v>2249</v>
          </cell>
          <cell r="R836">
            <v>708591</v>
          </cell>
          <cell r="S836">
            <v>0</v>
          </cell>
        </row>
        <row r="837">
          <cell r="E837" t="str">
            <v>K205</v>
          </cell>
          <cell r="F837">
            <v>1</v>
          </cell>
          <cell r="G837">
            <v>0.44474999999999987</v>
          </cell>
          <cell r="H837">
            <v>0.30919999999999997</v>
          </cell>
          <cell r="I837">
            <v>1.2999999999999999E-3</v>
          </cell>
          <cell r="J837">
            <v>6.79E-3</v>
          </cell>
          <cell r="K837">
            <v>6.9999999999999994E-5</v>
          </cell>
          <cell r="L837">
            <v>0.12544</v>
          </cell>
          <cell r="M837">
            <v>0.10125000000000001</v>
          </cell>
          <cell r="N837">
            <v>1.33E-3</v>
          </cell>
          <cell r="O837">
            <v>0</v>
          </cell>
          <cell r="P837">
            <v>6.7000000000000002E-3</v>
          </cell>
          <cell r="Q837">
            <v>3.1700000000000001E-3</v>
          </cell>
          <cell r="R837">
            <v>1</v>
          </cell>
          <cell r="S837">
            <v>0</v>
          </cell>
        </row>
        <row r="838">
          <cell r="F838">
            <v>708591</v>
          </cell>
          <cell r="G838">
            <v>315144</v>
          </cell>
          <cell r="H838">
            <v>219094</v>
          </cell>
          <cell r="I838">
            <v>924</v>
          </cell>
          <cell r="J838">
            <v>4810</v>
          </cell>
          <cell r="K838">
            <v>51</v>
          </cell>
          <cell r="L838">
            <v>88885</v>
          </cell>
          <cell r="M838">
            <v>71748</v>
          </cell>
          <cell r="N838">
            <v>939</v>
          </cell>
          <cell r="O838">
            <v>0</v>
          </cell>
          <cell r="P838">
            <v>4747</v>
          </cell>
          <cell r="Q838">
            <v>2249</v>
          </cell>
          <cell r="R838">
            <v>708591</v>
          </cell>
          <cell r="S838">
            <v>0</v>
          </cell>
        </row>
        <row r="839">
          <cell r="E839" t="str">
            <v>K206</v>
          </cell>
          <cell r="F839">
            <v>1</v>
          </cell>
          <cell r="G839">
            <v>0.44474999999999987</v>
          </cell>
          <cell r="H839">
            <v>0.30919999999999997</v>
          </cell>
          <cell r="I839">
            <v>1.2999999999999999E-3</v>
          </cell>
          <cell r="J839">
            <v>6.79E-3</v>
          </cell>
          <cell r="K839">
            <v>6.9999999999999994E-5</v>
          </cell>
          <cell r="L839">
            <v>0.12544</v>
          </cell>
          <cell r="M839">
            <v>0.10125000000000001</v>
          </cell>
          <cell r="N839">
            <v>1.33E-3</v>
          </cell>
          <cell r="O839">
            <v>0</v>
          </cell>
          <cell r="P839">
            <v>6.7000000000000002E-3</v>
          </cell>
          <cell r="Q839">
            <v>3.1700000000000001E-3</v>
          </cell>
          <cell r="R839">
            <v>1</v>
          </cell>
          <cell r="S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E841" t="str">
            <v>K209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F842">
            <v>708591</v>
          </cell>
          <cell r="G842">
            <v>315144</v>
          </cell>
          <cell r="H842">
            <v>219094</v>
          </cell>
          <cell r="I842">
            <v>924</v>
          </cell>
          <cell r="J842">
            <v>4810</v>
          </cell>
          <cell r="K842">
            <v>51</v>
          </cell>
          <cell r="L842">
            <v>88885</v>
          </cell>
          <cell r="M842">
            <v>71748</v>
          </cell>
          <cell r="N842">
            <v>939</v>
          </cell>
          <cell r="O842">
            <v>0</v>
          </cell>
          <cell r="P842">
            <v>4747</v>
          </cell>
          <cell r="Q842">
            <v>2249</v>
          </cell>
          <cell r="R842">
            <v>708591</v>
          </cell>
          <cell r="S842">
            <v>0</v>
          </cell>
        </row>
        <row r="843">
          <cell r="E843" t="str">
            <v>K215</v>
          </cell>
          <cell r="F843">
            <v>1</v>
          </cell>
          <cell r="G843">
            <v>0.44474999999999987</v>
          </cell>
          <cell r="H843">
            <v>0.30919999999999997</v>
          </cell>
          <cell r="I843">
            <v>1.2999999999999999E-3</v>
          </cell>
          <cell r="J843">
            <v>6.79E-3</v>
          </cell>
          <cell r="K843">
            <v>6.9999999999999994E-5</v>
          </cell>
          <cell r="L843">
            <v>0.12544</v>
          </cell>
          <cell r="M843">
            <v>0.10125000000000001</v>
          </cell>
          <cell r="N843">
            <v>1.33E-3</v>
          </cell>
          <cell r="O843">
            <v>0</v>
          </cell>
          <cell r="P843">
            <v>6.7000000000000002E-3</v>
          </cell>
          <cell r="Q843">
            <v>3.1700000000000001E-3</v>
          </cell>
          <cell r="R843">
            <v>1</v>
          </cell>
          <cell r="S843">
            <v>0</v>
          </cell>
        </row>
        <row r="844">
          <cell r="F844">
            <v>165672</v>
          </cell>
          <cell r="G844">
            <v>137520</v>
          </cell>
          <cell r="H844">
            <v>24512</v>
          </cell>
          <cell r="I844">
            <v>46</v>
          </cell>
          <cell r="J844">
            <v>264</v>
          </cell>
          <cell r="K844">
            <v>12</v>
          </cell>
          <cell r="L844">
            <v>342</v>
          </cell>
          <cell r="M844">
            <v>105</v>
          </cell>
          <cell r="N844">
            <v>30</v>
          </cell>
          <cell r="O844">
            <v>36</v>
          </cell>
          <cell r="P844">
            <v>2792</v>
          </cell>
          <cell r="Q844">
            <v>3</v>
          </cell>
          <cell r="R844">
            <v>165662</v>
          </cell>
          <cell r="S844">
            <v>10</v>
          </cell>
        </row>
        <row r="845">
          <cell r="E845" t="str">
            <v>K217</v>
          </cell>
          <cell r="F845">
            <v>1</v>
          </cell>
          <cell r="G845">
            <v>0.83006999999999997</v>
          </cell>
          <cell r="H845">
            <v>0.14795</v>
          </cell>
          <cell r="I845">
            <v>2.7999999999999998E-4</v>
          </cell>
          <cell r="J845">
            <v>1.5900000000000001E-3</v>
          </cell>
          <cell r="K845">
            <v>6.9999999999999994E-5</v>
          </cell>
          <cell r="L845">
            <v>2.0600000000000002E-3</v>
          </cell>
          <cell r="M845">
            <v>6.3000000000000003E-4</v>
          </cell>
          <cell r="N845">
            <v>1.8000000000000001E-4</v>
          </cell>
          <cell r="O845">
            <v>2.2000000000000001E-4</v>
          </cell>
          <cell r="P845">
            <v>1.685E-2</v>
          </cell>
          <cell r="Q845">
            <v>2.0000000000000002E-5</v>
          </cell>
          <cell r="R845">
            <v>0.99991999999999992</v>
          </cell>
          <cell r="S845">
            <v>8.0000000000080007E-5</v>
          </cell>
        </row>
        <row r="846">
          <cell r="F846">
            <v>4101134214.1489997</v>
          </cell>
          <cell r="G846">
            <v>1470196498.845</v>
          </cell>
          <cell r="H846">
            <v>1255081996.2449999</v>
          </cell>
          <cell r="I846">
            <v>6350133.8709999984</v>
          </cell>
          <cell r="J846">
            <v>19355665.91</v>
          </cell>
          <cell r="K846">
            <v>288048</v>
          </cell>
          <cell r="L846">
            <v>610848200.07483399</v>
          </cell>
          <cell r="M846">
            <v>509222309.26616597</v>
          </cell>
          <cell r="N846">
            <v>5979794.5269999998</v>
          </cell>
          <cell r="O846">
            <v>191982350.88400003</v>
          </cell>
          <cell r="P846">
            <v>18971771.526000001</v>
          </cell>
          <cell r="Q846">
            <v>12857445</v>
          </cell>
          <cell r="R846">
            <v>4101134214.1489997</v>
          </cell>
          <cell r="S846">
            <v>0</v>
          </cell>
        </row>
        <row r="847">
          <cell r="E847" t="str">
            <v>K301</v>
          </cell>
          <cell r="F847">
            <v>1</v>
          </cell>
          <cell r="G847">
            <v>0.35846999999999984</v>
          </cell>
          <cell r="H847">
            <v>0.30603000000000002</v>
          </cell>
          <cell r="I847">
            <v>1.5499999999999999E-3</v>
          </cell>
          <cell r="J847">
            <v>4.7200000000000002E-3</v>
          </cell>
          <cell r="K847">
            <v>6.9999999999999994E-5</v>
          </cell>
          <cell r="L847">
            <v>0.14895</v>
          </cell>
          <cell r="M847">
            <v>0.12417</v>
          </cell>
          <cell r="N847">
            <v>1.4599999999999999E-3</v>
          </cell>
          <cell r="O847">
            <v>4.6809999999999997E-2</v>
          </cell>
          <cell r="P847">
            <v>4.6299999999999996E-3</v>
          </cell>
          <cell r="Q847">
            <v>3.14E-3</v>
          </cell>
          <cell r="R847">
            <v>1</v>
          </cell>
          <cell r="S847">
            <v>0</v>
          </cell>
        </row>
        <row r="848">
          <cell r="F848">
            <v>4101134214.1489997</v>
          </cell>
          <cell r="G848">
            <v>1470196498.845</v>
          </cell>
          <cell r="H848">
            <v>1255081996.2449999</v>
          </cell>
          <cell r="I848">
            <v>6350133.8709999984</v>
          </cell>
          <cell r="J848">
            <v>19355665.91</v>
          </cell>
          <cell r="K848">
            <v>288048</v>
          </cell>
          <cell r="L848">
            <v>610848200.07483399</v>
          </cell>
          <cell r="M848">
            <v>509222309.26616597</v>
          </cell>
          <cell r="N848">
            <v>5979794.5269999998</v>
          </cell>
          <cell r="O848">
            <v>179959630.88400003</v>
          </cell>
          <cell r="P848">
            <v>18971771.526000001</v>
          </cell>
          <cell r="Q848">
            <v>12857445</v>
          </cell>
          <cell r="R848">
            <v>4089111494.1489997</v>
          </cell>
          <cell r="S848">
            <v>12022720</v>
          </cell>
        </row>
        <row r="849">
          <cell r="E849" t="str">
            <v>K303</v>
          </cell>
          <cell r="F849">
            <v>1</v>
          </cell>
          <cell r="G849">
            <v>0.35848999999999998</v>
          </cell>
          <cell r="H849">
            <v>0.30603000000000002</v>
          </cell>
          <cell r="I849">
            <v>1.5499999999999999E-3</v>
          </cell>
          <cell r="J849">
            <v>4.7200000000000002E-3</v>
          </cell>
          <cell r="K849">
            <v>6.9999999999999994E-5</v>
          </cell>
          <cell r="L849">
            <v>0.14895</v>
          </cell>
          <cell r="M849">
            <v>0.12417</v>
          </cell>
          <cell r="N849">
            <v>1.4599999999999999E-3</v>
          </cell>
          <cell r="O849">
            <v>4.3880000000000002E-2</v>
          </cell>
          <cell r="P849">
            <v>4.6299999999999996E-3</v>
          </cell>
          <cell r="Q849">
            <v>3.14E-3</v>
          </cell>
          <cell r="R849">
            <v>0.99709000000000014</v>
          </cell>
          <cell r="S849">
            <v>2.9099999999998571E-3</v>
          </cell>
        </row>
        <row r="850">
          <cell r="F850">
            <v>4082162442.6229997</v>
          </cell>
          <cell r="G850">
            <v>1470196498.845</v>
          </cell>
          <cell r="H850">
            <v>1255081996.2449999</v>
          </cell>
          <cell r="I850">
            <v>6350133.8709999984</v>
          </cell>
          <cell r="J850">
            <v>19355665.91</v>
          </cell>
          <cell r="K850">
            <v>288048</v>
          </cell>
          <cell r="L850">
            <v>610848200.07483399</v>
          </cell>
          <cell r="M850">
            <v>509222309.26616597</v>
          </cell>
          <cell r="N850">
            <v>5979794.5269999998</v>
          </cell>
          <cell r="O850">
            <v>191982350.88400003</v>
          </cell>
          <cell r="P850">
            <v>0</v>
          </cell>
          <cell r="Q850">
            <v>12857445</v>
          </cell>
          <cell r="R850">
            <v>4082162442.6229997</v>
          </cell>
          <cell r="S850">
            <v>0</v>
          </cell>
        </row>
        <row r="851">
          <cell r="E851" t="str">
            <v>K305</v>
          </cell>
          <cell r="F851">
            <v>1</v>
          </cell>
          <cell r="G851">
            <v>0.36014999999999997</v>
          </cell>
          <cell r="H851">
            <v>0.30746000000000001</v>
          </cell>
          <cell r="I851">
            <v>1.56E-3</v>
          </cell>
          <cell r="J851">
            <v>4.7400000000000003E-3</v>
          </cell>
          <cell r="K851">
            <v>6.9999999999999994E-5</v>
          </cell>
          <cell r="L851">
            <v>0.14964</v>
          </cell>
          <cell r="M851">
            <v>0.12474</v>
          </cell>
          <cell r="N851">
            <v>1.4599999999999999E-3</v>
          </cell>
          <cell r="O851">
            <v>4.7030000000000002E-2</v>
          </cell>
          <cell r="P851">
            <v>0</v>
          </cell>
          <cell r="Q851">
            <v>3.15E-3</v>
          </cell>
          <cell r="R851">
            <v>1</v>
          </cell>
          <cell r="S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0</v>
          </cell>
          <cell r="R854">
            <v>1</v>
          </cell>
          <cell r="S854">
            <v>0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0</v>
          </cell>
        </row>
        <row r="856">
          <cell r="F856">
            <v>152867</v>
          </cell>
          <cell r="G856">
            <v>137520</v>
          </cell>
          <cell r="H856">
            <v>12257</v>
          </cell>
          <cell r="I856">
            <v>23</v>
          </cell>
          <cell r="J856">
            <v>88</v>
          </cell>
          <cell r="K856">
            <v>12</v>
          </cell>
          <cell r="L856">
            <v>115</v>
          </cell>
          <cell r="M856">
            <v>35</v>
          </cell>
          <cell r="N856">
            <v>10</v>
          </cell>
          <cell r="O856">
            <v>12</v>
          </cell>
          <cell r="P856">
            <v>2792</v>
          </cell>
          <cell r="Q856">
            <v>1</v>
          </cell>
          <cell r="R856">
            <v>152865</v>
          </cell>
          <cell r="S856">
            <v>2</v>
          </cell>
        </row>
        <row r="857">
          <cell r="E857" t="str">
            <v>K405</v>
          </cell>
          <cell r="F857">
            <v>1</v>
          </cell>
          <cell r="G857">
            <v>0.89961000000000002</v>
          </cell>
          <cell r="H857">
            <v>8.0180000000000001E-2</v>
          </cell>
          <cell r="I857">
            <v>1.4999999999999999E-4</v>
          </cell>
          <cell r="J857">
            <v>5.8E-4</v>
          </cell>
          <cell r="K857">
            <v>8.0000000000000007E-5</v>
          </cell>
          <cell r="L857">
            <v>7.5000000000000002E-4</v>
          </cell>
          <cell r="M857">
            <v>2.3000000000000001E-4</v>
          </cell>
          <cell r="N857">
            <v>6.9999999999999994E-5</v>
          </cell>
          <cell r="O857">
            <v>8.0000000000000007E-5</v>
          </cell>
          <cell r="P857">
            <v>1.8259999999999998E-2</v>
          </cell>
          <cell r="Q857">
            <v>1.0000000000000001E-5</v>
          </cell>
          <cell r="R857">
            <v>0.99999999999999989</v>
          </cell>
          <cell r="S857">
            <v>0</v>
          </cell>
        </row>
        <row r="858">
          <cell r="F858">
            <v>22486890.793596428</v>
          </cell>
          <cell r="G858">
            <v>19829008.800000001</v>
          </cell>
          <cell r="H858">
            <v>2433684.8645095793</v>
          </cell>
          <cell r="I858">
            <v>0</v>
          </cell>
          <cell r="J858">
            <v>31509.280000000046</v>
          </cell>
          <cell r="K858">
            <v>2448</v>
          </cell>
          <cell r="L858">
            <v>111217.43855421687</v>
          </cell>
          <cell r="M858">
            <v>41635.072972972972</v>
          </cell>
          <cell r="N858">
            <v>20860.366666666669</v>
          </cell>
          <cell r="O858">
            <v>16328.400000000001</v>
          </cell>
          <cell r="P858">
            <v>0</v>
          </cell>
          <cell r="Q858">
            <v>198.5708929919696</v>
          </cell>
          <cell r="R858">
            <v>22486890.793596428</v>
          </cell>
          <cell r="S858">
            <v>0</v>
          </cell>
        </row>
        <row r="859">
          <cell r="E859" t="str">
            <v>K407</v>
          </cell>
          <cell r="F859">
            <v>1</v>
          </cell>
          <cell r="G859">
            <v>0.88178999999999996</v>
          </cell>
          <cell r="H859">
            <v>0.10823000000000001</v>
          </cell>
          <cell r="I859">
            <v>0</v>
          </cell>
          <cell r="J859">
            <v>1.4E-3</v>
          </cell>
          <cell r="K859">
            <v>1.1E-4</v>
          </cell>
          <cell r="L859">
            <v>4.9500000000000004E-3</v>
          </cell>
          <cell r="M859">
            <v>1.8500000000000001E-3</v>
          </cell>
          <cell r="N859">
            <v>9.3000000000000005E-4</v>
          </cell>
          <cell r="O859">
            <v>7.2999999999999996E-4</v>
          </cell>
          <cell r="P859">
            <v>0</v>
          </cell>
          <cell r="Q859">
            <v>1.0000000000000001E-5</v>
          </cell>
          <cell r="R859">
            <v>1</v>
          </cell>
          <cell r="S859">
            <v>0</v>
          </cell>
        </row>
        <row r="860">
          <cell r="F860">
            <v>154110</v>
          </cell>
          <cell r="G860">
            <v>137520</v>
          </cell>
          <cell r="H860">
            <v>12257</v>
          </cell>
          <cell r="I860">
            <v>23</v>
          </cell>
          <cell r="J860">
            <v>176</v>
          </cell>
          <cell r="K860">
            <v>12</v>
          </cell>
          <cell r="L860">
            <v>799</v>
          </cell>
          <cell r="M860">
            <v>280</v>
          </cell>
          <cell r="N860">
            <v>140</v>
          </cell>
          <cell r="O860">
            <v>110</v>
          </cell>
          <cell r="P860">
            <v>2792</v>
          </cell>
          <cell r="Q860">
            <v>1</v>
          </cell>
          <cell r="R860">
            <v>154110</v>
          </cell>
          <cell r="S860">
            <v>0</v>
          </cell>
        </row>
        <row r="861">
          <cell r="E861" t="str">
            <v>K409</v>
          </cell>
          <cell r="F861">
            <v>1</v>
          </cell>
          <cell r="G861">
            <v>0.89234999999999998</v>
          </cell>
          <cell r="H861">
            <v>7.9530000000000003E-2</v>
          </cell>
          <cell r="I861">
            <v>1.4999999999999999E-4</v>
          </cell>
          <cell r="J861">
            <v>1.14E-3</v>
          </cell>
          <cell r="K861">
            <v>8.0000000000000007E-5</v>
          </cell>
          <cell r="L861">
            <v>5.1799999999999997E-3</v>
          </cell>
          <cell r="M861">
            <v>1.82E-3</v>
          </cell>
          <cell r="N861">
            <v>9.1E-4</v>
          </cell>
          <cell r="O861">
            <v>7.1000000000000002E-4</v>
          </cell>
          <cell r="P861">
            <v>1.8120000000000001E-2</v>
          </cell>
          <cell r="Q861">
            <v>1.0000000000000001E-5</v>
          </cell>
          <cell r="R861">
            <v>0.99999999999999989</v>
          </cell>
          <cell r="S861">
            <v>0</v>
          </cell>
        </row>
        <row r="862">
          <cell r="F862">
            <v>2137114.169997225</v>
          </cell>
          <cell r="G862">
            <v>1924403</v>
          </cell>
          <cell r="H862">
            <v>108413.16999722505</v>
          </cell>
          <cell r="I862">
            <v>674</v>
          </cell>
          <cell r="J862">
            <v>1538</v>
          </cell>
          <cell r="K862">
            <v>43</v>
          </cell>
          <cell r="L862">
            <v>48098</v>
          </cell>
          <cell r="M862">
            <v>37329</v>
          </cell>
          <cell r="N862">
            <v>710</v>
          </cell>
          <cell r="O862">
            <v>13016</v>
          </cell>
          <cell r="P862">
            <v>2099</v>
          </cell>
          <cell r="Q862">
            <v>791</v>
          </cell>
          <cell r="R862">
            <v>2137114.169997225</v>
          </cell>
          <cell r="S862">
            <v>0</v>
          </cell>
        </row>
        <row r="863">
          <cell r="E863" t="str">
            <v>K411</v>
          </cell>
          <cell r="F863">
            <v>1</v>
          </cell>
          <cell r="G863">
            <v>0.90046000000000004</v>
          </cell>
          <cell r="H863">
            <v>5.0729999999999997E-2</v>
          </cell>
          <cell r="I863">
            <v>3.2000000000000003E-4</v>
          </cell>
          <cell r="J863">
            <v>7.2000000000000005E-4</v>
          </cell>
          <cell r="K863">
            <v>2.0000000000000002E-5</v>
          </cell>
          <cell r="L863">
            <v>2.2509999999999999E-2</v>
          </cell>
          <cell r="M863">
            <v>1.7469999999999999E-2</v>
          </cell>
          <cell r="N863">
            <v>3.3E-4</v>
          </cell>
          <cell r="O863">
            <v>6.0899999999999999E-3</v>
          </cell>
          <cell r="P863">
            <v>9.7999999999999997E-4</v>
          </cell>
          <cell r="Q863">
            <v>3.6999999999999999E-4</v>
          </cell>
          <cell r="R863">
            <v>1.0000000000000002</v>
          </cell>
          <cell r="S863">
            <v>0</v>
          </cell>
        </row>
        <row r="864">
          <cell r="F864">
            <v>4087989911.1489997</v>
          </cell>
          <cell r="G864">
            <v>1470196498.845</v>
          </cell>
          <cell r="H864">
            <v>1255084711.2449999</v>
          </cell>
          <cell r="I864">
            <v>6350133.8709999984</v>
          </cell>
          <cell r="J864">
            <v>19355665.91</v>
          </cell>
          <cell r="K864">
            <v>288048</v>
          </cell>
          <cell r="L864">
            <v>609723902.07483399</v>
          </cell>
          <cell r="M864">
            <v>509222309.26616597</v>
          </cell>
          <cell r="N864">
            <v>5979794.5269999998</v>
          </cell>
          <cell r="O864">
            <v>179959630.88400003</v>
          </cell>
          <cell r="P864">
            <v>18971771.526000001</v>
          </cell>
          <cell r="Q864">
            <v>12857445</v>
          </cell>
          <cell r="R864">
            <v>4087989911.1489997</v>
          </cell>
          <cell r="S864">
            <v>0</v>
          </cell>
        </row>
        <row r="865">
          <cell r="E865" t="str">
            <v>K302</v>
          </cell>
          <cell r="F865">
            <v>1</v>
          </cell>
          <cell r="G865">
            <v>0.35964000000000007</v>
          </cell>
          <cell r="H865">
            <v>0.30702000000000002</v>
          </cell>
          <cell r="I865">
            <v>1.5499999999999999E-3</v>
          </cell>
          <cell r="J865">
            <v>4.7299999999999998E-3</v>
          </cell>
          <cell r="K865">
            <v>6.9999999999999994E-5</v>
          </cell>
          <cell r="L865">
            <v>0.14915</v>
          </cell>
          <cell r="M865">
            <v>0.12457</v>
          </cell>
          <cell r="N865">
            <v>1.4599999999999999E-3</v>
          </cell>
          <cell r="O865">
            <v>4.4019999999999997E-2</v>
          </cell>
          <cell r="P865">
            <v>4.64E-3</v>
          </cell>
          <cell r="Q865">
            <v>3.15E-3</v>
          </cell>
          <cell r="R865">
            <v>1</v>
          </cell>
          <cell r="S865">
            <v>0</v>
          </cell>
        </row>
        <row r="867">
          <cell r="E867" t="str">
            <v>R600</v>
          </cell>
          <cell r="F867">
            <v>187849289</v>
          </cell>
          <cell r="G867">
            <v>67502955</v>
          </cell>
          <cell r="H867">
            <v>57624614</v>
          </cell>
          <cell r="I867">
            <v>291172</v>
          </cell>
          <cell r="J867">
            <v>888044</v>
          </cell>
          <cell r="K867">
            <v>13150</v>
          </cell>
          <cell r="L867">
            <v>28007333</v>
          </cell>
          <cell r="M867">
            <v>23380205</v>
          </cell>
          <cell r="N867">
            <v>274273</v>
          </cell>
          <cell r="O867">
            <v>8405134</v>
          </cell>
          <cell r="P867">
            <v>871177</v>
          </cell>
          <cell r="Q867">
            <v>591232</v>
          </cell>
          <cell r="R867">
            <v>187849289</v>
          </cell>
          <cell r="S867">
            <v>0</v>
          </cell>
        </row>
        <row r="868">
          <cell r="E868" t="str">
            <v>R602</v>
          </cell>
          <cell r="F868">
            <v>126429657</v>
          </cell>
          <cell r="G868">
            <v>45432498</v>
          </cell>
          <cell r="H868">
            <v>38787354</v>
          </cell>
          <cell r="I868">
            <v>195966</v>
          </cell>
          <cell r="J868">
            <v>598012</v>
          </cell>
          <cell r="K868">
            <v>8850</v>
          </cell>
          <cell r="L868">
            <v>18850662</v>
          </cell>
          <cell r="M868">
            <v>15737964</v>
          </cell>
          <cell r="N868">
            <v>184587</v>
          </cell>
          <cell r="O868">
            <v>5648877</v>
          </cell>
          <cell r="P868">
            <v>586634</v>
          </cell>
          <cell r="Q868">
            <v>398253</v>
          </cell>
          <cell r="R868">
            <v>126429657</v>
          </cell>
          <cell r="S868">
            <v>0</v>
          </cell>
        </row>
        <row r="870">
          <cell r="R870" t="str">
            <v>FR-16(7)(v)-4</v>
          </cell>
        </row>
        <row r="871">
          <cell r="R871" t="str">
            <v>WITNESS RESPONSIBLE:</v>
          </cell>
        </row>
        <row r="872">
          <cell r="R872" t="str">
            <v>JAMES E. ZIOLKOWSKI</v>
          </cell>
        </row>
        <row r="873">
          <cell r="R873" t="str">
            <v>PAGE 17 OF 18</v>
          </cell>
        </row>
        <row r="876">
          <cell r="F876" t="str">
            <v>TOTAL</v>
          </cell>
          <cell r="H876" t="str">
            <v>DS</v>
          </cell>
          <cell r="I876" t="str">
            <v>GSFL</v>
          </cell>
          <cell r="J876" t="str">
            <v>EH</v>
          </cell>
          <cell r="K876" t="str">
            <v>SP</v>
          </cell>
          <cell r="L876" t="str">
            <v>DT SEC</v>
          </cell>
          <cell r="M876" t="str">
            <v>DT PRI</v>
          </cell>
          <cell r="N876" t="str">
            <v>DP</v>
          </cell>
          <cell r="O876" t="str">
            <v>TT</v>
          </cell>
          <cell r="Q876" t="str">
            <v>OTHER</v>
          </cell>
        </row>
        <row r="877">
          <cell r="F877" t="str">
            <v>PRODUCTION</v>
          </cell>
          <cell r="G877" t="str">
            <v>RS</v>
          </cell>
          <cell r="H877" t="str">
            <v>SECONDARY</v>
          </cell>
          <cell r="I877" t="str">
            <v>SECONDARY</v>
          </cell>
          <cell r="J877" t="str">
            <v>SECONDARY</v>
          </cell>
          <cell r="K877" t="str">
            <v>SECONDARY</v>
          </cell>
          <cell r="L877" t="str">
            <v>SECONDARY</v>
          </cell>
          <cell r="M877" t="str">
            <v>PRIMARY</v>
          </cell>
          <cell r="N877" t="str">
            <v>PRIMARY</v>
          </cell>
          <cell r="O877" t="str">
            <v>TRANSMISSION</v>
          </cell>
          <cell r="P877" t="str">
            <v>LT</v>
          </cell>
          <cell r="Q877" t="str">
            <v>WATER</v>
          </cell>
          <cell r="R877" t="str">
            <v>TOTAL</v>
          </cell>
          <cell r="S877" t="str">
            <v>ALL</v>
          </cell>
        </row>
        <row r="878">
          <cell r="E878" t="str">
            <v>ALLO</v>
          </cell>
          <cell r="F878" t="str">
            <v>ENERGY</v>
          </cell>
          <cell r="G878" t="str">
            <v>RESIDENTIAL</v>
          </cell>
          <cell r="H878" t="str">
            <v>DISTRIBUTION</v>
          </cell>
          <cell r="I878" t="str">
            <v>DISTRIBUTION</v>
          </cell>
          <cell r="J878" t="str">
            <v>DISTRIBUTION</v>
          </cell>
          <cell r="K878" t="str">
            <v>DISTRIBUTION</v>
          </cell>
          <cell r="L878" t="str">
            <v>DISTRIBUTION</v>
          </cell>
          <cell r="M878" t="str">
            <v>DISTRIBUTION</v>
          </cell>
          <cell r="N878" t="str">
            <v>DISTRIBUTION</v>
          </cell>
          <cell r="O878" t="str">
            <v>TIME OF DAY</v>
          </cell>
          <cell r="P878" t="str">
            <v>LIGHTING</v>
          </cell>
          <cell r="Q878" t="str">
            <v>PUMPING</v>
          </cell>
          <cell r="R878" t="str">
            <v>AT ISSUE</v>
          </cell>
          <cell r="S878" t="str">
            <v>OTHER</v>
          </cell>
        </row>
        <row r="879">
          <cell r="E879">
            <v>1</v>
          </cell>
          <cell r="G879">
            <v>3</v>
          </cell>
          <cell r="H879">
            <v>4</v>
          </cell>
          <cell r="I879">
            <v>5</v>
          </cell>
          <cell r="J879">
            <v>6</v>
          </cell>
          <cell r="K879">
            <v>7</v>
          </cell>
          <cell r="L879">
            <v>8</v>
          </cell>
          <cell r="M879">
            <v>9</v>
          </cell>
          <cell r="N879">
            <v>10</v>
          </cell>
          <cell r="O879">
            <v>11</v>
          </cell>
          <cell r="P879">
            <v>12</v>
          </cell>
          <cell r="Q879">
            <v>13</v>
          </cell>
          <cell r="S879" t="str">
            <v xml:space="preserve"> </v>
          </cell>
        </row>
        <row r="881">
          <cell r="F881">
            <v>450848089</v>
          </cell>
          <cell r="G881">
            <v>197851566</v>
          </cell>
          <cell r="H881">
            <v>128946845</v>
          </cell>
          <cell r="I881">
            <v>800742</v>
          </cell>
          <cell r="J881">
            <v>1829152</v>
          </cell>
          <cell r="K881">
            <v>50918</v>
          </cell>
          <cell r="L881">
            <v>57206760</v>
          </cell>
          <cell r="M881">
            <v>44398656</v>
          </cell>
          <cell r="N881">
            <v>846253</v>
          </cell>
          <cell r="O881">
            <v>15479736</v>
          </cell>
          <cell r="P881">
            <v>2496338</v>
          </cell>
          <cell r="Q881">
            <v>941124</v>
          </cell>
          <cell r="R881">
            <v>450848090</v>
          </cell>
          <cell r="S881">
            <v>-1</v>
          </cell>
        </row>
        <row r="882">
          <cell r="E882" t="str">
            <v>K901</v>
          </cell>
          <cell r="F882">
            <v>1</v>
          </cell>
          <cell r="G882">
            <v>0.43884000000000001</v>
          </cell>
          <cell r="H882">
            <v>0.28600951899999999</v>
          </cell>
          <cell r="I882">
            <v>1.7760790000000001E-3</v>
          </cell>
          <cell r="J882">
            <v>4.0571360000000002E-3</v>
          </cell>
          <cell r="K882">
            <v>1.12938E-4</v>
          </cell>
          <cell r="L882">
            <v>0.126886997</v>
          </cell>
          <cell r="M882">
            <v>9.8478083999999994E-2</v>
          </cell>
          <cell r="N882">
            <v>1.877025E-3</v>
          </cell>
          <cell r="O882">
            <v>3.4334705E-2</v>
          </cell>
          <cell r="P882">
            <v>5.5369829999999997E-3</v>
          </cell>
          <cell r="Q882">
            <v>2.087453E-3</v>
          </cell>
          <cell r="R882">
            <v>0.99999691899999998</v>
          </cell>
          <cell r="S882">
            <v>3.0810000000158766E-6</v>
          </cell>
        </row>
        <row r="883">
          <cell r="F883">
            <v>450848089</v>
          </cell>
          <cell r="G883">
            <v>197851566</v>
          </cell>
          <cell r="H883">
            <v>128946845</v>
          </cell>
          <cell r="I883">
            <v>800742</v>
          </cell>
          <cell r="J883">
            <v>1829152</v>
          </cell>
          <cell r="K883">
            <v>50918</v>
          </cell>
          <cell r="L883">
            <v>57206760</v>
          </cell>
          <cell r="M883">
            <v>44398656</v>
          </cell>
          <cell r="N883">
            <v>846253</v>
          </cell>
          <cell r="O883">
            <v>15479736</v>
          </cell>
          <cell r="P883">
            <v>2496338</v>
          </cell>
          <cell r="Q883">
            <v>941124</v>
          </cell>
          <cell r="R883">
            <v>450848090</v>
          </cell>
          <cell r="S883">
            <v>-1</v>
          </cell>
        </row>
        <row r="884">
          <cell r="E884" t="str">
            <v>K902</v>
          </cell>
          <cell r="F884">
            <v>1</v>
          </cell>
          <cell r="G884">
            <v>0.43884000000000001</v>
          </cell>
          <cell r="H884">
            <v>0.28600951899999999</v>
          </cell>
          <cell r="I884">
            <v>1.7760790000000001E-3</v>
          </cell>
          <cell r="J884">
            <v>4.0571360000000002E-3</v>
          </cell>
          <cell r="K884">
            <v>1.12938E-4</v>
          </cell>
          <cell r="L884">
            <v>0.126886997</v>
          </cell>
          <cell r="M884">
            <v>9.8478083999999994E-2</v>
          </cell>
          <cell r="N884">
            <v>1.877025E-3</v>
          </cell>
          <cell r="O884">
            <v>3.4334705E-2</v>
          </cell>
          <cell r="P884">
            <v>5.5369829999999997E-3</v>
          </cell>
          <cell r="Q884">
            <v>2.087453E-3</v>
          </cell>
          <cell r="R884">
            <v>0.99999691899999998</v>
          </cell>
          <cell r="S884">
            <v>3.0810000000158766E-6</v>
          </cell>
        </row>
        <row r="888">
          <cell r="E888" t="str">
            <v>P129</v>
          </cell>
          <cell r="F888">
            <v>1</v>
          </cell>
          <cell r="G888">
            <v>1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1</v>
          </cell>
          <cell r="S888">
            <v>0</v>
          </cell>
        </row>
        <row r="889">
          <cell r="E889" t="str">
            <v>T129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</row>
        <row r="890">
          <cell r="E890" t="str">
            <v>PT29</v>
          </cell>
          <cell r="F890">
            <v>1</v>
          </cell>
          <cell r="G890">
            <v>1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</v>
          </cell>
          <cell r="S890">
            <v>0</v>
          </cell>
        </row>
        <row r="891">
          <cell r="E891" t="str">
            <v>D149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</row>
        <row r="892">
          <cell r="E892" t="str">
            <v>TD29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</row>
        <row r="893">
          <cell r="E893" t="str">
            <v>PD29</v>
          </cell>
          <cell r="F893">
            <v>1</v>
          </cell>
          <cell r="G893">
            <v>0.35846999999999984</v>
          </cell>
          <cell r="H893">
            <v>0.30603000000000002</v>
          </cell>
          <cell r="I893">
            <v>1.5499999999999999E-3</v>
          </cell>
          <cell r="J893">
            <v>4.7200000000000002E-3</v>
          </cell>
          <cell r="K893">
            <v>6.9999999999999994E-5</v>
          </cell>
          <cell r="L893">
            <v>0.14895</v>
          </cell>
          <cell r="M893">
            <v>0.12417</v>
          </cell>
          <cell r="N893">
            <v>1.4599999999999999E-3</v>
          </cell>
          <cell r="O893">
            <v>4.6809999999999997E-2</v>
          </cell>
          <cell r="P893">
            <v>4.6299999999999996E-3</v>
          </cell>
          <cell r="Q893">
            <v>3.14E-3</v>
          </cell>
          <cell r="R893">
            <v>1</v>
          </cell>
          <cell r="S893">
            <v>0</v>
          </cell>
        </row>
        <row r="894">
          <cell r="E894" t="str">
            <v>G129</v>
          </cell>
          <cell r="F894">
            <v>1</v>
          </cell>
          <cell r="G894">
            <v>0.35846999999999984</v>
          </cell>
          <cell r="H894">
            <v>0.30603000000000002</v>
          </cell>
          <cell r="I894">
            <v>1.5499999999999999E-3</v>
          </cell>
          <cell r="J894">
            <v>4.7200000000000002E-3</v>
          </cell>
          <cell r="K894">
            <v>6.9999999999999994E-5</v>
          </cell>
          <cell r="L894">
            <v>0.14895</v>
          </cell>
          <cell r="M894">
            <v>0.12417</v>
          </cell>
          <cell r="N894">
            <v>1.4599999999999999E-3</v>
          </cell>
          <cell r="O894">
            <v>4.6809999999999997E-2</v>
          </cell>
          <cell r="P894">
            <v>4.6299999999999996E-3</v>
          </cell>
          <cell r="Q894">
            <v>3.14E-3</v>
          </cell>
          <cell r="R894">
            <v>1</v>
          </cell>
          <cell r="S894">
            <v>0</v>
          </cell>
        </row>
        <row r="895">
          <cell r="E895" t="str">
            <v>C129</v>
          </cell>
          <cell r="F895">
            <v>1</v>
          </cell>
          <cell r="G895">
            <v>0.35846999999999984</v>
          </cell>
          <cell r="H895">
            <v>0.30603000000000002</v>
          </cell>
          <cell r="I895">
            <v>1.5499999999999999E-3</v>
          </cell>
          <cell r="J895">
            <v>4.7200000000000002E-3</v>
          </cell>
          <cell r="K895">
            <v>6.9999999999999994E-5</v>
          </cell>
          <cell r="L895">
            <v>0.14895</v>
          </cell>
          <cell r="M895">
            <v>0.12417</v>
          </cell>
          <cell r="N895">
            <v>1.4599999999999999E-3</v>
          </cell>
          <cell r="O895">
            <v>4.6809999999999997E-2</v>
          </cell>
          <cell r="P895">
            <v>4.6299999999999996E-3</v>
          </cell>
          <cell r="Q895">
            <v>3.14E-3</v>
          </cell>
          <cell r="R895">
            <v>1</v>
          </cell>
          <cell r="S895">
            <v>0</v>
          </cell>
        </row>
        <row r="896">
          <cell r="E896" t="str">
            <v>GP19</v>
          </cell>
          <cell r="F896">
            <v>1</v>
          </cell>
          <cell r="G896">
            <v>1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1</v>
          </cell>
          <cell r="S896">
            <v>0</v>
          </cell>
        </row>
        <row r="897">
          <cell r="E897" t="str">
            <v>DR19</v>
          </cell>
          <cell r="F897">
            <v>1</v>
          </cell>
          <cell r="G897">
            <v>0.35847999999999991</v>
          </cell>
          <cell r="H897">
            <v>0.30603000000000002</v>
          </cell>
          <cell r="I897">
            <v>1.5499999999999999E-3</v>
          </cell>
          <cell r="J897">
            <v>4.7200000000000002E-3</v>
          </cell>
          <cell r="K897">
            <v>6.9999999999999994E-5</v>
          </cell>
          <cell r="L897">
            <v>0.14895</v>
          </cell>
          <cell r="M897">
            <v>0.12417</v>
          </cell>
          <cell r="N897">
            <v>1.4599999999999999E-3</v>
          </cell>
          <cell r="O897">
            <v>4.6800000000000001E-2</v>
          </cell>
          <cell r="P897">
            <v>4.6299999999999996E-3</v>
          </cell>
          <cell r="Q897">
            <v>3.14E-3</v>
          </cell>
          <cell r="R897">
            <v>1</v>
          </cell>
          <cell r="S897">
            <v>0</v>
          </cell>
        </row>
        <row r="900">
          <cell r="E900" t="str">
            <v>P229</v>
          </cell>
          <cell r="F900">
            <v>1</v>
          </cell>
          <cell r="G900">
            <v>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1</v>
          </cell>
          <cell r="S900">
            <v>0</v>
          </cell>
        </row>
        <row r="901">
          <cell r="E901" t="str">
            <v>T229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</row>
        <row r="902">
          <cell r="E902" t="str">
            <v>PL49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E903" t="str">
            <v>D249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E904" t="str">
            <v>NT29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</row>
        <row r="905">
          <cell r="E905" t="str">
            <v>G229</v>
          </cell>
          <cell r="F905">
            <v>1</v>
          </cell>
          <cell r="G905">
            <v>0.35846999999999984</v>
          </cell>
          <cell r="H905">
            <v>0.30603000000000002</v>
          </cell>
          <cell r="I905">
            <v>1.5499999999999999E-3</v>
          </cell>
          <cell r="J905">
            <v>4.7200000000000002E-3</v>
          </cell>
          <cell r="K905">
            <v>6.9999999999999994E-5</v>
          </cell>
          <cell r="L905">
            <v>0.14895</v>
          </cell>
          <cell r="M905">
            <v>0.12417</v>
          </cell>
          <cell r="N905">
            <v>1.4599999999999999E-3</v>
          </cell>
          <cell r="O905">
            <v>4.6809999999999997E-2</v>
          </cell>
          <cell r="P905">
            <v>4.6299999999999996E-3</v>
          </cell>
          <cell r="Q905">
            <v>3.14E-3</v>
          </cell>
          <cell r="R905">
            <v>1</v>
          </cell>
          <cell r="S905">
            <v>0</v>
          </cell>
        </row>
        <row r="906">
          <cell r="E906" t="str">
            <v>C229</v>
          </cell>
          <cell r="F906">
            <v>1</v>
          </cell>
          <cell r="G906">
            <v>0.35845999999999989</v>
          </cell>
          <cell r="H906">
            <v>0.30602000000000001</v>
          </cell>
          <cell r="I906">
            <v>1.5499999999999999E-3</v>
          </cell>
          <cell r="J906">
            <v>4.7200000000000002E-3</v>
          </cell>
          <cell r="K906">
            <v>6.9999999999999994E-5</v>
          </cell>
          <cell r="L906">
            <v>0.14895</v>
          </cell>
          <cell r="M906">
            <v>0.12417</v>
          </cell>
          <cell r="N906">
            <v>1.4599999999999999E-3</v>
          </cell>
          <cell r="O906">
            <v>4.6829999999999997E-2</v>
          </cell>
          <cell r="P906">
            <v>4.6299999999999996E-3</v>
          </cell>
          <cell r="Q906">
            <v>3.14E-3</v>
          </cell>
          <cell r="R906">
            <v>1</v>
          </cell>
          <cell r="S906">
            <v>0</v>
          </cell>
        </row>
        <row r="907">
          <cell r="E907" t="str">
            <v>NP29</v>
          </cell>
          <cell r="F907">
            <v>1</v>
          </cell>
          <cell r="G907">
            <v>0.35845999999999989</v>
          </cell>
          <cell r="H907">
            <v>0.30603000000000002</v>
          </cell>
          <cell r="I907">
            <v>1.5499999999999999E-3</v>
          </cell>
          <cell r="J907">
            <v>4.7200000000000002E-3</v>
          </cell>
          <cell r="K907">
            <v>6.9999999999999994E-5</v>
          </cell>
          <cell r="L907">
            <v>0.14895</v>
          </cell>
          <cell r="M907">
            <v>0.12417</v>
          </cell>
          <cell r="N907">
            <v>1.4599999999999999E-3</v>
          </cell>
          <cell r="O907">
            <v>4.6820000000000001E-2</v>
          </cell>
          <cell r="P907">
            <v>4.6299999999999996E-3</v>
          </cell>
          <cell r="Q907">
            <v>3.14E-3</v>
          </cell>
          <cell r="R907">
            <v>1</v>
          </cell>
          <cell r="S907">
            <v>0</v>
          </cell>
        </row>
        <row r="910">
          <cell r="E910" t="str">
            <v>W669</v>
          </cell>
          <cell r="F910">
            <v>1</v>
          </cell>
          <cell r="G910">
            <v>0.35846999999999984</v>
          </cell>
          <cell r="H910">
            <v>0.30603000000000002</v>
          </cell>
          <cell r="I910">
            <v>1.5499999999999999E-3</v>
          </cell>
          <cell r="J910">
            <v>4.7200000000000002E-3</v>
          </cell>
          <cell r="K910">
            <v>6.9999999999999994E-5</v>
          </cell>
          <cell r="L910">
            <v>0.14895</v>
          </cell>
          <cell r="M910">
            <v>0.12417</v>
          </cell>
          <cell r="N910">
            <v>1.4599999999999999E-3</v>
          </cell>
          <cell r="O910">
            <v>4.6809999999999997E-2</v>
          </cell>
          <cell r="P910">
            <v>4.6299999999999996E-3</v>
          </cell>
          <cell r="Q910">
            <v>3.14E-3</v>
          </cell>
          <cell r="R910">
            <v>1</v>
          </cell>
          <cell r="S910">
            <v>0</v>
          </cell>
        </row>
        <row r="911">
          <cell r="E911" t="str">
            <v>W689</v>
          </cell>
          <cell r="F911">
            <v>1</v>
          </cell>
          <cell r="G911">
            <v>0.35846999999999984</v>
          </cell>
          <cell r="H911">
            <v>0.30603000000000002</v>
          </cell>
          <cell r="I911">
            <v>1.5499999999999999E-3</v>
          </cell>
          <cell r="J911">
            <v>4.7200000000000002E-3</v>
          </cell>
          <cell r="K911">
            <v>6.9999999999999994E-5</v>
          </cell>
          <cell r="L911">
            <v>0.14895</v>
          </cell>
          <cell r="M911">
            <v>0.12417</v>
          </cell>
          <cell r="N911">
            <v>1.4599999999999999E-3</v>
          </cell>
          <cell r="O911">
            <v>4.6809999999999997E-2</v>
          </cell>
          <cell r="P911">
            <v>4.6299999999999996E-3</v>
          </cell>
          <cell r="Q911">
            <v>3.14E-3</v>
          </cell>
          <cell r="R911">
            <v>1</v>
          </cell>
          <cell r="S911">
            <v>0</v>
          </cell>
        </row>
        <row r="912">
          <cell r="E912" t="str">
            <v>W719</v>
          </cell>
          <cell r="F912">
            <v>1</v>
          </cell>
          <cell r="G912">
            <v>1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</row>
        <row r="913">
          <cell r="E913" t="str">
            <v>W749</v>
          </cell>
          <cell r="F913">
            <v>1</v>
          </cell>
          <cell r="G913">
            <v>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1</v>
          </cell>
          <cell r="S913">
            <v>0</v>
          </cell>
        </row>
        <row r="914">
          <cell r="E914" t="str">
            <v>WC79</v>
          </cell>
          <cell r="F914">
            <v>1</v>
          </cell>
          <cell r="G914">
            <v>0.35846999999999984</v>
          </cell>
          <cell r="H914">
            <v>0.30603000000000002</v>
          </cell>
          <cell r="I914">
            <v>1.5499999999999999E-3</v>
          </cell>
          <cell r="J914">
            <v>4.7200000000000002E-3</v>
          </cell>
          <cell r="K914">
            <v>6.9999999999999994E-5</v>
          </cell>
          <cell r="L914">
            <v>0.14895</v>
          </cell>
          <cell r="M914">
            <v>0.12417</v>
          </cell>
          <cell r="N914">
            <v>1.4599999999999999E-3</v>
          </cell>
          <cell r="O914">
            <v>4.6809999999999997E-2</v>
          </cell>
          <cell r="P914">
            <v>4.6299999999999996E-3</v>
          </cell>
          <cell r="Q914">
            <v>3.14E-3</v>
          </cell>
          <cell r="R914">
            <v>1</v>
          </cell>
          <cell r="S914">
            <v>0</v>
          </cell>
        </row>
        <row r="917">
          <cell r="E917" t="str">
            <v>RB29</v>
          </cell>
          <cell r="F917">
            <v>1</v>
          </cell>
          <cell r="G917">
            <v>0.35859999999999992</v>
          </cell>
          <cell r="H917">
            <v>0.30613000000000001</v>
          </cell>
          <cell r="I917">
            <v>1.5499999999999999E-3</v>
          </cell>
          <cell r="J917">
            <v>4.7200000000000002E-3</v>
          </cell>
          <cell r="K917">
            <v>6.9999999999999994E-5</v>
          </cell>
          <cell r="L917">
            <v>0.14896999999999999</v>
          </cell>
          <cell r="M917">
            <v>0.12421</v>
          </cell>
          <cell r="N917">
            <v>1.4599999999999999E-3</v>
          </cell>
          <cell r="O917">
            <v>4.6519999999999999E-2</v>
          </cell>
          <cell r="P917">
            <v>4.6299999999999996E-3</v>
          </cell>
          <cell r="Q917">
            <v>3.14E-3</v>
          </cell>
          <cell r="R917">
            <v>1</v>
          </cell>
          <cell r="S917">
            <v>0</v>
          </cell>
        </row>
        <row r="918">
          <cell r="E918" t="str">
            <v>RB99</v>
          </cell>
          <cell r="F918">
            <v>1</v>
          </cell>
          <cell r="G918">
            <v>0.35853999999999986</v>
          </cell>
          <cell r="H918">
            <v>0.30608000000000002</v>
          </cell>
          <cell r="I918">
            <v>1.5499999999999999E-3</v>
          </cell>
          <cell r="J918">
            <v>4.7200000000000002E-3</v>
          </cell>
          <cell r="K918">
            <v>6.9999999999999994E-5</v>
          </cell>
          <cell r="L918">
            <v>0.14896000000000001</v>
          </cell>
          <cell r="M918">
            <v>0.12418999999999999</v>
          </cell>
          <cell r="N918">
            <v>1.4599999999999999E-3</v>
          </cell>
          <cell r="O918">
            <v>4.666E-2</v>
          </cell>
          <cell r="P918">
            <v>4.6299999999999996E-3</v>
          </cell>
          <cell r="Q918">
            <v>3.14E-3</v>
          </cell>
          <cell r="R918">
            <v>1</v>
          </cell>
          <cell r="S918">
            <v>0</v>
          </cell>
        </row>
        <row r="919">
          <cell r="E919" t="str">
            <v>CW29</v>
          </cell>
          <cell r="F919">
            <v>1</v>
          </cell>
          <cell r="G919">
            <v>1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</row>
        <row r="921">
          <cell r="R921" t="str">
            <v>FR-16(7)(v)-4</v>
          </cell>
        </row>
        <row r="922">
          <cell r="R922" t="str">
            <v>WITNESS RESPONSIBLE:</v>
          </cell>
        </row>
        <row r="923">
          <cell r="R923" t="str">
            <v>JAMES E. ZIOLKOWSKI</v>
          </cell>
        </row>
        <row r="924">
          <cell r="R924" t="str">
            <v>PAGE 18 OF 18</v>
          </cell>
        </row>
        <row r="927">
          <cell r="F927" t="str">
            <v>TOTAL</v>
          </cell>
          <cell r="H927" t="str">
            <v>DS</v>
          </cell>
          <cell r="I927" t="str">
            <v>GSFL</v>
          </cell>
          <cell r="J927" t="str">
            <v>EH</v>
          </cell>
          <cell r="K927" t="str">
            <v>SP</v>
          </cell>
          <cell r="L927" t="str">
            <v>DT SEC</v>
          </cell>
          <cell r="M927" t="str">
            <v>DT PRI</v>
          </cell>
          <cell r="N927" t="str">
            <v>DP</v>
          </cell>
          <cell r="O927" t="str">
            <v>TT</v>
          </cell>
          <cell r="Q927" t="str">
            <v>OTHER</v>
          </cell>
        </row>
        <row r="928">
          <cell r="F928" t="str">
            <v>PRODUCTION</v>
          </cell>
          <cell r="G928" t="str">
            <v>RS</v>
          </cell>
          <cell r="H928" t="str">
            <v>SECONDARY</v>
          </cell>
          <cell r="I928" t="str">
            <v>SECONDARY</v>
          </cell>
          <cell r="J928" t="str">
            <v>SECONDARY</v>
          </cell>
          <cell r="K928" t="str">
            <v>SECONDARY</v>
          </cell>
          <cell r="L928" t="str">
            <v>SECONDARY</v>
          </cell>
          <cell r="M928" t="str">
            <v>PRIMARY</v>
          </cell>
          <cell r="N928" t="str">
            <v>PRIMARY</v>
          </cell>
          <cell r="O928" t="str">
            <v>TRANSMISSION</v>
          </cell>
          <cell r="P928" t="str">
            <v>LT</v>
          </cell>
          <cell r="Q928" t="str">
            <v>WATER</v>
          </cell>
          <cell r="R928" t="str">
            <v>TOTAL</v>
          </cell>
          <cell r="S928" t="str">
            <v>ALL</v>
          </cell>
        </row>
        <row r="929">
          <cell r="E929" t="str">
            <v>ALLO</v>
          </cell>
          <cell r="F929" t="str">
            <v>ENERGY</v>
          </cell>
          <cell r="G929" t="str">
            <v>RESIDENTIAL</v>
          </cell>
          <cell r="H929" t="str">
            <v>DISTRIBUTION</v>
          </cell>
          <cell r="I929" t="str">
            <v>DISTRIBUTION</v>
          </cell>
          <cell r="J929" t="str">
            <v>DISTRIBUTION</v>
          </cell>
          <cell r="K929" t="str">
            <v>DISTRIBUTION</v>
          </cell>
          <cell r="L929" t="str">
            <v>DISTRIBUTION</v>
          </cell>
          <cell r="M929" t="str">
            <v>DISTRIBUTION</v>
          </cell>
          <cell r="N929" t="str">
            <v>DISTRIBUTION</v>
          </cell>
          <cell r="O929" t="str">
            <v>TIME OF DAY</v>
          </cell>
          <cell r="P929" t="str">
            <v>LIGHTING</v>
          </cell>
          <cell r="Q929" t="str">
            <v>PUMPING</v>
          </cell>
          <cell r="R929" t="str">
            <v>AT ISSUE</v>
          </cell>
          <cell r="S929" t="str">
            <v>OTHER</v>
          </cell>
        </row>
        <row r="930">
          <cell r="E930">
            <v>1</v>
          </cell>
          <cell r="G930">
            <v>3</v>
          </cell>
          <cell r="H930">
            <v>4</v>
          </cell>
          <cell r="I930">
            <v>5</v>
          </cell>
          <cell r="J930">
            <v>6</v>
          </cell>
          <cell r="K930">
            <v>7</v>
          </cell>
          <cell r="L930">
            <v>8</v>
          </cell>
          <cell r="M930">
            <v>9</v>
          </cell>
          <cell r="N930">
            <v>10</v>
          </cell>
          <cell r="O930">
            <v>11</v>
          </cell>
          <cell r="P930">
            <v>12</v>
          </cell>
          <cell r="Q930">
            <v>13</v>
          </cell>
          <cell r="S930" t="str">
            <v xml:space="preserve"> </v>
          </cell>
        </row>
        <row r="932">
          <cell r="E932" t="str">
            <v>P349</v>
          </cell>
          <cell r="F932">
            <v>1</v>
          </cell>
          <cell r="G932">
            <v>1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</row>
        <row r="933">
          <cell r="E933" t="str">
            <v>E349</v>
          </cell>
          <cell r="F933">
            <v>1</v>
          </cell>
          <cell r="G933">
            <v>0.35935000000000006</v>
          </cell>
          <cell r="H933">
            <v>0.30679000000000001</v>
          </cell>
          <cell r="I933">
            <v>1.5499999999999999E-3</v>
          </cell>
          <cell r="J933">
            <v>4.7299999999999998E-3</v>
          </cell>
          <cell r="K933">
            <v>6.9999999999999994E-5</v>
          </cell>
          <cell r="L933">
            <v>0.14910000000000001</v>
          </cell>
          <cell r="M933">
            <v>0.12447999999999999</v>
          </cell>
          <cell r="N933">
            <v>1.4599999999999999E-3</v>
          </cell>
          <cell r="O933">
            <v>4.4679999999999997E-2</v>
          </cell>
          <cell r="P933">
            <v>4.64E-3</v>
          </cell>
          <cell r="Q933">
            <v>3.15E-3</v>
          </cell>
          <cell r="R933">
            <v>1.0000000000000002</v>
          </cell>
          <cell r="S933">
            <v>0</v>
          </cell>
        </row>
        <row r="934">
          <cell r="E934" t="str">
            <v>P459</v>
          </cell>
          <cell r="F934">
            <v>1</v>
          </cell>
          <cell r="G934">
            <v>0.35935000000000006</v>
          </cell>
          <cell r="H934">
            <v>0.30679000000000001</v>
          </cell>
          <cell r="I934">
            <v>1.5499999999999999E-3</v>
          </cell>
          <cell r="J934">
            <v>4.7299999999999998E-3</v>
          </cell>
          <cell r="K934">
            <v>6.9999999999999994E-5</v>
          </cell>
          <cell r="L934">
            <v>0.14910000000000001</v>
          </cell>
          <cell r="M934">
            <v>0.12447999999999999</v>
          </cell>
          <cell r="N934">
            <v>1.4599999999999999E-3</v>
          </cell>
          <cell r="O934">
            <v>4.4679999999999997E-2</v>
          </cell>
          <cell r="P934">
            <v>4.64E-3</v>
          </cell>
          <cell r="Q934">
            <v>3.15E-3</v>
          </cell>
          <cell r="R934">
            <v>1.0000000000000002</v>
          </cell>
          <cell r="S934">
            <v>0</v>
          </cell>
        </row>
        <row r="935">
          <cell r="E935" t="str">
            <v>T349</v>
          </cell>
          <cell r="F935">
            <v>1</v>
          </cell>
          <cell r="G935">
            <v>1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</row>
        <row r="936">
          <cell r="E936" t="str">
            <v>D349</v>
          </cell>
          <cell r="F936">
            <v>1</v>
          </cell>
          <cell r="G936">
            <v>1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</v>
          </cell>
          <cell r="S936">
            <v>0</v>
          </cell>
        </row>
        <row r="937">
          <cell r="E937" t="str">
            <v>C311</v>
          </cell>
          <cell r="F937">
            <v>1</v>
          </cell>
          <cell r="G937">
            <v>1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1</v>
          </cell>
          <cell r="S937">
            <v>0</v>
          </cell>
        </row>
        <row r="938">
          <cell r="E938" t="str">
            <v>C319</v>
          </cell>
          <cell r="F938">
            <v>1</v>
          </cell>
          <cell r="G938">
            <v>1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1</v>
          </cell>
          <cell r="S938">
            <v>0</v>
          </cell>
        </row>
        <row r="939">
          <cell r="E939" t="str">
            <v>C331</v>
          </cell>
          <cell r="F939">
            <v>1</v>
          </cell>
          <cell r="G939">
            <v>1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S939">
            <v>0</v>
          </cell>
        </row>
        <row r="940">
          <cell r="E940" t="str">
            <v>S319</v>
          </cell>
          <cell r="F940">
            <v>1</v>
          </cell>
          <cell r="G940">
            <v>1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1</v>
          </cell>
          <cell r="S940">
            <v>0</v>
          </cell>
        </row>
        <row r="941">
          <cell r="E941" t="str">
            <v>OM39</v>
          </cell>
          <cell r="F941">
            <v>1</v>
          </cell>
          <cell r="G941">
            <v>0.35935000000000006</v>
          </cell>
          <cell r="H941">
            <v>0.30679000000000001</v>
          </cell>
          <cell r="I941">
            <v>1.5499999999999999E-3</v>
          </cell>
          <cell r="J941">
            <v>4.7299999999999998E-3</v>
          </cell>
          <cell r="K941">
            <v>6.9999999999999994E-5</v>
          </cell>
          <cell r="L941">
            <v>0.14910000000000001</v>
          </cell>
          <cell r="M941">
            <v>0.12447999999999999</v>
          </cell>
          <cell r="N941">
            <v>1.4599999999999999E-3</v>
          </cell>
          <cell r="O941">
            <v>4.4679999999999997E-2</v>
          </cell>
          <cell r="P941">
            <v>4.64E-3</v>
          </cell>
          <cell r="Q941">
            <v>3.15E-3</v>
          </cell>
          <cell r="R941">
            <v>1.0000000000000002</v>
          </cell>
          <cell r="S941">
            <v>0</v>
          </cell>
        </row>
        <row r="944">
          <cell r="E944" t="str">
            <v>A300</v>
          </cell>
          <cell r="F944">
            <v>1</v>
          </cell>
          <cell r="G944">
            <v>1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1</v>
          </cell>
          <cell r="S944">
            <v>0</v>
          </cell>
        </row>
        <row r="945">
          <cell r="E945" t="str">
            <v>A302</v>
          </cell>
          <cell r="F945">
            <v>1</v>
          </cell>
          <cell r="G945">
            <v>0.35935000000000006</v>
          </cell>
          <cell r="H945">
            <v>0.30679000000000001</v>
          </cell>
          <cell r="I945">
            <v>1.5499999999999999E-3</v>
          </cell>
          <cell r="J945">
            <v>4.7299999999999998E-3</v>
          </cell>
          <cell r="K945">
            <v>6.9999999999999994E-5</v>
          </cell>
          <cell r="L945">
            <v>0.14910000000000001</v>
          </cell>
          <cell r="M945">
            <v>0.12447999999999999</v>
          </cell>
          <cell r="N945">
            <v>1.4599999999999999E-3</v>
          </cell>
          <cell r="O945">
            <v>4.4679999999999997E-2</v>
          </cell>
          <cell r="P945">
            <v>4.64E-3</v>
          </cell>
          <cell r="Q945">
            <v>3.15E-3</v>
          </cell>
          <cell r="R945">
            <v>1.0000000000000002</v>
          </cell>
          <cell r="S945">
            <v>0</v>
          </cell>
        </row>
        <row r="946">
          <cell r="E946" t="str">
            <v>A304</v>
          </cell>
          <cell r="F946">
            <v>1</v>
          </cell>
          <cell r="G946">
            <v>1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</row>
        <row r="947">
          <cell r="E947" t="str">
            <v>A306</v>
          </cell>
          <cell r="F947">
            <v>1</v>
          </cell>
          <cell r="G947">
            <v>1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</v>
          </cell>
          <cell r="S947">
            <v>0</v>
          </cell>
        </row>
        <row r="948">
          <cell r="E948" t="str">
            <v>A308</v>
          </cell>
          <cell r="F948">
            <v>1</v>
          </cell>
          <cell r="G948">
            <v>1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</row>
        <row r="949">
          <cell r="E949" t="str">
            <v>A310</v>
          </cell>
          <cell r="F949">
            <v>1</v>
          </cell>
          <cell r="G949">
            <v>1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1</v>
          </cell>
          <cell r="S949">
            <v>0</v>
          </cell>
        </row>
        <row r="950">
          <cell r="E950" t="str">
            <v>A312</v>
          </cell>
          <cell r="F950">
            <v>1</v>
          </cell>
          <cell r="G950">
            <v>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</row>
        <row r="951">
          <cell r="E951" t="str">
            <v>A315</v>
          </cell>
          <cell r="F951">
            <v>1</v>
          </cell>
          <cell r="G951">
            <v>0.35935000000000006</v>
          </cell>
          <cell r="H951">
            <v>0.30679000000000001</v>
          </cell>
          <cell r="I951">
            <v>1.5499999999999999E-3</v>
          </cell>
          <cell r="J951">
            <v>4.7299999999999998E-3</v>
          </cell>
          <cell r="K951">
            <v>6.9999999999999994E-5</v>
          </cell>
          <cell r="L951">
            <v>0.14910000000000001</v>
          </cell>
          <cell r="M951">
            <v>0.12447999999999999</v>
          </cell>
          <cell r="N951">
            <v>1.4599999999999999E-3</v>
          </cell>
          <cell r="O951">
            <v>4.4679999999999997E-2</v>
          </cell>
          <cell r="P951">
            <v>4.64E-3</v>
          </cell>
          <cell r="Q951">
            <v>3.15E-3</v>
          </cell>
          <cell r="R951">
            <v>1.0000000000000002</v>
          </cell>
          <cell r="S951">
            <v>0</v>
          </cell>
        </row>
        <row r="952">
          <cell r="E952" t="str">
            <v>A357</v>
          </cell>
          <cell r="F952">
            <v>1</v>
          </cell>
          <cell r="G952">
            <v>0.35935000000000006</v>
          </cell>
          <cell r="H952">
            <v>0.30679000000000001</v>
          </cell>
          <cell r="I952">
            <v>1.5499999999999999E-3</v>
          </cell>
          <cell r="J952">
            <v>4.7299999999999998E-3</v>
          </cell>
          <cell r="K952">
            <v>6.9999999999999994E-5</v>
          </cell>
          <cell r="L952">
            <v>0.14910000000000001</v>
          </cell>
          <cell r="M952">
            <v>0.12447999999999999</v>
          </cell>
          <cell r="N952">
            <v>1.4599999999999999E-3</v>
          </cell>
          <cell r="O952">
            <v>4.4679999999999997E-2</v>
          </cell>
          <cell r="P952">
            <v>4.64E-3</v>
          </cell>
          <cell r="Q952">
            <v>3.15E-3</v>
          </cell>
          <cell r="R952">
            <v>1.0000000000000002</v>
          </cell>
          <cell r="S952">
            <v>0</v>
          </cell>
        </row>
        <row r="955">
          <cell r="E955" t="str">
            <v>P489</v>
          </cell>
          <cell r="F955">
            <v>1</v>
          </cell>
          <cell r="G955">
            <v>1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1</v>
          </cell>
          <cell r="S955">
            <v>0</v>
          </cell>
        </row>
        <row r="956">
          <cell r="E956" t="str">
            <v>T489</v>
          </cell>
          <cell r="F956">
            <v>1</v>
          </cell>
          <cell r="G956">
            <v>1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1</v>
          </cell>
          <cell r="S956">
            <v>0</v>
          </cell>
        </row>
        <row r="957">
          <cell r="E957" t="str">
            <v>D489</v>
          </cell>
          <cell r="F957">
            <v>1</v>
          </cell>
          <cell r="G957">
            <v>1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</v>
          </cell>
          <cell r="S957">
            <v>0</v>
          </cell>
        </row>
        <row r="958">
          <cell r="E958" t="str">
            <v>G489</v>
          </cell>
          <cell r="F958">
            <v>1</v>
          </cell>
          <cell r="G958">
            <v>0.35846999999999984</v>
          </cell>
          <cell r="H958">
            <v>0.30603000000000002</v>
          </cell>
          <cell r="I958">
            <v>1.5499999999999999E-3</v>
          </cell>
          <cell r="J958">
            <v>4.7200000000000002E-3</v>
          </cell>
          <cell r="K958">
            <v>6.9999999999999994E-5</v>
          </cell>
          <cell r="L958">
            <v>0.14895</v>
          </cell>
          <cell r="M958">
            <v>0.12417</v>
          </cell>
          <cell r="N958">
            <v>1.4599999999999999E-3</v>
          </cell>
          <cell r="O958">
            <v>4.6809999999999997E-2</v>
          </cell>
          <cell r="P958">
            <v>4.6299999999999996E-3</v>
          </cell>
          <cell r="Q958">
            <v>3.14E-3</v>
          </cell>
          <cell r="R958">
            <v>1</v>
          </cell>
          <cell r="S958">
            <v>0</v>
          </cell>
        </row>
        <row r="959">
          <cell r="E959" t="str">
            <v>C489</v>
          </cell>
          <cell r="F959">
            <v>1</v>
          </cell>
          <cell r="G959">
            <v>0.35845999999999989</v>
          </cell>
          <cell r="H959">
            <v>0.30602000000000001</v>
          </cell>
          <cell r="I959">
            <v>1.5499999999999999E-3</v>
          </cell>
          <cell r="J959">
            <v>4.7200000000000002E-3</v>
          </cell>
          <cell r="K959">
            <v>6.9999999999999994E-5</v>
          </cell>
          <cell r="L959">
            <v>0.14895</v>
          </cell>
          <cell r="M959">
            <v>0.12417</v>
          </cell>
          <cell r="N959">
            <v>1.4599999999999999E-3</v>
          </cell>
          <cell r="O959">
            <v>4.6829999999999997E-2</v>
          </cell>
          <cell r="P959">
            <v>4.6299999999999996E-3</v>
          </cell>
          <cell r="Q959">
            <v>3.14E-3</v>
          </cell>
          <cell r="R959">
            <v>1</v>
          </cell>
          <cell r="S959">
            <v>0</v>
          </cell>
        </row>
        <row r="960">
          <cell r="E960" t="str">
            <v>DE49</v>
          </cell>
          <cell r="F960">
            <v>1</v>
          </cell>
          <cell r="G960">
            <v>0.35846999999999984</v>
          </cell>
          <cell r="H960">
            <v>0.30603000000000002</v>
          </cell>
          <cell r="I960">
            <v>1.5499999999999999E-3</v>
          </cell>
          <cell r="J960">
            <v>4.7200000000000002E-3</v>
          </cell>
          <cell r="K960">
            <v>6.9999999999999994E-5</v>
          </cell>
          <cell r="L960">
            <v>0.14895</v>
          </cell>
          <cell r="M960">
            <v>0.12417</v>
          </cell>
          <cell r="N960">
            <v>1.4599999999999999E-3</v>
          </cell>
          <cell r="O960">
            <v>4.6809999999999997E-2</v>
          </cell>
          <cell r="P960">
            <v>4.6299999999999996E-3</v>
          </cell>
          <cell r="Q960">
            <v>3.14E-3</v>
          </cell>
          <cell r="R960">
            <v>1</v>
          </cell>
          <cell r="S960">
            <v>0</v>
          </cell>
        </row>
        <row r="963">
          <cell r="E963" t="str">
            <v>L529</v>
          </cell>
          <cell r="F963">
            <v>1</v>
          </cell>
          <cell r="G963">
            <v>0.35845999999999989</v>
          </cell>
          <cell r="H963">
            <v>0.30603000000000002</v>
          </cell>
          <cell r="I963">
            <v>1.5499999999999999E-3</v>
          </cell>
          <cell r="J963">
            <v>4.7200000000000002E-3</v>
          </cell>
          <cell r="K963">
            <v>6.9999999999999994E-5</v>
          </cell>
          <cell r="L963">
            <v>0.14895</v>
          </cell>
          <cell r="M963">
            <v>0.12417</v>
          </cell>
          <cell r="N963">
            <v>1.4599999999999999E-3</v>
          </cell>
          <cell r="O963">
            <v>4.6820000000000001E-2</v>
          </cell>
          <cell r="P963">
            <v>4.6299999999999996E-3</v>
          </cell>
          <cell r="Q963">
            <v>3.14E-3</v>
          </cell>
          <cell r="R963">
            <v>1</v>
          </cell>
          <cell r="S963">
            <v>0</v>
          </cell>
        </row>
        <row r="964">
          <cell r="E964" t="str">
            <v>L589</v>
          </cell>
          <cell r="F964">
            <v>1</v>
          </cell>
          <cell r="G964">
            <v>0.35935000000000006</v>
          </cell>
          <cell r="H964">
            <v>0.30679000000000001</v>
          </cell>
          <cell r="I964">
            <v>1.5499999999999999E-3</v>
          </cell>
          <cell r="J964">
            <v>4.7299999999999998E-3</v>
          </cell>
          <cell r="K964">
            <v>6.9999999999999994E-5</v>
          </cell>
          <cell r="L964">
            <v>0.14910000000000001</v>
          </cell>
          <cell r="M964">
            <v>0.12447999999999999</v>
          </cell>
          <cell r="N964">
            <v>1.4599999999999999E-3</v>
          </cell>
          <cell r="O964">
            <v>4.4679999999999997E-2</v>
          </cell>
          <cell r="P964">
            <v>4.64E-3</v>
          </cell>
          <cell r="Q964">
            <v>3.15E-3</v>
          </cell>
          <cell r="R964">
            <v>1.0000000000000002</v>
          </cell>
          <cell r="S964">
            <v>0</v>
          </cell>
        </row>
        <row r="965">
          <cell r="E965" t="str">
            <v>L599</v>
          </cell>
          <cell r="F965">
            <v>1</v>
          </cell>
          <cell r="G965">
            <v>0.36195999999999995</v>
          </cell>
          <cell r="H965">
            <v>0.30578</v>
          </cell>
          <cell r="I965">
            <v>1.56E-3</v>
          </cell>
          <cell r="J965">
            <v>4.7000000000000002E-3</v>
          </cell>
          <cell r="K965">
            <v>6.9999999999999994E-5</v>
          </cell>
          <cell r="L965">
            <v>0.14824000000000001</v>
          </cell>
          <cell r="M965">
            <v>0.12343</v>
          </cell>
          <cell r="N965">
            <v>1.48E-3</v>
          </cell>
          <cell r="O965">
            <v>4.4999999999999998E-2</v>
          </cell>
          <cell r="P965">
            <v>4.6699999999999997E-3</v>
          </cell>
          <cell r="Q965">
            <v>3.1099999999999999E-3</v>
          </cell>
          <cell r="R965">
            <v>1.0000000000000002</v>
          </cell>
          <cell r="S965">
            <v>0</v>
          </cell>
        </row>
        <row r="966">
          <cell r="E966" t="str">
            <v>OP69</v>
          </cell>
          <cell r="F966">
            <v>1</v>
          </cell>
          <cell r="G966">
            <v>0.35934999999999995</v>
          </cell>
          <cell r="H966">
            <v>0.30676999999999999</v>
          </cell>
          <cell r="I966">
            <v>1.5499999999999999E-3</v>
          </cell>
          <cell r="J966">
            <v>4.7299999999999998E-3</v>
          </cell>
          <cell r="K966">
            <v>6.9999999999999994E-5</v>
          </cell>
          <cell r="L966">
            <v>0.14910000000000001</v>
          </cell>
          <cell r="M966">
            <v>0.12447</v>
          </cell>
          <cell r="N966">
            <v>1.4599999999999999E-3</v>
          </cell>
          <cell r="O966">
            <v>4.471E-2</v>
          </cell>
          <cell r="P966">
            <v>4.64E-3</v>
          </cell>
          <cell r="Q966">
            <v>3.15E-3</v>
          </cell>
          <cell r="R966">
            <v>1</v>
          </cell>
          <cell r="S966">
            <v>0</v>
          </cell>
        </row>
        <row r="969">
          <cell r="E969" t="str">
            <v>CS09</v>
          </cell>
          <cell r="F969">
            <v>1</v>
          </cell>
          <cell r="G969">
            <v>0.35934634300000001</v>
          </cell>
          <cell r="H969">
            <v>0.30675981899999999</v>
          </cell>
          <cell r="I969">
            <v>1.5500309999999999E-3</v>
          </cell>
          <cell r="J969">
            <v>4.7274279999999997E-3</v>
          </cell>
          <cell r="K969">
            <v>7.0003E-5</v>
          </cell>
          <cell r="L969">
            <v>0.149094699</v>
          </cell>
          <cell r="M969">
            <v>0.124462567</v>
          </cell>
          <cell r="N969">
            <v>1.460067E-3</v>
          </cell>
          <cell r="O969">
            <v>4.4744028999999998E-2</v>
          </cell>
          <cell r="P969">
            <v>4.6376380000000004E-3</v>
          </cell>
          <cell r="Q969">
            <v>3.1473759999999999E-3</v>
          </cell>
          <cell r="R969">
            <v>1</v>
          </cell>
          <cell r="S969">
            <v>0</v>
          </cell>
        </row>
      </sheetData>
      <sheetData sheetId="8">
        <row r="24">
          <cell r="H24">
            <v>0</v>
          </cell>
        </row>
        <row r="33">
          <cell r="H33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0</v>
          </cell>
        </row>
        <row r="101">
          <cell r="H101">
            <v>0</v>
          </cell>
        </row>
        <row r="102">
          <cell r="H102">
            <v>0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H105">
            <v>0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0</v>
          </cell>
        </row>
        <row r="113">
          <cell r="H113">
            <v>0</v>
          </cell>
        </row>
        <row r="114">
          <cell r="H114">
            <v>0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H117">
            <v>0</v>
          </cell>
        </row>
        <row r="118">
          <cell r="H118">
            <v>0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42">
          <cell r="H142">
            <v>0</v>
          </cell>
        </row>
        <row r="143">
          <cell r="H143">
            <v>0</v>
          </cell>
        </row>
        <row r="144">
          <cell r="H144">
            <v>0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0</v>
          </cell>
        </row>
        <row r="156">
          <cell r="H156">
            <v>0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67">
          <cell r="H167">
            <v>0</v>
          </cell>
        </row>
        <row r="168">
          <cell r="H168">
            <v>0</v>
          </cell>
        </row>
        <row r="169">
          <cell r="H169">
            <v>0</v>
          </cell>
        </row>
        <row r="170">
          <cell r="H170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4">
          <cell r="H184">
            <v>0</v>
          </cell>
        </row>
        <row r="185">
          <cell r="H185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0</v>
          </cell>
        </row>
        <row r="304">
          <cell r="H304">
            <v>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0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0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0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0</v>
          </cell>
        </row>
        <row r="396">
          <cell r="H396">
            <v>0</v>
          </cell>
        </row>
        <row r="397">
          <cell r="H397">
            <v>0</v>
          </cell>
        </row>
        <row r="402">
          <cell r="H402">
            <v>0</v>
          </cell>
        </row>
        <row r="403">
          <cell r="H403">
            <v>0</v>
          </cell>
        </row>
        <row r="404">
          <cell r="H404">
            <v>0</v>
          </cell>
        </row>
        <row r="407">
          <cell r="H407">
            <v>0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0</v>
          </cell>
        </row>
        <row r="447">
          <cell r="H447">
            <v>0</v>
          </cell>
        </row>
        <row r="448">
          <cell r="H448">
            <v>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0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0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0</v>
          </cell>
        </row>
        <row r="473">
          <cell r="H473">
            <v>0</v>
          </cell>
        </row>
        <row r="474">
          <cell r="H474">
            <v>0</v>
          </cell>
        </row>
        <row r="475">
          <cell r="H475">
            <v>0</v>
          </cell>
        </row>
        <row r="476">
          <cell r="H476">
            <v>0</v>
          </cell>
        </row>
        <row r="477">
          <cell r="H477">
            <v>0</v>
          </cell>
        </row>
        <row r="478">
          <cell r="H478">
            <v>0</v>
          </cell>
        </row>
        <row r="479">
          <cell r="H479">
            <v>0</v>
          </cell>
        </row>
        <row r="480">
          <cell r="H480">
            <v>0</v>
          </cell>
        </row>
        <row r="481">
          <cell r="H481">
            <v>0</v>
          </cell>
        </row>
        <row r="482">
          <cell r="H482">
            <v>0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0</v>
          </cell>
        </row>
        <row r="486">
          <cell r="H486">
            <v>0</v>
          </cell>
        </row>
        <row r="487">
          <cell r="H487">
            <v>0</v>
          </cell>
        </row>
        <row r="488">
          <cell r="H488">
            <v>0</v>
          </cell>
        </row>
        <row r="489">
          <cell r="H489">
            <v>0</v>
          </cell>
        </row>
        <row r="490">
          <cell r="H490">
            <v>0</v>
          </cell>
        </row>
        <row r="491">
          <cell r="H491">
            <v>0</v>
          </cell>
        </row>
        <row r="495">
          <cell r="H495">
            <v>0</v>
          </cell>
        </row>
        <row r="496">
          <cell r="H496">
            <v>0</v>
          </cell>
        </row>
        <row r="497">
          <cell r="H497">
            <v>0</v>
          </cell>
        </row>
        <row r="498">
          <cell r="H498">
            <v>0</v>
          </cell>
        </row>
        <row r="499">
          <cell r="H499">
            <v>0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0</v>
          </cell>
        </row>
        <row r="516">
          <cell r="H516">
            <v>0</v>
          </cell>
        </row>
        <row r="517">
          <cell r="H517">
            <v>0</v>
          </cell>
        </row>
        <row r="521">
          <cell r="H521">
            <v>0</v>
          </cell>
        </row>
        <row r="525">
          <cell r="H525">
            <v>0</v>
          </cell>
        </row>
        <row r="526">
          <cell r="H526">
            <v>0</v>
          </cell>
        </row>
        <row r="527">
          <cell r="H527">
            <v>0</v>
          </cell>
        </row>
        <row r="528">
          <cell r="H528">
            <v>0</v>
          </cell>
        </row>
        <row r="529">
          <cell r="H529">
            <v>0</v>
          </cell>
        </row>
        <row r="530">
          <cell r="H530">
            <v>0</v>
          </cell>
        </row>
        <row r="531">
          <cell r="H531">
            <v>0</v>
          </cell>
        </row>
        <row r="533">
          <cell r="H533">
            <v>0</v>
          </cell>
        </row>
        <row r="534">
          <cell r="H534">
            <v>0</v>
          </cell>
        </row>
        <row r="535">
          <cell r="H535">
            <v>0</v>
          </cell>
        </row>
        <row r="536">
          <cell r="H536">
            <v>0</v>
          </cell>
        </row>
        <row r="537">
          <cell r="H537">
            <v>0</v>
          </cell>
        </row>
        <row r="538">
          <cell r="H538">
            <v>0</v>
          </cell>
        </row>
        <row r="539">
          <cell r="H539">
            <v>0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0</v>
          </cell>
        </row>
        <row r="543">
          <cell r="H543">
            <v>0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0</v>
          </cell>
        </row>
        <row r="562">
          <cell r="H562">
            <v>0</v>
          </cell>
        </row>
        <row r="566">
          <cell r="H566">
            <v>0</v>
          </cell>
        </row>
        <row r="570">
          <cell r="H570">
            <v>0</v>
          </cell>
        </row>
        <row r="574">
          <cell r="H574">
            <v>0</v>
          </cell>
        </row>
        <row r="578">
          <cell r="H578">
            <v>0</v>
          </cell>
        </row>
        <row r="596">
          <cell r="H596">
            <v>0</v>
          </cell>
        </row>
        <row r="597">
          <cell r="H597">
            <v>0</v>
          </cell>
        </row>
        <row r="601">
          <cell r="H601">
            <v>0</v>
          </cell>
        </row>
        <row r="602">
          <cell r="H602">
            <v>0</v>
          </cell>
        </row>
        <row r="603">
          <cell r="H603">
            <v>0</v>
          </cell>
        </row>
        <row r="604">
          <cell r="H604">
            <v>0</v>
          </cell>
        </row>
        <row r="608">
          <cell r="H608">
            <v>0</v>
          </cell>
        </row>
        <row r="609">
          <cell r="H609">
            <v>0</v>
          </cell>
        </row>
        <row r="632">
          <cell r="H632">
            <v>0</v>
          </cell>
        </row>
        <row r="636">
          <cell r="H636">
            <v>0</v>
          </cell>
        </row>
        <row r="637">
          <cell r="H637">
            <v>0</v>
          </cell>
        </row>
        <row r="638">
          <cell r="H638">
            <v>0</v>
          </cell>
        </row>
        <row r="644">
          <cell r="H644">
            <v>0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0</v>
          </cell>
        </row>
        <row r="648">
          <cell r="H648">
            <v>0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74">
          <cell r="H674">
            <v>0</v>
          </cell>
        </row>
        <row r="694">
          <cell r="H694">
            <v>0</v>
          </cell>
        </row>
        <row r="695">
          <cell r="H695">
            <v>0</v>
          </cell>
        </row>
        <row r="700">
          <cell r="H700">
            <v>0</v>
          </cell>
        </row>
        <row r="704">
          <cell r="H704">
            <v>0</v>
          </cell>
        </row>
        <row r="742">
          <cell r="H742">
            <v>0</v>
          </cell>
        </row>
        <row r="743">
          <cell r="H743">
            <v>0</v>
          </cell>
        </row>
        <row r="744">
          <cell r="H744">
            <v>0</v>
          </cell>
        </row>
        <row r="745">
          <cell r="H745">
            <v>0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0</v>
          </cell>
        </row>
        <row r="761">
          <cell r="H761">
            <v>0</v>
          </cell>
        </row>
        <row r="772">
          <cell r="H772">
            <v>0</v>
          </cell>
        </row>
        <row r="830">
          <cell r="F830">
            <v>648083</v>
          </cell>
          <cell r="G830">
            <v>275875</v>
          </cell>
          <cell r="H830">
            <v>190449</v>
          </cell>
          <cell r="I830">
            <v>819</v>
          </cell>
          <cell r="J830">
            <v>3656</v>
          </cell>
          <cell r="K830">
            <v>44</v>
          </cell>
          <cell r="L830">
            <v>84146</v>
          </cell>
          <cell r="M830">
            <v>67809</v>
          </cell>
          <cell r="N830">
            <v>917</v>
          </cell>
          <cell r="O830">
            <v>22422</v>
          </cell>
          <cell r="P830">
            <v>0</v>
          </cell>
          <cell r="Q830">
            <v>1946</v>
          </cell>
          <cell r="R830">
            <v>648083</v>
          </cell>
          <cell r="S830">
            <v>0</v>
          </cell>
        </row>
        <row r="831">
          <cell r="E831" t="str">
            <v>K201</v>
          </cell>
          <cell r="F831">
            <v>1</v>
          </cell>
          <cell r="G831">
            <v>0.42568000000000006</v>
          </cell>
          <cell r="H831">
            <v>0.29387000000000002</v>
          </cell>
          <cell r="I831">
            <v>1.2600000000000001E-3</v>
          </cell>
          <cell r="J831">
            <v>5.64E-3</v>
          </cell>
          <cell r="K831">
            <v>6.9999999999999994E-5</v>
          </cell>
          <cell r="L831">
            <v>0.12984000000000001</v>
          </cell>
          <cell r="M831">
            <v>0.10463</v>
          </cell>
          <cell r="N831">
            <v>1.41E-3</v>
          </cell>
          <cell r="O831">
            <v>3.4599999999999999E-2</v>
          </cell>
          <cell r="P831">
            <v>0</v>
          </cell>
          <cell r="Q831">
            <v>3.0000000000000001E-3</v>
          </cell>
          <cell r="R831">
            <v>1.0000000000000002</v>
          </cell>
          <cell r="S831">
            <v>0</v>
          </cell>
        </row>
        <row r="832">
          <cell r="F832">
            <v>648083</v>
          </cell>
          <cell r="G832">
            <v>275875</v>
          </cell>
          <cell r="H832">
            <v>190449</v>
          </cell>
          <cell r="I832">
            <v>819</v>
          </cell>
          <cell r="J832">
            <v>3656</v>
          </cell>
          <cell r="K832">
            <v>44</v>
          </cell>
          <cell r="L832">
            <v>84146</v>
          </cell>
          <cell r="M832">
            <v>67809</v>
          </cell>
          <cell r="N832">
            <v>917</v>
          </cell>
          <cell r="O832">
            <v>22422</v>
          </cell>
          <cell r="P832">
            <v>0</v>
          </cell>
          <cell r="Q832">
            <v>1946</v>
          </cell>
          <cell r="R832">
            <v>648083</v>
          </cell>
          <cell r="S832">
            <v>0</v>
          </cell>
        </row>
        <row r="833">
          <cell r="E833" t="str">
            <v>K202</v>
          </cell>
          <cell r="F833">
            <v>1</v>
          </cell>
          <cell r="G833">
            <v>0.42568000000000006</v>
          </cell>
          <cell r="H833">
            <v>0.29387000000000002</v>
          </cell>
          <cell r="I833">
            <v>1.2600000000000001E-3</v>
          </cell>
          <cell r="J833">
            <v>5.64E-3</v>
          </cell>
          <cell r="K833">
            <v>6.9999999999999994E-5</v>
          </cell>
          <cell r="L833">
            <v>0.12984000000000001</v>
          </cell>
          <cell r="M833">
            <v>0.10463</v>
          </cell>
          <cell r="N833">
            <v>1.41E-3</v>
          </cell>
          <cell r="O833">
            <v>3.4599999999999999E-2</v>
          </cell>
          <cell r="P833">
            <v>0</v>
          </cell>
          <cell r="Q833">
            <v>3.0000000000000001E-3</v>
          </cell>
          <cell r="R833">
            <v>1.0000000000000002</v>
          </cell>
          <cell r="S833">
            <v>0</v>
          </cell>
        </row>
        <row r="834">
          <cell r="F834">
            <v>1647331</v>
          </cell>
          <cell r="G834">
            <v>1006247</v>
          </cell>
          <cell r="H834">
            <v>345716</v>
          </cell>
          <cell r="I834">
            <v>1108</v>
          </cell>
          <cell r="J834">
            <v>13538</v>
          </cell>
          <cell r="K834">
            <v>107</v>
          </cell>
          <cell r="L834">
            <v>117501</v>
          </cell>
          <cell r="M834">
            <v>94629</v>
          </cell>
          <cell r="N834">
            <v>6558</v>
          </cell>
          <cell r="O834">
            <v>52159</v>
          </cell>
          <cell r="P834">
            <v>6010</v>
          </cell>
          <cell r="Q834">
            <v>3758</v>
          </cell>
          <cell r="R834">
            <v>1647331</v>
          </cell>
          <cell r="S834">
            <v>0</v>
          </cell>
        </row>
        <row r="835">
          <cell r="E835" t="str">
            <v>K203</v>
          </cell>
          <cell r="F835">
            <v>1</v>
          </cell>
          <cell r="G835">
            <v>0.61085</v>
          </cell>
          <cell r="H835">
            <v>0.20985999999999999</v>
          </cell>
          <cell r="I835">
            <v>6.7000000000000002E-4</v>
          </cell>
          <cell r="J835">
            <v>8.2199999999999999E-3</v>
          </cell>
          <cell r="K835">
            <v>6.0000000000000002E-5</v>
          </cell>
          <cell r="L835">
            <v>7.1330000000000005E-2</v>
          </cell>
          <cell r="M835">
            <v>5.7439999999999998E-2</v>
          </cell>
          <cell r="N835">
            <v>3.98E-3</v>
          </cell>
          <cell r="O835">
            <v>3.1660000000000001E-2</v>
          </cell>
          <cell r="P835">
            <v>3.65E-3</v>
          </cell>
          <cell r="Q835">
            <v>2.2799999999999999E-3</v>
          </cell>
          <cell r="R835">
            <v>1</v>
          </cell>
          <cell r="S835">
            <v>0</v>
          </cell>
        </row>
        <row r="836">
          <cell r="F836">
            <v>708591</v>
          </cell>
          <cell r="G836">
            <v>315144</v>
          </cell>
          <cell r="H836">
            <v>219094</v>
          </cell>
          <cell r="I836">
            <v>924</v>
          </cell>
          <cell r="J836">
            <v>4810</v>
          </cell>
          <cell r="K836">
            <v>51</v>
          </cell>
          <cell r="L836">
            <v>88885</v>
          </cell>
          <cell r="M836">
            <v>71748</v>
          </cell>
          <cell r="N836">
            <v>939</v>
          </cell>
          <cell r="O836">
            <v>0</v>
          </cell>
          <cell r="P836">
            <v>4747</v>
          </cell>
          <cell r="Q836">
            <v>2249</v>
          </cell>
          <cell r="R836">
            <v>708591</v>
          </cell>
          <cell r="S836">
            <v>0</v>
          </cell>
        </row>
        <row r="837">
          <cell r="E837" t="str">
            <v>K205</v>
          </cell>
          <cell r="F837">
            <v>1</v>
          </cell>
          <cell r="G837">
            <v>0.44474999999999987</v>
          </cell>
          <cell r="H837">
            <v>0.30919999999999997</v>
          </cell>
          <cell r="I837">
            <v>1.2999999999999999E-3</v>
          </cell>
          <cell r="J837">
            <v>6.79E-3</v>
          </cell>
          <cell r="K837">
            <v>6.9999999999999994E-5</v>
          </cell>
          <cell r="L837">
            <v>0.12544</v>
          </cell>
          <cell r="M837">
            <v>0.10125000000000001</v>
          </cell>
          <cell r="N837">
            <v>1.33E-3</v>
          </cell>
          <cell r="O837">
            <v>0</v>
          </cell>
          <cell r="P837">
            <v>6.7000000000000002E-3</v>
          </cell>
          <cell r="Q837">
            <v>3.1700000000000001E-3</v>
          </cell>
          <cell r="R837">
            <v>1</v>
          </cell>
          <cell r="S837">
            <v>0</v>
          </cell>
        </row>
        <row r="838">
          <cell r="F838">
            <v>708591</v>
          </cell>
          <cell r="G838">
            <v>315144</v>
          </cell>
          <cell r="H838">
            <v>219094</v>
          </cell>
          <cell r="I838">
            <v>924</v>
          </cell>
          <cell r="J838">
            <v>4810</v>
          </cell>
          <cell r="K838">
            <v>51</v>
          </cell>
          <cell r="L838">
            <v>88885</v>
          </cell>
          <cell r="M838">
            <v>71748</v>
          </cell>
          <cell r="N838">
            <v>939</v>
          </cell>
          <cell r="O838">
            <v>0</v>
          </cell>
          <cell r="P838">
            <v>4747</v>
          </cell>
          <cell r="Q838">
            <v>2249</v>
          </cell>
          <cell r="R838">
            <v>708591</v>
          </cell>
          <cell r="S838">
            <v>0</v>
          </cell>
        </row>
        <row r="839">
          <cell r="E839" t="str">
            <v>K206</v>
          </cell>
          <cell r="F839">
            <v>1</v>
          </cell>
          <cell r="G839">
            <v>0.44474999999999987</v>
          </cell>
          <cell r="H839">
            <v>0.30919999999999997</v>
          </cell>
          <cell r="I839">
            <v>1.2999999999999999E-3</v>
          </cell>
          <cell r="J839">
            <v>6.79E-3</v>
          </cell>
          <cell r="K839">
            <v>6.9999999999999994E-5</v>
          </cell>
          <cell r="L839">
            <v>0.12544</v>
          </cell>
          <cell r="M839">
            <v>0.10125000000000001</v>
          </cell>
          <cell r="N839">
            <v>1.33E-3</v>
          </cell>
          <cell r="O839">
            <v>0</v>
          </cell>
          <cell r="P839">
            <v>6.7000000000000002E-3</v>
          </cell>
          <cell r="Q839">
            <v>3.1700000000000001E-3</v>
          </cell>
          <cell r="R839">
            <v>1</v>
          </cell>
          <cell r="S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E841" t="str">
            <v>K209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F842">
            <v>708591</v>
          </cell>
          <cell r="G842">
            <v>315144</v>
          </cell>
          <cell r="H842">
            <v>219094</v>
          </cell>
          <cell r="I842">
            <v>924</v>
          </cell>
          <cell r="J842">
            <v>4810</v>
          </cell>
          <cell r="K842">
            <v>51</v>
          </cell>
          <cell r="L842">
            <v>88885</v>
          </cell>
          <cell r="M842">
            <v>71748</v>
          </cell>
          <cell r="N842">
            <v>939</v>
          </cell>
          <cell r="O842">
            <v>0</v>
          </cell>
          <cell r="P842">
            <v>4747</v>
          </cell>
          <cell r="Q842">
            <v>2249</v>
          </cell>
          <cell r="R842">
            <v>708591</v>
          </cell>
          <cell r="S842">
            <v>0</v>
          </cell>
        </row>
        <row r="843">
          <cell r="E843" t="str">
            <v>K215</v>
          </cell>
          <cell r="F843">
            <v>1</v>
          </cell>
          <cell r="G843">
            <v>0.44474999999999987</v>
          </cell>
          <cell r="H843">
            <v>0.30919999999999997</v>
          </cell>
          <cell r="I843">
            <v>1.2999999999999999E-3</v>
          </cell>
          <cell r="J843">
            <v>6.79E-3</v>
          </cell>
          <cell r="K843">
            <v>6.9999999999999994E-5</v>
          </cell>
          <cell r="L843">
            <v>0.12544</v>
          </cell>
          <cell r="M843">
            <v>0.10125000000000001</v>
          </cell>
          <cell r="N843">
            <v>1.33E-3</v>
          </cell>
          <cell r="O843">
            <v>0</v>
          </cell>
          <cell r="P843">
            <v>6.7000000000000002E-3</v>
          </cell>
          <cell r="Q843">
            <v>3.1700000000000001E-3</v>
          </cell>
          <cell r="R843">
            <v>1</v>
          </cell>
          <cell r="S843">
            <v>0</v>
          </cell>
        </row>
        <row r="844">
          <cell r="F844">
            <v>165672</v>
          </cell>
          <cell r="G844">
            <v>137520</v>
          </cell>
          <cell r="H844">
            <v>24512</v>
          </cell>
          <cell r="I844">
            <v>46</v>
          </cell>
          <cell r="J844">
            <v>264</v>
          </cell>
          <cell r="K844">
            <v>12</v>
          </cell>
          <cell r="L844">
            <v>342</v>
          </cell>
          <cell r="M844">
            <v>105</v>
          </cell>
          <cell r="N844">
            <v>30</v>
          </cell>
          <cell r="O844">
            <v>36</v>
          </cell>
          <cell r="P844">
            <v>2792</v>
          </cell>
          <cell r="Q844">
            <v>3</v>
          </cell>
          <cell r="R844">
            <v>165662</v>
          </cell>
          <cell r="S844">
            <v>10</v>
          </cell>
        </row>
        <row r="845">
          <cell r="E845" t="str">
            <v>K217</v>
          </cell>
          <cell r="F845">
            <v>1</v>
          </cell>
          <cell r="G845">
            <v>0.83006999999999997</v>
          </cell>
          <cell r="H845">
            <v>0.14795</v>
          </cell>
          <cell r="I845">
            <v>2.7999999999999998E-4</v>
          </cell>
          <cell r="J845">
            <v>1.5900000000000001E-3</v>
          </cell>
          <cell r="K845">
            <v>6.9999999999999994E-5</v>
          </cell>
          <cell r="L845">
            <v>2.0600000000000002E-3</v>
          </cell>
          <cell r="M845">
            <v>6.3000000000000003E-4</v>
          </cell>
          <cell r="N845">
            <v>1.8000000000000001E-4</v>
          </cell>
          <cell r="O845">
            <v>2.2000000000000001E-4</v>
          </cell>
          <cell r="P845">
            <v>1.685E-2</v>
          </cell>
          <cell r="Q845">
            <v>2.0000000000000002E-5</v>
          </cell>
          <cell r="R845">
            <v>0.99991999999999992</v>
          </cell>
          <cell r="S845">
            <v>8.0000000000080007E-5</v>
          </cell>
        </row>
        <row r="846">
          <cell r="F846">
            <v>4101134214.1489997</v>
          </cell>
          <cell r="G846">
            <v>1470196498.845</v>
          </cell>
          <cell r="H846">
            <v>1255081996.2449999</v>
          </cell>
          <cell r="I846">
            <v>6350133.8709999984</v>
          </cell>
          <cell r="J846">
            <v>19355665.91</v>
          </cell>
          <cell r="K846">
            <v>288048</v>
          </cell>
          <cell r="L846">
            <v>610848200.07483399</v>
          </cell>
          <cell r="M846">
            <v>509222309.26616597</v>
          </cell>
          <cell r="N846">
            <v>5979794.5269999998</v>
          </cell>
          <cell r="O846">
            <v>191982350.88400003</v>
          </cell>
          <cell r="P846">
            <v>18971771.526000001</v>
          </cell>
          <cell r="Q846">
            <v>12857445</v>
          </cell>
          <cell r="R846">
            <v>4101134214.1489997</v>
          </cell>
          <cell r="S846">
            <v>0</v>
          </cell>
        </row>
        <row r="847">
          <cell r="E847" t="str">
            <v>K301</v>
          </cell>
          <cell r="F847">
            <v>1</v>
          </cell>
          <cell r="G847">
            <v>0.35846999999999984</v>
          </cell>
          <cell r="H847">
            <v>0.30603000000000002</v>
          </cell>
          <cell r="I847">
            <v>1.5499999999999999E-3</v>
          </cell>
          <cell r="J847">
            <v>4.7200000000000002E-3</v>
          </cell>
          <cell r="K847">
            <v>6.9999999999999994E-5</v>
          </cell>
          <cell r="L847">
            <v>0.14895</v>
          </cell>
          <cell r="M847">
            <v>0.12417</v>
          </cell>
          <cell r="N847">
            <v>1.4599999999999999E-3</v>
          </cell>
          <cell r="O847">
            <v>4.6809999999999997E-2</v>
          </cell>
          <cell r="P847">
            <v>4.6299999999999996E-3</v>
          </cell>
          <cell r="Q847">
            <v>3.14E-3</v>
          </cell>
          <cell r="R847">
            <v>1</v>
          </cell>
          <cell r="S847">
            <v>0</v>
          </cell>
        </row>
        <row r="848">
          <cell r="F848">
            <v>4101134214.1489997</v>
          </cell>
          <cell r="G848">
            <v>1470196498.845</v>
          </cell>
          <cell r="H848">
            <v>1255081996.2449999</v>
          </cell>
          <cell r="I848">
            <v>6350133.8709999984</v>
          </cell>
          <cell r="J848">
            <v>19355665.91</v>
          </cell>
          <cell r="K848">
            <v>288048</v>
          </cell>
          <cell r="L848">
            <v>610848200.07483399</v>
          </cell>
          <cell r="M848">
            <v>509222309.26616597</v>
          </cell>
          <cell r="N848">
            <v>5979794.5269999998</v>
          </cell>
          <cell r="O848">
            <v>179959630.88400003</v>
          </cell>
          <cell r="P848">
            <v>18971771.526000001</v>
          </cell>
          <cell r="Q848">
            <v>12857445</v>
          </cell>
          <cell r="R848">
            <v>4089111494.1489997</v>
          </cell>
          <cell r="S848">
            <v>12022720</v>
          </cell>
        </row>
        <row r="849">
          <cell r="E849" t="str">
            <v>K303</v>
          </cell>
          <cell r="F849">
            <v>1</v>
          </cell>
          <cell r="G849">
            <v>0.35848999999999998</v>
          </cell>
          <cell r="H849">
            <v>0.30603000000000002</v>
          </cell>
          <cell r="I849">
            <v>1.5499999999999999E-3</v>
          </cell>
          <cell r="J849">
            <v>4.7200000000000002E-3</v>
          </cell>
          <cell r="K849">
            <v>6.9999999999999994E-5</v>
          </cell>
          <cell r="L849">
            <v>0.14895</v>
          </cell>
          <cell r="M849">
            <v>0.12417</v>
          </cell>
          <cell r="N849">
            <v>1.4599999999999999E-3</v>
          </cell>
          <cell r="O849">
            <v>4.3880000000000002E-2</v>
          </cell>
          <cell r="P849">
            <v>4.6299999999999996E-3</v>
          </cell>
          <cell r="Q849">
            <v>3.14E-3</v>
          </cell>
          <cell r="R849">
            <v>0.99709000000000014</v>
          </cell>
          <cell r="S849">
            <v>2.9099999999998571E-3</v>
          </cell>
        </row>
        <row r="850">
          <cell r="F850">
            <v>4082162442.6229997</v>
          </cell>
          <cell r="G850">
            <v>1470196498.845</v>
          </cell>
          <cell r="H850">
            <v>1255081996.2449999</v>
          </cell>
          <cell r="I850">
            <v>6350133.8709999984</v>
          </cell>
          <cell r="J850">
            <v>19355665.91</v>
          </cell>
          <cell r="K850">
            <v>288048</v>
          </cell>
          <cell r="L850">
            <v>610848200.07483399</v>
          </cell>
          <cell r="M850">
            <v>509222309.26616597</v>
          </cell>
          <cell r="N850">
            <v>5979794.5269999998</v>
          </cell>
          <cell r="O850">
            <v>191982350.88400003</v>
          </cell>
          <cell r="P850">
            <v>0</v>
          </cell>
          <cell r="Q850">
            <v>12857445</v>
          </cell>
          <cell r="R850">
            <v>4082162442.6229997</v>
          </cell>
          <cell r="S850">
            <v>0</v>
          </cell>
        </row>
        <row r="851">
          <cell r="E851" t="str">
            <v>K305</v>
          </cell>
          <cell r="F851">
            <v>1</v>
          </cell>
          <cell r="G851">
            <v>0.36014999999999997</v>
          </cell>
          <cell r="H851">
            <v>0.30746000000000001</v>
          </cell>
          <cell r="I851">
            <v>1.56E-3</v>
          </cell>
          <cell r="J851">
            <v>4.7400000000000003E-3</v>
          </cell>
          <cell r="K851">
            <v>6.9999999999999994E-5</v>
          </cell>
          <cell r="L851">
            <v>0.14964</v>
          </cell>
          <cell r="M851">
            <v>0.12474</v>
          </cell>
          <cell r="N851">
            <v>1.4599999999999999E-3</v>
          </cell>
          <cell r="O851">
            <v>4.7030000000000002E-2</v>
          </cell>
          <cell r="P851">
            <v>0</v>
          </cell>
          <cell r="Q851">
            <v>3.15E-3</v>
          </cell>
          <cell r="R851">
            <v>1</v>
          </cell>
          <cell r="S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0</v>
          </cell>
          <cell r="R854">
            <v>1</v>
          </cell>
          <cell r="S854">
            <v>0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0</v>
          </cell>
        </row>
        <row r="856">
          <cell r="F856">
            <v>152867</v>
          </cell>
          <cell r="G856">
            <v>137520</v>
          </cell>
          <cell r="H856">
            <v>12257</v>
          </cell>
          <cell r="I856">
            <v>23</v>
          </cell>
          <cell r="J856">
            <v>88</v>
          </cell>
          <cell r="K856">
            <v>12</v>
          </cell>
          <cell r="L856">
            <v>115</v>
          </cell>
          <cell r="M856">
            <v>35</v>
          </cell>
          <cell r="N856">
            <v>10</v>
          </cell>
          <cell r="O856">
            <v>12</v>
          </cell>
          <cell r="P856">
            <v>2792</v>
          </cell>
          <cell r="Q856">
            <v>1</v>
          </cell>
          <cell r="R856">
            <v>152865</v>
          </cell>
          <cell r="S856">
            <v>2</v>
          </cell>
        </row>
        <row r="857">
          <cell r="E857" t="str">
            <v>K405</v>
          </cell>
          <cell r="F857">
            <v>1</v>
          </cell>
          <cell r="G857">
            <v>0.89961000000000002</v>
          </cell>
          <cell r="H857">
            <v>8.0180000000000001E-2</v>
          </cell>
          <cell r="I857">
            <v>1.4999999999999999E-4</v>
          </cell>
          <cell r="J857">
            <v>5.8E-4</v>
          </cell>
          <cell r="K857">
            <v>8.0000000000000007E-5</v>
          </cell>
          <cell r="L857">
            <v>7.5000000000000002E-4</v>
          </cell>
          <cell r="M857">
            <v>2.3000000000000001E-4</v>
          </cell>
          <cell r="N857">
            <v>6.9999999999999994E-5</v>
          </cell>
          <cell r="O857">
            <v>8.0000000000000007E-5</v>
          </cell>
          <cell r="P857">
            <v>1.8259999999999998E-2</v>
          </cell>
          <cell r="Q857">
            <v>1.0000000000000001E-5</v>
          </cell>
          <cell r="R857">
            <v>0.99999999999999989</v>
          </cell>
          <cell r="S857">
            <v>0</v>
          </cell>
        </row>
        <row r="858">
          <cell r="F858">
            <v>22486890.793596428</v>
          </cell>
          <cell r="G858">
            <v>19829008.800000001</v>
          </cell>
          <cell r="H858">
            <v>2433684.8645095793</v>
          </cell>
          <cell r="I858">
            <v>0</v>
          </cell>
          <cell r="J858">
            <v>31509.280000000046</v>
          </cell>
          <cell r="K858">
            <v>2448</v>
          </cell>
          <cell r="L858">
            <v>111217.43855421687</v>
          </cell>
          <cell r="M858">
            <v>41635.072972972972</v>
          </cell>
          <cell r="N858">
            <v>20860.366666666669</v>
          </cell>
          <cell r="O858">
            <v>16328.400000000001</v>
          </cell>
          <cell r="P858">
            <v>0</v>
          </cell>
          <cell r="Q858">
            <v>198.5708929919696</v>
          </cell>
          <cell r="R858">
            <v>22486890.793596428</v>
          </cell>
          <cell r="S858">
            <v>0</v>
          </cell>
        </row>
        <row r="859">
          <cell r="E859" t="str">
            <v>K407</v>
          </cell>
          <cell r="F859">
            <v>1</v>
          </cell>
          <cell r="G859">
            <v>0.88178999999999996</v>
          </cell>
          <cell r="H859">
            <v>0.10823000000000001</v>
          </cell>
          <cell r="I859">
            <v>0</v>
          </cell>
          <cell r="J859">
            <v>1.4E-3</v>
          </cell>
          <cell r="K859">
            <v>1.1E-4</v>
          </cell>
          <cell r="L859">
            <v>4.9500000000000004E-3</v>
          </cell>
          <cell r="M859">
            <v>1.8500000000000001E-3</v>
          </cell>
          <cell r="N859">
            <v>9.3000000000000005E-4</v>
          </cell>
          <cell r="O859">
            <v>7.2999999999999996E-4</v>
          </cell>
          <cell r="P859">
            <v>0</v>
          </cell>
          <cell r="Q859">
            <v>1.0000000000000001E-5</v>
          </cell>
          <cell r="R859">
            <v>1</v>
          </cell>
          <cell r="S859">
            <v>0</v>
          </cell>
        </row>
        <row r="860">
          <cell r="F860">
            <v>154110</v>
          </cell>
          <cell r="G860">
            <v>137520</v>
          </cell>
          <cell r="H860">
            <v>12257</v>
          </cell>
          <cell r="I860">
            <v>23</v>
          </cell>
          <cell r="J860">
            <v>176</v>
          </cell>
          <cell r="K860">
            <v>12</v>
          </cell>
          <cell r="L860">
            <v>799</v>
          </cell>
          <cell r="M860">
            <v>280</v>
          </cell>
          <cell r="N860">
            <v>140</v>
          </cell>
          <cell r="O860">
            <v>110</v>
          </cell>
          <cell r="P860">
            <v>2792</v>
          </cell>
          <cell r="Q860">
            <v>1</v>
          </cell>
          <cell r="R860">
            <v>154110</v>
          </cell>
          <cell r="S860">
            <v>0</v>
          </cell>
        </row>
        <row r="861">
          <cell r="E861" t="str">
            <v>K409</v>
          </cell>
          <cell r="F861">
            <v>1</v>
          </cell>
          <cell r="G861">
            <v>0.89234999999999998</v>
          </cell>
          <cell r="H861">
            <v>7.9530000000000003E-2</v>
          </cell>
          <cell r="I861">
            <v>1.4999999999999999E-4</v>
          </cell>
          <cell r="J861">
            <v>1.14E-3</v>
          </cell>
          <cell r="K861">
            <v>8.0000000000000007E-5</v>
          </cell>
          <cell r="L861">
            <v>5.1799999999999997E-3</v>
          </cell>
          <cell r="M861">
            <v>1.82E-3</v>
          </cell>
          <cell r="N861">
            <v>9.1E-4</v>
          </cell>
          <cell r="O861">
            <v>7.1000000000000002E-4</v>
          </cell>
          <cell r="P861">
            <v>1.8120000000000001E-2</v>
          </cell>
          <cell r="Q861">
            <v>1.0000000000000001E-5</v>
          </cell>
          <cell r="R861">
            <v>0.99999999999999989</v>
          </cell>
          <cell r="S861">
            <v>0</v>
          </cell>
        </row>
        <row r="862">
          <cell r="F862">
            <v>2137114.169997225</v>
          </cell>
          <cell r="G862">
            <v>1924403</v>
          </cell>
          <cell r="H862">
            <v>108413.16999722505</v>
          </cell>
          <cell r="I862">
            <v>674</v>
          </cell>
          <cell r="J862">
            <v>1538</v>
          </cell>
          <cell r="K862">
            <v>43</v>
          </cell>
          <cell r="L862">
            <v>48098</v>
          </cell>
          <cell r="M862">
            <v>37329</v>
          </cell>
          <cell r="N862">
            <v>710</v>
          </cell>
          <cell r="O862">
            <v>13016</v>
          </cell>
          <cell r="P862">
            <v>2099</v>
          </cell>
          <cell r="Q862">
            <v>791</v>
          </cell>
          <cell r="R862">
            <v>2137114.169997225</v>
          </cell>
          <cell r="S862">
            <v>0</v>
          </cell>
        </row>
        <row r="863">
          <cell r="E863" t="str">
            <v>K411</v>
          </cell>
          <cell r="F863">
            <v>1</v>
          </cell>
          <cell r="G863">
            <v>0.90046000000000004</v>
          </cell>
          <cell r="H863">
            <v>5.0729999999999997E-2</v>
          </cell>
          <cell r="I863">
            <v>3.2000000000000003E-4</v>
          </cell>
          <cell r="J863">
            <v>7.2000000000000005E-4</v>
          </cell>
          <cell r="K863">
            <v>2.0000000000000002E-5</v>
          </cell>
          <cell r="L863">
            <v>2.2509999999999999E-2</v>
          </cell>
          <cell r="M863">
            <v>1.7469999999999999E-2</v>
          </cell>
          <cell r="N863">
            <v>3.3E-4</v>
          </cell>
          <cell r="O863">
            <v>6.0899999999999999E-3</v>
          </cell>
          <cell r="P863">
            <v>9.7999999999999997E-4</v>
          </cell>
          <cell r="Q863">
            <v>3.6999999999999999E-4</v>
          </cell>
          <cell r="R863">
            <v>1.0000000000000002</v>
          </cell>
          <cell r="S863">
            <v>0</v>
          </cell>
        </row>
        <row r="864">
          <cell r="F864">
            <v>4087989911.1489997</v>
          </cell>
          <cell r="G864">
            <v>1470196498.845</v>
          </cell>
          <cell r="H864">
            <v>1255084711.2449999</v>
          </cell>
          <cell r="I864">
            <v>6350133.8709999984</v>
          </cell>
          <cell r="J864">
            <v>19355665.91</v>
          </cell>
          <cell r="K864">
            <v>288048</v>
          </cell>
          <cell r="L864">
            <v>609723902.07483399</v>
          </cell>
          <cell r="M864">
            <v>509222309.26616597</v>
          </cell>
          <cell r="N864">
            <v>5979794.5269999998</v>
          </cell>
          <cell r="O864">
            <v>179959630.88400003</v>
          </cell>
          <cell r="P864">
            <v>18971771.526000001</v>
          </cell>
          <cell r="Q864">
            <v>12857445</v>
          </cell>
          <cell r="R864">
            <v>4087989911.1489997</v>
          </cell>
          <cell r="S864">
            <v>0</v>
          </cell>
        </row>
        <row r="865">
          <cell r="E865" t="str">
            <v>K302</v>
          </cell>
          <cell r="F865">
            <v>1</v>
          </cell>
          <cell r="G865">
            <v>0.35964000000000007</v>
          </cell>
          <cell r="H865">
            <v>0.30702000000000002</v>
          </cell>
          <cell r="I865">
            <v>1.5499999999999999E-3</v>
          </cell>
          <cell r="J865">
            <v>4.7299999999999998E-3</v>
          </cell>
          <cell r="K865">
            <v>6.9999999999999994E-5</v>
          </cell>
          <cell r="L865">
            <v>0.14915</v>
          </cell>
          <cell r="M865">
            <v>0.12457</v>
          </cell>
          <cell r="N865">
            <v>1.4599999999999999E-3</v>
          </cell>
          <cell r="O865">
            <v>4.4019999999999997E-2</v>
          </cell>
          <cell r="P865">
            <v>4.64E-3</v>
          </cell>
          <cell r="Q865">
            <v>3.15E-3</v>
          </cell>
          <cell r="R865">
            <v>1</v>
          </cell>
          <cell r="S865">
            <v>0</v>
          </cell>
        </row>
        <row r="867">
          <cell r="E867" t="str">
            <v>R600</v>
          </cell>
          <cell r="F867">
            <v>1</v>
          </cell>
          <cell r="G867">
            <v>1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1</v>
          </cell>
          <cell r="S867">
            <v>0</v>
          </cell>
        </row>
        <row r="868">
          <cell r="E868" t="str">
            <v>R602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70">
          <cell r="R870" t="str">
            <v>FR-16(7)(v)-5</v>
          </cell>
        </row>
        <row r="871">
          <cell r="R871" t="str">
            <v>WITNESS RESPONSIBLE:</v>
          </cell>
        </row>
        <row r="872">
          <cell r="R872" t="str">
            <v>JAMES E. ZIOLKOWSKI</v>
          </cell>
        </row>
        <row r="873">
          <cell r="R873" t="str">
            <v>PAGE 17 OF 18</v>
          </cell>
        </row>
        <row r="876">
          <cell r="F876" t="str">
            <v>TOTAL</v>
          </cell>
          <cell r="H876" t="str">
            <v>DS</v>
          </cell>
          <cell r="I876" t="str">
            <v>GSFL</v>
          </cell>
          <cell r="J876" t="str">
            <v>EH</v>
          </cell>
          <cell r="K876" t="str">
            <v>SP</v>
          </cell>
          <cell r="L876" t="str">
            <v>DT SEC</v>
          </cell>
          <cell r="M876" t="str">
            <v>DT PRI</v>
          </cell>
          <cell r="N876" t="str">
            <v>DP</v>
          </cell>
          <cell r="O876" t="str">
            <v>TT</v>
          </cell>
          <cell r="Q876" t="str">
            <v>OTHER</v>
          </cell>
        </row>
        <row r="877">
          <cell r="F877" t="str">
            <v>PRODUCTION</v>
          </cell>
          <cell r="G877" t="str">
            <v>RS</v>
          </cell>
          <cell r="H877" t="str">
            <v>SECONDARY</v>
          </cell>
          <cell r="I877" t="str">
            <v>SECONDARY</v>
          </cell>
          <cell r="J877" t="str">
            <v>SECONDARY</v>
          </cell>
          <cell r="K877" t="str">
            <v>SECONDARY</v>
          </cell>
          <cell r="L877" t="str">
            <v>SECONDARY</v>
          </cell>
          <cell r="M877" t="str">
            <v>PRIMARY</v>
          </cell>
          <cell r="N877" t="str">
            <v>PRIMARY</v>
          </cell>
          <cell r="O877" t="str">
            <v>TRANSMISSION</v>
          </cell>
          <cell r="P877" t="str">
            <v>LT</v>
          </cell>
          <cell r="Q877" t="str">
            <v>WATER</v>
          </cell>
          <cell r="R877" t="str">
            <v>TOTAL</v>
          </cell>
          <cell r="S877" t="str">
            <v>ALL</v>
          </cell>
        </row>
        <row r="878">
          <cell r="E878" t="str">
            <v>ALLO</v>
          </cell>
          <cell r="F878" t="str">
            <v>CUSTOMER</v>
          </cell>
          <cell r="G878" t="str">
            <v>RESIDENTIAL</v>
          </cell>
          <cell r="H878" t="str">
            <v>DISTRIBUTION</v>
          </cell>
          <cell r="I878" t="str">
            <v>DISTRIBUTION</v>
          </cell>
          <cell r="J878" t="str">
            <v>DISTRIBUTION</v>
          </cell>
          <cell r="K878" t="str">
            <v>DISTRIBUTION</v>
          </cell>
          <cell r="L878" t="str">
            <v>DISTRIBUTION</v>
          </cell>
          <cell r="M878" t="str">
            <v>DISTRIBUTION</v>
          </cell>
          <cell r="N878" t="str">
            <v>DISTRIBUTION</v>
          </cell>
          <cell r="O878" t="str">
            <v>TIME OF DAY</v>
          </cell>
          <cell r="P878" t="str">
            <v>LIGHTING</v>
          </cell>
          <cell r="Q878" t="str">
            <v>PUMPING</v>
          </cell>
          <cell r="R878" t="str">
            <v>AT ISSUE</v>
          </cell>
          <cell r="S878" t="str">
            <v>OTHER</v>
          </cell>
        </row>
        <row r="879">
          <cell r="E879">
            <v>1</v>
          </cell>
          <cell r="G879">
            <v>3</v>
          </cell>
          <cell r="H879">
            <v>4</v>
          </cell>
          <cell r="I879">
            <v>5</v>
          </cell>
          <cell r="J879">
            <v>6</v>
          </cell>
          <cell r="K879">
            <v>7</v>
          </cell>
          <cell r="L879">
            <v>8</v>
          </cell>
          <cell r="M879">
            <v>9</v>
          </cell>
          <cell r="N879">
            <v>10</v>
          </cell>
          <cell r="O879">
            <v>11</v>
          </cell>
          <cell r="P879">
            <v>12</v>
          </cell>
          <cell r="Q879">
            <v>13</v>
          </cell>
          <cell r="S879" t="str">
            <v xml:space="preserve"> </v>
          </cell>
        </row>
        <row r="881">
          <cell r="F881">
            <v>450848089</v>
          </cell>
          <cell r="G881">
            <v>197851566</v>
          </cell>
          <cell r="H881">
            <v>128946845</v>
          </cell>
          <cell r="I881">
            <v>800742</v>
          </cell>
          <cell r="J881">
            <v>1829152</v>
          </cell>
          <cell r="K881">
            <v>50918</v>
          </cell>
          <cell r="L881">
            <v>57206760</v>
          </cell>
          <cell r="M881">
            <v>44398656</v>
          </cell>
          <cell r="N881">
            <v>846253</v>
          </cell>
          <cell r="O881">
            <v>15479736</v>
          </cell>
          <cell r="P881">
            <v>2496338</v>
          </cell>
          <cell r="Q881">
            <v>941124</v>
          </cell>
          <cell r="R881">
            <v>450848090</v>
          </cell>
          <cell r="S881">
            <v>-1</v>
          </cell>
        </row>
        <row r="882">
          <cell r="E882" t="str">
            <v>K901</v>
          </cell>
          <cell r="F882">
            <v>1</v>
          </cell>
          <cell r="G882">
            <v>0.43884000000000001</v>
          </cell>
          <cell r="H882">
            <v>0.28600951899999999</v>
          </cell>
          <cell r="I882">
            <v>1.7760790000000001E-3</v>
          </cell>
          <cell r="J882">
            <v>4.0571360000000002E-3</v>
          </cell>
          <cell r="K882">
            <v>1.12938E-4</v>
          </cell>
          <cell r="L882">
            <v>0.126886997</v>
          </cell>
          <cell r="M882">
            <v>9.8478083999999994E-2</v>
          </cell>
          <cell r="N882">
            <v>1.877025E-3</v>
          </cell>
          <cell r="O882">
            <v>3.4334705E-2</v>
          </cell>
          <cell r="P882">
            <v>5.5369829999999997E-3</v>
          </cell>
          <cell r="Q882">
            <v>2.087453E-3</v>
          </cell>
          <cell r="R882">
            <v>0.99999691899999998</v>
          </cell>
          <cell r="S882">
            <v>3.0810000000158766E-6</v>
          </cell>
        </row>
        <row r="883">
          <cell r="F883">
            <v>450848089</v>
          </cell>
          <cell r="G883">
            <v>197851566</v>
          </cell>
          <cell r="H883">
            <v>128946845</v>
          </cell>
          <cell r="I883">
            <v>800742</v>
          </cell>
          <cell r="J883">
            <v>1829152</v>
          </cell>
          <cell r="K883">
            <v>50918</v>
          </cell>
          <cell r="L883">
            <v>57206760</v>
          </cell>
          <cell r="M883">
            <v>44398656</v>
          </cell>
          <cell r="N883">
            <v>846253</v>
          </cell>
          <cell r="O883">
            <v>15479736</v>
          </cell>
          <cell r="P883">
            <v>2496338</v>
          </cell>
          <cell r="Q883">
            <v>941124</v>
          </cell>
          <cell r="R883">
            <v>450848090</v>
          </cell>
          <cell r="S883">
            <v>-1</v>
          </cell>
        </row>
        <row r="884">
          <cell r="E884" t="str">
            <v>K902</v>
          </cell>
          <cell r="F884">
            <v>1</v>
          </cell>
          <cell r="G884">
            <v>0.43884000000000001</v>
          </cell>
          <cell r="H884">
            <v>0.28600951899999999</v>
          </cell>
          <cell r="I884">
            <v>1.7760790000000001E-3</v>
          </cell>
          <cell r="J884">
            <v>4.0571360000000002E-3</v>
          </cell>
          <cell r="K884">
            <v>1.12938E-4</v>
          </cell>
          <cell r="L884">
            <v>0.126886997</v>
          </cell>
          <cell r="M884">
            <v>9.8478083999999994E-2</v>
          </cell>
          <cell r="N884">
            <v>1.877025E-3</v>
          </cell>
          <cell r="O884">
            <v>3.4334705E-2</v>
          </cell>
          <cell r="P884">
            <v>5.5369829999999997E-3</v>
          </cell>
          <cell r="Q884">
            <v>2.087453E-3</v>
          </cell>
          <cell r="R884">
            <v>0.99999691899999998</v>
          </cell>
          <cell r="S884">
            <v>3.0810000000158766E-6</v>
          </cell>
        </row>
        <row r="888">
          <cell r="E888" t="str">
            <v>P129</v>
          </cell>
          <cell r="F888">
            <v>1</v>
          </cell>
          <cell r="G888">
            <v>1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1</v>
          </cell>
          <cell r="S888">
            <v>0</v>
          </cell>
        </row>
        <row r="889">
          <cell r="E889" t="str">
            <v>T129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</row>
        <row r="890">
          <cell r="E890" t="str">
            <v>PT29</v>
          </cell>
          <cell r="F890">
            <v>1</v>
          </cell>
          <cell r="G890">
            <v>1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</v>
          </cell>
          <cell r="S890">
            <v>0</v>
          </cell>
        </row>
        <row r="891">
          <cell r="E891" t="str">
            <v>D149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</row>
        <row r="892">
          <cell r="E892" t="str">
            <v>TD29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</row>
        <row r="893">
          <cell r="E893" t="str">
            <v>PD29</v>
          </cell>
          <cell r="F893">
            <v>1</v>
          </cell>
          <cell r="G893">
            <v>1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1</v>
          </cell>
          <cell r="S893">
            <v>0</v>
          </cell>
        </row>
        <row r="894">
          <cell r="E894" t="str">
            <v>G129</v>
          </cell>
          <cell r="F894">
            <v>1</v>
          </cell>
          <cell r="G894">
            <v>1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1</v>
          </cell>
          <cell r="S894">
            <v>0</v>
          </cell>
        </row>
        <row r="895">
          <cell r="E895" t="str">
            <v>C129</v>
          </cell>
          <cell r="F895">
            <v>1</v>
          </cell>
          <cell r="G895">
            <v>1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1</v>
          </cell>
          <cell r="S895">
            <v>0</v>
          </cell>
        </row>
        <row r="896">
          <cell r="E896" t="str">
            <v>GP19</v>
          </cell>
          <cell r="F896">
            <v>1</v>
          </cell>
          <cell r="G896">
            <v>1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1</v>
          </cell>
          <cell r="S896">
            <v>0</v>
          </cell>
        </row>
        <row r="897">
          <cell r="E897" t="str">
            <v>DR19</v>
          </cell>
          <cell r="F897">
            <v>1</v>
          </cell>
          <cell r="G897">
            <v>1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</v>
          </cell>
          <cell r="S897">
            <v>0</v>
          </cell>
        </row>
        <row r="900">
          <cell r="E900" t="str">
            <v>P229</v>
          </cell>
          <cell r="F900">
            <v>1</v>
          </cell>
          <cell r="G900">
            <v>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1</v>
          </cell>
          <cell r="S900">
            <v>0</v>
          </cell>
        </row>
        <row r="901">
          <cell r="E901" t="str">
            <v>T229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</row>
        <row r="902">
          <cell r="E902" t="str">
            <v>PL49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E903" t="str">
            <v>D249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E904" t="str">
            <v>NT29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</row>
        <row r="905">
          <cell r="E905" t="str">
            <v>G229</v>
          </cell>
          <cell r="F905">
            <v>1</v>
          </cell>
          <cell r="G905">
            <v>1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1</v>
          </cell>
          <cell r="S905">
            <v>0</v>
          </cell>
        </row>
        <row r="906">
          <cell r="E906" t="str">
            <v>C229</v>
          </cell>
          <cell r="F906">
            <v>1</v>
          </cell>
          <cell r="G906">
            <v>1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1</v>
          </cell>
          <cell r="S906">
            <v>0</v>
          </cell>
        </row>
        <row r="907">
          <cell r="E907" t="str">
            <v>NP29</v>
          </cell>
          <cell r="F907">
            <v>1</v>
          </cell>
          <cell r="G907">
            <v>1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1</v>
          </cell>
          <cell r="S907">
            <v>0</v>
          </cell>
        </row>
        <row r="910">
          <cell r="E910" t="str">
            <v>W669</v>
          </cell>
          <cell r="F910">
            <v>1</v>
          </cell>
          <cell r="G910">
            <v>1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1</v>
          </cell>
          <cell r="S910">
            <v>0</v>
          </cell>
        </row>
        <row r="911">
          <cell r="E911" t="str">
            <v>W689</v>
          </cell>
          <cell r="F911">
            <v>1</v>
          </cell>
          <cell r="G911">
            <v>1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1</v>
          </cell>
          <cell r="S911">
            <v>0</v>
          </cell>
        </row>
        <row r="912">
          <cell r="E912" t="str">
            <v>W719</v>
          </cell>
          <cell r="F912">
            <v>1</v>
          </cell>
          <cell r="G912">
            <v>1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</row>
        <row r="913">
          <cell r="E913" t="str">
            <v>W749</v>
          </cell>
          <cell r="F913">
            <v>1</v>
          </cell>
          <cell r="G913">
            <v>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1</v>
          </cell>
          <cell r="S913">
            <v>0</v>
          </cell>
        </row>
        <row r="914">
          <cell r="E914" t="str">
            <v>WC79</v>
          </cell>
          <cell r="F914">
            <v>1</v>
          </cell>
          <cell r="G914">
            <v>1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</v>
          </cell>
          <cell r="S914">
            <v>0</v>
          </cell>
        </row>
        <row r="917">
          <cell r="E917" t="str">
            <v>RB29</v>
          </cell>
          <cell r="F917">
            <v>1</v>
          </cell>
          <cell r="G917">
            <v>1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</row>
        <row r="918">
          <cell r="E918" t="str">
            <v>RB99</v>
          </cell>
          <cell r="F918">
            <v>1</v>
          </cell>
          <cell r="G918">
            <v>1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1</v>
          </cell>
          <cell r="S918">
            <v>0</v>
          </cell>
        </row>
        <row r="919">
          <cell r="E919" t="str">
            <v>CW29</v>
          </cell>
          <cell r="F919">
            <v>1</v>
          </cell>
          <cell r="G919">
            <v>1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</row>
        <row r="921">
          <cell r="R921" t="str">
            <v>FR-16(7)(v)-5</v>
          </cell>
        </row>
        <row r="922">
          <cell r="R922" t="str">
            <v>WITNESS RESPONSIBLE:</v>
          </cell>
        </row>
        <row r="923">
          <cell r="R923" t="str">
            <v>JAMES E. ZIOLKOWSKI</v>
          </cell>
        </row>
        <row r="924">
          <cell r="R924" t="str">
            <v>PAGE 18 OF 18</v>
          </cell>
        </row>
        <row r="927">
          <cell r="F927" t="str">
            <v>TOTAL</v>
          </cell>
          <cell r="H927" t="str">
            <v>DS</v>
          </cell>
          <cell r="I927" t="str">
            <v>GSFL</v>
          </cell>
          <cell r="J927" t="str">
            <v>EH</v>
          </cell>
          <cell r="K927" t="str">
            <v>SP</v>
          </cell>
          <cell r="L927" t="str">
            <v>DT SEC</v>
          </cell>
          <cell r="M927" t="str">
            <v>DT PRI</v>
          </cell>
          <cell r="N927" t="str">
            <v>DP</v>
          </cell>
          <cell r="O927" t="str">
            <v>TT</v>
          </cell>
          <cell r="Q927" t="str">
            <v>OTHER</v>
          </cell>
        </row>
        <row r="928">
          <cell r="F928" t="str">
            <v>PRODUCTION</v>
          </cell>
          <cell r="G928" t="str">
            <v>RS</v>
          </cell>
          <cell r="H928" t="str">
            <v>SECONDARY</v>
          </cell>
          <cell r="I928" t="str">
            <v>SECONDARY</v>
          </cell>
          <cell r="J928" t="str">
            <v>SECONDARY</v>
          </cell>
          <cell r="K928" t="str">
            <v>SECONDARY</v>
          </cell>
          <cell r="L928" t="str">
            <v>SECONDARY</v>
          </cell>
          <cell r="M928" t="str">
            <v>PRIMARY</v>
          </cell>
          <cell r="N928" t="str">
            <v>PRIMARY</v>
          </cell>
          <cell r="O928" t="str">
            <v>TRANSMISSION</v>
          </cell>
          <cell r="P928" t="str">
            <v>LT</v>
          </cell>
          <cell r="Q928" t="str">
            <v>WATER</v>
          </cell>
          <cell r="R928" t="str">
            <v>TOTAL</v>
          </cell>
          <cell r="S928" t="str">
            <v>ALL</v>
          </cell>
        </row>
        <row r="929">
          <cell r="E929" t="str">
            <v>ALLO</v>
          </cell>
          <cell r="F929" t="str">
            <v>CUSTOMER</v>
          </cell>
          <cell r="G929" t="str">
            <v>RESIDENTIAL</v>
          </cell>
          <cell r="H929" t="str">
            <v>DISTRIBUTION</v>
          </cell>
          <cell r="I929" t="str">
            <v>DISTRIBUTION</v>
          </cell>
          <cell r="J929" t="str">
            <v>DISTRIBUTION</v>
          </cell>
          <cell r="K929" t="str">
            <v>DISTRIBUTION</v>
          </cell>
          <cell r="L929" t="str">
            <v>DISTRIBUTION</v>
          </cell>
          <cell r="M929" t="str">
            <v>DISTRIBUTION</v>
          </cell>
          <cell r="N929" t="str">
            <v>DISTRIBUTION</v>
          </cell>
          <cell r="O929" t="str">
            <v>TIME OF DAY</v>
          </cell>
          <cell r="P929" t="str">
            <v>LIGHTING</v>
          </cell>
          <cell r="Q929" t="str">
            <v>PUMPING</v>
          </cell>
          <cell r="R929" t="str">
            <v>AT ISSUE</v>
          </cell>
          <cell r="S929" t="str">
            <v>OTHER</v>
          </cell>
        </row>
        <row r="930">
          <cell r="E930">
            <v>1</v>
          </cell>
          <cell r="G930">
            <v>3</v>
          </cell>
          <cell r="H930">
            <v>4</v>
          </cell>
          <cell r="I930">
            <v>5</v>
          </cell>
          <cell r="J930">
            <v>6</v>
          </cell>
          <cell r="K930">
            <v>7</v>
          </cell>
          <cell r="L930">
            <v>8</v>
          </cell>
          <cell r="M930">
            <v>9</v>
          </cell>
          <cell r="N930">
            <v>10</v>
          </cell>
          <cell r="O930">
            <v>11</v>
          </cell>
          <cell r="P930">
            <v>12</v>
          </cell>
          <cell r="Q930">
            <v>13</v>
          </cell>
          <cell r="S930" t="str">
            <v xml:space="preserve"> </v>
          </cell>
        </row>
        <row r="932">
          <cell r="E932" t="str">
            <v>P349</v>
          </cell>
          <cell r="F932">
            <v>1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1</v>
          </cell>
        </row>
        <row r="933">
          <cell r="E933" t="str">
            <v>E349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1</v>
          </cell>
        </row>
        <row r="934">
          <cell r="E934" t="str">
            <v>P459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</v>
          </cell>
        </row>
        <row r="935">
          <cell r="E935" t="str">
            <v>T349</v>
          </cell>
          <cell r="F935">
            <v>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1</v>
          </cell>
        </row>
        <row r="936">
          <cell r="E936" t="str">
            <v>D349</v>
          </cell>
          <cell r="F936">
            <v>1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1</v>
          </cell>
        </row>
        <row r="937">
          <cell r="E937" t="str">
            <v>C311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1</v>
          </cell>
        </row>
        <row r="938">
          <cell r="E938" t="str">
            <v>C319</v>
          </cell>
          <cell r="F938">
            <v>1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1</v>
          </cell>
        </row>
        <row r="939">
          <cell r="E939" t="str">
            <v>C331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E940" t="str">
            <v>S319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1</v>
          </cell>
        </row>
        <row r="941">
          <cell r="E941" t="str">
            <v>OM39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1</v>
          </cell>
        </row>
        <row r="944">
          <cell r="E944" t="str">
            <v>A300</v>
          </cell>
          <cell r="F944">
            <v>1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</row>
        <row r="945">
          <cell r="E945" t="str">
            <v>A302</v>
          </cell>
          <cell r="F945">
            <v>1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1</v>
          </cell>
        </row>
        <row r="946">
          <cell r="E946" t="str">
            <v>A304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1</v>
          </cell>
        </row>
        <row r="947">
          <cell r="E947" t="str">
            <v>A306</v>
          </cell>
          <cell r="F947">
            <v>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</row>
        <row r="948">
          <cell r="E948" t="str">
            <v>A308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</row>
        <row r="949">
          <cell r="E949" t="str">
            <v>A310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1</v>
          </cell>
        </row>
        <row r="950">
          <cell r="E950" t="str">
            <v>A312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</v>
          </cell>
        </row>
        <row r="951">
          <cell r="E951" t="str">
            <v>A315</v>
          </cell>
          <cell r="F951">
            <v>1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1</v>
          </cell>
        </row>
        <row r="952">
          <cell r="E952" t="str">
            <v>A357</v>
          </cell>
          <cell r="F952">
            <v>1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1</v>
          </cell>
        </row>
        <row r="955">
          <cell r="E955" t="str">
            <v>P489</v>
          </cell>
          <cell r="F955">
            <v>1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1</v>
          </cell>
        </row>
        <row r="956">
          <cell r="E956" t="str">
            <v>T489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1</v>
          </cell>
        </row>
        <row r="957">
          <cell r="E957" t="str">
            <v>D489</v>
          </cell>
          <cell r="F957">
            <v>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1</v>
          </cell>
        </row>
        <row r="958">
          <cell r="E958" t="str">
            <v>G489</v>
          </cell>
          <cell r="F958">
            <v>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1</v>
          </cell>
        </row>
        <row r="959">
          <cell r="E959" t="str">
            <v>C489</v>
          </cell>
          <cell r="F959">
            <v>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1</v>
          </cell>
        </row>
        <row r="960">
          <cell r="E960" t="str">
            <v>DE49</v>
          </cell>
          <cell r="F960">
            <v>1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1</v>
          </cell>
        </row>
        <row r="963">
          <cell r="E963" t="str">
            <v>L529</v>
          </cell>
          <cell r="F963">
            <v>1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1</v>
          </cell>
        </row>
        <row r="964">
          <cell r="E964" t="str">
            <v>L589</v>
          </cell>
          <cell r="F964">
            <v>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1</v>
          </cell>
        </row>
        <row r="965">
          <cell r="E965" t="str">
            <v>L599</v>
          </cell>
          <cell r="F965">
            <v>1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1</v>
          </cell>
        </row>
        <row r="966">
          <cell r="E966" t="str">
            <v>OP69</v>
          </cell>
          <cell r="F966">
            <v>1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</row>
        <row r="969">
          <cell r="E969" t="str">
            <v>CS09</v>
          </cell>
          <cell r="F969">
            <v>1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</row>
      </sheetData>
      <sheetData sheetId="9">
        <row r="830">
          <cell r="F830">
            <v>648083</v>
          </cell>
          <cell r="G830">
            <v>648083</v>
          </cell>
          <cell r="H830">
            <v>0</v>
          </cell>
          <cell r="I830">
            <v>0</v>
          </cell>
        </row>
        <row r="831">
          <cell r="E831" t="str">
            <v>K201</v>
          </cell>
          <cell r="F831">
            <v>1</v>
          </cell>
          <cell r="G831">
            <v>1</v>
          </cell>
          <cell r="H831">
            <v>0</v>
          </cell>
          <cell r="I831">
            <v>0</v>
          </cell>
        </row>
        <row r="832">
          <cell r="F832">
            <v>648083</v>
          </cell>
          <cell r="G832">
            <v>648083</v>
          </cell>
          <cell r="H832">
            <v>0</v>
          </cell>
          <cell r="I832">
            <v>0</v>
          </cell>
        </row>
        <row r="833">
          <cell r="E833" t="str">
            <v>K202</v>
          </cell>
          <cell r="F833">
            <v>1</v>
          </cell>
          <cell r="G833">
            <v>1</v>
          </cell>
          <cell r="H833">
            <v>0</v>
          </cell>
          <cell r="I833">
            <v>0</v>
          </cell>
        </row>
        <row r="834">
          <cell r="F834">
            <v>1647331</v>
          </cell>
          <cell r="G834">
            <v>1647331</v>
          </cell>
          <cell r="H834">
            <v>0</v>
          </cell>
          <cell r="I834">
            <v>0</v>
          </cell>
        </row>
        <row r="835">
          <cell r="E835" t="str">
            <v>K203</v>
          </cell>
          <cell r="F835">
            <v>1</v>
          </cell>
          <cell r="G835">
            <v>1</v>
          </cell>
          <cell r="H835">
            <v>0</v>
          </cell>
          <cell r="I835">
            <v>0</v>
          </cell>
        </row>
        <row r="836">
          <cell r="F836">
            <v>708591</v>
          </cell>
          <cell r="G836">
            <v>708591</v>
          </cell>
          <cell r="H836">
            <v>0</v>
          </cell>
          <cell r="I836">
            <v>0</v>
          </cell>
        </row>
        <row r="837">
          <cell r="E837" t="str">
            <v>K205</v>
          </cell>
          <cell r="F837">
            <v>1</v>
          </cell>
          <cell r="G837">
            <v>1</v>
          </cell>
          <cell r="H837">
            <v>0</v>
          </cell>
          <cell r="I837">
            <v>0</v>
          </cell>
        </row>
        <row r="838">
          <cell r="F838">
            <v>708591</v>
          </cell>
          <cell r="G838">
            <v>708591</v>
          </cell>
          <cell r="H838">
            <v>0</v>
          </cell>
          <cell r="I838">
            <v>0</v>
          </cell>
        </row>
        <row r="839">
          <cell r="E839" t="str">
            <v>K206</v>
          </cell>
          <cell r="F839">
            <v>1</v>
          </cell>
          <cell r="G839">
            <v>1</v>
          </cell>
          <cell r="H839">
            <v>0</v>
          </cell>
          <cell r="I839">
            <v>0</v>
          </cell>
        </row>
        <row r="840">
          <cell r="F840">
            <v>26570</v>
          </cell>
          <cell r="G840">
            <v>0</v>
          </cell>
          <cell r="H840">
            <v>0</v>
          </cell>
          <cell r="I840">
            <v>26570</v>
          </cell>
        </row>
        <row r="841">
          <cell r="E841" t="str">
            <v>K209</v>
          </cell>
          <cell r="F841">
            <v>1</v>
          </cell>
          <cell r="G841">
            <v>0</v>
          </cell>
          <cell r="H841">
            <v>0</v>
          </cell>
          <cell r="I841">
            <v>1</v>
          </cell>
        </row>
        <row r="842">
          <cell r="F842">
            <v>708591</v>
          </cell>
          <cell r="G842">
            <v>708591</v>
          </cell>
          <cell r="H842">
            <v>0</v>
          </cell>
          <cell r="I842">
            <v>0</v>
          </cell>
        </row>
        <row r="843">
          <cell r="E843" t="str">
            <v>K215</v>
          </cell>
          <cell r="F843">
            <v>1</v>
          </cell>
          <cell r="G843">
            <v>1</v>
          </cell>
          <cell r="H843">
            <v>0</v>
          </cell>
          <cell r="I843">
            <v>0</v>
          </cell>
        </row>
        <row r="844">
          <cell r="F844">
            <v>165672</v>
          </cell>
          <cell r="G844">
            <v>0</v>
          </cell>
          <cell r="H844">
            <v>0</v>
          </cell>
          <cell r="I844">
            <v>165672</v>
          </cell>
        </row>
        <row r="845">
          <cell r="E845" t="str">
            <v>K217</v>
          </cell>
          <cell r="F845">
            <v>1</v>
          </cell>
          <cell r="G845">
            <v>0</v>
          </cell>
          <cell r="H845">
            <v>0</v>
          </cell>
          <cell r="I845">
            <v>1</v>
          </cell>
        </row>
        <row r="846">
          <cell r="F846">
            <v>4101134214.1489997</v>
          </cell>
          <cell r="G846">
            <v>0</v>
          </cell>
          <cell r="H846">
            <v>4101134214.1489997</v>
          </cell>
          <cell r="I846">
            <v>0</v>
          </cell>
        </row>
        <row r="847">
          <cell r="E847" t="str">
            <v>K301</v>
          </cell>
          <cell r="F847">
            <v>1</v>
          </cell>
          <cell r="G847">
            <v>0</v>
          </cell>
          <cell r="H847">
            <v>1</v>
          </cell>
          <cell r="I847">
            <v>0</v>
          </cell>
        </row>
        <row r="848">
          <cell r="F848">
            <v>4101134214.1489997</v>
          </cell>
          <cell r="G848">
            <v>0</v>
          </cell>
          <cell r="H848">
            <v>4101134214.1489997</v>
          </cell>
          <cell r="I848">
            <v>0</v>
          </cell>
        </row>
        <row r="849">
          <cell r="E849" t="str">
            <v>K303</v>
          </cell>
          <cell r="F849">
            <v>1</v>
          </cell>
          <cell r="G849">
            <v>0</v>
          </cell>
          <cell r="H849">
            <v>1</v>
          </cell>
          <cell r="I849">
            <v>0</v>
          </cell>
        </row>
        <row r="850">
          <cell r="F850">
            <v>4082162442.6229997</v>
          </cell>
          <cell r="G850">
            <v>0</v>
          </cell>
          <cell r="H850">
            <v>4082162442.6229997</v>
          </cell>
          <cell r="I850">
            <v>0</v>
          </cell>
        </row>
        <row r="851">
          <cell r="E851" t="str">
            <v>K305</v>
          </cell>
          <cell r="F851">
            <v>1</v>
          </cell>
          <cell r="G851">
            <v>0</v>
          </cell>
          <cell r="H851">
            <v>1</v>
          </cell>
          <cell r="I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</row>
        <row r="854">
          <cell r="F854">
            <v>1</v>
          </cell>
          <cell r="G854">
            <v>1</v>
          </cell>
          <cell r="H854">
            <v>0</v>
          </cell>
          <cell r="I854">
            <v>0</v>
          </cell>
        </row>
        <row r="855">
          <cell r="E855" t="str">
            <v>K401</v>
          </cell>
          <cell r="F855">
            <v>1</v>
          </cell>
          <cell r="G855">
            <v>1</v>
          </cell>
          <cell r="H855">
            <v>0</v>
          </cell>
          <cell r="I855">
            <v>0</v>
          </cell>
        </row>
        <row r="856">
          <cell r="F856">
            <v>152867</v>
          </cell>
          <cell r="G856">
            <v>0</v>
          </cell>
          <cell r="H856">
            <v>0</v>
          </cell>
          <cell r="I856">
            <v>152867</v>
          </cell>
        </row>
        <row r="857">
          <cell r="E857" t="str">
            <v>K405</v>
          </cell>
          <cell r="F857">
            <v>1</v>
          </cell>
          <cell r="G857">
            <v>0</v>
          </cell>
          <cell r="H857">
            <v>0</v>
          </cell>
          <cell r="I857">
            <v>1</v>
          </cell>
        </row>
        <row r="858">
          <cell r="F858">
            <v>22486890.793596428</v>
          </cell>
          <cell r="G858">
            <v>0</v>
          </cell>
          <cell r="H858">
            <v>0</v>
          </cell>
          <cell r="I858">
            <v>22486890.793596428</v>
          </cell>
        </row>
        <row r="859">
          <cell r="E859" t="str">
            <v>K407</v>
          </cell>
          <cell r="F859">
            <v>1</v>
          </cell>
          <cell r="G859">
            <v>0</v>
          </cell>
          <cell r="H859">
            <v>0</v>
          </cell>
          <cell r="I859">
            <v>1</v>
          </cell>
        </row>
        <row r="860">
          <cell r="F860">
            <v>154110</v>
          </cell>
          <cell r="G860">
            <v>0</v>
          </cell>
          <cell r="H860">
            <v>0</v>
          </cell>
          <cell r="I860">
            <v>154110</v>
          </cell>
        </row>
        <row r="861">
          <cell r="E861" t="str">
            <v>K409</v>
          </cell>
          <cell r="F861">
            <v>1</v>
          </cell>
          <cell r="G861">
            <v>0</v>
          </cell>
          <cell r="H861">
            <v>0</v>
          </cell>
          <cell r="I861">
            <v>1</v>
          </cell>
        </row>
        <row r="862">
          <cell r="F862">
            <v>2137114.169997225</v>
          </cell>
          <cell r="G862">
            <v>0</v>
          </cell>
          <cell r="H862">
            <v>0</v>
          </cell>
          <cell r="I862">
            <v>2137114.169997225</v>
          </cell>
        </row>
        <row r="863">
          <cell r="E863" t="str">
            <v>K411</v>
          </cell>
          <cell r="F863">
            <v>1</v>
          </cell>
          <cell r="G863">
            <v>0</v>
          </cell>
          <cell r="H863">
            <v>0</v>
          </cell>
          <cell r="I863">
            <v>1</v>
          </cell>
        </row>
        <row r="864">
          <cell r="F864">
            <v>4087989911.1489997</v>
          </cell>
          <cell r="G864">
            <v>0</v>
          </cell>
          <cell r="H864">
            <v>4087989911.1489997</v>
          </cell>
          <cell r="I864">
            <v>0</v>
          </cell>
        </row>
        <row r="865">
          <cell r="E865" t="str">
            <v>K302</v>
          </cell>
          <cell r="F865">
            <v>1</v>
          </cell>
          <cell r="G865">
            <v>0</v>
          </cell>
          <cell r="H865">
            <v>1</v>
          </cell>
          <cell r="I865">
            <v>0</v>
          </cell>
        </row>
        <row r="867">
          <cell r="E867" t="str">
            <v>R600</v>
          </cell>
          <cell r="F867">
            <v>49081129</v>
          </cell>
          <cell r="G867">
            <v>49043311</v>
          </cell>
          <cell r="H867">
            <v>0</v>
          </cell>
          <cell r="I867">
            <v>37818</v>
          </cell>
        </row>
        <row r="868">
          <cell r="E868" t="str">
            <v>R602</v>
          </cell>
          <cell r="F868">
            <v>16126836</v>
          </cell>
          <cell r="G868">
            <v>16011368</v>
          </cell>
          <cell r="H868">
            <v>0</v>
          </cell>
          <cell r="I868">
            <v>115468</v>
          </cell>
        </row>
        <row r="877">
          <cell r="F877" t="str">
            <v>TOTAL</v>
          </cell>
          <cell r="G877" t="str">
            <v>CLASSIFIED</v>
          </cell>
        </row>
        <row r="878">
          <cell r="E878" t="str">
            <v>ALLO</v>
          </cell>
          <cell r="F878" t="str">
            <v>TRANSMISSION</v>
          </cell>
          <cell r="G878" t="str">
            <v>DEMAND</v>
          </cell>
          <cell r="H878" t="str">
            <v>ENERGY</v>
          </cell>
          <cell r="I878" t="str">
            <v>CUSTOMER</v>
          </cell>
        </row>
        <row r="879">
          <cell r="E879">
            <v>1</v>
          </cell>
          <cell r="F879">
            <v>2</v>
          </cell>
          <cell r="G879">
            <v>3</v>
          </cell>
          <cell r="H879">
            <v>4</v>
          </cell>
          <cell r="I879">
            <v>5</v>
          </cell>
        </row>
        <row r="881">
          <cell r="F881">
            <v>49081129</v>
          </cell>
          <cell r="G881">
            <v>49043311</v>
          </cell>
          <cell r="H881">
            <v>0</v>
          </cell>
          <cell r="I881">
            <v>37818</v>
          </cell>
        </row>
        <row r="882">
          <cell r="E882" t="str">
            <v>K901</v>
          </cell>
          <cell r="F882">
            <v>1</v>
          </cell>
          <cell r="G882">
            <v>0.99922999999999995</v>
          </cell>
          <cell r="H882">
            <v>0</v>
          </cell>
          <cell r="I882">
            <v>7.6999999999999996E-4</v>
          </cell>
        </row>
        <row r="883">
          <cell r="F883">
            <v>16126836</v>
          </cell>
          <cell r="G883">
            <v>16011368</v>
          </cell>
          <cell r="H883">
            <v>0</v>
          </cell>
          <cell r="I883">
            <v>115468</v>
          </cell>
        </row>
        <row r="884">
          <cell r="E884" t="str">
            <v>K902</v>
          </cell>
          <cell r="F884">
            <v>1</v>
          </cell>
          <cell r="G884">
            <v>0.99283999999999994</v>
          </cell>
          <cell r="H884">
            <v>0</v>
          </cell>
          <cell r="I884">
            <v>7.11E-3</v>
          </cell>
        </row>
        <row r="888">
          <cell r="E888" t="str">
            <v>P129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</row>
        <row r="889">
          <cell r="E889" t="str">
            <v>T129</v>
          </cell>
          <cell r="F889">
            <v>1</v>
          </cell>
          <cell r="G889">
            <v>1</v>
          </cell>
          <cell r="H889">
            <v>0</v>
          </cell>
          <cell r="I889">
            <v>0</v>
          </cell>
        </row>
        <row r="890">
          <cell r="E890" t="str">
            <v>PT29</v>
          </cell>
          <cell r="F890">
            <v>1</v>
          </cell>
          <cell r="G890">
            <v>1</v>
          </cell>
          <cell r="H890">
            <v>0</v>
          </cell>
          <cell r="I890">
            <v>0</v>
          </cell>
        </row>
        <row r="891">
          <cell r="E891" t="str">
            <v>D149</v>
          </cell>
          <cell r="F891">
            <v>0</v>
          </cell>
          <cell r="G891">
            <v>0</v>
          </cell>
          <cell r="H891">
            <v>0</v>
          </cell>
          <cell r="I891">
            <v>1</v>
          </cell>
        </row>
        <row r="892">
          <cell r="E892" t="str">
            <v>TD29</v>
          </cell>
          <cell r="F892">
            <v>1</v>
          </cell>
          <cell r="G892">
            <v>0.99983</v>
          </cell>
          <cell r="H892">
            <v>0</v>
          </cell>
          <cell r="I892">
            <v>1.7000000000000001E-4</v>
          </cell>
        </row>
        <row r="893">
          <cell r="E893" t="str">
            <v>PD29</v>
          </cell>
          <cell r="F893">
            <v>1</v>
          </cell>
          <cell r="G893">
            <v>0.99311000000000005</v>
          </cell>
          <cell r="H893">
            <v>0</v>
          </cell>
          <cell r="I893">
            <v>6.8900000000000003E-3</v>
          </cell>
        </row>
        <row r="894">
          <cell r="E894" t="str">
            <v>G129</v>
          </cell>
          <cell r="F894">
            <v>1</v>
          </cell>
          <cell r="G894">
            <v>0.99311000000000005</v>
          </cell>
          <cell r="H894">
            <v>0</v>
          </cell>
          <cell r="I894">
            <v>6.8900000000000003E-3</v>
          </cell>
        </row>
        <row r="895">
          <cell r="E895" t="str">
            <v>C129</v>
          </cell>
          <cell r="F895">
            <v>1</v>
          </cell>
          <cell r="G895">
            <v>0.99963000000000002</v>
          </cell>
          <cell r="H895">
            <v>0</v>
          </cell>
          <cell r="I895">
            <v>3.6999999999999999E-4</v>
          </cell>
        </row>
        <row r="896">
          <cell r="E896" t="str">
            <v>GP19</v>
          </cell>
          <cell r="F896">
            <v>0</v>
          </cell>
          <cell r="G896">
            <v>0</v>
          </cell>
          <cell r="H896">
            <v>0</v>
          </cell>
          <cell r="I896">
            <v>1</v>
          </cell>
        </row>
        <row r="897">
          <cell r="E897" t="str">
            <v>DR19</v>
          </cell>
          <cell r="F897">
            <v>1</v>
          </cell>
          <cell r="G897">
            <v>0.99836999999999998</v>
          </cell>
          <cell r="H897">
            <v>0</v>
          </cell>
          <cell r="I897">
            <v>1.6299999999999999E-3</v>
          </cell>
        </row>
        <row r="900">
          <cell r="E900" t="str">
            <v>P229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</row>
        <row r="901">
          <cell r="E901" t="str">
            <v>T229</v>
          </cell>
          <cell r="F901">
            <v>1</v>
          </cell>
          <cell r="G901">
            <v>1</v>
          </cell>
          <cell r="H901">
            <v>0</v>
          </cell>
          <cell r="I901">
            <v>0</v>
          </cell>
        </row>
        <row r="902">
          <cell r="E902" t="str">
            <v>PL49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</row>
        <row r="903">
          <cell r="E903" t="str">
            <v>D249</v>
          </cell>
          <cell r="F903">
            <v>0</v>
          </cell>
          <cell r="G903">
            <v>0</v>
          </cell>
          <cell r="H903">
            <v>0</v>
          </cell>
          <cell r="I903">
            <v>1</v>
          </cell>
        </row>
        <row r="904">
          <cell r="E904" t="str">
            <v>NT29</v>
          </cell>
          <cell r="F904">
            <v>1</v>
          </cell>
          <cell r="G904">
            <v>0.99988999999999995</v>
          </cell>
          <cell r="H904">
            <v>0</v>
          </cell>
          <cell r="I904">
            <v>1.1E-4</v>
          </cell>
        </row>
        <row r="905">
          <cell r="E905" t="str">
            <v>G229</v>
          </cell>
          <cell r="F905">
            <v>1</v>
          </cell>
          <cell r="G905">
            <v>0.99311000000000005</v>
          </cell>
          <cell r="H905">
            <v>0</v>
          </cell>
          <cell r="I905">
            <v>6.8900000000000003E-3</v>
          </cell>
        </row>
        <row r="906">
          <cell r="E906" t="str">
            <v>C229</v>
          </cell>
          <cell r="F906">
            <v>1</v>
          </cell>
          <cell r="G906">
            <v>0.99312</v>
          </cell>
          <cell r="H906">
            <v>0</v>
          </cell>
          <cell r="I906">
            <v>6.8799999999999998E-3</v>
          </cell>
        </row>
        <row r="907">
          <cell r="E907" t="str">
            <v>NP29</v>
          </cell>
          <cell r="F907">
            <v>1</v>
          </cell>
          <cell r="G907">
            <v>0.99975000000000003</v>
          </cell>
          <cell r="H907">
            <v>0</v>
          </cell>
          <cell r="I907">
            <v>2.5000000000000001E-4</v>
          </cell>
        </row>
        <row r="910">
          <cell r="E910" t="str">
            <v>W669</v>
          </cell>
          <cell r="F910">
            <v>1</v>
          </cell>
          <cell r="G910">
            <v>0.99311000000000005</v>
          </cell>
          <cell r="H910">
            <v>0</v>
          </cell>
          <cell r="I910">
            <v>6.8900000000000003E-3</v>
          </cell>
        </row>
        <row r="911">
          <cell r="E911" t="str">
            <v>W689</v>
          </cell>
          <cell r="F911">
            <v>1</v>
          </cell>
          <cell r="G911">
            <v>0.99973999999999996</v>
          </cell>
          <cell r="H911">
            <v>0</v>
          </cell>
          <cell r="I911">
            <v>2.5999999999999998E-4</v>
          </cell>
        </row>
        <row r="912">
          <cell r="E912" t="str">
            <v>W719</v>
          </cell>
          <cell r="F912">
            <v>1</v>
          </cell>
          <cell r="G912">
            <v>0</v>
          </cell>
          <cell r="H912">
            <v>0</v>
          </cell>
          <cell r="I912">
            <v>0</v>
          </cell>
        </row>
        <row r="913">
          <cell r="E913" t="str">
            <v>W749</v>
          </cell>
          <cell r="F913">
            <v>1</v>
          </cell>
          <cell r="G913">
            <v>0</v>
          </cell>
          <cell r="H913">
            <v>0</v>
          </cell>
          <cell r="I913">
            <v>0</v>
          </cell>
        </row>
        <row r="914">
          <cell r="E914" t="str">
            <v>WC79</v>
          </cell>
          <cell r="F914">
            <v>1</v>
          </cell>
          <cell r="G914">
            <v>0.99339</v>
          </cell>
          <cell r="H914">
            <v>0</v>
          </cell>
          <cell r="I914">
            <v>6.6100000000000004E-3</v>
          </cell>
        </row>
        <row r="917">
          <cell r="E917" t="str">
            <v>RB29</v>
          </cell>
          <cell r="F917">
            <v>1</v>
          </cell>
          <cell r="G917">
            <v>0.99973000000000001</v>
          </cell>
          <cell r="H917">
            <v>0</v>
          </cell>
          <cell r="I917">
            <v>2.7E-4</v>
          </cell>
        </row>
        <row r="918">
          <cell r="E918" t="str">
            <v>RB99</v>
          </cell>
          <cell r="F918">
            <v>1</v>
          </cell>
          <cell r="G918">
            <v>0.99965000000000004</v>
          </cell>
          <cell r="H918">
            <v>0</v>
          </cell>
          <cell r="I918">
            <v>3.5E-4</v>
          </cell>
        </row>
        <row r="919">
          <cell r="E919" t="str">
            <v>CW29</v>
          </cell>
          <cell r="F919">
            <v>1</v>
          </cell>
          <cell r="G919">
            <v>0</v>
          </cell>
          <cell r="H919">
            <v>0</v>
          </cell>
          <cell r="I919">
            <v>0</v>
          </cell>
        </row>
        <row r="928">
          <cell r="F928" t="str">
            <v>TOTAL</v>
          </cell>
          <cell r="G928" t="str">
            <v>CLASSIFIED</v>
          </cell>
        </row>
        <row r="929">
          <cell r="E929" t="str">
            <v>ALLO</v>
          </cell>
          <cell r="F929" t="str">
            <v>TRANSMISSION</v>
          </cell>
          <cell r="G929" t="str">
            <v>DEMAND</v>
          </cell>
          <cell r="H929" t="str">
            <v>ENERGY</v>
          </cell>
          <cell r="I929" t="str">
            <v>CUSTOMER</v>
          </cell>
        </row>
        <row r="930">
          <cell r="E930">
            <v>1</v>
          </cell>
          <cell r="F930">
            <v>2</v>
          </cell>
          <cell r="G930">
            <v>3</v>
          </cell>
          <cell r="H930">
            <v>4</v>
          </cell>
          <cell r="I930">
            <v>5</v>
          </cell>
        </row>
        <row r="932">
          <cell r="E932" t="str">
            <v>P349</v>
          </cell>
          <cell r="F932">
            <v>1</v>
          </cell>
          <cell r="G932">
            <v>0</v>
          </cell>
          <cell r="H932">
            <v>0</v>
          </cell>
          <cell r="I932">
            <v>0</v>
          </cell>
        </row>
        <row r="933">
          <cell r="E933" t="str">
            <v>E349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</row>
        <row r="934">
          <cell r="E934" t="str">
            <v>P459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</row>
        <row r="935">
          <cell r="E935" t="str">
            <v>T349</v>
          </cell>
          <cell r="F935">
            <v>1</v>
          </cell>
          <cell r="G935">
            <v>1</v>
          </cell>
          <cell r="H935">
            <v>0</v>
          </cell>
          <cell r="I935">
            <v>0</v>
          </cell>
        </row>
        <row r="936">
          <cell r="E936" t="str">
            <v>D349</v>
          </cell>
          <cell r="F936">
            <v>1</v>
          </cell>
          <cell r="G936">
            <v>0</v>
          </cell>
          <cell r="H936">
            <v>0</v>
          </cell>
          <cell r="I936">
            <v>1</v>
          </cell>
        </row>
        <row r="937">
          <cell r="E937" t="str">
            <v>C311</v>
          </cell>
          <cell r="F937">
            <v>1</v>
          </cell>
          <cell r="G937">
            <v>0</v>
          </cell>
          <cell r="H937">
            <v>0</v>
          </cell>
          <cell r="I937">
            <v>1</v>
          </cell>
        </row>
        <row r="938">
          <cell r="E938" t="str">
            <v>C319</v>
          </cell>
          <cell r="F938">
            <v>1</v>
          </cell>
          <cell r="G938">
            <v>0</v>
          </cell>
          <cell r="H938">
            <v>0</v>
          </cell>
          <cell r="I938">
            <v>1</v>
          </cell>
        </row>
        <row r="939">
          <cell r="E939" t="str">
            <v>C331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</row>
        <row r="940">
          <cell r="E940" t="str">
            <v>S319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</row>
        <row r="941">
          <cell r="E941" t="str">
            <v>OM39</v>
          </cell>
          <cell r="F941">
            <v>1</v>
          </cell>
          <cell r="G941">
            <v>0.99907000000000001</v>
          </cell>
          <cell r="H941">
            <v>0</v>
          </cell>
          <cell r="I941">
            <v>9.3000000000000005E-4</v>
          </cell>
        </row>
        <row r="944">
          <cell r="E944" t="str">
            <v>A300</v>
          </cell>
          <cell r="F944">
            <v>1</v>
          </cell>
          <cell r="G944">
            <v>0</v>
          </cell>
          <cell r="H944">
            <v>0</v>
          </cell>
          <cell r="I944">
            <v>0</v>
          </cell>
        </row>
        <row r="945">
          <cell r="E945" t="str">
            <v>A302</v>
          </cell>
          <cell r="F945">
            <v>1</v>
          </cell>
          <cell r="G945">
            <v>0</v>
          </cell>
          <cell r="H945">
            <v>0</v>
          </cell>
          <cell r="I945">
            <v>0</v>
          </cell>
        </row>
        <row r="946">
          <cell r="E946" t="str">
            <v>A304</v>
          </cell>
          <cell r="F946">
            <v>1</v>
          </cell>
          <cell r="G946">
            <v>1</v>
          </cell>
          <cell r="H946">
            <v>0</v>
          </cell>
          <cell r="I946">
            <v>0</v>
          </cell>
        </row>
        <row r="947">
          <cell r="E947" t="str">
            <v>A306</v>
          </cell>
          <cell r="F947">
            <v>1</v>
          </cell>
          <cell r="G947">
            <v>0</v>
          </cell>
          <cell r="H947">
            <v>0</v>
          </cell>
          <cell r="I947">
            <v>1</v>
          </cell>
        </row>
        <row r="948">
          <cell r="E948" t="str">
            <v>A308</v>
          </cell>
          <cell r="F948">
            <v>1</v>
          </cell>
          <cell r="G948">
            <v>0</v>
          </cell>
          <cell r="H948">
            <v>0</v>
          </cell>
          <cell r="I948">
            <v>1</v>
          </cell>
        </row>
        <row r="949">
          <cell r="E949" t="str">
            <v>A310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</row>
        <row r="950">
          <cell r="E950" t="str">
            <v>A312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</row>
        <row r="951">
          <cell r="E951" t="str">
            <v>A315</v>
          </cell>
          <cell r="F951">
            <v>1</v>
          </cell>
          <cell r="G951">
            <v>0.99282999999999999</v>
          </cell>
          <cell r="H951">
            <v>0</v>
          </cell>
          <cell r="I951">
            <v>7.1700000000000002E-3</v>
          </cell>
        </row>
        <row r="952">
          <cell r="E952" t="str">
            <v>A357</v>
          </cell>
          <cell r="F952">
            <v>1</v>
          </cell>
          <cell r="G952">
            <v>0.99283999999999994</v>
          </cell>
          <cell r="H952">
            <v>0</v>
          </cell>
          <cell r="I952">
            <v>7.1599999999999997E-3</v>
          </cell>
        </row>
        <row r="955">
          <cell r="E955" t="str">
            <v>P489</v>
          </cell>
          <cell r="F955">
            <v>1</v>
          </cell>
          <cell r="G955">
            <v>0</v>
          </cell>
          <cell r="H955">
            <v>0</v>
          </cell>
          <cell r="I955">
            <v>0</v>
          </cell>
        </row>
        <row r="956">
          <cell r="E956" t="str">
            <v>T489</v>
          </cell>
          <cell r="F956">
            <v>1</v>
          </cell>
          <cell r="G956">
            <v>1</v>
          </cell>
          <cell r="H956">
            <v>0</v>
          </cell>
          <cell r="I956">
            <v>0</v>
          </cell>
        </row>
        <row r="957">
          <cell r="E957" t="str">
            <v>D489</v>
          </cell>
          <cell r="F957">
            <v>1</v>
          </cell>
          <cell r="G957">
            <v>0</v>
          </cell>
          <cell r="H957">
            <v>0</v>
          </cell>
          <cell r="I957">
            <v>1</v>
          </cell>
        </row>
        <row r="958">
          <cell r="E958" t="str">
            <v>G489</v>
          </cell>
          <cell r="F958">
            <v>1</v>
          </cell>
          <cell r="G958">
            <v>0.99311000000000005</v>
          </cell>
          <cell r="H958">
            <v>0</v>
          </cell>
          <cell r="I958">
            <v>6.8900000000000003E-3</v>
          </cell>
        </row>
        <row r="959">
          <cell r="E959" t="str">
            <v>C489</v>
          </cell>
          <cell r="F959">
            <v>1</v>
          </cell>
          <cell r="G959">
            <v>0.99312</v>
          </cell>
          <cell r="H959">
            <v>0</v>
          </cell>
          <cell r="I959">
            <v>6.8799999999999998E-3</v>
          </cell>
        </row>
        <row r="960">
          <cell r="E960" t="str">
            <v>DE49</v>
          </cell>
          <cell r="F960">
            <v>1</v>
          </cell>
          <cell r="G960">
            <v>0.99922999999999995</v>
          </cell>
          <cell r="H960">
            <v>0</v>
          </cell>
          <cell r="I960">
            <v>7.6999999999999996E-4</v>
          </cell>
        </row>
        <row r="963">
          <cell r="E963" t="str">
            <v>L529</v>
          </cell>
          <cell r="F963">
            <v>1</v>
          </cell>
          <cell r="G963">
            <v>0.99975000000000003</v>
          </cell>
          <cell r="H963">
            <v>0</v>
          </cell>
          <cell r="I963">
            <v>2.4999999999997247E-4</v>
          </cell>
        </row>
        <row r="964">
          <cell r="E964" t="str">
            <v>L589</v>
          </cell>
          <cell r="F964">
            <v>1</v>
          </cell>
          <cell r="G964">
            <v>0.99282999999999999</v>
          </cell>
          <cell r="H964">
            <v>0</v>
          </cell>
          <cell r="I964">
            <v>7.1700000000000097E-3</v>
          </cell>
        </row>
        <row r="965">
          <cell r="E965" t="str">
            <v>L599</v>
          </cell>
          <cell r="F965">
            <v>1</v>
          </cell>
          <cell r="G965">
            <v>0.99946999999999997</v>
          </cell>
          <cell r="H965">
            <v>0</v>
          </cell>
          <cell r="I965">
            <v>5.3000000000003045E-4</v>
          </cell>
        </row>
        <row r="966">
          <cell r="E966" t="str">
            <v>OP69</v>
          </cell>
          <cell r="F966">
            <v>1</v>
          </cell>
          <cell r="G966">
            <v>0.99909999999999999</v>
          </cell>
          <cell r="H966">
            <v>0</v>
          </cell>
          <cell r="I966">
            <v>9.000000000000119E-4</v>
          </cell>
        </row>
        <row r="969">
          <cell r="E969" t="str">
            <v>CS09</v>
          </cell>
          <cell r="F969">
            <v>1</v>
          </cell>
          <cell r="G969">
            <v>0.999229488</v>
          </cell>
          <cell r="H969">
            <v>0</v>
          </cell>
          <cell r="I969">
            <v>7.7051200000000097E-4</v>
          </cell>
        </row>
      </sheetData>
      <sheetData sheetId="10">
        <row r="24">
          <cell r="H24">
            <v>0</v>
          </cell>
        </row>
        <row r="33">
          <cell r="H33">
            <v>4705261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47226037</v>
          </cell>
        </row>
        <row r="67">
          <cell r="H67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0</v>
          </cell>
        </row>
        <row r="101">
          <cell r="H101">
            <v>0</v>
          </cell>
        </row>
        <row r="102">
          <cell r="H102">
            <v>1123809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H105">
            <v>0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0</v>
          </cell>
        </row>
        <row r="113">
          <cell r="H113">
            <v>0</v>
          </cell>
        </row>
        <row r="114">
          <cell r="H114">
            <v>377048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H117">
            <v>0</v>
          </cell>
        </row>
        <row r="118">
          <cell r="H118">
            <v>0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42">
          <cell r="H142">
            <v>0</v>
          </cell>
        </row>
        <row r="143">
          <cell r="H143">
            <v>3745158</v>
          </cell>
        </row>
        <row r="144">
          <cell r="H144">
            <v>14746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0</v>
          </cell>
        </row>
        <row r="156">
          <cell r="H156">
            <v>0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67">
          <cell r="H167">
            <v>0</v>
          </cell>
        </row>
        <row r="168">
          <cell r="H168">
            <v>0</v>
          </cell>
        </row>
        <row r="169">
          <cell r="H169">
            <v>0</v>
          </cell>
        </row>
        <row r="170">
          <cell r="H170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383069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4">
          <cell r="H184">
            <v>0</v>
          </cell>
        </row>
        <row r="185">
          <cell r="H185">
            <v>666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198902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2037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6495469</v>
          </cell>
        </row>
        <row r="304">
          <cell r="H304">
            <v>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1331563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122173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393861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412318</v>
          </cell>
        </row>
        <row r="396">
          <cell r="H396">
            <v>0</v>
          </cell>
        </row>
        <row r="397">
          <cell r="H397">
            <v>0</v>
          </cell>
        </row>
        <row r="402">
          <cell r="H402">
            <v>18369</v>
          </cell>
        </row>
        <row r="403">
          <cell r="H403">
            <v>0</v>
          </cell>
        </row>
        <row r="404">
          <cell r="H404">
            <v>0</v>
          </cell>
        </row>
        <row r="407">
          <cell r="H407">
            <v>0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37502134</v>
          </cell>
        </row>
        <row r="447">
          <cell r="H447">
            <v>0</v>
          </cell>
        </row>
        <row r="448">
          <cell r="H448">
            <v>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0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9878147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1010977</v>
          </cell>
        </row>
        <row r="473">
          <cell r="H473">
            <v>0</v>
          </cell>
        </row>
        <row r="474">
          <cell r="H474">
            <v>0</v>
          </cell>
        </row>
        <row r="475">
          <cell r="H475">
            <v>0</v>
          </cell>
        </row>
        <row r="476">
          <cell r="H476">
            <v>0</v>
          </cell>
        </row>
        <row r="477">
          <cell r="H477">
            <v>0</v>
          </cell>
        </row>
        <row r="478">
          <cell r="H478">
            <v>0</v>
          </cell>
        </row>
        <row r="479">
          <cell r="H479">
            <v>0</v>
          </cell>
        </row>
        <row r="480">
          <cell r="H480">
            <v>0</v>
          </cell>
        </row>
        <row r="481">
          <cell r="H481">
            <v>0</v>
          </cell>
        </row>
        <row r="482">
          <cell r="H482">
            <v>0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0</v>
          </cell>
        </row>
        <row r="486">
          <cell r="H486">
            <v>0</v>
          </cell>
        </row>
        <row r="487">
          <cell r="H487">
            <v>0</v>
          </cell>
        </row>
        <row r="488">
          <cell r="H488">
            <v>0</v>
          </cell>
        </row>
        <row r="489">
          <cell r="H489">
            <v>0</v>
          </cell>
        </row>
        <row r="490">
          <cell r="H490">
            <v>0</v>
          </cell>
        </row>
        <row r="491">
          <cell r="H491">
            <v>0</v>
          </cell>
        </row>
        <row r="495">
          <cell r="H495">
            <v>0</v>
          </cell>
        </row>
        <row r="496">
          <cell r="H496">
            <v>0</v>
          </cell>
        </row>
        <row r="497">
          <cell r="H497">
            <v>0</v>
          </cell>
        </row>
        <row r="498">
          <cell r="H498">
            <v>0</v>
          </cell>
        </row>
        <row r="499">
          <cell r="H499">
            <v>0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0</v>
          </cell>
        </row>
        <row r="516">
          <cell r="H516">
            <v>0</v>
          </cell>
        </row>
        <row r="517">
          <cell r="H517">
            <v>0</v>
          </cell>
        </row>
        <row r="521">
          <cell r="H521">
            <v>0</v>
          </cell>
        </row>
        <row r="525">
          <cell r="H525">
            <v>0</v>
          </cell>
        </row>
        <row r="526">
          <cell r="H526">
            <v>0</v>
          </cell>
        </row>
        <row r="527">
          <cell r="H527">
            <v>410457</v>
          </cell>
        </row>
        <row r="528">
          <cell r="H528">
            <v>0</v>
          </cell>
        </row>
        <row r="529">
          <cell r="H529">
            <v>0</v>
          </cell>
        </row>
        <row r="530">
          <cell r="H530">
            <v>0</v>
          </cell>
        </row>
        <row r="531">
          <cell r="H531">
            <v>0</v>
          </cell>
        </row>
        <row r="533">
          <cell r="H533">
            <v>1838</v>
          </cell>
        </row>
        <row r="534">
          <cell r="H534">
            <v>0</v>
          </cell>
        </row>
        <row r="535">
          <cell r="H535">
            <v>-20157</v>
          </cell>
        </row>
        <row r="536">
          <cell r="H536">
            <v>-3173</v>
          </cell>
        </row>
        <row r="537">
          <cell r="H537">
            <v>0</v>
          </cell>
        </row>
        <row r="538">
          <cell r="H538">
            <v>-5569</v>
          </cell>
        </row>
        <row r="539">
          <cell r="H539">
            <v>-9014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-24263</v>
          </cell>
        </row>
        <row r="543">
          <cell r="H543">
            <v>7882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13375</v>
          </cell>
        </row>
        <row r="562">
          <cell r="H562">
            <v>0</v>
          </cell>
        </row>
        <row r="566">
          <cell r="H566">
            <v>1039002</v>
          </cell>
        </row>
        <row r="570">
          <cell r="H570">
            <v>0</v>
          </cell>
        </row>
        <row r="574">
          <cell r="H574">
            <v>96271</v>
          </cell>
        </row>
        <row r="578">
          <cell r="H578">
            <v>4074</v>
          </cell>
        </row>
        <row r="596">
          <cell r="H596">
            <v>493515</v>
          </cell>
        </row>
        <row r="597">
          <cell r="H597">
            <v>0</v>
          </cell>
        </row>
        <row r="601">
          <cell r="H601">
            <v>19885</v>
          </cell>
        </row>
        <row r="602">
          <cell r="H602">
            <v>-776</v>
          </cell>
        </row>
        <row r="603">
          <cell r="H603">
            <v>-1051</v>
          </cell>
        </row>
        <row r="604">
          <cell r="H604">
            <v>1704</v>
          </cell>
        </row>
        <row r="608">
          <cell r="H608">
            <v>1105</v>
          </cell>
        </row>
        <row r="609">
          <cell r="H609">
            <v>0</v>
          </cell>
        </row>
        <row r="632">
          <cell r="H632">
            <v>842707</v>
          </cell>
        </row>
        <row r="636">
          <cell r="H636">
            <v>-233475</v>
          </cell>
        </row>
        <row r="637">
          <cell r="H637">
            <v>-1516</v>
          </cell>
        </row>
        <row r="638">
          <cell r="H638">
            <v>394502</v>
          </cell>
        </row>
        <row r="644">
          <cell r="H644">
            <v>90003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0</v>
          </cell>
        </row>
        <row r="648">
          <cell r="H648">
            <v>-19206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94">
          <cell r="H694">
            <v>344554</v>
          </cell>
        </row>
        <row r="695">
          <cell r="H695">
            <v>0</v>
          </cell>
        </row>
        <row r="700">
          <cell r="H700">
            <v>9747</v>
          </cell>
        </row>
        <row r="704">
          <cell r="H704">
            <v>-712</v>
          </cell>
        </row>
        <row r="742">
          <cell r="H742">
            <v>0</v>
          </cell>
        </row>
        <row r="743">
          <cell r="H743">
            <v>0</v>
          </cell>
        </row>
        <row r="744">
          <cell r="H744">
            <v>0</v>
          </cell>
        </row>
        <row r="745">
          <cell r="H745">
            <v>0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0</v>
          </cell>
        </row>
        <row r="761">
          <cell r="H761">
            <v>0</v>
          </cell>
        </row>
        <row r="772">
          <cell r="H772">
            <v>4705261</v>
          </cell>
        </row>
        <row r="776">
          <cell r="H776">
            <v>-2977315</v>
          </cell>
        </row>
        <row r="777">
          <cell r="H777">
            <v>-8967725</v>
          </cell>
        </row>
        <row r="830">
          <cell r="F830">
            <v>648083</v>
          </cell>
          <cell r="G830">
            <v>275875</v>
          </cell>
          <cell r="H830">
            <v>190449</v>
          </cell>
          <cell r="I830">
            <v>819</v>
          </cell>
          <cell r="J830">
            <v>3656</v>
          </cell>
          <cell r="K830">
            <v>44</v>
          </cell>
          <cell r="L830">
            <v>84146</v>
          </cell>
          <cell r="M830">
            <v>67809</v>
          </cell>
          <cell r="N830">
            <v>917</v>
          </cell>
          <cell r="O830">
            <v>22422</v>
          </cell>
          <cell r="P830">
            <v>0</v>
          </cell>
          <cell r="Q830">
            <v>1946</v>
          </cell>
          <cell r="R830">
            <v>648083</v>
          </cell>
          <cell r="S830">
            <v>0</v>
          </cell>
        </row>
        <row r="831">
          <cell r="E831" t="str">
            <v>K201</v>
          </cell>
          <cell r="F831">
            <v>1</v>
          </cell>
          <cell r="G831">
            <v>0.42568000000000006</v>
          </cell>
          <cell r="H831">
            <v>0.29387000000000002</v>
          </cell>
          <cell r="I831">
            <v>1.2600000000000001E-3</v>
          </cell>
          <cell r="J831">
            <v>5.64E-3</v>
          </cell>
          <cell r="K831">
            <v>6.9999999999999994E-5</v>
          </cell>
          <cell r="L831">
            <v>0.12984000000000001</v>
          </cell>
          <cell r="M831">
            <v>0.10463</v>
          </cell>
          <cell r="N831">
            <v>1.41E-3</v>
          </cell>
          <cell r="O831">
            <v>3.4599999999999999E-2</v>
          </cell>
          <cell r="P831">
            <v>0</v>
          </cell>
          <cell r="Q831">
            <v>3.0000000000000001E-3</v>
          </cell>
          <cell r="R831">
            <v>1.0000000000000002</v>
          </cell>
          <cell r="S831">
            <v>0</v>
          </cell>
        </row>
        <row r="832">
          <cell r="F832">
            <v>648083</v>
          </cell>
          <cell r="G832">
            <v>275875</v>
          </cell>
          <cell r="H832">
            <v>190449</v>
          </cell>
          <cell r="I832">
            <v>819</v>
          </cell>
          <cell r="J832">
            <v>3656</v>
          </cell>
          <cell r="K832">
            <v>44</v>
          </cell>
          <cell r="L832">
            <v>84146</v>
          </cell>
          <cell r="M832">
            <v>67809</v>
          </cell>
          <cell r="N832">
            <v>917</v>
          </cell>
          <cell r="O832">
            <v>22422</v>
          </cell>
          <cell r="P832">
            <v>0</v>
          </cell>
          <cell r="Q832">
            <v>1946</v>
          </cell>
          <cell r="R832">
            <v>648083</v>
          </cell>
          <cell r="S832">
            <v>0</v>
          </cell>
        </row>
        <row r="833">
          <cell r="E833" t="str">
            <v>K202</v>
          </cell>
          <cell r="F833">
            <v>1</v>
          </cell>
          <cell r="G833">
            <v>0.42568000000000006</v>
          </cell>
          <cell r="H833">
            <v>0.29387000000000002</v>
          </cell>
          <cell r="I833">
            <v>1.2600000000000001E-3</v>
          </cell>
          <cell r="J833">
            <v>5.64E-3</v>
          </cell>
          <cell r="K833">
            <v>6.9999999999999994E-5</v>
          </cell>
          <cell r="L833">
            <v>0.12984000000000001</v>
          </cell>
          <cell r="M833">
            <v>0.10463</v>
          </cell>
          <cell r="N833">
            <v>1.41E-3</v>
          </cell>
          <cell r="O833">
            <v>3.4599999999999999E-2</v>
          </cell>
          <cell r="P833">
            <v>0</v>
          </cell>
          <cell r="Q833">
            <v>3.0000000000000001E-3</v>
          </cell>
          <cell r="R833">
            <v>1.0000000000000002</v>
          </cell>
          <cell r="S833">
            <v>0</v>
          </cell>
        </row>
        <row r="834">
          <cell r="F834">
            <v>1647331</v>
          </cell>
          <cell r="G834">
            <v>1006247</v>
          </cell>
          <cell r="H834">
            <v>345716</v>
          </cell>
          <cell r="I834">
            <v>1108</v>
          </cell>
          <cell r="J834">
            <v>13538</v>
          </cell>
          <cell r="K834">
            <v>107</v>
          </cell>
          <cell r="L834">
            <v>117501</v>
          </cell>
          <cell r="M834">
            <v>94629</v>
          </cell>
          <cell r="N834">
            <v>6558</v>
          </cell>
          <cell r="O834">
            <v>52159</v>
          </cell>
          <cell r="P834">
            <v>6010</v>
          </cell>
          <cell r="Q834">
            <v>3758</v>
          </cell>
          <cell r="R834">
            <v>1647331</v>
          </cell>
          <cell r="S834">
            <v>0</v>
          </cell>
        </row>
        <row r="835">
          <cell r="E835" t="str">
            <v>K203</v>
          </cell>
          <cell r="F835">
            <v>1</v>
          </cell>
          <cell r="G835">
            <v>0.61085</v>
          </cell>
          <cell r="H835">
            <v>0.20985999999999999</v>
          </cell>
          <cell r="I835">
            <v>6.7000000000000002E-4</v>
          </cell>
          <cell r="J835">
            <v>8.2199999999999999E-3</v>
          </cell>
          <cell r="K835">
            <v>6.0000000000000002E-5</v>
          </cell>
          <cell r="L835">
            <v>7.1330000000000005E-2</v>
          </cell>
          <cell r="M835">
            <v>5.7439999999999998E-2</v>
          </cell>
          <cell r="N835">
            <v>3.98E-3</v>
          </cell>
          <cell r="O835">
            <v>3.1660000000000001E-2</v>
          </cell>
          <cell r="P835">
            <v>3.65E-3</v>
          </cell>
          <cell r="Q835">
            <v>2.2799999999999999E-3</v>
          </cell>
          <cell r="R835">
            <v>1</v>
          </cell>
          <cell r="S835">
            <v>0</v>
          </cell>
        </row>
        <row r="836">
          <cell r="F836">
            <v>708591</v>
          </cell>
          <cell r="G836">
            <v>315144</v>
          </cell>
          <cell r="H836">
            <v>219094</v>
          </cell>
          <cell r="I836">
            <v>924</v>
          </cell>
          <cell r="J836">
            <v>4810</v>
          </cell>
          <cell r="K836">
            <v>51</v>
          </cell>
          <cell r="L836">
            <v>88885</v>
          </cell>
          <cell r="M836">
            <v>71748</v>
          </cell>
          <cell r="N836">
            <v>939</v>
          </cell>
          <cell r="O836">
            <v>0</v>
          </cell>
          <cell r="P836">
            <v>4747</v>
          </cell>
          <cell r="Q836">
            <v>2249</v>
          </cell>
          <cell r="R836">
            <v>708591</v>
          </cell>
          <cell r="S836">
            <v>0</v>
          </cell>
        </row>
        <row r="837">
          <cell r="E837" t="str">
            <v>K205</v>
          </cell>
          <cell r="F837">
            <v>1</v>
          </cell>
          <cell r="G837">
            <v>0.44474999999999987</v>
          </cell>
          <cell r="H837">
            <v>0.30919999999999997</v>
          </cell>
          <cell r="I837">
            <v>1.2999999999999999E-3</v>
          </cell>
          <cell r="J837">
            <v>6.79E-3</v>
          </cell>
          <cell r="K837">
            <v>6.9999999999999994E-5</v>
          </cell>
          <cell r="L837">
            <v>0.12544</v>
          </cell>
          <cell r="M837">
            <v>0.10125000000000001</v>
          </cell>
          <cell r="N837">
            <v>1.33E-3</v>
          </cell>
          <cell r="O837">
            <v>0</v>
          </cell>
          <cell r="P837">
            <v>6.7000000000000002E-3</v>
          </cell>
          <cell r="Q837">
            <v>3.1700000000000001E-3</v>
          </cell>
          <cell r="R837">
            <v>1</v>
          </cell>
          <cell r="S837">
            <v>0</v>
          </cell>
        </row>
        <row r="838">
          <cell r="F838">
            <v>708591</v>
          </cell>
          <cell r="G838">
            <v>315144</v>
          </cell>
          <cell r="H838">
            <v>219094</v>
          </cell>
          <cell r="I838">
            <v>924</v>
          </cell>
          <cell r="J838">
            <v>4810</v>
          </cell>
          <cell r="K838">
            <v>51</v>
          </cell>
          <cell r="L838">
            <v>88885</v>
          </cell>
          <cell r="M838">
            <v>71748</v>
          </cell>
          <cell r="N838">
            <v>939</v>
          </cell>
          <cell r="O838">
            <v>0</v>
          </cell>
          <cell r="P838">
            <v>4747</v>
          </cell>
          <cell r="Q838">
            <v>2249</v>
          </cell>
          <cell r="R838">
            <v>708591</v>
          </cell>
          <cell r="S838">
            <v>0</v>
          </cell>
        </row>
        <row r="839">
          <cell r="E839" t="str">
            <v>K206</v>
          </cell>
          <cell r="F839">
            <v>1</v>
          </cell>
          <cell r="G839">
            <v>0.44474999999999987</v>
          </cell>
          <cell r="H839">
            <v>0.30919999999999997</v>
          </cell>
          <cell r="I839">
            <v>1.2999999999999999E-3</v>
          </cell>
          <cell r="J839">
            <v>6.79E-3</v>
          </cell>
          <cell r="K839">
            <v>6.9999999999999994E-5</v>
          </cell>
          <cell r="L839">
            <v>0.12544</v>
          </cell>
          <cell r="M839">
            <v>0.10125000000000001</v>
          </cell>
          <cell r="N839">
            <v>1.33E-3</v>
          </cell>
          <cell r="O839">
            <v>0</v>
          </cell>
          <cell r="P839">
            <v>6.7000000000000002E-3</v>
          </cell>
          <cell r="Q839">
            <v>3.1700000000000001E-3</v>
          </cell>
          <cell r="R839">
            <v>1</v>
          </cell>
          <cell r="S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E841" t="str">
            <v>K209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F842">
            <v>708591</v>
          </cell>
          <cell r="G842">
            <v>315144</v>
          </cell>
          <cell r="H842">
            <v>219094</v>
          </cell>
          <cell r="I842">
            <v>924</v>
          </cell>
          <cell r="J842">
            <v>4810</v>
          </cell>
          <cell r="K842">
            <v>51</v>
          </cell>
          <cell r="L842">
            <v>88885</v>
          </cell>
          <cell r="M842">
            <v>71748</v>
          </cell>
          <cell r="N842">
            <v>939</v>
          </cell>
          <cell r="O842">
            <v>0</v>
          </cell>
          <cell r="P842">
            <v>4747</v>
          </cell>
          <cell r="Q842">
            <v>2249</v>
          </cell>
          <cell r="R842">
            <v>708591</v>
          </cell>
          <cell r="S842">
            <v>0</v>
          </cell>
        </row>
        <row r="843">
          <cell r="E843" t="str">
            <v>K215</v>
          </cell>
          <cell r="F843">
            <v>1</v>
          </cell>
          <cell r="G843">
            <v>0.44474999999999987</v>
          </cell>
          <cell r="H843">
            <v>0.30919999999999997</v>
          </cell>
          <cell r="I843">
            <v>1.2999999999999999E-3</v>
          </cell>
          <cell r="J843">
            <v>6.79E-3</v>
          </cell>
          <cell r="K843">
            <v>6.9999999999999994E-5</v>
          </cell>
          <cell r="L843">
            <v>0.12544</v>
          </cell>
          <cell r="M843">
            <v>0.10125000000000001</v>
          </cell>
          <cell r="N843">
            <v>1.33E-3</v>
          </cell>
          <cell r="O843">
            <v>0</v>
          </cell>
          <cell r="P843">
            <v>6.7000000000000002E-3</v>
          </cell>
          <cell r="Q843">
            <v>3.1700000000000001E-3</v>
          </cell>
          <cell r="R843">
            <v>1</v>
          </cell>
          <cell r="S843">
            <v>0</v>
          </cell>
        </row>
        <row r="844">
          <cell r="F844">
            <v>165672</v>
          </cell>
          <cell r="G844">
            <v>137520</v>
          </cell>
          <cell r="H844">
            <v>24512</v>
          </cell>
          <cell r="I844">
            <v>46</v>
          </cell>
          <cell r="J844">
            <v>264</v>
          </cell>
          <cell r="K844">
            <v>12</v>
          </cell>
          <cell r="L844">
            <v>342</v>
          </cell>
          <cell r="M844">
            <v>105</v>
          </cell>
          <cell r="N844">
            <v>30</v>
          </cell>
          <cell r="O844">
            <v>36</v>
          </cell>
          <cell r="P844">
            <v>2792</v>
          </cell>
          <cell r="Q844">
            <v>3</v>
          </cell>
          <cell r="R844">
            <v>165662</v>
          </cell>
          <cell r="S844">
            <v>10</v>
          </cell>
        </row>
        <row r="845">
          <cell r="E845" t="str">
            <v>K217</v>
          </cell>
          <cell r="F845">
            <v>1</v>
          </cell>
          <cell r="G845">
            <v>0.83006999999999997</v>
          </cell>
          <cell r="H845">
            <v>0.14795</v>
          </cell>
          <cell r="I845">
            <v>2.7999999999999998E-4</v>
          </cell>
          <cell r="J845">
            <v>1.5900000000000001E-3</v>
          </cell>
          <cell r="K845">
            <v>6.9999999999999994E-5</v>
          </cell>
          <cell r="L845">
            <v>2.0600000000000002E-3</v>
          </cell>
          <cell r="M845">
            <v>6.3000000000000003E-4</v>
          </cell>
          <cell r="N845">
            <v>1.8000000000000001E-4</v>
          </cell>
          <cell r="O845">
            <v>2.2000000000000001E-4</v>
          </cell>
          <cell r="P845">
            <v>1.685E-2</v>
          </cell>
          <cell r="Q845">
            <v>2.0000000000000002E-5</v>
          </cell>
          <cell r="R845">
            <v>0.99991999999999992</v>
          </cell>
          <cell r="S845">
            <v>8.0000000000080007E-5</v>
          </cell>
        </row>
        <row r="846">
          <cell r="F846">
            <v>4101134214.1489997</v>
          </cell>
          <cell r="G846">
            <v>1470196498.845</v>
          </cell>
          <cell r="H846">
            <v>1255081996.2449999</v>
          </cell>
          <cell r="I846">
            <v>6350133.8709999984</v>
          </cell>
          <cell r="J846">
            <v>19355665.91</v>
          </cell>
          <cell r="K846">
            <v>288048</v>
          </cell>
          <cell r="L846">
            <v>610848200.07483399</v>
          </cell>
          <cell r="M846">
            <v>509222309.26616597</v>
          </cell>
          <cell r="N846">
            <v>5979794.5269999998</v>
          </cell>
          <cell r="O846">
            <v>191982350.88400003</v>
          </cell>
          <cell r="P846">
            <v>18971771.526000001</v>
          </cell>
          <cell r="Q846">
            <v>12857445</v>
          </cell>
          <cell r="R846">
            <v>4101134214.1489997</v>
          </cell>
          <cell r="S846">
            <v>0</v>
          </cell>
        </row>
        <row r="847">
          <cell r="E847" t="str">
            <v>K301</v>
          </cell>
          <cell r="F847">
            <v>1</v>
          </cell>
          <cell r="G847">
            <v>0.35846999999999984</v>
          </cell>
          <cell r="H847">
            <v>0.30603000000000002</v>
          </cell>
          <cell r="I847">
            <v>1.5499999999999999E-3</v>
          </cell>
          <cell r="J847">
            <v>4.7200000000000002E-3</v>
          </cell>
          <cell r="K847">
            <v>6.9999999999999994E-5</v>
          </cell>
          <cell r="L847">
            <v>0.14895</v>
          </cell>
          <cell r="M847">
            <v>0.12417</v>
          </cell>
          <cell r="N847">
            <v>1.4599999999999999E-3</v>
          </cell>
          <cell r="O847">
            <v>4.6809999999999997E-2</v>
          </cell>
          <cell r="P847">
            <v>4.6299999999999996E-3</v>
          </cell>
          <cell r="Q847">
            <v>3.14E-3</v>
          </cell>
          <cell r="R847">
            <v>1</v>
          </cell>
          <cell r="S847">
            <v>0</v>
          </cell>
        </row>
        <row r="848">
          <cell r="F848">
            <v>4101134214.1489997</v>
          </cell>
          <cell r="G848">
            <v>1470196498.845</v>
          </cell>
          <cell r="H848">
            <v>1255081996.2449999</v>
          </cell>
          <cell r="I848">
            <v>6350133.8709999984</v>
          </cell>
          <cell r="J848">
            <v>19355665.91</v>
          </cell>
          <cell r="K848">
            <v>288048</v>
          </cell>
          <cell r="L848">
            <v>610848200.07483399</v>
          </cell>
          <cell r="M848">
            <v>509222309.26616597</v>
          </cell>
          <cell r="N848">
            <v>5979794.5269999998</v>
          </cell>
          <cell r="O848">
            <v>179959630.88400003</v>
          </cell>
          <cell r="P848">
            <v>18971771.526000001</v>
          </cell>
          <cell r="Q848">
            <v>12857445</v>
          </cell>
          <cell r="R848">
            <v>4089111494.1489997</v>
          </cell>
          <cell r="S848">
            <v>12022720</v>
          </cell>
        </row>
        <row r="849">
          <cell r="E849" t="str">
            <v>K303</v>
          </cell>
          <cell r="F849">
            <v>1</v>
          </cell>
          <cell r="G849">
            <v>0.35848999999999998</v>
          </cell>
          <cell r="H849">
            <v>0.30603000000000002</v>
          </cell>
          <cell r="I849">
            <v>1.5499999999999999E-3</v>
          </cell>
          <cell r="J849">
            <v>4.7200000000000002E-3</v>
          </cell>
          <cell r="K849">
            <v>6.9999999999999994E-5</v>
          </cell>
          <cell r="L849">
            <v>0.14895</v>
          </cell>
          <cell r="M849">
            <v>0.12417</v>
          </cell>
          <cell r="N849">
            <v>1.4599999999999999E-3</v>
          </cell>
          <cell r="O849">
            <v>4.3880000000000002E-2</v>
          </cell>
          <cell r="P849">
            <v>4.6299999999999996E-3</v>
          </cell>
          <cell r="Q849">
            <v>3.14E-3</v>
          </cell>
          <cell r="R849">
            <v>0.99709000000000014</v>
          </cell>
          <cell r="S849">
            <v>2.9099999999998571E-3</v>
          </cell>
        </row>
        <row r="850">
          <cell r="F850">
            <v>4082162442.6229997</v>
          </cell>
          <cell r="G850">
            <v>1470196498.845</v>
          </cell>
          <cell r="H850">
            <v>1255081996.2449999</v>
          </cell>
          <cell r="I850">
            <v>6350133.8709999984</v>
          </cell>
          <cell r="J850">
            <v>19355665.91</v>
          </cell>
          <cell r="K850">
            <v>288048</v>
          </cell>
          <cell r="L850">
            <v>610848200.07483399</v>
          </cell>
          <cell r="M850">
            <v>509222309.26616597</v>
          </cell>
          <cell r="N850">
            <v>5979794.5269999998</v>
          </cell>
          <cell r="O850">
            <v>191982350.88400003</v>
          </cell>
          <cell r="P850">
            <v>0</v>
          </cell>
          <cell r="Q850">
            <v>12857445</v>
          </cell>
          <cell r="R850">
            <v>4082162442.6229997</v>
          </cell>
          <cell r="S850">
            <v>0</v>
          </cell>
        </row>
        <row r="851">
          <cell r="E851" t="str">
            <v>K305</v>
          </cell>
          <cell r="F851">
            <v>1</v>
          </cell>
          <cell r="G851">
            <v>0.36014999999999997</v>
          </cell>
          <cell r="H851">
            <v>0.30746000000000001</v>
          </cell>
          <cell r="I851">
            <v>1.56E-3</v>
          </cell>
          <cell r="J851">
            <v>4.7400000000000003E-3</v>
          </cell>
          <cell r="K851">
            <v>6.9999999999999994E-5</v>
          </cell>
          <cell r="L851">
            <v>0.14964</v>
          </cell>
          <cell r="M851">
            <v>0.12474</v>
          </cell>
          <cell r="N851">
            <v>1.4599999999999999E-3</v>
          </cell>
          <cell r="O851">
            <v>4.7030000000000002E-2</v>
          </cell>
          <cell r="P851">
            <v>0</v>
          </cell>
          <cell r="Q851">
            <v>3.15E-3</v>
          </cell>
          <cell r="R851">
            <v>1</v>
          </cell>
          <cell r="S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0</v>
          </cell>
          <cell r="R854">
            <v>1</v>
          </cell>
          <cell r="S854">
            <v>0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0</v>
          </cell>
        </row>
        <row r="856">
          <cell r="F856">
            <v>152867</v>
          </cell>
          <cell r="G856">
            <v>137520</v>
          </cell>
          <cell r="H856">
            <v>12257</v>
          </cell>
          <cell r="I856">
            <v>23</v>
          </cell>
          <cell r="J856">
            <v>88</v>
          </cell>
          <cell r="K856">
            <v>12</v>
          </cell>
          <cell r="L856">
            <v>115</v>
          </cell>
          <cell r="M856">
            <v>35</v>
          </cell>
          <cell r="N856">
            <v>10</v>
          </cell>
          <cell r="O856">
            <v>12</v>
          </cell>
          <cell r="P856">
            <v>2792</v>
          </cell>
          <cell r="Q856">
            <v>1</v>
          </cell>
          <cell r="R856">
            <v>152865</v>
          </cell>
          <cell r="S856">
            <v>2</v>
          </cell>
        </row>
        <row r="857">
          <cell r="E857" t="str">
            <v>K405</v>
          </cell>
          <cell r="F857">
            <v>1</v>
          </cell>
          <cell r="G857">
            <v>0.89961000000000002</v>
          </cell>
          <cell r="H857">
            <v>8.0180000000000001E-2</v>
          </cell>
          <cell r="I857">
            <v>1.4999999999999999E-4</v>
          </cell>
          <cell r="J857">
            <v>5.8E-4</v>
          </cell>
          <cell r="K857">
            <v>8.0000000000000007E-5</v>
          </cell>
          <cell r="L857">
            <v>7.5000000000000002E-4</v>
          </cell>
          <cell r="M857">
            <v>2.3000000000000001E-4</v>
          </cell>
          <cell r="N857">
            <v>6.9999999999999994E-5</v>
          </cell>
          <cell r="O857">
            <v>8.0000000000000007E-5</v>
          </cell>
          <cell r="P857">
            <v>1.8259999999999998E-2</v>
          </cell>
          <cell r="Q857">
            <v>1.0000000000000001E-5</v>
          </cell>
          <cell r="R857">
            <v>0.99999999999999989</v>
          </cell>
          <cell r="S857">
            <v>0</v>
          </cell>
        </row>
        <row r="858">
          <cell r="F858">
            <v>22486890.793596428</v>
          </cell>
          <cell r="G858">
            <v>19829008.800000001</v>
          </cell>
          <cell r="H858">
            <v>2433684.8645095793</v>
          </cell>
          <cell r="I858">
            <v>0</v>
          </cell>
          <cell r="J858">
            <v>31509.280000000046</v>
          </cell>
          <cell r="K858">
            <v>2448</v>
          </cell>
          <cell r="L858">
            <v>111217.43855421687</v>
          </cell>
          <cell r="M858">
            <v>41635.072972972972</v>
          </cell>
          <cell r="N858">
            <v>20860.366666666669</v>
          </cell>
          <cell r="O858">
            <v>16328.400000000001</v>
          </cell>
          <cell r="P858">
            <v>0</v>
          </cell>
          <cell r="Q858">
            <v>198.5708929919696</v>
          </cell>
          <cell r="R858">
            <v>22486890.793596428</v>
          </cell>
          <cell r="S858">
            <v>0</v>
          </cell>
        </row>
        <row r="859">
          <cell r="E859" t="str">
            <v>K407</v>
          </cell>
          <cell r="F859">
            <v>1</v>
          </cell>
          <cell r="G859">
            <v>0.88178999999999996</v>
          </cell>
          <cell r="H859">
            <v>0.10823000000000001</v>
          </cell>
          <cell r="I859">
            <v>0</v>
          </cell>
          <cell r="J859">
            <v>1.4E-3</v>
          </cell>
          <cell r="K859">
            <v>1.1E-4</v>
          </cell>
          <cell r="L859">
            <v>4.9500000000000004E-3</v>
          </cell>
          <cell r="M859">
            <v>1.8500000000000001E-3</v>
          </cell>
          <cell r="N859">
            <v>9.3000000000000005E-4</v>
          </cell>
          <cell r="O859">
            <v>7.2999999999999996E-4</v>
          </cell>
          <cell r="P859">
            <v>0</v>
          </cell>
          <cell r="Q859">
            <v>1.0000000000000001E-5</v>
          </cell>
          <cell r="R859">
            <v>1</v>
          </cell>
          <cell r="S859">
            <v>0</v>
          </cell>
        </row>
        <row r="860">
          <cell r="F860">
            <v>154110</v>
          </cell>
          <cell r="G860">
            <v>137520</v>
          </cell>
          <cell r="H860">
            <v>12257</v>
          </cell>
          <cell r="I860">
            <v>23</v>
          </cell>
          <cell r="J860">
            <v>176</v>
          </cell>
          <cell r="K860">
            <v>12</v>
          </cell>
          <cell r="L860">
            <v>799</v>
          </cell>
          <cell r="M860">
            <v>280</v>
          </cell>
          <cell r="N860">
            <v>140</v>
          </cell>
          <cell r="O860">
            <v>110</v>
          </cell>
          <cell r="P860">
            <v>2792</v>
          </cell>
          <cell r="Q860">
            <v>1</v>
          </cell>
          <cell r="R860">
            <v>154110</v>
          </cell>
          <cell r="S860">
            <v>0</v>
          </cell>
        </row>
        <row r="861">
          <cell r="E861" t="str">
            <v>K409</v>
          </cell>
          <cell r="F861">
            <v>1</v>
          </cell>
          <cell r="G861">
            <v>0.89234999999999998</v>
          </cell>
          <cell r="H861">
            <v>7.9530000000000003E-2</v>
          </cell>
          <cell r="I861">
            <v>1.4999999999999999E-4</v>
          </cell>
          <cell r="J861">
            <v>1.14E-3</v>
          </cell>
          <cell r="K861">
            <v>8.0000000000000007E-5</v>
          </cell>
          <cell r="L861">
            <v>5.1799999999999997E-3</v>
          </cell>
          <cell r="M861">
            <v>1.82E-3</v>
          </cell>
          <cell r="N861">
            <v>9.1E-4</v>
          </cell>
          <cell r="O861">
            <v>7.1000000000000002E-4</v>
          </cell>
          <cell r="P861">
            <v>1.8120000000000001E-2</v>
          </cell>
          <cell r="Q861">
            <v>1.0000000000000001E-5</v>
          </cell>
          <cell r="R861">
            <v>0.99999999999999989</v>
          </cell>
          <cell r="S861">
            <v>0</v>
          </cell>
        </row>
        <row r="862">
          <cell r="F862">
            <v>2137114.169997225</v>
          </cell>
          <cell r="G862">
            <v>1924403</v>
          </cell>
          <cell r="H862">
            <v>108413.16999722505</v>
          </cell>
          <cell r="I862">
            <v>674</v>
          </cell>
          <cell r="J862">
            <v>1538</v>
          </cell>
          <cell r="K862">
            <v>43</v>
          </cell>
          <cell r="L862">
            <v>48098</v>
          </cell>
          <cell r="M862">
            <v>37329</v>
          </cell>
          <cell r="N862">
            <v>710</v>
          </cell>
          <cell r="O862">
            <v>13016</v>
          </cell>
          <cell r="P862">
            <v>2099</v>
          </cell>
          <cell r="Q862">
            <v>791</v>
          </cell>
          <cell r="R862">
            <v>2137114.169997225</v>
          </cell>
          <cell r="S862">
            <v>0</v>
          </cell>
        </row>
        <row r="863">
          <cell r="E863" t="str">
            <v>K411</v>
          </cell>
          <cell r="F863">
            <v>1</v>
          </cell>
          <cell r="G863">
            <v>0.90046000000000004</v>
          </cell>
          <cell r="H863">
            <v>5.0729999999999997E-2</v>
          </cell>
          <cell r="I863">
            <v>3.2000000000000003E-4</v>
          </cell>
          <cell r="J863">
            <v>7.2000000000000005E-4</v>
          </cell>
          <cell r="K863">
            <v>2.0000000000000002E-5</v>
          </cell>
          <cell r="L863">
            <v>2.2509999999999999E-2</v>
          </cell>
          <cell r="M863">
            <v>1.7469999999999999E-2</v>
          </cell>
          <cell r="N863">
            <v>3.3E-4</v>
          </cell>
          <cell r="O863">
            <v>6.0899999999999999E-3</v>
          </cell>
          <cell r="P863">
            <v>9.7999999999999997E-4</v>
          </cell>
          <cell r="Q863">
            <v>3.6999999999999999E-4</v>
          </cell>
          <cell r="R863">
            <v>1.0000000000000002</v>
          </cell>
          <cell r="S863">
            <v>0</v>
          </cell>
        </row>
        <row r="864">
          <cell r="F864">
            <v>4087989911.1489997</v>
          </cell>
          <cell r="G864">
            <v>1470196498.845</v>
          </cell>
          <cell r="H864">
            <v>1255084711.2449999</v>
          </cell>
          <cell r="I864">
            <v>6350133.8709999984</v>
          </cell>
          <cell r="J864">
            <v>19355665.91</v>
          </cell>
          <cell r="K864">
            <v>288048</v>
          </cell>
          <cell r="L864">
            <v>609723902.07483399</v>
          </cell>
          <cell r="M864">
            <v>509222309.26616597</v>
          </cell>
          <cell r="N864">
            <v>5979794.5269999998</v>
          </cell>
          <cell r="O864">
            <v>179959630.88400003</v>
          </cell>
          <cell r="P864">
            <v>18971771.526000001</v>
          </cell>
          <cell r="Q864">
            <v>12857445</v>
          </cell>
          <cell r="R864">
            <v>4087989911.1489997</v>
          </cell>
          <cell r="S864">
            <v>0</v>
          </cell>
        </row>
        <row r="865">
          <cell r="E865" t="str">
            <v>K302</v>
          </cell>
          <cell r="F865">
            <v>1</v>
          </cell>
          <cell r="G865">
            <v>0.35964000000000007</v>
          </cell>
          <cell r="H865">
            <v>0.30702000000000002</v>
          </cell>
          <cell r="I865">
            <v>1.5499999999999999E-3</v>
          </cell>
          <cell r="J865">
            <v>4.7299999999999998E-3</v>
          </cell>
          <cell r="K865">
            <v>6.9999999999999994E-5</v>
          </cell>
          <cell r="L865">
            <v>0.14915</v>
          </cell>
          <cell r="M865">
            <v>0.12457</v>
          </cell>
          <cell r="N865">
            <v>1.4599999999999999E-3</v>
          </cell>
          <cell r="O865">
            <v>4.4019999999999997E-2</v>
          </cell>
          <cell r="P865">
            <v>4.64E-3</v>
          </cell>
          <cell r="Q865">
            <v>3.15E-3</v>
          </cell>
          <cell r="R865">
            <v>1</v>
          </cell>
          <cell r="S865">
            <v>0</v>
          </cell>
        </row>
        <row r="867">
          <cell r="E867" t="str">
            <v>R600</v>
          </cell>
          <cell r="F867">
            <v>49043311</v>
          </cell>
          <cell r="G867">
            <v>20876802</v>
          </cell>
          <cell r="H867">
            <v>14412329</v>
          </cell>
          <cell r="I867">
            <v>61797</v>
          </cell>
          <cell r="J867">
            <v>276599</v>
          </cell>
          <cell r="K867">
            <v>3432</v>
          </cell>
          <cell r="L867">
            <v>6367773</v>
          </cell>
          <cell r="M867">
            <v>5131380</v>
          </cell>
          <cell r="N867">
            <v>69154</v>
          </cell>
          <cell r="O867">
            <v>1696899</v>
          </cell>
          <cell r="P867">
            <v>18</v>
          </cell>
          <cell r="Q867">
            <v>147128</v>
          </cell>
          <cell r="R867">
            <v>49043311</v>
          </cell>
          <cell r="S867">
            <v>0</v>
          </cell>
        </row>
        <row r="868">
          <cell r="E868" t="str">
            <v>R602</v>
          </cell>
          <cell r="F868">
            <v>16011368</v>
          </cell>
          <cell r="G868">
            <v>6815720</v>
          </cell>
          <cell r="H868">
            <v>4705261</v>
          </cell>
          <cell r="I868">
            <v>20174</v>
          </cell>
          <cell r="J868">
            <v>90304</v>
          </cell>
          <cell r="K868">
            <v>1121</v>
          </cell>
          <cell r="L868">
            <v>2078916</v>
          </cell>
          <cell r="M868">
            <v>1675269</v>
          </cell>
          <cell r="N868">
            <v>22576</v>
          </cell>
          <cell r="O868">
            <v>553993</v>
          </cell>
          <cell r="P868">
            <v>0</v>
          </cell>
          <cell r="Q868">
            <v>48034</v>
          </cell>
          <cell r="R868">
            <v>16011368</v>
          </cell>
          <cell r="S868">
            <v>0</v>
          </cell>
        </row>
        <row r="870">
          <cell r="R870" t="str">
            <v>FR-16(7)(v)-7</v>
          </cell>
        </row>
        <row r="871">
          <cell r="R871" t="str">
            <v>WITNESS RESPONSIBLE:</v>
          </cell>
        </row>
        <row r="872">
          <cell r="R872" t="str">
            <v>JAMES E. ZIOLKOWSKI</v>
          </cell>
        </row>
        <row r="873">
          <cell r="R873" t="str">
            <v>PAGE 17 OF 18</v>
          </cell>
        </row>
        <row r="876">
          <cell r="F876" t="str">
            <v>TOTAL</v>
          </cell>
          <cell r="H876" t="str">
            <v>DS</v>
          </cell>
          <cell r="I876" t="str">
            <v>GSFL</v>
          </cell>
          <cell r="J876" t="str">
            <v>EH</v>
          </cell>
          <cell r="K876" t="str">
            <v>SP</v>
          </cell>
          <cell r="L876" t="str">
            <v>DT SEC</v>
          </cell>
          <cell r="M876" t="str">
            <v>DT PRI</v>
          </cell>
          <cell r="N876" t="str">
            <v>DP</v>
          </cell>
          <cell r="O876" t="str">
            <v>TT</v>
          </cell>
          <cell r="Q876" t="str">
            <v>OTHER</v>
          </cell>
        </row>
        <row r="877">
          <cell r="F877" t="str">
            <v>TRANSMISSION</v>
          </cell>
          <cell r="G877" t="str">
            <v>RS</v>
          </cell>
          <cell r="H877" t="str">
            <v>SECONDARY</v>
          </cell>
          <cell r="I877" t="str">
            <v>SECONDARY</v>
          </cell>
          <cell r="J877" t="str">
            <v>SECONDARY</v>
          </cell>
          <cell r="K877" t="str">
            <v>SECONDARY</v>
          </cell>
          <cell r="L877" t="str">
            <v>SECONDARY</v>
          </cell>
          <cell r="M877" t="str">
            <v>PRIMARY</v>
          </cell>
          <cell r="N877" t="str">
            <v>PRIMARY</v>
          </cell>
          <cell r="O877" t="str">
            <v>TRANSMISSION</v>
          </cell>
          <cell r="P877" t="str">
            <v>LT</v>
          </cell>
          <cell r="Q877" t="str">
            <v>WATER</v>
          </cell>
          <cell r="R877" t="str">
            <v>TOTAL</v>
          </cell>
          <cell r="S877" t="str">
            <v>ALL</v>
          </cell>
        </row>
        <row r="878">
          <cell r="E878" t="str">
            <v>ALLO</v>
          </cell>
          <cell r="F878" t="str">
            <v>DEMAND</v>
          </cell>
          <cell r="G878" t="str">
            <v>RESIDENTIAL</v>
          </cell>
          <cell r="H878" t="str">
            <v>DISTRIBUTION</v>
          </cell>
          <cell r="I878" t="str">
            <v>DISTRIBUTION</v>
          </cell>
          <cell r="J878" t="str">
            <v>DISTRIBUTION</v>
          </cell>
          <cell r="K878" t="str">
            <v>DISTRIBUTION</v>
          </cell>
          <cell r="L878" t="str">
            <v>DISTRIBUTION</v>
          </cell>
          <cell r="M878" t="str">
            <v>DISTRIBUTION</v>
          </cell>
          <cell r="N878" t="str">
            <v>DISTRIBUTION</v>
          </cell>
          <cell r="O878" t="str">
            <v>TIME OF DAY</v>
          </cell>
          <cell r="P878" t="str">
            <v>LIGHTING</v>
          </cell>
          <cell r="Q878" t="str">
            <v>PUMPING</v>
          </cell>
          <cell r="R878" t="str">
            <v>AT ISSUE</v>
          </cell>
          <cell r="S878" t="str">
            <v>OTHER</v>
          </cell>
        </row>
        <row r="879">
          <cell r="E879">
            <v>1</v>
          </cell>
          <cell r="G879">
            <v>3</v>
          </cell>
          <cell r="H879">
            <v>4</v>
          </cell>
          <cell r="I879">
            <v>5</v>
          </cell>
          <cell r="J879">
            <v>6</v>
          </cell>
          <cell r="K879">
            <v>7</v>
          </cell>
          <cell r="L879">
            <v>8</v>
          </cell>
          <cell r="M879">
            <v>9</v>
          </cell>
          <cell r="N879">
            <v>10</v>
          </cell>
          <cell r="O879">
            <v>11</v>
          </cell>
          <cell r="P879">
            <v>12</v>
          </cell>
          <cell r="Q879">
            <v>13</v>
          </cell>
          <cell r="S879" t="str">
            <v xml:space="preserve"> </v>
          </cell>
        </row>
        <row r="881">
          <cell r="F881">
            <v>450848089</v>
          </cell>
          <cell r="G881">
            <v>197851566</v>
          </cell>
          <cell r="H881">
            <v>128946845</v>
          </cell>
          <cell r="I881">
            <v>800742</v>
          </cell>
          <cell r="J881">
            <v>1829152</v>
          </cell>
          <cell r="K881">
            <v>50918</v>
          </cell>
          <cell r="L881">
            <v>57206760</v>
          </cell>
          <cell r="M881">
            <v>44398656</v>
          </cell>
          <cell r="N881">
            <v>846253</v>
          </cell>
          <cell r="O881">
            <v>15479736</v>
          </cell>
          <cell r="P881">
            <v>2496338</v>
          </cell>
          <cell r="Q881">
            <v>941124</v>
          </cell>
          <cell r="R881">
            <v>450848090</v>
          </cell>
          <cell r="S881">
            <v>-1</v>
          </cell>
        </row>
        <row r="882">
          <cell r="E882" t="str">
            <v>K901</v>
          </cell>
          <cell r="F882">
            <v>1</v>
          </cell>
          <cell r="G882">
            <v>0.43884000000000001</v>
          </cell>
          <cell r="H882">
            <v>0.28600951899999999</v>
          </cell>
          <cell r="I882">
            <v>1.7760790000000001E-3</v>
          </cell>
          <cell r="J882">
            <v>4.0571360000000002E-3</v>
          </cell>
          <cell r="K882">
            <v>1.12938E-4</v>
          </cell>
          <cell r="L882">
            <v>0.126886997</v>
          </cell>
          <cell r="M882">
            <v>9.8478083999999994E-2</v>
          </cell>
          <cell r="N882">
            <v>1.877025E-3</v>
          </cell>
          <cell r="O882">
            <v>3.4334705E-2</v>
          </cell>
          <cell r="P882">
            <v>5.5369829999999997E-3</v>
          </cell>
          <cell r="Q882">
            <v>2.087453E-3</v>
          </cell>
          <cell r="R882">
            <v>0.99999691899999998</v>
          </cell>
          <cell r="S882">
            <v>3.0810000000158766E-6</v>
          </cell>
        </row>
        <row r="883">
          <cell r="F883">
            <v>450848089</v>
          </cell>
          <cell r="G883">
            <v>197851566</v>
          </cell>
          <cell r="H883">
            <v>128946845</v>
          </cell>
          <cell r="I883">
            <v>800742</v>
          </cell>
          <cell r="J883">
            <v>1829152</v>
          </cell>
          <cell r="K883">
            <v>50918</v>
          </cell>
          <cell r="L883">
            <v>57206760</v>
          </cell>
          <cell r="M883">
            <v>44398656</v>
          </cell>
          <cell r="N883">
            <v>846253</v>
          </cell>
          <cell r="O883">
            <v>15479736</v>
          </cell>
          <cell r="P883">
            <v>2496338</v>
          </cell>
          <cell r="Q883">
            <v>941124</v>
          </cell>
          <cell r="R883">
            <v>450848090</v>
          </cell>
          <cell r="S883">
            <v>-1</v>
          </cell>
        </row>
        <row r="884">
          <cell r="E884" t="str">
            <v>K902</v>
          </cell>
          <cell r="F884">
            <v>1</v>
          </cell>
          <cell r="G884">
            <v>0.43884000000000001</v>
          </cell>
          <cell r="H884">
            <v>0.28600951899999999</v>
          </cell>
          <cell r="I884">
            <v>1.7760790000000001E-3</v>
          </cell>
          <cell r="J884">
            <v>4.0571360000000002E-3</v>
          </cell>
          <cell r="K884">
            <v>1.12938E-4</v>
          </cell>
          <cell r="L884">
            <v>0.126886997</v>
          </cell>
          <cell r="M884">
            <v>9.8478083999999994E-2</v>
          </cell>
          <cell r="N884">
            <v>1.877025E-3</v>
          </cell>
          <cell r="O884">
            <v>3.4334705E-2</v>
          </cell>
          <cell r="P884">
            <v>5.5369829999999997E-3</v>
          </cell>
          <cell r="Q884">
            <v>2.087453E-3</v>
          </cell>
          <cell r="R884">
            <v>0.99999691899999998</v>
          </cell>
          <cell r="S884">
            <v>3.0810000000158766E-6</v>
          </cell>
        </row>
        <row r="888">
          <cell r="E888" t="str">
            <v>P129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E889" t="str">
            <v>T129</v>
          </cell>
          <cell r="F889">
            <v>1</v>
          </cell>
          <cell r="G889">
            <v>0.42568000000000006</v>
          </cell>
          <cell r="H889">
            <v>0.29387000000000002</v>
          </cell>
          <cell r="I889">
            <v>1.2600000000000001E-3</v>
          </cell>
          <cell r="J889">
            <v>5.64E-3</v>
          </cell>
          <cell r="K889">
            <v>6.9999999999999994E-5</v>
          </cell>
          <cell r="L889">
            <v>0.12984000000000001</v>
          </cell>
          <cell r="M889">
            <v>0.10463</v>
          </cell>
          <cell r="N889">
            <v>1.41E-3</v>
          </cell>
          <cell r="O889">
            <v>3.4599999999999999E-2</v>
          </cell>
          <cell r="P889">
            <v>0</v>
          </cell>
          <cell r="Q889">
            <v>3.0000000000000001E-3</v>
          </cell>
          <cell r="R889">
            <v>1.0000000000000002</v>
          </cell>
          <cell r="S889">
            <v>0</v>
          </cell>
        </row>
        <row r="890">
          <cell r="E890" t="str">
            <v>PT29</v>
          </cell>
          <cell r="F890">
            <v>1</v>
          </cell>
          <cell r="G890">
            <v>0.42568000000000006</v>
          </cell>
          <cell r="H890">
            <v>0.29387000000000002</v>
          </cell>
          <cell r="I890">
            <v>1.2600000000000001E-3</v>
          </cell>
          <cell r="J890">
            <v>5.64E-3</v>
          </cell>
          <cell r="K890">
            <v>6.9999999999999994E-5</v>
          </cell>
          <cell r="L890">
            <v>0.12984000000000001</v>
          </cell>
          <cell r="M890">
            <v>0.10463</v>
          </cell>
          <cell r="N890">
            <v>1.41E-3</v>
          </cell>
          <cell r="O890">
            <v>3.4599999999999999E-2</v>
          </cell>
          <cell r="P890">
            <v>0</v>
          </cell>
          <cell r="Q890">
            <v>3.0000000000000001E-3</v>
          </cell>
          <cell r="R890">
            <v>1.0000000000000002</v>
          </cell>
          <cell r="S890">
            <v>0</v>
          </cell>
        </row>
        <row r="891">
          <cell r="E891" t="str">
            <v>D149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</row>
        <row r="892">
          <cell r="E892" t="str">
            <v>TD29</v>
          </cell>
          <cell r="F892">
            <v>1</v>
          </cell>
          <cell r="G892">
            <v>0.42568000000000006</v>
          </cell>
          <cell r="H892">
            <v>0.29387000000000002</v>
          </cell>
          <cell r="I892">
            <v>1.2600000000000001E-3</v>
          </cell>
          <cell r="J892">
            <v>5.64E-3</v>
          </cell>
          <cell r="K892">
            <v>6.9999999999999994E-5</v>
          </cell>
          <cell r="L892">
            <v>0.12984000000000001</v>
          </cell>
          <cell r="M892">
            <v>0.10463</v>
          </cell>
          <cell r="N892">
            <v>1.41E-3</v>
          </cell>
          <cell r="O892">
            <v>3.4599999999999999E-2</v>
          </cell>
          <cell r="P892">
            <v>0</v>
          </cell>
          <cell r="Q892">
            <v>3.0000000000000001E-3</v>
          </cell>
          <cell r="R892">
            <v>1.0000000000000002</v>
          </cell>
          <cell r="S892">
            <v>0</v>
          </cell>
        </row>
        <row r="893">
          <cell r="E893" t="str">
            <v>PD29</v>
          </cell>
          <cell r="F893">
            <v>1</v>
          </cell>
          <cell r="G893">
            <v>0.42568000000000006</v>
          </cell>
          <cell r="H893">
            <v>0.29387000000000002</v>
          </cell>
          <cell r="I893">
            <v>1.2600000000000001E-3</v>
          </cell>
          <cell r="J893">
            <v>5.64E-3</v>
          </cell>
          <cell r="K893">
            <v>6.9999999999999994E-5</v>
          </cell>
          <cell r="L893">
            <v>0.12984000000000001</v>
          </cell>
          <cell r="M893">
            <v>0.10463</v>
          </cell>
          <cell r="N893">
            <v>1.41E-3</v>
          </cell>
          <cell r="O893">
            <v>3.4599999999999999E-2</v>
          </cell>
          <cell r="P893">
            <v>0</v>
          </cell>
          <cell r="Q893">
            <v>3.0000000000000001E-3</v>
          </cell>
          <cell r="R893">
            <v>1.0000000000000002</v>
          </cell>
          <cell r="S893">
            <v>0</v>
          </cell>
        </row>
        <row r="894">
          <cell r="E894" t="str">
            <v>G129</v>
          </cell>
          <cell r="F894">
            <v>1</v>
          </cell>
          <cell r="G894">
            <v>0.42568000000000006</v>
          </cell>
          <cell r="H894">
            <v>0.29387000000000002</v>
          </cell>
          <cell r="I894">
            <v>1.2600000000000001E-3</v>
          </cell>
          <cell r="J894">
            <v>5.64E-3</v>
          </cell>
          <cell r="K894">
            <v>6.9999999999999994E-5</v>
          </cell>
          <cell r="L894">
            <v>0.12984000000000001</v>
          </cell>
          <cell r="M894">
            <v>0.10463</v>
          </cell>
          <cell r="N894">
            <v>1.41E-3</v>
          </cell>
          <cell r="O894">
            <v>3.4599999999999999E-2</v>
          </cell>
          <cell r="P894">
            <v>0</v>
          </cell>
          <cell r="Q894">
            <v>3.0000000000000001E-3</v>
          </cell>
          <cell r="R894">
            <v>1.0000000000000002</v>
          </cell>
          <cell r="S894">
            <v>0</v>
          </cell>
        </row>
        <row r="895">
          <cell r="E895" t="str">
            <v>C129</v>
          </cell>
          <cell r="F895">
            <v>1</v>
          </cell>
          <cell r="G895">
            <v>0.42568000000000006</v>
          </cell>
          <cell r="H895">
            <v>0.29387000000000002</v>
          </cell>
          <cell r="I895">
            <v>1.2600000000000001E-3</v>
          </cell>
          <cell r="J895">
            <v>5.64E-3</v>
          </cell>
          <cell r="K895">
            <v>6.9999999999999994E-5</v>
          </cell>
          <cell r="L895">
            <v>0.12984000000000001</v>
          </cell>
          <cell r="M895">
            <v>0.10463</v>
          </cell>
          <cell r="N895">
            <v>1.41E-3</v>
          </cell>
          <cell r="O895">
            <v>3.4599999999999999E-2</v>
          </cell>
          <cell r="P895">
            <v>0</v>
          </cell>
          <cell r="Q895">
            <v>3.0000000000000001E-3</v>
          </cell>
          <cell r="R895">
            <v>1.0000000000000002</v>
          </cell>
          <cell r="S895">
            <v>0</v>
          </cell>
        </row>
        <row r="896">
          <cell r="E896" t="str">
            <v>GP19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</row>
        <row r="897">
          <cell r="E897" t="str">
            <v>DR19</v>
          </cell>
          <cell r="F897">
            <v>1</v>
          </cell>
          <cell r="G897">
            <v>0.42568000000000006</v>
          </cell>
          <cell r="H897">
            <v>0.29387000000000002</v>
          </cell>
          <cell r="I897">
            <v>1.2600000000000001E-3</v>
          </cell>
          <cell r="J897">
            <v>5.64E-3</v>
          </cell>
          <cell r="K897">
            <v>6.9999999999999994E-5</v>
          </cell>
          <cell r="L897">
            <v>0.12984000000000001</v>
          </cell>
          <cell r="M897">
            <v>0.10463</v>
          </cell>
          <cell r="N897">
            <v>1.41E-3</v>
          </cell>
          <cell r="O897">
            <v>3.4599999999999999E-2</v>
          </cell>
          <cell r="P897">
            <v>0</v>
          </cell>
          <cell r="Q897">
            <v>3.0000000000000001E-3</v>
          </cell>
          <cell r="R897">
            <v>1.0000000000000002</v>
          </cell>
          <cell r="S897">
            <v>0</v>
          </cell>
        </row>
        <row r="900">
          <cell r="E900" t="str">
            <v>P229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</row>
        <row r="901">
          <cell r="E901" t="str">
            <v>T229</v>
          </cell>
          <cell r="F901">
            <v>1</v>
          </cell>
          <cell r="G901">
            <v>0.42568000000000006</v>
          </cell>
          <cell r="H901">
            <v>0.29387000000000002</v>
          </cell>
          <cell r="I901">
            <v>1.2600000000000001E-3</v>
          </cell>
          <cell r="J901">
            <v>5.64E-3</v>
          </cell>
          <cell r="K901">
            <v>6.9999999999999994E-5</v>
          </cell>
          <cell r="L901">
            <v>0.12984000000000001</v>
          </cell>
          <cell r="M901">
            <v>0.10463</v>
          </cell>
          <cell r="N901">
            <v>1.41E-3</v>
          </cell>
          <cell r="O901">
            <v>3.4599999999999999E-2</v>
          </cell>
          <cell r="P901">
            <v>0</v>
          </cell>
          <cell r="Q901">
            <v>3.0000000000000001E-3</v>
          </cell>
          <cell r="R901">
            <v>1.0000000000000002</v>
          </cell>
          <cell r="S901">
            <v>0</v>
          </cell>
        </row>
        <row r="902">
          <cell r="E902" t="str">
            <v>PL49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E903" t="str">
            <v>D249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E904" t="str">
            <v>NT29</v>
          </cell>
          <cell r="F904">
            <v>1</v>
          </cell>
          <cell r="G904">
            <v>0.42568000000000006</v>
          </cell>
          <cell r="H904">
            <v>0.29387000000000002</v>
          </cell>
          <cell r="I904">
            <v>1.2600000000000001E-3</v>
          </cell>
          <cell r="J904">
            <v>5.64E-3</v>
          </cell>
          <cell r="K904">
            <v>6.9999999999999994E-5</v>
          </cell>
          <cell r="L904">
            <v>0.12984000000000001</v>
          </cell>
          <cell r="M904">
            <v>0.10463</v>
          </cell>
          <cell r="N904">
            <v>1.41E-3</v>
          </cell>
          <cell r="O904">
            <v>3.4599999999999999E-2</v>
          </cell>
          <cell r="P904">
            <v>0</v>
          </cell>
          <cell r="Q904">
            <v>3.0000000000000001E-3</v>
          </cell>
          <cell r="R904">
            <v>1.0000000000000002</v>
          </cell>
          <cell r="S904">
            <v>0</v>
          </cell>
        </row>
        <row r="905">
          <cell r="E905" t="str">
            <v>G229</v>
          </cell>
          <cell r="F905">
            <v>1</v>
          </cell>
          <cell r="G905">
            <v>0.42568000000000006</v>
          </cell>
          <cell r="H905">
            <v>0.29387000000000002</v>
          </cell>
          <cell r="I905">
            <v>1.2600000000000001E-3</v>
          </cell>
          <cell r="J905">
            <v>5.64E-3</v>
          </cell>
          <cell r="K905">
            <v>6.9999999999999994E-5</v>
          </cell>
          <cell r="L905">
            <v>0.12984000000000001</v>
          </cell>
          <cell r="M905">
            <v>0.10463</v>
          </cell>
          <cell r="N905">
            <v>1.41E-3</v>
          </cell>
          <cell r="O905">
            <v>3.4599999999999999E-2</v>
          </cell>
          <cell r="P905">
            <v>0</v>
          </cell>
          <cell r="Q905">
            <v>3.0000000000000001E-3</v>
          </cell>
          <cell r="R905">
            <v>1.0000000000000002</v>
          </cell>
          <cell r="S905">
            <v>0</v>
          </cell>
        </row>
        <row r="906">
          <cell r="E906" t="str">
            <v>C229</v>
          </cell>
          <cell r="F906">
            <v>1</v>
          </cell>
          <cell r="G906">
            <v>0.42568000000000006</v>
          </cell>
          <cell r="H906">
            <v>0.29387000000000002</v>
          </cell>
          <cell r="I906">
            <v>1.2600000000000001E-3</v>
          </cell>
          <cell r="J906">
            <v>5.64E-3</v>
          </cell>
          <cell r="K906">
            <v>6.9999999999999994E-5</v>
          </cell>
          <cell r="L906">
            <v>0.12984000000000001</v>
          </cell>
          <cell r="M906">
            <v>0.10463</v>
          </cell>
          <cell r="N906">
            <v>1.41E-3</v>
          </cell>
          <cell r="O906">
            <v>3.4599999999999999E-2</v>
          </cell>
          <cell r="P906">
            <v>0</v>
          </cell>
          <cell r="Q906">
            <v>3.0000000000000001E-3</v>
          </cell>
          <cell r="R906">
            <v>1.0000000000000002</v>
          </cell>
          <cell r="S906">
            <v>0</v>
          </cell>
        </row>
        <row r="907">
          <cell r="E907" t="str">
            <v>NP29</v>
          </cell>
          <cell r="F907">
            <v>1</v>
          </cell>
          <cell r="G907">
            <v>0.42568000000000006</v>
          </cell>
          <cell r="H907">
            <v>0.29387000000000002</v>
          </cell>
          <cell r="I907">
            <v>1.2600000000000001E-3</v>
          </cell>
          <cell r="J907">
            <v>5.64E-3</v>
          </cell>
          <cell r="K907">
            <v>6.9999999999999994E-5</v>
          </cell>
          <cell r="L907">
            <v>0.12984000000000001</v>
          </cell>
          <cell r="M907">
            <v>0.10463</v>
          </cell>
          <cell r="N907">
            <v>1.41E-3</v>
          </cell>
          <cell r="O907">
            <v>3.4599999999999999E-2</v>
          </cell>
          <cell r="P907">
            <v>0</v>
          </cell>
          <cell r="Q907">
            <v>3.0000000000000001E-3</v>
          </cell>
          <cell r="R907">
            <v>1.0000000000000002</v>
          </cell>
          <cell r="S907">
            <v>0</v>
          </cell>
        </row>
        <row r="910">
          <cell r="E910" t="str">
            <v>W669</v>
          </cell>
          <cell r="F910">
            <v>1</v>
          </cell>
          <cell r="G910">
            <v>0.42568000000000006</v>
          </cell>
          <cell r="H910">
            <v>0.29387000000000002</v>
          </cell>
          <cell r="I910">
            <v>1.2600000000000001E-3</v>
          </cell>
          <cell r="J910">
            <v>5.64E-3</v>
          </cell>
          <cell r="K910">
            <v>6.9999999999999994E-5</v>
          </cell>
          <cell r="L910">
            <v>0.12984000000000001</v>
          </cell>
          <cell r="M910">
            <v>0.10463</v>
          </cell>
          <cell r="N910">
            <v>1.41E-3</v>
          </cell>
          <cell r="O910">
            <v>3.4599999999999999E-2</v>
          </cell>
          <cell r="P910">
            <v>0</v>
          </cell>
          <cell r="Q910">
            <v>3.0000000000000001E-3</v>
          </cell>
          <cell r="R910">
            <v>1.0000000000000002</v>
          </cell>
          <cell r="S910">
            <v>0</v>
          </cell>
        </row>
        <row r="911">
          <cell r="E911" t="str">
            <v>W689</v>
          </cell>
          <cell r="F911">
            <v>1</v>
          </cell>
          <cell r="G911">
            <v>0.4256700000000001</v>
          </cell>
          <cell r="H911">
            <v>0.29387000000000002</v>
          </cell>
          <cell r="I911">
            <v>1.2600000000000001E-3</v>
          </cell>
          <cell r="J911">
            <v>5.6499999999999996E-3</v>
          </cell>
          <cell r="K911">
            <v>6.0000000000000002E-5</v>
          </cell>
          <cell r="L911">
            <v>0.12984000000000001</v>
          </cell>
          <cell r="M911">
            <v>0.10463</v>
          </cell>
          <cell r="N911">
            <v>1.41E-3</v>
          </cell>
          <cell r="O911">
            <v>3.4599999999999999E-2</v>
          </cell>
          <cell r="P911">
            <v>0</v>
          </cell>
          <cell r="Q911">
            <v>3.0100000000000001E-3</v>
          </cell>
          <cell r="R911">
            <v>1.0000000000000002</v>
          </cell>
          <cell r="S911">
            <v>0</v>
          </cell>
        </row>
        <row r="912">
          <cell r="E912" t="str">
            <v>W719</v>
          </cell>
          <cell r="F912">
            <v>1</v>
          </cell>
          <cell r="G912">
            <v>1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</row>
        <row r="913">
          <cell r="E913" t="str">
            <v>W749</v>
          </cell>
          <cell r="F913">
            <v>1</v>
          </cell>
          <cell r="G913">
            <v>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1</v>
          </cell>
          <cell r="S913">
            <v>0</v>
          </cell>
        </row>
        <row r="914">
          <cell r="E914" t="str">
            <v>WC79</v>
          </cell>
          <cell r="F914">
            <v>1</v>
          </cell>
          <cell r="G914">
            <v>0.42568000000000006</v>
          </cell>
          <cell r="H914">
            <v>0.29387000000000002</v>
          </cell>
          <cell r="I914">
            <v>1.2600000000000001E-3</v>
          </cell>
          <cell r="J914">
            <v>5.64E-3</v>
          </cell>
          <cell r="K914">
            <v>6.9999999999999994E-5</v>
          </cell>
          <cell r="L914">
            <v>0.12984000000000001</v>
          </cell>
          <cell r="M914">
            <v>0.10463</v>
          </cell>
          <cell r="N914">
            <v>1.41E-3</v>
          </cell>
          <cell r="O914">
            <v>3.4599999999999999E-2</v>
          </cell>
          <cell r="P914">
            <v>0</v>
          </cell>
          <cell r="Q914">
            <v>3.0000000000000001E-3</v>
          </cell>
          <cell r="R914">
            <v>1.0000000000000002</v>
          </cell>
          <cell r="S914">
            <v>0</v>
          </cell>
        </row>
        <row r="917">
          <cell r="E917" t="str">
            <v>RB29</v>
          </cell>
          <cell r="F917">
            <v>1</v>
          </cell>
          <cell r="G917">
            <v>0.42568000000000006</v>
          </cell>
          <cell r="H917">
            <v>0.29387000000000002</v>
          </cell>
          <cell r="I917">
            <v>1.2600000000000001E-3</v>
          </cell>
          <cell r="J917">
            <v>5.64E-3</v>
          </cell>
          <cell r="K917">
            <v>6.9999999999999994E-5</v>
          </cell>
          <cell r="L917">
            <v>0.12984000000000001</v>
          </cell>
          <cell r="M917">
            <v>0.10463</v>
          </cell>
          <cell r="N917">
            <v>1.41E-3</v>
          </cell>
          <cell r="O917">
            <v>3.4599999999999999E-2</v>
          </cell>
          <cell r="P917">
            <v>0</v>
          </cell>
          <cell r="Q917">
            <v>3.0000000000000001E-3</v>
          </cell>
          <cell r="R917">
            <v>1.0000000000000002</v>
          </cell>
          <cell r="S917">
            <v>0</v>
          </cell>
        </row>
        <row r="918">
          <cell r="E918" t="str">
            <v>RB99</v>
          </cell>
          <cell r="F918">
            <v>1</v>
          </cell>
          <cell r="G918">
            <v>0.42568000000000006</v>
          </cell>
          <cell r="H918">
            <v>0.29387000000000002</v>
          </cell>
          <cell r="I918">
            <v>1.2600000000000001E-3</v>
          </cell>
          <cell r="J918">
            <v>5.64E-3</v>
          </cell>
          <cell r="K918">
            <v>6.9999999999999994E-5</v>
          </cell>
          <cell r="L918">
            <v>0.12984000000000001</v>
          </cell>
          <cell r="M918">
            <v>0.10463</v>
          </cell>
          <cell r="N918">
            <v>1.41E-3</v>
          </cell>
          <cell r="O918">
            <v>3.4599999999999999E-2</v>
          </cell>
          <cell r="P918">
            <v>0</v>
          </cell>
          <cell r="Q918">
            <v>3.0000000000000001E-3</v>
          </cell>
          <cell r="R918">
            <v>1.0000000000000002</v>
          </cell>
          <cell r="S918">
            <v>0</v>
          </cell>
        </row>
        <row r="919">
          <cell r="E919" t="str">
            <v>CW29</v>
          </cell>
          <cell r="F919">
            <v>1</v>
          </cell>
          <cell r="G919">
            <v>1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</row>
        <row r="921">
          <cell r="R921" t="str">
            <v>FR-16(7)(v)-7</v>
          </cell>
        </row>
        <row r="922">
          <cell r="R922" t="str">
            <v>WITNESS RESPONSIBLE:</v>
          </cell>
        </row>
        <row r="923">
          <cell r="R923" t="str">
            <v>JAMES E. ZIOLKOWSKI</v>
          </cell>
        </row>
        <row r="924">
          <cell r="R924" t="str">
            <v>PAGE 18 OF 18</v>
          </cell>
        </row>
        <row r="927">
          <cell r="F927" t="str">
            <v>TOTAL</v>
          </cell>
          <cell r="H927" t="str">
            <v>DS</v>
          </cell>
          <cell r="I927" t="str">
            <v>GSFL</v>
          </cell>
          <cell r="J927" t="str">
            <v>EH</v>
          </cell>
          <cell r="K927" t="str">
            <v>SP</v>
          </cell>
          <cell r="L927" t="str">
            <v>DT SEC</v>
          </cell>
          <cell r="M927" t="str">
            <v>DT PRI</v>
          </cell>
          <cell r="N927" t="str">
            <v>DP</v>
          </cell>
          <cell r="O927" t="str">
            <v>TT</v>
          </cell>
          <cell r="Q927" t="str">
            <v>OTHER</v>
          </cell>
        </row>
        <row r="928">
          <cell r="F928" t="str">
            <v>TRANSMISSION</v>
          </cell>
          <cell r="G928" t="str">
            <v>RS</v>
          </cell>
          <cell r="H928" t="str">
            <v>SECONDARY</v>
          </cell>
          <cell r="I928" t="str">
            <v>SECONDARY</v>
          </cell>
          <cell r="J928" t="str">
            <v>SECONDARY</v>
          </cell>
          <cell r="K928" t="str">
            <v>SECONDARY</v>
          </cell>
          <cell r="L928" t="str">
            <v>SECONDARY</v>
          </cell>
          <cell r="M928" t="str">
            <v>PRIMARY</v>
          </cell>
          <cell r="N928" t="str">
            <v>PRIMARY</v>
          </cell>
          <cell r="O928" t="str">
            <v>TRANSMISSION</v>
          </cell>
          <cell r="P928" t="str">
            <v>LT</v>
          </cell>
          <cell r="Q928" t="str">
            <v>WATER</v>
          </cell>
          <cell r="R928" t="str">
            <v>TOTAL</v>
          </cell>
          <cell r="S928" t="str">
            <v>ALL</v>
          </cell>
        </row>
        <row r="929">
          <cell r="E929" t="str">
            <v>ALLO</v>
          </cell>
          <cell r="F929" t="str">
            <v>DEMAND</v>
          </cell>
          <cell r="G929" t="str">
            <v>RESIDENTIAL</v>
          </cell>
          <cell r="H929" t="str">
            <v>DISTRIBUTION</v>
          </cell>
          <cell r="I929" t="str">
            <v>DISTRIBUTION</v>
          </cell>
          <cell r="J929" t="str">
            <v>DISTRIBUTION</v>
          </cell>
          <cell r="K929" t="str">
            <v>DISTRIBUTION</v>
          </cell>
          <cell r="L929" t="str">
            <v>DISTRIBUTION</v>
          </cell>
          <cell r="M929" t="str">
            <v>DISTRIBUTION</v>
          </cell>
          <cell r="N929" t="str">
            <v>DISTRIBUTION</v>
          </cell>
          <cell r="O929" t="str">
            <v>TIME OF DAY</v>
          </cell>
          <cell r="P929" t="str">
            <v>LIGHTING</v>
          </cell>
          <cell r="Q929" t="str">
            <v>PUMPING</v>
          </cell>
          <cell r="R929" t="str">
            <v>AT ISSUE</v>
          </cell>
          <cell r="S929" t="str">
            <v>OTHER</v>
          </cell>
        </row>
        <row r="930">
          <cell r="E930">
            <v>1</v>
          </cell>
          <cell r="G930">
            <v>3</v>
          </cell>
          <cell r="H930">
            <v>4</v>
          </cell>
          <cell r="I930">
            <v>5</v>
          </cell>
          <cell r="J930">
            <v>6</v>
          </cell>
          <cell r="K930">
            <v>7</v>
          </cell>
          <cell r="L930">
            <v>8</v>
          </cell>
          <cell r="M930">
            <v>9</v>
          </cell>
          <cell r="N930">
            <v>10</v>
          </cell>
          <cell r="O930">
            <v>11</v>
          </cell>
          <cell r="P930">
            <v>12</v>
          </cell>
          <cell r="Q930">
            <v>13</v>
          </cell>
          <cell r="S930" t="str">
            <v xml:space="preserve"> </v>
          </cell>
        </row>
        <row r="932">
          <cell r="E932" t="str">
            <v>P349</v>
          </cell>
          <cell r="F932">
            <v>1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1</v>
          </cell>
        </row>
        <row r="933">
          <cell r="E933" t="str">
            <v>E349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1</v>
          </cell>
        </row>
        <row r="934">
          <cell r="E934" t="str">
            <v>P459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</v>
          </cell>
        </row>
        <row r="935">
          <cell r="E935" t="str">
            <v>T349</v>
          </cell>
          <cell r="F935">
            <v>1</v>
          </cell>
          <cell r="G935">
            <v>0.42568</v>
          </cell>
          <cell r="H935">
            <v>0.29387000000000002</v>
          </cell>
          <cell r="I935">
            <v>1.2600000000000001E-3</v>
          </cell>
          <cell r="J935">
            <v>5.64E-3</v>
          </cell>
          <cell r="K935">
            <v>6.9999999999999994E-5</v>
          </cell>
          <cell r="L935">
            <v>0.12984000000000001</v>
          </cell>
          <cell r="M935">
            <v>0.10463</v>
          </cell>
          <cell r="N935">
            <v>1.41E-3</v>
          </cell>
          <cell r="O935">
            <v>3.4599999999999999E-2</v>
          </cell>
          <cell r="P935">
            <v>0</v>
          </cell>
          <cell r="Q935">
            <v>3.0000000000000001E-3</v>
          </cell>
          <cell r="R935">
            <v>1</v>
          </cell>
          <cell r="S935">
            <v>0</v>
          </cell>
        </row>
        <row r="936">
          <cell r="E936" t="str">
            <v>D349</v>
          </cell>
          <cell r="F936">
            <v>1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1</v>
          </cell>
        </row>
        <row r="937">
          <cell r="E937" t="str">
            <v>C311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1</v>
          </cell>
        </row>
        <row r="938">
          <cell r="E938" t="str">
            <v>C319</v>
          </cell>
          <cell r="F938">
            <v>1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1</v>
          </cell>
        </row>
        <row r="939">
          <cell r="E939" t="str">
            <v>C331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E940" t="str">
            <v>S319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1</v>
          </cell>
        </row>
        <row r="941">
          <cell r="E941" t="str">
            <v>OM39</v>
          </cell>
          <cell r="F941">
            <v>1</v>
          </cell>
          <cell r="G941">
            <v>0.42568</v>
          </cell>
          <cell r="H941">
            <v>0.29387000000000002</v>
          </cell>
          <cell r="I941">
            <v>1.2600000000000001E-3</v>
          </cell>
          <cell r="J941">
            <v>5.64E-3</v>
          </cell>
          <cell r="K941">
            <v>6.9999999999999994E-5</v>
          </cell>
          <cell r="L941">
            <v>0.12984000000000001</v>
          </cell>
          <cell r="M941">
            <v>0.10463</v>
          </cell>
          <cell r="N941">
            <v>1.41E-3</v>
          </cell>
          <cell r="O941">
            <v>3.4599999999999999E-2</v>
          </cell>
          <cell r="P941">
            <v>0</v>
          </cell>
          <cell r="Q941">
            <v>3.0000000000000001E-3</v>
          </cell>
          <cell r="R941">
            <v>1</v>
          </cell>
          <cell r="S941">
            <v>0</v>
          </cell>
        </row>
        <row r="944">
          <cell r="E944" t="str">
            <v>A300</v>
          </cell>
          <cell r="F944">
            <v>1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</row>
        <row r="945">
          <cell r="E945" t="str">
            <v>A302</v>
          </cell>
          <cell r="F945">
            <v>1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1</v>
          </cell>
        </row>
        <row r="946">
          <cell r="E946" t="str">
            <v>A304</v>
          </cell>
          <cell r="F946">
            <v>1</v>
          </cell>
          <cell r="G946">
            <v>0.42568</v>
          </cell>
          <cell r="H946">
            <v>0.29387000000000002</v>
          </cell>
          <cell r="I946">
            <v>1.2600000000000001E-3</v>
          </cell>
          <cell r="J946">
            <v>5.64E-3</v>
          </cell>
          <cell r="K946">
            <v>6.9999999999999994E-5</v>
          </cell>
          <cell r="L946">
            <v>0.12984000000000001</v>
          </cell>
          <cell r="M946">
            <v>0.10463</v>
          </cell>
          <cell r="N946">
            <v>1.41E-3</v>
          </cell>
          <cell r="O946">
            <v>3.4599999999999999E-2</v>
          </cell>
          <cell r="P946">
            <v>0</v>
          </cell>
          <cell r="Q946">
            <v>3.0000000000000001E-3</v>
          </cell>
          <cell r="R946">
            <v>1</v>
          </cell>
          <cell r="S946">
            <v>0</v>
          </cell>
        </row>
        <row r="947">
          <cell r="E947" t="str">
            <v>A306</v>
          </cell>
          <cell r="F947">
            <v>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</row>
        <row r="948">
          <cell r="E948" t="str">
            <v>A308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</row>
        <row r="949">
          <cell r="E949" t="str">
            <v>A310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1</v>
          </cell>
        </row>
        <row r="950">
          <cell r="E950" t="str">
            <v>A312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</v>
          </cell>
        </row>
        <row r="951">
          <cell r="E951" t="str">
            <v>A315</v>
          </cell>
          <cell r="F951">
            <v>1</v>
          </cell>
          <cell r="G951">
            <v>0.42568</v>
          </cell>
          <cell r="H951">
            <v>0.29387000000000002</v>
          </cell>
          <cell r="I951">
            <v>1.2600000000000001E-3</v>
          </cell>
          <cell r="J951">
            <v>5.64E-3</v>
          </cell>
          <cell r="K951">
            <v>6.9999999999999994E-5</v>
          </cell>
          <cell r="L951">
            <v>0.12984000000000001</v>
          </cell>
          <cell r="M951">
            <v>0.10463</v>
          </cell>
          <cell r="N951">
            <v>1.41E-3</v>
          </cell>
          <cell r="O951">
            <v>3.4599999999999999E-2</v>
          </cell>
          <cell r="P951">
            <v>0</v>
          </cell>
          <cell r="Q951">
            <v>3.0000000000000001E-3</v>
          </cell>
          <cell r="R951">
            <v>1</v>
          </cell>
          <cell r="S951">
            <v>0</v>
          </cell>
        </row>
        <row r="952">
          <cell r="E952" t="str">
            <v>A357</v>
          </cell>
          <cell r="F952">
            <v>1</v>
          </cell>
          <cell r="G952">
            <v>0.42568</v>
          </cell>
          <cell r="H952">
            <v>0.29387000000000002</v>
          </cell>
          <cell r="I952">
            <v>1.2600000000000001E-3</v>
          </cell>
          <cell r="J952">
            <v>5.64E-3</v>
          </cell>
          <cell r="K952">
            <v>6.9999999999999994E-5</v>
          </cell>
          <cell r="L952">
            <v>0.12984000000000001</v>
          </cell>
          <cell r="M952">
            <v>0.10463</v>
          </cell>
          <cell r="N952">
            <v>1.41E-3</v>
          </cell>
          <cell r="O952">
            <v>3.4599999999999999E-2</v>
          </cell>
          <cell r="P952">
            <v>0</v>
          </cell>
          <cell r="Q952">
            <v>3.0000000000000001E-3</v>
          </cell>
          <cell r="R952">
            <v>1</v>
          </cell>
          <cell r="S952">
            <v>0</v>
          </cell>
        </row>
        <row r="955">
          <cell r="E955" t="str">
            <v>P489</v>
          </cell>
          <cell r="F955">
            <v>1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1</v>
          </cell>
        </row>
        <row r="956">
          <cell r="E956" t="str">
            <v>T489</v>
          </cell>
          <cell r="F956">
            <v>1</v>
          </cell>
          <cell r="G956">
            <v>0.42568</v>
          </cell>
          <cell r="H956">
            <v>0.29387000000000002</v>
          </cell>
          <cell r="I956">
            <v>1.2600000000000001E-3</v>
          </cell>
          <cell r="J956">
            <v>5.64E-3</v>
          </cell>
          <cell r="K956">
            <v>6.9999999999999994E-5</v>
          </cell>
          <cell r="L956">
            <v>0.12984000000000001</v>
          </cell>
          <cell r="M956">
            <v>0.10463</v>
          </cell>
          <cell r="N956">
            <v>1.41E-3</v>
          </cell>
          <cell r="O956">
            <v>3.4599999999999999E-2</v>
          </cell>
          <cell r="P956">
            <v>0</v>
          </cell>
          <cell r="Q956">
            <v>3.0000000000000001E-3</v>
          </cell>
          <cell r="R956">
            <v>1</v>
          </cell>
          <cell r="S956">
            <v>0</v>
          </cell>
        </row>
        <row r="957">
          <cell r="E957" t="str">
            <v>D489</v>
          </cell>
          <cell r="F957">
            <v>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1</v>
          </cell>
        </row>
        <row r="958">
          <cell r="E958" t="str">
            <v>G489</v>
          </cell>
          <cell r="F958">
            <v>1</v>
          </cell>
          <cell r="G958">
            <v>0.42568</v>
          </cell>
          <cell r="H958">
            <v>0.29387000000000002</v>
          </cell>
          <cell r="I958">
            <v>1.2600000000000001E-3</v>
          </cell>
          <cell r="J958">
            <v>5.64E-3</v>
          </cell>
          <cell r="K958">
            <v>6.9999999999999994E-5</v>
          </cell>
          <cell r="L958">
            <v>0.12984000000000001</v>
          </cell>
          <cell r="M958">
            <v>0.10463</v>
          </cell>
          <cell r="N958">
            <v>1.41E-3</v>
          </cell>
          <cell r="O958">
            <v>3.4599999999999999E-2</v>
          </cell>
          <cell r="P958">
            <v>0</v>
          </cell>
          <cell r="Q958">
            <v>3.0000000000000001E-3</v>
          </cell>
          <cell r="R958">
            <v>1</v>
          </cell>
          <cell r="S958">
            <v>0</v>
          </cell>
        </row>
        <row r="959">
          <cell r="E959" t="str">
            <v>C489</v>
          </cell>
          <cell r="F959">
            <v>1</v>
          </cell>
          <cell r="G959">
            <v>0.42562</v>
          </cell>
          <cell r="H959">
            <v>0.29389999999999999</v>
          </cell>
          <cell r="I959">
            <v>1.23E-3</v>
          </cell>
          <cell r="J959">
            <v>5.6299999999999996E-3</v>
          </cell>
          <cell r="K959">
            <v>6.9999999999999994E-5</v>
          </cell>
          <cell r="L959">
            <v>0.12984999999999999</v>
          </cell>
          <cell r="M959">
            <v>0.1046</v>
          </cell>
          <cell r="N959">
            <v>1.4400000000000001E-3</v>
          </cell>
          <cell r="O959">
            <v>3.4630000000000001E-2</v>
          </cell>
          <cell r="P959">
            <v>0</v>
          </cell>
          <cell r="Q959">
            <v>3.0300000000000001E-3</v>
          </cell>
          <cell r="R959">
            <v>1</v>
          </cell>
          <cell r="S959">
            <v>0</v>
          </cell>
        </row>
        <row r="960">
          <cell r="E960" t="str">
            <v>DE49</v>
          </cell>
          <cell r="F960">
            <v>1</v>
          </cell>
          <cell r="G960">
            <v>0.42568</v>
          </cell>
          <cell r="H960">
            <v>0.29387000000000002</v>
          </cell>
          <cell r="I960">
            <v>1.2600000000000001E-3</v>
          </cell>
          <cell r="J960">
            <v>5.64E-3</v>
          </cell>
          <cell r="K960">
            <v>6.9999999999999994E-5</v>
          </cell>
          <cell r="L960">
            <v>0.12984000000000001</v>
          </cell>
          <cell r="M960">
            <v>0.10463</v>
          </cell>
          <cell r="N960">
            <v>1.41E-3</v>
          </cell>
          <cell r="O960">
            <v>3.4599999999999999E-2</v>
          </cell>
          <cell r="P960">
            <v>0</v>
          </cell>
          <cell r="Q960">
            <v>3.0000000000000001E-3</v>
          </cell>
          <cell r="R960">
            <v>1</v>
          </cell>
          <cell r="S960">
            <v>0</v>
          </cell>
        </row>
        <row r="963">
          <cell r="E963" t="str">
            <v>L529</v>
          </cell>
          <cell r="F963">
            <v>1</v>
          </cell>
          <cell r="G963">
            <v>0.42568</v>
          </cell>
          <cell r="H963">
            <v>0.29387000000000002</v>
          </cell>
          <cell r="I963">
            <v>1.2600000000000001E-3</v>
          </cell>
          <cell r="J963">
            <v>5.64E-3</v>
          </cell>
          <cell r="K963">
            <v>6.9999999999999994E-5</v>
          </cell>
          <cell r="L963">
            <v>0.12984000000000001</v>
          </cell>
          <cell r="M963">
            <v>0.10463</v>
          </cell>
          <cell r="N963">
            <v>1.41E-3</v>
          </cell>
          <cell r="O963">
            <v>3.4599999999999999E-2</v>
          </cell>
          <cell r="P963">
            <v>0</v>
          </cell>
          <cell r="Q963">
            <v>3.0000000000000001E-3</v>
          </cell>
          <cell r="R963">
            <v>1</v>
          </cell>
          <cell r="S963">
            <v>0</v>
          </cell>
        </row>
        <row r="964">
          <cell r="E964" t="str">
            <v>L589</v>
          </cell>
          <cell r="F964">
            <v>1</v>
          </cell>
          <cell r="G964">
            <v>0.42570000000000002</v>
          </cell>
          <cell r="H964">
            <v>0.29385</v>
          </cell>
          <cell r="I964">
            <v>1.25E-3</v>
          </cell>
          <cell r="J964">
            <v>5.6499999999999996E-3</v>
          </cell>
          <cell r="K964">
            <v>6.9999999999999994E-5</v>
          </cell>
          <cell r="L964">
            <v>0.12984000000000001</v>
          </cell>
          <cell r="M964">
            <v>0.10464</v>
          </cell>
          <cell r="N964">
            <v>1.4E-3</v>
          </cell>
          <cell r="O964">
            <v>3.4599999999999999E-2</v>
          </cell>
          <cell r="P964">
            <v>0</v>
          </cell>
          <cell r="Q964">
            <v>2.99E-3</v>
          </cell>
          <cell r="R964">
            <v>0.99998999999999993</v>
          </cell>
          <cell r="S964">
            <v>1.0000000000065512E-5</v>
          </cell>
        </row>
        <row r="965">
          <cell r="E965" t="str">
            <v>L599</v>
          </cell>
          <cell r="F965">
            <v>1</v>
          </cell>
          <cell r="G965">
            <v>0.42570999999999998</v>
          </cell>
          <cell r="H965">
            <v>0.29385</v>
          </cell>
          <cell r="I965">
            <v>1.2600000000000001E-3</v>
          </cell>
          <cell r="J965">
            <v>5.64E-3</v>
          </cell>
          <cell r="K965">
            <v>6.9999999999999994E-5</v>
          </cell>
          <cell r="L965">
            <v>0.12983</v>
          </cell>
          <cell r="M965">
            <v>0.10462</v>
          </cell>
          <cell r="N965">
            <v>1.41E-3</v>
          </cell>
          <cell r="O965">
            <v>3.4599999999999999E-2</v>
          </cell>
          <cell r="P965">
            <v>1.0000000000000001E-5</v>
          </cell>
          <cell r="Q965">
            <v>3.0000000000000001E-3</v>
          </cell>
          <cell r="R965">
            <v>1</v>
          </cell>
          <cell r="S965">
            <v>0</v>
          </cell>
        </row>
        <row r="966">
          <cell r="E966" t="str">
            <v>OP69</v>
          </cell>
          <cell r="F966">
            <v>1</v>
          </cell>
          <cell r="G966">
            <v>0.42568</v>
          </cell>
          <cell r="H966">
            <v>0.29387000000000002</v>
          </cell>
          <cell r="I966">
            <v>1.2600000000000001E-3</v>
          </cell>
          <cell r="J966">
            <v>5.64E-3</v>
          </cell>
          <cell r="K966">
            <v>6.9999999999999994E-5</v>
          </cell>
          <cell r="L966">
            <v>0.12984000000000001</v>
          </cell>
          <cell r="M966">
            <v>0.10463</v>
          </cell>
          <cell r="N966">
            <v>1.41E-3</v>
          </cell>
          <cell r="O966">
            <v>3.4599999999999999E-2</v>
          </cell>
          <cell r="P966">
            <v>0</v>
          </cell>
          <cell r="Q966">
            <v>3.0000000000000001E-3</v>
          </cell>
          <cell r="R966">
            <v>1</v>
          </cell>
          <cell r="S966">
            <v>0</v>
          </cell>
        </row>
        <row r="969">
          <cell r="E969" t="str">
            <v>CS09</v>
          </cell>
          <cell r="F969">
            <v>1</v>
          </cell>
          <cell r="G969">
            <v>0.425680903</v>
          </cell>
          <cell r="H969">
            <v>0.29386941900000002</v>
          </cell>
          <cell r="I969">
            <v>1.26005E-3</v>
          </cell>
          <cell r="J969">
            <v>5.6398960000000001E-3</v>
          </cell>
          <cell r="K969">
            <v>6.9980000000000004E-5</v>
          </cell>
          <cell r="L969">
            <v>0.12983978700000001</v>
          </cell>
          <cell r="M969">
            <v>0.10462956499999999</v>
          </cell>
          <cell r="N969">
            <v>1.410054E-3</v>
          </cell>
          <cell r="O969">
            <v>3.4600019000000003E-2</v>
          </cell>
          <cell r="P969">
            <v>3.7099999999999997E-7</v>
          </cell>
          <cell r="Q969">
            <v>2.9999549999999999E-3</v>
          </cell>
          <cell r="R969">
            <v>0.99999999900000014</v>
          </cell>
          <cell r="S969">
            <v>9.9999986069576607E-10</v>
          </cell>
        </row>
      </sheetData>
      <sheetData sheetId="11">
        <row r="24">
          <cell r="H24">
            <v>0</v>
          </cell>
        </row>
        <row r="33">
          <cell r="H33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0</v>
          </cell>
        </row>
        <row r="101">
          <cell r="H101">
            <v>0</v>
          </cell>
        </row>
        <row r="102">
          <cell r="H102">
            <v>0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H105">
            <v>0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0</v>
          </cell>
        </row>
        <row r="113">
          <cell r="H113">
            <v>0</v>
          </cell>
        </row>
        <row r="114">
          <cell r="H114">
            <v>0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H117">
            <v>0</v>
          </cell>
        </row>
        <row r="118">
          <cell r="H118">
            <v>0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42">
          <cell r="H142">
            <v>0</v>
          </cell>
        </row>
        <row r="143">
          <cell r="H143">
            <v>0</v>
          </cell>
        </row>
        <row r="144">
          <cell r="H144">
            <v>0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0</v>
          </cell>
        </row>
        <row r="156">
          <cell r="H156">
            <v>0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67">
          <cell r="H167">
            <v>0</v>
          </cell>
        </row>
        <row r="168">
          <cell r="H168">
            <v>0</v>
          </cell>
        </row>
        <row r="169">
          <cell r="H169">
            <v>0</v>
          </cell>
        </row>
        <row r="170">
          <cell r="H170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4">
          <cell r="H184">
            <v>0</v>
          </cell>
        </row>
        <row r="185">
          <cell r="H185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0</v>
          </cell>
        </row>
        <row r="304">
          <cell r="H304">
            <v>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0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0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0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0</v>
          </cell>
        </row>
        <row r="396">
          <cell r="H396">
            <v>0</v>
          </cell>
        </row>
        <row r="397">
          <cell r="H397">
            <v>0</v>
          </cell>
        </row>
        <row r="402">
          <cell r="H402">
            <v>0</v>
          </cell>
        </row>
        <row r="403">
          <cell r="H403">
            <v>0</v>
          </cell>
        </row>
        <row r="404">
          <cell r="H404">
            <v>0</v>
          </cell>
        </row>
        <row r="407">
          <cell r="H407">
            <v>0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0</v>
          </cell>
        </row>
        <row r="447">
          <cell r="H447">
            <v>0</v>
          </cell>
        </row>
        <row r="448">
          <cell r="H448">
            <v>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0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0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0</v>
          </cell>
        </row>
        <row r="473">
          <cell r="H473">
            <v>0</v>
          </cell>
        </row>
        <row r="474">
          <cell r="H474">
            <v>0</v>
          </cell>
        </row>
        <row r="475">
          <cell r="H475">
            <v>0</v>
          </cell>
        </row>
        <row r="476">
          <cell r="H476">
            <v>0</v>
          </cell>
        </row>
        <row r="477">
          <cell r="H477">
            <v>0</v>
          </cell>
        </row>
        <row r="478">
          <cell r="H478">
            <v>0</v>
          </cell>
        </row>
        <row r="479">
          <cell r="H479">
            <v>0</v>
          </cell>
        </row>
        <row r="480">
          <cell r="H480">
            <v>0</v>
          </cell>
        </row>
        <row r="481">
          <cell r="H481">
            <v>0</v>
          </cell>
        </row>
        <row r="482">
          <cell r="H482">
            <v>0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0</v>
          </cell>
        </row>
        <row r="486">
          <cell r="H486">
            <v>0</v>
          </cell>
        </row>
        <row r="487">
          <cell r="H487">
            <v>0</v>
          </cell>
        </row>
        <row r="488">
          <cell r="H488">
            <v>0</v>
          </cell>
        </row>
        <row r="489">
          <cell r="H489">
            <v>0</v>
          </cell>
        </row>
        <row r="490">
          <cell r="H490">
            <v>0</v>
          </cell>
        </row>
        <row r="491">
          <cell r="H491">
            <v>0</v>
          </cell>
        </row>
        <row r="495">
          <cell r="H495">
            <v>0</v>
          </cell>
        </row>
        <row r="496">
          <cell r="H496">
            <v>0</v>
          </cell>
        </row>
        <row r="497">
          <cell r="H497">
            <v>0</v>
          </cell>
        </row>
        <row r="498">
          <cell r="H498">
            <v>0</v>
          </cell>
        </row>
        <row r="499">
          <cell r="H499">
            <v>0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0</v>
          </cell>
        </row>
        <row r="516">
          <cell r="H516">
            <v>0</v>
          </cell>
        </row>
        <row r="517">
          <cell r="H517">
            <v>0</v>
          </cell>
        </row>
        <row r="521">
          <cell r="H521">
            <v>0</v>
          </cell>
        </row>
        <row r="525">
          <cell r="H525">
            <v>0</v>
          </cell>
        </row>
        <row r="526">
          <cell r="H526">
            <v>0</v>
          </cell>
        </row>
        <row r="527">
          <cell r="H527">
            <v>0</v>
          </cell>
        </row>
        <row r="528">
          <cell r="H528">
            <v>0</v>
          </cell>
        </row>
        <row r="529">
          <cell r="H529">
            <v>0</v>
          </cell>
        </row>
        <row r="530">
          <cell r="H530">
            <v>0</v>
          </cell>
        </row>
        <row r="531">
          <cell r="H531">
            <v>0</v>
          </cell>
        </row>
        <row r="533">
          <cell r="H533">
            <v>0</v>
          </cell>
        </row>
        <row r="534">
          <cell r="H534">
            <v>0</v>
          </cell>
        </row>
        <row r="535">
          <cell r="H535">
            <v>0</v>
          </cell>
        </row>
        <row r="536">
          <cell r="H536">
            <v>0</v>
          </cell>
        </row>
        <row r="537">
          <cell r="H537">
            <v>0</v>
          </cell>
        </row>
        <row r="538">
          <cell r="H538">
            <v>0</v>
          </cell>
        </row>
        <row r="539">
          <cell r="H539">
            <v>0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0</v>
          </cell>
        </row>
        <row r="543">
          <cell r="H543">
            <v>0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0</v>
          </cell>
        </row>
        <row r="562">
          <cell r="H562">
            <v>0</v>
          </cell>
        </row>
        <row r="566">
          <cell r="H566">
            <v>0</v>
          </cell>
        </row>
        <row r="570">
          <cell r="H570">
            <v>0</v>
          </cell>
        </row>
        <row r="574">
          <cell r="H574">
            <v>0</v>
          </cell>
        </row>
        <row r="578">
          <cell r="H578">
            <v>0</v>
          </cell>
        </row>
        <row r="596">
          <cell r="H596">
            <v>0</v>
          </cell>
        </row>
        <row r="597">
          <cell r="H597">
            <v>0</v>
          </cell>
        </row>
        <row r="601">
          <cell r="H601">
            <v>0</v>
          </cell>
        </row>
        <row r="602">
          <cell r="H602">
            <v>0</v>
          </cell>
        </row>
        <row r="603">
          <cell r="H603">
            <v>0</v>
          </cell>
        </row>
        <row r="604">
          <cell r="H604">
            <v>0</v>
          </cell>
        </row>
        <row r="608">
          <cell r="H608">
            <v>0</v>
          </cell>
        </row>
        <row r="609">
          <cell r="H609">
            <v>0</v>
          </cell>
        </row>
        <row r="632">
          <cell r="H632">
            <v>0</v>
          </cell>
        </row>
        <row r="636">
          <cell r="H636">
            <v>0</v>
          </cell>
        </row>
        <row r="637">
          <cell r="H637">
            <v>0</v>
          </cell>
        </row>
        <row r="638">
          <cell r="H638">
            <v>0</v>
          </cell>
        </row>
        <row r="644">
          <cell r="H644">
            <v>0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0</v>
          </cell>
        </row>
        <row r="648">
          <cell r="H648">
            <v>0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74">
          <cell r="H674">
            <v>0</v>
          </cell>
        </row>
        <row r="694">
          <cell r="H694">
            <v>0</v>
          </cell>
        </row>
        <row r="695">
          <cell r="H695">
            <v>0</v>
          </cell>
        </row>
        <row r="700">
          <cell r="H700">
            <v>0</v>
          </cell>
        </row>
        <row r="704">
          <cell r="H704">
            <v>0</v>
          </cell>
        </row>
        <row r="742">
          <cell r="H742">
            <v>0</v>
          </cell>
        </row>
        <row r="743">
          <cell r="H743">
            <v>0</v>
          </cell>
        </row>
        <row r="744">
          <cell r="H744">
            <v>0</v>
          </cell>
        </row>
        <row r="745">
          <cell r="H745">
            <v>0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0</v>
          </cell>
        </row>
        <row r="761">
          <cell r="H761">
            <v>0</v>
          </cell>
        </row>
        <row r="772">
          <cell r="H772">
            <v>0</v>
          </cell>
        </row>
        <row r="830">
          <cell r="F830">
            <v>648083</v>
          </cell>
          <cell r="G830">
            <v>275875</v>
          </cell>
          <cell r="H830">
            <v>190449</v>
          </cell>
          <cell r="I830">
            <v>819</v>
          </cell>
          <cell r="J830">
            <v>3656</v>
          </cell>
          <cell r="K830">
            <v>44</v>
          </cell>
          <cell r="L830">
            <v>84146</v>
          </cell>
          <cell r="M830">
            <v>67809</v>
          </cell>
          <cell r="N830">
            <v>917</v>
          </cell>
          <cell r="O830">
            <v>22422</v>
          </cell>
          <cell r="P830">
            <v>0</v>
          </cell>
          <cell r="Q830">
            <v>1946</v>
          </cell>
          <cell r="R830">
            <v>648083</v>
          </cell>
          <cell r="S830">
            <v>0</v>
          </cell>
        </row>
        <row r="831">
          <cell r="E831" t="str">
            <v>K201</v>
          </cell>
          <cell r="F831">
            <v>1</v>
          </cell>
          <cell r="G831">
            <v>0.42568000000000006</v>
          </cell>
          <cell r="H831">
            <v>0.29387000000000002</v>
          </cell>
          <cell r="I831">
            <v>1.2600000000000001E-3</v>
          </cell>
          <cell r="J831">
            <v>5.64E-3</v>
          </cell>
          <cell r="K831">
            <v>6.9999999999999994E-5</v>
          </cell>
          <cell r="L831">
            <v>0.12984000000000001</v>
          </cell>
          <cell r="M831">
            <v>0.10463</v>
          </cell>
          <cell r="N831">
            <v>1.41E-3</v>
          </cell>
          <cell r="O831">
            <v>3.4599999999999999E-2</v>
          </cell>
          <cell r="P831">
            <v>0</v>
          </cell>
          <cell r="Q831">
            <v>3.0000000000000001E-3</v>
          </cell>
          <cell r="R831">
            <v>1.0000000000000002</v>
          </cell>
          <cell r="S831">
            <v>0</v>
          </cell>
        </row>
        <row r="832">
          <cell r="F832">
            <v>648083</v>
          </cell>
          <cell r="G832">
            <v>275875</v>
          </cell>
          <cell r="H832">
            <v>190449</v>
          </cell>
          <cell r="I832">
            <v>819</v>
          </cell>
          <cell r="J832">
            <v>3656</v>
          </cell>
          <cell r="K832">
            <v>44</v>
          </cell>
          <cell r="L832">
            <v>84146</v>
          </cell>
          <cell r="M832">
            <v>67809</v>
          </cell>
          <cell r="N832">
            <v>917</v>
          </cell>
          <cell r="O832">
            <v>22422</v>
          </cell>
          <cell r="P832">
            <v>0</v>
          </cell>
          <cell r="Q832">
            <v>1946</v>
          </cell>
          <cell r="R832">
            <v>648083</v>
          </cell>
          <cell r="S832">
            <v>0</v>
          </cell>
        </row>
        <row r="833">
          <cell r="E833" t="str">
            <v>K202</v>
          </cell>
          <cell r="F833">
            <v>1</v>
          </cell>
          <cell r="G833">
            <v>0.42568000000000006</v>
          </cell>
          <cell r="H833">
            <v>0.29387000000000002</v>
          </cell>
          <cell r="I833">
            <v>1.2600000000000001E-3</v>
          </cell>
          <cell r="J833">
            <v>5.64E-3</v>
          </cell>
          <cell r="K833">
            <v>6.9999999999999994E-5</v>
          </cell>
          <cell r="L833">
            <v>0.12984000000000001</v>
          </cell>
          <cell r="M833">
            <v>0.10463</v>
          </cell>
          <cell r="N833">
            <v>1.41E-3</v>
          </cell>
          <cell r="O833">
            <v>3.4599999999999999E-2</v>
          </cell>
          <cell r="P833">
            <v>0</v>
          </cell>
          <cell r="Q833">
            <v>3.0000000000000001E-3</v>
          </cell>
          <cell r="R833">
            <v>1.0000000000000002</v>
          </cell>
          <cell r="S833">
            <v>0</v>
          </cell>
        </row>
        <row r="834">
          <cell r="F834">
            <v>1647331</v>
          </cell>
          <cell r="G834">
            <v>1006247</v>
          </cell>
          <cell r="H834">
            <v>345716</v>
          </cell>
          <cell r="I834">
            <v>1108</v>
          </cell>
          <cell r="J834">
            <v>13538</v>
          </cell>
          <cell r="K834">
            <v>107</v>
          </cell>
          <cell r="L834">
            <v>117501</v>
          </cell>
          <cell r="M834">
            <v>94629</v>
          </cell>
          <cell r="N834">
            <v>6558</v>
          </cell>
          <cell r="O834">
            <v>52159</v>
          </cell>
          <cell r="P834">
            <v>6010</v>
          </cell>
          <cell r="Q834">
            <v>3758</v>
          </cell>
          <cell r="R834">
            <v>1647331</v>
          </cell>
          <cell r="S834">
            <v>0</v>
          </cell>
        </row>
        <row r="835">
          <cell r="E835" t="str">
            <v>K203</v>
          </cell>
          <cell r="F835">
            <v>1</v>
          </cell>
          <cell r="G835">
            <v>0.61085</v>
          </cell>
          <cell r="H835">
            <v>0.20985999999999999</v>
          </cell>
          <cell r="I835">
            <v>6.7000000000000002E-4</v>
          </cell>
          <cell r="J835">
            <v>8.2199999999999999E-3</v>
          </cell>
          <cell r="K835">
            <v>6.0000000000000002E-5</v>
          </cell>
          <cell r="L835">
            <v>7.1330000000000005E-2</v>
          </cell>
          <cell r="M835">
            <v>5.7439999999999998E-2</v>
          </cell>
          <cell r="N835">
            <v>3.98E-3</v>
          </cell>
          <cell r="O835">
            <v>3.1660000000000001E-2</v>
          </cell>
          <cell r="P835">
            <v>3.65E-3</v>
          </cell>
          <cell r="Q835">
            <v>2.2799999999999999E-3</v>
          </cell>
          <cell r="R835">
            <v>1</v>
          </cell>
          <cell r="S835">
            <v>0</v>
          </cell>
        </row>
        <row r="836">
          <cell r="F836">
            <v>708591</v>
          </cell>
          <cell r="G836">
            <v>315144</v>
          </cell>
          <cell r="H836">
            <v>219094</v>
          </cell>
          <cell r="I836">
            <v>924</v>
          </cell>
          <cell r="J836">
            <v>4810</v>
          </cell>
          <cell r="K836">
            <v>51</v>
          </cell>
          <cell r="L836">
            <v>88885</v>
          </cell>
          <cell r="M836">
            <v>71748</v>
          </cell>
          <cell r="N836">
            <v>939</v>
          </cell>
          <cell r="O836">
            <v>0</v>
          </cell>
          <cell r="P836">
            <v>4747</v>
          </cell>
          <cell r="Q836">
            <v>2249</v>
          </cell>
          <cell r="R836">
            <v>708591</v>
          </cell>
          <cell r="S836">
            <v>0</v>
          </cell>
        </row>
        <row r="837">
          <cell r="E837" t="str">
            <v>K205</v>
          </cell>
          <cell r="F837">
            <v>1</v>
          </cell>
          <cell r="G837">
            <v>0.44474999999999987</v>
          </cell>
          <cell r="H837">
            <v>0.30919999999999997</v>
          </cell>
          <cell r="I837">
            <v>1.2999999999999999E-3</v>
          </cell>
          <cell r="J837">
            <v>6.79E-3</v>
          </cell>
          <cell r="K837">
            <v>6.9999999999999994E-5</v>
          </cell>
          <cell r="L837">
            <v>0.12544</v>
          </cell>
          <cell r="M837">
            <v>0.10125000000000001</v>
          </cell>
          <cell r="N837">
            <v>1.33E-3</v>
          </cell>
          <cell r="O837">
            <v>0</v>
          </cell>
          <cell r="P837">
            <v>6.7000000000000002E-3</v>
          </cell>
          <cell r="Q837">
            <v>3.1700000000000001E-3</v>
          </cell>
          <cell r="R837">
            <v>1</v>
          </cell>
          <cell r="S837">
            <v>0</v>
          </cell>
        </row>
        <row r="838">
          <cell r="F838">
            <v>708591</v>
          </cell>
          <cell r="G838">
            <v>315144</v>
          </cell>
          <cell r="H838">
            <v>219094</v>
          </cell>
          <cell r="I838">
            <v>924</v>
          </cell>
          <cell r="J838">
            <v>4810</v>
          </cell>
          <cell r="K838">
            <v>51</v>
          </cell>
          <cell r="L838">
            <v>88885</v>
          </cell>
          <cell r="M838">
            <v>71748</v>
          </cell>
          <cell r="N838">
            <v>939</v>
          </cell>
          <cell r="O838">
            <v>0</v>
          </cell>
          <cell r="P838">
            <v>4747</v>
          </cell>
          <cell r="Q838">
            <v>2249</v>
          </cell>
          <cell r="R838">
            <v>708591</v>
          </cell>
          <cell r="S838">
            <v>0</v>
          </cell>
        </row>
        <row r="839">
          <cell r="E839" t="str">
            <v>K206</v>
          </cell>
          <cell r="F839">
            <v>1</v>
          </cell>
          <cell r="G839">
            <v>0.44474999999999987</v>
          </cell>
          <cell r="H839">
            <v>0.30919999999999997</v>
          </cell>
          <cell r="I839">
            <v>1.2999999999999999E-3</v>
          </cell>
          <cell r="J839">
            <v>6.79E-3</v>
          </cell>
          <cell r="K839">
            <v>6.9999999999999994E-5</v>
          </cell>
          <cell r="L839">
            <v>0.12544</v>
          </cell>
          <cell r="M839">
            <v>0.10125000000000001</v>
          </cell>
          <cell r="N839">
            <v>1.33E-3</v>
          </cell>
          <cell r="O839">
            <v>0</v>
          </cell>
          <cell r="P839">
            <v>6.7000000000000002E-3</v>
          </cell>
          <cell r="Q839">
            <v>3.1700000000000001E-3</v>
          </cell>
          <cell r="R839">
            <v>1</v>
          </cell>
          <cell r="S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E841" t="str">
            <v>K209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F842">
            <v>708591</v>
          </cell>
          <cell r="G842">
            <v>315144</v>
          </cell>
          <cell r="H842">
            <v>219094</v>
          </cell>
          <cell r="I842">
            <v>924</v>
          </cell>
          <cell r="J842">
            <v>4810</v>
          </cell>
          <cell r="K842">
            <v>51</v>
          </cell>
          <cell r="L842">
            <v>88885</v>
          </cell>
          <cell r="M842">
            <v>71748</v>
          </cell>
          <cell r="N842">
            <v>939</v>
          </cell>
          <cell r="O842">
            <v>0</v>
          </cell>
          <cell r="P842">
            <v>4747</v>
          </cell>
          <cell r="Q842">
            <v>2249</v>
          </cell>
          <cell r="R842">
            <v>708591</v>
          </cell>
          <cell r="S842">
            <v>0</v>
          </cell>
        </row>
        <row r="843">
          <cell r="E843" t="str">
            <v>K215</v>
          </cell>
          <cell r="F843">
            <v>1</v>
          </cell>
          <cell r="G843">
            <v>0.44474999999999987</v>
          </cell>
          <cell r="H843">
            <v>0.30919999999999997</v>
          </cell>
          <cell r="I843">
            <v>1.2999999999999999E-3</v>
          </cell>
          <cell r="J843">
            <v>6.79E-3</v>
          </cell>
          <cell r="K843">
            <v>6.9999999999999994E-5</v>
          </cell>
          <cell r="L843">
            <v>0.12544</v>
          </cell>
          <cell r="M843">
            <v>0.10125000000000001</v>
          </cell>
          <cell r="N843">
            <v>1.33E-3</v>
          </cell>
          <cell r="O843">
            <v>0</v>
          </cell>
          <cell r="P843">
            <v>6.7000000000000002E-3</v>
          </cell>
          <cell r="Q843">
            <v>3.1700000000000001E-3</v>
          </cell>
          <cell r="R843">
            <v>1</v>
          </cell>
          <cell r="S843">
            <v>0</v>
          </cell>
        </row>
        <row r="844">
          <cell r="F844">
            <v>165672</v>
          </cell>
          <cell r="G844">
            <v>137520</v>
          </cell>
          <cell r="H844">
            <v>24512</v>
          </cell>
          <cell r="I844">
            <v>46</v>
          </cell>
          <cell r="J844">
            <v>264</v>
          </cell>
          <cell r="K844">
            <v>12</v>
          </cell>
          <cell r="L844">
            <v>342</v>
          </cell>
          <cell r="M844">
            <v>105</v>
          </cell>
          <cell r="N844">
            <v>30</v>
          </cell>
          <cell r="O844">
            <v>36</v>
          </cell>
          <cell r="P844">
            <v>2792</v>
          </cell>
          <cell r="Q844">
            <v>3</v>
          </cell>
          <cell r="R844">
            <v>165662</v>
          </cell>
          <cell r="S844">
            <v>10</v>
          </cell>
        </row>
        <row r="845">
          <cell r="E845" t="str">
            <v>K217</v>
          </cell>
          <cell r="F845">
            <v>1</v>
          </cell>
          <cell r="G845">
            <v>0.83006999999999997</v>
          </cell>
          <cell r="H845">
            <v>0.14795</v>
          </cell>
          <cell r="I845">
            <v>2.7999999999999998E-4</v>
          </cell>
          <cell r="J845">
            <v>1.5900000000000001E-3</v>
          </cell>
          <cell r="K845">
            <v>6.9999999999999994E-5</v>
          </cell>
          <cell r="L845">
            <v>2.0600000000000002E-3</v>
          </cell>
          <cell r="M845">
            <v>6.3000000000000003E-4</v>
          </cell>
          <cell r="N845">
            <v>1.8000000000000001E-4</v>
          </cell>
          <cell r="O845">
            <v>2.2000000000000001E-4</v>
          </cell>
          <cell r="P845">
            <v>1.685E-2</v>
          </cell>
          <cell r="Q845">
            <v>2.0000000000000002E-5</v>
          </cell>
          <cell r="R845">
            <v>0.99991999999999992</v>
          </cell>
          <cell r="S845">
            <v>8.0000000000080007E-5</v>
          </cell>
        </row>
        <row r="846">
          <cell r="F846">
            <v>4101134214.1489997</v>
          </cell>
          <cell r="G846">
            <v>1470196498.845</v>
          </cell>
          <cell r="H846">
            <v>1255081996.2449999</v>
          </cell>
          <cell r="I846">
            <v>6350133.8709999984</v>
          </cell>
          <cell r="J846">
            <v>19355665.91</v>
          </cell>
          <cell r="K846">
            <v>288048</v>
          </cell>
          <cell r="L846">
            <v>610848200.07483399</v>
          </cell>
          <cell r="M846">
            <v>509222309.26616597</v>
          </cell>
          <cell r="N846">
            <v>5979794.5269999998</v>
          </cell>
          <cell r="O846">
            <v>191982350.88400003</v>
          </cell>
          <cell r="P846">
            <v>18971771.526000001</v>
          </cell>
          <cell r="Q846">
            <v>12857445</v>
          </cell>
          <cell r="R846">
            <v>4101134214.1489997</v>
          </cell>
          <cell r="S846">
            <v>0</v>
          </cell>
        </row>
        <row r="847">
          <cell r="E847" t="str">
            <v>K301</v>
          </cell>
          <cell r="F847">
            <v>1</v>
          </cell>
          <cell r="G847">
            <v>0.35846999999999984</v>
          </cell>
          <cell r="H847">
            <v>0.30603000000000002</v>
          </cell>
          <cell r="I847">
            <v>1.5499999999999999E-3</v>
          </cell>
          <cell r="J847">
            <v>4.7200000000000002E-3</v>
          </cell>
          <cell r="K847">
            <v>6.9999999999999994E-5</v>
          </cell>
          <cell r="L847">
            <v>0.14895</v>
          </cell>
          <cell r="M847">
            <v>0.12417</v>
          </cell>
          <cell r="N847">
            <v>1.4599999999999999E-3</v>
          </cell>
          <cell r="O847">
            <v>4.6809999999999997E-2</v>
          </cell>
          <cell r="P847">
            <v>4.6299999999999996E-3</v>
          </cell>
          <cell r="Q847">
            <v>3.14E-3</v>
          </cell>
          <cell r="R847">
            <v>1</v>
          </cell>
          <cell r="S847">
            <v>0</v>
          </cell>
        </row>
        <row r="848">
          <cell r="F848">
            <v>4101134214.1489997</v>
          </cell>
          <cell r="G848">
            <v>1470196498.845</v>
          </cell>
          <cell r="H848">
            <v>1255081996.2449999</v>
          </cell>
          <cell r="I848">
            <v>6350133.8709999984</v>
          </cell>
          <cell r="J848">
            <v>19355665.91</v>
          </cell>
          <cell r="K848">
            <v>288048</v>
          </cell>
          <cell r="L848">
            <v>610848200.07483399</v>
          </cell>
          <cell r="M848">
            <v>509222309.26616597</v>
          </cell>
          <cell r="N848">
            <v>5979794.5269999998</v>
          </cell>
          <cell r="O848">
            <v>179959630.88400003</v>
          </cell>
          <cell r="P848">
            <v>18971771.526000001</v>
          </cell>
          <cell r="Q848">
            <v>12857445</v>
          </cell>
          <cell r="R848">
            <v>4089111494.1489997</v>
          </cell>
          <cell r="S848">
            <v>12022720</v>
          </cell>
        </row>
        <row r="849">
          <cell r="E849" t="str">
            <v>K303</v>
          </cell>
          <cell r="F849">
            <v>1</v>
          </cell>
          <cell r="G849">
            <v>0.35848999999999998</v>
          </cell>
          <cell r="H849">
            <v>0.30603000000000002</v>
          </cell>
          <cell r="I849">
            <v>1.5499999999999999E-3</v>
          </cell>
          <cell r="J849">
            <v>4.7200000000000002E-3</v>
          </cell>
          <cell r="K849">
            <v>6.9999999999999994E-5</v>
          </cell>
          <cell r="L849">
            <v>0.14895</v>
          </cell>
          <cell r="M849">
            <v>0.12417</v>
          </cell>
          <cell r="N849">
            <v>1.4599999999999999E-3</v>
          </cell>
          <cell r="O849">
            <v>4.3880000000000002E-2</v>
          </cell>
          <cell r="P849">
            <v>4.6299999999999996E-3</v>
          </cell>
          <cell r="Q849">
            <v>3.14E-3</v>
          </cell>
          <cell r="R849">
            <v>0.99709000000000014</v>
          </cell>
          <cell r="S849">
            <v>2.9099999999998571E-3</v>
          </cell>
        </row>
        <row r="850">
          <cell r="F850">
            <v>4082162442.6229997</v>
          </cell>
          <cell r="G850">
            <v>1470196498.845</v>
          </cell>
          <cell r="H850">
            <v>1255081996.2449999</v>
          </cell>
          <cell r="I850">
            <v>6350133.8709999984</v>
          </cell>
          <cell r="J850">
            <v>19355665.91</v>
          </cell>
          <cell r="K850">
            <v>288048</v>
          </cell>
          <cell r="L850">
            <v>610848200.07483399</v>
          </cell>
          <cell r="M850">
            <v>509222309.26616597</v>
          </cell>
          <cell r="N850">
            <v>5979794.5269999998</v>
          </cell>
          <cell r="O850">
            <v>191982350.88400003</v>
          </cell>
          <cell r="P850">
            <v>0</v>
          </cell>
          <cell r="Q850">
            <v>12857445</v>
          </cell>
          <cell r="R850">
            <v>4082162442.6229997</v>
          </cell>
          <cell r="S850">
            <v>0</v>
          </cell>
        </row>
        <row r="851">
          <cell r="E851" t="str">
            <v>K305</v>
          </cell>
          <cell r="F851">
            <v>1</v>
          </cell>
          <cell r="G851">
            <v>0.36014999999999997</v>
          </cell>
          <cell r="H851">
            <v>0.30746000000000001</v>
          </cell>
          <cell r="I851">
            <v>1.56E-3</v>
          </cell>
          <cell r="J851">
            <v>4.7400000000000003E-3</v>
          </cell>
          <cell r="K851">
            <v>6.9999999999999994E-5</v>
          </cell>
          <cell r="L851">
            <v>0.14964</v>
          </cell>
          <cell r="M851">
            <v>0.12474</v>
          </cell>
          <cell r="N851">
            <v>1.4599999999999999E-3</v>
          </cell>
          <cell r="O851">
            <v>4.7030000000000002E-2</v>
          </cell>
          <cell r="P851">
            <v>0</v>
          </cell>
          <cell r="Q851">
            <v>3.15E-3</v>
          </cell>
          <cell r="R851">
            <v>1</v>
          </cell>
          <cell r="S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0</v>
          </cell>
          <cell r="R854">
            <v>1</v>
          </cell>
          <cell r="S854">
            <v>0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0</v>
          </cell>
        </row>
        <row r="856">
          <cell r="F856">
            <v>152867</v>
          </cell>
          <cell r="G856">
            <v>137520</v>
          </cell>
          <cell r="H856">
            <v>12257</v>
          </cell>
          <cell r="I856">
            <v>23</v>
          </cell>
          <cell r="J856">
            <v>88</v>
          </cell>
          <cell r="K856">
            <v>12</v>
          </cell>
          <cell r="L856">
            <v>115</v>
          </cell>
          <cell r="M856">
            <v>35</v>
          </cell>
          <cell r="N856">
            <v>10</v>
          </cell>
          <cell r="O856">
            <v>12</v>
          </cell>
          <cell r="P856">
            <v>2792</v>
          </cell>
          <cell r="Q856">
            <v>1</v>
          </cell>
          <cell r="R856">
            <v>152865</v>
          </cell>
          <cell r="S856">
            <v>2</v>
          </cell>
        </row>
        <row r="857">
          <cell r="E857" t="str">
            <v>K405</v>
          </cell>
          <cell r="F857">
            <v>1</v>
          </cell>
          <cell r="G857">
            <v>0.89961000000000002</v>
          </cell>
          <cell r="H857">
            <v>8.0180000000000001E-2</v>
          </cell>
          <cell r="I857">
            <v>1.4999999999999999E-4</v>
          </cell>
          <cell r="J857">
            <v>5.8E-4</v>
          </cell>
          <cell r="K857">
            <v>8.0000000000000007E-5</v>
          </cell>
          <cell r="L857">
            <v>7.5000000000000002E-4</v>
          </cell>
          <cell r="M857">
            <v>2.3000000000000001E-4</v>
          </cell>
          <cell r="N857">
            <v>6.9999999999999994E-5</v>
          </cell>
          <cell r="O857">
            <v>8.0000000000000007E-5</v>
          </cell>
          <cell r="P857">
            <v>1.8259999999999998E-2</v>
          </cell>
          <cell r="Q857">
            <v>1.0000000000000001E-5</v>
          </cell>
          <cell r="R857">
            <v>0.99999999999999989</v>
          </cell>
          <cell r="S857">
            <v>0</v>
          </cell>
        </row>
        <row r="858">
          <cell r="F858">
            <v>22486890.793596428</v>
          </cell>
          <cell r="G858">
            <v>19829008.800000001</v>
          </cell>
          <cell r="H858">
            <v>2433684.8645095793</v>
          </cell>
          <cell r="I858">
            <v>0</v>
          </cell>
          <cell r="J858">
            <v>31509.280000000046</v>
          </cell>
          <cell r="K858">
            <v>2448</v>
          </cell>
          <cell r="L858">
            <v>111217.43855421687</v>
          </cell>
          <cell r="M858">
            <v>41635.072972972972</v>
          </cell>
          <cell r="N858">
            <v>20860.366666666669</v>
          </cell>
          <cell r="O858">
            <v>16328.400000000001</v>
          </cell>
          <cell r="P858">
            <v>0</v>
          </cell>
          <cell r="Q858">
            <v>198.5708929919696</v>
          </cell>
          <cell r="R858">
            <v>22486890.793596428</v>
          </cell>
          <cell r="S858">
            <v>0</v>
          </cell>
        </row>
        <row r="859">
          <cell r="E859" t="str">
            <v>K407</v>
          </cell>
          <cell r="F859">
            <v>1</v>
          </cell>
          <cell r="G859">
            <v>0.88178999999999996</v>
          </cell>
          <cell r="H859">
            <v>0.10823000000000001</v>
          </cell>
          <cell r="I859">
            <v>0</v>
          </cell>
          <cell r="J859">
            <v>1.4E-3</v>
          </cell>
          <cell r="K859">
            <v>1.1E-4</v>
          </cell>
          <cell r="L859">
            <v>4.9500000000000004E-3</v>
          </cell>
          <cell r="M859">
            <v>1.8500000000000001E-3</v>
          </cell>
          <cell r="N859">
            <v>9.3000000000000005E-4</v>
          </cell>
          <cell r="O859">
            <v>7.2999999999999996E-4</v>
          </cell>
          <cell r="P859">
            <v>0</v>
          </cell>
          <cell r="Q859">
            <v>1.0000000000000001E-5</v>
          </cell>
          <cell r="R859">
            <v>1</v>
          </cell>
          <cell r="S859">
            <v>0</v>
          </cell>
        </row>
        <row r="860">
          <cell r="F860">
            <v>154110</v>
          </cell>
          <cell r="G860">
            <v>137520</v>
          </cell>
          <cell r="H860">
            <v>12257</v>
          </cell>
          <cell r="I860">
            <v>23</v>
          </cell>
          <cell r="J860">
            <v>176</v>
          </cell>
          <cell r="K860">
            <v>12</v>
          </cell>
          <cell r="L860">
            <v>799</v>
          </cell>
          <cell r="M860">
            <v>280</v>
          </cell>
          <cell r="N860">
            <v>140</v>
          </cell>
          <cell r="O860">
            <v>110</v>
          </cell>
          <cell r="P860">
            <v>2792</v>
          </cell>
          <cell r="Q860">
            <v>1</v>
          </cell>
          <cell r="R860">
            <v>154110</v>
          </cell>
          <cell r="S860">
            <v>0</v>
          </cell>
        </row>
        <row r="861">
          <cell r="E861" t="str">
            <v>K409</v>
          </cell>
          <cell r="F861">
            <v>1</v>
          </cell>
          <cell r="G861">
            <v>0.89234999999999998</v>
          </cell>
          <cell r="H861">
            <v>7.9530000000000003E-2</v>
          </cell>
          <cell r="I861">
            <v>1.4999999999999999E-4</v>
          </cell>
          <cell r="J861">
            <v>1.14E-3</v>
          </cell>
          <cell r="K861">
            <v>8.0000000000000007E-5</v>
          </cell>
          <cell r="L861">
            <v>5.1799999999999997E-3</v>
          </cell>
          <cell r="M861">
            <v>1.82E-3</v>
          </cell>
          <cell r="N861">
            <v>9.1E-4</v>
          </cell>
          <cell r="O861">
            <v>7.1000000000000002E-4</v>
          </cell>
          <cell r="P861">
            <v>1.8120000000000001E-2</v>
          </cell>
          <cell r="Q861">
            <v>1.0000000000000001E-5</v>
          </cell>
          <cell r="R861">
            <v>0.99999999999999989</v>
          </cell>
          <cell r="S861">
            <v>0</v>
          </cell>
        </row>
        <row r="862">
          <cell r="F862">
            <v>2137114.169997225</v>
          </cell>
          <cell r="G862">
            <v>1924403</v>
          </cell>
          <cell r="H862">
            <v>108413.16999722505</v>
          </cell>
          <cell r="I862">
            <v>674</v>
          </cell>
          <cell r="J862">
            <v>1538</v>
          </cell>
          <cell r="K862">
            <v>43</v>
          </cell>
          <cell r="L862">
            <v>48098</v>
          </cell>
          <cell r="M862">
            <v>37329</v>
          </cell>
          <cell r="N862">
            <v>710</v>
          </cell>
          <cell r="O862">
            <v>13016</v>
          </cell>
          <cell r="P862">
            <v>2099</v>
          </cell>
          <cell r="Q862">
            <v>791</v>
          </cell>
          <cell r="R862">
            <v>2137114.169997225</v>
          </cell>
          <cell r="S862">
            <v>0</v>
          </cell>
        </row>
        <row r="863">
          <cell r="E863" t="str">
            <v>K411</v>
          </cell>
          <cell r="F863">
            <v>1</v>
          </cell>
          <cell r="G863">
            <v>0.90046000000000004</v>
          </cell>
          <cell r="H863">
            <v>5.0729999999999997E-2</v>
          </cell>
          <cell r="I863">
            <v>3.2000000000000003E-4</v>
          </cell>
          <cell r="J863">
            <v>7.2000000000000005E-4</v>
          </cell>
          <cell r="K863">
            <v>2.0000000000000002E-5</v>
          </cell>
          <cell r="L863">
            <v>2.2509999999999999E-2</v>
          </cell>
          <cell r="M863">
            <v>1.7469999999999999E-2</v>
          </cell>
          <cell r="N863">
            <v>3.3E-4</v>
          </cell>
          <cell r="O863">
            <v>6.0899999999999999E-3</v>
          </cell>
          <cell r="P863">
            <v>9.7999999999999997E-4</v>
          </cell>
          <cell r="Q863">
            <v>3.6999999999999999E-4</v>
          </cell>
          <cell r="R863">
            <v>1.0000000000000002</v>
          </cell>
          <cell r="S863">
            <v>0</v>
          </cell>
        </row>
        <row r="864">
          <cell r="F864">
            <v>4087989911.1489997</v>
          </cell>
          <cell r="G864">
            <v>1470196498.845</v>
          </cell>
          <cell r="H864">
            <v>1255084711.2449999</v>
          </cell>
          <cell r="I864">
            <v>6350133.8709999984</v>
          </cell>
          <cell r="J864">
            <v>19355665.91</v>
          </cell>
          <cell r="K864">
            <v>288048</v>
          </cell>
          <cell r="L864">
            <v>609723902.07483399</v>
          </cell>
          <cell r="M864">
            <v>509222309.26616597</v>
          </cell>
          <cell r="N864">
            <v>5979794.5269999998</v>
          </cell>
          <cell r="O864">
            <v>179959630.88400003</v>
          </cell>
          <cell r="P864">
            <v>18971771.526000001</v>
          </cell>
          <cell r="Q864">
            <v>12857445</v>
          </cell>
          <cell r="R864">
            <v>4087989911.1489997</v>
          </cell>
          <cell r="S864">
            <v>0</v>
          </cell>
        </row>
        <row r="865">
          <cell r="E865" t="str">
            <v>K302</v>
          </cell>
          <cell r="F865">
            <v>1</v>
          </cell>
          <cell r="G865">
            <v>0.35964000000000007</v>
          </cell>
          <cell r="H865">
            <v>0.30702000000000002</v>
          </cell>
          <cell r="I865">
            <v>1.5499999999999999E-3</v>
          </cell>
          <cell r="J865">
            <v>4.7299999999999998E-3</v>
          </cell>
          <cell r="K865">
            <v>6.9999999999999994E-5</v>
          </cell>
          <cell r="L865">
            <v>0.14915</v>
          </cell>
          <cell r="M865">
            <v>0.12457</v>
          </cell>
          <cell r="N865">
            <v>1.4599999999999999E-3</v>
          </cell>
          <cell r="O865">
            <v>4.4019999999999997E-2</v>
          </cell>
          <cell r="P865">
            <v>4.64E-3</v>
          </cell>
          <cell r="Q865">
            <v>3.15E-3</v>
          </cell>
          <cell r="R865">
            <v>1</v>
          </cell>
          <cell r="S865">
            <v>0</v>
          </cell>
        </row>
        <row r="867">
          <cell r="E867" t="str">
            <v>R600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E868" t="str">
            <v>R602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70">
          <cell r="R870" t="str">
            <v>FR-16(7)(v)-8</v>
          </cell>
        </row>
        <row r="871">
          <cell r="R871" t="str">
            <v>WITNESS RESPONSIBLE:</v>
          </cell>
        </row>
        <row r="872">
          <cell r="R872" t="str">
            <v>JAMES E. ZIOLKOWSKI</v>
          </cell>
        </row>
        <row r="873">
          <cell r="R873" t="str">
            <v>PAGE 17 OF 18</v>
          </cell>
        </row>
        <row r="876">
          <cell r="F876" t="str">
            <v>TOTAL</v>
          </cell>
          <cell r="H876" t="str">
            <v>DS</v>
          </cell>
          <cell r="I876" t="str">
            <v>GSFL</v>
          </cell>
          <cell r="J876" t="str">
            <v>EH</v>
          </cell>
          <cell r="K876" t="str">
            <v>SP</v>
          </cell>
          <cell r="L876" t="str">
            <v>DT SEC</v>
          </cell>
          <cell r="M876" t="str">
            <v>DT PRI</v>
          </cell>
          <cell r="N876" t="str">
            <v>DP</v>
          </cell>
          <cell r="O876" t="str">
            <v>TT</v>
          </cell>
          <cell r="Q876" t="str">
            <v>OTHER</v>
          </cell>
        </row>
        <row r="877">
          <cell r="F877" t="str">
            <v>TRANSMISSION</v>
          </cell>
          <cell r="G877" t="str">
            <v>RS</v>
          </cell>
          <cell r="H877" t="str">
            <v>SECONDARY</v>
          </cell>
          <cell r="I877" t="str">
            <v>SECONDARY</v>
          </cell>
          <cell r="J877" t="str">
            <v>SECONDARY</v>
          </cell>
          <cell r="K877" t="str">
            <v>SECONDARY</v>
          </cell>
          <cell r="L877" t="str">
            <v>SECONDARY</v>
          </cell>
          <cell r="M877" t="str">
            <v>PRIMARY</v>
          </cell>
          <cell r="N877" t="str">
            <v>PRIMARY</v>
          </cell>
          <cell r="O877" t="str">
            <v>TRANSMISSION</v>
          </cell>
          <cell r="P877" t="str">
            <v>LT</v>
          </cell>
          <cell r="Q877" t="str">
            <v>WATER</v>
          </cell>
          <cell r="R877" t="str">
            <v>TOTAL</v>
          </cell>
          <cell r="S877" t="str">
            <v>ALL</v>
          </cell>
        </row>
        <row r="878">
          <cell r="E878" t="str">
            <v>ALLO</v>
          </cell>
          <cell r="F878" t="str">
            <v>ENERGY</v>
          </cell>
          <cell r="G878" t="str">
            <v>RESIDENTIAL</v>
          </cell>
          <cell r="H878" t="str">
            <v>DISTRIBUTION</v>
          </cell>
          <cell r="I878" t="str">
            <v>DISTRIBUTION</v>
          </cell>
          <cell r="J878" t="str">
            <v>DISTRIBUTION</v>
          </cell>
          <cell r="K878" t="str">
            <v>DISTRIBUTION</v>
          </cell>
          <cell r="L878" t="str">
            <v>DISTRIBUTION</v>
          </cell>
          <cell r="M878" t="str">
            <v>DISTRIBUTION</v>
          </cell>
          <cell r="N878" t="str">
            <v>DISTRIBUTION</v>
          </cell>
          <cell r="O878" t="str">
            <v>TIME OF DAY</v>
          </cell>
          <cell r="P878" t="str">
            <v>LIGHTING</v>
          </cell>
          <cell r="Q878" t="str">
            <v>PUMPING</v>
          </cell>
          <cell r="R878" t="str">
            <v>AT ISSUE</v>
          </cell>
          <cell r="S878" t="str">
            <v>OTHER</v>
          </cell>
        </row>
        <row r="879">
          <cell r="E879">
            <v>1</v>
          </cell>
          <cell r="G879">
            <v>3</v>
          </cell>
          <cell r="H879">
            <v>4</v>
          </cell>
          <cell r="I879">
            <v>5</v>
          </cell>
          <cell r="J879">
            <v>6</v>
          </cell>
          <cell r="K879">
            <v>7</v>
          </cell>
          <cell r="L879">
            <v>8</v>
          </cell>
          <cell r="M879">
            <v>9</v>
          </cell>
          <cell r="N879">
            <v>10</v>
          </cell>
          <cell r="O879">
            <v>11</v>
          </cell>
          <cell r="P879">
            <v>12</v>
          </cell>
          <cell r="Q879">
            <v>13</v>
          </cell>
          <cell r="S879" t="str">
            <v xml:space="preserve"> </v>
          </cell>
        </row>
        <row r="881">
          <cell r="F881">
            <v>450848089</v>
          </cell>
          <cell r="G881">
            <v>197851566</v>
          </cell>
          <cell r="H881">
            <v>128946845</v>
          </cell>
          <cell r="I881">
            <v>800742</v>
          </cell>
          <cell r="J881">
            <v>1829152</v>
          </cell>
          <cell r="K881">
            <v>50918</v>
          </cell>
          <cell r="L881">
            <v>57206760</v>
          </cell>
          <cell r="M881">
            <v>44398656</v>
          </cell>
          <cell r="N881">
            <v>846253</v>
          </cell>
          <cell r="O881">
            <v>15479736</v>
          </cell>
          <cell r="P881">
            <v>2496338</v>
          </cell>
          <cell r="Q881">
            <v>941124</v>
          </cell>
          <cell r="R881">
            <v>450848090</v>
          </cell>
          <cell r="S881">
            <v>-1</v>
          </cell>
        </row>
        <row r="882">
          <cell r="E882" t="str">
            <v>K901</v>
          </cell>
          <cell r="F882">
            <v>1</v>
          </cell>
          <cell r="G882">
            <v>0.43884000000000001</v>
          </cell>
          <cell r="H882">
            <v>0.28600951899999999</v>
          </cell>
          <cell r="I882">
            <v>1.7760790000000001E-3</v>
          </cell>
          <cell r="J882">
            <v>4.0571360000000002E-3</v>
          </cell>
          <cell r="K882">
            <v>1.12938E-4</v>
          </cell>
          <cell r="L882">
            <v>0.126886997</v>
          </cell>
          <cell r="M882">
            <v>9.8478083999999994E-2</v>
          </cell>
          <cell r="N882">
            <v>1.877025E-3</v>
          </cell>
          <cell r="O882">
            <v>3.4334705E-2</v>
          </cell>
          <cell r="P882">
            <v>5.5369829999999997E-3</v>
          </cell>
          <cell r="Q882">
            <v>2.087453E-3</v>
          </cell>
          <cell r="R882">
            <v>0.99999691899999998</v>
          </cell>
          <cell r="S882">
            <v>3.0810000000158766E-6</v>
          </cell>
        </row>
        <row r="883">
          <cell r="F883">
            <v>450848089</v>
          </cell>
          <cell r="G883">
            <v>197851566</v>
          </cell>
          <cell r="H883">
            <v>128946845</v>
          </cell>
          <cell r="I883">
            <v>800742</v>
          </cell>
          <cell r="J883">
            <v>1829152</v>
          </cell>
          <cell r="K883">
            <v>50918</v>
          </cell>
          <cell r="L883">
            <v>57206760</v>
          </cell>
          <cell r="M883">
            <v>44398656</v>
          </cell>
          <cell r="N883">
            <v>846253</v>
          </cell>
          <cell r="O883">
            <v>15479736</v>
          </cell>
          <cell r="P883">
            <v>2496338</v>
          </cell>
          <cell r="Q883">
            <v>941124</v>
          </cell>
          <cell r="R883">
            <v>450848090</v>
          </cell>
          <cell r="S883">
            <v>-1</v>
          </cell>
        </row>
        <row r="884">
          <cell r="E884" t="str">
            <v>K902</v>
          </cell>
          <cell r="F884">
            <v>1</v>
          </cell>
          <cell r="G884">
            <v>0.43884000000000001</v>
          </cell>
          <cell r="H884">
            <v>0.28600951899999999</v>
          </cell>
          <cell r="I884">
            <v>1.7760790000000001E-3</v>
          </cell>
          <cell r="J884">
            <v>4.0571360000000002E-3</v>
          </cell>
          <cell r="K884">
            <v>1.12938E-4</v>
          </cell>
          <cell r="L884">
            <v>0.126886997</v>
          </cell>
          <cell r="M884">
            <v>9.8478083999999994E-2</v>
          </cell>
          <cell r="N884">
            <v>1.877025E-3</v>
          </cell>
          <cell r="O884">
            <v>3.4334705E-2</v>
          </cell>
          <cell r="P884">
            <v>5.5369829999999997E-3</v>
          </cell>
          <cell r="Q884">
            <v>2.087453E-3</v>
          </cell>
          <cell r="R884">
            <v>0.99999691899999998</v>
          </cell>
          <cell r="S884">
            <v>3.0810000000158766E-6</v>
          </cell>
        </row>
        <row r="888">
          <cell r="E888" t="str">
            <v>P129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E889" t="str">
            <v>T129</v>
          </cell>
          <cell r="F889">
            <v>1</v>
          </cell>
          <cell r="G889">
            <v>1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</v>
          </cell>
          <cell r="S889">
            <v>0</v>
          </cell>
        </row>
        <row r="890">
          <cell r="E890" t="str">
            <v>PT29</v>
          </cell>
          <cell r="F890">
            <v>1</v>
          </cell>
          <cell r="G890">
            <v>1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</v>
          </cell>
          <cell r="S890">
            <v>0</v>
          </cell>
        </row>
        <row r="891">
          <cell r="E891" t="str">
            <v>D149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</row>
        <row r="892">
          <cell r="E892" t="str">
            <v>TD29</v>
          </cell>
          <cell r="F892">
            <v>1</v>
          </cell>
          <cell r="G892">
            <v>1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</v>
          </cell>
          <cell r="S892">
            <v>0</v>
          </cell>
        </row>
        <row r="893">
          <cell r="E893" t="str">
            <v>PD29</v>
          </cell>
          <cell r="F893">
            <v>1</v>
          </cell>
          <cell r="G893">
            <v>1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1</v>
          </cell>
          <cell r="S893">
            <v>0</v>
          </cell>
        </row>
        <row r="894">
          <cell r="E894" t="str">
            <v>G129</v>
          </cell>
          <cell r="F894">
            <v>1</v>
          </cell>
          <cell r="G894">
            <v>1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1</v>
          </cell>
          <cell r="S894">
            <v>0</v>
          </cell>
        </row>
        <row r="895">
          <cell r="E895" t="str">
            <v>C129</v>
          </cell>
          <cell r="F895">
            <v>1</v>
          </cell>
          <cell r="G895">
            <v>1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1</v>
          </cell>
          <cell r="S895">
            <v>0</v>
          </cell>
        </row>
        <row r="896">
          <cell r="E896" t="str">
            <v>GP19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</row>
        <row r="897">
          <cell r="E897" t="str">
            <v>DR19</v>
          </cell>
          <cell r="F897">
            <v>1</v>
          </cell>
          <cell r="G897">
            <v>1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</v>
          </cell>
          <cell r="S897">
            <v>0</v>
          </cell>
        </row>
        <row r="900">
          <cell r="E900" t="str">
            <v>P229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</row>
        <row r="901">
          <cell r="E901" t="str">
            <v>T229</v>
          </cell>
          <cell r="F901">
            <v>1</v>
          </cell>
          <cell r="G901">
            <v>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1</v>
          </cell>
          <cell r="S901">
            <v>0</v>
          </cell>
        </row>
        <row r="902">
          <cell r="E902" t="str">
            <v>PL49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E903" t="str">
            <v>D249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E904" t="str">
            <v>NT29</v>
          </cell>
          <cell r="F904">
            <v>1</v>
          </cell>
          <cell r="G904">
            <v>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1</v>
          </cell>
          <cell r="S904">
            <v>0</v>
          </cell>
        </row>
        <row r="905">
          <cell r="E905" t="str">
            <v>G229</v>
          </cell>
          <cell r="F905">
            <v>1</v>
          </cell>
          <cell r="G905">
            <v>1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1</v>
          </cell>
          <cell r="S905">
            <v>0</v>
          </cell>
        </row>
        <row r="906">
          <cell r="E906" t="str">
            <v>C229</v>
          </cell>
          <cell r="F906">
            <v>1</v>
          </cell>
          <cell r="G906">
            <v>1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1</v>
          </cell>
          <cell r="S906">
            <v>0</v>
          </cell>
        </row>
        <row r="907">
          <cell r="E907" t="str">
            <v>NP29</v>
          </cell>
          <cell r="F907">
            <v>1</v>
          </cell>
          <cell r="G907">
            <v>1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1</v>
          </cell>
          <cell r="S907">
            <v>0</v>
          </cell>
        </row>
        <row r="910">
          <cell r="E910" t="str">
            <v>W669</v>
          </cell>
          <cell r="F910">
            <v>1</v>
          </cell>
          <cell r="G910">
            <v>1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1</v>
          </cell>
          <cell r="S910">
            <v>0</v>
          </cell>
        </row>
        <row r="911">
          <cell r="E911" t="str">
            <v>W689</v>
          </cell>
          <cell r="F911">
            <v>1</v>
          </cell>
          <cell r="G911">
            <v>1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1</v>
          </cell>
          <cell r="S911">
            <v>0</v>
          </cell>
        </row>
        <row r="912">
          <cell r="E912" t="str">
            <v>W719</v>
          </cell>
          <cell r="F912">
            <v>1</v>
          </cell>
          <cell r="G912">
            <v>1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</row>
        <row r="913">
          <cell r="E913" t="str">
            <v>W749</v>
          </cell>
          <cell r="F913">
            <v>1</v>
          </cell>
          <cell r="G913">
            <v>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1</v>
          </cell>
          <cell r="S913">
            <v>0</v>
          </cell>
        </row>
        <row r="914">
          <cell r="E914" t="str">
            <v>WC79</v>
          </cell>
          <cell r="F914">
            <v>1</v>
          </cell>
          <cell r="G914">
            <v>1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</v>
          </cell>
          <cell r="S914">
            <v>0</v>
          </cell>
        </row>
        <row r="917">
          <cell r="E917" t="str">
            <v>RB29</v>
          </cell>
          <cell r="F917">
            <v>1</v>
          </cell>
          <cell r="G917">
            <v>1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</row>
        <row r="918">
          <cell r="E918" t="str">
            <v>RB99</v>
          </cell>
          <cell r="F918">
            <v>1</v>
          </cell>
          <cell r="G918">
            <v>1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1</v>
          </cell>
          <cell r="S918">
            <v>0</v>
          </cell>
        </row>
        <row r="919">
          <cell r="E919" t="str">
            <v>CW29</v>
          </cell>
          <cell r="F919">
            <v>1</v>
          </cell>
          <cell r="G919">
            <v>1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</row>
        <row r="921">
          <cell r="R921" t="str">
            <v>FR-16(7)(v)-8</v>
          </cell>
        </row>
        <row r="922">
          <cell r="R922" t="str">
            <v>WITNESS RESPONSIBLE:</v>
          </cell>
        </row>
        <row r="923">
          <cell r="R923" t="str">
            <v>JAMES E. ZIOLKOWSKI</v>
          </cell>
        </row>
        <row r="924">
          <cell r="R924" t="str">
            <v>PAGE 18 OF 18</v>
          </cell>
        </row>
        <row r="927">
          <cell r="F927" t="str">
            <v>TOTAL</v>
          </cell>
          <cell r="H927" t="str">
            <v>DS</v>
          </cell>
          <cell r="I927" t="str">
            <v>GSFL</v>
          </cell>
          <cell r="J927" t="str">
            <v>EH</v>
          </cell>
          <cell r="K927" t="str">
            <v>SP</v>
          </cell>
          <cell r="L927" t="str">
            <v>DT SEC</v>
          </cell>
          <cell r="M927" t="str">
            <v>DT PRI</v>
          </cell>
          <cell r="N927" t="str">
            <v>DP</v>
          </cell>
          <cell r="O927" t="str">
            <v>TT</v>
          </cell>
          <cell r="Q927" t="str">
            <v>OTHER</v>
          </cell>
        </row>
        <row r="928">
          <cell r="F928" t="str">
            <v>TRANSMISSION</v>
          </cell>
          <cell r="G928" t="str">
            <v>RS</v>
          </cell>
          <cell r="H928" t="str">
            <v>SECONDARY</v>
          </cell>
          <cell r="I928" t="str">
            <v>SECONDARY</v>
          </cell>
          <cell r="J928" t="str">
            <v>SECONDARY</v>
          </cell>
          <cell r="K928" t="str">
            <v>SECONDARY</v>
          </cell>
          <cell r="L928" t="str">
            <v>SECONDARY</v>
          </cell>
          <cell r="M928" t="str">
            <v>PRIMARY</v>
          </cell>
          <cell r="N928" t="str">
            <v>PRIMARY</v>
          </cell>
          <cell r="O928" t="str">
            <v>TRANSMISSION</v>
          </cell>
          <cell r="P928" t="str">
            <v>LT</v>
          </cell>
          <cell r="Q928" t="str">
            <v>WATER</v>
          </cell>
          <cell r="R928" t="str">
            <v>TOTAL</v>
          </cell>
          <cell r="S928" t="str">
            <v>ALL</v>
          </cell>
        </row>
        <row r="929">
          <cell r="E929" t="str">
            <v>ALLO</v>
          </cell>
          <cell r="F929" t="str">
            <v>ENERGY</v>
          </cell>
          <cell r="G929" t="str">
            <v>RESIDENTIAL</v>
          </cell>
          <cell r="H929" t="str">
            <v>DISTRIBUTION</v>
          </cell>
          <cell r="I929" t="str">
            <v>DISTRIBUTION</v>
          </cell>
          <cell r="J929" t="str">
            <v>DISTRIBUTION</v>
          </cell>
          <cell r="K929" t="str">
            <v>DISTRIBUTION</v>
          </cell>
          <cell r="L929" t="str">
            <v>DISTRIBUTION</v>
          </cell>
          <cell r="M929" t="str">
            <v>DISTRIBUTION</v>
          </cell>
          <cell r="N929" t="str">
            <v>DISTRIBUTION</v>
          </cell>
          <cell r="O929" t="str">
            <v>TIME OF DAY</v>
          </cell>
          <cell r="P929" t="str">
            <v>LIGHTING</v>
          </cell>
          <cell r="Q929" t="str">
            <v>PUMPING</v>
          </cell>
          <cell r="R929" t="str">
            <v>AT ISSUE</v>
          </cell>
          <cell r="S929" t="str">
            <v>OTHER</v>
          </cell>
        </row>
        <row r="930">
          <cell r="E930">
            <v>1</v>
          </cell>
          <cell r="G930">
            <v>3</v>
          </cell>
          <cell r="H930">
            <v>4</v>
          </cell>
          <cell r="I930">
            <v>5</v>
          </cell>
          <cell r="J930">
            <v>6</v>
          </cell>
          <cell r="K930">
            <v>7</v>
          </cell>
          <cell r="L930">
            <v>8</v>
          </cell>
          <cell r="M930">
            <v>9</v>
          </cell>
          <cell r="N930">
            <v>10</v>
          </cell>
          <cell r="O930">
            <v>11</v>
          </cell>
          <cell r="P930">
            <v>12</v>
          </cell>
          <cell r="Q930">
            <v>13</v>
          </cell>
          <cell r="S930" t="str">
            <v xml:space="preserve"> </v>
          </cell>
        </row>
        <row r="932">
          <cell r="E932" t="str">
            <v>P349</v>
          </cell>
          <cell r="F932">
            <v>1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1</v>
          </cell>
        </row>
        <row r="933">
          <cell r="E933" t="str">
            <v>E349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1</v>
          </cell>
        </row>
        <row r="934">
          <cell r="E934" t="str">
            <v>P459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</v>
          </cell>
        </row>
        <row r="935">
          <cell r="E935" t="str">
            <v>T349</v>
          </cell>
          <cell r="F935">
            <v>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1</v>
          </cell>
        </row>
        <row r="936">
          <cell r="E936" t="str">
            <v>D349</v>
          </cell>
          <cell r="F936">
            <v>1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1</v>
          </cell>
        </row>
        <row r="937">
          <cell r="E937" t="str">
            <v>C311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1</v>
          </cell>
        </row>
        <row r="938">
          <cell r="E938" t="str">
            <v>C319</v>
          </cell>
          <cell r="F938">
            <v>1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1</v>
          </cell>
        </row>
        <row r="939">
          <cell r="E939" t="str">
            <v>C331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E940" t="str">
            <v>S319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1</v>
          </cell>
        </row>
        <row r="941">
          <cell r="E941" t="str">
            <v>OM39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1</v>
          </cell>
        </row>
        <row r="944">
          <cell r="E944" t="str">
            <v>A300</v>
          </cell>
          <cell r="F944">
            <v>1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</row>
        <row r="945">
          <cell r="E945" t="str">
            <v>A302</v>
          </cell>
          <cell r="F945">
            <v>1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1</v>
          </cell>
        </row>
        <row r="946">
          <cell r="E946" t="str">
            <v>A304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1</v>
          </cell>
        </row>
        <row r="947">
          <cell r="E947" t="str">
            <v>A306</v>
          </cell>
          <cell r="F947">
            <v>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</row>
        <row r="948">
          <cell r="E948" t="str">
            <v>A308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</row>
        <row r="949">
          <cell r="E949" t="str">
            <v>A310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1</v>
          </cell>
        </row>
        <row r="950">
          <cell r="E950" t="str">
            <v>A312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</v>
          </cell>
        </row>
        <row r="951">
          <cell r="E951" t="str">
            <v>A315</v>
          </cell>
          <cell r="F951">
            <v>1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1</v>
          </cell>
        </row>
        <row r="952">
          <cell r="E952" t="str">
            <v>A357</v>
          </cell>
          <cell r="F952">
            <v>1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1</v>
          </cell>
        </row>
        <row r="955">
          <cell r="E955" t="str">
            <v>P489</v>
          </cell>
          <cell r="F955">
            <v>1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1</v>
          </cell>
        </row>
        <row r="956">
          <cell r="E956" t="str">
            <v>T489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1</v>
          </cell>
        </row>
        <row r="957">
          <cell r="E957" t="str">
            <v>D489</v>
          </cell>
          <cell r="F957">
            <v>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1</v>
          </cell>
        </row>
        <row r="958">
          <cell r="E958" t="str">
            <v>G489</v>
          </cell>
          <cell r="F958">
            <v>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1</v>
          </cell>
        </row>
        <row r="959">
          <cell r="E959" t="str">
            <v>C489</v>
          </cell>
          <cell r="F959">
            <v>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1</v>
          </cell>
        </row>
        <row r="960">
          <cell r="E960" t="str">
            <v>DE49</v>
          </cell>
          <cell r="F960">
            <v>1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1</v>
          </cell>
        </row>
        <row r="963">
          <cell r="E963" t="str">
            <v>L529</v>
          </cell>
          <cell r="F963">
            <v>1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1</v>
          </cell>
        </row>
        <row r="964">
          <cell r="E964" t="str">
            <v>L589</v>
          </cell>
          <cell r="F964">
            <v>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1</v>
          </cell>
        </row>
        <row r="965">
          <cell r="E965" t="str">
            <v>L599</v>
          </cell>
          <cell r="F965">
            <v>1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1</v>
          </cell>
        </row>
        <row r="966">
          <cell r="E966" t="str">
            <v>OP69</v>
          </cell>
          <cell r="F966">
            <v>1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</row>
        <row r="969">
          <cell r="E969" t="str">
            <v>CS09</v>
          </cell>
          <cell r="F969">
            <v>1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</row>
      </sheetData>
      <sheetData sheetId="12">
        <row r="24">
          <cell r="H24">
            <v>0</v>
          </cell>
        </row>
        <row r="33">
          <cell r="H33">
            <v>6204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2876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0</v>
          </cell>
        </row>
        <row r="101">
          <cell r="H101">
            <v>0</v>
          </cell>
        </row>
        <row r="102">
          <cell r="H102">
            <v>0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H105">
            <v>1366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0</v>
          </cell>
        </row>
        <row r="113">
          <cell r="H113">
            <v>0</v>
          </cell>
        </row>
        <row r="114">
          <cell r="H114">
            <v>0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H117">
            <v>458</v>
          </cell>
        </row>
        <row r="118">
          <cell r="H118">
            <v>0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42">
          <cell r="H142">
            <v>0</v>
          </cell>
        </row>
        <row r="143">
          <cell r="H143">
            <v>0</v>
          </cell>
        </row>
        <row r="144">
          <cell r="H144">
            <v>0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0</v>
          </cell>
        </row>
        <row r="156">
          <cell r="H156">
            <v>0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1122</v>
          </cell>
        </row>
        <row r="167">
          <cell r="H167">
            <v>0</v>
          </cell>
        </row>
        <row r="168">
          <cell r="H168">
            <v>0</v>
          </cell>
        </row>
        <row r="169">
          <cell r="H169">
            <v>0</v>
          </cell>
        </row>
        <row r="170">
          <cell r="H170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466</v>
          </cell>
        </row>
        <row r="183">
          <cell r="H183">
            <v>0</v>
          </cell>
        </row>
        <row r="184">
          <cell r="H184">
            <v>0</v>
          </cell>
        </row>
        <row r="185">
          <cell r="H185">
            <v>1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242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3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419</v>
          </cell>
        </row>
        <row r="304">
          <cell r="H304">
            <v>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86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161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25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501</v>
          </cell>
        </row>
        <row r="396">
          <cell r="H396">
            <v>0</v>
          </cell>
        </row>
        <row r="397">
          <cell r="H397">
            <v>0</v>
          </cell>
        </row>
        <row r="402">
          <cell r="H402">
            <v>1</v>
          </cell>
        </row>
        <row r="403">
          <cell r="H403">
            <v>0</v>
          </cell>
        </row>
        <row r="404">
          <cell r="H404">
            <v>0</v>
          </cell>
        </row>
        <row r="407">
          <cell r="H407">
            <v>0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3079</v>
          </cell>
        </row>
        <row r="447">
          <cell r="H447">
            <v>0</v>
          </cell>
        </row>
        <row r="448">
          <cell r="H448">
            <v>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0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0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0</v>
          </cell>
        </row>
        <row r="473">
          <cell r="H473">
            <v>0</v>
          </cell>
        </row>
        <row r="474">
          <cell r="H474">
            <v>0</v>
          </cell>
        </row>
        <row r="475">
          <cell r="H475">
            <v>0</v>
          </cell>
        </row>
        <row r="476">
          <cell r="H476">
            <v>0</v>
          </cell>
        </row>
        <row r="477">
          <cell r="H477">
            <v>0</v>
          </cell>
        </row>
        <row r="478">
          <cell r="H478">
            <v>0</v>
          </cell>
        </row>
        <row r="479">
          <cell r="H479">
            <v>0</v>
          </cell>
        </row>
        <row r="480">
          <cell r="H480">
            <v>0</v>
          </cell>
        </row>
        <row r="481">
          <cell r="H481">
            <v>0</v>
          </cell>
        </row>
        <row r="482">
          <cell r="H482">
            <v>0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0</v>
          </cell>
        </row>
        <row r="486">
          <cell r="H486">
            <v>0</v>
          </cell>
        </row>
        <row r="487">
          <cell r="H487">
            <v>86</v>
          </cell>
        </row>
        <row r="488">
          <cell r="H488">
            <v>0</v>
          </cell>
        </row>
        <row r="489">
          <cell r="H489">
            <v>0</v>
          </cell>
        </row>
        <row r="490">
          <cell r="H490">
            <v>0</v>
          </cell>
        </row>
        <row r="491">
          <cell r="H491">
            <v>0</v>
          </cell>
        </row>
        <row r="495">
          <cell r="H495">
            <v>0</v>
          </cell>
        </row>
        <row r="496">
          <cell r="H496">
            <v>731</v>
          </cell>
        </row>
        <row r="497">
          <cell r="H497">
            <v>12</v>
          </cell>
        </row>
        <row r="498">
          <cell r="H498">
            <v>552</v>
          </cell>
        </row>
        <row r="499">
          <cell r="H499">
            <v>25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0</v>
          </cell>
        </row>
        <row r="516">
          <cell r="H516">
            <v>0</v>
          </cell>
        </row>
        <row r="517">
          <cell r="H517">
            <v>0</v>
          </cell>
        </row>
        <row r="521">
          <cell r="H521">
            <v>0</v>
          </cell>
        </row>
        <row r="525">
          <cell r="H525">
            <v>0</v>
          </cell>
        </row>
        <row r="526">
          <cell r="H526">
            <v>0</v>
          </cell>
        </row>
        <row r="527">
          <cell r="H527">
            <v>0</v>
          </cell>
        </row>
        <row r="528">
          <cell r="H528">
            <v>43</v>
          </cell>
        </row>
        <row r="529">
          <cell r="H529">
            <v>499</v>
          </cell>
        </row>
        <row r="530">
          <cell r="H530">
            <v>0</v>
          </cell>
        </row>
        <row r="531">
          <cell r="H531">
            <v>0</v>
          </cell>
        </row>
        <row r="533">
          <cell r="H533">
            <v>2</v>
          </cell>
        </row>
        <row r="534">
          <cell r="H534">
            <v>0</v>
          </cell>
        </row>
        <row r="535">
          <cell r="H535">
            <v>-27</v>
          </cell>
        </row>
        <row r="536">
          <cell r="H536">
            <v>-4</v>
          </cell>
        </row>
        <row r="537">
          <cell r="H537">
            <v>0</v>
          </cell>
        </row>
        <row r="538">
          <cell r="H538">
            <v>-7</v>
          </cell>
        </row>
        <row r="539">
          <cell r="H539">
            <v>-12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-32</v>
          </cell>
        </row>
        <row r="543">
          <cell r="H543">
            <v>10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18</v>
          </cell>
        </row>
        <row r="562">
          <cell r="H562">
            <v>0</v>
          </cell>
        </row>
        <row r="566">
          <cell r="H566">
            <v>0</v>
          </cell>
        </row>
        <row r="570">
          <cell r="H570">
            <v>66</v>
          </cell>
        </row>
        <row r="574">
          <cell r="H574">
            <v>117</v>
          </cell>
        </row>
        <row r="578">
          <cell r="H578">
            <v>5</v>
          </cell>
        </row>
        <row r="596">
          <cell r="H596">
            <v>32</v>
          </cell>
        </row>
        <row r="597">
          <cell r="H597">
            <v>0</v>
          </cell>
        </row>
        <row r="601">
          <cell r="H601">
            <v>26</v>
          </cell>
        </row>
        <row r="602">
          <cell r="H602">
            <v>-1</v>
          </cell>
        </row>
        <row r="603">
          <cell r="H603">
            <v>-1</v>
          </cell>
        </row>
        <row r="604">
          <cell r="H604">
            <v>2</v>
          </cell>
        </row>
        <row r="608">
          <cell r="H608">
            <v>8</v>
          </cell>
        </row>
        <row r="609">
          <cell r="H609">
            <v>0</v>
          </cell>
        </row>
        <row r="632">
          <cell r="H632">
            <v>69</v>
          </cell>
        </row>
        <row r="636">
          <cell r="H636">
            <v>-39</v>
          </cell>
        </row>
        <row r="637">
          <cell r="H637">
            <v>-2</v>
          </cell>
        </row>
        <row r="638">
          <cell r="H638">
            <v>65</v>
          </cell>
        </row>
        <row r="644">
          <cell r="H644">
            <v>15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0</v>
          </cell>
        </row>
        <row r="648">
          <cell r="H648">
            <v>-25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74">
          <cell r="H674">
            <v>41</v>
          </cell>
        </row>
        <row r="694">
          <cell r="H694">
            <v>22</v>
          </cell>
        </row>
        <row r="695">
          <cell r="H695">
            <v>0</v>
          </cell>
        </row>
        <row r="700">
          <cell r="H700">
            <v>13</v>
          </cell>
        </row>
        <row r="704">
          <cell r="H704">
            <v>0</v>
          </cell>
        </row>
        <row r="742">
          <cell r="H742">
            <v>4</v>
          </cell>
        </row>
        <row r="743">
          <cell r="H743">
            <v>0</v>
          </cell>
        </row>
        <row r="744">
          <cell r="H744">
            <v>2</v>
          </cell>
        </row>
        <row r="745">
          <cell r="H745">
            <v>4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0</v>
          </cell>
        </row>
        <row r="761">
          <cell r="H761">
            <v>0</v>
          </cell>
        </row>
        <row r="772">
          <cell r="H772">
            <v>6204</v>
          </cell>
        </row>
        <row r="830">
          <cell r="F830">
            <v>648083</v>
          </cell>
          <cell r="G830">
            <v>275875</v>
          </cell>
          <cell r="H830">
            <v>190449</v>
          </cell>
          <cell r="I830">
            <v>819</v>
          </cell>
          <cell r="J830">
            <v>3656</v>
          </cell>
          <cell r="K830">
            <v>44</v>
          </cell>
          <cell r="L830">
            <v>84146</v>
          </cell>
          <cell r="M830">
            <v>67809</v>
          </cell>
          <cell r="N830">
            <v>917</v>
          </cell>
          <cell r="O830">
            <v>22422</v>
          </cell>
          <cell r="P830">
            <v>0</v>
          </cell>
          <cell r="Q830">
            <v>1946</v>
          </cell>
          <cell r="R830">
            <v>648083</v>
          </cell>
          <cell r="S830">
            <v>0</v>
          </cell>
        </row>
        <row r="831">
          <cell r="E831" t="str">
            <v>K201</v>
          </cell>
          <cell r="F831">
            <v>1</v>
          </cell>
          <cell r="G831">
            <v>0.42568000000000006</v>
          </cell>
          <cell r="H831">
            <v>0.29387000000000002</v>
          </cell>
          <cell r="I831">
            <v>1.2600000000000001E-3</v>
          </cell>
          <cell r="J831">
            <v>5.64E-3</v>
          </cell>
          <cell r="K831">
            <v>6.9999999999999994E-5</v>
          </cell>
          <cell r="L831">
            <v>0.12984000000000001</v>
          </cell>
          <cell r="M831">
            <v>0.10463</v>
          </cell>
          <cell r="N831">
            <v>1.41E-3</v>
          </cell>
          <cell r="O831">
            <v>3.4599999999999999E-2</v>
          </cell>
          <cell r="P831">
            <v>0</v>
          </cell>
          <cell r="Q831">
            <v>3.0000000000000001E-3</v>
          </cell>
          <cell r="R831">
            <v>1.0000000000000002</v>
          </cell>
          <cell r="S831">
            <v>0</v>
          </cell>
        </row>
        <row r="832">
          <cell r="F832">
            <v>648083</v>
          </cell>
          <cell r="G832">
            <v>275875</v>
          </cell>
          <cell r="H832">
            <v>190449</v>
          </cell>
          <cell r="I832">
            <v>819</v>
          </cell>
          <cell r="J832">
            <v>3656</v>
          </cell>
          <cell r="K832">
            <v>44</v>
          </cell>
          <cell r="L832">
            <v>84146</v>
          </cell>
          <cell r="M832">
            <v>67809</v>
          </cell>
          <cell r="N832">
            <v>917</v>
          </cell>
          <cell r="O832">
            <v>22422</v>
          </cell>
          <cell r="P832">
            <v>0</v>
          </cell>
          <cell r="Q832">
            <v>1946</v>
          </cell>
          <cell r="R832">
            <v>648083</v>
          </cell>
          <cell r="S832">
            <v>0</v>
          </cell>
        </row>
        <row r="833">
          <cell r="E833" t="str">
            <v>K202</v>
          </cell>
          <cell r="F833">
            <v>1</v>
          </cell>
          <cell r="G833">
            <v>0.42568000000000006</v>
          </cell>
          <cell r="H833">
            <v>0.29387000000000002</v>
          </cell>
          <cell r="I833">
            <v>1.2600000000000001E-3</v>
          </cell>
          <cell r="J833">
            <v>5.64E-3</v>
          </cell>
          <cell r="K833">
            <v>6.9999999999999994E-5</v>
          </cell>
          <cell r="L833">
            <v>0.12984000000000001</v>
          </cell>
          <cell r="M833">
            <v>0.10463</v>
          </cell>
          <cell r="N833">
            <v>1.41E-3</v>
          </cell>
          <cell r="O833">
            <v>3.4599999999999999E-2</v>
          </cell>
          <cell r="P833">
            <v>0</v>
          </cell>
          <cell r="Q833">
            <v>3.0000000000000001E-3</v>
          </cell>
          <cell r="R833">
            <v>1.0000000000000002</v>
          </cell>
          <cell r="S833">
            <v>0</v>
          </cell>
        </row>
        <row r="834">
          <cell r="F834">
            <v>1647331</v>
          </cell>
          <cell r="G834">
            <v>1006247</v>
          </cell>
          <cell r="H834">
            <v>345716</v>
          </cell>
          <cell r="I834">
            <v>1108</v>
          </cell>
          <cell r="J834">
            <v>13538</v>
          </cell>
          <cell r="K834">
            <v>107</v>
          </cell>
          <cell r="L834">
            <v>117501</v>
          </cell>
          <cell r="M834">
            <v>94629</v>
          </cell>
          <cell r="N834">
            <v>6558</v>
          </cell>
          <cell r="O834">
            <v>52159</v>
          </cell>
          <cell r="P834">
            <v>6010</v>
          </cell>
          <cell r="Q834">
            <v>3758</v>
          </cell>
          <cell r="R834">
            <v>1647331</v>
          </cell>
          <cell r="S834">
            <v>0</v>
          </cell>
        </row>
        <row r="835">
          <cell r="E835" t="str">
            <v>K203</v>
          </cell>
          <cell r="F835">
            <v>1</v>
          </cell>
          <cell r="G835">
            <v>0.61085</v>
          </cell>
          <cell r="H835">
            <v>0.20985999999999999</v>
          </cell>
          <cell r="I835">
            <v>6.7000000000000002E-4</v>
          </cell>
          <cell r="J835">
            <v>8.2199999999999999E-3</v>
          </cell>
          <cell r="K835">
            <v>6.0000000000000002E-5</v>
          </cell>
          <cell r="L835">
            <v>7.1330000000000005E-2</v>
          </cell>
          <cell r="M835">
            <v>5.7439999999999998E-2</v>
          </cell>
          <cell r="N835">
            <v>3.98E-3</v>
          </cell>
          <cell r="O835">
            <v>3.1660000000000001E-2</v>
          </cell>
          <cell r="P835">
            <v>3.65E-3</v>
          </cell>
          <cell r="Q835">
            <v>2.2799999999999999E-3</v>
          </cell>
          <cell r="R835">
            <v>1</v>
          </cell>
          <cell r="S835">
            <v>0</v>
          </cell>
        </row>
        <row r="836">
          <cell r="F836">
            <v>708591</v>
          </cell>
          <cell r="G836">
            <v>315144</v>
          </cell>
          <cell r="H836">
            <v>219094</v>
          </cell>
          <cell r="I836">
            <v>924</v>
          </cell>
          <cell r="J836">
            <v>4810</v>
          </cell>
          <cell r="K836">
            <v>51</v>
          </cell>
          <cell r="L836">
            <v>88885</v>
          </cell>
          <cell r="M836">
            <v>71748</v>
          </cell>
          <cell r="N836">
            <v>939</v>
          </cell>
          <cell r="O836">
            <v>0</v>
          </cell>
          <cell r="P836">
            <v>4747</v>
          </cell>
          <cell r="Q836">
            <v>2249</v>
          </cell>
          <cell r="R836">
            <v>708591</v>
          </cell>
          <cell r="S836">
            <v>0</v>
          </cell>
        </row>
        <row r="837">
          <cell r="E837" t="str">
            <v>K205</v>
          </cell>
          <cell r="F837">
            <v>1</v>
          </cell>
          <cell r="G837">
            <v>0.44474999999999987</v>
          </cell>
          <cell r="H837">
            <v>0.30919999999999997</v>
          </cell>
          <cell r="I837">
            <v>1.2999999999999999E-3</v>
          </cell>
          <cell r="J837">
            <v>6.79E-3</v>
          </cell>
          <cell r="K837">
            <v>6.9999999999999994E-5</v>
          </cell>
          <cell r="L837">
            <v>0.12544</v>
          </cell>
          <cell r="M837">
            <v>0.10125000000000001</v>
          </cell>
          <cell r="N837">
            <v>1.33E-3</v>
          </cell>
          <cell r="O837">
            <v>0</v>
          </cell>
          <cell r="P837">
            <v>6.7000000000000002E-3</v>
          </cell>
          <cell r="Q837">
            <v>3.1700000000000001E-3</v>
          </cell>
          <cell r="R837">
            <v>1</v>
          </cell>
          <cell r="S837">
            <v>0</v>
          </cell>
        </row>
        <row r="838">
          <cell r="F838">
            <v>708591</v>
          </cell>
          <cell r="G838">
            <v>315144</v>
          </cell>
          <cell r="H838">
            <v>219094</v>
          </cell>
          <cell r="I838">
            <v>924</v>
          </cell>
          <cell r="J838">
            <v>4810</v>
          </cell>
          <cell r="K838">
            <v>51</v>
          </cell>
          <cell r="L838">
            <v>88885</v>
          </cell>
          <cell r="M838">
            <v>71748</v>
          </cell>
          <cell r="N838">
            <v>939</v>
          </cell>
          <cell r="O838">
            <v>0</v>
          </cell>
          <cell r="P838">
            <v>4747</v>
          </cell>
          <cell r="Q838">
            <v>2249</v>
          </cell>
          <cell r="R838">
            <v>708591</v>
          </cell>
          <cell r="S838">
            <v>0</v>
          </cell>
        </row>
        <row r="839">
          <cell r="E839" t="str">
            <v>K206</v>
          </cell>
          <cell r="F839">
            <v>1</v>
          </cell>
          <cell r="G839">
            <v>0.44474999999999987</v>
          </cell>
          <cell r="H839">
            <v>0.30919999999999997</v>
          </cell>
          <cell r="I839">
            <v>1.2999999999999999E-3</v>
          </cell>
          <cell r="J839">
            <v>6.79E-3</v>
          </cell>
          <cell r="K839">
            <v>6.9999999999999994E-5</v>
          </cell>
          <cell r="L839">
            <v>0.12544</v>
          </cell>
          <cell r="M839">
            <v>0.10125000000000001</v>
          </cell>
          <cell r="N839">
            <v>1.33E-3</v>
          </cell>
          <cell r="O839">
            <v>0</v>
          </cell>
          <cell r="P839">
            <v>6.7000000000000002E-3</v>
          </cell>
          <cell r="Q839">
            <v>3.1700000000000001E-3</v>
          </cell>
          <cell r="R839">
            <v>1</v>
          </cell>
          <cell r="S839">
            <v>0</v>
          </cell>
        </row>
        <row r="840">
          <cell r="F840">
            <v>26570</v>
          </cell>
          <cell r="G840">
            <v>23429</v>
          </cell>
          <cell r="H840">
            <v>2876</v>
          </cell>
          <cell r="I840">
            <v>0</v>
          </cell>
          <cell r="J840">
            <v>37</v>
          </cell>
          <cell r="K840">
            <v>3</v>
          </cell>
          <cell r="L840">
            <v>132</v>
          </cell>
          <cell r="M840">
            <v>49</v>
          </cell>
          <cell r="N840">
            <v>25</v>
          </cell>
          <cell r="O840">
            <v>19</v>
          </cell>
          <cell r="P840">
            <v>0</v>
          </cell>
          <cell r="Q840">
            <v>0</v>
          </cell>
          <cell r="R840">
            <v>26570</v>
          </cell>
          <cell r="S840">
            <v>0</v>
          </cell>
        </row>
        <row r="841">
          <cell r="E841" t="str">
            <v>K209</v>
          </cell>
          <cell r="F841">
            <v>1</v>
          </cell>
          <cell r="G841">
            <v>0.88178999999999996</v>
          </cell>
          <cell r="H841">
            <v>0.10824</v>
          </cell>
          <cell r="I841">
            <v>0</v>
          </cell>
          <cell r="J841">
            <v>1.39E-3</v>
          </cell>
          <cell r="K841">
            <v>1.1E-4</v>
          </cell>
          <cell r="L841">
            <v>4.9699999999999996E-3</v>
          </cell>
          <cell r="M841">
            <v>1.8400000000000001E-3</v>
          </cell>
          <cell r="N841">
            <v>9.3999999999999997E-4</v>
          </cell>
          <cell r="O841">
            <v>7.2000000000000005E-4</v>
          </cell>
          <cell r="P841">
            <v>0</v>
          </cell>
          <cell r="Q841">
            <v>0</v>
          </cell>
          <cell r="R841">
            <v>1</v>
          </cell>
          <cell r="S841">
            <v>0</v>
          </cell>
        </row>
        <row r="842">
          <cell r="F842">
            <v>708591</v>
          </cell>
          <cell r="G842">
            <v>315144</v>
          </cell>
          <cell r="H842">
            <v>219094</v>
          </cell>
          <cell r="I842">
            <v>924</v>
          </cell>
          <cell r="J842">
            <v>4810</v>
          </cell>
          <cell r="K842">
            <v>51</v>
          </cell>
          <cell r="L842">
            <v>88885</v>
          </cell>
          <cell r="M842">
            <v>71748</v>
          </cell>
          <cell r="N842">
            <v>939</v>
          </cell>
          <cell r="O842">
            <v>0</v>
          </cell>
          <cell r="P842">
            <v>4747</v>
          </cell>
          <cell r="Q842">
            <v>2249</v>
          </cell>
          <cell r="R842">
            <v>708591</v>
          </cell>
          <cell r="S842">
            <v>0</v>
          </cell>
        </row>
        <row r="843">
          <cell r="E843" t="str">
            <v>K215</v>
          </cell>
          <cell r="F843">
            <v>1</v>
          </cell>
          <cell r="G843">
            <v>0.44474999999999987</v>
          </cell>
          <cell r="H843">
            <v>0.30919999999999997</v>
          </cell>
          <cell r="I843">
            <v>1.2999999999999999E-3</v>
          </cell>
          <cell r="J843">
            <v>6.79E-3</v>
          </cell>
          <cell r="K843">
            <v>6.9999999999999994E-5</v>
          </cell>
          <cell r="L843">
            <v>0.12544</v>
          </cell>
          <cell r="M843">
            <v>0.10125000000000001</v>
          </cell>
          <cell r="N843">
            <v>1.33E-3</v>
          </cell>
          <cell r="O843">
            <v>0</v>
          </cell>
          <cell r="P843">
            <v>6.7000000000000002E-3</v>
          </cell>
          <cell r="Q843">
            <v>3.1700000000000001E-3</v>
          </cell>
          <cell r="R843">
            <v>1</v>
          </cell>
          <cell r="S843">
            <v>0</v>
          </cell>
        </row>
        <row r="844">
          <cell r="F844">
            <v>165672</v>
          </cell>
          <cell r="G844">
            <v>137520</v>
          </cell>
          <cell r="H844">
            <v>24512</v>
          </cell>
          <cell r="I844">
            <v>46</v>
          </cell>
          <cell r="J844">
            <v>264</v>
          </cell>
          <cell r="K844">
            <v>12</v>
          </cell>
          <cell r="L844">
            <v>342</v>
          </cell>
          <cell r="M844">
            <v>105</v>
          </cell>
          <cell r="N844">
            <v>30</v>
          </cell>
          <cell r="O844">
            <v>36</v>
          </cell>
          <cell r="P844">
            <v>2792</v>
          </cell>
          <cell r="Q844">
            <v>3</v>
          </cell>
          <cell r="R844">
            <v>165662</v>
          </cell>
          <cell r="S844">
            <v>10</v>
          </cell>
        </row>
        <row r="845">
          <cell r="E845" t="str">
            <v>K217</v>
          </cell>
          <cell r="F845">
            <v>1</v>
          </cell>
          <cell r="G845">
            <v>0.83006999999999997</v>
          </cell>
          <cell r="H845">
            <v>0.14795</v>
          </cell>
          <cell r="I845">
            <v>2.7999999999999998E-4</v>
          </cell>
          <cell r="J845">
            <v>1.5900000000000001E-3</v>
          </cell>
          <cell r="K845">
            <v>6.9999999999999994E-5</v>
          </cell>
          <cell r="L845">
            <v>2.0600000000000002E-3</v>
          </cell>
          <cell r="M845">
            <v>6.3000000000000003E-4</v>
          </cell>
          <cell r="N845">
            <v>1.8000000000000001E-4</v>
          </cell>
          <cell r="O845">
            <v>2.2000000000000001E-4</v>
          </cell>
          <cell r="P845">
            <v>1.685E-2</v>
          </cell>
          <cell r="Q845">
            <v>2.0000000000000002E-5</v>
          </cell>
          <cell r="R845">
            <v>0.99991999999999992</v>
          </cell>
          <cell r="S845">
            <v>8.0000000000080007E-5</v>
          </cell>
        </row>
        <row r="846">
          <cell r="F846">
            <v>4101134214.1489997</v>
          </cell>
          <cell r="G846">
            <v>1470196498.845</v>
          </cell>
          <cell r="H846">
            <v>1255081996.2449999</v>
          </cell>
          <cell r="I846">
            <v>6350133.8709999984</v>
          </cell>
          <cell r="J846">
            <v>19355665.91</v>
          </cell>
          <cell r="K846">
            <v>288048</v>
          </cell>
          <cell r="L846">
            <v>610848200.07483399</v>
          </cell>
          <cell r="M846">
            <v>509222309.26616597</v>
          </cell>
          <cell r="N846">
            <v>5979794.5269999998</v>
          </cell>
          <cell r="O846">
            <v>191982350.88400003</v>
          </cell>
          <cell r="P846">
            <v>18971771.526000001</v>
          </cell>
          <cell r="Q846">
            <v>12857445</v>
          </cell>
          <cell r="R846">
            <v>4101134214.1489997</v>
          </cell>
          <cell r="S846">
            <v>0</v>
          </cell>
        </row>
        <row r="847">
          <cell r="E847" t="str">
            <v>K301</v>
          </cell>
          <cell r="F847">
            <v>1</v>
          </cell>
          <cell r="G847">
            <v>0.35846999999999984</v>
          </cell>
          <cell r="H847">
            <v>0.30603000000000002</v>
          </cell>
          <cell r="I847">
            <v>1.5499999999999999E-3</v>
          </cell>
          <cell r="J847">
            <v>4.7200000000000002E-3</v>
          </cell>
          <cell r="K847">
            <v>6.9999999999999994E-5</v>
          </cell>
          <cell r="L847">
            <v>0.14895</v>
          </cell>
          <cell r="M847">
            <v>0.12417</v>
          </cell>
          <cell r="N847">
            <v>1.4599999999999999E-3</v>
          </cell>
          <cell r="O847">
            <v>4.6809999999999997E-2</v>
          </cell>
          <cell r="P847">
            <v>4.6299999999999996E-3</v>
          </cell>
          <cell r="Q847">
            <v>3.14E-3</v>
          </cell>
          <cell r="R847">
            <v>1</v>
          </cell>
          <cell r="S847">
            <v>0</v>
          </cell>
        </row>
        <row r="848">
          <cell r="F848">
            <v>4101134214.1489997</v>
          </cell>
          <cell r="G848">
            <v>1470196498.845</v>
          </cell>
          <cell r="H848">
            <v>1255081996.2449999</v>
          </cell>
          <cell r="I848">
            <v>6350133.8709999984</v>
          </cell>
          <cell r="J848">
            <v>19355665.91</v>
          </cell>
          <cell r="K848">
            <v>288048</v>
          </cell>
          <cell r="L848">
            <v>610848200.07483399</v>
          </cell>
          <cell r="M848">
            <v>509222309.26616597</v>
          </cell>
          <cell r="N848">
            <v>5979794.5269999998</v>
          </cell>
          <cell r="O848">
            <v>179959630.88400003</v>
          </cell>
          <cell r="P848">
            <v>18971771.526000001</v>
          </cell>
          <cell r="Q848">
            <v>12857445</v>
          </cell>
          <cell r="R848">
            <v>4089111494.1489997</v>
          </cell>
          <cell r="S848">
            <v>12022720</v>
          </cell>
        </row>
        <row r="849">
          <cell r="E849" t="str">
            <v>K303</v>
          </cell>
          <cell r="F849">
            <v>1</v>
          </cell>
          <cell r="G849">
            <v>0.35848999999999998</v>
          </cell>
          <cell r="H849">
            <v>0.30603000000000002</v>
          </cell>
          <cell r="I849">
            <v>1.5499999999999999E-3</v>
          </cell>
          <cell r="J849">
            <v>4.7200000000000002E-3</v>
          </cell>
          <cell r="K849">
            <v>6.9999999999999994E-5</v>
          </cell>
          <cell r="L849">
            <v>0.14895</v>
          </cell>
          <cell r="M849">
            <v>0.12417</v>
          </cell>
          <cell r="N849">
            <v>1.4599999999999999E-3</v>
          </cell>
          <cell r="O849">
            <v>4.3880000000000002E-2</v>
          </cell>
          <cell r="P849">
            <v>4.6299999999999996E-3</v>
          </cell>
          <cell r="Q849">
            <v>3.14E-3</v>
          </cell>
          <cell r="R849">
            <v>0.99709000000000014</v>
          </cell>
          <cell r="S849">
            <v>2.9099999999998571E-3</v>
          </cell>
        </row>
        <row r="850">
          <cell r="F850">
            <v>4082162442.6229997</v>
          </cell>
          <cell r="G850">
            <v>1470196498.845</v>
          </cell>
          <cell r="H850">
            <v>1255081996.2449999</v>
          </cell>
          <cell r="I850">
            <v>6350133.8709999984</v>
          </cell>
          <cell r="J850">
            <v>19355665.91</v>
          </cell>
          <cell r="K850">
            <v>288048</v>
          </cell>
          <cell r="L850">
            <v>610848200.07483399</v>
          </cell>
          <cell r="M850">
            <v>509222309.26616597</v>
          </cell>
          <cell r="N850">
            <v>5979794.5269999998</v>
          </cell>
          <cell r="O850">
            <v>191982350.88400003</v>
          </cell>
          <cell r="P850">
            <v>0</v>
          </cell>
          <cell r="Q850">
            <v>12857445</v>
          </cell>
          <cell r="R850">
            <v>4082162442.6229997</v>
          </cell>
          <cell r="S850">
            <v>0</v>
          </cell>
        </row>
        <row r="851">
          <cell r="E851" t="str">
            <v>K305</v>
          </cell>
          <cell r="F851">
            <v>1</v>
          </cell>
          <cell r="G851">
            <v>0.36014999999999997</v>
          </cell>
          <cell r="H851">
            <v>0.30746000000000001</v>
          </cell>
          <cell r="I851">
            <v>1.56E-3</v>
          </cell>
          <cell r="J851">
            <v>4.7400000000000003E-3</v>
          </cell>
          <cell r="K851">
            <v>6.9999999999999994E-5</v>
          </cell>
          <cell r="L851">
            <v>0.14964</v>
          </cell>
          <cell r="M851">
            <v>0.12474</v>
          </cell>
          <cell r="N851">
            <v>1.4599999999999999E-3</v>
          </cell>
          <cell r="O851">
            <v>4.7030000000000002E-2</v>
          </cell>
          <cell r="P851">
            <v>0</v>
          </cell>
          <cell r="Q851">
            <v>3.15E-3</v>
          </cell>
          <cell r="R851">
            <v>1</v>
          </cell>
          <cell r="S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0</v>
          </cell>
          <cell r="R854">
            <v>1</v>
          </cell>
          <cell r="S854">
            <v>0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0</v>
          </cell>
        </row>
        <row r="856">
          <cell r="F856">
            <v>152867</v>
          </cell>
          <cell r="G856">
            <v>137520</v>
          </cell>
          <cell r="H856">
            <v>12257</v>
          </cell>
          <cell r="I856">
            <v>23</v>
          </cell>
          <cell r="J856">
            <v>88</v>
          </cell>
          <cell r="K856">
            <v>12</v>
          </cell>
          <cell r="L856">
            <v>115</v>
          </cell>
          <cell r="M856">
            <v>35</v>
          </cell>
          <cell r="N856">
            <v>10</v>
          </cell>
          <cell r="O856">
            <v>12</v>
          </cell>
          <cell r="P856">
            <v>2792</v>
          </cell>
          <cell r="Q856">
            <v>1</v>
          </cell>
          <cell r="R856">
            <v>152865</v>
          </cell>
          <cell r="S856">
            <v>2</v>
          </cell>
        </row>
        <row r="857">
          <cell r="E857" t="str">
            <v>K405</v>
          </cell>
          <cell r="F857">
            <v>1</v>
          </cell>
          <cell r="G857">
            <v>0.89961000000000002</v>
          </cell>
          <cell r="H857">
            <v>8.0180000000000001E-2</v>
          </cell>
          <cell r="I857">
            <v>1.4999999999999999E-4</v>
          </cell>
          <cell r="J857">
            <v>5.8E-4</v>
          </cell>
          <cell r="K857">
            <v>8.0000000000000007E-5</v>
          </cell>
          <cell r="L857">
            <v>7.5000000000000002E-4</v>
          </cell>
          <cell r="M857">
            <v>2.3000000000000001E-4</v>
          </cell>
          <cell r="N857">
            <v>6.9999999999999994E-5</v>
          </cell>
          <cell r="O857">
            <v>8.0000000000000007E-5</v>
          </cell>
          <cell r="P857">
            <v>1.8259999999999998E-2</v>
          </cell>
          <cell r="Q857">
            <v>1.0000000000000001E-5</v>
          </cell>
          <cell r="R857">
            <v>0.99999999999999989</v>
          </cell>
          <cell r="S857">
            <v>0</v>
          </cell>
        </row>
        <row r="858">
          <cell r="F858">
            <v>22486890.793596428</v>
          </cell>
          <cell r="G858">
            <v>19829008.800000001</v>
          </cell>
          <cell r="H858">
            <v>2433684.8645095793</v>
          </cell>
          <cell r="I858">
            <v>0</v>
          </cell>
          <cell r="J858">
            <v>31509.280000000046</v>
          </cell>
          <cell r="K858">
            <v>2448</v>
          </cell>
          <cell r="L858">
            <v>111217.43855421687</v>
          </cell>
          <cell r="M858">
            <v>41635.072972972972</v>
          </cell>
          <cell r="N858">
            <v>20860.366666666669</v>
          </cell>
          <cell r="O858">
            <v>16328.400000000001</v>
          </cell>
          <cell r="P858">
            <v>0</v>
          </cell>
          <cell r="Q858">
            <v>198.5708929919696</v>
          </cell>
          <cell r="R858">
            <v>22486890.793596428</v>
          </cell>
          <cell r="S858">
            <v>0</v>
          </cell>
        </row>
        <row r="859">
          <cell r="E859" t="str">
            <v>K407</v>
          </cell>
          <cell r="F859">
            <v>1</v>
          </cell>
          <cell r="G859">
            <v>0.88178999999999996</v>
          </cell>
          <cell r="H859">
            <v>0.10823000000000001</v>
          </cell>
          <cell r="I859">
            <v>0</v>
          </cell>
          <cell r="J859">
            <v>1.4E-3</v>
          </cell>
          <cell r="K859">
            <v>1.1E-4</v>
          </cell>
          <cell r="L859">
            <v>4.9500000000000004E-3</v>
          </cell>
          <cell r="M859">
            <v>1.8500000000000001E-3</v>
          </cell>
          <cell r="N859">
            <v>9.3000000000000005E-4</v>
          </cell>
          <cell r="O859">
            <v>7.2999999999999996E-4</v>
          </cell>
          <cell r="P859">
            <v>0</v>
          </cell>
          <cell r="Q859">
            <v>1.0000000000000001E-5</v>
          </cell>
          <cell r="R859">
            <v>1</v>
          </cell>
          <cell r="S859">
            <v>0</v>
          </cell>
        </row>
        <row r="860">
          <cell r="F860">
            <v>154110</v>
          </cell>
          <cell r="G860">
            <v>137520</v>
          </cell>
          <cell r="H860">
            <v>12257</v>
          </cell>
          <cell r="I860">
            <v>23</v>
          </cell>
          <cell r="J860">
            <v>176</v>
          </cell>
          <cell r="K860">
            <v>12</v>
          </cell>
          <cell r="L860">
            <v>799</v>
          </cell>
          <cell r="M860">
            <v>280</v>
          </cell>
          <cell r="N860">
            <v>140</v>
          </cell>
          <cell r="O860">
            <v>110</v>
          </cell>
          <cell r="P860">
            <v>2792</v>
          </cell>
          <cell r="Q860">
            <v>1</v>
          </cell>
          <cell r="R860">
            <v>154110</v>
          </cell>
          <cell r="S860">
            <v>0</v>
          </cell>
        </row>
        <row r="861">
          <cell r="E861" t="str">
            <v>K409</v>
          </cell>
          <cell r="F861">
            <v>1</v>
          </cell>
          <cell r="G861">
            <v>0.89234999999999998</v>
          </cell>
          <cell r="H861">
            <v>7.9530000000000003E-2</v>
          </cell>
          <cell r="I861">
            <v>1.4999999999999999E-4</v>
          </cell>
          <cell r="J861">
            <v>1.14E-3</v>
          </cell>
          <cell r="K861">
            <v>8.0000000000000007E-5</v>
          </cell>
          <cell r="L861">
            <v>5.1799999999999997E-3</v>
          </cell>
          <cell r="M861">
            <v>1.82E-3</v>
          </cell>
          <cell r="N861">
            <v>9.1E-4</v>
          </cell>
          <cell r="O861">
            <v>7.1000000000000002E-4</v>
          </cell>
          <cell r="P861">
            <v>1.8120000000000001E-2</v>
          </cell>
          <cell r="Q861">
            <v>1.0000000000000001E-5</v>
          </cell>
          <cell r="R861">
            <v>0.99999999999999989</v>
          </cell>
          <cell r="S861">
            <v>0</v>
          </cell>
        </row>
        <row r="862">
          <cell r="F862">
            <v>2137114.169997225</v>
          </cell>
          <cell r="G862">
            <v>1924403</v>
          </cell>
          <cell r="H862">
            <v>108413.16999722505</v>
          </cell>
          <cell r="I862">
            <v>674</v>
          </cell>
          <cell r="J862">
            <v>1538</v>
          </cell>
          <cell r="K862">
            <v>43</v>
          </cell>
          <cell r="L862">
            <v>48098</v>
          </cell>
          <cell r="M862">
            <v>37329</v>
          </cell>
          <cell r="N862">
            <v>710</v>
          </cell>
          <cell r="O862">
            <v>13016</v>
          </cell>
          <cell r="P862">
            <v>2099</v>
          </cell>
          <cell r="Q862">
            <v>791</v>
          </cell>
          <cell r="R862">
            <v>2137114.169997225</v>
          </cell>
          <cell r="S862">
            <v>0</v>
          </cell>
        </row>
        <row r="863">
          <cell r="E863" t="str">
            <v>K411</v>
          </cell>
          <cell r="F863">
            <v>1</v>
          </cell>
          <cell r="G863">
            <v>0.90046000000000004</v>
          </cell>
          <cell r="H863">
            <v>5.0729999999999997E-2</v>
          </cell>
          <cell r="I863">
            <v>3.2000000000000003E-4</v>
          </cell>
          <cell r="J863">
            <v>7.2000000000000005E-4</v>
          </cell>
          <cell r="K863">
            <v>2.0000000000000002E-5</v>
          </cell>
          <cell r="L863">
            <v>2.2509999999999999E-2</v>
          </cell>
          <cell r="M863">
            <v>1.7469999999999999E-2</v>
          </cell>
          <cell r="N863">
            <v>3.3E-4</v>
          </cell>
          <cell r="O863">
            <v>6.0899999999999999E-3</v>
          </cell>
          <cell r="P863">
            <v>9.7999999999999997E-4</v>
          </cell>
          <cell r="Q863">
            <v>3.6999999999999999E-4</v>
          </cell>
          <cell r="R863">
            <v>1.0000000000000002</v>
          </cell>
          <cell r="S863">
            <v>0</v>
          </cell>
        </row>
        <row r="864">
          <cell r="F864">
            <v>4087989911.1489997</v>
          </cell>
          <cell r="G864">
            <v>1470196498.845</v>
          </cell>
          <cell r="H864">
            <v>1255084711.2449999</v>
          </cell>
          <cell r="I864">
            <v>6350133.8709999984</v>
          </cell>
          <cell r="J864">
            <v>19355665.91</v>
          </cell>
          <cell r="K864">
            <v>288048</v>
          </cell>
          <cell r="L864">
            <v>609723902.07483399</v>
          </cell>
          <cell r="M864">
            <v>509222309.26616597</v>
          </cell>
          <cell r="N864">
            <v>5979794.5269999998</v>
          </cell>
          <cell r="O864">
            <v>179959630.88400003</v>
          </cell>
          <cell r="P864">
            <v>18971771.526000001</v>
          </cell>
          <cell r="Q864">
            <v>12857445</v>
          </cell>
          <cell r="R864">
            <v>4087989911.1489997</v>
          </cell>
          <cell r="S864">
            <v>0</v>
          </cell>
        </row>
        <row r="865">
          <cell r="E865" t="str">
            <v>K302</v>
          </cell>
          <cell r="F865">
            <v>1</v>
          </cell>
          <cell r="G865">
            <v>0.35964000000000007</v>
          </cell>
          <cell r="H865">
            <v>0.30702000000000002</v>
          </cell>
          <cell r="I865">
            <v>1.5499999999999999E-3</v>
          </cell>
          <cell r="J865">
            <v>4.7299999999999998E-3</v>
          </cell>
          <cell r="K865">
            <v>6.9999999999999994E-5</v>
          </cell>
          <cell r="L865">
            <v>0.14915</v>
          </cell>
          <cell r="M865">
            <v>0.12457</v>
          </cell>
          <cell r="N865">
            <v>1.4599999999999999E-3</v>
          </cell>
          <cell r="O865">
            <v>4.4019999999999997E-2</v>
          </cell>
          <cell r="P865">
            <v>4.64E-3</v>
          </cell>
          <cell r="Q865">
            <v>3.15E-3</v>
          </cell>
          <cell r="R865">
            <v>1</v>
          </cell>
          <cell r="S865">
            <v>0</v>
          </cell>
        </row>
        <row r="867">
          <cell r="E867" t="str">
            <v>R600</v>
          </cell>
          <cell r="F867">
            <v>37818</v>
          </cell>
          <cell r="G867">
            <v>33986</v>
          </cell>
          <cell r="H867">
            <v>2110</v>
          </cell>
          <cell r="I867">
            <v>11</v>
          </cell>
          <cell r="J867">
            <v>29</v>
          </cell>
          <cell r="K867">
            <v>0</v>
          </cell>
          <cell r="L867">
            <v>797</v>
          </cell>
          <cell r="M867">
            <v>612</v>
          </cell>
          <cell r="N867">
            <v>15</v>
          </cell>
          <cell r="O867">
            <v>214</v>
          </cell>
          <cell r="P867">
            <v>32</v>
          </cell>
          <cell r="Q867">
            <v>12</v>
          </cell>
          <cell r="R867">
            <v>37818</v>
          </cell>
          <cell r="S867">
            <v>0</v>
          </cell>
        </row>
        <row r="868">
          <cell r="E868" t="str">
            <v>R602</v>
          </cell>
          <cell r="F868">
            <v>115468</v>
          </cell>
          <cell r="G868">
            <v>103895</v>
          </cell>
          <cell r="H868">
            <v>6204</v>
          </cell>
          <cell r="I868">
            <v>38</v>
          </cell>
          <cell r="J868">
            <v>89</v>
          </cell>
          <cell r="K868">
            <v>0</v>
          </cell>
          <cell r="L868">
            <v>2481</v>
          </cell>
          <cell r="M868">
            <v>1912</v>
          </cell>
          <cell r="N868">
            <v>38</v>
          </cell>
          <cell r="O868">
            <v>671</v>
          </cell>
          <cell r="P868">
            <v>102</v>
          </cell>
          <cell r="Q868">
            <v>38</v>
          </cell>
          <cell r="R868">
            <v>115468</v>
          </cell>
          <cell r="S868">
            <v>0</v>
          </cell>
        </row>
        <row r="870">
          <cell r="R870" t="str">
            <v>FR-16(7)(v)-9</v>
          </cell>
        </row>
        <row r="871">
          <cell r="R871" t="str">
            <v>WITNESS RESPONSIBLE:</v>
          </cell>
        </row>
        <row r="872">
          <cell r="R872" t="str">
            <v>JAMES E. ZIOLKOWSKI</v>
          </cell>
        </row>
        <row r="873">
          <cell r="R873" t="str">
            <v>PAGE 17 OF 18</v>
          </cell>
        </row>
        <row r="876">
          <cell r="F876" t="str">
            <v>TOTAL</v>
          </cell>
          <cell r="H876" t="str">
            <v>DS</v>
          </cell>
          <cell r="I876" t="str">
            <v>GSFL</v>
          </cell>
          <cell r="J876" t="str">
            <v>EH</v>
          </cell>
          <cell r="K876" t="str">
            <v>SP</v>
          </cell>
          <cell r="L876" t="str">
            <v>DT SEC</v>
          </cell>
          <cell r="M876" t="str">
            <v>DT PRI</v>
          </cell>
          <cell r="N876" t="str">
            <v>DP</v>
          </cell>
          <cell r="O876" t="str">
            <v>TT</v>
          </cell>
          <cell r="Q876" t="str">
            <v>OTHER</v>
          </cell>
        </row>
        <row r="877">
          <cell r="F877" t="str">
            <v>TRANSMISSION</v>
          </cell>
          <cell r="G877" t="str">
            <v>RS</v>
          </cell>
          <cell r="H877" t="str">
            <v>SECONDARY</v>
          </cell>
          <cell r="I877" t="str">
            <v>SECONDARY</v>
          </cell>
          <cell r="J877" t="str">
            <v>SECONDARY</v>
          </cell>
          <cell r="K877" t="str">
            <v>SECONDARY</v>
          </cell>
          <cell r="L877" t="str">
            <v>SECONDARY</v>
          </cell>
          <cell r="M877" t="str">
            <v>PRIMARY</v>
          </cell>
          <cell r="N877" t="str">
            <v>PRIMARY</v>
          </cell>
          <cell r="O877" t="str">
            <v>TRANSMISSION</v>
          </cell>
          <cell r="P877" t="str">
            <v>LT</v>
          </cell>
          <cell r="Q877" t="str">
            <v>WATER</v>
          </cell>
          <cell r="R877" t="str">
            <v>TOTAL</v>
          </cell>
          <cell r="S877" t="str">
            <v>ALL</v>
          </cell>
        </row>
        <row r="878">
          <cell r="E878" t="str">
            <v>ALLO</v>
          </cell>
          <cell r="F878" t="str">
            <v>CUSTOMER</v>
          </cell>
          <cell r="G878" t="str">
            <v>RESIDENTIAL</v>
          </cell>
          <cell r="H878" t="str">
            <v>DISTRIBUTION</v>
          </cell>
          <cell r="I878" t="str">
            <v>DISTRIBUTION</v>
          </cell>
          <cell r="J878" t="str">
            <v>DISTRIBUTION</v>
          </cell>
          <cell r="K878" t="str">
            <v>DISTRIBUTION</v>
          </cell>
          <cell r="L878" t="str">
            <v>DISTRIBUTION</v>
          </cell>
          <cell r="M878" t="str">
            <v>DISTRIBUTION</v>
          </cell>
          <cell r="N878" t="str">
            <v>DISTRIBUTION</v>
          </cell>
          <cell r="O878" t="str">
            <v>TIME OF DAY</v>
          </cell>
          <cell r="P878" t="str">
            <v>LIGHTING</v>
          </cell>
          <cell r="Q878" t="str">
            <v>PUMPING</v>
          </cell>
          <cell r="R878" t="str">
            <v>AT ISSUE</v>
          </cell>
          <cell r="S878" t="str">
            <v>OTHER</v>
          </cell>
        </row>
        <row r="879">
          <cell r="E879">
            <v>1</v>
          </cell>
          <cell r="G879">
            <v>3</v>
          </cell>
          <cell r="H879">
            <v>4</v>
          </cell>
          <cell r="I879">
            <v>5</v>
          </cell>
          <cell r="J879">
            <v>6</v>
          </cell>
          <cell r="K879">
            <v>7</v>
          </cell>
          <cell r="L879">
            <v>8</v>
          </cell>
          <cell r="M879">
            <v>9</v>
          </cell>
          <cell r="N879">
            <v>10</v>
          </cell>
          <cell r="O879">
            <v>11</v>
          </cell>
          <cell r="P879">
            <v>12</v>
          </cell>
          <cell r="Q879">
            <v>13</v>
          </cell>
          <cell r="S879" t="str">
            <v xml:space="preserve"> </v>
          </cell>
        </row>
        <row r="881">
          <cell r="F881">
            <v>450848089</v>
          </cell>
          <cell r="G881">
            <v>197851566</v>
          </cell>
          <cell r="H881">
            <v>128946845</v>
          </cell>
          <cell r="I881">
            <v>800742</v>
          </cell>
          <cell r="J881">
            <v>1829152</v>
          </cell>
          <cell r="K881">
            <v>50918</v>
          </cell>
          <cell r="L881">
            <v>57206760</v>
          </cell>
          <cell r="M881">
            <v>44398656</v>
          </cell>
          <cell r="N881">
            <v>846253</v>
          </cell>
          <cell r="O881">
            <v>15479736</v>
          </cell>
          <cell r="P881">
            <v>2496338</v>
          </cell>
          <cell r="Q881">
            <v>941124</v>
          </cell>
          <cell r="R881">
            <v>450848090</v>
          </cell>
          <cell r="S881">
            <v>-1</v>
          </cell>
        </row>
        <row r="882">
          <cell r="E882" t="str">
            <v>K901</v>
          </cell>
          <cell r="F882">
            <v>1</v>
          </cell>
          <cell r="G882">
            <v>0.43884000000000001</v>
          </cell>
          <cell r="H882">
            <v>0.28600951899999999</v>
          </cell>
          <cell r="I882">
            <v>1.7760790000000001E-3</v>
          </cell>
          <cell r="J882">
            <v>4.0571360000000002E-3</v>
          </cell>
          <cell r="K882">
            <v>1.12938E-4</v>
          </cell>
          <cell r="L882">
            <v>0.126886997</v>
          </cell>
          <cell r="M882">
            <v>9.8478083999999994E-2</v>
          </cell>
          <cell r="N882">
            <v>1.877025E-3</v>
          </cell>
          <cell r="O882">
            <v>3.4334705E-2</v>
          </cell>
          <cell r="P882">
            <v>5.5369829999999997E-3</v>
          </cell>
          <cell r="Q882">
            <v>2.087453E-3</v>
          </cell>
          <cell r="R882">
            <v>0.99999691899999998</v>
          </cell>
          <cell r="S882">
            <v>3.0810000000158766E-6</v>
          </cell>
        </row>
        <row r="883">
          <cell r="F883">
            <v>450848089</v>
          </cell>
          <cell r="G883">
            <v>197851566</v>
          </cell>
          <cell r="H883">
            <v>128946845</v>
          </cell>
          <cell r="I883">
            <v>800742</v>
          </cell>
          <cell r="J883">
            <v>1829152</v>
          </cell>
          <cell r="K883">
            <v>50918</v>
          </cell>
          <cell r="L883">
            <v>57206760</v>
          </cell>
          <cell r="M883">
            <v>44398656</v>
          </cell>
          <cell r="N883">
            <v>846253</v>
          </cell>
          <cell r="O883">
            <v>15479736</v>
          </cell>
          <cell r="P883">
            <v>2496338</v>
          </cell>
          <cell r="Q883">
            <v>941124</v>
          </cell>
          <cell r="R883">
            <v>450848090</v>
          </cell>
          <cell r="S883">
            <v>-1</v>
          </cell>
        </row>
        <row r="884">
          <cell r="E884" t="str">
            <v>K902</v>
          </cell>
          <cell r="F884">
            <v>1</v>
          </cell>
          <cell r="G884">
            <v>0.43884000000000001</v>
          </cell>
          <cell r="H884">
            <v>0.28600951899999999</v>
          </cell>
          <cell r="I884">
            <v>1.7760790000000001E-3</v>
          </cell>
          <cell r="J884">
            <v>4.0571360000000002E-3</v>
          </cell>
          <cell r="K884">
            <v>1.12938E-4</v>
          </cell>
          <cell r="L884">
            <v>0.126886997</v>
          </cell>
          <cell r="M884">
            <v>9.8478083999999994E-2</v>
          </cell>
          <cell r="N884">
            <v>1.877025E-3</v>
          </cell>
          <cell r="O884">
            <v>3.4334705E-2</v>
          </cell>
          <cell r="P884">
            <v>5.5369829999999997E-3</v>
          </cell>
          <cell r="Q884">
            <v>2.087453E-3</v>
          </cell>
          <cell r="R884">
            <v>0.99999691899999998</v>
          </cell>
          <cell r="S884">
            <v>3.0810000000158766E-6</v>
          </cell>
        </row>
        <row r="888">
          <cell r="E888" t="str">
            <v>P129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E889" t="str">
            <v>T129</v>
          </cell>
          <cell r="F889">
            <v>1</v>
          </cell>
          <cell r="G889">
            <v>1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</v>
          </cell>
          <cell r="S889">
            <v>0</v>
          </cell>
        </row>
        <row r="890">
          <cell r="E890" t="str">
            <v>PT29</v>
          </cell>
          <cell r="F890">
            <v>1</v>
          </cell>
          <cell r="G890">
            <v>1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</v>
          </cell>
          <cell r="S890">
            <v>0</v>
          </cell>
        </row>
        <row r="891">
          <cell r="E891" t="str">
            <v>D149</v>
          </cell>
          <cell r="F891">
            <v>0</v>
          </cell>
          <cell r="G891">
            <v>0</v>
          </cell>
          <cell r="H891">
            <v>0.10824</v>
          </cell>
          <cell r="I891">
            <v>0</v>
          </cell>
          <cell r="J891">
            <v>1.39E-3</v>
          </cell>
          <cell r="K891">
            <v>1.1E-4</v>
          </cell>
          <cell r="L891">
            <v>4.9699999999999996E-3</v>
          </cell>
          <cell r="M891">
            <v>1.8400000000000001E-3</v>
          </cell>
          <cell r="N891">
            <v>9.3999999999999997E-4</v>
          </cell>
          <cell r="O891">
            <v>7.2000000000000005E-4</v>
          </cell>
          <cell r="P891">
            <v>0</v>
          </cell>
          <cell r="Q891">
            <v>0</v>
          </cell>
          <cell r="R891">
            <v>0.11821</v>
          </cell>
          <cell r="S891">
            <v>-0.11821</v>
          </cell>
        </row>
        <row r="892">
          <cell r="E892" t="str">
            <v>TD29</v>
          </cell>
          <cell r="F892">
            <v>1</v>
          </cell>
          <cell r="G892">
            <v>0.88178999999999996</v>
          </cell>
          <cell r="H892">
            <v>0.10824</v>
          </cell>
          <cell r="I892">
            <v>0</v>
          </cell>
          <cell r="J892">
            <v>1.39E-3</v>
          </cell>
          <cell r="K892">
            <v>1.1E-4</v>
          </cell>
          <cell r="L892">
            <v>4.9699999999999996E-3</v>
          </cell>
          <cell r="M892">
            <v>1.8400000000000001E-3</v>
          </cell>
          <cell r="N892">
            <v>9.3999999999999997E-4</v>
          </cell>
          <cell r="O892">
            <v>7.2000000000000005E-4</v>
          </cell>
          <cell r="P892">
            <v>0</v>
          </cell>
          <cell r="Q892">
            <v>0</v>
          </cell>
          <cell r="R892">
            <v>1</v>
          </cell>
          <cell r="S892">
            <v>0</v>
          </cell>
        </row>
        <row r="893">
          <cell r="E893" t="str">
            <v>PD29</v>
          </cell>
          <cell r="F893">
            <v>1</v>
          </cell>
          <cell r="G893">
            <v>0.90041000000000004</v>
          </cell>
          <cell r="H893">
            <v>5.151E-2</v>
          </cell>
          <cell r="I893">
            <v>2.9999999999999997E-4</v>
          </cell>
          <cell r="J893">
            <v>7.2000000000000005E-4</v>
          </cell>
          <cell r="K893">
            <v>0</v>
          </cell>
          <cell r="L893">
            <v>2.2290000000000001E-2</v>
          </cell>
          <cell r="M893">
            <v>1.7229999999999999E-2</v>
          </cell>
          <cell r="N893">
            <v>2.9999999999999997E-4</v>
          </cell>
          <cell r="O893">
            <v>6.0000000000000001E-3</v>
          </cell>
          <cell r="P893">
            <v>9.3999999999999997E-4</v>
          </cell>
          <cell r="Q893">
            <v>2.9999999999999997E-4</v>
          </cell>
          <cell r="R893">
            <v>1.0000000000000002</v>
          </cell>
          <cell r="S893">
            <v>0</v>
          </cell>
        </row>
        <row r="894">
          <cell r="E894" t="str">
            <v>G129</v>
          </cell>
          <cell r="F894">
            <v>1</v>
          </cell>
          <cell r="G894">
            <v>0.90051999999999999</v>
          </cell>
          <cell r="H894">
            <v>5.1479999999999998E-2</v>
          </cell>
          <cell r="I894">
            <v>3.4000000000000002E-4</v>
          </cell>
          <cell r="J894">
            <v>6.7000000000000002E-4</v>
          </cell>
          <cell r="K894">
            <v>0</v>
          </cell>
          <cell r="L894">
            <v>2.2249999999999999E-2</v>
          </cell>
          <cell r="M894">
            <v>1.72E-2</v>
          </cell>
          <cell r="N894">
            <v>3.4000000000000002E-4</v>
          </cell>
          <cell r="O894">
            <v>5.96E-3</v>
          </cell>
          <cell r="P894">
            <v>8.9999999999999998E-4</v>
          </cell>
          <cell r="Q894">
            <v>3.4000000000000002E-4</v>
          </cell>
          <cell r="R894">
            <v>0.99999999999999989</v>
          </cell>
          <cell r="S894">
            <v>0</v>
          </cell>
        </row>
        <row r="895">
          <cell r="E895" t="str">
            <v>C129</v>
          </cell>
          <cell r="F895">
            <v>1</v>
          </cell>
          <cell r="G895">
            <v>0.89244000000000001</v>
          </cell>
          <cell r="H895">
            <v>7.5819999999999999E-2</v>
          </cell>
          <cell r="I895">
            <v>1.8000000000000001E-4</v>
          </cell>
          <cell r="J895">
            <v>1E-3</v>
          </cell>
          <cell r="K895">
            <v>5.0000000000000002E-5</v>
          </cell>
          <cell r="L895">
            <v>1.486E-2</v>
          </cell>
          <cell r="M895">
            <v>1.0630000000000001E-2</v>
          </cell>
          <cell r="N895">
            <v>5.8E-4</v>
          </cell>
          <cell r="O895">
            <v>3.7299999999999998E-3</v>
          </cell>
          <cell r="P895">
            <v>5.2999999999999998E-4</v>
          </cell>
          <cell r="Q895">
            <v>1.8000000000000001E-4</v>
          </cell>
          <cell r="R895">
            <v>1</v>
          </cell>
          <cell r="S895">
            <v>0</v>
          </cell>
        </row>
        <row r="896">
          <cell r="E896" t="str">
            <v>GP19</v>
          </cell>
          <cell r="F896">
            <v>0</v>
          </cell>
          <cell r="G896">
            <v>0</v>
          </cell>
          <cell r="H896">
            <v>0.10821</v>
          </cell>
          <cell r="I896">
            <v>0</v>
          </cell>
          <cell r="J896">
            <v>1.4499999999999999E-3</v>
          </cell>
          <cell r="K896">
            <v>1E-4</v>
          </cell>
          <cell r="L896">
            <v>4.9199999999999999E-3</v>
          </cell>
          <cell r="M896">
            <v>1.83E-3</v>
          </cell>
          <cell r="N896">
            <v>9.6000000000000002E-4</v>
          </cell>
          <cell r="O896">
            <v>7.6999999999999996E-4</v>
          </cell>
          <cell r="P896">
            <v>0</v>
          </cell>
          <cell r="Q896">
            <v>0</v>
          </cell>
          <cell r="R896">
            <v>0.11824000000000001</v>
          </cell>
          <cell r="S896">
            <v>-0.11824000000000001</v>
          </cell>
        </row>
        <row r="897">
          <cell r="E897" t="str">
            <v>DR19</v>
          </cell>
          <cell r="F897">
            <v>1</v>
          </cell>
          <cell r="G897">
            <v>0.89241999999999999</v>
          </cell>
          <cell r="H897">
            <v>7.5889999999999999E-2</v>
          </cell>
          <cell r="I897">
            <v>1.7000000000000001E-4</v>
          </cell>
          <cell r="J897">
            <v>1.0300000000000001E-3</v>
          </cell>
          <cell r="K897">
            <v>4.0000000000000003E-5</v>
          </cell>
          <cell r="L897">
            <v>1.485E-2</v>
          </cell>
          <cell r="M897">
            <v>1.0630000000000001E-2</v>
          </cell>
          <cell r="N897">
            <v>5.8E-4</v>
          </cell>
          <cell r="O897">
            <v>3.7200000000000002E-3</v>
          </cell>
          <cell r="P897">
            <v>5.0000000000000001E-4</v>
          </cell>
          <cell r="Q897">
            <v>1.7000000000000001E-4</v>
          </cell>
          <cell r="R897">
            <v>1</v>
          </cell>
          <cell r="S897">
            <v>0</v>
          </cell>
        </row>
        <row r="900">
          <cell r="E900" t="str">
            <v>P229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</row>
        <row r="901">
          <cell r="E901" t="str">
            <v>T229</v>
          </cell>
          <cell r="F901">
            <v>1</v>
          </cell>
          <cell r="G901">
            <v>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1</v>
          </cell>
          <cell r="S901">
            <v>0</v>
          </cell>
        </row>
        <row r="902">
          <cell r="E902" t="str">
            <v>PL49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E903" t="str">
            <v>D249</v>
          </cell>
          <cell r="F903">
            <v>0</v>
          </cell>
          <cell r="G903">
            <v>0</v>
          </cell>
          <cell r="H903">
            <v>0.10826</v>
          </cell>
          <cell r="I903">
            <v>0</v>
          </cell>
          <cell r="J903">
            <v>1.3600000000000001E-3</v>
          </cell>
          <cell r="K903">
            <v>1.2E-4</v>
          </cell>
          <cell r="L903">
            <v>5.0000000000000001E-3</v>
          </cell>
          <cell r="M903">
            <v>1.8500000000000001E-3</v>
          </cell>
          <cell r="N903">
            <v>9.3000000000000005E-4</v>
          </cell>
          <cell r="O903">
            <v>6.8000000000000005E-4</v>
          </cell>
          <cell r="P903">
            <v>0</v>
          </cell>
          <cell r="Q903">
            <v>0</v>
          </cell>
          <cell r="R903">
            <v>0.1182</v>
          </cell>
          <cell r="S903">
            <v>-0.1182</v>
          </cell>
        </row>
        <row r="904">
          <cell r="E904" t="str">
            <v>NT29</v>
          </cell>
          <cell r="F904">
            <v>1</v>
          </cell>
          <cell r="G904">
            <v>0.88180000000000003</v>
          </cell>
          <cell r="H904">
            <v>0.10826</v>
          </cell>
          <cell r="I904">
            <v>0</v>
          </cell>
          <cell r="J904">
            <v>1.3600000000000001E-3</v>
          </cell>
          <cell r="K904">
            <v>1.2E-4</v>
          </cell>
          <cell r="L904">
            <v>5.0000000000000001E-3</v>
          </cell>
          <cell r="M904">
            <v>1.8500000000000001E-3</v>
          </cell>
          <cell r="N904">
            <v>9.3000000000000005E-4</v>
          </cell>
          <cell r="O904">
            <v>6.8000000000000005E-4</v>
          </cell>
          <cell r="P904">
            <v>0</v>
          </cell>
          <cell r="Q904">
            <v>0</v>
          </cell>
          <cell r="R904">
            <v>1</v>
          </cell>
          <cell r="S904">
            <v>0</v>
          </cell>
        </row>
        <row r="905">
          <cell r="E905" t="str">
            <v>G229</v>
          </cell>
          <cell r="F905">
            <v>1</v>
          </cell>
          <cell r="G905">
            <v>0.90046999999999999</v>
          </cell>
          <cell r="H905">
            <v>5.1479999999999998E-2</v>
          </cell>
          <cell r="I905">
            <v>2.9E-4</v>
          </cell>
          <cell r="J905">
            <v>6.8999999999999997E-4</v>
          </cell>
          <cell r="K905">
            <v>0</v>
          </cell>
          <cell r="L905">
            <v>2.2270000000000002E-2</v>
          </cell>
          <cell r="M905">
            <v>1.7239999999999998E-2</v>
          </cell>
          <cell r="N905">
            <v>2.9E-4</v>
          </cell>
          <cell r="O905">
            <v>6.0099999999999997E-3</v>
          </cell>
          <cell r="P905">
            <v>9.7000000000000005E-4</v>
          </cell>
          <cell r="Q905">
            <v>2.9E-4</v>
          </cell>
          <cell r="R905">
            <v>1</v>
          </cell>
          <cell r="S905">
            <v>0</v>
          </cell>
        </row>
        <row r="906">
          <cell r="E906" t="str">
            <v>C229</v>
          </cell>
          <cell r="F906">
            <v>1</v>
          </cell>
          <cell r="G906">
            <v>0.90034000000000003</v>
          </cell>
          <cell r="H906">
            <v>5.1279999999999999E-2</v>
          </cell>
          <cell r="I906">
            <v>4.8000000000000001E-4</v>
          </cell>
          <cell r="J906">
            <v>7.2000000000000005E-4</v>
          </cell>
          <cell r="K906">
            <v>0</v>
          </cell>
          <cell r="L906">
            <v>2.215E-2</v>
          </cell>
          <cell r="M906">
            <v>1.7090000000000001E-2</v>
          </cell>
          <cell r="N906">
            <v>4.8000000000000001E-4</v>
          </cell>
          <cell r="O906">
            <v>6.0200000000000002E-3</v>
          </cell>
          <cell r="P906">
            <v>9.6000000000000002E-4</v>
          </cell>
          <cell r="Q906">
            <v>4.8000000000000001E-4</v>
          </cell>
          <cell r="R906">
            <v>1.0000000000000002</v>
          </cell>
          <cell r="S906">
            <v>0</v>
          </cell>
        </row>
        <row r="907">
          <cell r="E907" t="str">
            <v>NP29</v>
          </cell>
          <cell r="F907">
            <v>1</v>
          </cell>
          <cell r="G907">
            <v>0.89244999999999997</v>
          </cell>
          <cell r="H907">
            <v>7.578E-2</v>
          </cell>
          <cell r="I907">
            <v>1.9000000000000001E-4</v>
          </cell>
          <cell r="J907">
            <v>9.7999999999999997E-4</v>
          </cell>
          <cell r="K907">
            <v>5.0000000000000002E-5</v>
          </cell>
          <cell r="L907">
            <v>1.486E-2</v>
          </cell>
          <cell r="M907">
            <v>1.0630000000000001E-2</v>
          </cell>
          <cell r="N907">
            <v>5.8E-4</v>
          </cell>
          <cell r="O907">
            <v>3.7299999999999998E-3</v>
          </cell>
          <cell r="P907">
            <v>5.5999999999999995E-4</v>
          </cell>
          <cell r="Q907">
            <v>1.9000000000000001E-4</v>
          </cell>
          <cell r="R907">
            <v>1</v>
          </cell>
          <cell r="S907">
            <v>0</v>
          </cell>
        </row>
        <row r="910">
          <cell r="E910" t="str">
            <v>W669</v>
          </cell>
          <cell r="F910">
            <v>1</v>
          </cell>
          <cell r="G910">
            <v>0.90044999999999997</v>
          </cell>
          <cell r="H910">
            <v>5.1470000000000002E-2</v>
          </cell>
          <cell r="I910">
            <v>3.1E-4</v>
          </cell>
          <cell r="J910">
            <v>7.2000000000000005E-4</v>
          </cell>
          <cell r="K910">
            <v>0</v>
          </cell>
          <cell r="L910">
            <v>2.2290000000000001E-2</v>
          </cell>
          <cell r="M910">
            <v>1.7260000000000001E-2</v>
          </cell>
          <cell r="N910">
            <v>3.1E-4</v>
          </cell>
          <cell r="O910">
            <v>5.96E-3</v>
          </cell>
          <cell r="P910">
            <v>9.2000000000000003E-4</v>
          </cell>
          <cell r="Q910">
            <v>3.1E-4</v>
          </cell>
          <cell r="R910">
            <v>1.0000000000000002</v>
          </cell>
          <cell r="S910">
            <v>0</v>
          </cell>
        </row>
        <row r="911">
          <cell r="E911" t="str">
            <v>W689</v>
          </cell>
          <cell r="F911">
            <v>1</v>
          </cell>
          <cell r="G911">
            <v>0.9375</v>
          </cell>
          <cell r="H911">
            <v>6.25E-2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1</v>
          </cell>
          <cell r="S911">
            <v>0</v>
          </cell>
        </row>
        <row r="912">
          <cell r="E912" t="str">
            <v>W719</v>
          </cell>
          <cell r="F912">
            <v>1</v>
          </cell>
          <cell r="G912">
            <v>1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</row>
        <row r="913">
          <cell r="E913" t="str">
            <v>W749</v>
          </cell>
          <cell r="F913">
            <v>1</v>
          </cell>
          <cell r="G913">
            <v>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1</v>
          </cell>
          <cell r="S913">
            <v>0</v>
          </cell>
        </row>
        <row r="914">
          <cell r="E914" t="str">
            <v>WC79</v>
          </cell>
          <cell r="F914">
            <v>1</v>
          </cell>
          <cell r="G914">
            <v>0.90049999999999997</v>
          </cell>
          <cell r="H914">
            <v>5.1490000000000001E-2</v>
          </cell>
          <cell r="I914">
            <v>3.1E-4</v>
          </cell>
          <cell r="J914">
            <v>7.2000000000000005E-4</v>
          </cell>
          <cell r="K914">
            <v>0</v>
          </cell>
          <cell r="L914">
            <v>2.2259999999999999E-2</v>
          </cell>
          <cell r="M914">
            <v>1.7229999999999999E-2</v>
          </cell>
          <cell r="N914">
            <v>3.1E-4</v>
          </cell>
          <cell r="O914">
            <v>5.9500000000000004E-3</v>
          </cell>
          <cell r="P914">
            <v>9.2000000000000003E-4</v>
          </cell>
          <cell r="Q914">
            <v>3.1E-4</v>
          </cell>
          <cell r="R914">
            <v>1</v>
          </cell>
          <cell r="S914">
            <v>0</v>
          </cell>
        </row>
        <row r="917">
          <cell r="E917" t="str">
            <v>RB29</v>
          </cell>
          <cell r="F917">
            <v>1</v>
          </cell>
          <cell r="G917">
            <v>0.89312999999999998</v>
          </cell>
          <cell r="H917">
            <v>7.3830000000000007E-2</v>
          </cell>
          <cell r="I917">
            <v>2.0000000000000001E-4</v>
          </cell>
          <cell r="J917">
            <v>9.6000000000000002E-4</v>
          </cell>
          <cell r="K917">
            <v>6.0000000000000002E-5</v>
          </cell>
          <cell r="L917">
            <v>1.545E-2</v>
          </cell>
          <cell r="M917">
            <v>1.116E-2</v>
          </cell>
          <cell r="N917">
            <v>5.5000000000000003E-4</v>
          </cell>
          <cell r="O917">
            <v>3.8800000000000002E-3</v>
          </cell>
          <cell r="P917">
            <v>5.8E-4</v>
          </cell>
          <cell r="Q917">
            <v>2.0000000000000001E-4</v>
          </cell>
          <cell r="R917">
            <v>0.99999999999999989</v>
          </cell>
          <cell r="S917">
            <v>0</v>
          </cell>
        </row>
        <row r="918">
          <cell r="E918" t="str">
            <v>RB99</v>
          </cell>
          <cell r="F918">
            <v>1</v>
          </cell>
          <cell r="G918">
            <v>0.89473000000000003</v>
          </cell>
          <cell r="H918">
            <v>6.8909999999999999E-2</v>
          </cell>
          <cell r="I918">
            <v>2.3000000000000001E-4</v>
          </cell>
          <cell r="J918">
            <v>8.9999999999999998E-4</v>
          </cell>
          <cell r="K918">
            <v>5.0000000000000002E-5</v>
          </cell>
          <cell r="L918">
            <v>1.695E-2</v>
          </cell>
          <cell r="M918">
            <v>1.2500000000000001E-2</v>
          </cell>
          <cell r="N918">
            <v>5.0000000000000001E-4</v>
          </cell>
          <cell r="O918">
            <v>4.3400000000000001E-3</v>
          </cell>
          <cell r="P918">
            <v>6.6E-4</v>
          </cell>
          <cell r="Q918">
            <v>2.3000000000000001E-4</v>
          </cell>
          <cell r="R918">
            <v>0.99999999999999989</v>
          </cell>
          <cell r="S918">
            <v>0</v>
          </cell>
        </row>
        <row r="919">
          <cell r="E919" t="str">
            <v>CW29</v>
          </cell>
          <cell r="F919">
            <v>1</v>
          </cell>
          <cell r="G919">
            <v>1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</row>
        <row r="921">
          <cell r="R921" t="str">
            <v>FR-16(7)(v)-9</v>
          </cell>
        </row>
        <row r="922">
          <cell r="R922" t="str">
            <v>WITNESS RESPONSIBLE:</v>
          </cell>
        </row>
        <row r="923">
          <cell r="R923" t="str">
            <v>JAMES E. ZIOLKOWSKI</v>
          </cell>
        </row>
        <row r="924">
          <cell r="R924" t="str">
            <v>PAGE 18 OF 18</v>
          </cell>
        </row>
        <row r="927">
          <cell r="F927" t="str">
            <v>TOTAL</v>
          </cell>
          <cell r="H927" t="str">
            <v>DS</v>
          </cell>
          <cell r="I927" t="str">
            <v>GSFL</v>
          </cell>
          <cell r="J927" t="str">
            <v>EH</v>
          </cell>
          <cell r="K927" t="str">
            <v>SP</v>
          </cell>
          <cell r="L927" t="str">
            <v>DT SEC</v>
          </cell>
          <cell r="M927" t="str">
            <v>DT PRI</v>
          </cell>
          <cell r="N927" t="str">
            <v>DP</v>
          </cell>
          <cell r="O927" t="str">
            <v>TT</v>
          </cell>
          <cell r="Q927" t="str">
            <v>OTHER</v>
          </cell>
        </row>
        <row r="928">
          <cell r="F928" t="str">
            <v>TRANSMISSION</v>
          </cell>
          <cell r="G928" t="str">
            <v>RS</v>
          </cell>
          <cell r="H928" t="str">
            <v>SECONDARY</v>
          </cell>
          <cell r="I928" t="str">
            <v>SECONDARY</v>
          </cell>
          <cell r="J928" t="str">
            <v>SECONDARY</v>
          </cell>
          <cell r="K928" t="str">
            <v>SECONDARY</v>
          </cell>
          <cell r="L928" t="str">
            <v>SECONDARY</v>
          </cell>
          <cell r="M928" t="str">
            <v>PRIMARY</v>
          </cell>
          <cell r="N928" t="str">
            <v>PRIMARY</v>
          </cell>
          <cell r="O928" t="str">
            <v>TRANSMISSION</v>
          </cell>
          <cell r="P928" t="str">
            <v>LT</v>
          </cell>
          <cell r="Q928" t="str">
            <v>WATER</v>
          </cell>
          <cell r="R928" t="str">
            <v>TOTAL</v>
          </cell>
          <cell r="S928" t="str">
            <v>ALL</v>
          </cell>
        </row>
        <row r="929">
          <cell r="E929" t="str">
            <v>ALLO</v>
          </cell>
          <cell r="F929" t="str">
            <v>CUSTOMER</v>
          </cell>
          <cell r="G929" t="str">
            <v>RESIDENTIAL</v>
          </cell>
          <cell r="H929" t="str">
            <v>DISTRIBUTION</v>
          </cell>
          <cell r="I929" t="str">
            <v>DISTRIBUTION</v>
          </cell>
          <cell r="J929" t="str">
            <v>DISTRIBUTION</v>
          </cell>
          <cell r="K929" t="str">
            <v>DISTRIBUTION</v>
          </cell>
          <cell r="L929" t="str">
            <v>DISTRIBUTION</v>
          </cell>
          <cell r="M929" t="str">
            <v>DISTRIBUTION</v>
          </cell>
          <cell r="N929" t="str">
            <v>DISTRIBUTION</v>
          </cell>
          <cell r="O929" t="str">
            <v>TIME OF DAY</v>
          </cell>
          <cell r="P929" t="str">
            <v>LIGHTING</v>
          </cell>
          <cell r="Q929" t="str">
            <v>PUMPING</v>
          </cell>
          <cell r="R929" t="str">
            <v>AT ISSUE</v>
          </cell>
          <cell r="S929" t="str">
            <v>OTHER</v>
          </cell>
        </row>
        <row r="930">
          <cell r="E930">
            <v>1</v>
          </cell>
          <cell r="G930">
            <v>3</v>
          </cell>
          <cell r="H930">
            <v>4</v>
          </cell>
          <cell r="I930">
            <v>5</v>
          </cell>
          <cell r="J930">
            <v>6</v>
          </cell>
          <cell r="K930">
            <v>7</v>
          </cell>
          <cell r="L930">
            <v>8</v>
          </cell>
          <cell r="M930">
            <v>9</v>
          </cell>
          <cell r="N930">
            <v>10</v>
          </cell>
          <cell r="O930">
            <v>11</v>
          </cell>
          <cell r="P930">
            <v>12</v>
          </cell>
          <cell r="Q930">
            <v>13</v>
          </cell>
          <cell r="S930" t="str">
            <v xml:space="preserve"> </v>
          </cell>
        </row>
        <row r="932">
          <cell r="E932" t="str">
            <v>P349</v>
          </cell>
          <cell r="F932">
            <v>1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1</v>
          </cell>
        </row>
        <row r="933">
          <cell r="E933" t="str">
            <v>E349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1</v>
          </cell>
        </row>
        <row r="934">
          <cell r="E934" t="str">
            <v>P459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</v>
          </cell>
        </row>
        <row r="935">
          <cell r="E935" t="str">
            <v>T349</v>
          </cell>
          <cell r="F935">
            <v>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1</v>
          </cell>
        </row>
        <row r="936">
          <cell r="E936" t="str">
            <v>D349</v>
          </cell>
          <cell r="F936">
            <v>1</v>
          </cell>
          <cell r="G936">
            <v>0.88205999999999996</v>
          </cell>
          <cell r="H936">
            <v>0.1079</v>
          </cell>
          <cell r="I936">
            <v>0</v>
          </cell>
          <cell r="J936">
            <v>1.25E-3</v>
          </cell>
          <cell r="K936">
            <v>0</v>
          </cell>
          <cell r="L936">
            <v>5.0200000000000002E-3</v>
          </cell>
          <cell r="M936">
            <v>1.25E-3</v>
          </cell>
          <cell r="N936">
            <v>1.25E-3</v>
          </cell>
          <cell r="O936">
            <v>1.25E-3</v>
          </cell>
          <cell r="P936">
            <v>0</v>
          </cell>
          <cell r="Q936">
            <v>0</v>
          </cell>
          <cell r="R936">
            <v>0.99997999999999987</v>
          </cell>
          <cell r="S936">
            <v>2.0000000000131024E-5</v>
          </cell>
        </row>
        <row r="937">
          <cell r="E937" t="str">
            <v>C311</v>
          </cell>
          <cell r="F937">
            <v>1</v>
          </cell>
          <cell r="G937">
            <v>0.90049999999999997</v>
          </cell>
          <cell r="H937">
            <v>5.0720000000000001E-2</v>
          </cell>
          <cell r="I937">
            <v>3.5E-4</v>
          </cell>
          <cell r="J937">
            <v>6.8999999999999997E-4</v>
          </cell>
          <cell r="K937">
            <v>0</v>
          </cell>
          <cell r="L937">
            <v>2.248E-2</v>
          </cell>
          <cell r="M937">
            <v>1.7489999999999999E-2</v>
          </cell>
          <cell r="N937">
            <v>3.5E-4</v>
          </cell>
          <cell r="O937">
            <v>6.11E-3</v>
          </cell>
          <cell r="P937">
            <v>9.7000000000000005E-4</v>
          </cell>
          <cell r="Q937">
            <v>3.5E-4</v>
          </cell>
          <cell r="R937">
            <v>1.0000099999999998</v>
          </cell>
          <cell r="S937">
            <v>-9.9999999998434674E-6</v>
          </cell>
        </row>
        <row r="938">
          <cell r="E938" t="str">
            <v>C319</v>
          </cell>
          <cell r="F938">
            <v>1</v>
          </cell>
          <cell r="G938">
            <v>0.90025999999999995</v>
          </cell>
          <cell r="H938">
            <v>5.151E-2</v>
          </cell>
          <cell r="I938">
            <v>3.1E-4</v>
          </cell>
          <cell r="J938">
            <v>6.9999999999999999E-4</v>
          </cell>
          <cell r="K938">
            <v>0</v>
          </cell>
          <cell r="L938">
            <v>2.2280000000000001E-2</v>
          </cell>
          <cell r="M938">
            <v>1.7250000000000001E-2</v>
          </cell>
          <cell r="N938">
            <v>3.5E-4</v>
          </cell>
          <cell r="O938">
            <v>6.0099999999999997E-3</v>
          </cell>
          <cell r="P938">
            <v>9.7999999999999997E-4</v>
          </cell>
          <cell r="Q938">
            <v>3.5E-4</v>
          </cell>
          <cell r="R938">
            <v>0.99999999999999989</v>
          </cell>
          <cell r="S938">
            <v>0</v>
          </cell>
        </row>
        <row r="939">
          <cell r="E939" t="str">
            <v>C331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E940" t="str">
            <v>S319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1</v>
          </cell>
        </row>
        <row r="941">
          <cell r="E941" t="str">
            <v>OM39</v>
          </cell>
          <cell r="F941">
            <v>1</v>
          </cell>
          <cell r="G941">
            <v>0.89973000000000003</v>
          </cell>
          <cell r="H941">
            <v>5.3339999999999999E-2</v>
          </cell>
          <cell r="I941">
            <v>3.1E-4</v>
          </cell>
          <cell r="J941">
            <v>7.2999999999999996E-4</v>
          </cell>
          <cell r="K941">
            <v>0</v>
          </cell>
          <cell r="L941">
            <v>2.1690000000000001E-2</v>
          </cell>
          <cell r="M941">
            <v>1.6709999999999999E-2</v>
          </cell>
          <cell r="N941">
            <v>3.6999999999999999E-4</v>
          </cell>
          <cell r="O941">
            <v>5.8500000000000002E-3</v>
          </cell>
          <cell r="P941">
            <v>9.3000000000000005E-4</v>
          </cell>
          <cell r="Q941">
            <v>3.4000000000000002E-4</v>
          </cell>
          <cell r="R941">
            <v>1</v>
          </cell>
          <cell r="S941">
            <v>0</v>
          </cell>
        </row>
        <row r="944">
          <cell r="E944" t="str">
            <v>A300</v>
          </cell>
          <cell r="F944">
            <v>1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</row>
        <row r="945">
          <cell r="E945" t="str">
            <v>A302</v>
          </cell>
          <cell r="F945">
            <v>1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1</v>
          </cell>
        </row>
        <row r="946">
          <cell r="E946" t="str">
            <v>A304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1</v>
          </cell>
        </row>
        <row r="947">
          <cell r="E947" t="str">
            <v>A306</v>
          </cell>
          <cell r="F947">
            <v>1</v>
          </cell>
          <cell r="G947">
            <v>0.88578999999999997</v>
          </cell>
          <cell r="H947">
            <v>0.10914</v>
          </cell>
          <cell r="I947">
            <v>0</v>
          </cell>
          <cell r="J947">
            <v>0</v>
          </cell>
          <cell r="K947">
            <v>0</v>
          </cell>
          <cell r="L947">
            <v>5.0800000000000003E-3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1.0000100000000001</v>
          </cell>
          <cell r="S947">
            <v>-1.0000000000065512E-5</v>
          </cell>
        </row>
        <row r="948">
          <cell r="E948" t="str">
            <v>A308</v>
          </cell>
          <cell r="F948">
            <v>1</v>
          </cell>
          <cell r="G948">
            <v>0.90037</v>
          </cell>
          <cell r="H948">
            <v>5.1520000000000003E-2</v>
          </cell>
          <cell r="I948">
            <v>3.1E-4</v>
          </cell>
          <cell r="J948">
            <v>7.2000000000000005E-4</v>
          </cell>
          <cell r="K948">
            <v>0</v>
          </cell>
          <cell r="L948">
            <v>2.23E-2</v>
          </cell>
          <cell r="M948">
            <v>1.7239999999999998E-2</v>
          </cell>
          <cell r="N948">
            <v>3.1E-4</v>
          </cell>
          <cell r="O948">
            <v>5.9899999999999997E-3</v>
          </cell>
          <cell r="P948">
            <v>9.3000000000000005E-4</v>
          </cell>
          <cell r="Q948">
            <v>3.1E-4</v>
          </cell>
          <cell r="R948">
            <v>1.0000000000000002</v>
          </cell>
          <cell r="S948">
            <v>0</v>
          </cell>
        </row>
        <row r="949">
          <cell r="E949" t="str">
            <v>A310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1</v>
          </cell>
        </row>
        <row r="950">
          <cell r="E950" t="str">
            <v>A312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</v>
          </cell>
        </row>
        <row r="951">
          <cell r="E951" t="str">
            <v>A315</v>
          </cell>
          <cell r="F951">
            <v>1</v>
          </cell>
          <cell r="G951">
            <v>0.89980000000000004</v>
          </cell>
          <cell r="H951">
            <v>5.3769999999999998E-2</v>
          </cell>
          <cell r="I951">
            <v>2.9999999999999997E-4</v>
          </cell>
          <cell r="J951">
            <v>6.8999999999999997E-4</v>
          </cell>
          <cell r="K951">
            <v>0</v>
          </cell>
          <cell r="L951">
            <v>2.163E-2</v>
          </cell>
          <cell r="M951">
            <v>1.6570000000000001E-2</v>
          </cell>
          <cell r="N951">
            <v>2.9999999999999997E-4</v>
          </cell>
          <cell r="O951">
            <v>5.7499999999999999E-3</v>
          </cell>
          <cell r="P951">
            <v>8.8999999999999995E-4</v>
          </cell>
          <cell r="Q951">
            <v>2.9999999999999997E-4</v>
          </cell>
          <cell r="R951">
            <v>0.99999999999999989</v>
          </cell>
          <cell r="S951">
            <v>0</v>
          </cell>
        </row>
        <row r="952">
          <cell r="E952" t="str">
            <v>A357</v>
          </cell>
          <cell r="F952">
            <v>1</v>
          </cell>
          <cell r="G952">
            <v>0.89978000000000002</v>
          </cell>
          <cell r="H952">
            <v>5.373E-2</v>
          </cell>
          <cell r="I952">
            <v>3.3E-4</v>
          </cell>
          <cell r="J952">
            <v>7.6999999999999996E-4</v>
          </cell>
          <cell r="K952">
            <v>0</v>
          </cell>
          <cell r="L952">
            <v>2.1489999999999999E-2</v>
          </cell>
          <cell r="M952">
            <v>1.6559999999999998E-2</v>
          </cell>
          <cell r="N952">
            <v>3.3E-4</v>
          </cell>
          <cell r="O952">
            <v>5.8100000000000001E-3</v>
          </cell>
          <cell r="P952">
            <v>8.8000000000000003E-4</v>
          </cell>
          <cell r="Q952">
            <v>3.3E-4</v>
          </cell>
          <cell r="R952">
            <v>1.0000100000000003</v>
          </cell>
          <cell r="S952">
            <v>-1.0000000000287557E-5</v>
          </cell>
        </row>
        <row r="955">
          <cell r="E955" t="str">
            <v>P489</v>
          </cell>
          <cell r="F955">
            <v>1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1</v>
          </cell>
        </row>
        <row r="956">
          <cell r="E956" t="str">
            <v>T489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1</v>
          </cell>
        </row>
        <row r="957">
          <cell r="E957" t="str">
            <v>D489</v>
          </cell>
          <cell r="F957">
            <v>1</v>
          </cell>
          <cell r="G957">
            <v>0.88138000000000005</v>
          </cell>
          <cell r="H957">
            <v>0.10872999999999999</v>
          </cell>
          <cell r="I957">
            <v>0</v>
          </cell>
          <cell r="J957">
            <v>1.65E-3</v>
          </cell>
          <cell r="K957">
            <v>0</v>
          </cell>
          <cell r="L957">
            <v>4.9399999999999999E-3</v>
          </cell>
          <cell r="M957">
            <v>1.65E-3</v>
          </cell>
          <cell r="N957">
            <v>1.65E-3</v>
          </cell>
          <cell r="O957">
            <v>0</v>
          </cell>
          <cell r="P957">
            <v>0</v>
          </cell>
          <cell r="Q957">
            <v>0</v>
          </cell>
          <cell r="R957">
            <v>1.0000000000000002</v>
          </cell>
          <cell r="S957">
            <v>0</v>
          </cell>
        </row>
        <row r="958">
          <cell r="E958" t="str">
            <v>G489</v>
          </cell>
          <cell r="F958">
            <v>1</v>
          </cell>
          <cell r="G958">
            <v>0.89968999999999999</v>
          </cell>
          <cell r="H958">
            <v>5.1470000000000002E-2</v>
          </cell>
          <cell r="I958">
            <v>4.4000000000000002E-4</v>
          </cell>
          <cell r="J958">
            <v>8.8000000000000003E-4</v>
          </cell>
          <cell r="K958">
            <v>0</v>
          </cell>
          <cell r="L958">
            <v>2.2440000000000002E-2</v>
          </cell>
          <cell r="M958">
            <v>1.7160000000000002E-2</v>
          </cell>
          <cell r="N958">
            <v>4.4000000000000002E-4</v>
          </cell>
          <cell r="O958">
            <v>6.1599999999999997E-3</v>
          </cell>
          <cell r="P958">
            <v>8.8000000000000003E-4</v>
          </cell>
          <cell r="Q958">
            <v>4.4000000000000002E-4</v>
          </cell>
          <cell r="R958">
            <v>1</v>
          </cell>
          <cell r="S958">
            <v>0</v>
          </cell>
        </row>
        <row r="959">
          <cell r="E959" t="str">
            <v>C489</v>
          </cell>
          <cell r="F959">
            <v>1</v>
          </cell>
          <cell r="G959">
            <v>0.89583000000000002</v>
          </cell>
          <cell r="H959">
            <v>5.2080000000000001E-2</v>
          </cell>
          <cell r="I959">
            <v>0</v>
          </cell>
          <cell r="J959">
            <v>0</v>
          </cell>
          <cell r="K959">
            <v>0</v>
          </cell>
          <cell r="L959">
            <v>2.0830000000000001E-2</v>
          </cell>
          <cell r="M959">
            <v>2.0830000000000001E-2</v>
          </cell>
          <cell r="N959">
            <v>0</v>
          </cell>
          <cell r="O959">
            <v>1.042E-2</v>
          </cell>
          <cell r="P959">
            <v>0</v>
          </cell>
          <cell r="Q959">
            <v>0</v>
          </cell>
          <cell r="R959">
            <v>0.99999000000000005</v>
          </cell>
          <cell r="S959">
            <v>9.9999999999544897E-6</v>
          </cell>
        </row>
        <row r="960">
          <cell r="E960" t="str">
            <v>DE49</v>
          </cell>
          <cell r="F960">
            <v>1</v>
          </cell>
          <cell r="G960">
            <v>0.89583000000000002</v>
          </cell>
          <cell r="H960">
            <v>6.3170000000000004E-2</v>
          </cell>
          <cell r="I960">
            <v>3.4000000000000002E-4</v>
          </cell>
          <cell r="J960">
            <v>1.01E-3</v>
          </cell>
          <cell r="K960">
            <v>0</v>
          </cell>
          <cell r="L960">
            <v>1.882E-2</v>
          </cell>
          <cell r="M960">
            <v>1.4109999999999999E-2</v>
          </cell>
          <cell r="N960">
            <v>6.7000000000000002E-4</v>
          </cell>
          <cell r="O960">
            <v>5.0400000000000002E-3</v>
          </cell>
          <cell r="P960">
            <v>6.7000000000000002E-4</v>
          </cell>
          <cell r="Q960">
            <v>3.4000000000000002E-4</v>
          </cell>
          <cell r="R960">
            <v>0.99999999999999989</v>
          </cell>
          <cell r="S960">
            <v>0</v>
          </cell>
        </row>
        <row r="963">
          <cell r="E963" t="str">
            <v>L529</v>
          </cell>
          <cell r="F963">
            <v>1</v>
          </cell>
          <cell r="G963">
            <v>0.89524000000000004</v>
          </cell>
          <cell r="H963">
            <v>7.6189999999999994E-2</v>
          </cell>
          <cell r="I963">
            <v>0</v>
          </cell>
          <cell r="J963">
            <v>0</v>
          </cell>
          <cell r="K963">
            <v>0</v>
          </cell>
          <cell r="L963">
            <v>1.4290000000000001E-2</v>
          </cell>
          <cell r="M963">
            <v>9.5200000000000007E-3</v>
          </cell>
          <cell r="N963">
            <v>0</v>
          </cell>
          <cell r="O963">
            <v>4.7600000000000003E-3</v>
          </cell>
          <cell r="P963">
            <v>0</v>
          </cell>
          <cell r="Q963">
            <v>0</v>
          </cell>
          <cell r="R963">
            <v>1</v>
          </cell>
          <cell r="S963">
            <v>0</v>
          </cell>
        </row>
        <row r="964">
          <cell r="E964" t="str">
            <v>L589</v>
          </cell>
          <cell r="F964">
            <v>1</v>
          </cell>
          <cell r="G964">
            <v>0.89917999999999998</v>
          </cell>
          <cell r="H964">
            <v>5.3499999999999999E-2</v>
          </cell>
          <cell r="I964">
            <v>0</v>
          </cell>
          <cell r="J964">
            <v>0</v>
          </cell>
          <cell r="K964">
            <v>0</v>
          </cell>
          <cell r="L964">
            <v>2.2630000000000001E-2</v>
          </cell>
          <cell r="M964">
            <v>1.8519999999999998E-2</v>
          </cell>
          <cell r="N964">
            <v>0</v>
          </cell>
          <cell r="O964">
            <v>6.1700000000000001E-3</v>
          </cell>
          <cell r="P964">
            <v>0</v>
          </cell>
          <cell r="Q964">
            <v>0</v>
          </cell>
          <cell r="R964">
            <v>1</v>
          </cell>
          <cell r="S964">
            <v>0</v>
          </cell>
        </row>
        <row r="965">
          <cell r="E965" t="str">
            <v>L599</v>
          </cell>
          <cell r="F965">
            <v>1</v>
          </cell>
          <cell r="G965">
            <v>0.88329999999999997</v>
          </cell>
          <cell r="H965">
            <v>7.0660000000000001E-2</v>
          </cell>
          <cell r="I965">
            <v>0</v>
          </cell>
          <cell r="J965">
            <v>0</v>
          </cell>
          <cell r="K965">
            <v>0</v>
          </cell>
          <cell r="L965">
            <v>2.248E-2</v>
          </cell>
          <cell r="M965">
            <v>1.7129999999999999E-2</v>
          </cell>
          <cell r="N965">
            <v>0</v>
          </cell>
          <cell r="O965">
            <v>6.4200000000000004E-3</v>
          </cell>
          <cell r="P965">
            <v>0</v>
          </cell>
          <cell r="Q965">
            <v>0</v>
          </cell>
          <cell r="R965">
            <v>0.99998999999999993</v>
          </cell>
          <cell r="S965">
            <v>1.0000000000065512E-5</v>
          </cell>
        </row>
        <row r="966">
          <cell r="E966" t="str">
            <v>OP69</v>
          </cell>
          <cell r="F966">
            <v>1</v>
          </cell>
          <cell r="G966">
            <v>0.89905000000000002</v>
          </cell>
          <cell r="H966">
            <v>5.4489999999999997E-2</v>
          </cell>
          <cell r="I966">
            <v>2.9999999999999997E-4</v>
          </cell>
          <cell r="J966">
            <v>7.3999999999999999E-4</v>
          </cell>
          <cell r="K966">
            <v>0</v>
          </cell>
          <cell r="L966">
            <v>2.1489999999999999E-2</v>
          </cell>
          <cell r="M966">
            <v>1.653E-2</v>
          </cell>
          <cell r="N966">
            <v>3.8000000000000002E-4</v>
          </cell>
          <cell r="O966">
            <v>5.7999999999999996E-3</v>
          </cell>
          <cell r="P966">
            <v>8.8999999999999995E-4</v>
          </cell>
          <cell r="Q966">
            <v>3.3E-4</v>
          </cell>
          <cell r="R966">
            <v>1</v>
          </cell>
          <cell r="S966">
            <v>0</v>
          </cell>
        </row>
        <row r="969">
          <cell r="E969" t="str">
            <v>CS09</v>
          </cell>
          <cell r="F969">
            <v>1</v>
          </cell>
          <cell r="G969">
            <v>0.89867246499999998</v>
          </cell>
          <cell r="H969">
            <v>5.5802243000000001E-2</v>
          </cell>
          <cell r="I969">
            <v>2.9755100000000001E-4</v>
          </cell>
          <cell r="J969">
            <v>7.55322E-4</v>
          </cell>
          <cell r="K969">
            <v>0</v>
          </cell>
          <cell r="L969">
            <v>2.1080339E-2</v>
          </cell>
          <cell r="M969">
            <v>1.6182193000000001E-2</v>
          </cell>
          <cell r="N969">
            <v>3.89105E-4</v>
          </cell>
          <cell r="O969">
            <v>5.653468E-3</v>
          </cell>
          <cell r="P969">
            <v>8.4687599999999999E-4</v>
          </cell>
          <cell r="Q969">
            <v>3.20439E-4</v>
          </cell>
          <cell r="R969">
            <v>1.0000000009999999</v>
          </cell>
          <cell r="S969">
            <v>-9.9999986069576607E-10</v>
          </cell>
        </row>
      </sheetData>
      <sheetData sheetId="13">
        <row r="830">
          <cell r="F830">
            <v>648083</v>
          </cell>
          <cell r="G830">
            <v>648083</v>
          </cell>
          <cell r="H830">
            <v>0</v>
          </cell>
          <cell r="I830">
            <v>0</v>
          </cell>
        </row>
        <row r="831">
          <cell r="E831" t="str">
            <v>K201</v>
          </cell>
          <cell r="F831">
            <v>1</v>
          </cell>
          <cell r="G831">
            <v>1</v>
          </cell>
          <cell r="H831">
            <v>0</v>
          </cell>
          <cell r="I831">
            <v>0</v>
          </cell>
        </row>
        <row r="832">
          <cell r="F832">
            <v>648083</v>
          </cell>
          <cell r="G832">
            <v>648083</v>
          </cell>
          <cell r="H832">
            <v>0</v>
          </cell>
          <cell r="I832">
            <v>0</v>
          </cell>
        </row>
        <row r="833">
          <cell r="E833" t="str">
            <v>K202</v>
          </cell>
          <cell r="F833">
            <v>1</v>
          </cell>
          <cell r="G833">
            <v>1</v>
          </cell>
          <cell r="H833">
            <v>0</v>
          </cell>
          <cell r="I833">
            <v>0</v>
          </cell>
        </row>
        <row r="834">
          <cell r="F834">
            <v>1647331</v>
          </cell>
          <cell r="G834">
            <v>1647331</v>
          </cell>
          <cell r="H834">
            <v>0</v>
          </cell>
          <cell r="I834">
            <v>0</v>
          </cell>
        </row>
        <row r="835">
          <cell r="E835" t="str">
            <v>K203</v>
          </cell>
          <cell r="F835">
            <v>1</v>
          </cell>
          <cell r="G835">
            <v>1</v>
          </cell>
          <cell r="H835">
            <v>0</v>
          </cell>
          <cell r="I835">
            <v>0</v>
          </cell>
        </row>
        <row r="836">
          <cell r="F836">
            <v>708591</v>
          </cell>
          <cell r="G836">
            <v>708591</v>
          </cell>
          <cell r="H836">
            <v>0</v>
          </cell>
          <cell r="I836">
            <v>0</v>
          </cell>
        </row>
        <row r="837">
          <cell r="E837" t="str">
            <v>K205</v>
          </cell>
          <cell r="F837">
            <v>1</v>
          </cell>
          <cell r="G837">
            <v>1</v>
          </cell>
          <cell r="H837">
            <v>0</v>
          </cell>
          <cell r="I837">
            <v>0</v>
          </cell>
        </row>
        <row r="838">
          <cell r="F838">
            <v>708591</v>
          </cell>
          <cell r="G838">
            <v>708591</v>
          </cell>
          <cell r="H838">
            <v>0</v>
          </cell>
          <cell r="I838">
            <v>0</v>
          </cell>
        </row>
        <row r="839">
          <cell r="E839" t="str">
            <v>K206</v>
          </cell>
          <cell r="F839">
            <v>1</v>
          </cell>
          <cell r="G839">
            <v>1</v>
          </cell>
          <cell r="H839">
            <v>0</v>
          </cell>
          <cell r="I839">
            <v>0</v>
          </cell>
        </row>
        <row r="840">
          <cell r="F840">
            <v>799113157</v>
          </cell>
          <cell r="G840">
            <v>639522265</v>
          </cell>
          <cell r="H840">
            <v>0</v>
          </cell>
          <cell r="I840">
            <v>159590892</v>
          </cell>
        </row>
        <row r="841">
          <cell r="E841" t="str">
            <v>K209</v>
          </cell>
          <cell r="F841">
            <v>1</v>
          </cell>
          <cell r="G841">
            <v>0.80028999999999995</v>
          </cell>
          <cell r="H841">
            <v>0</v>
          </cell>
          <cell r="I841">
            <v>0.19971</v>
          </cell>
        </row>
        <row r="842">
          <cell r="F842">
            <v>708591</v>
          </cell>
          <cell r="G842">
            <v>708591</v>
          </cell>
          <cell r="H842">
            <v>0</v>
          </cell>
          <cell r="I842">
            <v>0</v>
          </cell>
        </row>
        <row r="843">
          <cell r="E843" t="str">
            <v>K215</v>
          </cell>
          <cell r="F843">
            <v>1</v>
          </cell>
          <cell r="G843">
            <v>1</v>
          </cell>
          <cell r="H843">
            <v>0</v>
          </cell>
          <cell r="I843">
            <v>0</v>
          </cell>
        </row>
        <row r="844">
          <cell r="F844">
            <v>165672</v>
          </cell>
          <cell r="G844">
            <v>0</v>
          </cell>
          <cell r="H844">
            <v>0</v>
          </cell>
          <cell r="I844">
            <v>165672</v>
          </cell>
        </row>
        <row r="845">
          <cell r="E845" t="str">
            <v>K217</v>
          </cell>
          <cell r="F845">
            <v>1</v>
          </cell>
          <cell r="G845">
            <v>0</v>
          </cell>
          <cell r="H845">
            <v>0</v>
          </cell>
          <cell r="I845">
            <v>1</v>
          </cell>
        </row>
        <row r="846">
          <cell r="F846">
            <v>4101134214.1489997</v>
          </cell>
          <cell r="G846">
            <v>0</v>
          </cell>
          <cell r="H846">
            <v>4101134214.1489997</v>
          </cell>
          <cell r="I846">
            <v>0</v>
          </cell>
        </row>
        <row r="847">
          <cell r="E847" t="str">
            <v>K301</v>
          </cell>
          <cell r="F847">
            <v>1</v>
          </cell>
          <cell r="G847">
            <v>0</v>
          </cell>
          <cell r="H847">
            <v>1</v>
          </cell>
          <cell r="I847">
            <v>0</v>
          </cell>
        </row>
        <row r="848">
          <cell r="F848">
            <v>4101134214.1489997</v>
          </cell>
          <cell r="G848">
            <v>0</v>
          </cell>
          <cell r="H848">
            <v>4101134214.1489997</v>
          </cell>
          <cell r="I848">
            <v>0</v>
          </cell>
        </row>
        <row r="849">
          <cell r="E849" t="str">
            <v>K303</v>
          </cell>
          <cell r="F849">
            <v>1</v>
          </cell>
          <cell r="G849">
            <v>0</v>
          </cell>
          <cell r="H849">
            <v>1</v>
          </cell>
          <cell r="I849">
            <v>0</v>
          </cell>
        </row>
        <row r="850">
          <cell r="F850">
            <v>4082162442.6229997</v>
          </cell>
          <cell r="G850">
            <v>0</v>
          </cell>
          <cell r="H850">
            <v>4082162442.6229997</v>
          </cell>
          <cell r="I850">
            <v>0</v>
          </cell>
        </row>
        <row r="851">
          <cell r="E851" t="str">
            <v>K305</v>
          </cell>
          <cell r="F851">
            <v>1</v>
          </cell>
          <cell r="G851">
            <v>0</v>
          </cell>
          <cell r="H851">
            <v>1</v>
          </cell>
          <cell r="I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1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1</v>
          </cell>
        </row>
        <row r="856">
          <cell r="F856">
            <v>152867</v>
          </cell>
          <cell r="G856">
            <v>0</v>
          </cell>
          <cell r="H856">
            <v>0</v>
          </cell>
          <cell r="I856">
            <v>152867</v>
          </cell>
        </row>
        <row r="857">
          <cell r="E857" t="str">
            <v>K405</v>
          </cell>
          <cell r="F857">
            <v>1</v>
          </cell>
          <cell r="G857">
            <v>0</v>
          </cell>
          <cell r="H857">
            <v>0</v>
          </cell>
          <cell r="I857">
            <v>1</v>
          </cell>
        </row>
        <row r="858">
          <cell r="F858">
            <v>152853</v>
          </cell>
          <cell r="G858">
            <v>0</v>
          </cell>
          <cell r="H858">
            <v>0</v>
          </cell>
          <cell r="I858">
            <v>152853</v>
          </cell>
        </row>
        <row r="859">
          <cell r="E859" t="str">
            <v>K406</v>
          </cell>
          <cell r="F859">
            <v>1</v>
          </cell>
          <cell r="G859">
            <v>0</v>
          </cell>
          <cell r="H859">
            <v>0</v>
          </cell>
          <cell r="I859">
            <v>1</v>
          </cell>
        </row>
        <row r="860">
          <cell r="F860">
            <v>22486890.793596428</v>
          </cell>
          <cell r="G860">
            <v>0</v>
          </cell>
          <cell r="H860">
            <v>0</v>
          </cell>
          <cell r="I860">
            <v>22486890.793596428</v>
          </cell>
        </row>
        <row r="861">
          <cell r="E861" t="str">
            <v>K407</v>
          </cell>
          <cell r="F861">
            <v>1</v>
          </cell>
          <cell r="G861">
            <v>0</v>
          </cell>
          <cell r="H861">
            <v>0</v>
          </cell>
          <cell r="I861">
            <v>1</v>
          </cell>
        </row>
        <row r="862">
          <cell r="F862">
            <v>154110</v>
          </cell>
          <cell r="G862">
            <v>0</v>
          </cell>
          <cell r="H862">
            <v>0</v>
          </cell>
          <cell r="I862">
            <v>154110</v>
          </cell>
        </row>
        <row r="863">
          <cell r="E863" t="str">
            <v>K409</v>
          </cell>
          <cell r="F863">
            <v>1</v>
          </cell>
          <cell r="G863">
            <v>0</v>
          </cell>
          <cell r="H863">
            <v>0</v>
          </cell>
          <cell r="I863">
            <v>1</v>
          </cell>
        </row>
        <row r="864">
          <cell r="F864">
            <v>2137114.169997225</v>
          </cell>
          <cell r="G864">
            <v>0</v>
          </cell>
          <cell r="H864">
            <v>0</v>
          </cell>
          <cell r="I864">
            <v>2137114.169997225</v>
          </cell>
        </row>
        <row r="865">
          <cell r="E865" t="str">
            <v>K411</v>
          </cell>
          <cell r="F865">
            <v>1</v>
          </cell>
          <cell r="G865">
            <v>0</v>
          </cell>
          <cell r="H865">
            <v>0</v>
          </cell>
          <cell r="I865">
            <v>1</v>
          </cell>
        </row>
        <row r="866">
          <cell r="F866">
            <v>4087989911.1489997</v>
          </cell>
          <cell r="G866">
            <v>0</v>
          </cell>
          <cell r="H866">
            <v>4087989911.1489997</v>
          </cell>
          <cell r="I866">
            <v>0</v>
          </cell>
        </row>
        <row r="867">
          <cell r="E867" t="str">
            <v>K302</v>
          </cell>
          <cell r="F867">
            <v>1</v>
          </cell>
          <cell r="G867">
            <v>0</v>
          </cell>
          <cell r="H867">
            <v>1</v>
          </cell>
          <cell r="I867">
            <v>0</v>
          </cell>
        </row>
        <row r="869">
          <cell r="E869" t="str">
            <v>R600</v>
          </cell>
          <cell r="F869">
            <v>97638939</v>
          </cell>
          <cell r="G869">
            <v>66791806</v>
          </cell>
          <cell r="H869">
            <v>0</v>
          </cell>
          <cell r="I869">
            <v>30847133</v>
          </cell>
        </row>
        <row r="870">
          <cell r="E870" t="str">
            <v>R602</v>
          </cell>
          <cell r="F870">
            <v>131598049</v>
          </cell>
          <cell r="G870">
            <v>56967479</v>
          </cell>
          <cell r="H870">
            <v>0</v>
          </cell>
          <cell r="I870">
            <v>74630570</v>
          </cell>
        </row>
        <row r="879">
          <cell r="F879" t="str">
            <v>TOTAL</v>
          </cell>
          <cell r="G879" t="str">
            <v>CLASSIFIED</v>
          </cell>
        </row>
        <row r="880">
          <cell r="E880" t="str">
            <v>ALLO</v>
          </cell>
          <cell r="F880" t="str">
            <v>DISTRIBUTION</v>
          </cell>
          <cell r="G880" t="str">
            <v>DEMAND</v>
          </cell>
          <cell r="H880" t="str">
            <v>ENERGY</v>
          </cell>
          <cell r="I880" t="str">
            <v>CUSTOMER</v>
          </cell>
        </row>
        <row r="881">
          <cell r="E881">
            <v>1</v>
          </cell>
          <cell r="F881">
            <v>2</v>
          </cell>
          <cell r="G881">
            <v>3</v>
          </cell>
          <cell r="H881">
            <v>4</v>
          </cell>
          <cell r="I881">
            <v>5</v>
          </cell>
        </row>
        <row r="883">
          <cell r="F883">
            <v>97638939</v>
          </cell>
          <cell r="G883">
            <v>66791806</v>
          </cell>
          <cell r="H883">
            <v>0</v>
          </cell>
          <cell r="I883">
            <v>30847133</v>
          </cell>
        </row>
        <row r="884">
          <cell r="E884" t="str">
            <v>K901</v>
          </cell>
          <cell r="F884">
            <v>1</v>
          </cell>
          <cell r="G884">
            <v>0.68406999999999996</v>
          </cell>
          <cell r="H884">
            <v>0</v>
          </cell>
          <cell r="I884">
            <v>0.31593000000000004</v>
          </cell>
        </row>
        <row r="885">
          <cell r="F885">
            <v>131598049</v>
          </cell>
          <cell r="G885">
            <v>56967479</v>
          </cell>
          <cell r="H885">
            <v>0</v>
          </cell>
          <cell r="I885">
            <v>74630570</v>
          </cell>
        </row>
        <row r="886">
          <cell r="E886" t="str">
            <v>K902</v>
          </cell>
          <cell r="F886">
            <v>1</v>
          </cell>
          <cell r="G886">
            <v>0.43289</v>
          </cell>
          <cell r="H886">
            <v>0</v>
          </cell>
          <cell r="I886">
            <v>0.56711</v>
          </cell>
        </row>
        <row r="890">
          <cell r="E890" t="str">
            <v>P129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</row>
        <row r="891">
          <cell r="E891" t="str">
            <v>T129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</row>
        <row r="892">
          <cell r="E892" t="str">
            <v>PT29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</row>
        <row r="893">
          <cell r="E893" t="str">
            <v>D149</v>
          </cell>
          <cell r="F893">
            <v>1</v>
          </cell>
          <cell r="G893">
            <v>0.80028999999999995</v>
          </cell>
          <cell r="H893">
            <v>0</v>
          </cell>
          <cell r="I893">
            <v>0.19971</v>
          </cell>
        </row>
        <row r="894">
          <cell r="E894" t="str">
            <v>TD29</v>
          </cell>
          <cell r="F894">
            <v>1</v>
          </cell>
          <cell r="G894">
            <v>0.80028999999999995</v>
          </cell>
          <cell r="H894">
            <v>0</v>
          </cell>
          <cell r="I894">
            <v>0.19971</v>
          </cell>
        </row>
        <row r="895">
          <cell r="E895" t="str">
            <v>PD29</v>
          </cell>
          <cell r="F895">
            <v>1</v>
          </cell>
          <cell r="G895">
            <v>0</v>
          </cell>
          <cell r="H895">
            <v>0</v>
          </cell>
          <cell r="I895">
            <v>1</v>
          </cell>
        </row>
        <row r="896">
          <cell r="E896" t="str">
            <v>G129</v>
          </cell>
          <cell r="F896">
            <v>1</v>
          </cell>
          <cell r="G896">
            <v>0</v>
          </cell>
          <cell r="H896">
            <v>0</v>
          </cell>
          <cell r="I896">
            <v>1</v>
          </cell>
        </row>
        <row r="897">
          <cell r="E897" t="str">
            <v>C129</v>
          </cell>
          <cell r="F897">
            <v>1</v>
          </cell>
          <cell r="G897">
            <v>0.77841000000000005</v>
          </cell>
          <cell r="H897">
            <v>0</v>
          </cell>
          <cell r="I897">
            <v>0.22159000000000001</v>
          </cell>
        </row>
        <row r="898">
          <cell r="E898" t="str">
            <v>GP19</v>
          </cell>
          <cell r="F898">
            <v>1</v>
          </cell>
          <cell r="G898">
            <v>0.69191000000000003</v>
          </cell>
          <cell r="H898">
            <v>0</v>
          </cell>
          <cell r="I898">
            <v>0.30808999999999997</v>
          </cell>
        </row>
        <row r="899">
          <cell r="E899" t="str">
            <v>DR19</v>
          </cell>
          <cell r="F899">
            <v>1</v>
          </cell>
          <cell r="G899">
            <v>0.65986</v>
          </cell>
          <cell r="H899">
            <v>0</v>
          </cell>
          <cell r="I899">
            <v>0.34014</v>
          </cell>
        </row>
        <row r="902">
          <cell r="E902" t="str">
            <v>P229</v>
          </cell>
          <cell r="F902">
            <v>1</v>
          </cell>
          <cell r="G902">
            <v>0</v>
          </cell>
          <cell r="H902">
            <v>0</v>
          </cell>
          <cell r="I902">
            <v>0</v>
          </cell>
        </row>
        <row r="903">
          <cell r="E903" t="str">
            <v>T229</v>
          </cell>
          <cell r="F903">
            <v>1</v>
          </cell>
          <cell r="G903">
            <v>0</v>
          </cell>
          <cell r="H903">
            <v>0</v>
          </cell>
          <cell r="I903">
            <v>0</v>
          </cell>
        </row>
        <row r="904">
          <cell r="E904" t="str">
            <v>PL49</v>
          </cell>
          <cell r="F904">
            <v>1</v>
          </cell>
          <cell r="G904">
            <v>0.71875</v>
          </cell>
          <cell r="H904">
            <v>0</v>
          </cell>
          <cell r="I904">
            <v>0.28125</v>
          </cell>
        </row>
        <row r="905">
          <cell r="E905" t="str">
            <v>D249</v>
          </cell>
          <cell r="F905">
            <v>1</v>
          </cell>
          <cell r="G905">
            <v>0.83177000000000001</v>
          </cell>
          <cell r="H905">
            <v>0</v>
          </cell>
          <cell r="I905">
            <v>0.16822999999999999</v>
          </cell>
        </row>
        <row r="906">
          <cell r="E906" t="str">
            <v>NT29</v>
          </cell>
          <cell r="F906">
            <v>1</v>
          </cell>
          <cell r="G906">
            <v>0.83177000000000001</v>
          </cell>
          <cell r="H906">
            <v>0</v>
          </cell>
          <cell r="I906">
            <v>0.16822999999999999</v>
          </cell>
        </row>
        <row r="907">
          <cell r="E907" t="str">
            <v>G229</v>
          </cell>
          <cell r="F907">
            <v>1</v>
          </cell>
          <cell r="G907">
            <v>-8.8000000000000003E-4</v>
          </cell>
          <cell r="H907">
            <v>0</v>
          </cell>
          <cell r="I907">
            <v>1.00088</v>
          </cell>
        </row>
        <row r="908">
          <cell r="E908" t="str">
            <v>C229</v>
          </cell>
          <cell r="F908">
            <v>1</v>
          </cell>
          <cell r="G908">
            <v>-1.145E-2</v>
          </cell>
          <cell r="H908">
            <v>0</v>
          </cell>
          <cell r="I908">
            <v>1.01145</v>
          </cell>
        </row>
        <row r="909">
          <cell r="E909" t="str">
            <v>NP29</v>
          </cell>
          <cell r="F909">
            <v>1</v>
          </cell>
          <cell r="G909">
            <v>0.81677999999999995</v>
          </cell>
          <cell r="H909">
            <v>0</v>
          </cell>
          <cell r="I909">
            <v>0.18321999999999999</v>
          </cell>
        </row>
        <row r="912">
          <cell r="E912" t="str">
            <v>W669</v>
          </cell>
          <cell r="F912">
            <v>1</v>
          </cell>
          <cell r="G912">
            <v>0</v>
          </cell>
          <cell r="H912">
            <v>0</v>
          </cell>
          <cell r="I912">
            <v>1</v>
          </cell>
        </row>
        <row r="913">
          <cell r="E913" t="str">
            <v>W689</v>
          </cell>
          <cell r="F913">
            <v>1</v>
          </cell>
          <cell r="G913">
            <v>0.81677999999999995</v>
          </cell>
          <cell r="H913">
            <v>0</v>
          </cell>
          <cell r="I913">
            <v>0.18321999999999999</v>
          </cell>
        </row>
        <row r="914">
          <cell r="E914" t="str">
            <v>W719</v>
          </cell>
          <cell r="F914">
            <v>1</v>
          </cell>
          <cell r="G914">
            <v>0</v>
          </cell>
          <cell r="H914">
            <v>0</v>
          </cell>
          <cell r="I914">
            <v>0</v>
          </cell>
        </row>
        <row r="915">
          <cell r="E915" t="str">
            <v>W749</v>
          </cell>
          <cell r="F915">
            <v>1</v>
          </cell>
          <cell r="G915">
            <v>0</v>
          </cell>
          <cell r="H915">
            <v>0</v>
          </cell>
          <cell r="I915">
            <v>0</v>
          </cell>
        </row>
        <row r="916">
          <cell r="E916" t="str">
            <v>WC79</v>
          </cell>
          <cell r="F916">
            <v>1</v>
          </cell>
          <cell r="G916">
            <v>2.937E-2</v>
          </cell>
          <cell r="H916">
            <v>0</v>
          </cell>
          <cell r="I916">
            <v>0.97062999999999999</v>
          </cell>
        </row>
        <row r="919">
          <cell r="E919" t="str">
            <v>RB29</v>
          </cell>
          <cell r="F919">
            <v>1</v>
          </cell>
          <cell r="G919">
            <v>0.81428999999999996</v>
          </cell>
          <cell r="H919">
            <v>0</v>
          </cell>
          <cell r="I919">
            <v>0.18570999999999999</v>
          </cell>
        </row>
        <row r="920">
          <cell r="E920" t="str">
            <v>RB99</v>
          </cell>
          <cell r="F920">
            <v>1</v>
          </cell>
          <cell r="G920">
            <v>0.80361000000000005</v>
          </cell>
          <cell r="H920">
            <v>0</v>
          </cell>
          <cell r="I920">
            <v>0.19639000000000001</v>
          </cell>
        </row>
        <row r="921">
          <cell r="E921" t="str">
            <v>CW29</v>
          </cell>
          <cell r="F921">
            <v>1</v>
          </cell>
          <cell r="G921">
            <v>0</v>
          </cell>
          <cell r="H921">
            <v>0</v>
          </cell>
          <cell r="I921">
            <v>0</v>
          </cell>
        </row>
        <row r="930">
          <cell r="F930" t="str">
            <v>TOTAL</v>
          </cell>
          <cell r="G930" t="str">
            <v>CLASSIFIED</v>
          </cell>
        </row>
        <row r="931">
          <cell r="E931" t="str">
            <v>ALLO</v>
          </cell>
          <cell r="F931" t="str">
            <v>DISTRIBUTION</v>
          </cell>
          <cell r="G931" t="str">
            <v>DEMAND</v>
          </cell>
          <cell r="H931" t="str">
            <v>ENERGY</v>
          </cell>
          <cell r="I931" t="str">
            <v>CUSTOMER</v>
          </cell>
        </row>
        <row r="932">
          <cell r="E932">
            <v>1</v>
          </cell>
          <cell r="F932">
            <v>2</v>
          </cell>
          <cell r="G932">
            <v>3</v>
          </cell>
          <cell r="H932">
            <v>4</v>
          </cell>
          <cell r="I932">
            <v>5</v>
          </cell>
        </row>
        <row r="934">
          <cell r="E934" t="str">
            <v>P349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</row>
        <row r="935">
          <cell r="E935" t="str">
            <v>E349</v>
          </cell>
          <cell r="F935">
            <v>1</v>
          </cell>
          <cell r="G935">
            <v>0</v>
          </cell>
          <cell r="H935">
            <v>0</v>
          </cell>
          <cell r="I935">
            <v>0</v>
          </cell>
        </row>
        <row r="936">
          <cell r="E936" t="str">
            <v>P459</v>
          </cell>
          <cell r="F936">
            <v>1</v>
          </cell>
          <cell r="G936">
            <v>0</v>
          </cell>
          <cell r="H936">
            <v>0</v>
          </cell>
          <cell r="I936">
            <v>0</v>
          </cell>
        </row>
        <row r="937">
          <cell r="E937" t="str">
            <v>T349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</row>
        <row r="938">
          <cell r="E938" t="str">
            <v>D349</v>
          </cell>
          <cell r="F938">
            <v>1</v>
          </cell>
          <cell r="G938">
            <v>0.77812999999999999</v>
          </cell>
          <cell r="H938">
            <v>0</v>
          </cell>
          <cell r="I938">
            <v>0.22187000000000001</v>
          </cell>
        </row>
        <row r="939">
          <cell r="E939" t="str">
            <v>C311</v>
          </cell>
          <cell r="F939">
            <v>1</v>
          </cell>
          <cell r="G939">
            <v>0</v>
          </cell>
          <cell r="H939">
            <v>0</v>
          </cell>
          <cell r="I939">
            <v>1</v>
          </cell>
        </row>
        <row r="940">
          <cell r="E940" t="str">
            <v>C319</v>
          </cell>
          <cell r="F940">
            <v>1</v>
          </cell>
          <cell r="G940">
            <v>0</v>
          </cell>
          <cell r="H940">
            <v>0</v>
          </cell>
          <cell r="I940">
            <v>1</v>
          </cell>
        </row>
        <row r="941">
          <cell r="E941" t="str">
            <v>C331</v>
          </cell>
          <cell r="F941">
            <v>1</v>
          </cell>
          <cell r="G941">
            <v>0</v>
          </cell>
          <cell r="H941">
            <v>0</v>
          </cell>
          <cell r="I941">
            <v>1</v>
          </cell>
        </row>
        <row r="942">
          <cell r="E942" t="str">
            <v>S319</v>
          </cell>
          <cell r="F942">
            <v>1</v>
          </cell>
          <cell r="G942">
            <v>0</v>
          </cell>
          <cell r="H942">
            <v>0</v>
          </cell>
          <cell r="I942">
            <v>1</v>
          </cell>
        </row>
        <row r="943">
          <cell r="E943" t="str">
            <v>OM39</v>
          </cell>
          <cell r="F943">
            <v>1</v>
          </cell>
          <cell r="G943">
            <v>0.43813000000000002</v>
          </cell>
          <cell r="H943">
            <v>0</v>
          </cell>
          <cell r="I943">
            <v>0.56186999999999998</v>
          </cell>
        </row>
        <row r="946">
          <cell r="E946" t="str">
            <v>A300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</row>
        <row r="947">
          <cell r="E947" t="str">
            <v>A302</v>
          </cell>
          <cell r="F947">
            <v>1</v>
          </cell>
          <cell r="G947">
            <v>0</v>
          </cell>
          <cell r="H947">
            <v>0</v>
          </cell>
          <cell r="I947">
            <v>0</v>
          </cell>
        </row>
        <row r="948">
          <cell r="E948" t="str">
            <v>A304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</row>
        <row r="949">
          <cell r="E949" t="str">
            <v>A306</v>
          </cell>
          <cell r="F949">
            <v>1</v>
          </cell>
          <cell r="G949">
            <v>0.77812999999999999</v>
          </cell>
          <cell r="H949">
            <v>0</v>
          </cell>
          <cell r="I949">
            <v>0.22187000000000001</v>
          </cell>
        </row>
        <row r="950">
          <cell r="E950" t="str">
            <v>A308</v>
          </cell>
          <cell r="F950">
            <v>1</v>
          </cell>
          <cell r="G950">
            <v>0</v>
          </cell>
          <cell r="H950">
            <v>0</v>
          </cell>
          <cell r="I950">
            <v>1</v>
          </cell>
        </row>
        <row r="951">
          <cell r="E951" t="str">
            <v>A310</v>
          </cell>
          <cell r="F951">
            <v>1</v>
          </cell>
          <cell r="G951">
            <v>0</v>
          </cell>
          <cell r="H951">
            <v>0</v>
          </cell>
          <cell r="I951">
            <v>1</v>
          </cell>
        </row>
        <row r="952">
          <cell r="E952" t="str">
            <v>A312</v>
          </cell>
          <cell r="F952">
            <v>1</v>
          </cell>
          <cell r="G952">
            <v>0</v>
          </cell>
          <cell r="H952">
            <v>0</v>
          </cell>
          <cell r="I952">
            <v>0</v>
          </cell>
        </row>
        <row r="953">
          <cell r="E953" t="str">
            <v>A315</v>
          </cell>
          <cell r="F953">
            <v>1</v>
          </cell>
          <cell r="G953">
            <v>0.43289</v>
          </cell>
          <cell r="H953">
            <v>0</v>
          </cell>
          <cell r="I953">
            <v>0.56711</v>
          </cell>
        </row>
        <row r="954">
          <cell r="E954" t="str">
            <v>A357</v>
          </cell>
          <cell r="F954">
            <v>1</v>
          </cell>
          <cell r="G954">
            <v>0.43289</v>
          </cell>
          <cell r="H954">
            <v>0</v>
          </cell>
          <cell r="I954">
            <v>0.56711</v>
          </cell>
        </row>
        <row r="957">
          <cell r="E957" t="str">
            <v>P489</v>
          </cell>
          <cell r="F957">
            <v>1</v>
          </cell>
          <cell r="G957">
            <v>0</v>
          </cell>
          <cell r="H957">
            <v>0</v>
          </cell>
          <cell r="I957">
            <v>0</v>
          </cell>
        </row>
        <row r="958">
          <cell r="E958" t="str">
            <v>T489</v>
          </cell>
          <cell r="F958">
            <v>1</v>
          </cell>
          <cell r="G958">
            <v>0</v>
          </cell>
          <cell r="H958">
            <v>0</v>
          </cell>
          <cell r="I958">
            <v>0</v>
          </cell>
        </row>
        <row r="959">
          <cell r="E959" t="str">
            <v>D489</v>
          </cell>
          <cell r="F959">
            <v>1</v>
          </cell>
          <cell r="G959">
            <v>0.83177000000000001</v>
          </cell>
          <cell r="H959">
            <v>0</v>
          </cell>
          <cell r="I959">
            <v>0.16822999999999999</v>
          </cell>
        </row>
        <row r="960">
          <cell r="E960" t="str">
            <v>G489</v>
          </cell>
          <cell r="F960">
            <v>1</v>
          </cell>
          <cell r="G960">
            <v>-8.8000000000000003E-4</v>
          </cell>
          <cell r="H960">
            <v>0</v>
          </cell>
          <cell r="I960">
            <v>1.00088</v>
          </cell>
        </row>
        <row r="961">
          <cell r="E961" t="str">
            <v>C489</v>
          </cell>
          <cell r="F961">
            <v>1</v>
          </cell>
          <cell r="G961">
            <v>-1.145E-2</v>
          </cell>
          <cell r="H961">
            <v>0</v>
          </cell>
          <cell r="I961">
            <v>1.01145</v>
          </cell>
        </row>
        <row r="962">
          <cell r="E962" t="str">
            <v>DE49</v>
          </cell>
          <cell r="F962">
            <v>1</v>
          </cell>
          <cell r="G962">
            <v>0.77429000000000003</v>
          </cell>
          <cell r="H962">
            <v>0</v>
          </cell>
          <cell r="I962">
            <v>0.22570999999999999</v>
          </cell>
        </row>
        <row r="965">
          <cell r="E965" t="str">
            <v>L529</v>
          </cell>
          <cell r="F965">
            <v>1</v>
          </cell>
          <cell r="G965">
            <v>0.81677999999999995</v>
          </cell>
          <cell r="H965">
            <v>0</v>
          </cell>
          <cell r="I965">
            <v>0.18322000000000005</v>
          </cell>
        </row>
        <row r="966">
          <cell r="E966" t="str">
            <v>L589</v>
          </cell>
          <cell r="F966">
            <v>1</v>
          </cell>
          <cell r="G966">
            <v>0.43289</v>
          </cell>
          <cell r="H966">
            <v>0</v>
          </cell>
          <cell r="I966">
            <v>0.56711</v>
          </cell>
        </row>
        <row r="967">
          <cell r="E967" t="str">
            <v>L599</v>
          </cell>
          <cell r="F967">
            <v>1</v>
          </cell>
          <cell r="G967">
            <v>0.78734000000000004</v>
          </cell>
          <cell r="H967">
            <v>0</v>
          </cell>
          <cell r="I967">
            <v>0.21265999999999996</v>
          </cell>
        </row>
        <row r="968">
          <cell r="E968" t="str">
            <v>OP69</v>
          </cell>
          <cell r="F968">
            <v>1</v>
          </cell>
          <cell r="G968">
            <v>0.59253</v>
          </cell>
          <cell r="H968">
            <v>0</v>
          </cell>
          <cell r="I968">
            <v>0.40747</v>
          </cell>
        </row>
        <row r="971">
          <cell r="E971" t="str">
            <v>CS09</v>
          </cell>
          <cell r="F971">
            <v>1</v>
          </cell>
          <cell r="G971">
            <v>0.68406935800000002</v>
          </cell>
          <cell r="H971">
            <v>0</v>
          </cell>
          <cell r="I971">
            <v>0.31593064199999998</v>
          </cell>
        </row>
      </sheetData>
      <sheetData sheetId="14">
        <row r="24">
          <cell r="H24">
            <v>0</v>
          </cell>
        </row>
        <row r="33">
          <cell r="H33">
            <v>16179334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73">
          <cell r="H73">
            <v>57934105</v>
          </cell>
        </row>
        <row r="74">
          <cell r="H74">
            <v>14316095</v>
          </cell>
        </row>
        <row r="75">
          <cell r="H75">
            <v>0</v>
          </cell>
        </row>
        <row r="76">
          <cell r="H76">
            <v>5665794</v>
          </cell>
        </row>
        <row r="77">
          <cell r="H77">
            <v>0</v>
          </cell>
        </row>
        <row r="78">
          <cell r="H78">
            <v>32437783</v>
          </cell>
        </row>
        <row r="79">
          <cell r="H79">
            <v>0</v>
          </cell>
        </row>
        <row r="80">
          <cell r="H80">
            <v>13521056</v>
          </cell>
        </row>
        <row r="81">
          <cell r="H81">
            <v>0</v>
          </cell>
        </row>
        <row r="82">
          <cell r="H82">
            <v>39420686</v>
          </cell>
        </row>
        <row r="83">
          <cell r="H83">
            <v>0</v>
          </cell>
        </row>
        <row r="84">
          <cell r="H84">
            <v>7637960</v>
          </cell>
        </row>
        <row r="85">
          <cell r="H85">
            <v>0</v>
          </cell>
        </row>
        <row r="86">
          <cell r="H86">
            <v>26806804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0</v>
          </cell>
        </row>
        <row r="101">
          <cell r="H101">
            <v>0</v>
          </cell>
        </row>
        <row r="102">
          <cell r="H102">
            <v>0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H105">
            <v>0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0</v>
          </cell>
        </row>
        <row r="113">
          <cell r="H113">
            <v>0</v>
          </cell>
        </row>
        <row r="114">
          <cell r="H114">
            <v>0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H117">
            <v>0</v>
          </cell>
        </row>
        <row r="118">
          <cell r="H118">
            <v>0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42">
          <cell r="H142">
            <v>0</v>
          </cell>
        </row>
        <row r="143">
          <cell r="H143">
            <v>0</v>
          </cell>
        </row>
        <row r="144">
          <cell r="H144">
            <v>0</v>
          </cell>
        </row>
        <row r="150">
          <cell r="H150">
            <v>11389499</v>
          </cell>
        </row>
        <row r="151">
          <cell r="H151">
            <v>4795007</v>
          </cell>
        </row>
        <row r="152">
          <cell r="H152">
            <v>0</v>
          </cell>
        </row>
        <row r="153">
          <cell r="H153">
            <v>1897691</v>
          </cell>
        </row>
        <row r="154">
          <cell r="H154">
            <v>0</v>
          </cell>
        </row>
        <row r="155">
          <cell r="H155">
            <v>6713640</v>
          </cell>
        </row>
        <row r="156">
          <cell r="H156">
            <v>0</v>
          </cell>
        </row>
        <row r="157">
          <cell r="H157">
            <v>2798449</v>
          </cell>
        </row>
        <row r="158">
          <cell r="H158">
            <v>0</v>
          </cell>
        </row>
        <row r="159">
          <cell r="H159">
            <v>9058768</v>
          </cell>
        </row>
        <row r="160">
          <cell r="H160">
            <v>0</v>
          </cell>
        </row>
        <row r="161">
          <cell r="H161">
            <v>1755183</v>
          </cell>
        </row>
        <row r="162">
          <cell r="H162">
            <v>0</v>
          </cell>
        </row>
        <row r="163">
          <cell r="H163">
            <v>7861198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67">
          <cell r="H167">
            <v>0</v>
          </cell>
        </row>
        <row r="168">
          <cell r="H168">
            <v>-17698</v>
          </cell>
        </row>
        <row r="169">
          <cell r="H169">
            <v>0</v>
          </cell>
        </row>
        <row r="170">
          <cell r="H170">
            <v>-7770405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4">
          <cell r="H184">
            <v>0</v>
          </cell>
        </row>
        <row r="185">
          <cell r="H185">
            <v>27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82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23395242</v>
          </cell>
        </row>
        <row r="304">
          <cell r="H304">
            <v>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4795995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420103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1418602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0</v>
          </cell>
        </row>
        <row r="396">
          <cell r="H396">
            <v>0</v>
          </cell>
        </row>
        <row r="397">
          <cell r="H397">
            <v>0</v>
          </cell>
        </row>
        <row r="402">
          <cell r="H402">
            <v>66163</v>
          </cell>
        </row>
        <row r="403">
          <cell r="H403">
            <v>0</v>
          </cell>
        </row>
        <row r="404">
          <cell r="H404">
            <v>0</v>
          </cell>
        </row>
        <row r="407">
          <cell r="H407">
            <v>0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133555438</v>
          </cell>
        </row>
        <row r="447">
          <cell r="H447">
            <v>0</v>
          </cell>
        </row>
        <row r="448">
          <cell r="H448">
            <v>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0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0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0</v>
          </cell>
        </row>
        <row r="473">
          <cell r="H473">
            <v>0</v>
          </cell>
        </row>
        <row r="474">
          <cell r="H474">
            <v>0</v>
          </cell>
        </row>
        <row r="475">
          <cell r="H475">
            <v>1529799</v>
          </cell>
        </row>
        <row r="476">
          <cell r="H476">
            <v>0</v>
          </cell>
        </row>
        <row r="477">
          <cell r="H477">
            <v>637667</v>
          </cell>
        </row>
        <row r="478">
          <cell r="H478">
            <v>0</v>
          </cell>
        </row>
        <row r="479">
          <cell r="H479">
            <v>173171</v>
          </cell>
        </row>
        <row r="480">
          <cell r="H480">
            <v>0</v>
          </cell>
        </row>
        <row r="481">
          <cell r="H481">
            <v>33553</v>
          </cell>
        </row>
        <row r="482">
          <cell r="H482">
            <v>0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146049</v>
          </cell>
        </row>
        <row r="486">
          <cell r="H486">
            <v>148602</v>
          </cell>
        </row>
        <row r="487">
          <cell r="H487">
            <v>0</v>
          </cell>
        </row>
        <row r="488">
          <cell r="H488">
            <v>0</v>
          </cell>
        </row>
        <row r="489">
          <cell r="H489">
            <v>7401</v>
          </cell>
        </row>
        <row r="490">
          <cell r="H490">
            <v>428368</v>
          </cell>
        </row>
        <row r="491">
          <cell r="H491">
            <v>0</v>
          </cell>
        </row>
        <row r="495">
          <cell r="H495">
            <v>0</v>
          </cell>
        </row>
        <row r="496">
          <cell r="H496">
            <v>0</v>
          </cell>
        </row>
        <row r="497">
          <cell r="H497">
            <v>0</v>
          </cell>
        </row>
        <row r="498">
          <cell r="H498">
            <v>0</v>
          </cell>
        </row>
        <row r="499">
          <cell r="H499">
            <v>0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0</v>
          </cell>
        </row>
        <row r="516">
          <cell r="H516">
            <v>0</v>
          </cell>
        </row>
        <row r="517">
          <cell r="H517">
            <v>0</v>
          </cell>
        </row>
        <row r="521">
          <cell r="H521">
            <v>0</v>
          </cell>
        </row>
        <row r="525">
          <cell r="H525">
            <v>0</v>
          </cell>
        </row>
        <row r="526">
          <cell r="H526">
            <v>0</v>
          </cell>
        </row>
        <row r="527">
          <cell r="H527">
            <v>0</v>
          </cell>
        </row>
        <row r="528">
          <cell r="H528">
            <v>1411440</v>
          </cell>
        </row>
        <row r="529">
          <cell r="H529">
            <v>0</v>
          </cell>
        </row>
        <row r="530">
          <cell r="H530">
            <v>0</v>
          </cell>
        </row>
        <row r="531">
          <cell r="H531">
            <v>0</v>
          </cell>
        </row>
        <row r="533">
          <cell r="H533">
            <v>6318</v>
          </cell>
        </row>
        <row r="534">
          <cell r="H534">
            <v>0</v>
          </cell>
        </row>
        <row r="535">
          <cell r="H535">
            <v>-69310</v>
          </cell>
        </row>
        <row r="536">
          <cell r="H536">
            <v>-10910</v>
          </cell>
        </row>
        <row r="537">
          <cell r="H537">
            <v>0</v>
          </cell>
        </row>
        <row r="538">
          <cell r="H538">
            <v>-19149</v>
          </cell>
        </row>
        <row r="539">
          <cell r="H539">
            <v>-30994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-83430</v>
          </cell>
        </row>
        <row r="543">
          <cell r="H543">
            <v>27103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45992</v>
          </cell>
        </row>
        <row r="562">
          <cell r="H562">
            <v>0</v>
          </cell>
        </row>
        <row r="566">
          <cell r="H566">
            <v>0</v>
          </cell>
        </row>
        <row r="570">
          <cell r="H570">
            <v>5205627</v>
          </cell>
        </row>
        <row r="574">
          <cell r="H574">
            <v>-4</v>
          </cell>
        </row>
        <row r="578">
          <cell r="H578">
            <v>-2</v>
          </cell>
        </row>
        <row r="596">
          <cell r="H596">
            <v>1777532</v>
          </cell>
        </row>
        <row r="597">
          <cell r="H597">
            <v>0</v>
          </cell>
        </row>
        <row r="601">
          <cell r="H601">
            <v>68378</v>
          </cell>
        </row>
        <row r="602">
          <cell r="H602">
            <v>-2667</v>
          </cell>
        </row>
        <row r="603">
          <cell r="H603">
            <v>-3615</v>
          </cell>
        </row>
        <row r="604">
          <cell r="H604">
            <v>5861</v>
          </cell>
        </row>
        <row r="608">
          <cell r="H608">
            <v>3932</v>
          </cell>
        </row>
        <row r="609">
          <cell r="H609">
            <v>0</v>
          </cell>
        </row>
        <row r="632">
          <cell r="H632">
            <v>3001113</v>
          </cell>
        </row>
        <row r="636">
          <cell r="H636">
            <v>-1066665</v>
          </cell>
        </row>
        <row r="637">
          <cell r="H637">
            <v>-5213</v>
          </cell>
        </row>
        <row r="638">
          <cell r="H638">
            <v>1802339</v>
          </cell>
        </row>
        <row r="644">
          <cell r="H644">
            <v>35024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0</v>
          </cell>
        </row>
        <row r="648">
          <cell r="H648">
            <v>-66042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94">
          <cell r="H694">
            <v>1241008</v>
          </cell>
        </row>
        <row r="695">
          <cell r="H695">
            <v>0</v>
          </cell>
        </row>
        <row r="700">
          <cell r="H700">
            <v>33514</v>
          </cell>
        </row>
        <row r="704">
          <cell r="H704">
            <v>-2564</v>
          </cell>
        </row>
        <row r="742">
          <cell r="H742">
            <v>332994</v>
          </cell>
        </row>
        <row r="743">
          <cell r="H743">
            <v>0</v>
          </cell>
        </row>
        <row r="744">
          <cell r="H744">
            <v>180022</v>
          </cell>
        </row>
        <row r="745">
          <cell r="H745">
            <v>334327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0</v>
          </cell>
        </row>
        <row r="761">
          <cell r="H761">
            <v>0</v>
          </cell>
        </row>
        <row r="772">
          <cell r="H772">
            <v>16179334</v>
          </cell>
        </row>
        <row r="776">
          <cell r="H776">
            <v>-1814996</v>
          </cell>
        </row>
        <row r="777">
          <cell r="H777">
            <v>-5466798</v>
          </cell>
        </row>
        <row r="830">
          <cell r="F830">
            <v>648083</v>
          </cell>
          <cell r="G830">
            <v>275875</v>
          </cell>
          <cell r="H830">
            <v>190449</v>
          </cell>
          <cell r="I830">
            <v>819</v>
          </cell>
          <cell r="J830">
            <v>3656</v>
          </cell>
          <cell r="K830">
            <v>44</v>
          </cell>
          <cell r="L830">
            <v>84146</v>
          </cell>
          <cell r="M830">
            <v>67809</v>
          </cell>
          <cell r="N830">
            <v>917</v>
          </cell>
          <cell r="O830">
            <v>22422</v>
          </cell>
          <cell r="P830">
            <v>0</v>
          </cell>
          <cell r="Q830">
            <v>1946</v>
          </cell>
          <cell r="R830">
            <v>648083</v>
          </cell>
          <cell r="S830">
            <v>0</v>
          </cell>
        </row>
        <row r="831">
          <cell r="E831" t="str">
            <v>K201</v>
          </cell>
          <cell r="F831">
            <v>1</v>
          </cell>
          <cell r="G831">
            <v>0.42568000000000006</v>
          </cell>
          <cell r="H831">
            <v>0.29387000000000002</v>
          </cell>
          <cell r="I831">
            <v>1.2600000000000001E-3</v>
          </cell>
          <cell r="J831">
            <v>5.64E-3</v>
          </cell>
          <cell r="K831">
            <v>6.9999999999999994E-5</v>
          </cell>
          <cell r="L831">
            <v>0.12984000000000001</v>
          </cell>
          <cell r="M831">
            <v>0.10463</v>
          </cell>
          <cell r="N831">
            <v>1.41E-3</v>
          </cell>
          <cell r="O831">
            <v>3.4599999999999999E-2</v>
          </cell>
          <cell r="P831">
            <v>0</v>
          </cell>
          <cell r="Q831">
            <v>3.0000000000000001E-3</v>
          </cell>
          <cell r="R831">
            <v>1.0000000000000002</v>
          </cell>
          <cell r="S831">
            <v>0</v>
          </cell>
        </row>
        <row r="832">
          <cell r="F832">
            <v>648083</v>
          </cell>
          <cell r="G832">
            <v>275875</v>
          </cell>
          <cell r="H832">
            <v>190449</v>
          </cell>
          <cell r="I832">
            <v>819</v>
          </cell>
          <cell r="J832">
            <v>3656</v>
          </cell>
          <cell r="K832">
            <v>44</v>
          </cell>
          <cell r="L832">
            <v>84146</v>
          </cell>
          <cell r="M832">
            <v>67809</v>
          </cell>
          <cell r="N832">
            <v>917</v>
          </cell>
          <cell r="O832">
            <v>22422</v>
          </cell>
          <cell r="P832">
            <v>0</v>
          </cell>
          <cell r="Q832">
            <v>1946</v>
          </cell>
          <cell r="R832">
            <v>648083</v>
          </cell>
          <cell r="S832">
            <v>0</v>
          </cell>
        </row>
        <row r="833">
          <cell r="E833" t="str">
            <v>K202</v>
          </cell>
          <cell r="F833">
            <v>1</v>
          </cell>
          <cell r="G833">
            <v>0.42568000000000006</v>
          </cell>
          <cell r="H833">
            <v>0.29387000000000002</v>
          </cell>
          <cell r="I833">
            <v>1.2600000000000001E-3</v>
          </cell>
          <cell r="J833">
            <v>5.64E-3</v>
          </cell>
          <cell r="K833">
            <v>6.9999999999999994E-5</v>
          </cell>
          <cell r="L833">
            <v>0.12984000000000001</v>
          </cell>
          <cell r="M833">
            <v>0.10463</v>
          </cell>
          <cell r="N833">
            <v>1.41E-3</v>
          </cell>
          <cell r="O833">
            <v>3.4599999999999999E-2</v>
          </cell>
          <cell r="P833">
            <v>0</v>
          </cell>
          <cell r="Q833">
            <v>3.0000000000000001E-3</v>
          </cell>
          <cell r="R833">
            <v>1.0000000000000002</v>
          </cell>
          <cell r="S833">
            <v>0</v>
          </cell>
        </row>
        <row r="834">
          <cell r="F834">
            <v>1647331</v>
          </cell>
          <cell r="G834">
            <v>1006247</v>
          </cell>
          <cell r="H834">
            <v>345716</v>
          </cell>
          <cell r="I834">
            <v>1108</v>
          </cell>
          <cell r="J834">
            <v>13538</v>
          </cell>
          <cell r="K834">
            <v>107</v>
          </cell>
          <cell r="L834">
            <v>117501</v>
          </cell>
          <cell r="M834">
            <v>94629</v>
          </cell>
          <cell r="N834">
            <v>6558</v>
          </cell>
          <cell r="O834">
            <v>52159</v>
          </cell>
          <cell r="P834">
            <v>6010</v>
          </cell>
          <cell r="Q834">
            <v>3758</v>
          </cell>
          <cell r="R834">
            <v>1647331</v>
          </cell>
          <cell r="S834">
            <v>0</v>
          </cell>
        </row>
        <row r="835">
          <cell r="E835" t="str">
            <v>K203</v>
          </cell>
          <cell r="F835">
            <v>1</v>
          </cell>
          <cell r="G835">
            <v>0.61085</v>
          </cell>
          <cell r="H835">
            <v>0.20985999999999999</v>
          </cell>
          <cell r="I835">
            <v>6.7000000000000002E-4</v>
          </cell>
          <cell r="J835">
            <v>8.2199999999999999E-3</v>
          </cell>
          <cell r="K835">
            <v>6.0000000000000002E-5</v>
          </cell>
          <cell r="L835">
            <v>7.1330000000000005E-2</v>
          </cell>
          <cell r="M835">
            <v>5.7439999999999998E-2</v>
          </cell>
          <cell r="N835">
            <v>3.98E-3</v>
          </cell>
          <cell r="O835">
            <v>3.1660000000000001E-2</v>
          </cell>
          <cell r="P835">
            <v>3.65E-3</v>
          </cell>
          <cell r="Q835">
            <v>2.2799999999999999E-3</v>
          </cell>
          <cell r="R835">
            <v>1</v>
          </cell>
          <cell r="S835">
            <v>0</v>
          </cell>
        </row>
        <row r="836">
          <cell r="F836">
            <v>708591</v>
          </cell>
          <cell r="G836">
            <v>315144</v>
          </cell>
          <cell r="H836">
            <v>219094</v>
          </cell>
          <cell r="I836">
            <v>924</v>
          </cell>
          <cell r="J836">
            <v>4810</v>
          </cell>
          <cell r="K836">
            <v>51</v>
          </cell>
          <cell r="L836">
            <v>88885</v>
          </cell>
          <cell r="M836">
            <v>71748</v>
          </cell>
          <cell r="N836">
            <v>939</v>
          </cell>
          <cell r="O836">
            <v>0</v>
          </cell>
          <cell r="P836">
            <v>4747</v>
          </cell>
          <cell r="Q836">
            <v>2249</v>
          </cell>
          <cell r="R836">
            <v>708591</v>
          </cell>
          <cell r="S836">
            <v>0</v>
          </cell>
        </row>
        <row r="837">
          <cell r="E837" t="str">
            <v>K205</v>
          </cell>
          <cell r="F837">
            <v>1</v>
          </cell>
          <cell r="G837">
            <v>0.44474999999999987</v>
          </cell>
          <cell r="H837">
            <v>0.30919999999999997</v>
          </cell>
          <cell r="I837">
            <v>1.2999999999999999E-3</v>
          </cell>
          <cell r="J837">
            <v>6.79E-3</v>
          </cell>
          <cell r="K837">
            <v>6.9999999999999994E-5</v>
          </cell>
          <cell r="L837">
            <v>0.12544</v>
          </cell>
          <cell r="M837">
            <v>0.10125000000000001</v>
          </cell>
          <cell r="N837">
            <v>1.33E-3</v>
          </cell>
          <cell r="O837">
            <v>0</v>
          </cell>
          <cell r="P837">
            <v>6.7000000000000002E-3</v>
          </cell>
          <cell r="Q837">
            <v>3.1700000000000001E-3</v>
          </cell>
          <cell r="R837">
            <v>1</v>
          </cell>
          <cell r="S837">
            <v>0</v>
          </cell>
        </row>
        <row r="838">
          <cell r="F838">
            <v>708591</v>
          </cell>
          <cell r="G838">
            <v>315144</v>
          </cell>
          <cell r="H838">
            <v>219094</v>
          </cell>
          <cell r="I838">
            <v>924</v>
          </cell>
          <cell r="J838">
            <v>4810</v>
          </cell>
          <cell r="K838">
            <v>51</v>
          </cell>
          <cell r="L838">
            <v>88885</v>
          </cell>
          <cell r="M838">
            <v>71748</v>
          </cell>
          <cell r="N838">
            <v>939</v>
          </cell>
          <cell r="O838">
            <v>0</v>
          </cell>
          <cell r="P838">
            <v>4747</v>
          </cell>
          <cell r="Q838">
            <v>2249</v>
          </cell>
          <cell r="R838">
            <v>708591</v>
          </cell>
          <cell r="S838">
            <v>0</v>
          </cell>
        </row>
        <row r="839">
          <cell r="E839" t="str">
            <v>K206</v>
          </cell>
          <cell r="F839">
            <v>1</v>
          </cell>
          <cell r="G839">
            <v>0.44474999999999987</v>
          </cell>
          <cell r="H839">
            <v>0.30919999999999997</v>
          </cell>
          <cell r="I839">
            <v>1.2999999999999999E-3</v>
          </cell>
          <cell r="J839">
            <v>6.79E-3</v>
          </cell>
          <cell r="K839">
            <v>6.9999999999999994E-5</v>
          </cell>
          <cell r="L839">
            <v>0.12544</v>
          </cell>
          <cell r="M839">
            <v>0.10125000000000001</v>
          </cell>
          <cell r="N839">
            <v>1.33E-3</v>
          </cell>
          <cell r="O839">
            <v>0</v>
          </cell>
          <cell r="P839">
            <v>6.7000000000000002E-3</v>
          </cell>
          <cell r="Q839">
            <v>3.1700000000000001E-3</v>
          </cell>
          <cell r="R839">
            <v>1</v>
          </cell>
          <cell r="S839">
            <v>0</v>
          </cell>
        </row>
        <row r="840">
          <cell r="F840">
            <v>639522265</v>
          </cell>
          <cell r="G840">
            <v>284427531</v>
          </cell>
          <cell r="H840">
            <v>197740283</v>
          </cell>
          <cell r="I840">
            <v>831378</v>
          </cell>
          <cell r="J840">
            <v>4342356</v>
          </cell>
          <cell r="K840">
            <v>44767</v>
          </cell>
          <cell r="L840">
            <v>80221673</v>
          </cell>
          <cell r="M840">
            <v>64751628</v>
          </cell>
          <cell r="N840">
            <v>850565</v>
          </cell>
          <cell r="O840">
            <v>0</v>
          </cell>
          <cell r="P840">
            <v>4284800</v>
          </cell>
          <cell r="Q840">
            <v>2027284</v>
          </cell>
          <cell r="R840">
            <v>639522265</v>
          </cell>
          <cell r="S840">
            <v>0</v>
          </cell>
        </row>
        <row r="841">
          <cell r="E841" t="str">
            <v>K209</v>
          </cell>
          <cell r="F841">
            <v>1</v>
          </cell>
          <cell r="G841">
            <v>0.44474999999999987</v>
          </cell>
          <cell r="H841">
            <v>0.30919999999999997</v>
          </cell>
          <cell r="I841">
            <v>1.2999999999999999E-3</v>
          </cell>
          <cell r="J841">
            <v>6.79E-3</v>
          </cell>
          <cell r="K841">
            <v>6.9999999999999994E-5</v>
          </cell>
          <cell r="L841">
            <v>0.12544</v>
          </cell>
          <cell r="M841">
            <v>0.10125000000000001</v>
          </cell>
          <cell r="N841">
            <v>1.33E-3</v>
          </cell>
          <cell r="O841">
            <v>0</v>
          </cell>
          <cell r="P841">
            <v>6.7000000000000002E-3</v>
          </cell>
          <cell r="Q841">
            <v>3.1700000000000001E-3</v>
          </cell>
          <cell r="R841">
            <v>1</v>
          </cell>
          <cell r="S841">
            <v>0</v>
          </cell>
        </row>
        <row r="842">
          <cell r="F842">
            <v>708591</v>
          </cell>
          <cell r="G842">
            <v>315144</v>
          </cell>
          <cell r="H842">
            <v>219094</v>
          </cell>
          <cell r="I842">
            <v>924</v>
          </cell>
          <cell r="J842">
            <v>4810</v>
          </cell>
          <cell r="K842">
            <v>51</v>
          </cell>
          <cell r="L842">
            <v>88885</v>
          </cell>
          <cell r="M842">
            <v>71748</v>
          </cell>
          <cell r="N842">
            <v>939</v>
          </cell>
          <cell r="O842">
            <v>0</v>
          </cell>
          <cell r="P842">
            <v>4747</v>
          </cell>
          <cell r="Q842">
            <v>2249</v>
          </cell>
          <cell r="R842">
            <v>708591</v>
          </cell>
          <cell r="S842">
            <v>0</v>
          </cell>
        </row>
        <row r="843">
          <cell r="E843" t="str">
            <v>K215</v>
          </cell>
          <cell r="F843">
            <v>1</v>
          </cell>
          <cell r="G843">
            <v>0.44474999999999987</v>
          </cell>
          <cell r="H843">
            <v>0.30919999999999997</v>
          </cell>
          <cell r="I843">
            <v>1.2999999999999999E-3</v>
          </cell>
          <cell r="J843">
            <v>6.79E-3</v>
          </cell>
          <cell r="K843">
            <v>6.9999999999999994E-5</v>
          </cell>
          <cell r="L843">
            <v>0.12544</v>
          </cell>
          <cell r="M843">
            <v>0.10125000000000001</v>
          </cell>
          <cell r="N843">
            <v>1.33E-3</v>
          </cell>
          <cell r="O843">
            <v>0</v>
          </cell>
          <cell r="P843">
            <v>6.7000000000000002E-3</v>
          </cell>
          <cell r="Q843">
            <v>3.1700000000000001E-3</v>
          </cell>
          <cell r="R843">
            <v>1</v>
          </cell>
          <cell r="S843">
            <v>0</v>
          </cell>
        </row>
        <row r="844">
          <cell r="F844">
            <v>165672</v>
          </cell>
          <cell r="G844">
            <v>137520</v>
          </cell>
          <cell r="H844">
            <v>24512</v>
          </cell>
          <cell r="I844">
            <v>46</v>
          </cell>
          <cell r="J844">
            <v>264</v>
          </cell>
          <cell r="K844">
            <v>12</v>
          </cell>
          <cell r="L844">
            <v>342</v>
          </cell>
          <cell r="M844">
            <v>105</v>
          </cell>
          <cell r="N844">
            <v>30</v>
          </cell>
          <cell r="O844">
            <v>36</v>
          </cell>
          <cell r="P844">
            <v>2792</v>
          </cell>
          <cell r="Q844">
            <v>3</v>
          </cell>
          <cell r="R844">
            <v>165662</v>
          </cell>
          <cell r="S844">
            <v>10</v>
          </cell>
        </row>
        <row r="845">
          <cell r="E845" t="str">
            <v>K217</v>
          </cell>
          <cell r="F845">
            <v>1</v>
          </cell>
          <cell r="G845">
            <v>0.83006999999999997</v>
          </cell>
          <cell r="H845">
            <v>0.14795</v>
          </cell>
          <cell r="I845">
            <v>2.7999999999999998E-4</v>
          </cell>
          <cell r="J845">
            <v>1.5900000000000001E-3</v>
          </cell>
          <cell r="K845">
            <v>6.9999999999999994E-5</v>
          </cell>
          <cell r="L845">
            <v>2.0600000000000002E-3</v>
          </cell>
          <cell r="M845">
            <v>6.3000000000000003E-4</v>
          </cell>
          <cell r="N845">
            <v>1.8000000000000001E-4</v>
          </cell>
          <cell r="O845">
            <v>2.2000000000000001E-4</v>
          </cell>
          <cell r="P845">
            <v>1.685E-2</v>
          </cell>
          <cell r="Q845">
            <v>2.0000000000000002E-5</v>
          </cell>
          <cell r="R845">
            <v>0.99991999999999992</v>
          </cell>
          <cell r="S845">
            <v>8.0000000000080007E-5</v>
          </cell>
        </row>
        <row r="846">
          <cell r="F846">
            <v>4101134214.1489997</v>
          </cell>
          <cell r="G846">
            <v>1470196498.845</v>
          </cell>
          <cell r="H846">
            <v>1255081996.2449999</v>
          </cell>
          <cell r="I846">
            <v>6350133.8709999984</v>
          </cell>
          <cell r="J846">
            <v>19355665.91</v>
          </cell>
          <cell r="K846">
            <v>288048</v>
          </cell>
          <cell r="L846">
            <v>610848200.07483399</v>
          </cell>
          <cell r="M846">
            <v>509222309.26616597</v>
          </cell>
          <cell r="N846">
            <v>5979794.5269999998</v>
          </cell>
          <cell r="O846">
            <v>191982350.88400003</v>
          </cell>
          <cell r="P846">
            <v>18971771.526000001</v>
          </cell>
          <cell r="Q846">
            <v>12857445</v>
          </cell>
          <cell r="R846">
            <v>4101134214.1489997</v>
          </cell>
          <cell r="S846">
            <v>0</v>
          </cell>
        </row>
        <row r="847">
          <cell r="E847" t="str">
            <v>K301</v>
          </cell>
          <cell r="F847">
            <v>1</v>
          </cell>
          <cell r="G847">
            <v>0.35846999999999984</v>
          </cell>
          <cell r="H847">
            <v>0.30603000000000002</v>
          </cell>
          <cell r="I847">
            <v>1.5499999999999999E-3</v>
          </cell>
          <cell r="J847">
            <v>4.7200000000000002E-3</v>
          </cell>
          <cell r="K847">
            <v>6.9999999999999994E-5</v>
          </cell>
          <cell r="L847">
            <v>0.14895</v>
          </cell>
          <cell r="M847">
            <v>0.12417</v>
          </cell>
          <cell r="N847">
            <v>1.4599999999999999E-3</v>
          </cell>
          <cell r="O847">
            <v>4.6809999999999997E-2</v>
          </cell>
          <cell r="P847">
            <v>4.6299999999999996E-3</v>
          </cell>
          <cell r="Q847">
            <v>3.14E-3</v>
          </cell>
          <cell r="R847">
            <v>1</v>
          </cell>
          <cell r="S847">
            <v>0</v>
          </cell>
        </row>
        <row r="848">
          <cell r="F848">
            <v>4101134214.1489997</v>
          </cell>
          <cell r="G848">
            <v>1470196498.845</v>
          </cell>
          <cell r="H848">
            <v>1255081996.2449999</v>
          </cell>
          <cell r="I848">
            <v>6350133.8709999984</v>
          </cell>
          <cell r="J848">
            <v>19355665.91</v>
          </cell>
          <cell r="K848">
            <v>288048</v>
          </cell>
          <cell r="L848">
            <v>610848200.07483399</v>
          </cell>
          <cell r="M848">
            <v>509222309.26616597</v>
          </cell>
          <cell r="N848">
            <v>5979794.5269999998</v>
          </cell>
          <cell r="O848">
            <v>179959630.88400003</v>
          </cell>
          <cell r="P848">
            <v>18971771.526000001</v>
          </cell>
          <cell r="Q848">
            <v>12857445</v>
          </cell>
          <cell r="R848">
            <v>4089111494.1489997</v>
          </cell>
          <cell r="S848">
            <v>12022720</v>
          </cell>
        </row>
        <row r="849">
          <cell r="E849" t="str">
            <v>K303</v>
          </cell>
          <cell r="F849">
            <v>1</v>
          </cell>
          <cell r="G849">
            <v>0.35848999999999998</v>
          </cell>
          <cell r="H849">
            <v>0.30603000000000002</v>
          </cell>
          <cell r="I849">
            <v>1.5499999999999999E-3</v>
          </cell>
          <cell r="J849">
            <v>4.7200000000000002E-3</v>
          </cell>
          <cell r="K849">
            <v>6.9999999999999994E-5</v>
          </cell>
          <cell r="L849">
            <v>0.14895</v>
          </cell>
          <cell r="M849">
            <v>0.12417</v>
          </cell>
          <cell r="N849">
            <v>1.4599999999999999E-3</v>
          </cell>
          <cell r="O849">
            <v>4.3880000000000002E-2</v>
          </cell>
          <cell r="P849">
            <v>4.6299999999999996E-3</v>
          </cell>
          <cell r="Q849">
            <v>3.14E-3</v>
          </cell>
          <cell r="R849">
            <v>0.99709000000000014</v>
          </cell>
          <cell r="S849">
            <v>2.9099999999998571E-3</v>
          </cell>
        </row>
        <row r="850">
          <cell r="F850">
            <v>4082162442.6229997</v>
          </cell>
          <cell r="G850">
            <v>1470196498.845</v>
          </cell>
          <cell r="H850">
            <v>1255081996.2449999</v>
          </cell>
          <cell r="I850">
            <v>6350133.8709999984</v>
          </cell>
          <cell r="J850">
            <v>19355665.91</v>
          </cell>
          <cell r="K850">
            <v>288048</v>
          </cell>
          <cell r="L850">
            <v>610848200.07483399</v>
          </cell>
          <cell r="M850">
            <v>509222309.26616597</v>
          </cell>
          <cell r="N850">
            <v>5979794.5269999998</v>
          </cell>
          <cell r="O850">
            <v>191982350.88400003</v>
          </cell>
          <cell r="P850">
            <v>0</v>
          </cell>
          <cell r="Q850">
            <v>12857445</v>
          </cell>
          <cell r="R850">
            <v>4082162442.6229997</v>
          </cell>
          <cell r="S850">
            <v>0</v>
          </cell>
        </row>
        <row r="851">
          <cell r="E851" t="str">
            <v>K305</v>
          </cell>
          <cell r="F851">
            <v>1</v>
          </cell>
          <cell r="G851">
            <v>0.36014999999999997</v>
          </cell>
          <cell r="H851">
            <v>0.30746000000000001</v>
          </cell>
          <cell r="I851">
            <v>1.56E-3</v>
          </cell>
          <cell r="J851">
            <v>4.7400000000000003E-3</v>
          </cell>
          <cell r="K851">
            <v>6.9999999999999994E-5</v>
          </cell>
          <cell r="L851">
            <v>0.14964</v>
          </cell>
          <cell r="M851">
            <v>0.12474</v>
          </cell>
          <cell r="N851">
            <v>1.4599999999999999E-3</v>
          </cell>
          <cell r="O851">
            <v>4.7030000000000002E-2</v>
          </cell>
          <cell r="P851">
            <v>0</v>
          </cell>
          <cell r="Q851">
            <v>3.15E-3</v>
          </cell>
          <cell r="R851">
            <v>1</v>
          </cell>
          <cell r="S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0</v>
          </cell>
          <cell r="R854">
            <v>1</v>
          </cell>
          <cell r="S854">
            <v>0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0</v>
          </cell>
        </row>
        <row r="856">
          <cell r="F856">
            <v>152867</v>
          </cell>
          <cell r="G856">
            <v>137520</v>
          </cell>
          <cell r="H856">
            <v>12257</v>
          </cell>
          <cell r="I856">
            <v>23</v>
          </cell>
          <cell r="J856">
            <v>88</v>
          </cell>
          <cell r="K856">
            <v>12</v>
          </cell>
          <cell r="L856">
            <v>115</v>
          </cell>
          <cell r="M856">
            <v>35</v>
          </cell>
          <cell r="N856">
            <v>10</v>
          </cell>
          <cell r="O856">
            <v>14</v>
          </cell>
          <cell r="P856">
            <v>2792</v>
          </cell>
          <cell r="Q856">
            <v>1</v>
          </cell>
          <cell r="R856">
            <v>152867</v>
          </cell>
          <cell r="S856">
            <v>0</v>
          </cell>
        </row>
        <row r="857">
          <cell r="E857" t="str">
            <v>K405</v>
          </cell>
          <cell r="F857">
            <v>1</v>
          </cell>
          <cell r="G857">
            <v>0.89959999999999996</v>
          </cell>
          <cell r="H857">
            <v>8.0180000000000001E-2</v>
          </cell>
          <cell r="I857">
            <v>1.4999999999999999E-4</v>
          </cell>
          <cell r="J857">
            <v>5.8E-4</v>
          </cell>
          <cell r="K857">
            <v>8.0000000000000007E-5</v>
          </cell>
          <cell r="L857">
            <v>7.5000000000000002E-4</v>
          </cell>
          <cell r="M857">
            <v>2.3000000000000001E-4</v>
          </cell>
          <cell r="N857">
            <v>6.9999999999999994E-5</v>
          </cell>
          <cell r="O857">
            <v>9.0000000000000006E-5</v>
          </cell>
          <cell r="P857">
            <v>1.8259999999999998E-2</v>
          </cell>
          <cell r="Q857">
            <v>1.0000000000000001E-5</v>
          </cell>
          <cell r="R857">
            <v>0.99999999999999989</v>
          </cell>
          <cell r="S857">
            <v>0</v>
          </cell>
        </row>
        <row r="858">
          <cell r="F858">
            <v>152853</v>
          </cell>
          <cell r="G858">
            <v>137520</v>
          </cell>
          <cell r="H858">
            <v>12257</v>
          </cell>
          <cell r="I858">
            <v>23</v>
          </cell>
          <cell r="J858">
            <v>88</v>
          </cell>
          <cell r="K858">
            <v>12</v>
          </cell>
          <cell r="L858">
            <v>115</v>
          </cell>
          <cell r="M858">
            <v>35</v>
          </cell>
          <cell r="N858">
            <v>10</v>
          </cell>
          <cell r="O858">
            <v>0</v>
          </cell>
          <cell r="P858">
            <v>2792</v>
          </cell>
          <cell r="Q858">
            <v>1</v>
          </cell>
          <cell r="R858">
            <v>152853</v>
          </cell>
          <cell r="S858">
            <v>0</v>
          </cell>
        </row>
        <row r="859">
          <cell r="E859" t="str">
            <v>K406</v>
          </cell>
          <cell r="F859">
            <v>1</v>
          </cell>
          <cell r="G859">
            <v>0.89968999999999999</v>
          </cell>
          <cell r="H859">
            <v>8.0180000000000001E-2</v>
          </cell>
          <cell r="I859">
            <v>1.4999999999999999E-4</v>
          </cell>
          <cell r="J859">
            <v>5.8E-4</v>
          </cell>
          <cell r="K859">
            <v>8.0000000000000007E-5</v>
          </cell>
          <cell r="L859">
            <v>7.5000000000000002E-4</v>
          </cell>
          <cell r="M859">
            <v>2.3000000000000001E-4</v>
          </cell>
          <cell r="N859">
            <v>6.9999999999999994E-5</v>
          </cell>
          <cell r="O859">
            <v>0</v>
          </cell>
          <cell r="P859">
            <v>1.8259999999999998E-2</v>
          </cell>
          <cell r="Q859">
            <v>1.0000000000000001E-5</v>
          </cell>
          <cell r="R859">
            <v>0.99999999999999989</v>
          </cell>
          <cell r="S859">
            <v>0</v>
          </cell>
        </row>
        <row r="860">
          <cell r="F860">
            <v>22486890.793596428</v>
          </cell>
          <cell r="G860">
            <v>19829008.800000001</v>
          </cell>
          <cell r="H860">
            <v>2433684.8645095793</v>
          </cell>
          <cell r="I860">
            <v>0</v>
          </cell>
          <cell r="J860">
            <v>31509.280000000046</v>
          </cell>
          <cell r="K860">
            <v>2448</v>
          </cell>
          <cell r="L860">
            <v>111217.43855421687</v>
          </cell>
          <cell r="M860">
            <v>41635.072972972972</v>
          </cell>
          <cell r="N860">
            <v>20860.366666666669</v>
          </cell>
          <cell r="O860">
            <v>16328.400000000001</v>
          </cell>
          <cell r="P860">
            <v>0</v>
          </cell>
          <cell r="Q860">
            <v>198.5708929919696</v>
          </cell>
          <cell r="R860">
            <v>22486890.793596428</v>
          </cell>
          <cell r="S860">
            <v>0</v>
          </cell>
        </row>
        <row r="861">
          <cell r="E861" t="str">
            <v>K407</v>
          </cell>
          <cell r="F861">
            <v>1</v>
          </cell>
          <cell r="G861">
            <v>0.88178999999999996</v>
          </cell>
          <cell r="H861">
            <v>0.10823000000000001</v>
          </cell>
          <cell r="I861">
            <v>0</v>
          </cell>
          <cell r="J861">
            <v>1.4E-3</v>
          </cell>
          <cell r="K861">
            <v>1.1E-4</v>
          </cell>
          <cell r="L861">
            <v>4.9500000000000004E-3</v>
          </cell>
          <cell r="M861">
            <v>1.8500000000000001E-3</v>
          </cell>
          <cell r="N861">
            <v>9.3000000000000005E-4</v>
          </cell>
          <cell r="O861">
            <v>7.2999999999999996E-4</v>
          </cell>
          <cell r="P861">
            <v>0</v>
          </cell>
          <cell r="Q861">
            <v>1.0000000000000001E-5</v>
          </cell>
          <cell r="R861">
            <v>1</v>
          </cell>
          <cell r="S861">
            <v>0</v>
          </cell>
        </row>
        <row r="862">
          <cell r="F862">
            <v>154110</v>
          </cell>
          <cell r="G862">
            <v>137520</v>
          </cell>
          <cell r="H862">
            <v>12257</v>
          </cell>
          <cell r="I862">
            <v>23</v>
          </cell>
          <cell r="J862">
            <v>176</v>
          </cell>
          <cell r="K862">
            <v>12</v>
          </cell>
          <cell r="L862">
            <v>799</v>
          </cell>
          <cell r="M862">
            <v>280</v>
          </cell>
          <cell r="N862">
            <v>140</v>
          </cell>
          <cell r="O862">
            <v>110</v>
          </cell>
          <cell r="P862">
            <v>2792</v>
          </cell>
          <cell r="Q862">
            <v>1</v>
          </cell>
          <cell r="R862">
            <v>154110</v>
          </cell>
          <cell r="S862">
            <v>0</v>
          </cell>
        </row>
        <row r="863">
          <cell r="E863" t="str">
            <v>K409</v>
          </cell>
          <cell r="F863">
            <v>1</v>
          </cell>
          <cell r="G863">
            <v>0.89234999999999998</v>
          </cell>
          <cell r="H863">
            <v>7.9530000000000003E-2</v>
          </cell>
          <cell r="I863">
            <v>1.4999999999999999E-4</v>
          </cell>
          <cell r="J863">
            <v>1.14E-3</v>
          </cell>
          <cell r="K863">
            <v>8.0000000000000007E-5</v>
          </cell>
          <cell r="L863">
            <v>5.1799999999999997E-3</v>
          </cell>
          <cell r="M863">
            <v>1.82E-3</v>
          </cell>
          <cell r="N863">
            <v>9.1E-4</v>
          </cell>
          <cell r="O863">
            <v>7.1000000000000002E-4</v>
          </cell>
          <cell r="P863">
            <v>1.8120000000000001E-2</v>
          </cell>
          <cell r="Q863">
            <v>1.0000000000000001E-5</v>
          </cell>
          <cell r="R863">
            <v>0.99999999999999989</v>
          </cell>
          <cell r="S863">
            <v>0</v>
          </cell>
        </row>
        <row r="864">
          <cell r="F864">
            <v>2137114.169997225</v>
          </cell>
          <cell r="G864">
            <v>1924403</v>
          </cell>
          <cell r="H864">
            <v>108413.16999722505</v>
          </cell>
          <cell r="I864">
            <v>674</v>
          </cell>
          <cell r="J864">
            <v>1538</v>
          </cell>
          <cell r="K864">
            <v>43</v>
          </cell>
          <cell r="L864">
            <v>48098</v>
          </cell>
          <cell r="M864">
            <v>37329</v>
          </cell>
          <cell r="N864">
            <v>710</v>
          </cell>
          <cell r="O864">
            <v>13016</v>
          </cell>
          <cell r="P864">
            <v>2099</v>
          </cell>
          <cell r="Q864">
            <v>791</v>
          </cell>
          <cell r="R864">
            <v>2137114.169997225</v>
          </cell>
          <cell r="S864">
            <v>0</v>
          </cell>
        </row>
        <row r="865">
          <cell r="E865" t="str">
            <v>K411</v>
          </cell>
          <cell r="F865">
            <v>1</v>
          </cell>
          <cell r="G865">
            <v>0.90046000000000004</v>
          </cell>
          <cell r="H865">
            <v>5.0729999999999997E-2</v>
          </cell>
          <cell r="I865">
            <v>3.2000000000000003E-4</v>
          </cell>
          <cell r="J865">
            <v>7.2000000000000005E-4</v>
          </cell>
          <cell r="K865">
            <v>2.0000000000000002E-5</v>
          </cell>
          <cell r="L865">
            <v>2.2509999999999999E-2</v>
          </cell>
          <cell r="M865">
            <v>1.7469999999999999E-2</v>
          </cell>
          <cell r="N865">
            <v>3.3E-4</v>
          </cell>
          <cell r="O865">
            <v>6.0899999999999999E-3</v>
          </cell>
          <cell r="P865">
            <v>9.7999999999999997E-4</v>
          </cell>
          <cell r="Q865">
            <v>3.6999999999999999E-4</v>
          </cell>
          <cell r="R865">
            <v>1.0000000000000002</v>
          </cell>
          <cell r="S865">
            <v>0</v>
          </cell>
        </row>
        <row r="866">
          <cell r="F866">
            <v>4087989911.1489997</v>
          </cell>
          <cell r="G866">
            <v>1470196498.845</v>
          </cell>
          <cell r="H866">
            <v>1255084711.2449999</v>
          </cell>
          <cell r="I866">
            <v>6350133.8709999984</v>
          </cell>
          <cell r="J866">
            <v>19355665.91</v>
          </cell>
          <cell r="K866">
            <v>288048</v>
          </cell>
          <cell r="L866">
            <v>609723902.07483399</v>
          </cell>
          <cell r="M866">
            <v>509222309.26616597</v>
          </cell>
          <cell r="N866">
            <v>5979794.5269999998</v>
          </cell>
          <cell r="O866">
            <v>179959630.88400003</v>
          </cell>
          <cell r="P866">
            <v>18971771.526000001</v>
          </cell>
          <cell r="Q866">
            <v>12857445</v>
          </cell>
          <cell r="R866">
            <v>4087989911.1489997</v>
          </cell>
          <cell r="S866">
            <v>0</v>
          </cell>
        </row>
        <row r="867">
          <cell r="E867" t="str">
            <v>K302</v>
          </cell>
          <cell r="F867">
            <v>1</v>
          </cell>
          <cell r="G867">
            <v>0.35964000000000007</v>
          </cell>
          <cell r="H867">
            <v>0.30702000000000002</v>
          </cell>
          <cell r="I867">
            <v>1.5499999999999999E-3</v>
          </cell>
          <cell r="J867">
            <v>4.7299999999999998E-3</v>
          </cell>
          <cell r="K867">
            <v>6.9999999999999994E-5</v>
          </cell>
          <cell r="L867">
            <v>0.14915</v>
          </cell>
          <cell r="M867">
            <v>0.12457</v>
          </cell>
          <cell r="N867">
            <v>1.4599999999999999E-3</v>
          </cell>
          <cell r="O867">
            <v>4.4019999999999997E-2</v>
          </cell>
          <cell r="P867">
            <v>4.64E-3</v>
          </cell>
          <cell r="Q867">
            <v>3.15E-3</v>
          </cell>
          <cell r="R867">
            <v>1</v>
          </cell>
          <cell r="S867">
            <v>0</v>
          </cell>
        </row>
        <row r="869">
          <cell r="E869" t="str">
            <v>R600</v>
          </cell>
          <cell r="F869">
            <v>66791806</v>
          </cell>
          <cell r="G869">
            <v>30280479</v>
          </cell>
          <cell r="H869">
            <v>20307712</v>
          </cell>
          <cell r="I869">
            <v>84667</v>
          </cell>
          <cell r="J869">
            <v>458409</v>
          </cell>
          <cell r="K869">
            <v>4651</v>
          </cell>
          <cell r="L869">
            <v>8190848</v>
          </cell>
          <cell r="M869">
            <v>6610891</v>
          </cell>
          <cell r="N869">
            <v>97959</v>
          </cell>
          <cell r="O869">
            <v>110536</v>
          </cell>
          <cell r="P869">
            <v>437013</v>
          </cell>
          <cell r="Q869">
            <v>208641</v>
          </cell>
          <cell r="R869">
            <v>66791806</v>
          </cell>
          <cell r="S869">
            <v>0</v>
          </cell>
        </row>
        <row r="870">
          <cell r="E870" t="str">
            <v>R602</v>
          </cell>
          <cell r="F870">
            <v>56967479</v>
          </cell>
          <cell r="G870">
            <v>27735756</v>
          </cell>
          <cell r="H870">
            <v>16179334</v>
          </cell>
          <cell r="I870">
            <v>64943</v>
          </cell>
          <cell r="J870">
            <v>407317</v>
          </cell>
          <cell r="K870">
            <v>3988</v>
          </cell>
          <cell r="L870">
            <v>6364407</v>
          </cell>
          <cell r="M870">
            <v>5135049</v>
          </cell>
          <cell r="N870">
            <v>113935</v>
          </cell>
          <cell r="O870">
            <v>457449</v>
          </cell>
          <cell r="P870">
            <v>337817</v>
          </cell>
          <cell r="Q870">
            <v>167484</v>
          </cell>
          <cell r="R870">
            <v>56967479</v>
          </cell>
          <cell r="S870">
            <v>0</v>
          </cell>
        </row>
        <row r="872">
          <cell r="R872" t="str">
            <v>FR-16(7)(v)-11</v>
          </cell>
        </row>
        <row r="873">
          <cell r="R873" t="str">
            <v>WITNESS RESPONSIBLE:</v>
          </cell>
        </row>
        <row r="874">
          <cell r="R874" t="str">
            <v>JAMES E. ZIOLKOWSKI</v>
          </cell>
        </row>
        <row r="875">
          <cell r="R875" t="str">
            <v>PAGE 17 OF 18</v>
          </cell>
        </row>
        <row r="878">
          <cell r="F878" t="str">
            <v>TOTAL</v>
          </cell>
          <cell r="H878" t="str">
            <v>DS</v>
          </cell>
          <cell r="I878" t="str">
            <v>GSFL</v>
          </cell>
          <cell r="J878" t="str">
            <v>EH</v>
          </cell>
          <cell r="K878" t="str">
            <v>SP</v>
          </cell>
          <cell r="L878" t="str">
            <v>DT SEC</v>
          </cell>
          <cell r="M878" t="str">
            <v>DT PRI</v>
          </cell>
          <cell r="N878" t="str">
            <v>DP</v>
          </cell>
          <cell r="O878" t="str">
            <v>TT</v>
          </cell>
          <cell r="Q878" t="str">
            <v>OTHER</v>
          </cell>
        </row>
        <row r="879">
          <cell r="F879" t="str">
            <v>DISTRIBUTION</v>
          </cell>
          <cell r="G879" t="str">
            <v>RS</v>
          </cell>
          <cell r="H879" t="str">
            <v>SECONDARY</v>
          </cell>
          <cell r="I879" t="str">
            <v>SECONDARY</v>
          </cell>
          <cell r="J879" t="str">
            <v>SECONDARY</v>
          </cell>
          <cell r="K879" t="str">
            <v>SECONDARY</v>
          </cell>
          <cell r="L879" t="str">
            <v>SECONDARY</v>
          </cell>
          <cell r="M879" t="str">
            <v>PRIMARY</v>
          </cell>
          <cell r="N879" t="str">
            <v>PRIMARY</v>
          </cell>
          <cell r="O879" t="str">
            <v>TRANSMISSION</v>
          </cell>
          <cell r="P879" t="str">
            <v>LT</v>
          </cell>
          <cell r="Q879" t="str">
            <v>WATER</v>
          </cell>
          <cell r="R879" t="str">
            <v>TOTAL</v>
          </cell>
          <cell r="S879" t="str">
            <v>ALL</v>
          </cell>
        </row>
        <row r="880">
          <cell r="E880" t="str">
            <v>ALLO</v>
          </cell>
          <cell r="F880" t="str">
            <v>DEMAND</v>
          </cell>
          <cell r="G880" t="str">
            <v>RESIDENTIAL</v>
          </cell>
          <cell r="H880" t="str">
            <v>DISTRIBUTION</v>
          </cell>
          <cell r="I880" t="str">
            <v>DISTRIBUTION</v>
          </cell>
          <cell r="J880" t="str">
            <v>DISTRIBUTION</v>
          </cell>
          <cell r="K880" t="str">
            <v>DISTRIBUTION</v>
          </cell>
          <cell r="L880" t="str">
            <v>DISTRIBUTION</v>
          </cell>
          <cell r="M880" t="str">
            <v>DISTRIBUTION</v>
          </cell>
          <cell r="N880" t="str">
            <v>DISTRIBUTION</v>
          </cell>
          <cell r="O880" t="str">
            <v>TIME OF DAY</v>
          </cell>
          <cell r="P880" t="str">
            <v>LIGHTING</v>
          </cell>
          <cell r="Q880" t="str">
            <v>PUMPING</v>
          </cell>
          <cell r="R880" t="str">
            <v>AT ISSUE</v>
          </cell>
          <cell r="S880" t="str">
            <v>OTHER</v>
          </cell>
        </row>
        <row r="881">
          <cell r="E881">
            <v>1</v>
          </cell>
          <cell r="G881">
            <v>3</v>
          </cell>
          <cell r="H881">
            <v>4</v>
          </cell>
          <cell r="I881">
            <v>5</v>
          </cell>
          <cell r="J881">
            <v>6</v>
          </cell>
          <cell r="K881">
            <v>7</v>
          </cell>
          <cell r="L881">
            <v>8</v>
          </cell>
          <cell r="M881">
            <v>9</v>
          </cell>
          <cell r="N881">
            <v>10</v>
          </cell>
          <cell r="O881">
            <v>11</v>
          </cell>
          <cell r="P881">
            <v>12</v>
          </cell>
          <cell r="Q881">
            <v>13</v>
          </cell>
          <cell r="S881" t="str">
            <v xml:space="preserve"> </v>
          </cell>
        </row>
        <row r="883">
          <cell r="F883">
            <v>450848089</v>
          </cell>
          <cell r="G883">
            <v>197851566</v>
          </cell>
          <cell r="H883">
            <v>128946845</v>
          </cell>
          <cell r="I883">
            <v>800742</v>
          </cell>
          <cell r="J883">
            <v>1829152</v>
          </cell>
          <cell r="K883">
            <v>50918</v>
          </cell>
          <cell r="L883">
            <v>57206760</v>
          </cell>
          <cell r="M883">
            <v>44398656</v>
          </cell>
          <cell r="N883">
            <v>846253</v>
          </cell>
          <cell r="O883">
            <v>15479736</v>
          </cell>
          <cell r="P883">
            <v>2496338</v>
          </cell>
          <cell r="Q883">
            <v>941124</v>
          </cell>
          <cell r="R883">
            <v>450848090</v>
          </cell>
          <cell r="S883">
            <v>-1</v>
          </cell>
        </row>
        <row r="884">
          <cell r="E884" t="str">
            <v>K901</v>
          </cell>
          <cell r="F884">
            <v>1</v>
          </cell>
          <cell r="G884">
            <v>0.43884000000000001</v>
          </cell>
          <cell r="H884">
            <v>0.28600951899999999</v>
          </cell>
          <cell r="I884">
            <v>1.7760790000000001E-3</v>
          </cell>
          <cell r="J884">
            <v>4.0571360000000002E-3</v>
          </cell>
          <cell r="K884">
            <v>1.12938E-4</v>
          </cell>
          <cell r="L884">
            <v>0.126886997</v>
          </cell>
          <cell r="M884">
            <v>9.8478083999999994E-2</v>
          </cell>
          <cell r="N884">
            <v>1.877025E-3</v>
          </cell>
          <cell r="O884">
            <v>3.4334705E-2</v>
          </cell>
          <cell r="P884">
            <v>5.5369829999999997E-3</v>
          </cell>
          <cell r="Q884">
            <v>2.087453E-3</v>
          </cell>
          <cell r="R884">
            <v>0.99999691899999998</v>
          </cell>
          <cell r="S884">
            <v>3.0810000000158766E-6</v>
          </cell>
        </row>
        <row r="885">
          <cell r="F885">
            <v>450848089</v>
          </cell>
          <cell r="G885">
            <v>197851566</v>
          </cell>
          <cell r="H885">
            <v>128946845</v>
          </cell>
          <cell r="I885">
            <v>800742</v>
          </cell>
          <cell r="J885">
            <v>1829152</v>
          </cell>
          <cell r="K885">
            <v>50918</v>
          </cell>
          <cell r="L885">
            <v>57206760</v>
          </cell>
          <cell r="M885">
            <v>44398656</v>
          </cell>
          <cell r="N885">
            <v>846253</v>
          </cell>
          <cell r="O885">
            <v>15479736</v>
          </cell>
          <cell r="P885">
            <v>2496338</v>
          </cell>
          <cell r="Q885">
            <v>941124</v>
          </cell>
          <cell r="R885">
            <v>450848090</v>
          </cell>
          <cell r="S885">
            <v>-1</v>
          </cell>
        </row>
        <row r="886">
          <cell r="E886" t="str">
            <v>K902</v>
          </cell>
          <cell r="F886">
            <v>1</v>
          </cell>
          <cell r="G886">
            <v>0.43884000000000001</v>
          </cell>
          <cell r="H886">
            <v>0.28600951899999999</v>
          </cell>
          <cell r="I886">
            <v>1.7760790000000001E-3</v>
          </cell>
          <cell r="J886">
            <v>4.0571360000000002E-3</v>
          </cell>
          <cell r="K886">
            <v>1.12938E-4</v>
          </cell>
          <cell r="L886">
            <v>0.126886997</v>
          </cell>
          <cell r="M886">
            <v>9.8478083999999994E-2</v>
          </cell>
          <cell r="N886">
            <v>1.877025E-3</v>
          </cell>
          <cell r="O886">
            <v>3.4334705E-2</v>
          </cell>
          <cell r="P886">
            <v>5.5369829999999997E-3</v>
          </cell>
          <cell r="Q886">
            <v>2.087453E-3</v>
          </cell>
          <cell r="R886">
            <v>0.99999691899999998</v>
          </cell>
          <cell r="S886">
            <v>3.0810000000158766E-6</v>
          </cell>
        </row>
        <row r="890">
          <cell r="E890" t="str">
            <v>P129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</row>
        <row r="891">
          <cell r="E891" t="str">
            <v>T129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</row>
        <row r="892">
          <cell r="E892" t="str">
            <v>PT29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</row>
        <row r="893">
          <cell r="E893" t="str">
            <v>D149</v>
          </cell>
          <cell r="F893">
            <v>1</v>
          </cell>
          <cell r="G893">
            <v>0.44474999999999987</v>
          </cell>
          <cell r="H893">
            <v>0.30919999999999997</v>
          </cell>
          <cell r="I893">
            <v>1.2999999999999999E-3</v>
          </cell>
          <cell r="J893">
            <v>6.79E-3</v>
          </cell>
          <cell r="K893">
            <v>6.9999999999999994E-5</v>
          </cell>
          <cell r="L893">
            <v>0.12544</v>
          </cell>
          <cell r="M893">
            <v>0.10125000000000001</v>
          </cell>
          <cell r="N893">
            <v>1.33E-3</v>
          </cell>
          <cell r="O893">
            <v>0</v>
          </cell>
          <cell r="P893">
            <v>6.7000000000000002E-3</v>
          </cell>
          <cell r="Q893">
            <v>3.1700000000000001E-3</v>
          </cell>
          <cell r="R893">
            <v>1</v>
          </cell>
          <cell r="S893">
            <v>0</v>
          </cell>
        </row>
        <row r="894">
          <cell r="E894" t="str">
            <v>TD29</v>
          </cell>
          <cell r="F894">
            <v>1</v>
          </cell>
          <cell r="G894">
            <v>0.44474999999999987</v>
          </cell>
          <cell r="H894">
            <v>0.30919999999999997</v>
          </cell>
          <cell r="I894">
            <v>1.2999999999999999E-3</v>
          </cell>
          <cell r="J894">
            <v>6.79E-3</v>
          </cell>
          <cell r="K894">
            <v>6.9999999999999994E-5</v>
          </cell>
          <cell r="L894">
            <v>0.12544</v>
          </cell>
          <cell r="M894">
            <v>0.10125000000000001</v>
          </cell>
          <cell r="N894">
            <v>1.33E-3</v>
          </cell>
          <cell r="O894">
            <v>0</v>
          </cell>
          <cell r="P894">
            <v>6.7000000000000002E-3</v>
          </cell>
          <cell r="Q894">
            <v>3.1700000000000001E-3</v>
          </cell>
          <cell r="R894">
            <v>1</v>
          </cell>
          <cell r="S894">
            <v>0</v>
          </cell>
        </row>
        <row r="895">
          <cell r="E895" t="str">
            <v>PD29</v>
          </cell>
          <cell r="F895">
            <v>1</v>
          </cell>
          <cell r="G895">
            <v>1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1</v>
          </cell>
          <cell r="S895">
            <v>0</v>
          </cell>
        </row>
        <row r="896">
          <cell r="E896" t="str">
            <v>G129</v>
          </cell>
          <cell r="F896">
            <v>1</v>
          </cell>
          <cell r="G896">
            <v>1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1</v>
          </cell>
          <cell r="S896">
            <v>0</v>
          </cell>
        </row>
        <row r="897">
          <cell r="E897" t="str">
            <v>C129</v>
          </cell>
          <cell r="F897">
            <v>1</v>
          </cell>
          <cell r="G897">
            <v>0.44474999999999987</v>
          </cell>
          <cell r="H897">
            <v>0.30919999999999997</v>
          </cell>
          <cell r="I897">
            <v>1.2999999999999999E-3</v>
          </cell>
          <cell r="J897">
            <v>6.79E-3</v>
          </cell>
          <cell r="K897">
            <v>6.9999999999999994E-5</v>
          </cell>
          <cell r="L897">
            <v>0.12544</v>
          </cell>
          <cell r="M897">
            <v>0.10125000000000001</v>
          </cell>
          <cell r="N897">
            <v>1.33E-3</v>
          </cell>
          <cell r="O897">
            <v>0</v>
          </cell>
          <cell r="P897">
            <v>6.7000000000000002E-3</v>
          </cell>
          <cell r="Q897">
            <v>3.1700000000000001E-3</v>
          </cell>
          <cell r="R897">
            <v>1</v>
          </cell>
          <cell r="S897">
            <v>0</v>
          </cell>
        </row>
        <row r="898">
          <cell r="E898" t="str">
            <v>GP19</v>
          </cell>
          <cell r="F898">
            <v>1</v>
          </cell>
          <cell r="G898">
            <v>0.44474999999999987</v>
          </cell>
          <cell r="H898">
            <v>0.30919999999999997</v>
          </cell>
          <cell r="I898">
            <v>1.2999999999999999E-3</v>
          </cell>
          <cell r="J898">
            <v>6.79E-3</v>
          </cell>
          <cell r="K898">
            <v>6.9999999999999994E-5</v>
          </cell>
          <cell r="L898">
            <v>0.12544</v>
          </cell>
          <cell r="M898">
            <v>0.10125000000000001</v>
          </cell>
          <cell r="N898">
            <v>1.33E-3</v>
          </cell>
          <cell r="O898">
            <v>0</v>
          </cell>
          <cell r="P898">
            <v>6.7000000000000002E-3</v>
          </cell>
          <cell r="Q898">
            <v>3.1700000000000001E-3</v>
          </cell>
          <cell r="R898">
            <v>1</v>
          </cell>
          <cell r="S898">
            <v>0</v>
          </cell>
        </row>
        <row r="899">
          <cell r="E899" t="str">
            <v>DR19</v>
          </cell>
          <cell r="F899">
            <v>1</v>
          </cell>
          <cell r="G899">
            <v>0.4448899999999999</v>
          </cell>
          <cell r="H899">
            <v>0.30912000000000001</v>
          </cell>
          <cell r="I899">
            <v>1.2999999999999999E-3</v>
          </cell>
          <cell r="J899">
            <v>6.79E-3</v>
          </cell>
          <cell r="K899">
            <v>6.9999999999999994E-5</v>
          </cell>
          <cell r="L899">
            <v>0.12540999999999999</v>
          </cell>
          <cell r="M899">
            <v>0.10122</v>
          </cell>
          <cell r="N899">
            <v>1.33E-3</v>
          </cell>
          <cell r="O899">
            <v>0</v>
          </cell>
          <cell r="P899">
            <v>6.7000000000000002E-3</v>
          </cell>
          <cell r="Q899">
            <v>3.1700000000000001E-3</v>
          </cell>
          <cell r="R899">
            <v>0.99999999999999989</v>
          </cell>
          <cell r="S899">
            <v>0</v>
          </cell>
        </row>
        <row r="902">
          <cell r="E902" t="str">
            <v>P229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E903" t="str">
            <v>T229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E904" t="str">
            <v>PL49</v>
          </cell>
          <cell r="F904">
            <v>1</v>
          </cell>
          <cell r="G904">
            <v>0.44474999999999987</v>
          </cell>
          <cell r="H904">
            <v>0.30919999999999997</v>
          </cell>
          <cell r="I904">
            <v>1.2999999999999999E-3</v>
          </cell>
          <cell r="J904">
            <v>6.79E-3</v>
          </cell>
          <cell r="K904">
            <v>6.9999999999999994E-5</v>
          </cell>
          <cell r="L904">
            <v>0.12544</v>
          </cell>
          <cell r="M904">
            <v>0.10125000000000001</v>
          </cell>
          <cell r="N904">
            <v>1.33E-3</v>
          </cell>
          <cell r="O904">
            <v>0</v>
          </cell>
          <cell r="P904">
            <v>6.7000000000000002E-3</v>
          </cell>
          <cell r="Q904">
            <v>3.1700000000000001E-3</v>
          </cell>
          <cell r="R904">
            <v>1</v>
          </cell>
          <cell r="S904">
            <v>0</v>
          </cell>
        </row>
        <row r="905">
          <cell r="E905" t="str">
            <v>D249</v>
          </cell>
          <cell r="F905">
            <v>1</v>
          </cell>
          <cell r="G905">
            <v>0.44474999999999987</v>
          </cell>
          <cell r="H905">
            <v>0.30919999999999997</v>
          </cell>
          <cell r="I905">
            <v>1.2999999999999999E-3</v>
          </cell>
          <cell r="J905">
            <v>6.79E-3</v>
          </cell>
          <cell r="K905">
            <v>6.9999999999999994E-5</v>
          </cell>
          <cell r="L905">
            <v>0.12544</v>
          </cell>
          <cell r="M905">
            <v>0.10125000000000001</v>
          </cell>
          <cell r="N905">
            <v>1.33E-3</v>
          </cell>
          <cell r="O905">
            <v>0</v>
          </cell>
          <cell r="P905">
            <v>6.7000000000000002E-3</v>
          </cell>
          <cell r="Q905">
            <v>3.1700000000000001E-3</v>
          </cell>
          <cell r="R905">
            <v>1</v>
          </cell>
          <cell r="S905">
            <v>0</v>
          </cell>
        </row>
        <row r="906">
          <cell r="E906" t="str">
            <v>NT29</v>
          </cell>
          <cell r="F906">
            <v>1</v>
          </cell>
          <cell r="G906">
            <v>0.44474999999999987</v>
          </cell>
          <cell r="H906">
            <v>0.30919999999999997</v>
          </cell>
          <cell r="I906">
            <v>1.2999999999999999E-3</v>
          </cell>
          <cell r="J906">
            <v>6.79E-3</v>
          </cell>
          <cell r="K906">
            <v>6.9999999999999994E-5</v>
          </cell>
          <cell r="L906">
            <v>0.12544</v>
          </cell>
          <cell r="M906">
            <v>0.10125000000000001</v>
          </cell>
          <cell r="N906">
            <v>1.33E-3</v>
          </cell>
          <cell r="O906">
            <v>0</v>
          </cell>
          <cell r="P906">
            <v>6.7000000000000002E-3</v>
          </cell>
          <cell r="Q906">
            <v>3.1700000000000001E-3</v>
          </cell>
          <cell r="R906">
            <v>1</v>
          </cell>
          <cell r="S906">
            <v>0</v>
          </cell>
        </row>
        <row r="907">
          <cell r="E907" t="str">
            <v>G229</v>
          </cell>
          <cell r="F907">
            <v>1</v>
          </cell>
          <cell r="G907">
            <v>0.99355000000000004</v>
          </cell>
          <cell r="H907">
            <v>3.3500000000000001E-3</v>
          </cell>
          <cell r="I907">
            <v>0</v>
          </cell>
          <cell r="J907">
            <v>0</v>
          </cell>
          <cell r="K907">
            <v>0</v>
          </cell>
          <cell r="L907">
            <v>1.49E-3</v>
          </cell>
          <cell r="M907">
            <v>1.24E-3</v>
          </cell>
          <cell r="N907">
            <v>0</v>
          </cell>
          <cell r="O907">
            <v>3.6999999999999999E-4</v>
          </cell>
          <cell r="P907">
            <v>0</v>
          </cell>
          <cell r="Q907">
            <v>0</v>
          </cell>
          <cell r="R907">
            <v>1</v>
          </cell>
          <cell r="S907">
            <v>0</v>
          </cell>
        </row>
        <row r="908">
          <cell r="E908" t="str">
            <v>C229</v>
          </cell>
          <cell r="F908">
            <v>1</v>
          </cell>
          <cell r="G908">
            <v>0.99353999999999998</v>
          </cell>
          <cell r="H908">
            <v>3.3300000000000001E-3</v>
          </cell>
          <cell r="I908">
            <v>0</v>
          </cell>
          <cell r="J908">
            <v>4.0000000000000003E-5</v>
          </cell>
          <cell r="K908">
            <v>0</v>
          </cell>
          <cell r="L908">
            <v>1.4599999999999999E-3</v>
          </cell>
          <cell r="M908">
            <v>1.1800000000000001E-3</v>
          </cell>
          <cell r="N908">
            <v>0</v>
          </cell>
          <cell r="O908">
            <v>4.0999999999999999E-4</v>
          </cell>
          <cell r="P908">
            <v>0</v>
          </cell>
          <cell r="Q908">
            <v>4.0000000000000003E-5</v>
          </cell>
          <cell r="R908">
            <v>1</v>
          </cell>
          <cell r="S908">
            <v>0</v>
          </cell>
        </row>
        <row r="909">
          <cell r="E909" t="str">
            <v>NP29</v>
          </cell>
          <cell r="F909">
            <v>1</v>
          </cell>
          <cell r="G909">
            <v>0.44470999999999983</v>
          </cell>
          <cell r="H909">
            <v>0.30921999999999999</v>
          </cell>
          <cell r="I909">
            <v>1.2999999999999999E-3</v>
          </cell>
          <cell r="J909">
            <v>6.79E-3</v>
          </cell>
          <cell r="K909">
            <v>6.9999999999999994E-5</v>
          </cell>
          <cell r="L909">
            <v>0.12545000000000001</v>
          </cell>
          <cell r="M909">
            <v>0.10126</v>
          </cell>
          <cell r="N909">
            <v>1.33E-3</v>
          </cell>
          <cell r="O909">
            <v>0</v>
          </cell>
          <cell r="P909">
            <v>6.7000000000000002E-3</v>
          </cell>
          <cell r="Q909">
            <v>3.1700000000000001E-3</v>
          </cell>
          <cell r="R909">
            <v>0.99999999999999989</v>
          </cell>
          <cell r="S909">
            <v>0</v>
          </cell>
        </row>
        <row r="912">
          <cell r="E912" t="str">
            <v>W669</v>
          </cell>
          <cell r="F912">
            <v>1</v>
          </cell>
          <cell r="G912">
            <v>1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</row>
        <row r="913">
          <cell r="E913" t="str">
            <v>W689</v>
          </cell>
          <cell r="F913">
            <v>1</v>
          </cell>
          <cell r="G913">
            <v>0.44470999999999983</v>
          </cell>
          <cell r="H913">
            <v>0.30921999999999999</v>
          </cell>
          <cell r="I913">
            <v>1.2999999999999999E-3</v>
          </cell>
          <cell r="J913">
            <v>6.79E-3</v>
          </cell>
          <cell r="K913">
            <v>6.9999999999999994E-5</v>
          </cell>
          <cell r="L913">
            <v>0.12545000000000001</v>
          </cell>
          <cell r="M913">
            <v>0.10126</v>
          </cell>
          <cell r="N913">
            <v>1.33E-3</v>
          </cell>
          <cell r="O913">
            <v>0</v>
          </cell>
          <cell r="P913">
            <v>6.7000000000000002E-3</v>
          </cell>
          <cell r="Q913">
            <v>3.1700000000000001E-3</v>
          </cell>
          <cell r="R913">
            <v>0.99999999999999989</v>
          </cell>
          <cell r="S913">
            <v>0</v>
          </cell>
        </row>
        <row r="914">
          <cell r="E914" t="str">
            <v>W719</v>
          </cell>
          <cell r="F914">
            <v>1</v>
          </cell>
          <cell r="G914">
            <v>1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</v>
          </cell>
          <cell r="S914">
            <v>0</v>
          </cell>
        </row>
        <row r="915">
          <cell r="E915" t="str">
            <v>W749</v>
          </cell>
          <cell r="F915">
            <v>1</v>
          </cell>
          <cell r="G915">
            <v>1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1</v>
          </cell>
          <cell r="S915">
            <v>0</v>
          </cell>
        </row>
        <row r="916">
          <cell r="E916" t="str">
            <v>WC79</v>
          </cell>
          <cell r="F916">
            <v>1</v>
          </cell>
          <cell r="G916">
            <v>0.44470999999999983</v>
          </cell>
          <cell r="H916">
            <v>0.30921999999999999</v>
          </cell>
          <cell r="I916">
            <v>1.2999999999999999E-3</v>
          </cell>
          <cell r="J916">
            <v>6.79E-3</v>
          </cell>
          <cell r="K916">
            <v>6.9999999999999994E-5</v>
          </cell>
          <cell r="L916">
            <v>0.12545000000000001</v>
          </cell>
          <cell r="M916">
            <v>0.10126</v>
          </cell>
          <cell r="N916">
            <v>1.33E-3</v>
          </cell>
          <cell r="O916">
            <v>0</v>
          </cell>
          <cell r="P916">
            <v>6.7000000000000002E-3</v>
          </cell>
          <cell r="Q916">
            <v>3.1700000000000001E-3</v>
          </cell>
          <cell r="R916">
            <v>0.99999999999999989</v>
          </cell>
          <cell r="S916">
            <v>0</v>
          </cell>
        </row>
        <row r="919">
          <cell r="E919" t="str">
            <v>RB29</v>
          </cell>
          <cell r="F919">
            <v>1</v>
          </cell>
          <cell r="G919">
            <v>0.44485999999999981</v>
          </cell>
          <cell r="H919">
            <v>0.30913000000000002</v>
          </cell>
          <cell r="I919">
            <v>1.2999999999999999E-3</v>
          </cell>
          <cell r="J919">
            <v>6.79E-3</v>
          </cell>
          <cell r="K919">
            <v>6.9999999999999994E-5</v>
          </cell>
          <cell r="L919">
            <v>0.12540000000000001</v>
          </cell>
          <cell r="M919">
            <v>0.10122</v>
          </cell>
          <cell r="N919">
            <v>1.33E-3</v>
          </cell>
          <cell r="O919">
            <v>3.0000000000000001E-5</v>
          </cell>
          <cell r="P919">
            <v>6.7000000000000002E-3</v>
          </cell>
          <cell r="Q919">
            <v>3.1700000000000001E-3</v>
          </cell>
          <cell r="R919">
            <v>0.99999999999999989</v>
          </cell>
          <cell r="S919">
            <v>0</v>
          </cell>
        </row>
        <row r="920">
          <cell r="E920" t="str">
            <v>RB99</v>
          </cell>
          <cell r="F920">
            <v>1</v>
          </cell>
          <cell r="G920">
            <v>0.44485999999999981</v>
          </cell>
          <cell r="H920">
            <v>0.30913000000000002</v>
          </cell>
          <cell r="I920">
            <v>1.2999999999999999E-3</v>
          </cell>
          <cell r="J920">
            <v>6.79E-3</v>
          </cell>
          <cell r="K920">
            <v>6.9999999999999994E-5</v>
          </cell>
          <cell r="L920">
            <v>0.12540000000000001</v>
          </cell>
          <cell r="M920">
            <v>0.10122</v>
          </cell>
          <cell r="N920">
            <v>1.33E-3</v>
          </cell>
          <cell r="O920">
            <v>3.0000000000000001E-5</v>
          </cell>
          <cell r="P920">
            <v>6.7000000000000002E-3</v>
          </cell>
          <cell r="Q920">
            <v>3.1700000000000001E-3</v>
          </cell>
          <cell r="R920">
            <v>0.99999999999999989</v>
          </cell>
          <cell r="S920">
            <v>0</v>
          </cell>
        </row>
        <row r="921">
          <cell r="E921" t="str">
            <v>CW29</v>
          </cell>
          <cell r="F921">
            <v>1</v>
          </cell>
          <cell r="G921">
            <v>1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1</v>
          </cell>
          <cell r="S921">
            <v>0</v>
          </cell>
        </row>
        <row r="923">
          <cell r="R923" t="str">
            <v>FR-16(7)(v)-11</v>
          </cell>
        </row>
        <row r="924">
          <cell r="R924" t="str">
            <v>WITNESS RESPONSIBLE:</v>
          </cell>
        </row>
        <row r="925">
          <cell r="R925" t="str">
            <v>JAMES E. ZIOLKOWSKI</v>
          </cell>
        </row>
        <row r="926">
          <cell r="R926" t="str">
            <v>PAGE 18 OF 18</v>
          </cell>
        </row>
        <row r="929">
          <cell r="F929" t="str">
            <v>TOTAL</v>
          </cell>
          <cell r="H929" t="str">
            <v>DS</v>
          </cell>
          <cell r="I929" t="str">
            <v>GSFL</v>
          </cell>
          <cell r="J929" t="str">
            <v>EH</v>
          </cell>
          <cell r="K929" t="str">
            <v>SP</v>
          </cell>
          <cell r="L929" t="str">
            <v>DT SEC</v>
          </cell>
          <cell r="M929" t="str">
            <v>DT PRI</v>
          </cell>
          <cell r="N929" t="str">
            <v>DP</v>
          </cell>
          <cell r="O929" t="str">
            <v>TT</v>
          </cell>
          <cell r="Q929" t="str">
            <v>OTHER</v>
          </cell>
        </row>
        <row r="930">
          <cell r="F930" t="str">
            <v>DISTRIBUTION</v>
          </cell>
          <cell r="G930" t="str">
            <v>RS</v>
          </cell>
          <cell r="H930" t="str">
            <v>SECONDARY</v>
          </cell>
          <cell r="I930" t="str">
            <v>SECONDARY</v>
          </cell>
          <cell r="J930" t="str">
            <v>SECONDARY</v>
          </cell>
          <cell r="K930" t="str">
            <v>SECONDARY</v>
          </cell>
          <cell r="L930" t="str">
            <v>SECONDARY</v>
          </cell>
          <cell r="M930" t="str">
            <v>PRIMARY</v>
          </cell>
          <cell r="N930" t="str">
            <v>PRIMARY</v>
          </cell>
          <cell r="O930" t="str">
            <v>TRANSMISSION</v>
          </cell>
          <cell r="P930" t="str">
            <v>LT</v>
          </cell>
          <cell r="Q930" t="str">
            <v>WATER</v>
          </cell>
          <cell r="R930" t="str">
            <v>TOTAL</v>
          </cell>
          <cell r="S930" t="str">
            <v>ALL</v>
          </cell>
        </row>
        <row r="931">
          <cell r="E931" t="str">
            <v>ALLO</v>
          </cell>
          <cell r="F931" t="str">
            <v>DEMAND</v>
          </cell>
          <cell r="G931" t="str">
            <v>RESIDENTIAL</v>
          </cell>
          <cell r="H931" t="str">
            <v>DISTRIBUTION</v>
          </cell>
          <cell r="I931" t="str">
            <v>DISTRIBUTION</v>
          </cell>
          <cell r="J931" t="str">
            <v>DISTRIBUTION</v>
          </cell>
          <cell r="K931" t="str">
            <v>DISTRIBUTION</v>
          </cell>
          <cell r="L931" t="str">
            <v>DISTRIBUTION</v>
          </cell>
          <cell r="M931" t="str">
            <v>DISTRIBUTION</v>
          </cell>
          <cell r="N931" t="str">
            <v>DISTRIBUTION</v>
          </cell>
          <cell r="O931" t="str">
            <v>TIME OF DAY</v>
          </cell>
          <cell r="P931" t="str">
            <v>LIGHTING</v>
          </cell>
          <cell r="Q931" t="str">
            <v>PUMPING</v>
          </cell>
          <cell r="R931" t="str">
            <v>AT ISSUE</v>
          </cell>
          <cell r="S931" t="str">
            <v>OTHER</v>
          </cell>
        </row>
        <row r="932">
          <cell r="E932">
            <v>1</v>
          </cell>
          <cell r="G932">
            <v>3</v>
          </cell>
          <cell r="H932">
            <v>4</v>
          </cell>
          <cell r="I932">
            <v>5</v>
          </cell>
          <cell r="J932">
            <v>6</v>
          </cell>
          <cell r="K932">
            <v>7</v>
          </cell>
          <cell r="L932">
            <v>8</v>
          </cell>
          <cell r="M932">
            <v>9</v>
          </cell>
          <cell r="N932">
            <v>10</v>
          </cell>
          <cell r="O932">
            <v>11</v>
          </cell>
          <cell r="P932">
            <v>12</v>
          </cell>
          <cell r="Q932">
            <v>13</v>
          </cell>
          <cell r="S932" t="str">
            <v xml:space="preserve"> </v>
          </cell>
        </row>
        <row r="934">
          <cell r="E934" t="str">
            <v>P349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</v>
          </cell>
        </row>
        <row r="935">
          <cell r="E935" t="str">
            <v>E349</v>
          </cell>
          <cell r="F935">
            <v>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1</v>
          </cell>
        </row>
        <row r="936">
          <cell r="E936" t="str">
            <v>P459</v>
          </cell>
          <cell r="F936">
            <v>1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1</v>
          </cell>
        </row>
        <row r="937">
          <cell r="E937" t="str">
            <v>T349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1</v>
          </cell>
        </row>
        <row r="938">
          <cell r="E938" t="str">
            <v>D349</v>
          </cell>
          <cell r="F938">
            <v>1</v>
          </cell>
          <cell r="G938">
            <v>0.48687999999999998</v>
          </cell>
          <cell r="H938">
            <v>0.28400999999999998</v>
          </cell>
          <cell r="I938">
            <v>1.14E-3</v>
          </cell>
          <cell r="J938">
            <v>7.1500000000000001E-3</v>
          </cell>
          <cell r="K938">
            <v>6.9999999999999994E-5</v>
          </cell>
          <cell r="L938">
            <v>0.11172</v>
          </cell>
          <cell r="M938">
            <v>9.0139999999999998E-2</v>
          </cell>
          <cell r="N938">
            <v>2E-3</v>
          </cell>
          <cell r="O938">
            <v>8.0300000000000007E-3</v>
          </cell>
          <cell r="P938">
            <v>5.9300000000000004E-3</v>
          </cell>
          <cell r="Q938">
            <v>2.9399999999999999E-3</v>
          </cell>
          <cell r="R938">
            <v>1.0000100000000001</v>
          </cell>
          <cell r="S938">
            <v>-1.0000000000065512E-5</v>
          </cell>
        </row>
        <row r="939">
          <cell r="E939" t="str">
            <v>C311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E940" t="str">
            <v>C319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1</v>
          </cell>
        </row>
        <row r="941">
          <cell r="E941" t="str">
            <v>C331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1</v>
          </cell>
        </row>
        <row r="942">
          <cell r="E942" t="str">
            <v>S319</v>
          </cell>
          <cell r="F942">
            <v>1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1</v>
          </cell>
        </row>
        <row r="943">
          <cell r="E943" t="str">
            <v>OM39</v>
          </cell>
          <cell r="F943">
            <v>1</v>
          </cell>
          <cell r="G943">
            <v>0.48687000000000002</v>
          </cell>
          <cell r="H943">
            <v>0.28400999999999998</v>
          </cell>
          <cell r="I943">
            <v>1.14E-3</v>
          </cell>
          <cell r="J943">
            <v>7.1500000000000001E-3</v>
          </cell>
          <cell r="K943">
            <v>6.9999999999999994E-5</v>
          </cell>
          <cell r="L943">
            <v>0.11172</v>
          </cell>
          <cell r="M943">
            <v>9.0139999999999998E-2</v>
          </cell>
          <cell r="N943">
            <v>2E-3</v>
          </cell>
          <cell r="O943">
            <v>8.0300000000000007E-3</v>
          </cell>
          <cell r="P943">
            <v>5.9300000000000004E-3</v>
          </cell>
          <cell r="Q943">
            <v>2.9399999999999999E-3</v>
          </cell>
          <cell r="R943">
            <v>1</v>
          </cell>
          <cell r="S943">
            <v>0</v>
          </cell>
        </row>
        <row r="946">
          <cell r="E946" t="str">
            <v>A300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1</v>
          </cell>
        </row>
        <row r="947">
          <cell r="E947" t="str">
            <v>A302</v>
          </cell>
          <cell r="F947">
            <v>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</row>
        <row r="948">
          <cell r="E948" t="str">
            <v>A304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</row>
        <row r="949">
          <cell r="E949" t="str">
            <v>A306</v>
          </cell>
          <cell r="F949">
            <v>1</v>
          </cell>
          <cell r="G949">
            <v>0.48687000000000002</v>
          </cell>
          <cell r="H949">
            <v>0.28400999999999998</v>
          </cell>
          <cell r="I949">
            <v>1.14E-3</v>
          </cell>
          <cell r="J949">
            <v>7.1500000000000001E-3</v>
          </cell>
          <cell r="K949">
            <v>6.9999999999999994E-5</v>
          </cell>
          <cell r="L949">
            <v>0.11172</v>
          </cell>
          <cell r="M949">
            <v>9.0139999999999998E-2</v>
          </cell>
          <cell r="N949">
            <v>2E-3</v>
          </cell>
          <cell r="O949">
            <v>8.0300000000000007E-3</v>
          </cell>
          <cell r="P949">
            <v>5.9300000000000004E-3</v>
          </cell>
          <cell r="Q949">
            <v>2.9399999999999999E-3</v>
          </cell>
          <cell r="R949">
            <v>1</v>
          </cell>
          <cell r="S949">
            <v>0</v>
          </cell>
        </row>
        <row r="950">
          <cell r="E950" t="str">
            <v>A308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</v>
          </cell>
        </row>
        <row r="951">
          <cell r="E951" t="str">
            <v>A310</v>
          </cell>
          <cell r="F951">
            <v>1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1</v>
          </cell>
        </row>
        <row r="952">
          <cell r="E952" t="str">
            <v>A312</v>
          </cell>
          <cell r="F952">
            <v>1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1</v>
          </cell>
        </row>
        <row r="953">
          <cell r="E953" t="str">
            <v>A315</v>
          </cell>
          <cell r="F953">
            <v>1</v>
          </cell>
          <cell r="G953">
            <v>0.48687000000000002</v>
          </cell>
          <cell r="H953">
            <v>0.28400999999999998</v>
          </cell>
          <cell r="I953">
            <v>1.14E-3</v>
          </cell>
          <cell r="J953">
            <v>7.1500000000000001E-3</v>
          </cell>
          <cell r="K953">
            <v>6.9999999999999994E-5</v>
          </cell>
          <cell r="L953">
            <v>0.11172</v>
          </cell>
          <cell r="M953">
            <v>9.0139999999999998E-2</v>
          </cell>
          <cell r="N953">
            <v>2E-3</v>
          </cell>
          <cell r="O953">
            <v>8.0300000000000007E-3</v>
          </cell>
          <cell r="P953">
            <v>5.9300000000000004E-3</v>
          </cell>
          <cell r="Q953">
            <v>2.9399999999999999E-3</v>
          </cell>
          <cell r="R953">
            <v>1</v>
          </cell>
          <cell r="S953">
            <v>0</v>
          </cell>
        </row>
        <row r="954">
          <cell r="E954" t="str">
            <v>A357</v>
          </cell>
          <cell r="F954">
            <v>1</v>
          </cell>
          <cell r="G954">
            <v>0.48687000000000002</v>
          </cell>
          <cell r="H954">
            <v>0.28400999999999998</v>
          </cell>
          <cell r="I954">
            <v>1.14E-3</v>
          </cell>
          <cell r="J954">
            <v>7.1500000000000001E-3</v>
          </cell>
          <cell r="K954">
            <v>6.9999999999999994E-5</v>
          </cell>
          <cell r="L954">
            <v>0.11172</v>
          </cell>
          <cell r="M954">
            <v>9.0139999999999998E-2</v>
          </cell>
          <cell r="N954">
            <v>2E-3</v>
          </cell>
          <cell r="O954">
            <v>8.0300000000000007E-3</v>
          </cell>
          <cell r="P954">
            <v>5.9300000000000004E-3</v>
          </cell>
          <cell r="Q954">
            <v>2.9399999999999999E-3</v>
          </cell>
          <cell r="R954">
            <v>1</v>
          </cell>
          <cell r="S954">
            <v>0</v>
          </cell>
        </row>
        <row r="957">
          <cell r="E957" t="str">
            <v>P489</v>
          </cell>
          <cell r="F957">
            <v>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1</v>
          </cell>
        </row>
        <row r="958">
          <cell r="E958" t="str">
            <v>T489</v>
          </cell>
          <cell r="F958">
            <v>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1</v>
          </cell>
        </row>
        <row r="959">
          <cell r="E959" t="str">
            <v>D489</v>
          </cell>
          <cell r="F959">
            <v>1</v>
          </cell>
          <cell r="G959">
            <v>0.44474999999999998</v>
          </cell>
          <cell r="H959">
            <v>0.30919999999999997</v>
          </cell>
          <cell r="I959">
            <v>1.2999999999999999E-3</v>
          </cell>
          <cell r="J959">
            <v>6.79E-3</v>
          </cell>
          <cell r="K959">
            <v>6.9999999999999994E-5</v>
          </cell>
          <cell r="L959">
            <v>0.12544</v>
          </cell>
          <cell r="M959">
            <v>0.10125000000000001</v>
          </cell>
          <cell r="N959">
            <v>1.33E-3</v>
          </cell>
          <cell r="O959">
            <v>0</v>
          </cell>
          <cell r="P959">
            <v>6.7000000000000002E-3</v>
          </cell>
          <cell r="Q959">
            <v>3.1700000000000001E-3</v>
          </cell>
          <cell r="R959">
            <v>1</v>
          </cell>
          <cell r="S959">
            <v>0</v>
          </cell>
        </row>
        <row r="960">
          <cell r="E960" t="str">
            <v>G489</v>
          </cell>
          <cell r="F960">
            <v>1</v>
          </cell>
          <cell r="G960">
            <v>0.99368999999999996</v>
          </cell>
          <cell r="H960">
            <v>3.16E-3</v>
          </cell>
          <cell r="I960">
            <v>0</v>
          </cell>
          <cell r="J960">
            <v>0</v>
          </cell>
          <cell r="K960">
            <v>0</v>
          </cell>
          <cell r="L960">
            <v>1.58E-3</v>
          </cell>
          <cell r="M960">
            <v>1.58E-3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1.0000100000000001</v>
          </cell>
          <cell r="S960">
            <v>-1.0000000000065512E-5</v>
          </cell>
        </row>
        <row r="961">
          <cell r="E961" t="str">
            <v>C489</v>
          </cell>
          <cell r="F961">
            <v>1</v>
          </cell>
          <cell r="G961">
            <v>0.99421000000000004</v>
          </cell>
          <cell r="H961">
            <v>2.8900000000000002E-3</v>
          </cell>
          <cell r="I961">
            <v>0</v>
          </cell>
          <cell r="J961">
            <v>0</v>
          </cell>
          <cell r="K961">
            <v>0</v>
          </cell>
          <cell r="L961">
            <v>1.4499999999999999E-3</v>
          </cell>
          <cell r="M961">
            <v>1.4499999999999999E-3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0.99999999999999989</v>
          </cell>
          <cell r="S961">
            <v>0</v>
          </cell>
        </row>
        <row r="962">
          <cell r="E962" t="str">
            <v>DE49</v>
          </cell>
          <cell r="F962">
            <v>1</v>
          </cell>
          <cell r="G962">
            <v>0.44468999999999997</v>
          </cell>
          <cell r="H962">
            <v>0.30924000000000001</v>
          </cell>
          <cell r="I962">
            <v>1.2999999999999999E-3</v>
          </cell>
          <cell r="J962">
            <v>6.79E-3</v>
          </cell>
          <cell r="K962">
            <v>6.9999999999999994E-5</v>
          </cell>
          <cell r="L962">
            <v>0.12545000000000001</v>
          </cell>
          <cell r="M962">
            <v>0.10126</v>
          </cell>
          <cell r="N962">
            <v>1.33E-3</v>
          </cell>
          <cell r="O962">
            <v>0</v>
          </cell>
          <cell r="P962">
            <v>6.7000000000000002E-3</v>
          </cell>
          <cell r="Q962">
            <v>3.1700000000000001E-3</v>
          </cell>
          <cell r="R962">
            <v>1</v>
          </cell>
          <cell r="S962">
            <v>0</v>
          </cell>
        </row>
        <row r="965">
          <cell r="E965" t="str">
            <v>L529</v>
          </cell>
          <cell r="F965">
            <v>1</v>
          </cell>
          <cell r="G965">
            <v>0.44470999999999999</v>
          </cell>
          <cell r="H965">
            <v>0.30921999999999999</v>
          </cell>
          <cell r="I965">
            <v>1.2999999999999999E-3</v>
          </cell>
          <cell r="J965">
            <v>6.79E-3</v>
          </cell>
          <cell r="K965">
            <v>6.9999999999999994E-5</v>
          </cell>
          <cell r="L965">
            <v>0.12545000000000001</v>
          </cell>
          <cell r="M965">
            <v>0.10126</v>
          </cell>
          <cell r="N965">
            <v>1.33E-3</v>
          </cell>
          <cell r="O965">
            <v>0</v>
          </cell>
          <cell r="P965">
            <v>6.7000000000000002E-3</v>
          </cell>
          <cell r="Q965">
            <v>3.1700000000000001E-3</v>
          </cell>
          <cell r="R965">
            <v>1</v>
          </cell>
          <cell r="S965">
            <v>0</v>
          </cell>
        </row>
        <row r="966">
          <cell r="E966" t="str">
            <v>L589</v>
          </cell>
          <cell r="F966">
            <v>1</v>
          </cell>
          <cell r="G966">
            <v>0.48687000000000002</v>
          </cell>
          <cell r="H966">
            <v>0.28400999999999998</v>
          </cell>
          <cell r="I966">
            <v>1.14E-3</v>
          </cell>
          <cell r="J966">
            <v>7.1500000000000001E-3</v>
          </cell>
          <cell r="K966">
            <v>6.9999999999999994E-5</v>
          </cell>
          <cell r="L966">
            <v>0.11172</v>
          </cell>
          <cell r="M966">
            <v>9.0139999999999998E-2</v>
          </cell>
          <cell r="N966">
            <v>2E-3</v>
          </cell>
          <cell r="O966">
            <v>8.0300000000000007E-3</v>
          </cell>
          <cell r="P966">
            <v>5.9300000000000004E-3</v>
          </cell>
          <cell r="Q966">
            <v>2.9399999999999999E-3</v>
          </cell>
          <cell r="R966">
            <v>1</v>
          </cell>
          <cell r="S966">
            <v>0</v>
          </cell>
        </row>
        <row r="967">
          <cell r="E967" t="str">
            <v>L599</v>
          </cell>
          <cell r="F967">
            <v>1</v>
          </cell>
          <cell r="G967">
            <v>0.44638</v>
          </cell>
          <cell r="H967">
            <v>0.30815999999999999</v>
          </cell>
          <cell r="I967">
            <v>1.2899999999999999E-3</v>
          </cell>
          <cell r="J967">
            <v>6.7999999999999996E-3</v>
          </cell>
          <cell r="K967">
            <v>6.9999999999999994E-5</v>
          </cell>
          <cell r="L967">
            <v>0.12490999999999999</v>
          </cell>
          <cell r="M967">
            <v>0.10081</v>
          </cell>
          <cell r="N967">
            <v>1.3600000000000001E-3</v>
          </cell>
          <cell r="O967">
            <v>4.0000000000000002E-4</v>
          </cell>
          <cell r="P967">
            <v>6.6699999999999997E-3</v>
          </cell>
          <cell r="Q967">
            <v>3.16E-3</v>
          </cell>
          <cell r="R967">
            <v>1.0000099999999998</v>
          </cell>
          <cell r="S967">
            <v>-9.9999999998434674E-6</v>
          </cell>
        </row>
        <row r="968">
          <cell r="E968" t="str">
            <v>OP69</v>
          </cell>
          <cell r="F968">
            <v>1</v>
          </cell>
          <cell r="G968">
            <v>0.46195999999999998</v>
          </cell>
          <cell r="H968">
            <v>0.29888999999999999</v>
          </cell>
          <cell r="I968">
            <v>1.23E-3</v>
          </cell>
          <cell r="J968">
            <v>6.94E-3</v>
          </cell>
          <cell r="K968">
            <v>6.9999999999999994E-5</v>
          </cell>
          <cell r="L968">
            <v>0.11983000000000001</v>
          </cell>
          <cell r="M968">
            <v>9.6710000000000004E-2</v>
          </cell>
          <cell r="N968">
            <v>1.6100000000000001E-3</v>
          </cell>
          <cell r="O968">
            <v>3.3E-3</v>
          </cell>
          <cell r="P968">
            <v>6.3800000000000003E-3</v>
          </cell>
          <cell r="Q968">
            <v>3.0799999999999998E-3</v>
          </cell>
          <cell r="R968">
            <v>0.99999999999999989</v>
          </cell>
          <cell r="S968">
            <v>0</v>
          </cell>
        </row>
        <row r="971">
          <cell r="E971" t="str">
            <v>CS09</v>
          </cell>
          <cell r="F971">
            <v>1</v>
          </cell>
          <cell r="G971">
            <v>0.45335619900000002</v>
          </cell>
          <cell r="H971">
            <v>0.30404495599999998</v>
          </cell>
          <cell r="I971">
            <v>1.2676219999999999E-3</v>
          </cell>
          <cell r="J971">
            <v>6.8632579999999997E-3</v>
          </cell>
          <cell r="K971">
            <v>6.9632E-5</v>
          </cell>
          <cell r="L971">
            <v>0.122632529</v>
          </cell>
          <cell r="M971">
            <v>9.8977581999999995E-2</v>
          </cell>
          <cell r="N971">
            <v>1.4666289999999999E-3</v>
          </cell>
          <cell r="O971">
            <v>1.6549309999999999E-3</v>
          </cell>
          <cell r="P971">
            <v>6.5429119999999997E-3</v>
          </cell>
          <cell r="Q971">
            <v>3.1237499999999998E-3</v>
          </cell>
          <cell r="R971">
            <v>0.99999999999999989</v>
          </cell>
          <cell r="S971">
            <v>0</v>
          </cell>
        </row>
      </sheetData>
      <sheetData sheetId="15">
        <row r="24">
          <cell r="H24">
            <v>0</v>
          </cell>
        </row>
        <row r="33">
          <cell r="H33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0</v>
          </cell>
        </row>
        <row r="101">
          <cell r="H101">
            <v>0</v>
          </cell>
        </row>
        <row r="102">
          <cell r="H102">
            <v>0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H105">
            <v>0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0</v>
          </cell>
        </row>
        <row r="113">
          <cell r="H113">
            <v>0</v>
          </cell>
        </row>
        <row r="114">
          <cell r="H114">
            <v>0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H117">
            <v>0</v>
          </cell>
        </row>
        <row r="118">
          <cell r="H118">
            <v>0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42">
          <cell r="H142">
            <v>0</v>
          </cell>
        </row>
        <row r="143">
          <cell r="H143">
            <v>0</v>
          </cell>
        </row>
        <row r="144">
          <cell r="H144">
            <v>0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0</v>
          </cell>
        </row>
        <row r="156">
          <cell r="H156">
            <v>0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67">
          <cell r="H167">
            <v>0</v>
          </cell>
        </row>
        <row r="168">
          <cell r="H168">
            <v>0</v>
          </cell>
        </row>
        <row r="169">
          <cell r="H169">
            <v>0</v>
          </cell>
        </row>
        <row r="170">
          <cell r="H170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4">
          <cell r="H184">
            <v>0</v>
          </cell>
        </row>
        <row r="185">
          <cell r="H185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0</v>
          </cell>
        </row>
        <row r="304">
          <cell r="H304">
            <v>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0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0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0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0</v>
          </cell>
        </row>
        <row r="396">
          <cell r="H396">
            <v>0</v>
          </cell>
        </row>
        <row r="397">
          <cell r="H397">
            <v>0</v>
          </cell>
        </row>
        <row r="402">
          <cell r="H402">
            <v>0</v>
          </cell>
        </row>
        <row r="403">
          <cell r="H403">
            <v>0</v>
          </cell>
        </row>
        <row r="404">
          <cell r="H404">
            <v>0</v>
          </cell>
        </row>
        <row r="407">
          <cell r="H407">
            <v>0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0</v>
          </cell>
        </row>
        <row r="447">
          <cell r="H447">
            <v>0</v>
          </cell>
        </row>
        <row r="448">
          <cell r="H448">
            <v>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0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0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0</v>
          </cell>
        </row>
        <row r="473">
          <cell r="H473">
            <v>0</v>
          </cell>
        </row>
        <row r="474">
          <cell r="H474">
            <v>0</v>
          </cell>
        </row>
        <row r="475">
          <cell r="H475">
            <v>0</v>
          </cell>
        </row>
        <row r="476">
          <cell r="H476">
            <v>0</v>
          </cell>
        </row>
        <row r="477">
          <cell r="H477">
            <v>0</v>
          </cell>
        </row>
        <row r="478">
          <cell r="H478">
            <v>0</v>
          </cell>
        </row>
        <row r="479">
          <cell r="H479">
            <v>0</v>
          </cell>
        </row>
        <row r="480">
          <cell r="H480">
            <v>0</v>
          </cell>
        </row>
        <row r="481">
          <cell r="H481">
            <v>0</v>
          </cell>
        </row>
        <row r="482">
          <cell r="H482">
            <v>0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0</v>
          </cell>
        </row>
        <row r="486">
          <cell r="H486">
            <v>0</v>
          </cell>
        </row>
        <row r="487">
          <cell r="H487">
            <v>0</v>
          </cell>
        </row>
        <row r="488">
          <cell r="H488">
            <v>0</v>
          </cell>
        </row>
        <row r="489">
          <cell r="H489">
            <v>0</v>
          </cell>
        </row>
        <row r="490">
          <cell r="H490">
            <v>0</v>
          </cell>
        </row>
        <row r="491">
          <cell r="H491">
            <v>0</v>
          </cell>
        </row>
        <row r="495">
          <cell r="H495">
            <v>0</v>
          </cell>
        </row>
        <row r="496">
          <cell r="H496">
            <v>0</v>
          </cell>
        </row>
        <row r="497">
          <cell r="H497">
            <v>0</v>
          </cell>
        </row>
        <row r="498">
          <cell r="H498">
            <v>0</v>
          </cell>
        </row>
        <row r="499">
          <cell r="H499">
            <v>0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0</v>
          </cell>
        </row>
        <row r="516">
          <cell r="H516">
            <v>0</v>
          </cell>
        </row>
        <row r="517">
          <cell r="H517">
            <v>0</v>
          </cell>
        </row>
        <row r="521">
          <cell r="H521">
            <v>0</v>
          </cell>
        </row>
        <row r="525">
          <cell r="H525">
            <v>0</v>
          </cell>
        </row>
        <row r="526">
          <cell r="H526">
            <v>0</v>
          </cell>
        </row>
        <row r="527">
          <cell r="H527">
            <v>0</v>
          </cell>
        </row>
        <row r="528">
          <cell r="H528">
            <v>0</v>
          </cell>
        </row>
        <row r="529">
          <cell r="H529">
            <v>0</v>
          </cell>
        </row>
        <row r="530">
          <cell r="H530">
            <v>0</v>
          </cell>
        </row>
        <row r="531">
          <cell r="H531">
            <v>0</v>
          </cell>
        </row>
        <row r="533">
          <cell r="H533">
            <v>0</v>
          </cell>
        </row>
        <row r="534">
          <cell r="H534">
            <v>0</v>
          </cell>
        </row>
        <row r="535">
          <cell r="H535">
            <v>0</v>
          </cell>
        </row>
        <row r="536">
          <cell r="H536">
            <v>0</v>
          </cell>
        </row>
        <row r="537">
          <cell r="H537">
            <v>0</v>
          </cell>
        </row>
        <row r="538">
          <cell r="H538">
            <v>0</v>
          </cell>
        </row>
        <row r="539">
          <cell r="H539">
            <v>0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0</v>
          </cell>
        </row>
        <row r="543">
          <cell r="H543">
            <v>0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0</v>
          </cell>
        </row>
        <row r="562">
          <cell r="H562">
            <v>0</v>
          </cell>
        </row>
        <row r="566">
          <cell r="H566">
            <v>0</v>
          </cell>
        </row>
        <row r="570">
          <cell r="H570">
            <v>0</v>
          </cell>
        </row>
        <row r="574">
          <cell r="H574">
            <v>0</v>
          </cell>
        </row>
        <row r="578">
          <cell r="H578">
            <v>0</v>
          </cell>
        </row>
        <row r="596">
          <cell r="H596">
            <v>0</v>
          </cell>
        </row>
        <row r="597">
          <cell r="H597">
            <v>0</v>
          </cell>
        </row>
        <row r="601">
          <cell r="H601">
            <v>0</v>
          </cell>
        </row>
        <row r="602">
          <cell r="H602">
            <v>0</v>
          </cell>
        </row>
        <row r="603">
          <cell r="H603">
            <v>0</v>
          </cell>
        </row>
        <row r="604">
          <cell r="H604">
            <v>0</v>
          </cell>
        </row>
        <row r="608">
          <cell r="H608">
            <v>0</v>
          </cell>
        </row>
        <row r="609">
          <cell r="H609">
            <v>0</v>
          </cell>
        </row>
        <row r="632">
          <cell r="H632">
            <v>0</v>
          </cell>
        </row>
        <row r="636">
          <cell r="H636">
            <v>0</v>
          </cell>
        </row>
        <row r="637">
          <cell r="H637">
            <v>0</v>
          </cell>
        </row>
        <row r="638">
          <cell r="H638">
            <v>0</v>
          </cell>
        </row>
        <row r="644">
          <cell r="H644">
            <v>0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0</v>
          </cell>
        </row>
        <row r="648">
          <cell r="H648">
            <v>0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74">
          <cell r="H674">
            <v>0</v>
          </cell>
        </row>
        <row r="694">
          <cell r="H694">
            <v>0</v>
          </cell>
        </row>
        <row r="695">
          <cell r="H695">
            <v>0</v>
          </cell>
        </row>
        <row r="700">
          <cell r="H700">
            <v>0</v>
          </cell>
        </row>
        <row r="704">
          <cell r="H704">
            <v>0</v>
          </cell>
        </row>
        <row r="742">
          <cell r="H742">
            <v>0</v>
          </cell>
        </row>
        <row r="743">
          <cell r="H743">
            <v>0</v>
          </cell>
        </row>
        <row r="744">
          <cell r="H744">
            <v>0</v>
          </cell>
        </row>
        <row r="745">
          <cell r="H745">
            <v>0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0</v>
          </cell>
        </row>
        <row r="761">
          <cell r="H761">
            <v>0</v>
          </cell>
        </row>
        <row r="772">
          <cell r="H772">
            <v>0</v>
          </cell>
        </row>
        <row r="830">
          <cell r="F830">
            <v>648083</v>
          </cell>
          <cell r="G830">
            <v>275875</v>
          </cell>
          <cell r="H830">
            <v>190449</v>
          </cell>
          <cell r="I830">
            <v>819</v>
          </cell>
          <cell r="J830">
            <v>3656</v>
          </cell>
          <cell r="K830">
            <v>44</v>
          </cell>
          <cell r="L830">
            <v>84146</v>
          </cell>
          <cell r="M830">
            <v>67809</v>
          </cell>
          <cell r="N830">
            <v>917</v>
          </cell>
          <cell r="O830">
            <v>22422</v>
          </cell>
          <cell r="P830">
            <v>0</v>
          </cell>
          <cell r="Q830">
            <v>1946</v>
          </cell>
          <cell r="R830">
            <v>648083</v>
          </cell>
          <cell r="S830">
            <v>0</v>
          </cell>
        </row>
        <row r="831">
          <cell r="E831" t="str">
            <v>K201</v>
          </cell>
          <cell r="F831">
            <v>1</v>
          </cell>
          <cell r="G831">
            <v>0.42568000000000006</v>
          </cell>
          <cell r="H831">
            <v>0.29387000000000002</v>
          </cell>
          <cell r="I831">
            <v>1.2600000000000001E-3</v>
          </cell>
          <cell r="J831">
            <v>5.64E-3</v>
          </cell>
          <cell r="K831">
            <v>6.9999999999999994E-5</v>
          </cell>
          <cell r="L831">
            <v>0.12984000000000001</v>
          </cell>
          <cell r="M831">
            <v>0.10463</v>
          </cell>
          <cell r="N831">
            <v>1.41E-3</v>
          </cell>
          <cell r="O831">
            <v>3.4599999999999999E-2</v>
          </cell>
          <cell r="P831">
            <v>0</v>
          </cell>
          <cell r="Q831">
            <v>3.0000000000000001E-3</v>
          </cell>
          <cell r="R831">
            <v>1.0000000000000002</v>
          </cell>
          <cell r="S831">
            <v>0</v>
          </cell>
        </row>
        <row r="832">
          <cell r="F832">
            <v>648083</v>
          </cell>
          <cell r="G832">
            <v>275875</v>
          </cell>
          <cell r="H832">
            <v>190449</v>
          </cell>
          <cell r="I832">
            <v>819</v>
          </cell>
          <cell r="J832">
            <v>3656</v>
          </cell>
          <cell r="K832">
            <v>44</v>
          </cell>
          <cell r="L832">
            <v>84146</v>
          </cell>
          <cell r="M832">
            <v>67809</v>
          </cell>
          <cell r="N832">
            <v>917</v>
          </cell>
          <cell r="O832">
            <v>22422</v>
          </cell>
          <cell r="P832">
            <v>0</v>
          </cell>
          <cell r="Q832">
            <v>1946</v>
          </cell>
          <cell r="R832">
            <v>648083</v>
          </cell>
          <cell r="S832">
            <v>0</v>
          </cell>
        </row>
        <row r="833">
          <cell r="E833" t="str">
            <v>K202</v>
          </cell>
          <cell r="F833">
            <v>1</v>
          </cell>
          <cell r="G833">
            <v>0.42568000000000006</v>
          </cell>
          <cell r="H833">
            <v>0.29387000000000002</v>
          </cell>
          <cell r="I833">
            <v>1.2600000000000001E-3</v>
          </cell>
          <cell r="J833">
            <v>5.64E-3</v>
          </cell>
          <cell r="K833">
            <v>6.9999999999999994E-5</v>
          </cell>
          <cell r="L833">
            <v>0.12984000000000001</v>
          </cell>
          <cell r="M833">
            <v>0.10463</v>
          </cell>
          <cell r="N833">
            <v>1.41E-3</v>
          </cell>
          <cell r="O833">
            <v>3.4599999999999999E-2</v>
          </cell>
          <cell r="P833">
            <v>0</v>
          </cell>
          <cell r="Q833">
            <v>3.0000000000000001E-3</v>
          </cell>
          <cell r="R833">
            <v>1.0000000000000002</v>
          </cell>
          <cell r="S833">
            <v>0</v>
          </cell>
        </row>
        <row r="834">
          <cell r="F834">
            <v>1647331</v>
          </cell>
          <cell r="G834">
            <v>1006247</v>
          </cell>
          <cell r="H834">
            <v>345716</v>
          </cell>
          <cell r="I834">
            <v>1108</v>
          </cell>
          <cell r="J834">
            <v>13538</v>
          </cell>
          <cell r="K834">
            <v>107</v>
          </cell>
          <cell r="L834">
            <v>117501</v>
          </cell>
          <cell r="M834">
            <v>94629</v>
          </cell>
          <cell r="N834">
            <v>6558</v>
          </cell>
          <cell r="O834">
            <v>52159</v>
          </cell>
          <cell r="P834">
            <v>6010</v>
          </cell>
          <cell r="Q834">
            <v>3758</v>
          </cell>
          <cell r="R834">
            <v>1647331</v>
          </cell>
          <cell r="S834">
            <v>0</v>
          </cell>
        </row>
        <row r="835">
          <cell r="E835" t="str">
            <v>K203</v>
          </cell>
          <cell r="F835">
            <v>1</v>
          </cell>
          <cell r="G835">
            <v>0.61085</v>
          </cell>
          <cell r="H835">
            <v>0.20985999999999999</v>
          </cell>
          <cell r="I835">
            <v>6.7000000000000002E-4</v>
          </cell>
          <cell r="J835">
            <v>8.2199999999999999E-3</v>
          </cell>
          <cell r="K835">
            <v>6.0000000000000002E-5</v>
          </cell>
          <cell r="L835">
            <v>7.1330000000000005E-2</v>
          </cell>
          <cell r="M835">
            <v>5.7439999999999998E-2</v>
          </cell>
          <cell r="N835">
            <v>3.98E-3</v>
          </cell>
          <cell r="O835">
            <v>3.1660000000000001E-2</v>
          </cell>
          <cell r="P835">
            <v>3.65E-3</v>
          </cell>
          <cell r="Q835">
            <v>2.2799999999999999E-3</v>
          </cell>
          <cell r="R835">
            <v>1</v>
          </cell>
          <cell r="S835">
            <v>0</v>
          </cell>
        </row>
        <row r="836">
          <cell r="F836">
            <v>708591</v>
          </cell>
          <cell r="G836">
            <v>315144</v>
          </cell>
          <cell r="H836">
            <v>219094</v>
          </cell>
          <cell r="I836">
            <v>924</v>
          </cell>
          <cell r="J836">
            <v>4810</v>
          </cell>
          <cell r="K836">
            <v>51</v>
          </cell>
          <cell r="L836">
            <v>88885</v>
          </cell>
          <cell r="M836">
            <v>71748</v>
          </cell>
          <cell r="N836">
            <v>939</v>
          </cell>
          <cell r="O836">
            <v>0</v>
          </cell>
          <cell r="P836">
            <v>4747</v>
          </cell>
          <cell r="Q836">
            <v>2249</v>
          </cell>
          <cell r="R836">
            <v>708591</v>
          </cell>
          <cell r="S836">
            <v>0</v>
          </cell>
        </row>
        <row r="837">
          <cell r="E837" t="str">
            <v>K205</v>
          </cell>
          <cell r="F837">
            <v>1</v>
          </cell>
          <cell r="G837">
            <v>0.44474999999999987</v>
          </cell>
          <cell r="H837">
            <v>0.30919999999999997</v>
          </cell>
          <cell r="I837">
            <v>1.2999999999999999E-3</v>
          </cell>
          <cell r="J837">
            <v>6.79E-3</v>
          </cell>
          <cell r="K837">
            <v>6.9999999999999994E-5</v>
          </cell>
          <cell r="L837">
            <v>0.12544</v>
          </cell>
          <cell r="M837">
            <v>0.10125000000000001</v>
          </cell>
          <cell r="N837">
            <v>1.33E-3</v>
          </cell>
          <cell r="O837">
            <v>0</v>
          </cell>
          <cell r="P837">
            <v>6.7000000000000002E-3</v>
          </cell>
          <cell r="Q837">
            <v>3.1700000000000001E-3</v>
          </cell>
          <cell r="R837">
            <v>1</v>
          </cell>
          <cell r="S837">
            <v>0</v>
          </cell>
        </row>
        <row r="838">
          <cell r="F838">
            <v>708591</v>
          </cell>
          <cell r="G838">
            <v>315144</v>
          </cell>
          <cell r="H838">
            <v>219094</v>
          </cell>
          <cell r="I838">
            <v>924</v>
          </cell>
          <cell r="J838">
            <v>4810</v>
          </cell>
          <cell r="K838">
            <v>51</v>
          </cell>
          <cell r="L838">
            <v>88885</v>
          </cell>
          <cell r="M838">
            <v>71748</v>
          </cell>
          <cell r="N838">
            <v>939</v>
          </cell>
          <cell r="O838">
            <v>0</v>
          </cell>
          <cell r="P838">
            <v>4747</v>
          </cell>
          <cell r="Q838">
            <v>2249</v>
          </cell>
          <cell r="R838">
            <v>708591</v>
          </cell>
          <cell r="S838">
            <v>0</v>
          </cell>
        </row>
        <row r="839">
          <cell r="E839" t="str">
            <v>K206</v>
          </cell>
          <cell r="F839">
            <v>1</v>
          </cell>
          <cell r="G839">
            <v>0.44474999999999987</v>
          </cell>
          <cell r="H839">
            <v>0.30919999999999997</v>
          </cell>
          <cell r="I839">
            <v>1.2999999999999999E-3</v>
          </cell>
          <cell r="J839">
            <v>6.79E-3</v>
          </cell>
          <cell r="K839">
            <v>6.9999999999999994E-5</v>
          </cell>
          <cell r="L839">
            <v>0.12544</v>
          </cell>
          <cell r="M839">
            <v>0.10125000000000001</v>
          </cell>
          <cell r="N839">
            <v>1.33E-3</v>
          </cell>
          <cell r="O839">
            <v>0</v>
          </cell>
          <cell r="P839">
            <v>6.7000000000000002E-3</v>
          </cell>
          <cell r="Q839">
            <v>3.1700000000000001E-3</v>
          </cell>
          <cell r="R839">
            <v>1</v>
          </cell>
          <cell r="S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E841" t="str">
            <v>K209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F842">
            <v>708591</v>
          </cell>
          <cell r="G842">
            <v>315144</v>
          </cell>
          <cell r="H842">
            <v>219094</v>
          </cell>
          <cell r="I842">
            <v>924</v>
          </cell>
          <cell r="J842">
            <v>4810</v>
          </cell>
          <cell r="K842">
            <v>51</v>
          </cell>
          <cell r="L842">
            <v>88885</v>
          </cell>
          <cell r="M842">
            <v>71748</v>
          </cell>
          <cell r="N842">
            <v>939</v>
          </cell>
          <cell r="O842">
            <v>0</v>
          </cell>
          <cell r="P842">
            <v>4747</v>
          </cell>
          <cell r="Q842">
            <v>2249</v>
          </cell>
          <cell r="R842">
            <v>708591</v>
          </cell>
          <cell r="S842">
            <v>0</v>
          </cell>
        </row>
        <row r="843">
          <cell r="E843" t="str">
            <v>K215</v>
          </cell>
          <cell r="F843">
            <v>1</v>
          </cell>
          <cell r="G843">
            <v>0.44474999999999987</v>
          </cell>
          <cell r="H843">
            <v>0.30919999999999997</v>
          </cell>
          <cell r="I843">
            <v>1.2999999999999999E-3</v>
          </cell>
          <cell r="J843">
            <v>6.79E-3</v>
          </cell>
          <cell r="K843">
            <v>6.9999999999999994E-5</v>
          </cell>
          <cell r="L843">
            <v>0.12544</v>
          </cell>
          <cell r="M843">
            <v>0.10125000000000001</v>
          </cell>
          <cell r="N843">
            <v>1.33E-3</v>
          </cell>
          <cell r="O843">
            <v>0</v>
          </cell>
          <cell r="P843">
            <v>6.7000000000000002E-3</v>
          </cell>
          <cell r="Q843">
            <v>3.1700000000000001E-3</v>
          </cell>
          <cell r="R843">
            <v>1</v>
          </cell>
          <cell r="S843">
            <v>0</v>
          </cell>
        </row>
        <row r="844">
          <cell r="F844">
            <v>165672</v>
          </cell>
          <cell r="G844">
            <v>137520</v>
          </cell>
          <cell r="H844">
            <v>24512</v>
          </cell>
          <cell r="I844">
            <v>46</v>
          </cell>
          <cell r="J844">
            <v>264</v>
          </cell>
          <cell r="K844">
            <v>12</v>
          </cell>
          <cell r="L844">
            <v>342</v>
          </cell>
          <cell r="M844">
            <v>105</v>
          </cell>
          <cell r="N844">
            <v>30</v>
          </cell>
          <cell r="O844">
            <v>36</v>
          </cell>
          <cell r="P844">
            <v>2792</v>
          </cell>
          <cell r="Q844">
            <v>3</v>
          </cell>
          <cell r="R844">
            <v>165662</v>
          </cell>
          <cell r="S844">
            <v>10</v>
          </cell>
        </row>
        <row r="845">
          <cell r="E845" t="str">
            <v>K217</v>
          </cell>
          <cell r="F845">
            <v>1</v>
          </cell>
          <cell r="G845">
            <v>0.83006999999999997</v>
          </cell>
          <cell r="H845">
            <v>0.14795</v>
          </cell>
          <cell r="I845">
            <v>2.7999999999999998E-4</v>
          </cell>
          <cell r="J845">
            <v>1.5900000000000001E-3</v>
          </cell>
          <cell r="K845">
            <v>6.9999999999999994E-5</v>
          </cell>
          <cell r="L845">
            <v>2.0600000000000002E-3</v>
          </cell>
          <cell r="M845">
            <v>6.3000000000000003E-4</v>
          </cell>
          <cell r="N845">
            <v>1.8000000000000001E-4</v>
          </cell>
          <cell r="O845">
            <v>2.2000000000000001E-4</v>
          </cell>
          <cell r="P845">
            <v>1.685E-2</v>
          </cell>
          <cell r="Q845">
            <v>2.0000000000000002E-5</v>
          </cell>
          <cell r="R845">
            <v>0.99991999999999992</v>
          </cell>
          <cell r="S845">
            <v>8.0000000000080007E-5</v>
          </cell>
        </row>
        <row r="846">
          <cell r="F846">
            <v>4101134214.1489997</v>
          </cell>
          <cell r="G846">
            <v>1470196498.845</v>
          </cell>
          <cell r="H846">
            <v>1255081996.2449999</v>
          </cell>
          <cell r="I846">
            <v>6350133.8709999984</v>
          </cell>
          <cell r="J846">
            <v>19355665.91</v>
          </cell>
          <cell r="K846">
            <v>288048</v>
          </cell>
          <cell r="L846">
            <v>610848200.07483399</v>
          </cell>
          <cell r="M846">
            <v>509222309.26616597</v>
          </cell>
          <cell r="N846">
            <v>5979794.5269999998</v>
          </cell>
          <cell r="O846">
            <v>191982350.88400003</v>
          </cell>
          <cell r="P846">
            <v>18971771.526000001</v>
          </cell>
          <cell r="Q846">
            <v>12857445</v>
          </cell>
          <cell r="R846">
            <v>4101134214.1489997</v>
          </cell>
          <cell r="S846">
            <v>0</v>
          </cell>
        </row>
        <row r="847">
          <cell r="E847" t="str">
            <v>K301</v>
          </cell>
          <cell r="F847">
            <v>1</v>
          </cell>
          <cell r="G847">
            <v>0.35846999999999984</v>
          </cell>
          <cell r="H847">
            <v>0.30603000000000002</v>
          </cell>
          <cell r="I847">
            <v>1.5499999999999999E-3</v>
          </cell>
          <cell r="J847">
            <v>4.7200000000000002E-3</v>
          </cell>
          <cell r="K847">
            <v>6.9999999999999994E-5</v>
          </cell>
          <cell r="L847">
            <v>0.14895</v>
          </cell>
          <cell r="M847">
            <v>0.12417</v>
          </cell>
          <cell r="N847">
            <v>1.4599999999999999E-3</v>
          </cell>
          <cell r="O847">
            <v>4.6809999999999997E-2</v>
          </cell>
          <cell r="P847">
            <v>4.6299999999999996E-3</v>
          </cell>
          <cell r="Q847">
            <v>3.14E-3</v>
          </cell>
          <cell r="R847">
            <v>1</v>
          </cell>
          <cell r="S847">
            <v>0</v>
          </cell>
        </row>
        <row r="848">
          <cell r="F848">
            <v>4101134214.1489997</v>
          </cell>
          <cell r="G848">
            <v>1470196498.845</v>
          </cell>
          <cell r="H848">
            <v>1255081996.2449999</v>
          </cell>
          <cell r="I848">
            <v>6350133.8709999984</v>
          </cell>
          <cell r="J848">
            <v>19355665.91</v>
          </cell>
          <cell r="K848">
            <v>288048</v>
          </cell>
          <cell r="L848">
            <v>610848200.07483399</v>
          </cell>
          <cell r="M848">
            <v>509222309.26616597</v>
          </cell>
          <cell r="N848">
            <v>5979794.5269999998</v>
          </cell>
          <cell r="O848">
            <v>179959630.88400003</v>
          </cell>
          <cell r="P848">
            <v>18971771.526000001</v>
          </cell>
          <cell r="Q848">
            <v>12857445</v>
          </cell>
          <cell r="R848">
            <v>4089111494.1489997</v>
          </cell>
          <cell r="S848">
            <v>12022720</v>
          </cell>
        </row>
        <row r="849">
          <cell r="E849" t="str">
            <v>K303</v>
          </cell>
          <cell r="F849">
            <v>1</v>
          </cell>
          <cell r="G849">
            <v>0.35848999999999998</v>
          </cell>
          <cell r="H849">
            <v>0.30603000000000002</v>
          </cell>
          <cell r="I849">
            <v>1.5499999999999999E-3</v>
          </cell>
          <cell r="J849">
            <v>4.7200000000000002E-3</v>
          </cell>
          <cell r="K849">
            <v>6.9999999999999994E-5</v>
          </cell>
          <cell r="L849">
            <v>0.14895</v>
          </cell>
          <cell r="M849">
            <v>0.12417</v>
          </cell>
          <cell r="N849">
            <v>1.4599999999999999E-3</v>
          </cell>
          <cell r="O849">
            <v>4.3880000000000002E-2</v>
          </cell>
          <cell r="P849">
            <v>4.6299999999999996E-3</v>
          </cell>
          <cell r="Q849">
            <v>3.14E-3</v>
          </cell>
          <cell r="R849">
            <v>0.99709000000000014</v>
          </cell>
          <cell r="S849">
            <v>2.9099999999998571E-3</v>
          </cell>
        </row>
        <row r="850">
          <cell r="F850">
            <v>4082162442.6229997</v>
          </cell>
          <cell r="G850">
            <v>1470196498.845</v>
          </cell>
          <cell r="H850">
            <v>1255081996.2449999</v>
          </cell>
          <cell r="I850">
            <v>6350133.8709999984</v>
          </cell>
          <cell r="J850">
            <v>19355665.91</v>
          </cell>
          <cell r="K850">
            <v>288048</v>
          </cell>
          <cell r="L850">
            <v>610848200.07483399</v>
          </cell>
          <cell r="M850">
            <v>509222309.26616597</v>
          </cell>
          <cell r="N850">
            <v>5979794.5269999998</v>
          </cell>
          <cell r="O850">
            <v>191982350.88400003</v>
          </cell>
          <cell r="P850">
            <v>0</v>
          </cell>
          <cell r="Q850">
            <v>12857445</v>
          </cell>
          <cell r="R850">
            <v>4082162442.6229997</v>
          </cell>
          <cell r="S850">
            <v>0</v>
          </cell>
        </row>
        <row r="851">
          <cell r="E851" t="str">
            <v>K305</v>
          </cell>
          <cell r="F851">
            <v>1</v>
          </cell>
          <cell r="G851">
            <v>0.36014999999999997</v>
          </cell>
          <cell r="H851">
            <v>0.30746000000000001</v>
          </cell>
          <cell r="I851">
            <v>1.56E-3</v>
          </cell>
          <cell r="J851">
            <v>4.7400000000000003E-3</v>
          </cell>
          <cell r="K851">
            <v>6.9999999999999994E-5</v>
          </cell>
          <cell r="L851">
            <v>0.14964</v>
          </cell>
          <cell r="M851">
            <v>0.12474</v>
          </cell>
          <cell r="N851">
            <v>1.4599999999999999E-3</v>
          </cell>
          <cell r="O851">
            <v>4.7030000000000002E-2</v>
          </cell>
          <cell r="P851">
            <v>0</v>
          </cell>
          <cell r="Q851">
            <v>3.15E-3</v>
          </cell>
          <cell r="R851">
            <v>1</v>
          </cell>
          <cell r="S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0</v>
          </cell>
          <cell r="R854">
            <v>1</v>
          </cell>
          <cell r="S854">
            <v>0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0</v>
          </cell>
        </row>
        <row r="856">
          <cell r="F856">
            <v>152867</v>
          </cell>
          <cell r="G856">
            <v>137520</v>
          </cell>
          <cell r="H856">
            <v>12257</v>
          </cell>
          <cell r="I856">
            <v>23</v>
          </cell>
          <cell r="J856">
            <v>88</v>
          </cell>
          <cell r="K856">
            <v>12</v>
          </cell>
          <cell r="L856">
            <v>115</v>
          </cell>
          <cell r="M856">
            <v>35</v>
          </cell>
          <cell r="N856">
            <v>10</v>
          </cell>
          <cell r="O856">
            <v>14</v>
          </cell>
          <cell r="P856">
            <v>2792</v>
          </cell>
          <cell r="Q856">
            <v>1</v>
          </cell>
          <cell r="R856">
            <v>152867</v>
          </cell>
          <cell r="S856">
            <v>0</v>
          </cell>
        </row>
        <row r="857">
          <cell r="E857" t="str">
            <v>K405</v>
          </cell>
          <cell r="F857">
            <v>1</v>
          </cell>
          <cell r="G857">
            <v>0.89959999999999996</v>
          </cell>
          <cell r="H857">
            <v>8.0180000000000001E-2</v>
          </cell>
          <cell r="I857">
            <v>1.4999999999999999E-4</v>
          </cell>
          <cell r="J857">
            <v>5.8E-4</v>
          </cell>
          <cell r="K857">
            <v>8.0000000000000007E-5</v>
          </cell>
          <cell r="L857">
            <v>7.5000000000000002E-4</v>
          </cell>
          <cell r="M857">
            <v>2.3000000000000001E-4</v>
          </cell>
          <cell r="N857">
            <v>6.9999999999999994E-5</v>
          </cell>
          <cell r="O857">
            <v>9.0000000000000006E-5</v>
          </cell>
          <cell r="P857">
            <v>1.8259999999999998E-2</v>
          </cell>
          <cell r="Q857">
            <v>1.0000000000000001E-5</v>
          </cell>
          <cell r="R857">
            <v>0.99999999999999989</v>
          </cell>
          <cell r="S857">
            <v>0</v>
          </cell>
        </row>
        <row r="858">
          <cell r="F858">
            <v>152853</v>
          </cell>
          <cell r="G858">
            <v>137520</v>
          </cell>
          <cell r="H858">
            <v>12257</v>
          </cell>
          <cell r="I858">
            <v>23</v>
          </cell>
          <cell r="J858">
            <v>88</v>
          </cell>
          <cell r="K858">
            <v>12</v>
          </cell>
          <cell r="L858">
            <v>115</v>
          </cell>
          <cell r="M858">
            <v>35</v>
          </cell>
          <cell r="N858">
            <v>10</v>
          </cell>
          <cell r="O858">
            <v>0</v>
          </cell>
          <cell r="P858">
            <v>2792</v>
          </cell>
          <cell r="Q858">
            <v>1</v>
          </cell>
          <cell r="R858">
            <v>152853</v>
          </cell>
          <cell r="S858">
            <v>0</v>
          </cell>
        </row>
        <row r="859">
          <cell r="E859" t="str">
            <v>K406</v>
          </cell>
          <cell r="F859">
            <v>1</v>
          </cell>
          <cell r="G859">
            <v>0.89968999999999999</v>
          </cell>
          <cell r="H859">
            <v>8.0180000000000001E-2</v>
          </cell>
          <cell r="I859">
            <v>1.4999999999999999E-4</v>
          </cell>
          <cell r="J859">
            <v>5.8E-4</v>
          </cell>
          <cell r="K859">
            <v>8.0000000000000007E-5</v>
          </cell>
          <cell r="L859">
            <v>7.5000000000000002E-4</v>
          </cell>
          <cell r="M859">
            <v>2.3000000000000001E-4</v>
          </cell>
          <cell r="N859">
            <v>6.9999999999999994E-5</v>
          </cell>
          <cell r="O859">
            <v>0</v>
          </cell>
          <cell r="P859">
            <v>1.8259999999999998E-2</v>
          </cell>
          <cell r="Q859">
            <v>1.0000000000000001E-5</v>
          </cell>
          <cell r="R859">
            <v>0.99999999999999989</v>
          </cell>
          <cell r="S859">
            <v>0</v>
          </cell>
        </row>
        <row r="860">
          <cell r="F860">
            <v>22486890.793596428</v>
          </cell>
          <cell r="G860">
            <v>19829008.800000001</v>
          </cell>
          <cell r="H860">
            <v>2433684.8645095793</v>
          </cell>
          <cell r="I860">
            <v>0</v>
          </cell>
          <cell r="J860">
            <v>31509.280000000046</v>
          </cell>
          <cell r="K860">
            <v>2448</v>
          </cell>
          <cell r="L860">
            <v>111217.43855421687</v>
          </cell>
          <cell r="M860">
            <v>41635.072972972972</v>
          </cell>
          <cell r="N860">
            <v>20860.366666666669</v>
          </cell>
          <cell r="O860">
            <v>16328.400000000001</v>
          </cell>
          <cell r="P860">
            <v>0</v>
          </cell>
          <cell r="Q860">
            <v>198.5708929919696</v>
          </cell>
          <cell r="R860">
            <v>22486890.793596428</v>
          </cell>
          <cell r="S860">
            <v>0</v>
          </cell>
        </row>
        <row r="861">
          <cell r="E861" t="str">
            <v>K407</v>
          </cell>
          <cell r="F861">
            <v>1</v>
          </cell>
          <cell r="G861">
            <v>0.88178999999999996</v>
          </cell>
          <cell r="H861">
            <v>0.10823000000000001</v>
          </cell>
          <cell r="I861">
            <v>0</v>
          </cell>
          <cell r="J861">
            <v>1.4E-3</v>
          </cell>
          <cell r="K861">
            <v>1.1E-4</v>
          </cell>
          <cell r="L861">
            <v>4.9500000000000004E-3</v>
          </cell>
          <cell r="M861">
            <v>1.8500000000000001E-3</v>
          </cell>
          <cell r="N861">
            <v>9.3000000000000005E-4</v>
          </cell>
          <cell r="O861">
            <v>7.2999999999999996E-4</v>
          </cell>
          <cell r="P861">
            <v>0</v>
          </cell>
          <cell r="Q861">
            <v>1.0000000000000001E-5</v>
          </cell>
          <cell r="R861">
            <v>1</v>
          </cell>
          <cell r="S861">
            <v>0</v>
          </cell>
        </row>
        <row r="862">
          <cell r="F862">
            <v>154110</v>
          </cell>
          <cell r="G862">
            <v>137520</v>
          </cell>
          <cell r="H862">
            <v>12257</v>
          </cell>
          <cell r="I862">
            <v>23</v>
          </cell>
          <cell r="J862">
            <v>176</v>
          </cell>
          <cell r="K862">
            <v>12</v>
          </cell>
          <cell r="L862">
            <v>799</v>
          </cell>
          <cell r="M862">
            <v>280</v>
          </cell>
          <cell r="N862">
            <v>140</v>
          </cell>
          <cell r="O862">
            <v>110</v>
          </cell>
          <cell r="P862">
            <v>2792</v>
          </cell>
          <cell r="Q862">
            <v>1</v>
          </cell>
          <cell r="R862">
            <v>154110</v>
          </cell>
          <cell r="S862">
            <v>0</v>
          </cell>
        </row>
        <row r="863">
          <cell r="E863" t="str">
            <v>K409</v>
          </cell>
          <cell r="F863">
            <v>1</v>
          </cell>
          <cell r="G863">
            <v>0.89234999999999998</v>
          </cell>
          <cell r="H863">
            <v>7.9530000000000003E-2</v>
          </cell>
          <cell r="I863">
            <v>1.4999999999999999E-4</v>
          </cell>
          <cell r="J863">
            <v>1.14E-3</v>
          </cell>
          <cell r="K863">
            <v>8.0000000000000007E-5</v>
          </cell>
          <cell r="L863">
            <v>5.1799999999999997E-3</v>
          </cell>
          <cell r="M863">
            <v>1.82E-3</v>
          </cell>
          <cell r="N863">
            <v>9.1E-4</v>
          </cell>
          <cell r="O863">
            <v>7.1000000000000002E-4</v>
          </cell>
          <cell r="P863">
            <v>1.8120000000000001E-2</v>
          </cell>
          <cell r="Q863">
            <v>1.0000000000000001E-5</v>
          </cell>
          <cell r="R863">
            <v>0.99999999999999989</v>
          </cell>
          <cell r="S863">
            <v>0</v>
          </cell>
        </row>
        <row r="864">
          <cell r="F864">
            <v>2137114.169997225</v>
          </cell>
          <cell r="G864">
            <v>1924403</v>
          </cell>
          <cell r="H864">
            <v>108413.16999722505</v>
          </cell>
          <cell r="I864">
            <v>674</v>
          </cell>
          <cell r="J864">
            <v>1538</v>
          </cell>
          <cell r="K864">
            <v>43</v>
          </cell>
          <cell r="L864">
            <v>48098</v>
          </cell>
          <cell r="M864">
            <v>37329</v>
          </cell>
          <cell r="N864">
            <v>710</v>
          </cell>
          <cell r="O864">
            <v>13016</v>
          </cell>
          <cell r="P864">
            <v>2099</v>
          </cell>
          <cell r="Q864">
            <v>791</v>
          </cell>
          <cell r="R864">
            <v>2137114.169997225</v>
          </cell>
          <cell r="S864">
            <v>0</v>
          </cell>
        </row>
        <row r="865">
          <cell r="E865" t="str">
            <v>K411</v>
          </cell>
          <cell r="F865">
            <v>1</v>
          </cell>
          <cell r="G865">
            <v>0.90046000000000004</v>
          </cell>
          <cell r="H865">
            <v>5.0729999999999997E-2</v>
          </cell>
          <cell r="I865">
            <v>3.2000000000000003E-4</v>
          </cell>
          <cell r="J865">
            <v>7.2000000000000005E-4</v>
          </cell>
          <cell r="K865">
            <v>2.0000000000000002E-5</v>
          </cell>
          <cell r="L865">
            <v>2.2509999999999999E-2</v>
          </cell>
          <cell r="M865">
            <v>1.7469999999999999E-2</v>
          </cell>
          <cell r="N865">
            <v>3.3E-4</v>
          </cell>
          <cell r="O865">
            <v>6.0899999999999999E-3</v>
          </cell>
          <cell r="P865">
            <v>9.7999999999999997E-4</v>
          </cell>
          <cell r="Q865">
            <v>3.6999999999999999E-4</v>
          </cell>
          <cell r="R865">
            <v>1.0000000000000002</v>
          </cell>
          <cell r="S865">
            <v>0</v>
          </cell>
        </row>
        <row r="866">
          <cell r="F866">
            <v>4087989911.1489997</v>
          </cell>
          <cell r="G866">
            <v>1470196498.845</v>
          </cell>
          <cell r="H866">
            <v>1255084711.2449999</v>
          </cell>
          <cell r="I866">
            <v>6350133.8709999984</v>
          </cell>
          <cell r="J866">
            <v>19355665.91</v>
          </cell>
          <cell r="K866">
            <v>288048</v>
          </cell>
          <cell r="L866">
            <v>609723902.07483399</v>
          </cell>
          <cell r="M866">
            <v>509222309.26616597</v>
          </cell>
          <cell r="N866">
            <v>5979794.5269999998</v>
          </cell>
          <cell r="O866">
            <v>179959630.88400003</v>
          </cell>
          <cell r="P866">
            <v>18971771.526000001</v>
          </cell>
          <cell r="Q866">
            <v>12857445</v>
          </cell>
          <cell r="R866">
            <v>4087989911.1489997</v>
          </cell>
          <cell r="S866">
            <v>0</v>
          </cell>
        </row>
        <row r="867">
          <cell r="E867" t="str">
            <v>K302</v>
          </cell>
          <cell r="F867">
            <v>1</v>
          </cell>
          <cell r="G867">
            <v>0.35964000000000007</v>
          </cell>
          <cell r="H867">
            <v>0.30702000000000002</v>
          </cell>
          <cell r="I867">
            <v>1.5499999999999999E-3</v>
          </cell>
          <cell r="J867">
            <v>4.7299999999999998E-3</v>
          </cell>
          <cell r="K867">
            <v>6.9999999999999994E-5</v>
          </cell>
          <cell r="L867">
            <v>0.14915</v>
          </cell>
          <cell r="M867">
            <v>0.12457</v>
          </cell>
          <cell r="N867">
            <v>1.4599999999999999E-3</v>
          </cell>
          <cell r="O867">
            <v>4.4019999999999997E-2</v>
          </cell>
          <cell r="P867">
            <v>4.64E-3</v>
          </cell>
          <cell r="Q867">
            <v>3.15E-3</v>
          </cell>
          <cell r="R867">
            <v>1</v>
          </cell>
          <cell r="S867">
            <v>0</v>
          </cell>
        </row>
        <row r="869">
          <cell r="E869" t="str">
            <v>R600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E870" t="str">
            <v>R602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2">
          <cell r="R872" t="str">
            <v>FR-16(7)(v)-12</v>
          </cell>
        </row>
        <row r="873">
          <cell r="R873" t="str">
            <v>WITNESS RESPONSIBLE:</v>
          </cell>
        </row>
        <row r="874">
          <cell r="R874" t="str">
            <v>JAMES E. ZIOLKOWSKI</v>
          </cell>
        </row>
        <row r="875">
          <cell r="R875" t="str">
            <v>PAGE 17 OF 18</v>
          </cell>
        </row>
        <row r="878">
          <cell r="F878" t="str">
            <v>TOTAL</v>
          </cell>
          <cell r="H878" t="str">
            <v>DS</v>
          </cell>
          <cell r="I878" t="str">
            <v>GSFL</v>
          </cell>
          <cell r="J878" t="str">
            <v>EH</v>
          </cell>
          <cell r="K878" t="str">
            <v>SP</v>
          </cell>
          <cell r="L878" t="str">
            <v>DT SEC</v>
          </cell>
          <cell r="M878" t="str">
            <v>DT PRI</v>
          </cell>
          <cell r="N878" t="str">
            <v>DP</v>
          </cell>
          <cell r="O878" t="str">
            <v>TT</v>
          </cell>
          <cell r="Q878" t="str">
            <v>OTHER</v>
          </cell>
        </row>
        <row r="879">
          <cell r="F879" t="str">
            <v>DISTRIBUTION</v>
          </cell>
          <cell r="G879" t="str">
            <v>RS</v>
          </cell>
          <cell r="H879" t="str">
            <v>SECONDARY</v>
          </cell>
          <cell r="I879" t="str">
            <v>SECONDARY</v>
          </cell>
          <cell r="J879" t="str">
            <v>SECONDARY</v>
          </cell>
          <cell r="K879" t="str">
            <v>SECONDARY</v>
          </cell>
          <cell r="L879" t="str">
            <v>SECONDARY</v>
          </cell>
          <cell r="M879" t="str">
            <v>PRIMARY</v>
          </cell>
          <cell r="N879" t="str">
            <v>PRIMARY</v>
          </cell>
          <cell r="O879" t="str">
            <v>TRANSMISSION</v>
          </cell>
          <cell r="P879" t="str">
            <v>LT</v>
          </cell>
          <cell r="Q879" t="str">
            <v>WATER</v>
          </cell>
          <cell r="R879" t="str">
            <v>TOTAL</v>
          </cell>
          <cell r="S879" t="str">
            <v>ALL</v>
          </cell>
        </row>
        <row r="880">
          <cell r="E880" t="str">
            <v>ALLO</v>
          </cell>
          <cell r="F880" t="str">
            <v>ENERGY</v>
          </cell>
          <cell r="G880" t="str">
            <v>RESIDENTIAL</v>
          </cell>
          <cell r="H880" t="str">
            <v>DISTRIBUTION</v>
          </cell>
          <cell r="I880" t="str">
            <v>DISTRIBUTION</v>
          </cell>
          <cell r="J880" t="str">
            <v>DISTRIBUTION</v>
          </cell>
          <cell r="K880" t="str">
            <v>DISTRIBUTION</v>
          </cell>
          <cell r="L880" t="str">
            <v>DISTRIBUTION</v>
          </cell>
          <cell r="M880" t="str">
            <v>DISTRIBUTION</v>
          </cell>
          <cell r="N880" t="str">
            <v>DISTRIBUTION</v>
          </cell>
          <cell r="O880" t="str">
            <v>TIME OF DAY</v>
          </cell>
          <cell r="P880" t="str">
            <v>LIGHTING</v>
          </cell>
          <cell r="Q880" t="str">
            <v>PUMPING</v>
          </cell>
          <cell r="R880" t="str">
            <v>AT ISSUE</v>
          </cell>
          <cell r="S880" t="str">
            <v>OTHER</v>
          </cell>
        </row>
        <row r="881">
          <cell r="E881">
            <v>1</v>
          </cell>
          <cell r="G881">
            <v>3</v>
          </cell>
          <cell r="H881">
            <v>4</v>
          </cell>
          <cell r="I881">
            <v>5</v>
          </cell>
          <cell r="J881">
            <v>6</v>
          </cell>
          <cell r="K881">
            <v>7</v>
          </cell>
          <cell r="L881">
            <v>8</v>
          </cell>
          <cell r="M881">
            <v>9</v>
          </cell>
          <cell r="N881">
            <v>10</v>
          </cell>
          <cell r="O881">
            <v>11</v>
          </cell>
          <cell r="P881">
            <v>12</v>
          </cell>
          <cell r="Q881">
            <v>13</v>
          </cell>
          <cell r="S881" t="str">
            <v xml:space="preserve"> </v>
          </cell>
        </row>
        <row r="883">
          <cell r="F883">
            <v>450848089</v>
          </cell>
          <cell r="G883">
            <v>197851566</v>
          </cell>
          <cell r="H883">
            <v>128946845</v>
          </cell>
          <cell r="I883">
            <v>800742</v>
          </cell>
          <cell r="J883">
            <v>1829152</v>
          </cell>
          <cell r="K883">
            <v>50918</v>
          </cell>
          <cell r="L883">
            <v>57206760</v>
          </cell>
          <cell r="M883">
            <v>44398656</v>
          </cell>
          <cell r="N883">
            <v>846253</v>
          </cell>
          <cell r="O883">
            <v>15479736</v>
          </cell>
          <cell r="P883">
            <v>2496338</v>
          </cell>
          <cell r="Q883">
            <v>941124</v>
          </cell>
          <cell r="R883">
            <v>450848090</v>
          </cell>
          <cell r="S883">
            <v>-1</v>
          </cell>
        </row>
        <row r="884">
          <cell r="E884" t="str">
            <v>K901</v>
          </cell>
          <cell r="F884">
            <v>1</v>
          </cell>
          <cell r="G884">
            <v>0.43884000000000001</v>
          </cell>
          <cell r="H884">
            <v>0.28600951899999999</v>
          </cell>
          <cell r="I884">
            <v>1.7760790000000001E-3</v>
          </cell>
          <cell r="J884">
            <v>4.0571360000000002E-3</v>
          </cell>
          <cell r="K884">
            <v>1.12938E-4</v>
          </cell>
          <cell r="L884">
            <v>0.126886997</v>
          </cell>
          <cell r="M884">
            <v>9.8478083999999994E-2</v>
          </cell>
          <cell r="N884">
            <v>1.877025E-3</v>
          </cell>
          <cell r="O884">
            <v>3.4334705E-2</v>
          </cell>
          <cell r="P884">
            <v>5.5369829999999997E-3</v>
          </cell>
          <cell r="Q884">
            <v>2.087453E-3</v>
          </cell>
          <cell r="R884">
            <v>0.99999691899999998</v>
          </cell>
          <cell r="S884">
            <v>3.0810000000158766E-6</v>
          </cell>
        </row>
        <row r="885">
          <cell r="F885">
            <v>450848089</v>
          </cell>
          <cell r="G885">
            <v>197851566</v>
          </cell>
          <cell r="H885">
            <v>128946845</v>
          </cell>
          <cell r="I885">
            <v>800742</v>
          </cell>
          <cell r="J885">
            <v>1829152</v>
          </cell>
          <cell r="K885">
            <v>50918</v>
          </cell>
          <cell r="L885">
            <v>57206760</v>
          </cell>
          <cell r="M885">
            <v>44398656</v>
          </cell>
          <cell r="N885">
            <v>846253</v>
          </cell>
          <cell r="O885">
            <v>15479736</v>
          </cell>
          <cell r="P885">
            <v>2496338</v>
          </cell>
          <cell r="Q885">
            <v>941124</v>
          </cell>
          <cell r="R885">
            <v>450848090</v>
          </cell>
          <cell r="S885">
            <v>-1</v>
          </cell>
        </row>
        <row r="886">
          <cell r="E886" t="str">
            <v>K902</v>
          </cell>
          <cell r="F886">
            <v>1</v>
          </cell>
          <cell r="G886">
            <v>0.43884000000000001</v>
          </cell>
          <cell r="H886">
            <v>0.28600951899999999</v>
          </cell>
          <cell r="I886">
            <v>1.7760790000000001E-3</v>
          </cell>
          <cell r="J886">
            <v>4.0571360000000002E-3</v>
          </cell>
          <cell r="K886">
            <v>1.12938E-4</v>
          </cell>
          <cell r="L886">
            <v>0.126886997</v>
          </cell>
          <cell r="M886">
            <v>9.8478083999999994E-2</v>
          </cell>
          <cell r="N886">
            <v>1.877025E-3</v>
          </cell>
          <cell r="O886">
            <v>3.4334705E-2</v>
          </cell>
          <cell r="P886">
            <v>5.5369829999999997E-3</v>
          </cell>
          <cell r="Q886">
            <v>2.087453E-3</v>
          </cell>
          <cell r="R886">
            <v>0.99999691899999998</v>
          </cell>
          <cell r="S886">
            <v>3.0810000000158766E-6</v>
          </cell>
        </row>
        <row r="890">
          <cell r="E890" t="str">
            <v>P129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</row>
        <row r="891">
          <cell r="E891" t="str">
            <v>T129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</row>
        <row r="892">
          <cell r="E892" t="str">
            <v>PT29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</row>
        <row r="893">
          <cell r="E893" t="str">
            <v>D149</v>
          </cell>
          <cell r="F893">
            <v>1</v>
          </cell>
          <cell r="G893">
            <v>1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1</v>
          </cell>
          <cell r="S893">
            <v>0</v>
          </cell>
        </row>
        <row r="894">
          <cell r="E894" t="str">
            <v>TD29</v>
          </cell>
          <cell r="F894">
            <v>1</v>
          </cell>
          <cell r="G894">
            <v>1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1</v>
          </cell>
          <cell r="S894">
            <v>0</v>
          </cell>
        </row>
        <row r="895">
          <cell r="E895" t="str">
            <v>PD29</v>
          </cell>
          <cell r="F895">
            <v>1</v>
          </cell>
          <cell r="G895">
            <v>1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1</v>
          </cell>
          <cell r="S895">
            <v>0</v>
          </cell>
        </row>
        <row r="896">
          <cell r="E896" t="str">
            <v>G129</v>
          </cell>
          <cell r="F896">
            <v>1</v>
          </cell>
          <cell r="G896">
            <v>1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1</v>
          </cell>
          <cell r="S896">
            <v>0</v>
          </cell>
        </row>
        <row r="897">
          <cell r="E897" t="str">
            <v>C129</v>
          </cell>
          <cell r="F897">
            <v>1</v>
          </cell>
          <cell r="G897">
            <v>1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</v>
          </cell>
          <cell r="S897">
            <v>0</v>
          </cell>
        </row>
        <row r="898">
          <cell r="E898" t="str">
            <v>GP19</v>
          </cell>
          <cell r="F898">
            <v>1</v>
          </cell>
          <cell r="G898">
            <v>1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</v>
          </cell>
          <cell r="S898">
            <v>0</v>
          </cell>
        </row>
        <row r="899">
          <cell r="E899" t="str">
            <v>DR19</v>
          </cell>
          <cell r="F899">
            <v>1</v>
          </cell>
          <cell r="G899">
            <v>1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1</v>
          </cell>
          <cell r="S899">
            <v>0</v>
          </cell>
        </row>
        <row r="902">
          <cell r="E902" t="str">
            <v>P229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E903" t="str">
            <v>T229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E904" t="str">
            <v>PL49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</row>
        <row r="905">
          <cell r="E905" t="str">
            <v>D249</v>
          </cell>
          <cell r="F905">
            <v>1</v>
          </cell>
          <cell r="G905">
            <v>1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1</v>
          </cell>
          <cell r="S905">
            <v>0</v>
          </cell>
        </row>
        <row r="906">
          <cell r="E906" t="str">
            <v>NT29</v>
          </cell>
          <cell r="F906">
            <v>1</v>
          </cell>
          <cell r="G906">
            <v>1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1</v>
          </cell>
          <cell r="S906">
            <v>0</v>
          </cell>
        </row>
        <row r="907">
          <cell r="E907" t="str">
            <v>G229</v>
          </cell>
          <cell r="F907">
            <v>1</v>
          </cell>
          <cell r="G907">
            <v>1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1</v>
          </cell>
          <cell r="S907">
            <v>0</v>
          </cell>
        </row>
        <row r="908">
          <cell r="E908" t="str">
            <v>C229</v>
          </cell>
          <cell r="F908">
            <v>1</v>
          </cell>
          <cell r="G908">
            <v>1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0</v>
          </cell>
        </row>
        <row r="909">
          <cell r="E909" t="str">
            <v>NP29</v>
          </cell>
          <cell r="F909">
            <v>1</v>
          </cell>
          <cell r="G909">
            <v>1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1</v>
          </cell>
          <cell r="S909">
            <v>0</v>
          </cell>
        </row>
        <row r="912">
          <cell r="E912" t="str">
            <v>W669</v>
          </cell>
          <cell r="F912">
            <v>1</v>
          </cell>
          <cell r="G912">
            <v>1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</row>
        <row r="913">
          <cell r="E913" t="str">
            <v>W689</v>
          </cell>
          <cell r="F913">
            <v>1</v>
          </cell>
          <cell r="G913">
            <v>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1</v>
          </cell>
          <cell r="S913">
            <v>0</v>
          </cell>
        </row>
        <row r="914">
          <cell r="E914" t="str">
            <v>W719</v>
          </cell>
          <cell r="F914">
            <v>1</v>
          </cell>
          <cell r="G914">
            <v>1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</v>
          </cell>
          <cell r="S914">
            <v>0</v>
          </cell>
        </row>
        <row r="915">
          <cell r="E915" t="str">
            <v>W749</v>
          </cell>
          <cell r="F915">
            <v>1</v>
          </cell>
          <cell r="G915">
            <v>1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1</v>
          </cell>
          <cell r="S915">
            <v>0</v>
          </cell>
        </row>
        <row r="916">
          <cell r="E916" t="str">
            <v>WC79</v>
          </cell>
          <cell r="F916">
            <v>1</v>
          </cell>
          <cell r="G916">
            <v>1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1</v>
          </cell>
          <cell r="S916">
            <v>0</v>
          </cell>
        </row>
        <row r="919">
          <cell r="E919" t="str">
            <v>RB29</v>
          </cell>
          <cell r="F919">
            <v>1</v>
          </cell>
          <cell r="G919">
            <v>1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</row>
        <row r="920">
          <cell r="E920" t="str">
            <v>RB99</v>
          </cell>
          <cell r="F920">
            <v>1</v>
          </cell>
          <cell r="G920">
            <v>1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1</v>
          </cell>
          <cell r="S920">
            <v>0</v>
          </cell>
        </row>
        <row r="921">
          <cell r="E921" t="str">
            <v>CW29</v>
          </cell>
          <cell r="F921">
            <v>1</v>
          </cell>
          <cell r="G921">
            <v>1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1</v>
          </cell>
          <cell r="S921">
            <v>0</v>
          </cell>
        </row>
        <row r="923">
          <cell r="R923" t="str">
            <v>FR-16(7)(v)-12</v>
          </cell>
        </row>
        <row r="924">
          <cell r="R924" t="str">
            <v>WITNESS RESPONSIBLE:</v>
          </cell>
        </row>
        <row r="925">
          <cell r="R925" t="str">
            <v>JAMES E. ZIOLKOWSKI</v>
          </cell>
        </row>
        <row r="926">
          <cell r="R926" t="str">
            <v>PAGE 18 OF 18</v>
          </cell>
        </row>
        <row r="929">
          <cell r="F929" t="str">
            <v>TOTAL</v>
          </cell>
          <cell r="H929" t="str">
            <v>DS</v>
          </cell>
          <cell r="I929" t="str">
            <v>GSFL</v>
          </cell>
          <cell r="J929" t="str">
            <v>EH</v>
          </cell>
          <cell r="K929" t="str">
            <v>SP</v>
          </cell>
          <cell r="L929" t="str">
            <v>DT SEC</v>
          </cell>
          <cell r="M929" t="str">
            <v>DT PRI</v>
          </cell>
          <cell r="N929" t="str">
            <v>DP</v>
          </cell>
          <cell r="O929" t="str">
            <v>TT</v>
          </cell>
          <cell r="Q929" t="str">
            <v>OTHER</v>
          </cell>
        </row>
        <row r="930">
          <cell r="F930" t="str">
            <v>DISTRIBUTION</v>
          </cell>
          <cell r="G930" t="str">
            <v>RS</v>
          </cell>
          <cell r="H930" t="str">
            <v>SECONDARY</v>
          </cell>
          <cell r="I930" t="str">
            <v>SECONDARY</v>
          </cell>
          <cell r="J930" t="str">
            <v>SECONDARY</v>
          </cell>
          <cell r="K930" t="str">
            <v>SECONDARY</v>
          </cell>
          <cell r="L930" t="str">
            <v>SECONDARY</v>
          </cell>
          <cell r="M930" t="str">
            <v>PRIMARY</v>
          </cell>
          <cell r="N930" t="str">
            <v>PRIMARY</v>
          </cell>
          <cell r="O930" t="str">
            <v>TRANSMISSION</v>
          </cell>
          <cell r="P930" t="str">
            <v>LT</v>
          </cell>
          <cell r="Q930" t="str">
            <v>WATER</v>
          </cell>
          <cell r="R930" t="str">
            <v>TOTAL</v>
          </cell>
          <cell r="S930" t="str">
            <v>ALL</v>
          </cell>
        </row>
        <row r="931">
          <cell r="E931" t="str">
            <v>ALLO</v>
          </cell>
          <cell r="F931" t="str">
            <v>ENERGY</v>
          </cell>
          <cell r="G931" t="str">
            <v>RESIDENTIAL</v>
          </cell>
          <cell r="H931" t="str">
            <v>DISTRIBUTION</v>
          </cell>
          <cell r="I931" t="str">
            <v>DISTRIBUTION</v>
          </cell>
          <cell r="J931" t="str">
            <v>DISTRIBUTION</v>
          </cell>
          <cell r="K931" t="str">
            <v>DISTRIBUTION</v>
          </cell>
          <cell r="L931" t="str">
            <v>DISTRIBUTION</v>
          </cell>
          <cell r="M931" t="str">
            <v>DISTRIBUTION</v>
          </cell>
          <cell r="N931" t="str">
            <v>DISTRIBUTION</v>
          </cell>
          <cell r="O931" t="str">
            <v>TIME OF DAY</v>
          </cell>
          <cell r="P931" t="str">
            <v>LIGHTING</v>
          </cell>
          <cell r="Q931" t="str">
            <v>PUMPING</v>
          </cell>
          <cell r="R931" t="str">
            <v>AT ISSUE</v>
          </cell>
          <cell r="S931" t="str">
            <v>OTHER</v>
          </cell>
        </row>
        <row r="932">
          <cell r="E932">
            <v>1</v>
          </cell>
          <cell r="G932">
            <v>3</v>
          </cell>
          <cell r="H932">
            <v>4</v>
          </cell>
          <cell r="I932">
            <v>5</v>
          </cell>
          <cell r="J932">
            <v>6</v>
          </cell>
          <cell r="K932">
            <v>7</v>
          </cell>
          <cell r="L932">
            <v>8</v>
          </cell>
          <cell r="M932">
            <v>9</v>
          </cell>
          <cell r="N932">
            <v>10</v>
          </cell>
          <cell r="O932">
            <v>11</v>
          </cell>
          <cell r="P932">
            <v>12</v>
          </cell>
          <cell r="Q932">
            <v>13</v>
          </cell>
          <cell r="S932" t="str">
            <v xml:space="preserve"> </v>
          </cell>
        </row>
        <row r="934">
          <cell r="E934" t="str">
            <v>P349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</v>
          </cell>
        </row>
        <row r="935">
          <cell r="E935" t="str">
            <v>E349</v>
          </cell>
          <cell r="F935">
            <v>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1</v>
          </cell>
        </row>
        <row r="936">
          <cell r="E936" t="str">
            <v>P459</v>
          </cell>
          <cell r="F936">
            <v>1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1</v>
          </cell>
        </row>
        <row r="937">
          <cell r="E937" t="str">
            <v>T349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1</v>
          </cell>
        </row>
        <row r="938">
          <cell r="E938" t="str">
            <v>D349</v>
          </cell>
          <cell r="F938">
            <v>1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1</v>
          </cell>
        </row>
        <row r="939">
          <cell r="E939" t="str">
            <v>C311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E940" t="str">
            <v>C319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1</v>
          </cell>
        </row>
        <row r="941">
          <cell r="E941" t="str">
            <v>C331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1</v>
          </cell>
        </row>
        <row r="942">
          <cell r="E942" t="str">
            <v>S319</v>
          </cell>
          <cell r="F942">
            <v>1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1</v>
          </cell>
        </row>
        <row r="943">
          <cell r="E943" t="str">
            <v>OM39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1</v>
          </cell>
        </row>
        <row r="946">
          <cell r="E946" t="str">
            <v>A300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1</v>
          </cell>
        </row>
        <row r="947">
          <cell r="E947" t="str">
            <v>A302</v>
          </cell>
          <cell r="F947">
            <v>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</row>
        <row r="948">
          <cell r="E948" t="str">
            <v>A304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</row>
        <row r="949">
          <cell r="E949" t="str">
            <v>A306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1</v>
          </cell>
        </row>
        <row r="950">
          <cell r="E950" t="str">
            <v>A308</v>
          </cell>
          <cell r="F950">
            <v>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</v>
          </cell>
        </row>
        <row r="951">
          <cell r="E951" t="str">
            <v>A310</v>
          </cell>
          <cell r="F951">
            <v>1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1</v>
          </cell>
        </row>
        <row r="952">
          <cell r="E952" t="str">
            <v>A312</v>
          </cell>
          <cell r="F952">
            <v>1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1</v>
          </cell>
        </row>
        <row r="953">
          <cell r="E953" t="str">
            <v>A315</v>
          </cell>
          <cell r="F953">
            <v>1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1</v>
          </cell>
        </row>
        <row r="954">
          <cell r="E954" t="str">
            <v>A357</v>
          </cell>
          <cell r="F954">
            <v>1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1</v>
          </cell>
        </row>
        <row r="957">
          <cell r="E957" t="str">
            <v>P489</v>
          </cell>
          <cell r="F957">
            <v>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1</v>
          </cell>
        </row>
        <row r="958">
          <cell r="E958" t="str">
            <v>T489</v>
          </cell>
          <cell r="F958">
            <v>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1</v>
          </cell>
        </row>
        <row r="959">
          <cell r="E959" t="str">
            <v>D489</v>
          </cell>
          <cell r="F959">
            <v>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1</v>
          </cell>
        </row>
        <row r="960">
          <cell r="E960" t="str">
            <v>G489</v>
          </cell>
          <cell r="F960">
            <v>1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1</v>
          </cell>
        </row>
        <row r="961">
          <cell r="E961" t="str">
            <v>C489</v>
          </cell>
          <cell r="F961">
            <v>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1</v>
          </cell>
        </row>
        <row r="962">
          <cell r="E962" t="str">
            <v>DE49</v>
          </cell>
          <cell r="F962">
            <v>1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1</v>
          </cell>
        </row>
        <row r="965">
          <cell r="E965" t="str">
            <v>L529</v>
          </cell>
          <cell r="F965">
            <v>1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1</v>
          </cell>
        </row>
        <row r="966">
          <cell r="E966" t="str">
            <v>L589</v>
          </cell>
          <cell r="F966">
            <v>1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</row>
        <row r="967">
          <cell r="E967" t="str">
            <v>L599</v>
          </cell>
          <cell r="F967">
            <v>1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1</v>
          </cell>
        </row>
        <row r="968">
          <cell r="E968" t="str">
            <v>OP69</v>
          </cell>
          <cell r="F968">
            <v>1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</row>
        <row r="971">
          <cell r="E971" t="str">
            <v>CS09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1</v>
          </cell>
        </row>
      </sheetData>
      <sheetData sheetId="16">
        <row r="24">
          <cell r="H24">
            <v>0</v>
          </cell>
        </row>
        <row r="33">
          <cell r="H33">
            <v>5538335</v>
          </cell>
        </row>
        <row r="42">
          <cell r="H42">
            <v>2460072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1694540</v>
          </cell>
        </row>
        <row r="76">
          <cell r="H76">
            <v>0</v>
          </cell>
        </row>
        <row r="77">
          <cell r="H77">
            <v>333081</v>
          </cell>
        </row>
        <row r="78">
          <cell r="H78">
            <v>0</v>
          </cell>
        </row>
        <row r="79">
          <cell r="H79">
            <v>2044964</v>
          </cell>
        </row>
        <row r="80">
          <cell r="H80">
            <v>0</v>
          </cell>
        </row>
        <row r="81">
          <cell r="H81">
            <v>764780</v>
          </cell>
        </row>
        <row r="82">
          <cell r="H82">
            <v>0</v>
          </cell>
        </row>
        <row r="83">
          <cell r="H83">
            <v>1124289</v>
          </cell>
        </row>
        <row r="84">
          <cell r="H84">
            <v>0</v>
          </cell>
        </row>
        <row r="85">
          <cell r="H85">
            <v>343378</v>
          </cell>
        </row>
        <row r="86">
          <cell r="H86">
            <v>0</v>
          </cell>
        </row>
        <row r="87">
          <cell r="H87">
            <v>996030</v>
          </cell>
        </row>
        <row r="88">
          <cell r="H88">
            <v>3480520</v>
          </cell>
        </row>
        <row r="89">
          <cell r="H89">
            <v>3936327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0</v>
          </cell>
        </row>
        <row r="101">
          <cell r="H101">
            <v>0</v>
          </cell>
        </row>
        <row r="102">
          <cell r="H102">
            <v>0</v>
          </cell>
        </row>
        <row r="103">
          <cell r="H103">
            <v>0</v>
          </cell>
        </row>
        <row r="104">
          <cell r="H104">
            <v>230482</v>
          </cell>
        </row>
        <row r="105">
          <cell r="H105">
            <v>636620</v>
          </cell>
        </row>
        <row r="106">
          <cell r="H106">
            <v>366300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0</v>
          </cell>
        </row>
        <row r="113">
          <cell r="H113">
            <v>0</v>
          </cell>
        </row>
        <row r="114">
          <cell r="H114">
            <v>0</v>
          </cell>
        </row>
        <row r="115">
          <cell r="H115">
            <v>0</v>
          </cell>
        </row>
        <row r="116">
          <cell r="H116">
            <v>77329</v>
          </cell>
        </row>
        <row r="117">
          <cell r="H117">
            <v>213592</v>
          </cell>
        </row>
        <row r="118">
          <cell r="H118">
            <v>122897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42">
          <cell r="H142">
            <v>0</v>
          </cell>
        </row>
        <row r="143">
          <cell r="H143">
            <v>0</v>
          </cell>
        </row>
        <row r="144">
          <cell r="H144">
            <v>0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567566</v>
          </cell>
        </row>
        <row r="153">
          <cell r="H153">
            <v>0</v>
          </cell>
        </row>
        <row r="154">
          <cell r="H154">
            <v>111562</v>
          </cell>
        </row>
        <row r="155">
          <cell r="H155">
            <v>0</v>
          </cell>
        </row>
        <row r="156">
          <cell r="H156">
            <v>423246</v>
          </cell>
        </row>
        <row r="157">
          <cell r="H157">
            <v>0</v>
          </cell>
        </row>
        <row r="158">
          <cell r="H158">
            <v>158286</v>
          </cell>
        </row>
        <row r="159">
          <cell r="H159">
            <v>0</v>
          </cell>
        </row>
        <row r="160">
          <cell r="H160">
            <v>258359</v>
          </cell>
        </row>
        <row r="161">
          <cell r="H161">
            <v>0</v>
          </cell>
        </row>
        <row r="162">
          <cell r="H162">
            <v>78907</v>
          </cell>
        </row>
        <row r="163">
          <cell r="H163">
            <v>0</v>
          </cell>
        </row>
        <row r="164">
          <cell r="H164">
            <v>292090</v>
          </cell>
        </row>
        <row r="165">
          <cell r="H165">
            <v>1805096</v>
          </cell>
        </row>
        <row r="166">
          <cell r="H166">
            <v>1536421</v>
          </cell>
        </row>
        <row r="167">
          <cell r="H167">
            <v>0</v>
          </cell>
        </row>
        <row r="168">
          <cell r="H168">
            <v>-1317</v>
          </cell>
        </row>
        <row r="169">
          <cell r="H169">
            <v>0</v>
          </cell>
        </row>
        <row r="170">
          <cell r="H170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1">
          <cell r="H181">
            <v>78564</v>
          </cell>
        </row>
        <row r="182">
          <cell r="H182">
            <v>217003</v>
          </cell>
        </row>
        <row r="183">
          <cell r="H183">
            <v>124860</v>
          </cell>
        </row>
        <row r="184">
          <cell r="H184">
            <v>0</v>
          </cell>
        </row>
        <row r="185">
          <cell r="H185">
            <v>783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40793</v>
          </cell>
        </row>
        <row r="194">
          <cell r="H194">
            <v>112675</v>
          </cell>
        </row>
        <row r="195">
          <cell r="H195">
            <v>64831</v>
          </cell>
        </row>
        <row r="196">
          <cell r="H196">
            <v>0</v>
          </cell>
        </row>
        <row r="197">
          <cell r="H197">
            <v>2397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1510659</v>
          </cell>
        </row>
        <row r="304">
          <cell r="H304">
            <v>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309683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143805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91601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515069</v>
          </cell>
        </row>
        <row r="396">
          <cell r="H396">
            <v>0</v>
          </cell>
        </row>
        <row r="397">
          <cell r="H397">
            <v>0</v>
          </cell>
        </row>
        <row r="402">
          <cell r="H402">
            <v>4272</v>
          </cell>
        </row>
        <row r="403">
          <cell r="H403">
            <v>0</v>
          </cell>
        </row>
        <row r="404">
          <cell r="H404">
            <v>0</v>
          </cell>
        </row>
        <row r="407">
          <cell r="H407">
            <v>0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9261751</v>
          </cell>
        </row>
        <row r="447">
          <cell r="H447">
            <v>0</v>
          </cell>
        </row>
        <row r="448">
          <cell r="H448">
            <v>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0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0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0</v>
          </cell>
        </row>
        <row r="473">
          <cell r="H473">
            <v>0</v>
          </cell>
        </row>
        <row r="474">
          <cell r="H474">
            <v>0</v>
          </cell>
        </row>
        <row r="475">
          <cell r="H475">
            <v>0</v>
          </cell>
        </row>
        <row r="476">
          <cell r="H476">
            <v>96443</v>
          </cell>
        </row>
        <row r="477">
          <cell r="H477">
            <v>0</v>
          </cell>
        </row>
        <row r="478">
          <cell r="H478">
            <v>36068</v>
          </cell>
        </row>
        <row r="479">
          <cell r="H479">
            <v>0</v>
          </cell>
        </row>
        <row r="480">
          <cell r="H480">
            <v>4939</v>
          </cell>
        </row>
        <row r="481">
          <cell r="H481">
            <v>0</v>
          </cell>
        </row>
        <row r="482">
          <cell r="H482">
            <v>1508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0</v>
          </cell>
        </row>
        <row r="486">
          <cell r="H486">
            <v>0</v>
          </cell>
        </row>
        <row r="487">
          <cell r="H487">
            <v>118024</v>
          </cell>
        </row>
        <row r="488">
          <cell r="H488">
            <v>0</v>
          </cell>
        </row>
        <row r="489">
          <cell r="H489">
            <v>0</v>
          </cell>
        </row>
        <row r="490">
          <cell r="H490">
            <v>0</v>
          </cell>
        </row>
        <row r="491">
          <cell r="H491">
            <v>0</v>
          </cell>
        </row>
        <row r="495">
          <cell r="H495">
            <v>348269</v>
          </cell>
        </row>
        <row r="496">
          <cell r="H496">
            <v>119322</v>
          </cell>
        </row>
        <row r="497">
          <cell r="H497">
            <v>15953</v>
          </cell>
        </row>
        <row r="498">
          <cell r="H498">
            <v>90026</v>
          </cell>
        </row>
        <row r="499">
          <cell r="H499">
            <v>34534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6720</v>
          </cell>
        </row>
        <row r="516">
          <cell r="H516">
            <v>121415</v>
          </cell>
        </row>
        <row r="517">
          <cell r="H517">
            <v>0</v>
          </cell>
        </row>
        <row r="521">
          <cell r="H521">
            <v>16617</v>
          </cell>
        </row>
        <row r="525">
          <cell r="H525">
            <v>0</v>
          </cell>
        </row>
        <row r="526">
          <cell r="H526">
            <v>0</v>
          </cell>
        </row>
        <row r="527">
          <cell r="H527">
            <v>0</v>
          </cell>
        </row>
        <row r="528">
          <cell r="H528">
            <v>116833</v>
          </cell>
        </row>
        <row r="529">
          <cell r="H529">
            <v>232517</v>
          </cell>
        </row>
        <row r="530">
          <cell r="H530">
            <v>133786</v>
          </cell>
        </row>
        <row r="531">
          <cell r="H531">
            <v>0</v>
          </cell>
        </row>
        <row r="533">
          <cell r="H533">
            <v>2163</v>
          </cell>
        </row>
        <row r="534">
          <cell r="H534">
            <v>0</v>
          </cell>
        </row>
        <row r="535">
          <cell r="H535">
            <v>-23726</v>
          </cell>
        </row>
        <row r="536">
          <cell r="H536">
            <v>-3735</v>
          </cell>
        </row>
        <row r="537">
          <cell r="H537">
            <v>0</v>
          </cell>
        </row>
        <row r="538">
          <cell r="H538">
            <v>-6555</v>
          </cell>
        </row>
        <row r="539">
          <cell r="H539">
            <v>-10610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-28559</v>
          </cell>
        </row>
        <row r="543">
          <cell r="H543">
            <v>9278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15744</v>
          </cell>
        </row>
        <row r="562">
          <cell r="H562">
            <v>0</v>
          </cell>
        </row>
        <row r="566">
          <cell r="H566">
            <v>0</v>
          </cell>
        </row>
        <row r="570">
          <cell r="H570">
            <v>310105</v>
          </cell>
        </row>
        <row r="574">
          <cell r="H574">
            <v>105665</v>
          </cell>
        </row>
        <row r="578">
          <cell r="H578">
            <v>4476</v>
          </cell>
        </row>
        <row r="596">
          <cell r="H596">
            <v>114777</v>
          </cell>
        </row>
        <row r="597">
          <cell r="H597">
            <v>0</v>
          </cell>
        </row>
        <row r="601">
          <cell r="H601">
            <v>23406</v>
          </cell>
        </row>
        <row r="602">
          <cell r="H602">
            <v>-913</v>
          </cell>
        </row>
        <row r="603">
          <cell r="H603">
            <v>-1237</v>
          </cell>
        </row>
        <row r="604">
          <cell r="H604">
            <v>2006</v>
          </cell>
        </row>
        <row r="608">
          <cell r="H608">
            <v>5151</v>
          </cell>
        </row>
        <row r="609">
          <cell r="H609">
            <v>0</v>
          </cell>
        </row>
        <row r="632">
          <cell r="H632">
            <v>208120</v>
          </cell>
        </row>
        <row r="636">
          <cell r="H636">
            <v>-86111</v>
          </cell>
        </row>
        <row r="637">
          <cell r="H637">
            <v>-1784</v>
          </cell>
        </row>
        <row r="638">
          <cell r="H638">
            <v>145501</v>
          </cell>
        </row>
        <row r="644">
          <cell r="H644">
            <v>11565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0</v>
          </cell>
        </row>
        <row r="648">
          <cell r="H648">
            <v>-22607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74">
          <cell r="H674">
            <v>125649</v>
          </cell>
        </row>
        <row r="694">
          <cell r="H694">
            <v>80133</v>
          </cell>
        </row>
        <row r="695">
          <cell r="H695">
            <v>0</v>
          </cell>
        </row>
        <row r="700">
          <cell r="H700">
            <v>11472</v>
          </cell>
        </row>
        <row r="704">
          <cell r="H704">
            <v>-166</v>
          </cell>
        </row>
        <row r="742">
          <cell r="H742">
            <v>19837</v>
          </cell>
        </row>
        <row r="743">
          <cell r="H743">
            <v>4415</v>
          </cell>
        </row>
        <row r="744">
          <cell r="H744">
            <v>10724</v>
          </cell>
        </row>
        <row r="745">
          <cell r="H745">
            <v>19916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4424</v>
          </cell>
        </row>
        <row r="761">
          <cell r="H761">
            <v>0</v>
          </cell>
        </row>
        <row r="772">
          <cell r="H772">
            <v>5538335</v>
          </cell>
        </row>
        <row r="830">
          <cell r="F830">
            <v>648083</v>
          </cell>
          <cell r="G830">
            <v>275875</v>
          </cell>
          <cell r="H830">
            <v>190449</v>
          </cell>
          <cell r="I830">
            <v>819</v>
          </cell>
          <cell r="J830">
            <v>3656</v>
          </cell>
          <cell r="K830">
            <v>44</v>
          </cell>
          <cell r="L830">
            <v>84146</v>
          </cell>
          <cell r="M830">
            <v>67809</v>
          </cell>
          <cell r="N830">
            <v>917</v>
          </cell>
          <cell r="O830">
            <v>22422</v>
          </cell>
          <cell r="P830">
            <v>0</v>
          </cell>
          <cell r="Q830">
            <v>1946</v>
          </cell>
          <cell r="R830">
            <v>648083</v>
          </cell>
          <cell r="S830">
            <v>0</v>
          </cell>
        </row>
        <row r="831">
          <cell r="E831" t="str">
            <v>K201</v>
          </cell>
          <cell r="F831">
            <v>1</v>
          </cell>
          <cell r="G831">
            <v>0.42568000000000006</v>
          </cell>
          <cell r="H831">
            <v>0.29387000000000002</v>
          </cell>
          <cell r="I831">
            <v>1.2600000000000001E-3</v>
          </cell>
          <cell r="J831">
            <v>5.64E-3</v>
          </cell>
          <cell r="K831">
            <v>6.9999999999999994E-5</v>
          </cell>
          <cell r="L831">
            <v>0.12984000000000001</v>
          </cell>
          <cell r="M831">
            <v>0.10463</v>
          </cell>
          <cell r="N831">
            <v>1.41E-3</v>
          </cell>
          <cell r="O831">
            <v>3.4599999999999999E-2</v>
          </cell>
          <cell r="P831">
            <v>0</v>
          </cell>
          <cell r="Q831">
            <v>3.0000000000000001E-3</v>
          </cell>
          <cell r="R831">
            <v>1.0000000000000002</v>
          </cell>
          <cell r="S831">
            <v>0</v>
          </cell>
        </row>
        <row r="832">
          <cell r="F832">
            <v>648083</v>
          </cell>
          <cell r="G832">
            <v>275875</v>
          </cell>
          <cell r="H832">
            <v>190449</v>
          </cell>
          <cell r="I832">
            <v>819</v>
          </cell>
          <cell r="J832">
            <v>3656</v>
          </cell>
          <cell r="K832">
            <v>44</v>
          </cell>
          <cell r="L832">
            <v>84146</v>
          </cell>
          <cell r="M832">
            <v>67809</v>
          </cell>
          <cell r="N832">
            <v>917</v>
          </cell>
          <cell r="O832">
            <v>22422</v>
          </cell>
          <cell r="P832">
            <v>0</v>
          </cell>
          <cell r="Q832">
            <v>1946</v>
          </cell>
          <cell r="R832">
            <v>648083</v>
          </cell>
          <cell r="S832">
            <v>0</v>
          </cell>
        </row>
        <row r="833">
          <cell r="E833" t="str">
            <v>K202</v>
          </cell>
          <cell r="F833">
            <v>1</v>
          </cell>
          <cell r="G833">
            <v>0.42568000000000006</v>
          </cell>
          <cell r="H833">
            <v>0.29387000000000002</v>
          </cell>
          <cell r="I833">
            <v>1.2600000000000001E-3</v>
          </cell>
          <cell r="J833">
            <v>5.64E-3</v>
          </cell>
          <cell r="K833">
            <v>6.9999999999999994E-5</v>
          </cell>
          <cell r="L833">
            <v>0.12984000000000001</v>
          </cell>
          <cell r="M833">
            <v>0.10463</v>
          </cell>
          <cell r="N833">
            <v>1.41E-3</v>
          </cell>
          <cell r="O833">
            <v>3.4599999999999999E-2</v>
          </cell>
          <cell r="P833">
            <v>0</v>
          </cell>
          <cell r="Q833">
            <v>3.0000000000000001E-3</v>
          </cell>
          <cell r="R833">
            <v>1.0000000000000002</v>
          </cell>
          <cell r="S833">
            <v>0</v>
          </cell>
        </row>
        <row r="834">
          <cell r="F834">
            <v>1647331</v>
          </cell>
          <cell r="G834">
            <v>1006247</v>
          </cell>
          <cell r="H834">
            <v>345716</v>
          </cell>
          <cell r="I834">
            <v>1108</v>
          </cell>
          <cell r="J834">
            <v>13538</v>
          </cell>
          <cell r="K834">
            <v>107</v>
          </cell>
          <cell r="L834">
            <v>117501</v>
          </cell>
          <cell r="M834">
            <v>94629</v>
          </cell>
          <cell r="N834">
            <v>6558</v>
          </cell>
          <cell r="O834">
            <v>52159</v>
          </cell>
          <cell r="P834">
            <v>6010</v>
          </cell>
          <cell r="Q834">
            <v>3758</v>
          </cell>
          <cell r="R834">
            <v>1647331</v>
          </cell>
          <cell r="S834">
            <v>0</v>
          </cell>
        </row>
        <row r="835">
          <cell r="E835" t="str">
            <v>K203</v>
          </cell>
          <cell r="F835">
            <v>1</v>
          </cell>
          <cell r="G835">
            <v>0.61085</v>
          </cell>
          <cell r="H835">
            <v>0.20985999999999999</v>
          </cell>
          <cell r="I835">
            <v>6.7000000000000002E-4</v>
          </cell>
          <cell r="J835">
            <v>8.2199999999999999E-3</v>
          </cell>
          <cell r="K835">
            <v>6.0000000000000002E-5</v>
          </cell>
          <cell r="L835">
            <v>7.1330000000000005E-2</v>
          </cell>
          <cell r="M835">
            <v>5.7439999999999998E-2</v>
          </cell>
          <cell r="N835">
            <v>3.98E-3</v>
          </cell>
          <cell r="O835">
            <v>3.1660000000000001E-2</v>
          </cell>
          <cell r="P835">
            <v>3.65E-3</v>
          </cell>
          <cell r="Q835">
            <v>2.2799999999999999E-3</v>
          </cell>
          <cell r="R835">
            <v>1</v>
          </cell>
          <cell r="S835">
            <v>0</v>
          </cell>
        </row>
        <row r="836">
          <cell r="F836">
            <v>708591</v>
          </cell>
          <cell r="G836">
            <v>315144</v>
          </cell>
          <cell r="H836">
            <v>219094</v>
          </cell>
          <cell r="I836">
            <v>924</v>
          </cell>
          <cell r="J836">
            <v>4810</v>
          </cell>
          <cell r="K836">
            <v>51</v>
          </cell>
          <cell r="L836">
            <v>88885</v>
          </cell>
          <cell r="M836">
            <v>71748</v>
          </cell>
          <cell r="N836">
            <v>939</v>
          </cell>
          <cell r="O836">
            <v>0</v>
          </cell>
          <cell r="P836">
            <v>4747</v>
          </cell>
          <cell r="Q836">
            <v>2249</v>
          </cell>
          <cell r="R836">
            <v>708591</v>
          </cell>
          <cell r="S836">
            <v>0</v>
          </cell>
        </row>
        <row r="837">
          <cell r="E837" t="str">
            <v>K205</v>
          </cell>
          <cell r="F837">
            <v>1</v>
          </cell>
          <cell r="G837">
            <v>0.44474999999999987</v>
          </cell>
          <cell r="H837">
            <v>0.30919999999999997</v>
          </cell>
          <cell r="I837">
            <v>1.2999999999999999E-3</v>
          </cell>
          <cell r="J837">
            <v>6.79E-3</v>
          </cell>
          <cell r="K837">
            <v>6.9999999999999994E-5</v>
          </cell>
          <cell r="L837">
            <v>0.12544</v>
          </cell>
          <cell r="M837">
            <v>0.10125000000000001</v>
          </cell>
          <cell r="N837">
            <v>1.33E-3</v>
          </cell>
          <cell r="O837">
            <v>0</v>
          </cell>
          <cell r="P837">
            <v>6.7000000000000002E-3</v>
          </cell>
          <cell r="Q837">
            <v>3.1700000000000001E-3</v>
          </cell>
          <cell r="R837">
            <v>1</v>
          </cell>
          <cell r="S837">
            <v>0</v>
          </cell>
        </row>
        <row r="838">
          <cell r="F838">
            <v>708591</v>
          </cell>
          <cell r="G838">
            <v>315144</v>
          </cell>
          <cell r="H838">
            <v>219094</v>
          </cell>
          <cell r="I838">
            <v>924</v>
          </cell>
          <cell r="J838">
            <v>4810</v>
          </cell>
          <cell r="K838">
            <v>51</v>
          </cell>
          <cell r="L838">
            <v>88885</v>
          </cell>
          <cell r="M838">
            <v>71748</v>
          </cell>
          <cell r="N838">
            <v>939</v>
          </cell>
          <cell r="O838">
            <v>0</v>
          </cell>
          <cell r="P838">
            <v>4747</v>
          </cell>
          <cell r="Q838">
            <v>2249</v>
          </cell>
          <cell r="R838">
            <v>708591</v>
          </cell>
          <cell r="S838">
            <v>0</v>
          </cell>
        </row>
        <row r="839">
          <cell r="E839" t="str">
            <v>K206</v>
          </cell>
          <cell r="F839">
            <v>1</v>
          </cell>
          <cell r="G839">
            <v>0.44474999999999987</v>
          </cell>
          <cell r="H839">
            <v>0.30919999999999997</v>
          </cell>
          <cell r="I839">
            <v>1.2999999999999999E-3</v>
          </cell>
          <cell r="J839">
            <v>6.79E-3</v>
          </cell>
          <cell r="K839">
            <v>6.9999999999999994E-5</v>
          </cell>
          <cell r="L839">
            <v>0.12544</v>
          </cell>
          <cell r="M839">
            <v>0.10125000000000001</v>
          </cell>
          <cell r="N839">
            <v>1.33E-3</v>
          </cell>
          <cell r="O839">
            <v>0</v>
          </cell>
          <cell r="P839">
            <v>6.7000000000000002E-3</v>
          </cell>
          <cell r="Q839">
            <v>3.1700000000000001E-3</v>
          </cell>
          <cell r="R839">
            <v>1</v>
          </cell>
          <cell r="S839">
            <v>0</v>
          </cell>
        </row>
        <row r="840">
          <cell r="F840">
            <v>159590892</v>
          </cell>
          <cell r="G840">
            <v>133524298</v>
          </cell>
          <cell r="H840">
            <v>14717909</v>
          </cell>
          <cell r="I840">
            <v>20245</v>
          </cell>
          <cell r="J840">
            <v>141137</v>
          </cell>
          <cell r="K840">
            <v>12933</v>
          </cell>
          <cell r="L840">
            <v>296788</v>
          </cell>
          <cell r="M840">
            <v>103049</v>
          </cell>
          <cell r="N840">
            <v>44433</v>
          </cell>
          <cell r="O840">
            <v>31725</v>
          </cell>
          <cell r="P840">
            <v>10696631</v>
          </cell>
          <cell r="Q840">
            <v>1744</v>
          </cell>
          <cell r="R840">
            <v>159590892</v>
          </cell>
          <cell r="S840">
            <v>0</v>
          </cell>
        </row>
        <row r="841">
          <cell r="E841" t="str">
            <v>K209</v>
          </cell>
          <cell r="F841">
            <v>1</v>
          </cell>
          <cell r="G841">
            <v>0.83665999999999996</v>
          </cell>
          <cell r="H841">
            <v>9.2219999999999996E-2</v>
          </cell>
          <cell r="I841">
            <v>1.2999999999999999E-4</v>
          </cell>
          <cell r="J841">
            <v>8.8000000000000003E-4</v>
          </cell>
          <cell r="K841">
            <v>8.0000000000000007E-5</v>
          </cell>
          <cell r="L841">
            <v>1.8600000000000001E-3</v>
          </cell>
          <cell r="M841">
            <v>6.4999999999999997E-4</v>
          </cell>
          <cell r="N841">
            <v>2.7999999999999998E-4</v>
          </cell>
          <cell r="O841">
            <v>2.0000000000000001E-4</v>
          </cell>
          <cell r="P841">
            <v>6.7030000000000006E-2</v>
          </cell>
          <cell r="Q841">
            <v>1.0000000000000001E-5</v>
          </cell>
          <cell r="R841">
            <v>0.99999999999999978</v>
          </cell>
          <cell r="S841">
            <v>0</v>
          </cell>
        </row>
        <row r="842">
          <cell r="F842">
            <v>708591</v>
          </cell>
          <cell r="G842">
            <v>315144</v>
          </cell>
          <cell r="H842">
            <v>219094</v>
          </cell>
          <cell r="I842">
            <v>924</v>
          </cell>
          <cell r="J842">
            <v>4810</v>
          </cell>
          <cell r="K842">
            <v>51</v>
          </cell>
          <cell r="L842">
            <v>88885</v>
          </cell>
          <cell r="M842">
            <v>71748</v>
          </cell>
          <cell r="N842">
            <v>939</v>
          </cell>
          <cell r="O842">
            <v>0</v>
          </cell>
          <cell r="P842">
            <v>4747</v>
          </cell>
          <cell r="Q842">
            <v>2249</v>
          </cell>
          <cell r="R842">
            <v>708591</v>
          </cell>
          <cell r="S842">
            <v>0</v>
          </cell>
        </row>
        <row r="843">
          <cell r="E843" t="str">
            <v>K215</v>
          </cell>
          <cell r="F843">
            <v>1</v>
          </cell>
          <cell r="G843">
            <v>0.44474999999999987</v>
          </cell>
          <cell r="H843">
            <v>0.30919999999999997</v>
          </cell>
          <cell r="I843">
            <v>1.2999999999999999E-3</v>
          </cell>
          <cell r="J843">
            <v>6.79E-3</v>
          </cell>
          <cell r="K843">
            <v>6.9999999999999994E-5</v>
          </cell>
          <cell r="L843">
            <v>0.12544</v>
          </cell>
          <cell r="M843">
            <v>0.10125000000000001</v>
          </cell>
          <cell r="N843">
            <v>1.33E-3</v>
          </cell>
          <cell r="O843">
            <v>0</v>
          </cell>
          <cell r="P843">
            <v>6.7000000000000002E-3</v>
          </cell>
          <cell r="Q843">
            <v>3.1700000000000001E-3</v>
          </cell>
          <cell r="R843">
            <v>1</v>
          </cell>
          <cell r="S843">
            <v>0</v>
          </cell>
        </row>
        <row r="844">
          <cell r="F844">
            <v>165672</v>
          </cell>
          <cell r="G844">
            <v>137520</v>
          </cell>
          <cell r="H844">
            <v>24512</v>
          </cell>
          <cell r="I844">
            <v>46</v>
          </cell>
          <cell r="J844">
            <v>264</v>
          </cell>
          <cell r="K844">
            <v>12</v>
          </cell>
          <cell r="L844">
            <v>342</v>
          </cell>
          <cell r="M844">
            <v>105</v>
          </cell>
          <cell r="N844">
            <v>30</v>
          </cell>
          <cell r="O844">
            <v>36</v>
          </cell>
          <cell r="P844">
            <v>2792</v>
          </cell>
          <cell r="Q844">
            <v>3</v>
          </cell>
          <cell r="R844">
            <v>165662</v>
          </cell>
          <cell r="S844">
            <v>10</v>
          </cell>
        </row>
        <row r="845">
          <cell r="E845" t="str">
            <v>K217</v>
          </cell>
          <cell r="F845">
            <v>1</v>
          </cell>
          <cell r="G845">
            <v>0.83006999999999997</v>
          </cell>
          <cell r="H845">
            <v>0.14795</v>
          </cell>
          <cell r="I845">
            <v>2.7999999999999998E-4</v>
          </cell>
          <cell r="J845">
            <v>1.5900000000000001E-3</v>
          </cell>
          <cell r="K845">
            <v>6.9999999999999994E-5</v>
          </cell>
          <cell r="L845">
            <v>2.0600000000000002E-3</v>
          </cell>
          <cell r="M845">
            <v>6.3000000000000003E-4</v>
          </cell>
          <cell r="N845">
            <v>1.8000000000000001E-4</v>
          </cell>
          <cell r="O845">
            <v>2.2000000000000001E-4</v>
          </cell>
          <cell r="P845">
            <v>1.685E-2</v>
          </cell>
          <cell r="Q845">
            <v>2.0000000000000002E-5</v>
          </cell>
          <cell r="R845">
            <v>0.99991999999999992</v>
          </cell>
          <cell r="S845">
            <v>8.0000000000080007E-5</v>
          </cell>
        </row>
        <row r="846">
          <cell r="F846">
            <v>4101134214.1489997</v>
          </cell>
          <cell r="G846">
            <v>1470196498.845</v>
          </cell>
          <cell r="H846">
            <v>1255081996.2449999</v>
          </cell>
          <cell r="I846">
            <v>6350133.8709999984</v>
          </cell>
          <cell r="J846">
            <v>19355665.91</v>
          </cell>
          <cell r="K846">
            <v>288048</v>
          </cell>
          <cell r="L846">
            <v>610848200.07483399</v>
          </cell>
          <cell r="M846">
            <v>509222309.26616597</v>
          </cell>
          <cell r="N846">
            <v>5979794.5269999998</v>
          </cell>
          <cell r="O846">
            <v>191982350.88400003</v>
          </cell>
          <cell r="P846">
            <v>18971771.526000001</v>
          </cell>
          <cell r="Q846">
            <v>12857445</v>
          </cell>
          <cell r="R846">
            <v>4101134214.1489997</v>
          </cell>
          <cell r="S846">
            <v>0</v>
          </cell>
        </row>
        <row r="847">
          <cell r="E847" t="str">
            <v>K301</v>
          </cell>
          <cell r="F847">
            <v>1</v>
          </cell>
          <cell r="G847">
            <v>0.35846999999999984</v>
          </cell>
          <cell r="H847">
            <v>0.30603000000000002</v>
          </cell>
          <cell r="I847">
            <v>1.5499999999999999E-3</v>
          </cell>
          <cell r="J847">
            <v>4.7200000000000002E-3</v>
          </cell>
          <cell r="K847">
            <v>6.9999999999999994E-5</v>
          </cell>
          <cell r="L847">
            <v>0.14895</v>
          </cell>
          <cell r="M847">
            <v>0.12417</v>
          </cell>
          <cell r="N847">
            <v>1.4599999999999999E-3</v>
          </cell>
          <cell r="O847">
            <v>4.6809999999999997E-2</v>
          </cell>
          <cell r="P847">
            <v>4.6299999999999996E-3</v>
          </cell>
          <cell r="Q847">
            <v>3.14E-3</v>
          </cell>
          <cell r="R847">
            <v>1</v>
          </cell>
          <cell r="S847">
            <v>0</v>
          </cell>
        </row>
        <row r="848">
          <cell r="F848">
            <v>4101134214.1489997</v>
          </cell>
          <cell r="G848">
            <v>1470196498.845</v>
          </cell>
          <cell r="H848">
            <v>1255081996.2449999</v>
          </cell>
          <cell r="I848">
            <v>6350133.8709999984</v>
          </cell>
          <cell r="J848">
            <v>19355665.91</v>
          </cell>
          <cell r="K848">
            <v>288048</v>
          </cell>
          <cell r="L848">
            <v>610848200.07483399</v>
          </cell>
          <cell r="M848">
            <v>509222309.26616597</v>
          </cell>
          <cell r="N848">
            <v>5979794.5269999998</v>
          </cell>
          <cell r="O848">
            <v>179959630.88400003</v>
          </cell>
          <cell r="P848">
            <v>18971771.526000001</v>
          </cell>
          <cell r="Q848">
            <v>12857445</v>
          </cell>
          <cell r="R848">
            <v>4089111494.1489997</v>
          </cell>
          <cell r="S848">
            <v>12022720</v>
          </cell>
        </row>
        <row r="849">
          <cell r="E849" t="str">
            <v>K303</v>
          </cell>
          <cell r="F849">
            <v>1</v>
          </cell>
          <cell r="G849">
            <v>0.35848999999999998</v>
          </cell>
          <cell r="H849">
            <v>0.30603000000000002</v>
          </cell>
          <cell r="I849">
            <v>1.5499999999999999E-3</v>
          </cell>
          <cell r="J849">
            <v>4.7200000000000002E-3</v>
          </cell>
          <cell r="K849">
            <v>6.9999999999999994E-5</v>
          </cell>
          <cell r="L849">
            <v>0.14895</v>
          </cell>
          <cell r="M849">
            <v>0.12417</v>
          </cell>
          <cell r="N849">
            <v>1.4599999999999999E-3</v>
          </cell>
          <cell r="O849">
            <v>4.3880000000000002E-2</v>
          </cell>
          <cell r="P849">
            <v>4.6299999999999996E-3</v>
          </cell>
          <cell r="Q849">
            <v>3.14E-3</v>
          </cell>
          <cell r="R849">
            <v>0.99709000000000014</v>
          </cell>
          <cell r="S849">
            <v>2.9099999999998571E-3</v>
          </cell>
        </row>
        <row r="850">
          <cell r="F850">
            <v>4082162442.6229997</v>
          </cell>
          <cell r="G850">
            <v>1470196498.845</v>
          </cell>
          <cell r="H850">
            <v>1255081996.2449999</v>
          </cell>
          <cell r="I850">
            <v>6350133.8709999984</v>
          </cell>
          <cell r="J850">
            <v>19355665.91</v>
          </cell>
          <cell r="K850">
            <v>288048</v>
          </cell>
          <cell r="L850">
            <v>610848200.07483399</v>
          </cell>
          <cell r="M850">
            <v>509222309.26616597</v>
          </cell>
          <cell r="N850">
            <v>5979794.5269999998</v>
          </cell>
          <cell r="O850">
            <v>191982350.88400003</v>
          </cell>
          <cell r="P850">
            <v>0</v>
          </cell>
          <cell r="Q850">
            <v>12857445</v>
          </cell>
          <cell r="R850">
            <v>4082162442.6229997</v>
          </cell>
          <cell r="S850">
            <v>0</v>
          </cell>
        </row>
        <row r="851">
          <cell r="E851" t="str">
            <v>K305</v>
          </cell>
          <cell r="F851">
            <v>1</v>
          </cell>
          <cell r="G851">
            <v>0.36014999999999997</v>
          </cell>
          <cell r="H851">
            <v>0.30746000000000001</v>
          </cell>
          <cell r="I851">
            <v>1.56E-3</v>
          </cell>
          <cell r="J851">
            <v>4.7400000000000003E-3</v>
          </cell>
          <cell r="K851">
            <v>6.9999999999999994E-5</v>
          </cell>
          <cell r="L851">
            <v>0.14964</v>
          </cell>
          <cell r="M851">
            <v>0.12474</v>
          </cell>
          <cell r="N851">
            <v>1.4599999999999999E-3</v>
          </cell>
          <cell r="O851">
            <v>4.7030000000000002E-2</v>
          </cell>
          <cell r="P851">
            <v>0</v>
          </cell>
          <cell r="Q851">
            <v>3.15E-3</v>
          </cell>
          <cell r="R851">
            <v>1</v>
          </cell>
          <cell r="S851">
            <v>0</v>
          </cell>
        </row>
        <row r="852">
          <cell r="F852">
            <v>1</v>
          </cell>
          <cell r="G852">
            <v>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0</v>
          </cell>
        </row>
        <row r="853">
          <cell r="E853" t="str">
            <v>K307</v>
          </cell>
          <cell r="F853">
            <v>1</v>
          </cell>
          <cell r="G853">
            <v>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</row>
        <row r="854">
          <cell r="F854">
            <v>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1</v>
          </cell>
          <cell r="Q854">
            <v>0</v>
          </cell>
          <cell r="R854">
            <v>1</v>
          </cell>
          <cell r="S854">
            <v>0</v>
          </cell>
        </row>
        <row r="855">
          <cell r="E855" t="str">
            <v>K401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1</v>
          </cell>
          <cell r="Q855">
            <v>0</v>
          </cell>
          <cell r="R855">
            <v>1</v>
          </cell>
          <cell r="S855">
            <v>0</v>
          </cell>
        </row>
        <row r="856">
          <cell r="F856">
            <v>152867</v>
          </cell>
          <cell r="G856">
            <v>137520</v>
          </cell>
          <cell r="H856">
            <v>12257</v>
          </cell>
          <cell r="I856">
            <v>23</v>
          </cell>
          <cell r="J856">
            <v>88</v>
          </cell>
          <cell r="K856">
            <v>12</v>
          </cell>
          <cell r="L856">
            <v>115</v>
          </cell>
          <cell r="M856">
            <v>35</v>
          </cell>
          <cell r="N856">
            <v>10</v>
          </cell>
          <cell r="O856">
            <v>14</v>
          </cell>
          <cell r="P856">
            <v>2792</v>
          </cell>
          <cell r="Q856">
            <v>1</v>
          </cell>
          <cell r="R856">
            <v>152867</v>
          </cell>
          <cell r="S856">
            <v>0</v>
          </cell>
        </row>
        <row r="857">
          <cell r="E857" t="str">
            <v>K405</v>
          </cell>
          <cell r="F857">
            <v>1</v>
          </cell>
          <cell r="G857">
            <v>0.89959999999999996</v>
          </cell>
          <cell r="H857">
            <v>8.0180000000000001E-2</v>
          </cell>
          <cell r="I857">
            <v>1.4999999999999999E-4</v>
          </cell>
          <cell r="J857">
            <v>5.8E-4</v>
          </cell>
          <cell r="K857">
            <v>8.0000000000000007E-5</v>
          </cell>
          <cell r="L857">
            <v>7.5000000000000002E-4</v>
          </cell>
          <cell r="M857">
            <v>2.3000000000000001E-4</v>
          </cell>
          <cell r="N857">
            <v>6.9999999999999994E-5</v>
          </cell>
          <cell r="O857">
            <v>9.0000000000000006E-5</v>
          </cell>
          <cell r="P857">
            <v>1.8259999999999998E-2</v>
          </cell>
          <cell r="Q857">
            <v>1.0000000000000001E-5</v>
          </cell>
          <cell r="R857">
            <v>0.99999999999999989</v>
          </cell>
          <cell r="S857">
            <v>0</v>
          </cell>
        </row>
        <row r="858">
          <cell r="F858">
            <v>152853</v>
          </cell>
          <cell r="G858">
            <v>137520</v>
          </cell>
          <cell r="H858">
            <v>12257</v>
          </cell>
          <cell r="I858">
            <v>23</v>
          </cell>
          <cell r="J858">
            <v>88</v>
          </cell>
          <cell r="K858">
            <v>12</v>
          </cell>
          <cell r="L858">
            <v>115</v>
          </cell>
          <cell r="M858">
            <v>35</v>
          </cell>
          <cell r="N858">
            <v>10</v>
          </cell>
          <cell r="O858">
            <v>0</v>
          </cell>
          <cell r="P858">
            <v>2792</v>
          </cell>
          <cell r="Q858">
            <v>1</v>
          </cell>
          <cell r="R858">
            <v>152853</v>
          </cell>
          <cell r="S858">
            <v>0</v>
          </cell>
        </row>
        <row r="859">
          <cell r="E859" t="str">
            <v>K406</v>
          </cell>
          <cell r="F859">
            <v>1</v>
          </cell>
          <cell r="G859">
            <v>0.89968999999999999</v>
          </cell>
          <cell r="H859">
            <v>8.0180000000000001E-2</v>
          </cell>
          <cell r="I859">
            <v>1.4999999999999999E-4</v>
          </cell>
          <cell r="J859">
            <v>5.8E-4</v>
          </cell>
          <cell r="K859">
            <v>8.0000000000000007E-5</v>
          </cell>
          <cell r="L859">
            <v>7.5000000000000002E-4</v>
          </cell>
          <cell r="M859">
            <v>2.3000000000000001E-4</v>
          </cell>
          <cell r="N859">
            <v>6.9999999999999994E-5</v>
          </cell>
          <cell r="O859">
            <v>0</v>
          </cell>
          <cell r="P859">
            <v>1.8259999999999998E-2</v>
          </cell>
          <cell r="Q859">
            <v>1.0000000000000001E-5</v>
          </cell>
          <cell r="R859">
            <v>0.99999999999999989</v>
          </cell>
          <cell r="S859">
            <v>0</v>
          </cell>
        </row>
        <row r="860">
          <cell r="F860">
            <v>22486890.793596428</v>
          </cell>
          <cell r="G860">
            <v>19829008.800000001</v>
          </cell>
          <cell r="H860">
            <v>2433684.8645095793</v>
          </cell>
          <cell r="I860">
            <v>0</v>
          </cell>
          <cell r="J860">
            <v>31509.280000000046</v>
          </cell>
          <cell r="K860">
            <v>2448</v>
          </cell>
          <cell r="L860">
            <v>111217.43855421687</v>
          </cell>
          <cell r="M860">
            <v>41635.072972972972</v>
          </cell>
          <cell r="N860">
            <v>20860.366666666669</v>
          </cell>
          <cell r="O860">
            <v>16328.400000000001</v>
          </cell>
          <cell r="P860">
            <v>0</v>
          </cell>
          <cell r="Q860">
            <v>198.5708929919696</v>
          </cell>
          <cell r="R860">
            <v>22486890.793596428</v>
          </cell>
          <cell r="S860">
            <v>0</v>
          </cell>
        </row>
        <row r="861">
          <cell r="E861" t="str">
            <v>K407</v>
          </cell>
          <cell r="F861">
            <v>1</v>
          </cell>
          <cell r="G861">
            <v>0.88178999999999996</v>
          </cell>
          <cell r="H861">
            <v>0.10823000000000001</v>
          </cell>
          <cell r="I861">
            <v>0</v>
          </cell>
          <cell r="J861">
            <v>1.4E-3</v>
          </cell>
          <cell r="K861">
            <v>1.1E-4</v>
          </cell>
          <cell r="L861">
            <v>4.9500000000000004E-3</v>
          </cell>
          <cell r="M861">
            <v>1.8500000000000001E-3</v>
          </cell>
          <cell r="N861">
            <v>9.3000000000000005E-4</v>
          </cell>
          <cell r="O861">
            <v>7.2999999999999996E-4</v>
          </cell>
          <cell r="P861">
            <v>0</v>
          </cell>
          <cell r="Q861">
            <v>1.0000000000000001E-5</v>
          </cell>
          <cell r="R861">
            <v>1</v>
          </cell>
          <cell r="S861">
            <v>0</v>
          </cell>
        </row>
        <row r="862">
          <cell r="F862">
            <v>154110</v>
          </cell>
          <cell r="G862">
            <v>137520</v>
          </cell>
          <cell r="H862">
            <v>12257</v>
          </cell>
          <cell r="I862">
            <v>23</v>
          </cell>
          <cell r="J862">
            <v>176</v>
          </cell>
          <cell r="K862">
            <v>12</v>
          </cell>
          <cell r="L862">
            <v>799</v>
          </cell>
          <cell r="M862">
            <v>280</v>
          </cell>
          <cell r="N862">
            <v>140</v>
          </cell>
          <cell r="O862">
            <v>110</v>
          </cell>
          <cell r="P862">
            <v>2792</v>
          </cell>
          <cell r="Q862">
            <v>1</v>
          </cell>
          <cell r="R862">
            <v>154110</v>
          </cell>
          <cell r="S862">
            <v>0</v>
          </cell>
        </row>
        <row r="863">
          <cell r="E863" t="str">
            <v>K409</v>
          </cell>
          <cell r="F863">
            <v>1</v>
          </cell>
          <cell r="G863">
            <v>0.89234999999999998</v>
          </cell>
          <cell r="H863">
            <v>7.9530000000000003E-2</v>
          </cell>
          <cell r="I863">
            <v>1.4999999999999999E-4</v>
          </cell>
          <cell r="J863">
            <v>1.14E-3</v>
          </cell>
          <cell r="K863">
            <v>8.0000000000000007E-5</v>
          </cell>
          <cell r="L863">
            <v>5.1799999999999997E-3</v>
          </cell>
          <cell r="M863">
            <v>1.82E-3</v>
          </cell>
          <cell r="N863">
            <v>9.1E-4</v>
          </cell>
          <cell r="O863">
            <v>7.1000000000000002E-4</v>
          </cell>
          <cell r="P863">
            <v>1.8120000000000001E-2</v>
          </cell>
          <cell r="Q863">
            <v>1.0000000000000001E-5</v>
          </cell>
          <cell r="R863">
            <v>0.99999999999999989</v>
          </cell>
          <cell r="S863">
            <v>0</v>
          </cell>
        </row>
        <row r="864">
          <cell r="F864">
            <v>2137114.169997225</v>
          </cell>
          <cell r="G864">
            <v>1924403</v>
          </cell>
          <cell r="H864">
            <v>108413.16999722505</v>
          </cell>
          <cell r="I864">
            <v>674</v>
          </cell>
          <cell r="J864">
            <v>1538</v>
          </cell>
          <cell r="K864">
            <v>43</v>
          </cell>
          <cell r="L864">
            <v>48098</v>
          </cell>
          <cell r="M864">
            <v>37329</v>
          </cell>
          <cell r="N864">
            <v>710</v>
          </cell>
          <cell r="O864">
            <v>13016</v>
          </cell>
          <cell r="P864">
            <v>2099</v>
          </cell>
          <cell r="Q864">
            <v>791</v>
          </cell>
          <cell r="R864">
            <v>2137114.169997225</v>
          </cell>
          <cell r="S864">
            <v>0</v>
          </cell>
        </row>
        <row r="865">
          <cell r="E865" t="str">
            <v>K411</v>
          </cell>
          <cell r="F865">
            <v>1</v>
          </cell>
          <cell r="G865">
            <v>0.90046000000000004</v>
          </cell>
          <cell r="H865">
            <v>5.0729999999999997E-2</v>
          </cell>
          <cell r="I865">
            <v>3.2000000000000003E-4</v>
          </cell>
          <cell r="J865">
            <v>7.2000000000000005E-4</v>
          </cell>
          <cell r="K865">
            <v>2.0000000000000002E-5</v>
          </cell>
          <cell r="L865">
            <v>2.2509999999999999E-2</v>
          </cell>
          <cell r="M865">
            <v>1.7469999999999999E-2</v>
          </cell>
          <cell r="N865">
            <v>3.3E-4</v>
          </cell>
          <cell r="O865">
            <v>6.0899999999999999E-3</v>
          </cell>
          <cell r="P865">
            <v>9.7999999999999997E-4</v>
          </cell>
          <cell r="Q865">
            <v>3.6999999999999999E-4</v>
          </cell>
          <cell r="R865">
            <v>1.0000000000000002</v>
          </cell>
          <cell r="S865">
            <v>0</v>
          </cell>
        </row>
        <row r="866">
          <cell r="F866">
            <v>4087989911.1489997</v>
          </cell>
          <cell r="G866">
            <v>1470196498.845</v>
          </cell>
          <cell r="H866">
            <v>1255084711.2449999</v>
          </cell>
          <cell r="I866">
            <v>6350133.8709999984</v>
          </cell>
          <cell r="J866">
            <v>19355665.91</v>
          </cell>
          <cell r="K866">
            <v>288048</v>
          </cell>
          <cell r="L866">
            <v>609723902.07483399</v>
          </cell>
          <cell r="M866">
            <v>509222309.26616597</v>
          </cell>
          <cell r="N866">
            <v>5979794.5269999998</v>
          </cell>
          <cell r="O866">
            <v>179959630.88400003</v>
          </cell>
          <cell r="P866">
            <v>18971771.526000001</v>
          </cell>
          <cell r="Q866">
            <v>12857445</v>
          </cell>
          <cell r="R866">
            <v>4087989911.1489997</v>
          </cell>
          <cell r="S866">
            <v>0</v>
          </cell>
        </row>
        <row r="867">
          <cell r="E867" t="str">
            <v>K302</v>
          </cell>
          <cell r="F867">
            <v>1</v>
          </cell>
          <cell r="G867">
            <v>0.35964000000000007</v>
          </cell>
          <cell r="H867">
            <v>0.30702000000000002</v>
          </cell>
          <cell r="I867">
            <v>1.5499999999999999E-3</v>
          </cell>
          <cell r="J867">
            <v>4.7299999999999998E-3</v>
          </cell>
          <cell r="K867">
            <v>6.9999999999999994E-5</v>
          </cell>
          <cell r="L867">
            <v>0.14915</v>
          </cell>
          <cell r="M867">
            <v>0.12457</v>
          </cell>
          <cell r="N867">
            <v>1.4599999999999999E-3</v>
          </cell>
          <cell r="O867">
            <v>4.4019999999999997E-2</v>
          </cell>
          <cell r="P867">
            <v>4.64E-3</v>
          </cell>
          <cell r="Q867">
            <v>3.15E-3</v>
          </cell>
          <cell r="R867">
            <v>1</v>
          </cell>
          <cell r="S867">
            <v>0</v>
          </cell>
        </row>
        <row r="869">
          <cell r="E869" t="str">
            <v>R600</v>
          </cell>
          <cell r="F869">
            <v>30847133</v>
          </cell>
          <cell r="G869">
            <v>27060293</v>
          </cell>
          <cell r="H869">
            <v>2460072</v>
          </cell>
          <cell r="I869">
            <v>5052</v>
          </cell>
          <cell r="J869">
            <v>26477</v>
          </cell>
          <cell r="K869">
            <v>2179</v>
          </cell>
          <cell r="L869">
            <v>193571</v>
          </cell>
          <cell r="M869">
            <v>122812</v>
          </cell>
          <cell r="N869">
            <v>12466</v>
          </cell>
          <cell r="O869">
            <v>42995</v>
          </cell>
          <cell r="P869">
            <v>918833</v>
          </cell>
          <cell r="Q869">
            <v>2383</v>
          </cell>
          <cell r="R869">
            <v>30847133</v>
          </cell>
          <cell r="S869">
            <v>0</v>
          </cell>
        </row>
        <row r="870">
          <cell r="E870" t="str">
            <v>R602</v>
          </cell>
          <cell r="F870">
            <v>74630570</v>
          </cell>
          <cell r="G870">
            <v>65504743</v>
          </cell>
          <cell r="H870">
            <v>5538335</v>
          </cell>
          <cell r="I870">
            <v>12687</v>
          </cell>
          <cell r="J870">
            <v>61943</v>
          </cell>
          <cell r="K870">
            <v>4478</v>
          </cell>
          <cell r="L870">
            <v>560476</v>
          </cell>
          <cell r="M870">
            <v>367929</v>
          </cell>
          <cell r="N870">
            <v>32091</v>
          </cell>
          <cell r="O870">
            <v>129857</v>
          </cell>
          <cell r="P870">
            <v>2411314</v>
          </cell>
          <cell r="Q870">
            <v>6717</v>
          </cell>
          <cell r="R870">
            <v>74630570</v>
          </cell>
          <cell r="S870">
            <v>0</v>
          </cell>
        </row>
        <row r="872">
          <cell r="R872" t="str">
            <v>FR-16(7)(v)-13</v>
          </cell>
        </row>
        <row r="873">
          <cell r="R873" t="str">
            <v>WITNESS RESPONSIBLE:</v>
          </cell>
        </row>
        <row r="874">
          <cell r="R874" t="str">
            <v>JAMES E. ZIOLKOWSKI</v>
          </cell>
        </row>
        <row r="875">
          <cell r="R875" t="str">
            <v>PAGE 17 OF 18</v>
          </cell>
        </row>
        <row r="878">
          <cell r="F878" t="str">
            <v>TOTAL</v>
          </cell>
          <cell r="H878" t="str">
            <v>DS</v>
          </cell>
          <cell r="I878" t="str">
            <v>GSFL</v>
          </cell>
          <cell r="J878" t="str">
            <v>EH</v>
          </cell>
          <cell r="K878" t="str">
            <v>SP</v>
          </cell>
          <cell r="L878" t="str">
            <v>DT SEC</v>
          </cell>
          <cell r="M878" t="str">
            <v>DT PRI</v>
          </cell>
          <cell r="N878" t="str">
            <v>DP</v>
          </cell>
          <cell r="O878" t="str">
            <v>TT</v>
          </cell>
          <cell r="Q878" t="str">
            <v>OTHER</v>
          </cell>
        </row>
        <row r="879">
          <cell r="F879" t="str">
            <v>DISTRIBUTION</v>
          </cell>
          <cell r="G879" t="str">
            <v>RS</v>
          </cell>
          <cell r="H879" t="str">
            <v>SECONDARY</v>
          </cell>
          <cell r="I879" t="str">
            <v>SECONDARY</v>
          </cell>
          <cell r="J879" t="str">
            <v>SECONDARY</v>
          </cell>
          <cell r="K879" t="str">
            <v>SECONDARY</v>
          </cell>
          <cell r="L879" t="str">
            <v>SECONDARY</v>
          </cell>
          <cell r="M879" t="str">
            <v>PRIMARY</v>
          </cell>
          <cell r="N879" t="str">
            <v>PRIMARY</v>
          </cell>
          <cell r="O879" t="str">
            <v>TRANSMISSION</v>
          </cell>
          <cell r="P879" t="str">
            <v>LT</v>
          </cell>
          <cell r="Q879" t="str">
            <v>WATER</v>
          </cell>
          <cell r="R879" t="str">
            <v>TOTAL</v>
          </cell>
          <cell r="S879" t="str">
            <v>ALL</v>
          </cell>
        </row>
        <row r="880">
          <cell r="E880" t="str">
            <v>ALLO</v>
          </cell>
          <cell r="F880" t="str">
            <v>CUSTOMER</v>
          </cell>
          <cell r="G880" t="str">
            <v>RESIDENTIAL</v>
          </cell>
          <cell r="H880" t="str">
            <v>DISTRIBUTION</v>
          </cell>
          <cell r="I880" t="str">
            <v>DISTRIBUTION</v>
          </cell>
          <cell r="J880" t="str">
            <v>DISTRIBUTION</v>
          </cell>
          <cell r="K880" t="str">
            <v>DISTRIBUTION</v>
          </cell>
          <cell r="L880" t="str">
            <v>DISTRIBUTION</v>
          </cell>
          <cell r="M880" t="str">
            <v>DISTRIBUTION</v>
          </cell>
          <cell r="N880" t="str">
            <v>DISTRIBUTION</v>
          </cell>
          <cell r="O880" t="str">
            <v>TIME OF DAY</v>
          </cell>
          <cell r="P880" t="str">
            <v>LIGHTING</v>
          </cell>
          <cell r="Q880" t="str">
            <v>PUMPING</v>
          </cell>
          <cell r="R880" t="str">
            <v>AT ISSUE</v>
          </cell>
          <cell r="S880" t="str">
            <v>OTHER</v>
          </cell>
        </row>
        <row r="881">
          <cell r="E881">
            <v>1</v>
          </cell>
          <cell r="G881">
            <v>3</v>
          </cell>
          <cell r="H881">
            <v>4</v>
          </cell>
          <cell r="I881">
            <v>5</v>
          </cell>
          <cell r="J881">
            <v>6</v>
          </cell>
          <cell r="K881">
            <v>7</v>
          </cell>
          <cell r="L881">
            <v>8</v>
          </cell>
          <cell r="M881">
            <v>9</v>
          </cell>
          <cell r="N881">
            <v>10</v>
          </cell>
          <cell r="O881">
            <v>11</v>
          </cell>
          <cell r="P881">
            <v>12</v>
          </cell>
          <cell r="Q881">
            <v>13</v>
          </cell>
          <cell r="S881" t="str">
            <v xml:space="preserve"> </v>
          </cell>
        </row>
        <row r="883">
          <cell r="F883">
            <v>450848089</v>
          </cell>
          <cell r="G883">
            <v>197851566</v>
          </cell>
          <cell r="H883">
            <v>128946845</v>
          </cell>
          <cell r="I883">
            <v>800742</v>
          </cell>
          <cell r="J883">
            <v>1829152</v>
          </cell>
          <cell r="K883">
            <v>50918</v>
          </cell>
          <cell r="L883">
            <v>57206760</v>
          </cell>
          <cell r="M883">
            <v>44398656</v>
          </cell>
          <cell r="N883">
            <v>846253</v>
          </cell>
          <cell r="O883">
            <v>15479736</v>
          </cell>
          <cell r="P883">
            <v>2496338</v>
          </cell>
          <cell r="Q883">
            <v>941124</v>
          </cell>
          <cell r="R883">
            <v>450848090</v>
          </cell>
          <cell r="S883">
            <v>-1</v>
          </cell>
        </row>
        <row r="884">
          <cell r="E884" t="str">
            <v>K901</v>
          </cell>
          <cell r="F884">
            <v>1</v>
          </cell>
          <cell r="G884">
            <v>0.43884000000000001</v>
          </cell>
          <cell r="H884">
            <v>0.28600951899999999</v>
          </cell>
          <cell r="I884">
            <v>1.7760790000000001E-3</v>
          </cell>
          <cell r="J884">
            <v>4.0571360000000002E-3</v>
          </cell>
          <cell r="K884">
            <v>1.12938E-4</v>
          </cell>
          <cell r="L884">
            <v>0.126886997</v>
          </cell>
          <cell r="M884">
            <v>9.8478083999999994E-2</v>
          </cell>
          <cell r="N884">
            <v>1.877025E-3</v>
          </cell>
          <cell r="O884">
            <v>3.4334705E-2</v>
          </cell>
          <cell r="P884">
            <v>5.5369829999999997E-3</v>
          </cell>
          <cell r="Q884">
            <v>2.087453E-3</v>
          </cell>
          <cell r="R884">
            <v>0.99999691899999998</v>
          </cell>
          <cell r="S884">
            <v>3.0810000000158766E-6</v>
          </cell>
        </row>
        <row r="885">
          <cell r="F885">
            <v>450848089</v>
          </cell>
          <cell r="G885">
            <v>197851566</v>
          </cell>
          <cell r="H885">
            <v>128946845</v>
          </cell>
          <cell r="I885">
            <v>800742</v>
          </cell>
          <cell r="J885">
            <v>1829152</v>
          </cell>
          <cell r="K885">
            <v>50918</v>
          </cell>
          <cell r="L885">
            <v>57206760</v>
          </cell>
          <cell r="M885">
            <v>44398656</v>
          </cell>
          <cell r="N885">
            <v>846253</v>
          </cell>
          <cell r="O885">
            <v>15479736</v>
          </cell>
          <cell r="P885">
            <v>2496338</v>
          </cell>
          <cell r="Q885">
            <v>941124</v>
          </cell>
          <cell r="R885">
            <v>450848090</v>
          </cell>
          <cell r="S885">
            <v>-1</v>
          </cell>
        </row>
        <row r="886">
          <cell r="E886" t="str">
            <v>K902</v>
          </cell>
          <cell r="F886">
            <v>1</v>
          </cell>
          <cell r="G886">
            <v>0.43884000000000001</v>
          </cell>
          <cell r="H886">
            <v>0.28600951899999999</v>
          </cell>
          <cell r="I886">
            <v>1.7760790000000001E-3</v>
          </cell>
          <cell r="J886">
            <v>4.0571360000000002E-3</v>
          </cell>
          <cell r="K886">
            <v>1.12938E-4</v>
          </cell>
          <cell r="L886">
            <v>0.126886997</v>
          </cell>
          <cell r="M886">
            <v>9.8478083999999994E-2</v>
          </cell>
          <cell r="N886">
            <v>1.877025E-3</v>
          </cell>
          <cell r="O886">
            <v>3.4334705E-2</v>
          </cell>
          <cell r="P886">
            <v>5.5369829999999997E-3</v>
          </cell>
          <cell r="Q886">
            <v>2.087453E-3</v>
          </cell>
          <cell r="R886">
            <v>0.99999691899999998</v>
          </cell>
          <cell r="S886">
            <v>3.0810000000158766E-6</v>
          </cell>
        </row>
        <row r="890">
          <cell r="E890" t="str">
            <v>P129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</row>
        <row r="891">
          <cell r="E891" t="str">
            <v>T129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</row>
        <row r="892">
          <cell r="E892" t="str">
            <v>PT29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</row>
        <row r="893">
          <cell r="E893" t="str">
            <v>D149</v>
          </cell>
          <cell r="F893">
            <v>1</v>
          </cell>
          <cell r="G893">
            <v>0.83665999999999996</v>
          </cell>
          <cell r="H893">
            <v>9.2219999999999996E-2</v>
          </cell>
          <cell r="I893">
            <v>1.2999999999999999E-4</v>
          </cell>
          <cell r="J893">
            <v>8.8000000000000003E-4</v>
          </cell>
          <cell r="K893">
            <v>8.0000000000000007E-5</v>
          </cell>
          <cell r="L893">
            <v>1.8600000000000001E-3</v>
          </cell>
          <cell r="M893">
            <v>6.4999999999999997E-4</v>
          </cell>
          <cell r="N893">
            <v>2.7999999999999998E-4</v>
          </cell>
          <cell r="O893">
            <v>2.0000000000000001E-4</v>
          </cell>
          <cell r="P893">
            <v>6.7030000000000006E-2</v>
          </cell>
          <cell r="Q893">
            <v>1.0000000000000001E-5</v>
          </cell>
          <cell r="R893">
            <v>0.99999999999999978</v>
          </cell>
          <cell r="S893">
            <v>0</v>
          </cell>
        </row>
        <row r="894">
          <cell r="E894" t="str">
            <v>TD29</v>
          </cell>
          <cell r="F894">
            <v>1</v>
          </cell>
          <cell r="G894">
            <v>0.83665999999999996</v>
          </cell>
          <cell r="H894">
            <v>9.2219999999999996E-2</v>
          </cell>
          <cell r="I894">
            <v>1.2999999999999999E-4</v>
          </cell>
          <cell r="J894">
            <v>8.8000000000000003E-4</v>
          </cell>
          <cell r="K894">
            <v>8.0000000000000007E-5</v>
          </cell>
          <cell r="L894">
            <v>1.8600000000000001E-3</v>
          </cell>
          <cell r="M894">
            <v>6.4999999999999997E-4</v>
          </cell>
          <cell r="N894">
            <v>2.7999999999999998E-4</v>
          </cell>
          <cell r="O894">
            <v>2.0000000000000001E-4</v>
          </cell>
          <cell r="P894">
            <v>6.7030000000000006E-2</v>
          </cell>
          <cell r="Q894">
            <v>1.0000000000000001E-5</v>
          </cell>
          <cell r="R894">
            <v>0.99999999999999978</v>
          </cell>
          <cell r="S894">
            <v>0</v>
          </cell>
        </row>
        <row r="895">
          <cell r="E895" t="str">
            <v>PD29</v>
          </cell>
          <cell r="F895">
            <v>1</v>
          </cell>
          <cell r="G895">
            <v>0.89734999999999998</v>
          </cell>
          <cell r="H895">
            <v>7.3330000000000006E-2</v>
          </cell>
          <cell r="I895">
            <v>1.9000000000000001E-4</v>
          </cell>
          <cell r="J895">
            <v>7.9000000000000001E-4</v>
          </cell>
          <cell r="K895">
            <v>6.0000000000000002E-5</v>
          </cell>
          <cell r="L895">
            <v>7.5900000000000004E-3</v>
          </cell>
          <cell r="M895">
            <v>5.0899999999999999E-3</v>
          </cell>
          <cell r="N895">
            <v>3.8999999999999999E-4</v>
          </cell>
          <cell r="O895">
            <v>1.8E-3</v>
          </cell>
          <cell r="P895">
            <v>1.3310000000000001E-2</v>
          </cell>
          <cell r="Q895">
            <v>1E-4</v>
          </cell>
          <cell r="R895">
            <v>1</v>
          </cell>
          <cell r="S895">
            <v>0</v>
          </cell>
        </row>
        <row r="896">
          <cell r="E896" t="str">
            <v>G129</v>
          </cell>
          <cell r="F896">
            <v>1</v>
          </cell>
          <cell r="G896">
            <v>0.89734999999999998</v>
          </cell>
          <cell r="H896">
            <v>7.3330000000000006E-2</v>
          </cell>
          <cell r="I896">
            <v>1.9000000000000001E-4</v>
          </cell>
          <cell r="J896">
            <v>7.9000000000000001E-4</v>
          </cell>
          <cell r="K896">
            <v>6.0000000000000002E-5</v>
          </cell>
          <cell r="L896">
            <v>7.5900000000000004E-3</v>
          </cell>
          <cell r="M896">
            <v>5.0899999999999999E-3</v>
          </cell>
          <cell r="N896">
            <v>3.8999999999999999E-4</v>
          </cell>
          <cell r="O896">
            <v>1.8E-3</v>
          </cell>
          <cell r="P896">
            <v>1.3310000000000001E-2</v>
          </cell>
          <cell r="Q896">
            <v>1E-4</v>
          </cell>
          <cell r="R896">
            <v>1</v>
          </cell>
          <cell r="S896">
            <v>0</v>
          </cell>
        </row>
        <row r="897">
          <cell r="E897" t="str">
            <v>C129</v>
          </cell>
          <cell r="F897">
            <v>1</v>
          </cell>
          <cell r="G897">
            <v>0.84416000000000002</v>
          </cell>
          <cell r="H897">
            <v>8.9889999999999998E-2</v>
          </cell>
          <cell r="I897">
            <v>1.2999999999999999E-4</v>
          </cell>
          <cell r="J897">
            <v>8.7000000000000001E-4</v>
          </cell>
          <cell r="K897">
            <v>8.0000000000000007E-5</v>
          </cell>
          <cell r="L897">
            <v>2.5699999999999998E-3</v>
          </cell>
          <cell r="M897">
            <v>1.1900000000000001E-3</v>
          </cell>
          <cell r="N897">
            <v>2.9E-4</v>
          </cell>
          <cell r="O897">
            <v>4.0000000000000002E-4</v>
          </cell>
          <cell r="P897">
            <v>6.0400000000000002E-2</v>
          </cell>
          <cell r="Q897">
            <v>2.0000000000000002E-5</v>
          </cell>
          <cell r="R897">
            <v>1</v>
          </cell>
          <cell r="S897">
            <v>0</v>
          </cell>
        </row>
        <row r="898">
          <cell r="E898" t="str">
            <v>GP19</v>
          </cell>
          <cell r="F898">
            <v>1</v>
          </cell>
          <cell r="G898">
            <v>0.79113</v>
          </cell>
          <cell r="H898">
            <v>9.4380000000000006E-2</v>
          </cell>
          <cell r="I898">
            <v>1.2999999999999999E-4</v>
          </cell>
          <cell r="J898">
            <v>9.6000000000000002E-4</v>
          </cell>
          <cell r="K898">
            <v>8.0000000000000007E-5</v>
          </cell>
          <cell r="L898">
            <v>2.0400000000000001E-3</v>
          </cell>
          <cell r="M898">
            <v>7.1000000000000002E-4</v>
          </cell>
          <cell r="N898">
            <v>3.1E-4</v>
          </cell>
          <cell r="O898">
            <v>2.4000000000000001E-4</v>
          </cell>
          <cell r="P898">
            <v>0.11001</v>
          </cell>
          <cell r="Q898">
            <v>1.0000000000000001E-5</v>
          </cell>
          <cell r="R898">
            <v>0.99999999999999989</v>
          </cell>
          <cell r="S898">
            <v>0</v>
          </cell>
        </row>
        <row r="899">
          <cell r="E899" t="str">
            <v>DR19</v>
          </cell>
          <cell r="F899">
            <v>1</v>
          </cell>
          <cell r="G899">
            <v>0.80562</v>
          </cell>
          <cell r="H899">
            <v>9.1509999999999994E-2</v>
          </cell>
          <cell r="I899">
            <v>1.2999999999999999E-4</v>
          </cell>
          <cell r="J899">
            <v>9.3000000000000005E-4</v>
          </cell>
          <cell r="K899">
            <v>8.0000000000000007E-5</v>
          </cell>
          <cell r="L899">
            <v>2.8E-3</v>
          </cell>
          <cell r="M899">
            <v>1.31E-3</v>
          </cell>
          <cell r="N899">
            <v>3.2000000000000003E-4</v>
          </cell>
          <cell r="O899">
            <v>4.4999999999999999E-4</v>
          </cell>
          <cell r="P899">
            <v>9.6829999999999999E-2</v>
          </cell>
          <cell r="Q899">
            <v>2.0000000000000002E-5</v>
          </cell>
          <cell r="R899">
            <v>0.99999999999999989</v>
          </cell>
          <cell r="S899">
            <v>0</v>
          </cell>
        </row>
        <row r="902">
          <cell r="E902" t="str">
            <v>P229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E903" t="str">
            <v>T229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E904" t="str">
            <v>PL49</v>
          </cell>
          <cell r="F904">
            <v>1</v>
          </cell>
          <cell r="G904">
            <v>0.89968999999999999</v>
          </cell>
          <cell r="H904">
            <v>8.0180000000000001E-2</v>
          </cell>
          <cell r="I904">
            <v>1.4999999999999999E-4</v>
          </cell>
          <cell r="J904">
            <v>5.8E-4</v>
          </cell>
          <cell r="K904">
            <v>8.0000000000000007E-5</v>
          </cell>
          <cell r="L904">
            <v>7.5000000000000002E-4</v>
          </cell>
          <cell r="M904">
            <v>2.3000000000000001E-4</v>
          </cell>
          <cell r="N904">
            <v>6.9999999999999994E-5</v>
          </cell>
          <cell r="O904">
            <v>0</v>
          </cell>
          <cell r="P904">
            <v>1.8259999999999998E-2</v>
          </cell>
          <cell r="Q904">
            <v>1.0000000000000001E-5</v>
          </cell>
          <cell r="R904">
            <v>0.99999999999999989</v>
          </cell>
          <cell r="S904">
            <v>0</v>
          </cell>
        </row>
        <row r="905">
          <cell r="E905" t="str">
            <v>D249</v>
          </cell>
          <cell r="F905">
            <v>1</v>
          </cell>
          <cell r="G905">
            <v>0.86088999999999993</v>
          </cell>
          <cell r="H905">
            <v>9.1069999999999998E-2</v>
          </cell>
          <cell r="I905">
            <v>1.2999999999999999E-4</v>
          </cell>
          <cell r="J905">
            <v>8.4999999999999995E-4</v>
          </cell>
          <cell r="K905">
            <v>8.0000000000000007E-5</v>
          </cell>
          <cell r="L905">
            <v>1.7600000000000001E-3</v>
          </cell>
          <cell r="M905">
            <v>6.0999999999999997E-4</v>
          </cell>
          <cell r="N905">
            <v>2.5999999999999998E-4</v>
          </cell>
          <cell r="O905">
            <v>1.8000000000000001E-4</v>
          </cell>
          <cell r="P905">
            <v>4.4159999999999998E-2</v>
          </cell>
          <cell r="Q905">
            <v>1.0000000000000001E-5</v>
          </cell>
          <cell r="R905">
            <v>0.99999999999999978</v>
          </cell>
          <cell r="S905">
            <v>0</v>
          </cell>
        </row>
        <row r="906">
          <cell r="E906" t="str">
            <v>NT29</v>
          </cell>
          <cell r="F906">
            <v>1</v>
          </cell>
          <cell r="G906">
            <v>0.86088999999999993</v>
          </cell>
          <cell r="H906">
            <v>9.1069999999999998E-2</v>
          </cell>
          <cell r="I906">
            <v>1.2999999999999999E-4</v>
          </cell>
          <cell r="J906">
            <v>8.4999999999999995E-4</v>
          </cell>
          <cell r="K906">
            <v>8.0000000000000007E-5</v>
          </cell>
          <cell r="L906">
            <v>1.7600000000000001E-3</v>
          </cell>
          <cell r="M906">
            <v>6.0999999999999997E-4</v>
          </cell>
          <cell r="N906">
            <v>2.5999999999999998E-4</v>
          </cell>
          <cell r="O906">
            <v>1.8000000000000001E-4</v>
          </cell>
          <cell r="P906">
            <v>4.4159999999999998E-2</v>
          </cell>
          <cell r="Q906">
            <v>1.0000000000000001E-5</v>
          </cell>
          <cell r="R906">
            <v>0.99999999999999978</v>
          </cell>
          <cell r="S906">
            <v>0</v>
          </cell>
        </row>
        <row r="907">
          <cell r="E907" t="str">
            <v>G229</v>
          </cell>
          <cell r="F907">
            <v>1</v>
          </cell>
          <cell r="G907">
            <v>0.89737</v>
          </cell>
          <cell r="H907">
            <v>7.3330000000000006E-2</v>
          </cell>
          <cell r="I907">
            <v>1.9000000000000001E-4</v>
          </cell>
          <cell r="J907">
            <v>7.9000000000000001E-4</v>
          </cell>
          <cell r="K907">
            <v>6.0000000000000002E-5</v>
          </cell>
          <cell r="L907">
            <v>7.5900000000000004E-3</v>
          </cell>
          <cell r="M907">
            <v>5.0899999999999999E-3</v>
          </cell>
          <cell r="N907">
            <v>3.8999999999999999E-4</v>
          </cell>
          <cell r="O907">
            <v>1.8E-3</v>
          </cell>
          <cell r="P907">
            <v>1.329E-2</v>
          </cell>
          <cell r="Q907">
            <v>1E-4</v>
          </cell>
          <cell r="R907">
            <v>1</v>
          </cell>
          <cell r="S907">
            <v>0</v>
          </cell>
        </row>
        <row r="908">
          <cell r="E908" t="str">
            <v>C229</v>
          </cell>
          <cell r="F908">
            <v>1</v>
          </cell>
          <cell r="G908">
            <v>0.89759</v>
          </cell>
          <cell r="H908">
            <v>7.3319999999999996E-2</v>
          </cell>
          <cell r="I908">
            <v>1.9000000000000001E-4</v>
          </cell>
          <cell r="J908">
            <v>7.9000000000000001E-4</v>
          </cell>
          <cell r="K908">
            <v>6.0000000000000002E-5</v>
          </cell>
          <cell r="L908">
            <v>7.5900000000000004E-3</v>
          </cell>
          <cell r="M908">
            <v>5.0899999999999999E-3</v>
          </cell>
          <cell r="N908">
            <v>3.8999999999999999E-4</v>
          </cell>
          <cell r="O908">
            <v>1.8E-3</v>
          </cell>
          <cell r="P908">
            <v>1.308E-2</v>
          </cell>
          <cell r="Q908">
            <v>1E-4</v>
          </cell>
          <cell r="R908">
            <v>0.99999999999999989</v>
          </cell>
          <cell r="S908">
            <v>0</v>
          </cell>
        </row>
        <row r="909">
          <cell r="E909" t="str">
            <v>NP29</v>
          </cell>
          <cell r="F909">
            <v>1</v>
          </cell>
          <cell r="G909">
            <v>0.86512999999999995</v>
          </cell>
          <cell r="H909">
            <v>8.9010000000000006E-2</v>
          </cell>
          <cell r="I909">
            <v>1.2999999999999999E-4</v>
          </cell>
          <cell r="J909">
            <v>8.4000000000000003E-4</v>
          </cell>
          <cell r="K909">
            <v>8.0000000000000007E-5</v>
          </cell>
          <cell r="L909">
            <v>2.4399999999999999E-3</v>
          </cell>
          <cell r="M909">
            <v>1.1299999999999999E-3</v>
          </cell>
          <cell r="N909">
            <v>2.7999999999999998E-4</v>
          </cell>
          <cell r="O909">
            <v>3.6999999999999999E-4</v>
          </cell>
          <cell r="P909">
            <v>4.0570000000000002E-2</v>
          </cell>
          <cell r="Q909">
            <v>2.0000000000000002E-5</v>
          </cell>
          <cell r="R909">
            <v>0.99999999999999978</v>
          </cell>
          <cell r="S909">
            <v>0</v>
          </cell>
        </row>
        <row r="912">
          <cell r="E912" t="str">
            <v>W669</v>
          </cell>
          <cell r="F912">
            <v>1</v>
          </cell>
          <cell r="G912">
            <v>0.89734999999999998</v>
          </cell>
          <cell r="H912">
            <v>7.3330000000000006E-2</v>
          </cell>
          <cell r="I912">
            <v>1.9000000000000001E-4</v>
          </cell>
          <cell r="J912">
            <v>7.9000000000000001E-4</v>
          </cell>
          <cell r="K912">
            <v>6.0000000000000002E-5</v>
          </cell>
          <cell r="L912">
            <v>7.5900000000000004E-3</v>
          </cell>
          <cell r="M912">
            <v>5.0899999999999999E-3</v>
          </cell>
          <cell r="N912">
            <v>3.8999999999999999E-4</v>
          </cell>
          <cell r="O912">
            <v>1.8E-3</v>
          </cell>
          <cell r="P912">
            <v>1.3310000000000001E-2</v>
          </cell>
          <cell r="Q912">
            <v>1E-4</v>
          </cell>
          <cell r="R912">
            <v>1</v>
          </cell>
          <cell r="S912">
            <v>0</v>
          </cell>
        </row>
        <row r="913">
          <cell r="E913" t="str">
            <v>W689</v>
          </cell>
          <cell r="F913">
            <v>1</v>
          </cell>
          <cell r="G913">
            <v>0.86514000000000002</v>
          </cell>
          <cell r="H913">
            <v>8.9010000000000006E-2</v>
          </cell>
          <cell r="I913">
            <v>1.2999999999999999E-4</v>
          </cell>
          <cell r="J913">
            <v>8.3000000000000001E-4</v>
          </cell>
          <cell r="K913">
            <v>8.0000000000000007E-5</v>
          </cell>
          <cell r="L913">
            <v>2.4399999999999999E-3</v>
          </cell>
          <cell r="M913">
            <v>1.1299999999999999E-3</v>
          </cell>
          <cell r="N913">
            <v>2.7E-4</v>
          </cell>
          <cell r="O913">
            <v>3.8000000000000002E-4</v>
          </cell>
          <cell r="P913">
            <v>4.0570000000000002E-2</v>
          </cell>
          <cell r="Q913">
            <v>2.0000000000000002E-5</v>
          </cell>
          <cell r="R913">
            <v>1</v>
          </cell>
          <cell r="S913">
            <v>0</v>
          </cell>
        </row>
        <row r="914">
          <cell r="E914" t="str">
            <v>W719</v>
          </cell>
          <cell r="F914">
            <v>1</v>
          </cell>
          <cell r="G914">
            <v>1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</v>
          </cell>
          <cell r="S914">
            <v>0</v>
          </cell>
        </row>
        <row r="915">
          <cell r="E915" t="str">
            <v>W749</v>
          </cell>
          <cell r="F915">
            <v>1</v>
          </cell>
          <cell r="G915">
            <v>1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1</v>
          </cell>
          <cell r="S915">
            <v>0</v>
          </cell>
        </row>
        <row r="916">
          <cell r="E916" t="str">
            <v>WC79</v>
          </cell>
          <cell r="F916">
            <v>1</v>
          </cell>
          <cell r="G916">
            <v>0.89712999999999998</v>
          </cell>
          <cell r="H916">
            <v>7.3440000000000005E-2</v>
          </cell>
          <cell r="I916">
            <v>1.9000000000000001E-4</v>
          </cell>
          <cell r="J916">
            <v>7.9000000000000001E-4</v>
          </cell>
          <cell r="K916">
            <v>6.0000000000000002E-5</v>
          </cell>
          <cell r="L916">
            <v>7.5599999999999999E-3</v>
          </cell>
          <cell r="M916">
            <v>5.0600000000000003E-3</v>
          </cell>
          <cell r="N916">
            <v>3.8999999999999999E-4</v>
          </cell>
          <cell r="O916">
            <v>1.7899999999999999E-3</v>
          </cell>
          <cell r="P916">
            <v>1.349E-2</v>
          </cell>
          <cell r="Q916">
            <v>1E-4</v>
          </cell>
          <cell r="R916">
            <v>0.99999999999999978</v>
          </cell>
          <cell r="S916">
            <v>0</v>
          </cell>
        </row>
        <row r="919">
          <cell r="E919" t="str">
            <v>RB29</v>
          </cell>
          <cell r="F919">
            <v>1</v>
          </cell>
          <cell r="G919">
            <v>0.86536999999999997</v>
          </cell>
          <cell r="H919">
            <v>8.8719999999999993E-2</v>
          </cell>
          <cell r="I919">
            <v>1.3999999999999999E-4</v>
          </cell>
          <cell r="J919">
            <v>8.4000000000000003E-4</v>
          </cell>
          <cell r="K919">
            <v>8.0000000000000007E-5</v>
          </cell>
          <cell r="L919">
            <v>2.5400000000000002E-3</v>
          </cell>
          <cell r="M919">
            <v>1.2099999999999999E-3</v>
          </cell>
          <cell r="N919">
            <v>2.7999999999999998E-4</v>
          </cell>
          <cell r="O919">
            <v>3.8999999999999999E-4</v>
          </cell>
          <cell r="P919">
            <v>4.0410000000000001E-2</v>
          </cell>
          <cell r="Q919">
            <v>2.0000000000000002E-5</v>
          </cell>
          <cell r="R919">
            <v>0.99999999999999989</v>
          </cell>
          <cell r="S919">
            <v>0</v>
          </cell>
        </row>
        <row r="920">
          <cell r="E920" t="str">
            <v>RB99</v>
          </cell>
          <cell r="F920">
            <v>1</v>
          </cell>
          <cell r="G920">
            <v>0.86745000000000005</v>
          </cell>
          <cell r="H920">
            <v>8.7720000000000006E-2</v>
          </cell>
          <cell r="I920">
            <v>1.3999999999999999E-4</v>
          </cell>
          <cell r="J920">
            <v>8.4000000000000003E-4</v>
          </cell>
          <cell r="K920">
            <v>8.0000000000000007E-5</v>
          </cell>
          <cell r="L920">
            <v>2.8700000000000002E-3</v>
          </cell>
          <cell r="M920">
            <v>1.4599999999999999E-3</v>
          </cell>
          <cell r="N920">
            <v>2.9E-4</v>
          </cell>
          <cell r="O920">
            <v>4.8999999999999998E-4</v>
          </cell>
          <cell r="P920">
            <v>3.8629999999999998E-2</v>
          </cell>
          <cell r="Q920">
            <v>3.0000000000000001E-5</v>
          </cell>
          <cell r="R920">
            <v>1</v>
          </cell>
          <cell r="S920">
            <v>0</v>
          </cell>
        </row>
        <row r="921">
          <cell r="E921" t="str">
            <v>CW29</v>
          </cell>
          <cell r="F921">
            <v>1</v>
          </cell>
          <cell r="G921">
            <v>1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1</v>
          </cell>
          <cell r="S921">
            <v>0</v>
          </cell>
        </row>
        <row r="923">
          <cell r="R923" t="str">
            <v>FR-16(7)(v)-13</v>
          </cell>
        </row>
        <row r="924">
          <cell r="R924" t="str">
            <v>WITNESS RESPONSIBLE:</v>
          </cell>
        </row>
        <row r="925">
          <cell r="R925" t="str">
            <v>JAMES E. ZIOLKOWSKI</v>
          </cell>
        </row>
        <row r="926">
          <cell r="R926" t="str">
            <v>PAGE 18 OF 18</v>
          </cell>
        </row>
        <row r="929">
          <cell r="F929" t="str">
            <v>TOTAL</v>
          </cell>
          <cell r="H929" t="str">
            <v>DS</v>
          </cell>
          <cell r="I929" t="str">
            <v>GSFL</v>
          </cell>
          <cell r="J929" t="str">
            <v>EH</v>
          </cell>
          <cell r="K929" t="str">
            <v>SP</v>
          </cell>
          <cell r="L929" t="str">
            <v>DT SEC</v>
          </cell>
          <cell r="M929" t="str">
            <v>DT PRI</v>
          </cell>
          <cell r="N929" t="str">
            <v>DP</v>
          </cell>
          <cell r="O929" t="str">
            <v>TT</v>
          </cell>
          <cell r="Q929" t="str">
            <v>OTHER</v>
          </cell>
        </row>
        <row r="930">
          <cell r="F930" t="str">
            <v>DISTRIBUTION</v>
          </cell>
          <cell r="G930" t="str">
            <v>RS</v>
          </cell>
          <cell r="H930" t="str">
            <v>SECONDARY</v>
          </cell>
          <cell r="I930" t="str">
            <v>SECONDARY</v>
          </cell>
          <cell r="J930" t="str">
            <v>SECONDARY</v>
          </cell>
          <cell r="K930" t="str">
            <v>SECONDARY</v>
          </cell>
          <cell r="L930" t="str">
            <v>SECONDARY</v>
          </cell>
          <cell r="M930" t="str">
            <v>PRIMARY</v>
          </cell>
          <cell r="N930" t="str">
            <v>PRIMARY</v>
          </cell>
          <cell r="O930" t="str">
            <v>TRANSMISSION</v>
          </cell>
          <cell r="P930" t="str">
            <v>LT</v>
          </cell>
          <cell r="Q930" t="str">
            <v>WATER</v>
          </cell>
          <cell r="R930" t="str">
            <v>TOTAL</v>
          </cell>
          <cell r="S930" t="str">
            <v>ALL</v>
          </cell>
        </row>
        <row r="931">
          <cell r="E931" t="str">
            <v>ALLO</v>
          </cell>
          <cell r="F931" t="str">
            <v>CUSTOMER</v>
          </cell>
          <cell r="G931" t="str">
            <v>RESIDENTIAL</v>
          </cell>
          <cell r="H931" t="str">
            <v>DISTRIBUTION</v>
          </cell>
          <cell r="I931" t="str">
            <v>DISTRIBUTION</v>
          </cell>
          <cell r="J931" t="str">
            <v>DISTRIBUTION</v>
          </cell>
          <cell r="K931" t="str">
            <v>DISTRIBUTION</v>
          </cell>
          <cell r="L931" t="str">
            <v>DISTRIBUTION</v>
          </cell>
          <cell r="M931" t="str">
            <v>DISTRIBUTION</v>
          </cell>
          <cell r="N931" t="str">
            <v>DISTRIBUTION</v>
          </cell>
          <cell r="O931" t="str">
            <v>TIME OF DAY</v>
          </cell>
          <cell r="P931" t="str">
            <v>LIGHTING</v>
          </cell>
          <cell r="Q931" t="str">
            <v>PUMPING</v>
          </cell>
          <cell r="R931" t="str">
            <v>AT ISSUE</v>
          </cell>
          <cell r="S931" t="str">
            <v>OTHER</v>
          </cell>
        </row>
        <row r="932">
          <cell r="E932">
            <v>1</v>
          </cell>
          <cell r="G932">
            <v>3</v>
          </cell>
          <cell r="H932">
            <v>4</v>
          </cell>
          <cell r="I932">
            <v>5</v>
          </cell>
          <cell r="J932">
            <v>6</v>
          </cell>
          <cell r="K932">
            <v>7</v>
          </cell>
          <cell r="L932">
            <v>8</v>
          </cell>
          <cell r="M932">
            <v>9</v>
          </cell>
          <cell r="N932">
            <v>10</v>
          </cell>
          <cell r="O932">
            <v>11</v>
          </cell>
          <cell r="P932">
            <v>12</v>
          </cell>
          <cell r="Q932">
            <v>13</v>
          </cell>
          <cell r="S932" t="str">
            <v xml:space="preserve"> </v>
          </cell>
        </row>
        <row r="934">
          <cell r="E934" t="str">
            <v>P349</v>
          </cell>
          <cell r="F934">
            <v>1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</v>
          </cell>
        </row>
        <row r="935">
          <cell r="E935" t="str">
            <v>E349</v>
          </cell>
          <cell r="F935">
            <v>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1</v>
          </cell>
        </row>
        <row r="936">
          <cell r="E936" t="str">
            <v>P459</v>
          </cell>
          <cell r="F936">
            <v>1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1</v>
          </cell>
        </row>
        <row r="937">
          <cell r="E937" t="str">
            <v>T349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1</v>
          </cell>
        </row>
        <row r="938">
          <cell r="E938" t="str">
            <v>D349</v>
          </cell>
          <cell r="F938">
            <v>1</v>
          </cell>
          <cell r="G938">
            <v>0.80876000000000003</v>
          </cell>
          <cell r="H938">
            <v>8.2449999999999996E-2</v>
          </cell>
          <cell r="I938">
            <v>8.0000000000000007E-5</v>
          </cell>
          <cell r="J938">
            <v>8.0999999999999996E-4</v>
          </cell>
          <cell r="K938">
            <v>8.0000000000000007E-5</v>
          </cell>
          <cell r="L938">
            <v>2.15E-3</v>
          </cell>
          <cell r="M938">
            <v>7.6999999999999996E-4</v>
          </cell>
          <cell r="N938">
            <v>3.6000000000000002E-4</v>
          </cell>
          <cell r="O938">
            <v>2.5999999999999998E-4</v>
          </cell>
          <cell r="P938">
            <v>0.10426000000000001</v>
          </cell>
          <cell r="Q938">
            <v>1.0000000000000001E-5</v>
          </cell>
          <cell r="R938">
            <v>0.99999000000000005</v>
          </cell>
          <cell r="S938">
            <v>9.9999999999544897E-6</v>
          </cell>
        </row>
        <row r="939">
          <cell r="E939" t="str">
            <v>C311</v>
          </cell>
          <cell r="F939">
            <v>1</v>
          </cell>
          <cell r="G939">
            <v>0.90046000000000004</v>
          </cell>
          <cell r="H939">
            <v>5.0729999999999997E-2</v>
          </cell>
          <cell r="I939">
            <v>3.2000000000000003E-4</v>
          </cell>
          <cell r="J939">
            <v>7.2000000000000005E-4</v>
          </cell>
          <cell r="K939">
            <v>2.0000000000000002E-5</v>
          </cell>
          <cell r="L939">
            <v>2.2509999999999999E-2</v>
          </cell>
          <cell r="M939">
            <v>1.7469999999999999E-2</v>
          </cell>
          <cell r="N939">
            <v>3.3E-4</v>
          </cell>
          <cell r="O939">
            <v>6.0899999999999999E-3</v>
          </cell>
          <cell r="P939">
            <v>9.7999999999999997E-4</v>
          </cell>
          <cell r="Q939">
            <v>3.6999999999999999E-4</v>
          </cell>
          <cell r="R939">
            <v>1.0000000000000002</v>
          </cell>
          <cell r="S939">
            <v>0</v>
          </cell>
        </row>
        <row r="940">
          <cell r="E940" t="str">
            <v>C319</v>
          </cell>
          <cell r="F940">
            <v>1</v>
          </cell>
          <cell r="G940">
            <v>0.89556999999999998</v>
          </cell>
          <cell r="H940">
            <v>6.7890000000000006E-2</v>
          </cell>
          <cell r="I940">
            <v>2.2000000000000001E-4</v>
          </cell>
          <cell r="J940">
            <v>9.6000000000000002E-4</v>
          </cell>
          <cell r="K940">
            <v>5.0000000000000002E-5</v>
          </cell>
          <cell r="L940">
            <v>1.302E-2</v>
          </cell>
          <cell r="M940">
            <v>8.94E-3</v>
          </cell>
          <cell r="N940">
            <v>6.4000000000000005E-4</v>
          </cell>
          <cell r="O940">
            <v>3.16E-3</v>
          </cell>
          <cell r="P940">
            <v>9.3799999999999994E-3</v>
          </cell>
          <cell r="Q940">
            <v>1.7000000000000001E-4</v>
          </cell>
          <cell r="R940">
            <v>1</v>
          </cell>
          <cell r="S940">
            <v>0</v>
          </cell>
        </row>
        <row r="941">
          <cell r="E941" t="str">
            <v>C331</v>
          </cell>
          <cell r="F941">
            <v>1</v>
          </cell>
          <cell r="G941">
            <v>0.89959999999999996</v>
          </cell>
          <cell r="H941">
            <v>8.0180000000000001E-2</v>
          </cell>
          <cell r="I941">
            <v>1.4999999999999999E-4</v>
          </cell>
          <cell r="J941">
            <v>5.8E-4</v>
          </cell>
          <cell r="K941">
            <v>8.0000000000000007E-5</v>
          </cell>
          <cell r="L941">
            <v>7.5000000000000002E-4</v>
          </cell>
          <cell r="M941">
            <v>2.3000000000000001E-4</v>
          </cell>
          <cell r="N941">
            <v>6.9999999999999994E-5</v>
          </cell>
          <cell r="O941">
            <v>9.0000000000000006E-5</v>
          </cell>
          <cell r="P941">
            <v>1.8259999999999998E-2</v>
          </cell>
          <cell r="Q941">
            <v>1.0000000000000001E-5</v>
          </cell>
          <cell r="R941">
            <v>0.99999999999999989</v>
          </cell>
          <cell r="S941">
            <v>0</v>
          </cell>
        </row>
        <row r="942">
          <cell r="E942" t="str">
            <v>S319</v>
          </cell>
          <cell r="F942">
            <v>1</v>
          </cell>
          <cell r="G942">
            <v>0.89959999999999996</v>
          </cell>
          <cell r="H942">
            <v>8.0180000000000001E-2</v>
          </cell>
          <cell r="I942">
            <v>1.4999999999999999E-4</v>
          </cell>
          <cell r="J942">
            <v>5.8E-4</v>
          </cell>
          <cell r="K942">
            <v>8.0000000000000007E-5</v>
          </cell>
          <cell r="L942">
            <v>7.5000000000000002E-4</v>
          </cell>
          <cell r="M942">
            <v>2.3000000000000001E-4</v>
          </cell>
          <cell r="N942">
            <v>6.9999999999999994E-5</v>
          </cell>
          <cell r="O942">
            <v>9.0000000000000006E-5</v>
          </cell>
          <cell r="P942">
            <v>1.8259999999999998E-2</v>
          </cell>
          <cell r="Q942">
            <v>1.0000000000000001E-5</v>
          </cell>
          <cell r="R942">
            <v>0.99999999999999989</v>
          </cell>
          <cell r="S942">
            <v>0</v>
          </cell>
        </row>
        <row r="943">
          <cell r="E943" t="str">
            <v>OM39</v>
          </cell>
          <cell r="F943">
            <v>1</v>
          </cell>
          <cell r="G943">
            <v>0.87692999999999999</v>
          </cell>
          <cell r="H943">
            <v>7.3130000000000001E-2</v>
          </cell>
          <cell r="I943">
            <v>1.8000000000000001E-4</v>
          </cell>
          <cell r="J943">
            <v>8.5999999999999998E-4</v>
          </cell>
          <cell r="K943">
            <v>6.0000000000000002E-5</v>
          </cell>
          <cell r="L943">
            <v>8.6E-3</v>
          </cell>
          <cell r="M943">
            <v>5.7000000000000002E-3</v>
          </cell>
          <cell r="N943">
            <v>4.8999999999999998E-4</v>
          </cell>
          <cell r="O943">
            <v>2.0100000000000001E-3</v>
          </cell>
          <cell r="P943">
            <v>3.1919999999999997E-2</v>
          </cell>
          <cell r="Q943">
            <v>1.1E-4</v>
          </cell>
          <cell r="R943">
            <v>0.99998999999999993</v>
          </cell>
          <cell r="S943">
            <v>1.0000000000065512E-5</v>
          </cell>
        </row>
        <row r="946">
          <cell r="E946" t="str">
            <v>A300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1</v>
          </cell>
        </row>
        <row r="947">
          <cell r="E947" t="str">
            <v>A302</v>
          </cell>
          <cell r="F947">
            <v>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</row>
        <row r="948">
          <cell r="E948" t="str">
            <v>A304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</row>
        <row r="949">
          <cell r="E949" t="str">
            <v>A306</v>
          </cell>
          <cell r="F949">
            <v>1</v>
          </cell>
          <cell r="G949">
            <v>0.80876999999999999</v>
          </cell>
          <cell r="H949">
            <v>8.2449999999999996E-2</v>
          </cell>
          <cell r="I949">
            <v>8.0000000000000007E-5</v>
          </cell>
          <cell r="J949">
            <v>8.0999999999999996E-4</v>
          </cell>
          <cell r="K949">
            <v>8.0000000000000007E-5</v>
          </cell>
          <cell r="L949">
            <v>2.15E-3</v>
          </cell>
          <cell r="M949">
            <v>7.6999999999999996E-4</v>
          </cell>
          <cell r="N949">
            <v>3.6000000000000002E-4</v>
          </cell>
          <cell r="O949">
            <v>2.5999999999999998E-4</v>
          </cell>
          <cell r="P949">
            <v>0.10426000000000001</v>
          </cell>
          <cell r="Q949">
            <v>1.0000000000000001E-5</v>
          </cell>
          <cell r="R949">
            <v>1</v>
          </cell>
          <cell r="S949">
            <v>0</v>
          </cell>
        </row>
        <row r="950">
          <cell r="E950" t="str">
            <v>A308</v>
          </cell>
          <cell r="F950">
            <v>1</v>
          </cell>
          <cell r="G950">
            <v>0.89556999999999998</v>
          </cell>
          <cell r="H950">
            <v>6.7890000000000006E-2</v>
          </cell>
          <cell r="I950">
            <v>2.2000000000000001E-4</v>
          </cell>
          <cell r="J950">
            <v>9.6000000000000002E-4</v>
          </cell>
          <cell r="K950">
            <v>5.0000000000000002E-5</v>
          </cell>
          <cell r="L950">
            <v>1.302E-2</v>
          </cell>
          <cell r="M950">
            <v>8.94E-3</v>
          </cell>
          <cell r="N950">
            <v>6.4000000000000005E-4</v>
          </cell>
          <cell r="O950">
            <v>3.16E-3</v>
          </cell>
          <cell r="P950">
            <v>9.3799999999999994E-3</v>
          </cell>
          <cell r="Q950">
            <v>1.7000000000000001E-4</v>
          </cell>
          <cell r="R950">
            <v>1</v>
          </cell>
          <cell r="S950">
            <v>0</v>
          </cell>
        </row>
        <row r="951">
          <cell r="E951" t="str">
            <v>A310</v>
          </cell>
          <cell r="F951">
            <v>1</v>
          </cell>
          <cell r="G951">
            <v>0.89959999999999996</v>
          </cell>
          <cell r="H951">
            <v>8.0180000000000001E-2</v>
          </cell>
          <cell r="I951">
            <v>1.4999999999999999E-4</v>
          </cell>
          <cell r="J951">
            <v>5.8E-4</v>
          </cell>
          <cell r="K951">
            <v>8.0000000000000007E-5</v>
          </cell>
          <cell r="L951">
            <v>7.5000000000000002E-4</v>
          </cell>
          <cell r="M951">
            <v>2.3000000000000001E-4</v>
          </cell>
          <cell r="N951">
            <v>6.9999999999999994E-5</v>
          </cell>
          <cell r="O951">
            <v>9.0000000000000006E-5</v>
          </cell>
          <cell r="P951">
            <v>1.8259999999999998E-2</v>
          </cell>
          <cell r="Q951">
            <v>1.0000000000000001E-5</v>
          </cell>
          <cell r="R951">
            <v>0.99999999999999989</v>
          </cell>
          <cell r="S951">
            <v>0</v>
          </cell>
        </row>
        <row r="952">
          <cell r="E952" t="str">
            <v>A312</v>
          </cell>
          <cell r="F952">
            <v>1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1</v>
          </cell>
        </row>
        <row r="953">
          <cell r="E953" t="str">
            <v>A315</v>
          </cell>
          <cell r="F953">
            <v>1</v>
          </cell>
          <cell r="G953">
            <v>0.87770999999999999</v>
          </cell>
          <cell r="H953">
            <v>7.4209999999999998E-2</v>
          </cell>
          <cell r="I953">
            <v>1.7000000000000001E-4</v>
          </cell>
          <cell r="J953">
            <v>8.3000000000000001E-4</v>
          </cell>
          <cell r="K953">
            <v>6.0000000000000002E-5</v>
          </cell>
          <cell r="L953">
            <v>7.5100000000000002E-3</v>
          </cell>
          <cell r="M953">
            <v>4.9300000000000004E-3</v>
          </cell>
          <cell r="N953">
            <v>4.2999999999999999E-4</v>
          </cell>
          <cell r="O953">
            <v>1.74E-3</v>
          </cell>
          <cell r="P953">
            <v>3.2309999999999998E-2</v>
          </cell>
          <cell r="Q953">
            <v>9.0000000000000006E-5</v>
          </cell>
          <cell r="R953">
            <v>0.99998999999999993</v>
          </cell>
          <cell r="S953">
            <v>1.0000000000065512E-5</v>
          </cell>
        </row>
        <row r="954">
          <cell r="E954" t="str">
            <v>A357</v>
          </cell>
          <cell r="F954">
            <v>1</v>
          </cell>
          <cell r="G954">
            <v>0.87770999999999999</v>
          </cell>
          <cell r="H954">
            <v>7.4209999999999998E-2</v>
          </cell>
          <cell r="I954">
            <v>1.7000000000000001E-4</v>
          </cell>
          <cell r="J954">
            <v>8.3000000000000001E-4</v>
          </cell>
          <cell r="K954">
            <v>6.0000000000000002E-5</v>
          </cell>
          <cell r="L954">
            <v>7.5100000000000002E-3</v>
          </cell>
          <cell r="M954">
            <v>4.9300000000000004E-3</v>
          </cell>
          <cell r="N954">
            <v>4.2999999999999999E-4</v>
          </cell>
          <cell r="O954">
            <v>1.74E-3</v>
          </cell>
          <cell r="P954">
            <v>3.2309999999999998E-2</v>
          </cell>
          <cell r="Q954">
            <v>9.0000000000000006E-5</v>
          </cell>
          <cell r="R954">
            <v>0.99998999999999993</v>
          </cell>
          <cell r="S954">
            <v>1.0000000000065512E-5</v>
          </cell>
        </row>
        <row r="957">
          <cell r="E957" t="str">
            <v>P489</v>
          </cell>
          <cell r="F957">
            <v>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1</v>
          </cell>
        </row>
        <row r="958">
          <cell r="E958" t="str">
            <v>T489</v>
          </cell>
          <cell r="F958">
            <v>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1</v>
          </cell>
        </row>
        <row r="959">
          <cell r="E959" t="str">
            <v>D489</v>
          </cell>
          <cell r="F959">
            <v>1</v>
          </cell>
          <cell r="G959">
            <v>0.86089000000000004</v>
          </cell>
          <cell r="H959">
            <v>9.1069999999999998E-2</v>
          </cell>
          <cell r="I959">
            <v>1.2999999999999999E-4</v>
          </cell>
          <cell r="J959">
            <v>8.4999999999999995E-4</v>
          </cell>
          <cell r="K959">
            <v>8.0000000000000007E-5</v>
          </cell>
          <cell r="L959">
            <v>1.7600000000000001E-3</v>
          </cell>
          <cell r="M959">
            <v>6.0999999999999997E-4</v>
          </cell>
          <cell r="N959">
            <v>2.5999999999999998E-4</v>
          </cell>
          <cell r="O959">
            <v>1.8000000000000001E-4</v>
          </cell>
          <cell r="P959">
            <v>4.4159999999999998E-2</v>
          </cell>
          <cell r="Q959">
            <v>1.0000000000000001E-5</v>
          </cell>
          <cell r="R959">
            <v>0.99999999999999989</v>
          </cell>
          <cell r="S959">
            <v>0</v>
          </cell>
        </row>
        <row r="960">
          <cell r="E960" t="str">
            <v>G489</v>
          </cell>
          <cell r="F960">
            <v>1</v>
          </cell>
          <cell r="G960">
            <v>0.89737</v>
          </cell>
          <cell r="H960">
            <v>7.3330000000000006E-2</v>
          </cell>
          <cell r="I960">
            <v>1.9000000000000001E-4</v>
          </cell>
          <cell r="J960">
            <v>7.9000000000000001E-4</v>
          </cell>
          <cell r="K960">
            <v>6.0000000000000002E-5</v>
          </cell>
          <cell r="L960">
            <v>7.5900000000000004E-3</v>
          </cell>
          <cell r="M960">
            <v>5.0899999999999999E-3</v>
          </cell>
          <cell r="N960">
            <v>3.8999999999999999E-4</v>
          </cell>
          <cell r="O960">
            <v>1.8E-3</v>
          </cell>
          <cell r="P960">
            <v>1.329E-2</v>
          </cell>
          <cell r="Q960">
            <v>1E-4</v>
          </cell>
          <cell r="R960">
            <v>1</v>
          </cell>
          <cell r="S960">
            <v>0</v>
          </cell>
        </row>
        <row r="961">
          <cell r="E961" t="str">
            <v>C489</v>
          </cell>
          <cell r="F961">
            <v>1</v>
          </cell>
          <cell r="G961">
            <v>0.89759</v>
          </cell>
          <cell r="H961">
            <v>7.3319999999999996E-2</v>
          </cell>
          <cell r="I961">
            <v>2.0000000000000001E-4</v>
          </cell>
          <cell r="J961">
            <v>7.9000000000000001E-4</v>
          </cell>
          <cell r="K961">
            <v>6.9999999999999994E-5</v>
          </cell>
          <cell r="L961">
            <v>7.5799999999999999E-3</v>
          </cell>
          <cell r="M961">
            <v>5.0899999999999999E-3</v>
          </cell>
          <cell r="N961">
            <v>3.8999999999999999E-4</v>
          </cell>
          <cell r="O961">
            <v>1.8E-3</v>
          </cell>
          <cell r="P961">
            <v>1.307E-2</v>
          </cell>
          <cell r="Q961">
            <v>1E-4</v>
          </cell>
          <cell r="R961">
            <v>1</v>
          </cell>
          <cell r="S961">
            <v>0</v>
          </cell>
        </row>
        <row r="962">
          <cell r="E962" t="str">
            <v>DE49</v>
          </cell>
          <cell r="F962">
            <v>1</v>
          </cell>
          <cell r="G962">
            <v>0.87205999999999995</v>
          </cell>
          <cell r="H962">
            <v>8.5639999999999994E-2</v>
          </cell>
          <cell r="I962">
            <v>1.4999999999999999E-4</v>
          </cell>
          <cell r="J962">
            <v>8.3000000000000001E-4</v>
          </cell>
          <cell r="K962">
            <v>6.9999999999999994E-5</v>
          </cell>
          <cell r="L962">
            <v>3.5400000000000002E-3</v>
          </cell>
          <cell r="M962">
            <v>1.98E-3</v>
          </cell>
          <cell r="N962">
            <v>2.9999999999999997E-4</v>
          </cell>
          <cell r="O962">
            <v>6.8000000000000005E-4</v>
          </cell>
          <cell r="P962">
            <v>3.4709999999999998E-2</v>
          </cell>
          <cell r="Q962">
            <v>4.0000000000000003E-5</v>
          </cell>
          <cell r="R962">
            <v>1</v>
          </cell>
          <cell r="S962">
            <v>0</v>
          </cell>
        </row>
        <row r="965">
          <cell r="E965" t="str">
            <v>L529</v>
          </cell>
          <cell r="F965">
            <v>1</v>
          </cell>
          <cell r="G965">
            <v>0.86512999999999995</v>
          </cell>
          <cell r="H965">
            <v>8.9010000000000006E-2</v>
          </cell>
          <cell r="I965">
            <v>1.2999999999999999E-4</v>
          </cell>
          <cell r="J965">
            <v>8.4000000000000003E-4</v>
          </cell>
          <cell r="K965">
            <v>8.0000000000000007E-5</v>
          </cell>
          <cell r="L965">
            <v>2.4399999999999999E-3</v>
          </cell>
          <cell r="M965">
            <v>1.1299999999999999E-3</v>
          </cell>
          <cell r="N965">
            <v>2.7999999999999998E-4</v>
          </cell>
          <cell r="O965">
            <v>3.6999999999999999E-4</v>
          </cell>
          <cell r="P965">
            <v>4.0570000000000002E-2</v>
          </cell>
          <cell r="Q965">
            <v>2.0000000000000002E-5</v>
          </cell>
          <cell r="R965">
            <v>0.99999999999999978</v>
          </cell>
          <cell r="S965">
            <v>0</v>
          </cell>
        </row>
        <row r="966">
          <cell r="E966" t="str">
            <v>L589</v>
          </cell>
          <cell r="F966">
            <v>1</v>
          </cell>
          <cell r="G966">
            <v>0.87771999999999994</v>
          </cell>
          <cell r="H966">
            <v>7.4209999999999998E-2</v>
          </cell>
          <cell r="I966">
            <v>1.7000000000000001E-4</v>
          </cell>
          <cell r="J966">
            <v>8.3000000000000001E-4</v>
          </cell>
          <cell r="K966">
            <v>6.0000000000000002E-5</v>
          </cell>
          <cell r="L966">
            <v>7.5100000000000002E-3</v>
          </cell>
          <cell r="M966">
            <v>4.9300000000000004E-3</v>
          </cell>
          <cell r="N966">
            <v>4.2999999999999999E-4</v>
          </cell>
          <cell r="O966">
            <v>1.74E-3</v>
          </cell>
          <cell r="P966">
            <v>3.2309999999999998E-2</v>
          </cell>
          <cell r="Q966">
            <v>9.0000000000000006E-5</v>
          </cell>
          <cell r="R966">
            <v>0.99999999999999989</v>
          </cell>
          <cell r="S966">
            <v>0</v>
          </cell>
        </row>
        <row r="967">
          <cell r="E967" t="str">
            <v>L599</v>
          </cell>
          <cell r="F967">
            <v>1</v>
          </cell>
          <cell r="G967">
            <v>0.86282999999999999</v>
          </cell>
          <cell r="H967">
            <v>8.8340000000000002E-2</v>
          </cell>
          <cell r="I967">
            <v>1.6000000000000001E-4</v>
          </cell>
          <cell r="J967">
            <v>8.7000000000000001E-4</v>
          </cell>
          <cell r="K967">
            <v>8.0000000000000007E-5</v>
          </cell>
          <cell r="L967">
            <v>4.7999999999999996E-3</v>
          </cell>
          <cell r="M967">
            <v>2.9499999999999999E-3</v>
          </cell>
          <cell r="N967">
            <v>3.3E-4</v>
          </cell>
          <cell r="O967">
            <v>1.01E-3</v>
          </cell>
          <cell r="P967">
            <v>3.8580000000000003E-2</v>
          </cell>
          <cell r="Q967">
            <v>6.0000000000000002E-5</v>
          </cell>
          <cell r="R967">
            <v>1.0000100000000001</v>
          </cell>
          <cell r="S967">
            <v>-1.0000000000065512E-5</v>
          </cell>
        </row>
        <row r="968">
          <cell r="E968" t="str">
            <v>OP69</v>
          </cell>
          <cell r="F968">
            <v>1</v>
          </cell>
          <cell r="G968">
            <v>0.87514999999999998</v>
          </cell>
          <cell r="H968">
            <v>7.6399999999999996E-2</v>
          </cell>
          <cell r="I968">
            <v>1.7000000000000001E-4</v>
          </cell>
          <cell r="J968">
            <v>8.5999999999999998E-4</v>
          </cell>
          <cell r="K968">
            <v>6.9999999999999994E-5</v>
          </cell>
          <cell r="L968">
            <v>7.4200000000000004E-3</v>
          </cell>
          <cell r="M968">
            <v>4.8399999999999997E-3</v>
          </cell>
          <cell r="N968">
            <v>4.4000000000000002E-4</v>
          </cell>
          <cell r="O968">
            <v>1.6999999999999999E-3</v>
          </cell>
          <cell r="P968">
            <v>3.2849999999999997E-2</v>
          </cell>
          <cell r="Q968">
            <v>9.0000000000000006E-5</v>
          </cell>
          <cell r="R968">
            <v>0.99999000000000005</v>
          </cell>
          <cell r="S968">
            <v>9.9999999999544897E-6</v>
          </cell>
        </row>
        <row r="971">
          <cell r="E971" t="str">
            <v>CS09</v>
          </cell>
          <cell r="F971">
            <v>1</v>
          </cell>
          <cell r="G971">
            <v>0.87723854000000001</v>
          </cell>
          <cell r="H971">
            <v>7.9750420000000002E-2</v>
          </cell>
          <cell r="I971">
            <v>1.6379E-4</v>
          </cell>
          <cell r="J971">
            <v>8.5831799999999995E-4</v>
          </cell>
          <cell r="K971">
            <v>7.0629000000000004E-5</v>
          </cell>
          <cell r="L971">
            <v>6.2751689999999997E-3</v>
          </cell>
          <cell r="M971">
            <v>3.981297E-3</v>
          </cell>
          <cell r="N971">
            <v>4.0412899999999998E-4</v>
          </cell>
          <cell r="O971">
            <v>1.393799E-3</v>
          </cell>
          <cell r="P971">
            <v>2.9786659E-2</v>
          </cell>
          <cell r="Q971">
            <v>7.7250999999999996E-5</v>
          </cell>
          <cell r="R971">
            <v>1.0000000010000001</v>
          </cell>
          <cell r="S971">
            <v>-1.000000082740371E-9</v>
          </cell>
        </row>
      </sheetData>
      <sheetData sheetId="17" refreshError="1"/>
      <sheetData sheetId="18">
        <row r="24">
          <cell r="H24">
            <v>0</v>
          </cell>
        </row>
        <row r="33">
          <cell r="H33">
            <v>128946845</v>
          </cell>
        </row>
        <row r="42">
          <cell r="H42">
            <v>128946845</v>
          </cell>
        </row>
        <row r="59">
          <cell r="H59">
            <v>273833422</v>
          </cell>
        </row>
        <row r="60">
          <cell r="H60">
            <v>115988952</v>
          </cell>
        </row>
        <row r="61">
          <cell r="H61">
            <v>0</v>
          </cell>
        </row>
        <row r="65">
          <cell r="H65">
            <v>0</v>
          </cell>
        </row>
        <row r="66">
          <cell r="H66">
            <v>47226037</v>
          </cell>
        </row>
        <row r="67">
          <cell r="H67">
            <v>0</v>
          </cell>
        </row>
        <row r="73">
          <cell r="H73">
            <v>57934105</v>
          </cell>
        </row>
        <row r="74">
          <cell r="H74">
            <v>14316095</v>
          </cell>
        </row>
        <row r="75">
          <cell r="H75">
            <v>1694540</v>
          </cell>
        </row>
        <row r="76">
          <cell r="H76">
            <v>5665794</v>
          </cell>
        </row>
        <row r="77">
          <cell r="H77">
            <v>333081</v>
          </cell>
        </row>
        <row r="78">
          <cell r="H78">
            <v>32437783</v>
          </cell>
        </row>
        <row r="79">
          <cell r="H79">
            <v>2044964</v>
          </cell>
        </row>
        <row r="80">
          <cell r="H80">
            <v>13521056</v>
          </cell>
        </row>
        <row r="81">
          <cell r="H81">
            <v>764780</v>
          </cell>
        </row>
        <row r="82">
          <cell r="H82">
            <v>39420686</v>
          </cell>
        </row>
        <row r="83">
          <cell r="H83">
            <v>1124289</v>
          </cell>
        </row>
        <row r="84">
          <cell r="H84">
            <v>7637960</v>
          </cell>
        </row>
        <row r="85">
          <cell r="H85">
            <v>343378</v>
          </cell>
        </row>
        <row r="86">
          <cell r="H86">
            <v>26806804</v>
          </cell>
        </row>
        <row r="87">
          <cell r="H87">
            <v>996030</v>
          </cell>
        </row>
        <row r="88">
          <cell r="H88">
            <v>3480520</v>
          </cell>
        </row>
        <row r="89">
          <cell r="H89">
            <v>3939203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100">
          <cell r="H100">
            <v>12261944</v>
          </cell>
        </row>
        <row r="101">
          <cell r="H101">
            <v>9241630</v>
          </cell>
        </row>
        <row r="102">
          <cell r="H102">
            <v>1123809</v>
          </cell>
        </row>
        <row r="103">
          <cell r="H103">
            <v>4434909</v>
          </cell>
        </row>
        <row r="104">
          <cell r="H104">
            <v>230482</v>
          </cell>
        </row>
        <row r="105">
          <cell r="H105">
            <v>637986</v>
          </cell>
        </row>
        <row r="106">
          <cell r="H106">
            <v>366300</v>
          </cell>
        </row>
        <row r="107">
          <cell r="H107">
            <v>0</v>
          </cell>
        </row>
        <row r="108">
          <cell r="H108">
            <v>0</v>
          </cell>
        </row>
        <row r="112">
          <cell r="H112">
            <v>4114000</v>
          </cell>
        </row>
        <row r="113">
          <cell r="H113">
            <v>3100655</v>
          </cell>
        </row>
        <row r="114">
          <cell r="H114">
            <v>377048</v>
          </cell>
        </row>
        <row r="115">
          <cell r="H115">
            <v>1487954</v>
          </cell>
        </row>
        <row r="116">
          <cell r="H116">
            <v>77329</v>
          </cell>
        </row>
        <row r="117">
          <cell r="H117">
            <v>214050</v>
          </cell>
        </row>
        <row r="118">
          <cell r="H118">
            <v>122897</v>
          </cell>
        </row>
        <row r="119">
          <cell r="H119">
            <v>0</v>
          </cell>
        </row>
        <row r="120">
          <cell r="H120">
            <v>0</v>
          </cell>
        </row>
        <row r="136">
          <cell r="H136">
            <v>138691525</v>
          </cell>
        </row>
        <row r="137">
          <cell r="H137">
            <v>66745841</v>
          </cell>
        </row>
        <row r="138">
          <cell r="H138">
            <v>1810511</v>
          </cell>
        </row>
        <row r="142">
          <cell r="H142">
            <v>0</v>
          </cell>
        </row>
        <row r="143">
          <cell r="H143">
            <v>3745158</v>
          </cell>
        </row>
        <row r="144">
          <cell r="H144">
            <v>14746</v>
          </cell>
        </row>
        <row r="150">
          <cell r="H150">
            <v>11389499</v>
          </cell>
        </row>
        <row r="151">
          <cell r="H151">
            <v>4795007</v>
          </cell>
        </row>
        <row r="152">
          <cell r="H152">
            <v>567566</v>
          </cell>
        </row>
        <row r="153">
          <cell r="H153">
            <v>1897691</v>
          </cell>
        </row>
        <row r="154">
          <cell r="H154">
            <v>111562</v>
          </cell>
        </row>
        <row r="155">
          <cell r="H155">
            <v>6713640</v>
          </cell>
        </row>
        <row r="156">
          <cell r="H156">
            <v>423246</v>
          </cell>
        </row>
        <row r="157">
          <cell r="H157">
            <v>2798449</v>
          </cell>
        </row>
        <row r="158">
          <cell r="H158">
            <v>158286</v>
          </cell>
        </row>
        <row r="159">
          <cell r="H159">
            <v>9058768</v>
          </cell>
        </row>
        <row r="160">
          <cell r="H160">
            <v>258359</v>
          </cell>
        </row>
        <row r="161">
          <cell r="H161">
            <v>1755183</v>
          </cell>
        </row>
        <row r="162">
          <cell r="H162">
            <v>78907</v>
          </cell>
        </row>
        <row r="163">
          <cell r="H163">
            <v>7861198</v>
          </cell>
        </row>
        <row r="164">
          <cell r="H164">
            <v>292090</v>
          </cell>
        </row>
        <row r="165">
          <cell r="H165">
            <v>1805096</v>
          </cell>
        </row>
        <row r="166">
          <cell r="H166">
            <v>1537543</v>
          </cell>
        </row>
        <row r="167">
          <cell r="H167">
            <v>0</v>
          </cell>
        </row>
        <row r="168">
          <cell r="H168">
            <v>-19015</v>
          </cell>
        </row>
        <row r="169">
          <cell r="H169">
            <v>0</v>
          </cell>
        </row>
        <row r="170">
          <cell r="H170">
            <v>-7770405</v>
          </cell>
        </row>
        <row r="177">
          <cell r="H177">
            <v>4179690</v>
          </cell>
        </row>
        <row r="178">
          <cell r="H178">
            <v>3150165</v>
          </cell>
        </row>
        <row r="179">
          <cell r="H179">
            <v>383069</v>
          </cell>
        </row>
        <row r="180">
          <cell r="H180">
            <v>1511713</v>
          </cell>
        </row>
        <row r="181">
          <cell r="H181">
            <v>78564</v>
          </cell>
        </row>
        <row r="182">
          <cell r="H182">
            <v>217469</v>
          </cell>
        </row>
        <row r="183">
          <cell r="H183">
            <v>124860</v>
          </cell>
        </row>
        <row r="184">
          <cell r="H184">
            <v>0</v>
          </cell>
        </row>
        <row r="185">
          <cell r="H185">
            <v>7045</v>
          </cell>
        </row>
        <row r="189">
          <cell r="H189">
            <v>2170228</v>
          </cell>
        </row>
        <row r="190">
          <cell r="H190">
            <v>1635666</v>
          </cell>
        </row>
        <row r="191">
          <cell r="H191">
            <v>198902</v>
          </cell>
        </row>
        <row r="192">
          <cell r="H192">
            <v>784930</v>
          </cell>
        </row>
        <row r="193">
          <cell r="H193">
            <v>40793</v>
          </cell>
        </row>
        <row r="194">
          <cell r="H194">
            <v>112917</v>
          </cell>
        </row>
        <row r="195">
          <cell r="H195">
            <v>64831</v>
          </cell>
        </row>
        <row r="196">
          <cell r="H196">
            <v>0</v>
          </cell>
        </row>
        <row r="197">
          <cell r="H197">
            <v>21564</v>
          </cell>
        </row>
        <row r="292">
          <cell r="H292">
            <v>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0</v>
          </cell>
        </row>
        <row r="298">
          <cell r="H298">
            <v>0</v>
          </cell>
        </row>
        <row r="299">
          <cell r="H299">
            <v>0</v>
          </cell>
        </row>
        <row r="300">
          <cell r="H300">
            <v>61222613</v>
          </cell>
        </row>
        <row r="304">
          <cell r="H304">
            <v>0</v>
          </cell>
        </row>
        <row r="305">
          <cell r="H305">
            <v>2667461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0</v>
          </cell>
        </row>
        <row r="310">
          <cell r="H310">
            <v>0</v>
          </cell>
        </row>
        <row r="311">
          <cell r="H311">
            <v>0</v>
          </cell>
        </row>
        <row r="312">
          <cell r="H312">
            <v>0</v>
          </cell>
        </row>
        <row r="313">
          <cell r="H313">
            <v>0</v>
          </cell>
        </row>
        <row r="314">
          <cell r="H314">
            <v>0</v>
          </cell>
        </row>
        <row r="318">
          <cell r="H318">
            <v>12550558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0</v>
          </cell>
        </row>
        <row r="338">
          <cell r="H338">
            <v>0</v>
          </cell>
        </row>
        <row r="339">
          <cell r="H339">
            <v>0</v>
          </cell>
        </row>
        <row r="340">
          <cell r="H340">
            <v>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0</v>
          </cell>
        </row>
        <row r="346">
          <cell r="H346">
            <v>0</v>
          </cell>
        </row>
        <row r="347">
          <cell r="H347">
            <v>0</v>
          </cell>
        </row>
        <row r="348">
          <cell r="H348">
            <v>0</v>
          </cell>
        </row>
        <row r="349">
          <cell r="H349">
            <v>0</v>
          </cell>
        </row>
        <row r="350">
          <cell r="H350">
            <v>0</v>
          </cell>
        </row>
        <row r="351">
          <cell r="H351">
            <v>0</v>
          </cell>
        </row>
        <row r="352">
          <cell r="H352">
            <v>1708650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0</v>
          </cell>
        </row>
        <row r="358">
          <cell r="H358">
            <v>0</v>
          </cell>
        </row>
        <row r="359">
          <cell r="H359">
            <v>0</v>
          </cell>
        </row>
        <row r="360">
          <cell r="H360">
            <v>0</v>
          </cell>
        </row>
        <row r="364">
          <cell r="H364">
            <v>0</v>
          </cell>
        </row>
        <row r="365">
          <cell r="H365">
            <v>3712314</v>
          </cell>
        </row>
        <row r="366">
          <cell r="H366">
            <v>0</v>
          </cell>
        </row>
        <row r="370">
          <cell r="H370">
            <v>0</v>
          </cell>
        </row>
        <row r="371">
          <cell r="H371">
            <v>0</v>
          </cell>
        </row>
        <row r="372">
          <cell r="H372">
            <v>0</v>
          </cell>
        </row>
        <row r="373">
          <cell r="H373">
            <v>0</v>
          </cell>
        </row>
        <row r="374">
          <cell r="H374">
            <v>0</v>
          </cell>
        </row>
        <row r="395">
          <cell r="H395">
            <v>4403586</v>
          </cell>
        </row>
        <row r="396">
          <cell r="H396">
            <v>4726683</v>
          </cell>
        </row>
        <row r="397">
          <cell r="H397">
            <v>0</v>
          </cell>
        </row>
        <row r="402">
          <cell r="H402">
            <v>173139</v>
          </cell>
        </row>
        <row r="403">
          <cell r="H403">
            <v>0</v>
          </cell>
        </row>
        <row r="404">
          <cell r="H404">
            <v>461587</v>
          </cell>
        </row>
        <row r="407">
          <cell r="H407">
            <v>1324887</v>
          </cell>
        </row>
        <row r="411">
          <cell r="H411">
            <v>0</v>
          </cell>
        </row>
        <row r="412">
          <cell r="H412">
            <v>0</v>
          </cell>
        </row>
        <row r="413">
          <cell r="H413">
            <v>0</v>
          </cell>
        </row>
        <row r="431">
          <cell r="H431">
            <v>358384986</v>
          </cell>
        </row>
        <row r="447">
          <cell r="H447">
            <v>0</v>
          </cell>
        </row>
        <row r="448">
          <cell r="H448">
            <v>46319330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14222954</v>
          </cell>
        </row>
        <row r="452">
          <cell r="H452">
            <v>0</v>
          </cell>
        </row>
        <row r="456">
          <cell r="H456">
            <v>0</v>
          </cell>
        </row>
        <row r="462">
          <cell r="H462">
            <v>0</v>
          </cell>
        </row>
        <row r="463">
          <cell r="H463">
            <v>9878147</v>
          </cell>
        </row>
        <row r="464">
          <cell r="H464">
            <v>0</v>
          </cell>
        </row>
        <row r="465">
          <cell r="H465">
            <v>0</v>
          </cell>
        </row>
        <row r="469">
          <cell r="H469">
            <v>1010977</v>
          </cell>
        </row>
        <row r="473">
          <cell r="H473">
            <v>112989</v>
          </cell>
        </row>
        <row r="474">
          <cell r="H474">
            <v>0</v>
          </cell>
        </row>
        <row r="475">
          <cell r="H475">
            <v>1529799</v>
          </cell>
        </row>
        <row r="476">
          <cell r="H476">
            <v>96443</v>
          </cell>
        </row>
        <row r="477">
          <cell r="H477">
            <v>637667</v>
          </cell>
        </row>
        <row r="478">
          <cell r="H478">
            <v>36068</v>
          </cell>
        </row>
        <row r="479">
          <cell r="H479">
            <v>173171</v>
          </cell>
        </row>
        <row r="480">
          <cell r="H480">
            <v>4939</v>
          </cell>
        </row>
        <row r="481">
          <cell r="H481">
            <v>33553</v>
          </cell>
        </row>
        <row r="482">
          <cell r="H482">
            <v>1508</v>
          </cell>
        </row>
        <row r="483">
          <cell r="H483">
            <v>0</v>
          </cell>
        </row>
        <row r="484">
          <cell r="H484">
            <v>0</v>
          </cell>
        </row>
        <row r="485">
          <cell r="H485">
            <v>146049</v>
          </cell>
        </row>
        <row r="486">
          <cell r="H486">
            <v>148602</v>
          </cell>
        </row>
        <row r="487">
          <cell r="H487">
            <v>118110</v>
          </cell>
        </row>
        <row r="488">
          <cell r="H488">
            <v>0</v>
          </cell>
        </row>
        <row r="489">
          <cell r="H489">
            <v>7401</v>
          </cell>
        </row>
        <row r="490">
          <cell r="H490">
            <v>428368</v>
          </cell>
        </row>
        <row r="491">
          <cell r="H491">
            <v>0</v>
          </cell>
        </row>
        <row r="495">
          <cell r="H495">
            <v>348269</v>
          </cell>
        </row>
        <row r="496">
          <cell r="H496">
            <v>120053</v>
          </cell>
        </row>
        <row r="497">
          <cell r="H497">
            <v>15965</v>
          </cell>
        </row>
        <row r="498">
          <cell r="H498">
            <v>90578</v>
          </cell>
        </row>
        <row r="499">
          <cell r="H499">
            <v>34559</v>
          </cell>
        </row>
        <row r="500">
          <cell r="H500">
            <v>0</v>
          </cell>
        </row>
        <row r="501">
          <cell r="H501">
            <v>0</v>
          </cell>
        </row>
        <row r="502">
          <cell r="H502">
            <v>6720</v>
          </cell>
        </row>
        <row r="516">
          <cell r="H516">
            <v>121415</v>
          </cell>
        </row>
        <row r="517">
          <cell r="H517">
            <v>0</v>
          </cell>
        </row>
        <row r="521">
          <cell r="H521">
            <v>16617</v>
          </cell>
        </row>
        <row r="525">
          <cell r="H525">
            <v>0</v>
          </cell>
        </row>
        <row r="526">
          <cell r="H526">
            <v>3383770</v>
          </cell>
        </row>
        <row r="527">
          <cell r="H527">
            <v>410457</v>
          </cell>
        </row>
        <row r="528">
          <cell r="H528">
            <v>1579667</v>
          </cell>
        </row>
        <row r="529">
          <cell r="H529">
            <v>233016</v>
          </cell>
        </row>
        <row r="530">
          <cell r="H530">
            <v>133786</v>
          </cell>
        </row>
        <row r="531">
          <cell r="H531">
            <v>0</v>
          </cell>
        </row>
        <row r="533">
          <cell r="H533">
            <v>25698</v>
          </cell>
        </row>
        <row r="534">
          <cell r="H534">
            <v>0</v>
          </cell>
        </row>
        <row r="535">
          <cell r="H535">
            <v>-281901</v>
          </cell>
        </row>
        <row r="536">
          <cell r="H536">
            <v>-44374</v>
          </cell>
        </row>
        <row r="537">
          <cell r="H537">
            <v>0</v>
          </cell>
        </row>
        <row r="538">
          <cell r="H538">
            <v>-77883</v>
          </cell>
        </row>
        <row r="539">
          <cell r="H539">
            <v>-126061</v>
          </cell>
        </row>
        <row r="540">
          <cell r="H540">
            <v>0</v>
          </cell>
        </row>
        <row r="541">
          <cell r="H541">
            <v>0</v>
          </cell>
        </row>
        <row r="542">
          <cell r="H542">
            <v>-339328</v>
          </cell>
        </row>
        <row r="543">
          <cell r="H543">
            <v>110234</v>
          </cell>
        </row>
        <row r="544">
          <cell r="H544">
            <v>0</v>
          </cell>
        </row>
        <row r="545">
          <cell r="H545">
            <v>0</v>
          </cell>
        </row>
        <row r="546">
          <cell r="H546">
            <v>187060</v>
          </cell>
        </row>
        <row r="562">
          <cell r="H562">
            <v>16020772</v>
          </cell>
        </row>
        <row r="566">
          <cell r="H566">
            <v>1039002</v>
          </cell>
        </row>
        <row r="570">
          <cell r="H570">
            <v>5515798</v>
          </cell>
        </row>
        <row r="574">
          <cell r="H574">
            <v>2425237</v>
          </cell>
        </row>
        <row r="578">
          <cell r="H578">
            <v>103263</v>
          </cell>
        </row>
        <row r="596">
          <cell r="H596">
            <v>4651592</v>
          </cell>
        </row>
        <row r="597">
          <cell r="H597">
            <v>0</v>
          </cell>
        </row>
        <row r="601">
          <cell r="H601">
            <v>278107</v>
          </cell>
        </row>
        <row r="602">
          <cell r="H602">
            <v>-10847</v>
          </cell>
        </row>
        <row r="603">
          <cell r="H603">
            <v>-14700</v>
          </cell>
        </row>
        <row r="604">
          <cell r="H604">
            <v>23836</v>
          </cell>
        </row>
        <row r="608">
          <cell r="H608">
            <v>31117</v>
          </cell>
        </row>
        <row r="609">
          <cell r="H609">
            <v>0</v>
          </cell>
        </row>
        <row r="632">
          <cell r="H632">
            <v>8053238</v>
          </cell>
        </row>
        <row r="636">
          <cell r="H636">
            <v>-5143957</v>
          </cell>
        </row>
        <row r="637">
          <cell r="H637">
            <v>-21201</v>
          </cell>
        </row>
        <row r="638">
          <cell r="H638">
            <v>8691721</v>
          </cell>
        </row>
        <row r="644">
          <cell r="H644">
            <v>646280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-9331</v>
          </cell>
        </row>
        <row r="648">
          <cell r="H648">
            <v>-268606</v>
          </cell>
        </row>
        <row r="652">
          <cell r="H652">
            <v>0</v>
          </cell>
        </row>
        <row r="656">
          <cell r="H656">
            <v>0</v>
          </cell>
        </row>
        <row r="657">
          <cell r="H657">
            <v>0</v>
          </cell>
        </row>
        <row r="674">
          <cell r="H674">
            <v>4646840</v>
          </cell>
        </row>
        <row r="694">
          <cell r="H694">
            <v>3247573</v>
          </cell>
        </row>
        <row r="695">
          <cell r="H695">
            <v>0</v>
          </cell>
        </row>
        <row r="700">
          <cell r="H700">
            <v>136310</v>
          </cell>
        </row>
        <row r="704">
          <cell r="H704">
            <v>-6710</v>
          </cell>
        </row>
        <row r="742">
          <cell r="H742">
            <v>352835</v>
          </cell>
        </row>
        <row r="743">
          <cell r="H743">
            <v>4415</v>
          </cell>
        </row>
        <row r="744">
          <cell r="H744">
            <v>190748</v>
          </cell>
        </row>
        <row r="745">
          <cell r="H745">
            <v>354247</v>
          </cell>
        </row>
        <row r="746">
          <cell r="H746">
            <v>0</v>
          </cell>
        </row>
        <row r="747">
          <cell r="H747">
            <v>0</v>
          </cell>
        </row>
        <row r="748">
          <cell r="H748">
            <v>0</v>
          </cell>
        </row>
        <row r="749">
          <cell r="H749">
            <v>4424</v>
          </cell>
        </row>
        <row r="761">
          <cell r="H761">
            <v>0</v>
          </cell>
        </row>
        <row r="772">
          <cell r="H772">
            <v>65804878</v>
          </cell>
        </row>
      </sheetData>
      <sheetData sheetId="19" refreshError="1"/>
      <sheetData sheetId="20">
        <row r="30">
          <cell r="G30">
            <v>75281728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15">
          <cell r="A15" t="str">
            <v>January</v>
          </cell>
          <cell r="C15">
            <v>138427</v>
          </cell>
          <cell r="D15">
            <v>1174.9655274233689</v>
          </cell>
          <cell r="E15">
            <v>6.456765157548749</v>
          </cell>
          <cell r="F15">
            <v>2.6403684083387007</v>
          </cell>
          <cell r="G15">
            <v>45312.375</v>
          </cell>
          <cell r="H15">
            <v>2.6061639848322566</v>
          </cell>
          <cell r="I15">
            <v>45308.333333333336</v>
          </cell>
        </row>
        <row r="17">
          <cell r="A17" t="str">
            <v>February</v>
          </cell>
          <cell r="C17">
            <v>138749</v>
          </cell>
          <cell r="D17">
            <v>810.15770344982695</v>
          </cell>
          <cell r="E17">
            <v>5.6867924178264371</v>
          </cell>
          <cell r="F17">
            <v>1.9572659503537921</v>
          </cell>
          <cell r="G17">
            <v>45340.375</v>
          </cell>
          <cell r="H17">
            <v>1.6668936330577071</v>
          </cell>
          <cell r="I17">
            <v>45351.333333333336</v>
          </cell>
        </row>
        <row r="19">
          <cell r="A19" t="str">
            <v>March</v>
          </cell>
          <cell r="C19">
            <v>138991</v>
          </cell>
          <cell r="D19">
            <v>747.49772575193663</v>
          </cell>
          <cell r="E19">
            <v>5.4981759826175836</v>
          </cell>
          <cell r="F19">
            <v>1.7009798436205084</v>
          </cell>
          <cell r="G19">
            <v>45369.833333333336</v>
          </cell>
          <cell r="H19">
            <v>1.4491617677805415</v>
          </cell>
          <cell r="I19">
            <v>45362.333333333336</v>
          </cell>
        </row>
        <row r="21">
          <cell r="A21" t="str">
            <v>April</v>
          </cell>
          <cell r="C21">
            <v>139166</v>
          </cell>
          <cell r="D21">
            <v>659.66833883718573</v>
          </cell>
          <cell r="E21">
            <v>5.497630429372113</v>
          </cell>
          <cell r="F21">
            <v>1.6800876075756273</v>
          </cell>
          <cell r="G21">
            <v>45410.75</v>
          </cell>
          <cell r="H21">
            <v>1.5183592793602116</v>
          </cell>
          <cell r="I21">
            <v>45398.708333333336</v>
          </cell>
        </row>
        <row r="23">
          <cell r="A23" t="str">
            <v>May</v>
          </cell>
          <cell r="C23">
            <v>139300</v>
          </cell>
          <cell r="D23">
            <v>807.46207600638479</v>
          </cell>
          <cell r="E23">
            <v>5.3749383201722889</v>
          </cell>
          <cell r="F23">
            <v>2.2362183598918497</v>
          </cell>
          <cell r="G23">
            <v>45433.75</v>
          </cell>
          <cell r="H23">
            <v>2.1786445952942524</v>
          </cell>
          <cell r="I23">
            <v>45433.708333333336</v>
          </cell>
        </row>
        <row r="25">
          <cell r="A25" t="str">
            <v>June</v>
          </cell>
          <cell r="C25">
            <v>136198</v>
          </cell>
          <cell r="D25">
            <v>855.5812025390718</v>
          </cell>
          <cell r="E25">
            <v>5.4162697690127599</v>
          </cell>
          <cell r="F25">
            <v>2.2924212925855389</v>
          </cell>
          <cell r="G25">
            <v>45107.75</v>
          </cell>
          <cell r="H25">
            <v>2.2790593568692046</v>
          </cell>
          <cell r="I25">
            <v>45107.708333333336</v>
          </cell>
        </row>
        <row r="27">
          <cell r="A27" t="str">
            <v>July</v>
          </cell>
          <cell r="C27">
            <v>136626</v>
          </cell>
          <cell r="D27">
            <v>1148.335505787685</v>
          </cell>
          <cell r="E27">
            <v>5.6980271178253066</v>
          </cell>
          <cell r="F27">
            <v>2.5604465790360633</v>
          </cell>
          <cell r="G27">
            <v>45135.75</v>
          </cell>
          <cell r="H27">
            <v>2.5156257832826405</v>
          </cell>
          <cell r="I27">
            <v>45134.666666666664</v>
          </cell>
        </row>
        <row r="29">
          <cell r="A29" t="str">
            <v>August</v>
          </cell>
          <cell r="C29">
            <v>136982</v>
          </cell>
          <cell r="D29">
            <v>1089.892098962978</v>
          </cell>
          <cell r="E29">
            <v>5.6192171015169885</v>
          </cell>
          <cell r="F29">
            <v>2.7483489542196868</v>
          </cell>
          <cell r="G29">
            <v>45161.75</v>
          </cell>
          <cell r="H29">
            <v>2.7050719833260195</v>
          </cell>
          <cell r="I29">
            <v>45161.708333333336</v>
          </cell>
        </row>
        <row r="31">
          <cell r="A31" t="str">
            <v>September</v>
          </cell>
          <cell r="C31">
            <v>137231</v>
          </cell>
          <cell r="D31">
            <v>824.69594791387124</v>
          </cell>
          <cell r="E31">
            <v>5.3442513134787308</v>
          </cell>
          <cell r="F31">
            <v>2.617822065435937</v>
          </cell>
          <cell r="G31">
            <v>45173.75</v>
          </cell>
          <cell r="H31">
            <v>2.3139394823212949</v>
          </cell>
          <cell r="I31">
            <v>45174.625</v>
          </cell>
        </row>
        <row r="33">
          <cell r="A33" t="str">
            <v>October</v>
          </cell>
          <cell r="C33">
            <v>137672</v>
          </cell>
          <cell r="D33">
            <v>663.29846969620189</v>
          </cell>
          <cell r="E33">
            <v>5.32519978644895</v>
          </cell>
          <cell r="F33">
            <v>1.919931315797146</v>
          </cell>
          <cell r="G33">
            <v>45202.708333333336</v>
          </cell>
          <cell r="H33">
            <v>1.919931315797146</v>
          </cell>
          <cell r="I33">
            <v>45202.708333333336</v>
          </cell>
        </row>
        <row r="35">
          <cell r="A35" t="str">
            <v>November</v>
          </cell>
          <cell r="C35">
            <v>138028</v>
          </cell>
          <cell r="D35">
            <v>768.57776864269636</v>
          </cell>
          <cell r="E35">
            <v>5.6150003694902493</v>
          </cell>
          <cell r="F35">
            <v>2.0147487137435336</v>
          </cell>
          <cell r="G35">
            <v>45258.833333333336</v>
          </cell>
          <cell r="H35">
            <v>1.9262869135551659</v>
          </cell>
          <cell r="I35">
            <v>45259.333333333336</v>
          </cell>
        </row>
        <row r="37">
          <cell r="A37" t="str">
            <v>December</v>
          </cell>
          <cell r="C37">
            <v>138178</v>
          </cell>
          <cell r="D37">
            <v>932.87572685224723</v>
          </cell>
          <cell r="E37">
            <v>5.795810939512803</v>
          </cell>
          <cell r="F37">
            <v>1.9650901309967659</v>
          </cell>
          <cell r="G37">
            <v>45278.791666666664</v>
          </cell>
          <cell r="H37">
            <v>1.7724227173495224</v>
          </cell>
          <cell r="I37">
            <v>45279.375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3">
          <cell r="D13">
            <v>0.28999999999999998</v>
          </cell>
          <cell r="F13">
            <v>0.17</v>
          </cell>
          <cell r="H13">
            <v>0.25</v>
          </cell>
        </row>
        <row r="14">
          <cell r="D14">
            <v>0.71</v>
          </cell>
          <cell r="F14">
            <v>0.83</v>
          </cell>
          <cell r="H14">
            <v>0.75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36">
          <cell r="D36">
            <v>0.84</v>
          </cell>
        </row>
      </sheetData>
      <sheetData sheetId="82" refreshError="1"/>
      <sheetData sheetId="83">
        <row r="11">
          <cell r="I11">
            <v>0.15</v>
          </cell>
        </row>
        <row r="15">
          <cell r="U15">
            <v>0</v>
          </cell>
        </row>
        <row r="16">
          <cell r="T16">
            <v>2694757</v>
          </cell>
          <cell r="V16">
            <v>658557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allocators"/>
      <sheetName val="unbundlerept"/>
      <sheetName val="TotElecRept"/>
      <sheetName val="RUN CLASS DATA"/>
    </sheetNames>
    <sheetDataSet>
      <sheetData sheetId="0">
        <row r="48">
          <cell r="B48" t="str">
            <v>ELECTRIC CASE NO:  2006-00172</v>
          </cell>
        </row>
      </sheetData>
      <sheetData sheetId="1"/>
      <sheetData sheetId="2">
        <row r="1">
          <cell r="A1" t="str">
            <v>DUKE ENERGY KENTUCKY</v>
          </cell>
        </row>
      </sheetData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ort"/>
      <sheetName val="COS_Upload"/>
      <sheetName val="Unbundled"/>
      <sheetName val="Banding"/>
      <sheetName val="Allocation"/>
      <sheetName val="Calc"/>
      <sheetName val="Rate Schedules"/>
      <sheetName val="Final Unbundling"/>
      <sheetName val="TOD Rates"/>
      <sheetName val="Schedule 3 Breakout"/>
      <sheetName val="Rate Schedules (Kroger)"/>
      <sheetName val="Exhibit JB-1"/>
      <sheetName val="Exhibit JB-2"/>
      <sheetName val="Table JB-1"/>
      <sheetName val="Table JB-2"/>
      <sheetName val="Table JB-3"/>
      <sheetName val="Table JB-4"/>
    </sheetNames>
    <sheetDataSet>
      <sheetData sheetId="0"/>
      <sheetData sheetId="1" refreshError="1"/>
      <sheetData sheetId="2" refreshError="1"/>
      <sheetData sheetId="3"/>
      <sheetData sheetId="4">
        <row r="67">
          <cell r="B67" t="str">
            <v>Customer</v>
          </cell>
          <cell r="D67">
            <v>62937364.5</v>
          </cell>
          <cell r="E67">
            <v>57738.780000000006</v>
          </cell>
          <cell r="F67">
            <v>15455232.692399994</v>
          </cell>
          <cell r="G67">
            <v>254426.39040000003</v>
          </cell>
          <cell r="H67">
            <v>4327011.9329723772</v>
          </cell>
          <cell r="I67">
            <v>776493.08438797377</v>
          </cell>
          <cell r="J67">
            <v>1461680.478604964</v>
          </cell>
          <cell r="K67">
            <v>31897.565575301323</v>
          </cell>
          <cell r="L67">
            <v>18597.282599999999</v>
          </cell>
          <cell r="M67">
            <v>37696.290450000015</v>
          </cell>
          <cell r="N67">
            <v>757278.37933685083</v>
          </cell>
          <cell r="O67">
            <v>52326.629015184109</v>
          </cell>
          <cell r="P67">
            <v>649941.57090469566</v>
          </cell>
          <cell r="Q67">
            <v>11091.337068222076</v>
          </cell>
          <cell r="R67">
            <v>181292.11181204207</v>
          </cell>
          <cell r="S67">
            <v>299187.72007381549</v>
          </cell>
          <cell r="T67">
            <v>2613249.0200149617</v>
          </cell>
          <cell r="U67">
            <v>4261407.3626719741</v>
          </cell>
        </row>
        <row r="68">
          <cell r="B68" t="str">
            <v>Demand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103450425.72346748</v>
          </cell>
          <cell r="I68">
            <v>13196289.899999999</v>
          </cell>
          <cell r="J68">
            <v>48990318.080081008</v>
          </cell>
          <cell r="K68">
            <v>851349.89356711635</v>
          </cell>
          <cell r="L68">
            <v>0</v>
          </cell>
          <cell r="M68">
            <v>0</v>
          </cell>
          <cell r="N68">
            <v>0</v>
          </cell>
          <cell r="O68">
            <v>1498762.2200158723</v>
          </cell>
          <cell r="P68">
            <v>26609481.913809799</v>
          </cell>
          <cell r="Q68">
            <v>11650.459678396146</v>
          </cell>
          <cell r="R68">
            <v>5868945.0234909579</v>
          </cell>
          <cell r="S68">
            <v>11451179.010464162</v>
          </cell>
          <cell r="T68">
            <v>0</v>
          </cell>
          <cell r="U68">
            <v>0</v>
          </cell>
        </row>
        <row r="69">
          <cell r="B69" t="str">
            <v>Energy</v>
          </cell>
          <cell r="D69">
            <v>322250379.74443275</v>
          </cell>
          <cell r="E69">
            <v>352088.49013715738</v>
          </cell>
          <cell r="F69">
            <v>93260033.846192926</v>
          </cell>
          <cell r="G69">
            <v>1578323.5536142099</v>
          </cell>
          <cell r="H69">
            <v>20762002.488093499</v>
          </cell>
          <cell r="I69">
            <v>9146102.3089516833</v>
          </cell>
          <cell r="J69">
            <v>14714939.721176904</v>
          </cell>
          <cell r="K69">
            <v>1184821.8009709762</v>
          </cell>
          <cell r="L69">
            <v>344588.16145302821</v>
          </cell>
          <cell r="M69">
            <v>1650981.5348837848</v>
          </cell>
          <cell r="N69">
            <v>8294863.8161303308</v>
          </cell>
          <cell r="O69">
            <v>2458464.0805741828</v>
          </cell>
          <cell r="P69">
            <v>6540490.9513250617</v>
          </cell>
          <cell r="Q69">
            <v>156738.03095198178</v>
          </cell>
          <cell r="R69">
            <v>3389512.8769431878</v>
          </cell>
          <cell r="S69">
            <v>6913501.1343130339</v>
          </cell>
          <cell r="T69">
            <v>4.0745362639427185E-10</v>
          </cell>
          <cell r="U69">
            <v>0</v>
          </cell>
        </row>
      </sheetData>
      <sheetData sheetId="5">
        <row r="2">
          <cell r="B2" t="str">
            <v>Schedule</v>
          </cell>
          <cell r="C2" t="str">
            <v>DEC Component</v>
          </cell>
          <cell r="D2" t="str">
            <v>Rate</v>
          </cell>
          <cell r="E2" t="str">
            <v>Rate Component</v>
          </cell>
          <cell r="F2" t="str">
            <v>% of Revenue Per Component</v>
          </cell>
          <cell r="G2" t="str">
            <v>Test Year Billing Units</v>
          </cell>
          <cell r="H2" t="str">
            <v>Current Rate</v>
          </cell>
          <cell r="I2" t="str">
            <v>Revenue at Current Rates</v>
          </cell>
          <cell r="J2" t="str">
            <v>Proposed Billing Units</v>
          </cell>
          <cell r="K2" t="str">
            <v>Revenue Allocated</v>
          </cell>
          <cell r="L2" t="str">
            <v>Proposed Revenue</v>
          </cell>
        </row>
        <row r="3">
          <cell r="B3" t="str">
            <v>1A</v>
          </cell>
          <cell r="C3" t="str">
            <v>Customer</v>
          </cell>
          <cell r="D3" t="str">
            <v>Customer Charge</v>
          </cell>
          <cell r="E3" t="str">
            <v>Customer Charge</v>
          </cell>
          <cell r="F3">
            <v>1</v>
          </cell>
          <cell r="G3">
            <v>5901300</v>
          </cell>
          <cell r="H3">
            <v>7.11</v>
          </cell>
          <cell r="I3">
            <v>41958243</v>
          </cell>
          <cell r="J3">
            <v>5901300</v>
          </cell>
          <cell r="K3">
            <v>62937364.5</v>
          </cell>
          <cell r="L3">
            <v>62937364.5</v>
          </cell>
        </row>
        <row r="4">
          <cell r="B4" t="str">
            <v>1A</v>
          </cell>
          <cell r="C4" t="str">
            <v>Energy</v>
          </cell>
          <cell r="E4" t="str">
            <v>Block 1 Summer</v>
          </cell>
          <cell r="F4">
            <v>0.12758326443057577</v>
          </cell>
          <cell r="G4">
            <v>527483539.99999994</v>
          </cell>
          <cell r="H4">
            <v>7.7943200000000004E-2</v>
          </cell>
          <cell r="I4">
            <v>41113755.054927997</v>
          </cell>
          <cell r="J4">
            <v>527483539.99999994</v>
          </cell>
          <cell r="K4">
            <v>322250379.74443275</v>
          </cell>
          <cell r="L4">
            <v>41113755.411787421</v>
          </cell>
        </row>
        <row r="5">
          <cell r="B5" t="str">
            <v>1A</v>
          </cell>
          <cell r="C5" t="str">
            <v>Energy</v>
          </cell>
          <cell r="E5" t="str">
            <v>Block 2 Summer</v>
          </cell>
          <cell r="F5">
            <v>0.12227931794473341</v>
          </cell>
          <cell r="G5">
            <v>295403580</v>
          </cell>
          <cell r="H5">
            <v>0.1240339</v>
          </cell>
          <cell r="I5">
            <v>36640058.101361997</v>
          </cell>
          <cell r="J5">
            <v>292080642.02804607</v>
          </cell>
          <cell r="K5">
            <v>322250379.74443275</v>
          </cell>
          <cell r="L5">
            <v>39404556.642580576</v>
          </cell>
        </row>
        <row r="6">
          <cell r="B6" t="str">
            <v>1A</v>
          </cell>
          <cell r="C6" t="str">
            <v>Energy</v>
          </cell>
          <cell r="E6" t="str">
            <v>Block 3 Summer</v>
          </cell>
          <cell r="F6">
            <v>9.402307809362008E-2</v>
          </cell>
          <cell r="G6">
            <v>178035220</v>
          </cell>
          <cell r="H6">
            <v>0.14953259999999999</v>
          </cell>
          <cell r="I6">
            <v>26622069.338171996</v>
          </cell>
          <cell r="J6">
            <v>168066406.08413821</v>
          </cell>
          <cell r="K6">
            <v>322250379.74443275</v>
          </cell>
          <cell r="L6">
            <v>30298972.620409526</v>
          </cell>
        </row>
        <row r="7">
          <cell r="B7" t="str">
            <v>1A</v>
          </cell>
          <cell r="C7" t="str">
            <v>Energy</v>
          </cell>
          <cell r="E7" t="str">
            <v>Block 1 Non-Summer</v>
          </cell>
          <cell r="F7">
            <v>0.34796008629830877</v>
          </cell>
          <cell r="G7">
            <v>1438615170.0000002</v>
          </cell>
          <cell r="H7">
            <v>7.7943200000000004E-2</v>
          </cell>
          <cell r="I7">
            <v>112130269.91834402</v>
          </cell>
          <cell r="J7">
            <v>1438615170.0000002</v>
          </cell>
          <cell r="K7">
            <v>322250379.74443275</v>
          </cell>
          <cell r="L7">
            <v>112130269.94553559</v>
          </cell>
        </row>
        <row r="8">
          <cell r="B8" t="str">
            <v>1A</v>
          </cell>
          <cell r="C8" t="str">
            <v>Energy</v>
          </cell>
          <cell r="E8" t="str">
            <v>Block 2 Non-Summer</v>
          </cell>
          <cell r="F8">
            <v>0.19868176152968259</v>
          </cell>
          <cell r="G8">
            <v>559562420</v>
          </cell>
          <cell r="H8">
            <v>0.10702399999999999</v>
          </cell>
          <cell r="I8">
            <v>59886608.438079998</v>
          </cell>
          <cell r="J8">
            <v>550005100.69134033</v>
          </cell>
          <cell r="K8">
            <v>322250379.74443275</v>
          </cell>
          <cell r="L8">
            <v>64025273.101233043</v>
          </cell>
        </row>
        <row r="9">
          <cell r="B9" t="str">
            <v>1A</v>
          </cell>
          <cell r="C9" t="str">
            <v>Energy</v>
          </cell>
          <cell r="E9" t="str">
            <v>Block 3 Non-Summer</v>
          </cell>
          <cell r="F9">
            <v>0.10436120170307932</v>
          </cell>
          <cell r="G9">
            <v>249256970</v>
          </cell>
          <cell r="H9">
            <v>0.1217077</v>
          </cell>
          <cell r="I9">
            <v>30336492.527669001</v>
          </cell>
          <cell r="J9">
            <v>220585012.07402113</v>
          </cell>
          <cell r="K9">
            <v>322250379.74443275</v>
          </cell>
          <cell r="L9">
            <v>33630436.879402652</v>
          </cell>
        </row>
        <row r="10">
          <cell r="B10" t="str">
            <v>1A</v>
          </cell>
          <cell r="C10" t="str">
            <v>Energy</v>
          </cell>
          <cell r="E10" t="str">
            <v>Whole House EV Rate</v>
          </cell>
          <cell r="F10">
            <v>5.1112900000000001E-3</v>
          </cell>
          <cell r="G10">
            <v>0</v>
          </cell>
          <cell r="H10">
            <v>0</v>
          </cell>
          <cell r="I10">
            <v>0</v>
          </cell>
          <cell r="J10">
            <v>51521029.122454196</v>
          </cell>
          <cell r="K10">
            <v>322250379.74443275</v>
          </cell>
          <cell r="L10">
            <v>1647115.1434839217</v>
          </cell>
        </row>
        <row r="11">
          <cell r="B11" t="str">
            <v>1A</v>
          </cell>
          <cell r="C11" t="str">
            <v>Other</v>
          </cell>
          <cell r="E11" t="str">
            <v>Community Solar Recovery</v>
          </cell>
          <cell r="I11">
            <v>2868370.0370507059</v>
          </cell>
          <cell r="L11">
            <v>0</v>
          </cell>
        </row>
        <row r="12">
          <cell r="B12" t="str">
            <v>1B</v>
          </cell>
          <cell r="C12" t="str">
            <v>Customer</v>
          </cell>
          <cell r="D12" t="str">
            <v>Customer Charge</v>
          </cell>
          <cell r="E12" t="str">
            <v>Customer Charge</v>
          </cell>
          <cell r="F12">
            <v>0.79743493021501322</v>
          </cell>
          <cell r="G12">
            <v>1452</v>
          </cell>
          <cell r="H12">
            <v>21.14</v>
          </cell>
          <cell r="I12">
            <v>30695.280000000002</v>
          </cell>
          <cell r="J12">
            <v>1452</v>
          </cell>
          <cell r="K12">
            <v>57738.780000000006</v>
          </cell>
          <cell r="L12">
            <v>46042.920000000006</v>
          </cell>
        </row>
        <row r="13">
          <cell r="B13" t="str">
            <v>1B</v>
          </cell>
          <cell r="C13" t="str">
            <v>Customer</v>
          </cell>
          <cell r="D13" t="str">
            <v>Meter Charge</v>
          </cell>
          <cell r="E13" t="str">
            <v>Meter Charge</v>
          </cell>
          <cell r="F13">
            <v>0.20256506978498676</v>
          </cell>
          <cell r="G13">
            <v>1452</v>
          </cell>
          <cell r="H13">
            <v>5.37</v>
          </cell>
          <cell r="I13">
            <v>7797.24</v>
          </cell>
          <cell r="J13">
            <v>1452</v>
          </cell>
          <cell r="K13">
            <v>57738.780000000006</v>
          </cell>
          <cell r="L13">
            <v>11695.859999999999</v>
          </cell>
        </row>
        <row r="14">
          <cell r="B14" t="str">
            <v>1B</v>
          </cell>
          <cell r="C14" t="str">
            <v>Energy</v>
          </cell>
          <cell r="E14" t="str">
            <v>Summer On-Peak</v>
          </cell>
          <cell r="F14">
            <v>0.15544904837473505</v>
          </cell>
          <cell r="G14">
            <v>274990</v>
          </cell>
          <cell r="H14">
            <v>0.18953210000000001</v>
          </cell>
          <cell r="I14">
            <v>52119.432179000003</v>
          </cell>
          <cell r="J14">
            <v>274990</v>
          </cell>
          <cell r="K14">
            <v>352088.49013715738</v>
          </cell>
          <cell r="L14">
            <v>54731.820735518406</v>
          </cell>
        </row>
        <row r="15">
          <cell r="B15" t="str">
            <v>1B</v>
          </cell>
          <cell r="C15" t="str">
            <v>Energy</v>
          </cell>
          <cell r="E15" t="str">
            <v>Summer Off-Peak</v>
          </cell>
          <cell r="F15">
            <v>7.973536973416101E-2</v>
          </cell>
          <cell r="G15">
            <v>439070</v>
          </cell>
          <cell r="H15">
            <v>6.08876E-2</v>
          </cell>
          <cell r="I15">
            <v>26733.918532</v>
          </cell>
          <cell r="J15">
            <v>439070</v>
          </cell>
          <cell r="K15">
            <v>352088.49013715738</v>
          </cell>
          <cell r="L15">
            <v>28073.905940228746</v>
          </cell>
        </row>
        <row r="16">
          <cell r="B16" t="str">
            <v>1B</v>
          </cell>
          <cell r="C16" t="str">
            <v>Energy</v>
          </cell>
          <cell r="E16" t="str">
            <v>Non-Summer On-Peak</v>
          </cell>
          <cell r="F16">
            <v>0.42674066510812286</v>
          </cell>
          <cell r="G16">
            <v>969640</v>
          </cell>
          <cell r="H16">
            <v>0.14755879999999999</v>
          </cell>
          <cell r="I16">
            <v>143078.91483199998</v>
          </cell>
          <cell r="J16">
            <v>969640</v>
          </cell>
          <cell r="K16">
            <v>352088.49013715738</v>
          </cell>
          <cell r="L16">
            <v>150250.4764580453</v>
          </cell>
        </row>
        <row r="17">
          <cell r="B17" t="str">
            <v>1B</v>
          </cell>
          <cell r="C17" t="str">
            <v>Energy</v>
          </cell>
          <cell r="E17" t="str">
            <v>Non-Summer Off-Peak</v>
          </cell>
          <cell r="F17">
            <v>0.33807491678298113</v>
          </cell>
          <cell r="G17">
            <v>1861640.0000000002</v>
          </cell>
          <cell r="H17">
            <v>6.08876E-2</v>
          </cell>
          <cell r="I17">
            <v>113350.79166400002</v>
          </cell>
          <cell r="J17">
            <v>1861640.0000000002</v>
          </cell>
          <cell r="K17">
            <v>352088.49013715738</v>
          </cell>
          <cell r="L17">
            <v>119032.28700336495</v>
          </cell>
        </row>
        <row r="18">
          <cell r="B18" t="str">
            <v>2A</v>
          </cell>
          <cell r="C18" t="str">
            <v>Customer</v>
          </cell>
          <cell r="D18" t="str">
            <v>Customer Charge</v>
          </cell>
          <cell r="E18" t="str">
            <v>Customer Charge</v>
          </cell>
          <cell r="F18">
            <v>1</v>
          </cell>
          <cell r="G18">
            <v>653360.07999999984</v>
          </cell>
          <cell r="H18">
            <v>15.77</v>
          </cell>
          <cell r="I18">
            <v>10303488.461599996</v>
          </cell>
          <cell r="J18">
            <v>653360.07999999984</v>
          </cell>
          <cell r="K18">
            <v>15455232.692399994</v>
          </cell>
          <cell r="L18">
            <v>15455232.692399994</v>
          </cell>
        </row>
        <row r="19">
          <cell r="B19" t="str">
            <v>2A</v>
          </cell>
          <cell r="C19" t="str">
            <v>Energy</v>
          </cell>
          <cell r="E19" t="str">
            <v>Summer</v>
          </cell>
          <cell r="F19">
            <v>0.34500998543343286</v>
          </cell>
          <cell r="G19">
            <v>269915269.99999994</v>
          </cell>
          <cell r="H19">
            <v>0.1140665</v>
          </cell>
          <cell r="I19">
            <v>30788290.145454995</v>
          </cell>
          <cell r="J19">
            <v>269915269.99999994</v>
          </cell>
          <cell r="K19">
            <v>93260033.846192926</v>
          </cell>
          <cell r="L19">
            <v>32175642.918796476</v>
          </cell>
        </row>
        <row r="20">
          <cell r="B20" t="str">
            <v>2A</v>
          </cell>
          <cell r="C20" t="str">
            <v>Energy</v>
          </cell>
          <cell r="E20" t="str">
            <v>Non-Summer</v>
          </cell>
          <cell r="F20">
            <v>0.65499001456656714</v>
          </cell>
          <cell r="G20">
            <v>643365720.00000012</v>
          </cell>
          <cell r="H20">
            <v>9.0851199999999993E-2</v>
          </cell>
          <cell r="I20">
            <v>58450547.70086401</v>
          </cell>
          <cell r="J20">
            <v>643365720.00000012</v>
          </cell>
          <cell r="K20">
            <v>93260033.846192926</v>
          </cell>
          <cell r="L20">
            <v>61084390.927396446</v>
          </cell>
        </row>
        <row r="21">
          <cell r="B21" t="str">
            <v>2A</v>
          </cell>
          <cell r="C21" t="str">
            <v>Other</v>
          </cell>
          <cell r="E21" t="str">
            <v>Community Solar Recovery</v>
          </cell>
          <cell r="I21">
            <v>1310466.1200196715</v>
          </cell>
          <cell r="L21">
            <v>0</v>
          </cell>
        </row>
        <row r="22">
          <cell r="B22" t="str">
            <v>2B</v>
          </cell>
          <cell r="C22" t="str">
            <v>Customer</v>
          </cell>
          <cell r="D22" t="str">
            <v>Customer Charge</v>
          </cell>
          <cell r="E22" t="str">
            <v>Customer Charge</v>
          </cell>
          <cell r="F22">
            <v>0.47886728655959432</v>
          </cell>
          <cell r="G22">
            <v>10753.440000000002</v>
          </cell>
          <cell r="H22">
            <v>7.55</v>
          </cell>
          <cell r="I22">
            <v>81188.472000000009</v>
          </cell>
          <cell r="J22">
            <v>10753.440000000002</v>
          </cell>
          <cell r="K22">
            <v>254426.39040000003</v>
          </cell>
          <cell r="L22">
            <v>121836.47520000003</v>
          </cell>
        </row>
        <row r="23">
          <cell r="B23" t="str">
            <v>2B</v>
          </cell>
          <cell r="C23" t="str">
            <v>Customer</v>
          </cell>
          <cell r="D23" t="str">
            <v>Meter Charge</v>
          </cell>
          <cell r="E23" t="str">
            <v>Meter Charge</v>
          </cell>
          <cell r="F23">
            <v>0.52113271344040579</v>
          </cell>
          <cell r="G23">
            <v>10753.440000000002</v>
          </cell>
          <cell r="H23">
            <v>8.23</v>
          </cell>
          <cell r="I23">
            <v>88500.811200000026</v>
          </cell>
          <cell r="J23">
            <v>10753.440000000002</v>
          </cell>
          <cell r="K23">
            <v>254426.39040000003</v>
          </cell>
          <cell r="L23">
            <v>132589.91520000002</v>
          </cell>
        </row>
        <row r="24">
          <cell r="B24" t="str">
            <v>2B</v>
          </cell>
          <cell r="C24" t="str">
            <v>Energy</v>
          </cell>
          <cell r="E24" t="str">
            <v>Summer On-Peak</v>
          </cell>
          <cell r="F24">
            <v>0.20506891793886867</v>
          </cell>
          <cell r="G24">
            <v>1528080</v>
          </cell>
          <cell r="H24">
            <v>0.20517840000000001</v>
          </cell>
          <cell r="I24">
            <v>313529.00947200001</v>
          </cell>
          <cell r="J24">
            <v>1528080</v>
          </cell>
          <cell r="K24">
            <v>1578323.5536142099</v>
          </cell>
          <cell r="L24">
            <v>323665.10329709598</v>
          </cell>
        </row>
        <row r="25">
          <cell r="B25" t="str">
            <v>2B</v>
          </cell>
          <cell r="C25" t="str">
            <v>Energy</v>
          </cell>
          <cell r="E25" t="str">
            <v>Summer Off-Peak</v>
          </cell>
          <cell r="F25">
            <v>9.7496375641714803E-2</v>
          </cell>
          <cell r="G25">
            <v>2523080</v>
          </cell>
          <cell r="H25">
            <v>5.9079300000000001E-2</v>
          </cell>
          <cell r="I25">
            <v>149061.80024400001</v>
          </cell>
          <cell r="J25">
            <v>2523080</v>
          </cell>
          <cell r="K25">
            <v>1578323.5536142099</v>
          </cell>
          <cell r="L25">
            <v>153880.82606733718</v>
          </cell>
        </row>
        <row r="26">
          <cell r="B26" t="str">
            <v>2B</v>
          </cell>
          <cell r="C26" t="str">
            <v>Energy</v>
          </cell>
          <cell r="E26" t="str">
            <v>Non-Summer On-Peak</v>
          </cell>
          <cell r="F26">
            <v>0.42719862450455759</v>
          </cell>
          <cell r="G26">
            <v>4104970.0000000005</v>
          </cell>
          <cell r="H26">
            <v>0.1591101</v>
          </cell>
          <cell r="I26">
            <v>653142.18719700014</v>
          </cell>
          <cell r="J26">
            <v>4104970.0000000005</v>
          </cell>
          <cell r="K26">
            <v>1578323.5536142099</v>
          </cell>
          <cell r="L26">
            <v>674257.65112713585</v>
          </cell>
        </row>
        <row r="27">
          <cell r="B27" t="str">
            <v>2B</v>
          </cell>
          <cell r="C27" t="str">
            <v>Energy</v>
          </cell>
          <cell r="E27" t="str">
            <v>Non-Summer Off-Peak</v>
          </cell>
          <cell r="F27">
            <v>0.27023608191485909</v>
          </cell>
          <cell r="G27">
            <v>6993360.0000000009</v>
          </cell>
          <cell r="H27">
            <v>5.9079300000000001E-2</v>
          </cell>
          <cell r="I27">
            <v>413162.81344800006</v>
          </cell>
          <cell r="J27">
            <v>6993360.0000000009</v>
          </cell>
          <cell r="K27">
            <v>1578323.5536142099</v>
          </cell>
          <cell r="L27">
            <v>426519.97312264109</v>
          </cell>
        </row>
        <row r="28">
          <cell r="B28" t="str">
            <v>3B</v>
          </cell>
          <cell r="C28" t="str">
            <v>Customer</v>
          </cell>
          <cell r="D28" t="str">
            <v>Customer Charge</v>
          </cell>
          <cell r="E28" t="str">
            <v>Customer Charge</v>
          </cell>
          <cell r="F28">
            <v>1</v>
          </cell>
          <cell r="G28">
            <v>37463.373152862376</v>
          </cell>
          <cell r="H28">
            <v>81.63</v>
          </cell>
          <cell r="I28">
            <v>3058135.1504681557</v>
          </cell>
          <cell r="J28">
            <v>37463.373152862376</v>
          </cell>
        </row>
        <row r="29">
          <cell r="B29" t="str">
            <v>3B</v>
          </cell>
          <cell r="C29" t="str">
            <v>Demand</v>
          </cell>
          <cell r="D29" t="str">
            <v>Primary Summer</v>
          </cell>
          <cell r="E29" t="str">
            <v>Primary Summer</v>
          </cell>
          <cell r="F29">
            <v>2.3078946806855474E-2</v>
          </cell>
          <cell r="G29">
            <v>69632.348491722369</v>
          </cell>
          <cell r="H29">
            <v>25.14</v>
          </cell>
          <cell r="I29">
            <v>1750557.2410819004</v>
          </cell>
          <cell r="J29">
            <v>69632.348491722369</v>
          </cell>
        </row>
        <row r="30">
          <cell r="B30" t="str">
            <v>3B</v>
          </cell>
          <cell r="C30" t="str">
            <v>Demand</v>
          </cell>
          <cell r="D30" t="str">
            <v>Primary Non-Summer</v>
          </cell>
          <cell r="E30" t="str">
            <v>Primary Non-Summer</v>
          </cell>
          <cell r="F30">
            <v>4.8182007951008604E-2</v>
          </cell>
          <cell r="G30">
            <v>195644.81970310857</v>
          </cell>
          <cell r="H30">
            <v>18.68</v>
          </cell>
          <cell r="I30">
            <v>3654645.2320540682</v>
          </cell>
          <cell r="J30">
            <v>195644.81970310857</v>
          </cell>
        </row>
        <row r="31">
          <cell r="B31" t="str">
            <v>3B</v>
          </cell>
          <cell r="C31" t="str">
            <v>Demand</v>
          </cell>
          <cell r="D31" t="str">
            <v>Secondary Summer</v>
          </cell>
          <cell r="E31" t="str">
            <v>Secondary Summer</v>
          </cell>
          <cell r="F31">
            <v>0.32012420069273773</v>
          </cell>
          <cell r="G31">
            <v>953344.5588165517</v>
          </cell>
          <cell r="H31">
            <v>25.47</v>
          </cell>
          <cell r="I31">
            <v>24281685.913057569</v>
          </cell>
          <cell r="J31">
            <v>953344.5588165517</v>
          </cell>
        </row>
        <row r="32">
          <cell r="B32" t="str">
            <v>3B</v>
          </cell>
          <cell r="C32" t="str">
            <v>Demand</v>
          </cell>
          <cell r="D32" t="str">
            <v>Secondary Non-Summer</v>
          </cell>
          <cell r="E32" t="str">
            <v>Secondary Non-Summer</v>
          </cell>
          <cell r="F32">
            <v>0.60861484454939829</v>
          </cell>
          <cell r="G32">
            <v>2427126.2000533943</v>
          </cell>
          <cell r="H32">
            <v>19.02</v>
          </cell>
          <cell r="I32">
            <v>46163940.32501556</v>
          </cell>
          <cell r="J32">
            <v>2427126.2000533943</v>
          </cell>
        </row>
        <row r="33">
          <cell r="B33" t="str">
            <v>3B</v>
          </cell>
          <cell r="C33" t="str">
            <v>Energy</v>
          </cell>
          <cell r="E33" t="str">
            <v>Summer On-Peak</v>
          </cell>
          <cell r="F33">
            <v>0.1892077793974867</v>
          </cell>
          <cell r="G33">
            <v>180648734.47513491</v>
          </cell>
          <cell r="H33">
            <v>3.2865699999999998E-2</v>
          </cell>
          <cell r="I33">
            <v>5937147.1126394412</v>
          </cell>
          <cell r="J33">
            <v>180648734.47513491</v>
          </cell>
        </row>
        <row r="34">
          <cell r="B34" t="str">
            <v>3B</v>
          </cell>
          <cell r="C34" t="str">
            <v>Energy</v>
          </cell>
          <cell r="E34" t="str">
            <v>Summer Off-Peak</v>
          </cell>
          <cell r="F34">
            <v>0.12028046283662852</v>
          </cell>
          <cell r="G34">
            <v>246671953.72325724</v>
          </cell>
          <cell r="H34">
            <v>1.53008E-2</v>
          </cell>
          <cell r="I34">
            <v>3774278.2295288146</v>
          </cell>
          <cell r="J34">
            <v>246671953.72325724</v>
          </cell>
        </row>
        <row r="35">
          <cell r="B35" t="str">
            <v>3B</v>
          </cell>
          <cell r="C35" t="str">
            <v>Energy</v>
          </cell>
          <cell r="E35" t="str">
            <v>Non-Summer On-Peak</v>
          </cell>
          <cell r="F35">
            <v>0.38055420283865093</v>
          </cell>
          <cell r="G35">
            <v>438594850.37762976</v>
          </cell>
          <cell r="H35">
            <v>2.7226500000000001E-2</v>
          </cell>
          <cell r="I35">
            <v>11941402.693806536</v>
          </cell>
          <cell r="J35">
            <v>438594850.37762976</v>
          </cell>
        </row>
        <row r="36">
          <cell r="B36" t="str">
            <v>3B</v>
          </cell>
          <cell r="C36" t="str">
            <v>Energy</v>
          </cell>
          <cell r="E36" t="str">
            <v>Non-Summer Off-Peak</v>
          </cell>
          <cell r="F36">
            <v>0.30995755492723387</v>
          </cell>
          <cell r="G36">
            <v>635662965.05720806</v>
          </cell>
          <cell r="H36">
            <v>1.53008E-2</v>
          </cell>
          <cell r="I36">
            <v>9726151.8957473282</v>
          </cell>
          <cell r="J36">
            <v>635662965.05720806</v>
          </cell>
        </row>
        <row r="37">
          <cell r="B37" t="str">
            <v>3B</v>
          </cell>
          <cell r="C37" t="str">
            <v>Reactive</v>
          </cell>
          <cell r="E37" t="str">
            <v>Billable RkVA Summer</v>
          </cell>
          <cell r="F37">
            <v>1</v>
          </cell>
          <cell r="G37">
            <v>49708.030533097706</v>
          </cell>
          <cell r="H37">
            <v>0.27</v>
          </cell>
          <cell r="I37">
            <v>13421.168243936381</v>
          </cell>
          <cell r="J37">
            <v>49708.030533097706</v>
          </cell>
        </row>
        <row r="38">
          <cell r="B38" t="str">
            <v>3B</v>
          </cell>
          <cell r="C38" t="str">
            <v>Reactive</v>
          </cell>
          <cell r="E38" t="str">
            <v>Billable RkVA Non-Summer</v>
          </cell>
          <cell r="F38">
            <v>1</v>
          </cell>
          <cell r="G38">
            <v>76208.907062751619</v>
          </cell>
          <cell r="H38">
            <v>0.27</v>
          </cell>
          <cell r="I38">
            <v>20576.404906942938</v>
          </cell>
          <cell r="J38">
            <v>76208.907062751619</v>
          </cell>
        </row>
        <row r="39">
          <cell r="B39" t="str">
            <v>3C</v>
          </cell>
          <cell r="C39" t="str">
            <v>Customer</v>
          </cell>
          <cell r="D39" t="str">
            <v>Customer Charge</v>
          </cell>
          <cell r="E39" t="str">
            <v>Customer Charge</v>
          </cell>
          <cell r="F39">
            <v>1</v>
          </cell>
          <cell r="G39">
            <v>9007.3089928495992</v>
          </cell>
          <cell r="H39">
            <v>81.91</v>
          </cell>
          <cell r="I39">
            <v>737788.67960431066</v>
          </cell>
          <cell r="J39">
            <v>9007.3089928495992</v>
          </cell>
        </row>
        <row r="40">
          <cell r="B40" t="str">
            <v>3C</v>
          </cell>
          <cell r="C40" t="str">
            <v>Demand</v>
          </cell>
          <cell r="D40" t="str">
            <v>Primary Summer</v>
          </cell>
          <cell r="E40" t="str">
            <v>Primary Summer</v>
          </cell>
          <cell r="F40">
            <v>2.6320047716690463E-2</v>
          </cell>
          <cell r="G40">
            <v>20371.724675932473</v>
          </cell>
          <cell r="H40">
            <v>7.77</v>
          </cell>
          <cell r="I40">
            <v>158288.30073199532</v>
          </cell>
          <cell r="J40">
            <v>20371.724675932473</v>
          </cell>
        </row>
        <row r="41">
          <cell r="B41" t="str">
            <v>3C</v>
          </cell>
          <cell r="C41" t="str">
            <v>Demand</v>
          </cell>
          <cell r="D41" t="str">
            <v>Primary Non-Summer</v>
          </cell>
          <cell r="E41" t="str">
            <v>Primary Non-Summer</v>
          </cell>
          <cell r="F41">
            <v>5.7816343953860462E-2</v>
          </cell>
          <cell r="G41">
            <v>60787.844121245915</v>
          </cell>
          <cell r="H41">
            <v>5.72</v>
          </cell>
          <cell r="I41">
            <v>347706.46837352664</v>
          </cell>
          <cell r="J41">
            <v>60787.844121245915</v>
          </cell>
        </row>
        <row r="42">
          <cell r="B42" t="str">
            <v>3C</v>
          </cell>
          <cell r="C42" t="str">
            <v>Demand</v>
          </cell>
          <cell r="D42" t="str">
            <v>Secondary Summer</v>
          </cell>
          <cell r="E42" t="str">
            <v>Secondary Summer</v>
          </cell>
          <cell r="F42">
            <v>0.3361830329898241</v>
          </cell>
          <cell r="G42">
            <v>249604.79076766397</v>
          </cell>
          <cell r="H42">
            <v>8.1</v>
          </cell>
          <cell r="I42">
            <v>2021798.8052180782</v>
          </cell>
          <cell r="J42">
            <v>249604.79076766397</v>
          </cell>
        </row>
        <row r="43">
          <cell r="B43" t="str">
            <v>3C</v>
          </cell>
          <cell r="C43" t="str">
            <v>Demand</v>
          </cell>
          <cell r="D43" t="str">
            <v>Secondary Non-Summer</v>
          </cell>
          <cell r="E43" t="str">
            <v>Secondary Non-Summer</v>
          </cell>
          <cell r="F43">
            <v>0.57968057533962492</v>
          </cell>
          <cell r="G43">
            <v>576229.53910213138</v>
          </cell>
          <cell r="H43">
            <v>6.05</v>
          </cell>
          <cell r="I43">
            <v>3486188.7115678946</v>
          </cell>
          <cell r="J43">
            <v>576229.53910213138</v>
          </cell>
        </row>
        <row r="44">
          <cell r="B44" t="str">
            <v>3C</v>
          </cell>
          <cell r="C44" t="str">
            <v>Energy</v>
          </cell>
          <cell r="E44" t="str">
            <v>Summer On-Peak</v>
          </cell>
          <cell r="F44">
            <v>0.23121763243413199</v>
          </cell>
          <cell r="G44">
            <v>26231208.555197485</v>
          </cell>
          <cell r="H44">
            <v>0.115437</v>
          </cell>
          <cell r="I44">
            <v>3028052.0219863318</v>
          </cell>
          <cell r="J44">
            <v>26231208.555197485</v>
          </cell>
        </row>
        <row r="45">
          <cell r="B45" t="str">
            <v>3C</v>
          </cell>
          <cell r="C45" t="str">
            <v>Energy</v>
          </cell>
          <cell r="E45" t="str">
            <v>Summer Off-Peak</v>
          </cell>
          <cell r="F45">
            <v>0.10109843647792591</v>
          </cell>
          <cell r="G45">
            <v>25449186.105564229</v>
          </cell>
          <cell r="H45">
            <v>5.2025099999999998E-2</v>
          </cell>
          <cell r="I45">
            <v>1323996.4520605896</v>
          </cell>
          <cell r="J45">
            <v>25449186.105564229</v>
          </cell>
        </row>
        <row r="46">
          <cell r="B46" t="str">
            <v>3C</v>
          </cell>
          <cell r="C46" t="str">
            <v>Energy</v>
          </cell>
          <cell r="E46" t="str">
            <v>Non-Summer On-Peak</v>
          </cell>
          <cell r="F46">
            <v>0.42159367368871736</v>
          </cell>
          <cell r="G46">
            <v>63492500.360966124</v>
          </cell>
          <cell r="H46">
            <v>8.6958900000000006E-2</v>
          </cell>
          <cell r="I46">
            <v>5521237.989639217</v>
          </cell>
          <cell r="J46">
            <v>63492500.360966124</v>
          </cell>
        </row>
        <row r="47">
          <cell r="B47" t="str">
            <v>3C</v>
          </cell>
          <cell r="C47" t="str">
            <v>Energy</v>
          </cell>
          <cell r="E47" t="str">
            <v>Non-Summer Off-Peak</v>
          </cell>
          <cell r="F47">
            <v>0.24609025739922472</v>
          </cell>
          <cell r="G47">
            <v>61947513.507654592</v>
          </cell>
          <cell r="H47">
            <v>5.2025099999999998E-2</v>
          </cell>
          <cell r="I47">
            <v>3222825.5849870807</v>
          </cell>
          <cell r="J47">
            <v>61947513.507654592</v>
          </cell>
        </row>
        <row r="48">
          <cell r="B48" t="str">
            <v>3C</v>
          </cell>
          <cell r="C48" t="str">
            <v>Reactive</v>
          </cell>
          <cell r="E48" t="str">
            <v>Billable RkVA Summer</v>
          </cell>
          <cell r="F48">
            <v>1</v>
          </cell>
          <cell r="G48">
            <v>17634.446734247795</v>
          </cell>
          <cell r="H48">
            <v>0.27</v>
          </cell>
          <cell r="I48">
            <v>4761.3006182469053</v>
          </cell>
          <cell r="J48">
            <v>17634.446734247795</v>
          </cell>
        </row>
        <row r="49">
          <cell r="B49" t="str">
            <v>3C</v>
          </cell>
          <cell r="C49" t="str">
            <v>Reactive</v>
          </cell>
          <cell r="E49" t="str">
            <v>Billable RkVA Non-Summer</v>
          </cell>
          <cell r="F49">
            <v>1</v>
          </cell>
          <cell r="G49">
            <v>32114.016318151149</v>
          </cell>
          <cell r="H49">
            <v>0.27</v>
          </cell>
          <cell r="I49">
            <v>8670.7844059008112</v>
          </cell>
          <cell r="J49">
            <v>32114.016318151149</v>
          </cell>
        </row>
        <row r="50">
          <cell r="B50" t="str">
            <v>3D</v>
          </cell>
          <cell r="C50" t="str">
            <v>Customer</v>
          </cell>
          <cell r="D50" t="str">
            <v>Customer Charge</v>
          </cell>
          <cell r="E50" t="str">
            <v>Customer Charge</v>
          </cell>
          <cell r="F50">
            <v>1</v>
          </cell>
          <cell r="G50">
            <v>2463.3268471376218</v>
          </cell>
          <cell r="H50">
            <v>81.63</v>
          </cell>
          <cell r="I50">
            <v>201081.37053184406</v>
          </cell>
          <cell r="J50">
            <v>2463.3268471376218</v>
          </cell>
        </row>
        <row r="51">
          <cell r="B51" t="str">
            <v>3D</v>
          </cell>
          <cell r="C51" t="str">
            <v>Demand</v>
          </cell>
          <cell r="D51" t="str">
            <v>Primary Summer</v>
          </cell>
          <cell r="E51" t="str">
            <v>Primary Summer</v>
          </cell>
          <cell r="F51">
            <v>3.648659805735717E-2</v>
          </cell>
          <cell r="G51">
            <v>9077.6515082776368</v>
          </cell>
          <cell r="H51">
            <v>25.14</v>
          </cell>
          <cell r="I51">
            <v>228212.1589180998</v>
          </cell>
          <cell r="J51">
            <v>9077.6515082776368</v>
          </cell>
        </row>
        <row r="52">
          <cell r="B52" t="str">
            <v>3D</v>
          </cell>
          <cell r="C52" t="str">
            <v>Demand</v>
          </cell>
          <cell r="D52" t="str">
            <v>Primary Non-Summer</v>
          </cell>
          <cell r="E52" t="str">
            <v>Primary Non-Summer</v>
          </cell>
          <cell r="F52">
            <v>7.611305874806179E-2</v>
          </cell>
          <cell r="G52">
            <v>25485.180296891438</v>
          </cell>
          <cell r="H52">
            <v>18.68</v>
          </cell>
          <cell r="I52">
            <v>476063.16794593207</v>
          </cell>
          <cell r="J52">
            <v>25485.180296891438</v>
          </cell>
        </row>
        <row r="53">
          <cell r="B53" t="str">
            <v>3D</v>
          </cell>
          <cell r="C53" t="str">
            <v>Demand</v>
          </cell>
          <cell r="D53" t="str">
            <v>Secondary Summer</v>
          </cell>
          <cell r="E53" t="str">
            <v>Secondary Summer</v>
          </cell>
          <cell r="F53">
            <v>0.30645128309469039</v>
          </cell>
          <cell r="G53">
            <v>75255.441183448245</v>
          </cell>
          <cell r="H53">
            <v>25.47</v>
          </cell>
          <cell r="I53">
            <v>1916756.0869424266</v>
          </cell>
          <cell r="J53">
            <v>75255.441183448245</v>
          </cell>
        </row>
        <row r="54">
          <cell r="B54" t="str">
            <v>3D</v>
          </cell>
          <cell r="C54" t="str">
            <v>Demand</v>
          </cell>
          <cell r="D54" t="str">
            <v>Secondary Non-Summer</v>
          </cell>
          <cell r="E54" t="str">
            <v>Secondary Non-Summer</v>
          </cell>
          <cell r="F54">
            <v>0.58094906009989067</v>
          </cell>
          <cell r="G54">
            <v>191043.7999466054</v>
          </cell>
          <cell r="H54">
            <v>19.02</v>
          </cell>
          <cell r="I54">
            <v>3633653.0749844345</v>
          </cell>
          <cell r="J54">
            <v>191043.7999466054</v>
          </cell>
        </row>
        <row r="55">
          <cell r="B55" t="str">
            <v>3D</v>
          </cell>
          <cell r="C55" t="str">
            <v>Energy</v>
          </cell>
          <cell r="E55" t="str">
            <v>Summer On-Peak</v>
          </cell>
          <cell r="F55">
            <v>0.1740285171825319</v>
          </cell>
          <cell r="G55">
            <v>12620055.524865113</v>
          </cell>
          <cell r="H55">
            <v>3.2865699999999998E-2</v>
          </cell>
          <cell r="I55">
            <v>414766.9588635593</v>
          </cell>
          <cell r="J55">
            <v>12620055.524865113</v>
          </cell>
        </row>
        <row r="56">
          <cell r="B56" t="str">
            <v>3D</v>
          </cell>
          <cell r="C56" t="str">
            <v>Energy</v>
          </cell>
          <cell r="E56" t="str">
            <v>Summer Off-Peak</v>
          </cell>
          <cell r="F56">
            <v>0.13498629402349197</v>
          </cell>
          <cell r="G56">
            <v>21026126.276742805</v>
          </cell>
          <cell r="H56">
            <v>1.53008E-2</v>
          </cell>
          <cell r="I56">
            <v>321716.55293518631</v>
          </cell>
          <cell r="J56">
            <v>21026126.276742805</v>
          </cell>
        </row>
        <row r="57">
          <cell r="B57" t="str">
            <v>3D</v>
          </cell>
          <cell r="C57" t="str">
            <v>Energy</v>
          </cell>
          <cell r="E57" t="str">
            <v>Non-Summer On-Peak</v>
          </cell>
          <cell r="F57">
            <v>0.34391299378679885</v>
          </cell>
          <cell r="G57">
            <v>30105129.622370195</v>
          </cell>
          <cell r="H57">
            <v>2.7226500000000001E-2</v>
          </cell>
          <cell r="I57">
            <v>819657.31166346208</v>
          </cell>
          <cell r="J57">
            <v>30105129.622370195</v>
          </cell>
        </row>
        <row r="58">
          <cell r="B58" t="str">
            <v>3D</v>
          </cell>
          <cell r="C58" t="str">
            <v>Energy</v>
          </cell>
          <cell r="E58" t="str">
            <v>Non-Summer Off-Peak</v>
          </cell>
          <cell r="F58">
            <v>0.34707219500717729</v>
          </cell>
          <cell r="G58">
            <v>54061664.942791887</v>
          </cell>
          <cell r="H58">
            <v>1.53008E-2</v>
          </cell>
          <cell r="I58">
            <v>827186.7229566701</v>
          </cell>
          <cell r="J58">
            <v>54061664.942791887</v>
          </cell>
        </row>
        <row r="59">
          <cell r="B59" t="str">
            <v>3D</v>
          </cell>
          <cell r="C59" t="str">
            <v>Reactive</v>
          </cell>
          <cell r="E59" t="str">
            <v>Billable RkVA Summer</v>
          </cell>
          <cell r="F59">
            <v>1</v>
          </cell>
          <cell r="G59">
            <v>5561.9694669022956</v>
          </cell>
          <cell r="H59">
            <v>0.27</v>
          </cell>
          <cell r="I59">
            <v>1501.73175606362</v>
          </cell>
          <cell r="J59">
            <v>5561.9694669022956</v>
          </cell>
        </row>
        <row r="60">
          <cell r="B60" t="str">
            <v>3D</v>
          </cell>
          <cell r="C60" t="str">
            <v>Reactive</v>
          </cell>
          <cell r="E60" t="str">
            <v>Billable RkVA Non-Summer</v>
          </cell>
          <cell r="F60">
            <v>1</v>
          </cell>
          <cell r="G60">
            <v>9481.0929372483752</v>
          </cell>
          <cell r="H60">
            <v>0.27</v>
          </cell>
          <cell r="I60">
            <v>2559.8950930570613</v>
          </cell>
          <cell r="J60">
            <v>9481.0929372483752</v>
          </cell>
        </row>
        <row r="61">
          <cell r="B61" t="str">
            <v>3E</v>
          </cell>
          <cell r="C61" t="str">
            <v>Customer</v>
          </cell>
          <cell r="D61" t="str">
            <v>Customer Charge</v>
          </cell>
          <cell r="E61" t="str">
            <v>Customer Charge</v>
          </cell>
          <cell r="F61">
            <v>1</v>
          </cell>
          <cell r="G61">
            <v>874.69100715039929</v>
          </cell>
          <cell r="H61">
            <v>81.91</v>
          </cell>
          <cell r="I61">
            <v>71645.940395689206</v>
          </cell>
          <cell r="J61">
            <v>874.69100715039929</v>
          </cell>
        </row>
        <row r="62">
          <cell r="B62" t="str">
            <v>3E</v>
          </cell>
          <cell r="C62" t="str">
            <v>Demand</v>
          </cell>
          <cell r="D62" t="str">
            <v>Primary Summer</v>
          </cell>
          <cell r="E62" t="str">
            <v>Primary Summer</v>
          </cell>
          <cell r="F62">
            <v>4.0514762629121947E-3</v>
          </cell>
          <cell r="G62">
            <v>308.27532406752522</v>
          </cell>
          <cell r="H62">
            <v>7.77</v>
          </cell>
          <cell r="I62">
            <v>2395.2992680046709</v>
          </cell>
          <cell r="J62">
            <v>308.27532406752522</v>
          </cell>
        </row>
        <row r="63">
          <cell r="B63" t="str">
            <v>3E</v>
          </cell>
          <cell r="C63" t="str">
            <v>Demand</v>
          </cell>
          <cell r="D63" t="str">
            <v>Primary Non-Summer</v>
          </cell>
          <cell r="E63" t="str">
            <v>Primary Non-Summer</v>
          </cell>
          <cell r="F63">
            <v>3.7940956525298491E-3</v>
          </cell>
          <cell r="G63">
            <v>392.15587875408443</v>
          </cell>
          <cell r="H63">
            <v>5.72</v>
          </cell>
          <cell r="I63">
            <v>2243.1316264733628</v>
          </cell>
          <cell r="J63">
            <v>392.15587875408443</v>
          </cell>
        </row>
        <row r="64">
          <cell r="B64" t="str">
            <v>3E</v>
          </cell>
          <cell r="C64" t="str">
            <v>Demand</v>
          </cell>
          <cell r="D64" t="str">
            <v>Secondary Summer</v>
          </cell>
          <cell r="E64" t="str">
            <v>Secondary Summer</v>
          </cell>
          <cell r="F64">
            <v>0.36710955515197929</v>
          </cell>
          <cell r="G64">
            <v>26795.209232335968</v>
          </cell>
          <cell r="H64">
            <v>8.1</v>
          </cell>
          <cell r="I64">
            <v>217041.19478192134</v>
          </cell>
          <cell r="J64">
            <v>26795.209232335968</v>
          </cell>
        </row>
        <row r="65">
          <cell r="B65" t="str">
            <v>3E</v>
          </cell>
          <cell r="C65" t="str">
            <v>Demand</v>
          </cell>
          <cell r="D65" t="str">
            <v>Secondary Non-Summer</v>
          </cell>
          <cell r="E65" t="str">
            <v>Secondary Non-Summer</v>
          </cell>
          <cell r="F65">
            <v>0.62504487293257871</v>
          </cell>
          <cell r="G65">
            <v>61080.460897868572</v>
          </cell>
          <cell r="H65">
            <v>6.05</v>
          </cell>
          <cell r="I65">
            <v>369536.78843210486</v>
          </cell>
          <cell r="J65">
            <v>61080.460897868572</v>
          </cell>
        </row>
        <row r="66">
          <cell r="B66" t="str">
            <v>3E</v>
          </cell>
          <cell r="C66" t="str">
            <v>Energy</v>
          </cell>
          <cell r="E66" t="str">
            <v>Summer On-Peak</v>
          </cell>
          <cell r="F66">
            <v>0.18753193261385742</v>
          </cell>
          <cell r="G66">
            <v>1485981.4448025124</v>
          </cell>
          <cell r="H66">
            <v>0.115437</v>
          </cell>
          <cell r="I66">
            <v>171537.24004366761</v>
          </cell>
          <cell r="J66">
            <v>1485981.4448025124</v>
          </cell>
        </row>
        <row r="67">
          <cell r="B67" t="str">
            <v>3E</v>
          </cell>
          <cell r="C67" t="str">
            <v>Energy</v>
          </cell>
          <cell r="E67" t="str">
            <v>Summer Off-Peak</v>
          </cell>
          <cell r="F67">
            <v>0.17206006346779065</v>
          </cell>
          <cell r="G67">
            <v>3025173.8944357652</v>
          </cell>
          <cell r="H67">
            <v>5.2025099999999998E-2</v>
          </cell>
          <cell r="I67">
            <v>157384.97437541012</v>
          </cell>
          <cell r="J67">
            <v>3025173.8944357652</v>
          </cell>
        </row>
        <row r="68">
          <cell r="B68" t="str">
            <v>3E</v>
          </cell>
          <cell r="C68" t="str">
            <v>Energy</v>
          </cell>
          <cell r="E68" t="str">
            <v>Non-Summer On-Peak</v>
          </cell>
          <cell r="F68">
            <v>0.25287499979064576</v>
          </cell>
          <cell r="G68">
            <v>2659959.6390338754</v>
          </cell>
          <cell r="H68">
            <v>8.6958900000000006E-2</v>
          </cell>
          <cell r="I68">
            <v>231307.1642547829</v>
          </cell>
          <cell r="J68">
            <v>2659959.6390338754</v>
          </cell>
        </row>
        <row r="69">
          <cell r="B69" t="str">
            <v>3E</v>
          </cell>
          <cell r="C69" t="str">
            <v>Energy</v>
          </cell>
          <cell r="E69" t="str">
            <v>Non-Summer Off-Peak</v>
          </cell>
          <cell r="F69">
            <v>0.3875330041277063</v>
          </cell>
          <cell r="G69">
            <v>6813636.4923454048</v>
          </cell>
          <cell r="H69">
            <v>5.2025099999999998E-2</v>
          </cell>
          <cell r="I69">
            <v>354480.11987791891</v>
          </cell>
          <cell r="J69">
            <v>6813636.4923454048</v>
          </cell>
        </row>
        <row r="70">
          <cell r="B70" t="str">
            <v>3E</v>
          </cell>
          <cell r="C70" t="str">
            <v>Reactive</v>
          </cell>
          <cell r="E70" t="str">
            <v>Billable RkVA Summer</v>
          </cell>
          <cell r="F70">
            <v>1</v>
          </cell>
          <cell r="G70">
            <v>815.55326575220158</v>
          </cell>
          <cell r="H70">
            <v>0.27</v>
          </cell>
          <cell r="I70">
            <v>220.19938175309443</v>
          </cell>
          <cell r="J70">
            <v>815.55326575220158</v>
          </cell>
        </row>
        <row r="71">
          <cell r="B71" t="str">
            <v>3E</v>
          </cell>
          <cell r="C71" t="str">
            <v>Reactive</v>
          </cell>
          <cell r="E71" t="str">
            <v>Billable RkVA Non-Summer</v>
          </cell>
          <cell r="F71">
            <v>1</v>
          </cell>
          <cell r="G71">
            <v>1685.9836818488552</v>
          </cell>
          <cell r="H71">
            <v>0.27</v>
          </cell>
          <cell r="I71">
            <v>455.21559409919092</v>
          </cell>
          <cell r="J71">
            <v>1685.9836818488552</v>
          </cell>
        </row>
        <row r="72">
          <cell r="B72" t="str">
            <v>3F</v>
          </cell>
          <cell r="C72" t="str">
            <v>Customer</v>
          </cell>
          <cell r="D72" t="str">
            <v>Customer Charge</v>
          </cell>
          <cell r="E72" t="str">
            <v>Customer Charge</v>
          </cell>
          <cell r="F72">
            <v>1</v>
          </cell>
          <cell r="G72">
            <v>0</v>
          </cell>
          <cell r="H72">
            <v>81.91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3F</v>
          </cell>
          <cell r="C73" t="str">
            <v>Energy</v>
          </cell>
          <cell r="E73" t="str">
            <v>Summer On-Peak</v>
          </cell>
          <cell r="F73">
            <v>0.34</v>
          </cell>
          <cell r="G73">
            <v>0</v>
          </cell>
          <cell r="H73">
            <v>0.18552460000000001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3F</v>
          </cell>
          <cell r="C74" t="str">
            <v>Energy</v>
          </cell>
          <cell r="E74" t="str">
            <v>Non-Summer On-Peak</v>
          </cell>
          <cell r="F74">
            <v>0.33</v>
          </cell>
          <cell r="H74">
            <v>0.13734150000000001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3F</v>
          </cell>
          <cell r="C75" t="str">
            <v>Energy</v>
          </cell>
          <cell r="E75" t="str">
            <v>Off-Peak</v>
          </cell>
          <cell r="F75">
            <v>0.33</v>
          </cell>
          <cell r="H75">
            <v>6.3877900000000001E-2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4B</v>
          </cell>
          <cell r="C76" t="str">
            <v>Customer</v>
          </cell>
          <cell r="D76" t="str">
            <v>Customer Charge</v>
          </cell>
          <cell r="E76" t="str">
            <v>Customer Charge</v>
          </cell>
          <cell r="F76">
            <v>1</v>
          </cell>
          <cell r="G76">
            <v>1979.9999999999995</v>
          </cell>
          <cell r="H76">
            <v>585.29</v>
          </cell>
          <cell r="I76">
            <v>1158874.1999999997</v>
          </cell>
          <cell r="J76">
            <v>1979.9999999999995</v>
          </cell>
          <cell r="K76">
            <v>1461680.478604964</v>
          </cell>
          <cell r="L76">
            <v>1461680.478604964</v>
          </cell>
        </row>
        <row r="77">
          <cell r="B77" t="str">
            <v>4B</v>
          </cell>
          <cell r="C77" t="str">
            <v>Demand</v>
          </cell>
          <cell r="D77" t="str">
            <v>Primary Summer</v>
          </cell>
          <cell r="E77" t="str">
            <v>Primary Summer</v>
          </cell>
          <cell r="F77">
            <v>0.22668124713580579</v>
          </cell>
          <cell r="G77">
            <v>364280</v>
          </cell>
          <cell r="H77">
            <v>23.69</v>
          </cell>
          <cell r="I77">
            <v>8629793.2000000011</v>
          </cell>
          <cell r="J77">
            <v>364280</v>
          </cell>
          <cell r="K77">
            <v>48990318.080081008</v>
          </cell>
          <cell r="L77">
            <v>11105186.399972577</v>
          </cell>
        </row>
        <row r="78">
          <cell r="B78" t="str">
            <v>4B</v>
          </cell>
          <cell r="C78" t="str">
            <v>Demand</v>
          </cell>
          <cell r="D78" t="str">
            <v>Primary Non-Summer</v>
          </cell>
          <cell r="E78" t="str">
            <v>Primary Non-Summer</v>
          </cell>
          <cell r="F78">
            <v>0.4338319212352113</v>
          </cell>
          <cell r="G78">
            <v>1001580</v>
          </cell>
          <cell r="H78">
            <v>16.489999999999998</v>
          </cell>
          <cell r="I78">
            <v>16516054.199999999</v>
          </cell>
          <cell r="J78">
            <v>1001580</v>
          </cell>
          <cell r="K78">
            <v>48990318.080081008</v>
          </cell>
          <cell r="L78">
            <v>21253563.814605653</v>
          </cell>
        </row>
        <row r="79">
          <cell r="B79" t="str">
            <v>4B</v>
          </cell>
          <cell r="C79" t="str">
            <v>Demand</v>
          </cell>
          <cell r="D79" t="str">
            <v>Secondary Summer</v>
          </cell>
          <cell r="E79" t="str">
            <v>Secondary Summer</v>
          </cell>
          <cell r="F79">
            <v>0.11380364949502925</v>
          </cell>
          <cell r="G79">
            <v>169173.13841912942</v>
          </cell>
          <cell r="H79">
            <v>25.61</v>
          </cell>
          <cell r="I79">
            <v>4332524.0749139041</v>
          </cell>
          <cell r="J79">
            <v>169173.13841912942</v>
          </cell>
          <cell r="K79">
            <v>48990318.080081008</v>
          </cell>
          <cell r="L79">
            <v>5575276.9874355337</v>
          </cell>
        </row>
        <row r="80">
          <cell r="B80" t="str">
            <v>4B</v>
          </cell>
          <cell r="C80" t="str">
            <v>Demand</v>
          </cell>
          <cell r="D80" t="str">
            <v>Secondary Non-Summer</v>
          </cell>
          <cell r="E80" t="str">
            <v>Secondary Non-Summer</v>
          </cell>
          <cell r="F80">
            <v>0.22568318213395375</v>
          </cell>
          <cell r="G80">
            <v>466945.47269198165</v>
          </cell>
          <cell r="H80">
            <v>18.399999999999999</v>
          </cell>
          <cell r="I80">
            <v>8591796.697532462</v>
          </cell>
          <cell r="J80">
            <v>466945.47269198165</v>
          </cell>
          <cell r="K80">
            <v>48990318.080081008</v>
          </cell>
          <cell r="L80">
            <v>11056290.878067249</v>
          </cell>
        </row>
        <row r="81">
          <cell r="B81" t="str">
            <v>4B</v>
          </cell>
          <cell r="C81" t="str">
            <v>Energy</v>
          </cell>
          <cell r="E81" t="str">
            <v>Summer On-Peak</v>
          </cell>
          <cell r="F81">
            <v>0.16516739479891898</v>
          </cell>
          <cell r="G81">
            <v>102256896.01049247</v>
          </cell>
          <cell r="H81">
            <v>3.0219699999999999E-2</v>
          </cell>
          <cell r="I81">
            <v>3090172.7203682791</v>
          </cell>
          <cell r="J81">
            <v>102256896.01049247</v>
          </cell>
          <cell r="K81">
            <v>14714939.721176904</v>
          </cell>
          <cell r="L81">
            <v>2430428.2583699203</v>
          </cell>
        </row>
        <row r="82">
          <cell r="B82" t="str">
            <v>4B</v>
          </cell>
          <cell r="C82" t="str">
            <v>Energy</v>
          </cell>
          <cell r="E82" t="str">
            <v>Summer Off-Peak</v>
          </cell>
          <cell r="F82">
            <v>0.13404040061296627</v>
          </cell>
          <cell r="G82">
            <v>159787904.472</v>
          </cell>
          <cell r="H82">
            <v>1.56946E-2</v>
          </cell>
          <cell r="I82">
            <v>2507807.2455262514</v>
          </cell>
          <cell r="J82">
            <v>159787904.472</v>
          </cell>
          <cell r="K82">
            <v>14714939.721176904</v>
          </cell>
          <cell r="L82">
            <v>1972396.4152222022</v>
          </cell>
        </row>
        <row r="83">
          <cell r="B83" t="str">
            <v>4B</v>
          </cell>
          <cell r="C83" t="str">
            <v>Energy</v>
          </cell>
          <cell r="E83" t="str">
            <v>Non-Summer On-Peak</v>
          </cell>
          <cell r="F83">
            <v>0.34015791397845324</v>
          </cell>
          <cell r="G83">
            <v>268186934.84270215</v>
          </cell>
          <cell r="H83">
            <v>2.37302E-2</v>
          </cell>
          <cell r="I83">
            <v>6364129.601204291</v>
          </cell>
          <cell r="J83">
            <v>268186934.84270215</v>
          </cell>
          <cell r="K83">
            <v>14714939.721176904</v>
          </cell>
          <cell r="L83">
            <v>5005403.1998742176</v>
          </cell>
        </row>
        <row r="84">
          <cell r="B84" t="str">
            <v>4B</v>
          </cell>
          <cell r="C84" t="str">
            <v>Energy</v>
          </cell>
          <cell r="E84" t="str">
            <v>Non-Summer Off-Peak</v>
          </cell>
          <cell r="F84">
            <v>0.36063429060966146</v>
          </cell>
          <cell r="G84">
            <v>429907679.42907643</v>
          </cell>
          <cell r="H84">
            <v>1.56946E-2</v>
          </cell>
          <cell r="I84">
            <v>6747229.0655675828</v>
          </cell>
          <cell r="J84">
            <v>429907679.42907643</v>
          </cell>
          <cell r="K84">
            <v>14714939.721176904</v>
          </cell>
          <cell r="L84">
            <v>5306711.8477105619</v>
          </cell>
        </row>
        <row r="85">
          <cell r="B85" t="str">
            <v>4B</v>
          </cell>
          <cell r="C85" t="str">
            <v>Reactive</v>
          </cell>
          <cell r="E85" t="str">
            <v>Billable RkVA Summer</v>
          </cell>
          <cell r="F85">
            <v>1</v>
          </cell>
          <cell r="G85">
            <v>54347.463809237175</v>
          </cell>
          <cell r="H85">
            <v>0.27</v>
          </cell>
          <cell r="I85">
            <v>14673.815228494039</v>
          </cell>
          <cell r="J85">
            <v>54347.463809237175</v>
          </cell>
          <cell r="K85">
            <v>14673.815228494039</v>
          </cell>
          <cell r="L85">
            <v>14673.815228494039</v>
          </cell>
        </row>
        <row r="86">
          <cell r="B86" t="str">
            <v>4B</v>
          </cell>
          <cell r="C86" t="str">
            <v>Reactive</v>
          </cell>
          <cell r="E86" t="str">
            <v>Billable RkVA Non-Summer</v>
          </cell>
          <cell r="F86">
            <v>1</v>
          </cell>
          <cell r="G86">
            <v>138040.54524643082</v>
          </cell>
          <cell r="H86">
            <v>0.27</v>
          </cell>
          <cell r="I86">
            <v>37270.947216536326</v>
          </cell>
          <cell r="J86">
            <v>138040.54524643082</v>
          </cell>
          <cell r="K86">
            <v>37270.947216536326</v>
          </cell>
          <cell r="L86">
            <v>37270.947216536326</v>
          </cell>
        </row>
        <row r="87">
          <cell r="B87" t="str">
            <v>4B</v>
          </cell>
          <cell r="C87" t="str">
            <v>Other</v>
          </cell>
          <cell r="E87" t="str">
            <v>Community Solar Recovery</v>
          </cell>
          <cell r="I87">
            <v>2540087.9757579356</v>
          </cell>
          <cell r="L87">
            <v>0</v>
          </cell>
        </row>
        <row r="88">
          <cell r="B88" t="str">
            <v>4B</v>
          </cell>
          <cell r="C88" t="str">
            <v>Other</v>
          </cell>
          <cell r="E88" t="str">
            <v>IIPR Recovery</v>
          </cell>
          <cell r="I88">
            <v>108031.49</v>
          </cell>
          <cell r="L88">
            <v>0</v>
          </cell>
        </row>
        <row r="89">
          <cell r="B89" t="str">
            <v>5B</v>
          </cell>
          <cell r="C89" t="str">
            <v>Customer</v>
          </cell>
          <cell r="D89" t="str">
            <v>Customer Charge</v>
          </cell>
          <cell r="E89" t="str">
            <v>Customer Charge</v>
          </cell>
          <cell r="F89">
            <v>1</v>
          </cell>
          <cell r="G89">
            <v>12</v>
          </cell>
          <cell r="H89">
            <v>3074.01</v>
          </cell>
          <cell r="I89">
            <v>36888.120000000003</v>
          </cell>
          <cell r="J89">
            <v>12</v>
          </cell>
          <cell r="K89">
            <v>31897.565575301323</v>
          </cell>
          <cell r="L89">
            <v>31897.565575301323</v>
          </cell>
        </row>
        <row r="90">
          <cell r="B90" t="str">
            <v>5B</v>
          </cell>
          <cell r="C90" t="str">
            <v>Demand</v>
          </cell>
          <cell r="D90" t="str">
            <v>Primary Summer</v>
          </cell>
          <cell r="E90" t="str">
            <v>Summer</v>
          </cell>
          <cell r="F90">
            <v>0.3606005518489333</v>
          </cell>
          <cell r="G90">
            <v>25169.999999999996</v>
          </cell>
          <cell r="H90">
            <v>19.03</v>
          </cell>
          <cell r="I90">
            <v>478985.1</v>
          </cell>
          <cell r="J90">
            <v>25169.999999999996</v>
          </cell>
          <cell r="K90">
            <v>851349.89356711635</v>
          </cell>
          <cell r="L90">
            <v>306997.24143683282</v>
          </cell>
        </row>
        <row r="91">
          <cell r="B91" t="str">
            <v>5B</v>
          </cell>
          <cell r="C91" t="str">
            <v>Demand</v>
          </cell>
          <cell r="D91" t="str">
            <v>Primary Non-Summer</v>
          </cell>
          <cell r="E91" t="str">
            <v>Non-Summer</v>
          </cell>
          <cell r="F91">
            <v>0.63939944815106675</v>
          </cell>
          <cell r="G91">
            <v>73470</v>
          </cell>
          <cell r="H91">
            <v>11.56</v>
          </cell>
          <cell r="I91">
            <v>849313.20000000007</v>
          </cell>
          <cell r="J91">
            <v>73470</v>
          </cell>
          <cell r="K91">
            <v>851349.89356711635</v>
          </cell>
          <cell r="L91">
            <v>544352.65213028365</v>
          </cell>
        </row>
        <row r="92">
          <cell r="B92" t="str">
            <v>5B</v>
          </cell>
          <cell r="C92" t="str">
            <v>Energy</v>
          </cell>
          <cell r="E92" t="str">
            <v>Summer On-Peak</v>
          </cell>
          <cell r="F92">
            <v>0.17377978568432167</v>
          </cell>
          <cell r="G92">
            <v>2888200</v>
          </cell>
          <cell r="H92">
            <v>3.3165800000000002E-2</v>
          </cell>
          <cell r="I92">
            <v>95789.463560000004</v>
          </cell>
          <cell r="J92">
            <v>2888200</v>
          </cell>
          <cell r="K92">
            <v>1184821.8009709762</v>
          </cell>
          <cell r="L92">
            <v>205898.07864684827</v>
          </cell>
        </row>
        <row r="93">
          <cell r="B93" t="str">
            <v>5B</v>
          </cell>
          <cell r="C93" t="str">
            <v>Energy</v>
          </cell>
          <cell r="E93" t="str">
            <v>Summer Off-Peak</v>
          </cell>
          <cell r="F93">
            <v>0.12073577274606867</v>
          </cell>
          <cell r="G93">
            <v>4528139.9999999991</v>
          </cell>
          <cell r="H93">
            <v>1.4697200000000001E-2</v>
          </cell>
          <cell r="I93">
            <v>66550.97920799999</v>
          </cell>
          <cell r="J93">
            <v>4528139.9999999991</v>
          </cell>
          <cell r="K93">
            <v>1184821.8009709762</v>
          </cell>
          <cell r="L93">
            <v>143050.37570661958</v>
          </cell>
        </row>
        <row r="94">
          <cell r="B94" t="str">
            <v>5B</v>
          </cell>
          <cell r="C94" t="str">
            <v>Energy</v>
          </cell>
          <cell r="E94" t="str">
            <v>Non-Summer On-Peak</v>
          </cell>
          <cell r="F94">
            <v>0.35259732751311801</v>
          </cell>
          <cell r="G94">
            <v>8210540.0000000009</v>
          </cell>
          <cell r="H94">
            <v>2.3671500000000002E-2</v>
          </cell>
          <cell r="I94">
            <v>194355.79761000004</v>
          </cell>
          <cell r="J94">
            <v>8210540.0000000009</v>
          </cell>
          <cell r="K94">
            <v>1184821.8009709762</v>
          </cell>
          <cell r="L94">
            <v>417765.00060164562</v>
          </cell>
        </row>
        <row r="95">
          <cell r="B95" t="str">
            <v>5B</v>
          </cell>
          <cell r="C95" t="str">
            <v>Energy</v>
          </cell>
          <cell r="E95" t="str">
            <v>Non-Summer Off-Peak</v>
          </cell>
          <cell r="F95">
            <v>0.35288711405649159</v>
          </cell>
          <cell r="G95">
            <v>13234869.999999998</v>
          </cell>
          <cell r="H95">
            <v>1.4697200000000001E-2</v>
          </cell>
          <cell r="I95">
            <v>194515.53136399997</v>
          </cell>
          <cell r="J95">
            <v>13234869.999999998</v>
          </cell>
          <cell r="K95">
            <v>1184821.8009709762</v>
          </cell>
          <cell r="L95">
            <v>418108.34601586265</v>
          </cell>
        </row>
        <row r="96">
          <cell r="B96" t="str">
            <v>5B</v>
          </cell>
          <cell r="C96" t="str">
            <v>Reactive</v>
          </cell>
          <cell r="E96" t="str">
            <v>Billable RkVA Summer</v>
          </cell>
          <cell r="F96">
            <v>1</v>
          </cell>
          <cell r="G96">
            <v>3710</v>
          </cell>
          <cell r="H96">
            <v>0.27</v>
          </cell>
          <cell r="I96">
            <v>1001.7</v>
          </cell>
          <cell r="J96">
            <v>3710</v>
          </cell>
          <cell r="K96">
            <v>1001.7</v>
          </cell>
          <cell r="L96">
            <v>1001.7</v>
          </cell>
        </row>
        <row r="97">
          <cell r="B97" t="str">
            <v>5B</v>
          </cell>
          <cell r="C97" t="str">
            <v>Reactive</v>
          </cell>
          <cell r="E97" t="str">
            <v>Billable RkVA Non-Summer</v>
          </cell>
          <cell r="F97">
            <v>1</v>
          </cell>
          <cell r="G97">
            <v>10450</v>
          </cell>
          <cell r="H97">
            <v>0.27</v>
          </cell>
          <cell r="I97">
            <v>2821.5</v>
          </cell>
          <cell r="J97">
            <v>10450</v>
          </cell>
          <cell r="K97">
            <v>2821.5</v>
          </cell>
          <cell r="L97">
            <v>2821.5</v>
          </cell>
        </row>
        <row r="98">
          <cell r="B98" t="str">
            <v>10A</v>
          </cell>
          <cell r="C98" t="str">
            <v>Customer</v>
          </cell>
          <cell r="D98" t="str">
            <v>Customer Charge</v>
          </cell>
          <cell r="E98" t="str">
            <v>Customer Charge</v>
          </cell>
          <cell r="F98">
            <v>1</v>
          </cell>
          <cell r="G98">
            <v>1228.76</v>
          </cell>
          <cell r="H98">
            <v>10.09</v>
          </cell>
          <cell r="I98">
            <v>12398.188399999999</v>
          </cell>
          <cell r="J98">
            <v>1228.76</v>
          </cell>
          <cell r="K98">
            <v>18597.282599999999</v>
          </cell>
          <cell r="L98">
            <v>18597.282599999999</v>
          </cell>
        </row>
        <row r="99">
          <cell r="B99" t="str">
            <v>10A</v>
          </cell>
          <cell r="C99" t="str">
            <v>Energy</v>
          </cell>
          <cell r="E99" t="str">
            <v>Summer</v>
          </cell>
          <cell r="F99">
            <v>0.44212640480173421</v>
          </cell>
          <cell r="G99">
            <v>1771490</v>
          </cell>
          <cell r="H99">
            <v>8.0241800000000002E-2</v>
          </cell>
          <cell r="I99">
            <v>142147.546282</v>
          </cell>
          <cell r="J99">
            <v>1771490</v>
          </cell>
          <cell r="K99">
            <v>344588.16145302821</v>
          </cell>
          <cell r="L99">
            <v>152351.52496046689</v>
          </cell>
        </row>
        <row r="100">
          <cell r="B100" t="str">
            <v>10A</v>
          </cell>
          <cell r="C100" t="str">
            <v>Energy</v>
          </cell>
          <cell r="E100" t="str">
            <v>Non-Summer</v>
          </cell>
          <cell r="F100">
            <v>0.55787359519826574</v>
          </cell>
          <cell r="G100">
            <v>2452700</v>
          </cell>
          <cell r="H100">
            <v>7.3128100000000001E-2</v>
          </cell>
          <cell r="I100">
            <v>179361.29087</v>
          </cell>
          <cell r="J100">
            <v>2452700</v>
          </cell>
          <cell r="K100">
            <v>344588.16145302821</v>
          </cell>
          <cell r="L100">
            <v>192236.63649256129</v>
          </cell>
        </row>
        <row r="101">
          <cell r="B101" t="str">
            <v>10B</v>
          </cell>
          <cell r="C101" t="str">
            <v>Customer</v>
          </cell>
          <cell r="D101" t="str">
            <v>Customer Charge</v>
          </cell>
          <cell r="E101" t="str">
            <v>Customer Charge</v>
          </cell>
          <cell r="F101">
            <v>0.74430128840436072</v>
          </cell>
          <cell r="G101">
            <v>2490.6700000000005</v>
          </cell>
          <cell r="H101">
            <v>7.51</v>
          </cell>
          <cell r="I101">
            <v>18704.931700000005</v>
          </cell>
          <cell r="J101">
            <v>2490.6700000000005</v>
          </cell>
          <cell r="K101">
            <v>37696.290450000015</v>
          </cell>
          <cell r="L101">
            <v>28057.397550000009</v>
          </cell>
        </row>
        <row r="102">
          <cell r="B102" t="str">
            <v>10B</v>
          </cell>
          <cell r="C102" t="str">
            <v>Customer</v>
          </cell>
          <cell r="D102" t="str">
            <v>Meter Charge</v>
          </cell>
          <cell r="E102" t="str">
            <v>Meter Charge</v>
          </cell>
          <cell r="F102">
            <v>0.25569871159563923</v>
          </cell>
          <cell r="G102">
            <v>2490.6700000000005</v>
          </cell>
          <cell r="H102">
            <v>2.58</v>
          </cell>
          <cell r="I102">
            <v>6425.9286000000011</v>
          </cell>
          <cell r="J102">
            <v>2490.6700000000005</v>
          </cell>
          <cell r="K102">
            <v>37696.290450000015</v>
          </cell>
          <cell r="L102">
            <v>9638.8929000000026</v>
          </cell>
        </row>
        <row r="103">
          <cell r="B103" t="str">
            <v>10B</v>
          </cell>
          <cell r="C103" t="str">
            <v>Energy</v>
          </cell>
          <cell r="E103" t="str">
            <v>Summer On-Peak</v>
          </cell>
          <cell r="F103">
            <v>0.2254726515318041</v>
          </cell>
          <cell r="G103">
            <v>2842460.0000000005</v>
          </cell>
          <cell r="H103">
            <v>0.12115910000000001</v>
          </cell>
          <cell r="I103">
            <v>344389.89538600005</v>
          </cell>
          <cell r="J103">
            <v>2842460.0000000005</v>
          </cell>
          <cell r="K103">
            <v>1650981.5348837848</v>
          </cell>
          <cell r="L103">
            <v>372251.18430029467</v>
          </cell>
        </row>
        <row r="104">
          <cell r="B104" t="str">
            <v>10B</v>
          </cell>
          <cell r="C104" t="str">
            <v>Energy</v>
          </cell>
          <cell r="E104" t="str">
            <v>Summer Off-Peak</v>
          </cell>
          <cell r="F104">
            <v>0.17611241444528875</v>
          </cell>
          <cell r="G104">
            <v>4875040</v>
          </cell>
          <cell r="H104">
            <v>5.51783E-2</v>
          </cell>
          <cell r="I104">
            <v>268996.41963199998</v>
          </cell>
          <cell r="J104">
            <v>4875040</v>
          </cell>
          <cell r="K104">
            <v>1650981.5348837848</v>
          </cell>
          <cell r="L104">
            <v>290758.34431297204</v>
          </cell>
        </row>
        <row r="105">
          <cell r="B105" t="str">
            <v>10B</v>
          </cell>
          <cell r="C105" t="str">
            <v>Energy</v>
          </cell>
          <cell r="E105" t="str">
            <v>Non-Summer On-Peak</v>
          </cell>
          <cell r="F105">
            <v>0.31774028916661096</v>
          </cell>
          <cell r="G105">
            <v>4376280</v>
          </cell>
          <cell r="H105">
            <v>0.110898</v>
          </cell>
          <cell r="I105">
            <v>485320.69944</v>
          </cell>
          <cell r="J105">
            <v>4376280</v>
          </cell>
          <cell r="K105">
            <v>1650981.5348837848</v>
          </cell>
          <cell r="L105">
            <v>524583.35030270903</v>
          </cell>
        </row>
        <row r="106">
          <cell r="B106" t="str">
            <v>10B</v>
          </cell>
          <cell r="C106" t="str">
            <v>Energy</v>
          </cell>
          <cell r="E106" t="str">
            <v>Non-Summer Off-Peak</v>
          </cell>
          <cell r="F106">
            <v>0.28067464485629606</v>
          </cell>
          <cell r="G106">
            <v>7769469.9999999991</v>
          </cell>
          <cell r="H106">
            <v>5.51783E-2</v>
          </cell>
          <cell r="I106">
            <v>428706.14650099992</v>
          </cell>
          <cell r="J106">
            <v>7769469.9999999991</v>
          </cell>
          <cell r="K106">
            <v>1650981.5348837848</v>
          </cell>
          <cell r="L106">
            <v>463388.65596780885</v>
          </cell>
        </row>
        <row r="107">
          <cell r="B107" t="str">
            <v>11B</v>
          </cell>
          <cell r="C107" t="str">
            <v>Customer</v>
          </cell>
          <cell r="D107" t="str">
            <v>Customer Charge</v>
          </cell>
          <cell r="E107" t="str">
            <v>Customer Charge</v>
          </cell>
          <cell r="F107">
            <v>1</v>
          </cell>
          <cell r="G107">
            <v>1812.12</v>
          </cell>
          <cell r="H107">
            <v>455.51</v>
          </cell>
          <cell r="I107">
            <v>825438.78119999997</v>
          </cell>
          <cell r="J107">
            <v>1812.12</v>
          </cell>
          <cell r="K107">
            <v>757278.37933685083</v>
          </cell>
          <cell r="L107">
            <v>757278.37933685083</v>
          </cell>
        </row>
        <row r="108">
          <cell r="B108" t="str">
            <v>11B</v>
          </cell>
          <cell r="C108" t="str">
            <v>Energy</v>
          </cell>
          <cell r="E108" t="str">
            <v>Summer On-Peak</v>
          </cell>
          <cell r="F108">
            <v>0.2516316265653728</v>
          </cell>
          <cell r="G108">
            <v>11436080.000000002</v>
          </cell>
          <cell r="H108">
            <v>0.16349350000000001</v>
          </cell>
          <cell r="I108">
            <v>1869724.7454800005</v>
          </cell>
          <cell r="J108">
            <v>11436080.000000002</v>
          </cell>
          <cell r="K108">
            <v>8294863.8161303308</v>
          </cell>
          <cell r="L108">
            <v>2087250.0741911305</v>
          </cell>
        </row>
        <row r="109">
          <cell r="B109" t="str">
            <v>11B</v>
          </cell>
          <cell r="C109" t="str">
            <v>Energy</v>
          </cell>
          <cell r="E109" t="str">
            <v>Summer Off-Peak</v>
          </cell>
          <cell r="F109">
            <v>0.12177145914125248</v>
          </cell>
          <cell r="G109">
            <v>44273840</v>
          </cell>
          <cell r="H109">
            <v>2.0436699999999999E-2</v>
          </cell>
          <cell r="I109">
            <v>904811.1859279999</v>
          </cell>
          <cell r="J109">
            <v>44273840</v>
          </cell>
          <cell r="K109">
            <v>8294863.8161303308</v>
          </cell>
          <cell r="L109">
            <v>1010077.6702681682</v>
          </cell>
        </row>
        <row r="110">
          <cell r="B110" t="str">
            <v>11B</v>
          </cell>
          <cell r="C110" t="str">
            <v>Energy</v>
          </cell>
          <cell r="E110" t="str">
            <v>Non-Summer On-Peak</v>
          </cell>
          <cell r="F110">
            <v>0.34930807464798164</v>
          </cell>
          <cell r="G110">
            <v>25400410</v>
          </cell>
          <cell r="H110">
            <v>0.10218339999999999</v>
          </cell>
          <cell r="I110">
            <v>2595500.255194</v>
          </cell>
          <cell r="J110">
            <v>25400410</v>
          </cell>
          <cell r="K110">
            <v>8294863.8161303308</v>
          </cell>
          <cell r="L110">
            <v>2897462.9090796956</v>
          </cell>
        </row>
        <row r="111">
          <cell r="B111" t="str">
            <v>11B</v>
          </cell>
          <cell r="C111" t="str">
            <v>Energy</v>
          </cell>
          <cell r="E111" t="str">
            <v>Non-Summer Off-Peak</v>
          </cell>
          <cell r="F111">
            <v>0.27728883964539314</v>
          </cell>
          <cell r="G111">
            <v>100817070</v>
          </cell>
          <cell r="H111">
            <v>2.0436699999999999E-2</v>
          </cell>
          <cell r="I111">
            <v>2060368.2144689998</v>
          </cell>
          <cell r="J111">
            <v>100817070</v>
          </cell>
          <cell r="K111">
            <v>8294863.8161303308</v>
          </cell>
          <cell r="L111">
            <v>2300073.1625913372</v>
          </cell>
        </row>
        <row r="112">
          <cell r="B112" t="str">
            <v>15B</v>
          </cell>
          <cell r="C112" t="str">
            <v>Customer</v>
          </cell>
          <cell r="D112" t="str">
            <v>Customer Charge</v>
          </cell>
          <cell r="E112" t="str">
            <v>Customer Charge</v>
          </cell>
          <cell r="F112">
            <v>1</v>
          </cell>
          <cell r="G112">
            <v>12</v>
          </cell>
          <cell r="H112">
            <v>3666.26</v>
          </cell>
          <cell r="I112">
            <v>43995.12</v>
          </cell>
          <cell r="J112">
            <v>12</v>
          </cell>
          <cell r="K112">
            <v>52326.629015184109</v>
          </cell>
          <cell r="L112">
            <v>52326.629015184109</v>
          </cell>
        </row>
        <row r="113">
          <cell r="B113" t="str">
            <v>15B</v>
          </cell>
          <cell r="C113" t="str">
            <v>Demand</v>
          </cell>
          <cell r="D113" t="str">
            <v>Primary Summer</v>
          </cell>
          <cell r="E113" t="str">
            <v>Summer</v>
          </cell>
          <cell r="F113">
            <v>0.44857403170893895</v>
          </cell>
          <cell r="G113">
            <v>67050</v>
          </cell>
          <cell r="H113">
            <v>20.63</v>
          </cell>
          <cell r="I113">
            <v>1383241.5</v>
          </cell>
          <cell r="J113">
            <v>67050</v>
          </cell>
          <cell r="K113">
            <v>1498762.2200158723</v>
          </cell>
          <cell r="L113">
            <v>672305.81160555966</v>
          </cell>
        </row>
        <row r="114">
          <cell r="B114" t="str">
            <v>15B</v>
          </cell>
          <cell r="C114" t="str">
            <v>Demand</v>
          </cell>
          <cell r="D114" t="str">
            <v>Primary Non-Summer</v>
          </cell>
          <cell r="E114" t="str">
            <v>Non-Summer</v>
          </cell>
          <cell r="F114">
            <v>0.55142596829106105</v>
          </cell>
          <cell r="G114">
            <v>136250</v>
          </cell>
          <cell r="H114">
            <v>12.48</v>
          </cell>
          <cell r="I114">
            <v>1700400</v>
          </cell>
          <cell r="J114">
            <v>136250</v>
          </cell>
          <cell r="K114">
            <v>1498762.2200158723</v>
          </cell>
          <cell r="L114">
            <v>826456.40841031261</v>
          </cell>
        </row>
        <row r="115">
          <cell r="B115" t="str">
            <v>15B</v>
          </cell>
          <cell r="C115" t="str">
            <v>Energy</v>
          </cell>
          <cell r="E115" t="str">
            <v>Summer On-Peak</v>
          </cell>
          <cell r="F115">
            <v>0.24514229756435305</v>
          </cell>
          <cell r="G115">
            <v>6871309.9999999991</v>
          </cell>
          <cell r="H115">
            <v>2.0991900000000001E-2</v>
          </cell>
          <cell r="I115">
            <v>144241.85238899998</v>
          </cell>
          <cell r="J115">
            <v>6871309.9999999991</v>
          </cell>
          <cell r="K115">
            <v>2458464.0805741828</v>
          </cell>
          <cell r="L115">
            <v>602673.53319138999</v>
          </cell>
        </row>
        <row r="116">
          <cell r="B116" t="str">
            <v>15B</v>
          </cell>
          <cell r="C116" t="str">
            <v>Energy</v>
          </cell>
          <cell r="E116" t="str">
            <v>Summer Off-Peak</v>
          </cell>
          <cell r="F116">
            <v>0.15014553529152955</v>
          </cell>
          <cell r="G116">
            <v>10542070</v>
          </cell>
          <cell r="H116">
            <v>8.3803000000000002E-3</v>
          </cell>
          <cell r="I116">
            <v>88345.709220999997</v>
          </cell>
          <cell r="J116">
            <v>10542070</v>
          </cell>
          <cell r="K116">
            <v>2458464.0805741828</v>
          </cell>
          <cell r="L116">
            <v>369127.40537280869</v>
          </cell>
        </row>
        <row r="117">
          <cell r="B117" t="str">
            <v>15B</v>
          </cell>
          <cell r="C117" t="str">
            <v>Energy</v>
          </cell>
          <cell r="E117" t="str">
            <v>Non-Summer On-Peak</v>
          </cell>
          <cell r="F117">
            <v>0.32985893119006737</v>
          </cell>
          <cell r="G117">
            <v>11829800.000000002</v>
          </cell>
          <cell r="H117">
            <v>1.6406799999999999E-2</v>
          </cell>
          <cell r="I117">
            <v>194089.16264000002</v>
          </cell>
          <cell r="J117">
            <v>11829800.000000002</v>
          </cell>
          <cell r="K117">
            <v>2458464.0805741828</v>
          </cell>
          <cell r="L117">
            <v>810946.33398737165</v>
          </cell>
        </row>
        <row r="118">
          <cell r="B118" t="str">
            <v>15B</v>
          </cell>
          <cell r="C118" t="str">
            <v>Energy</v>
          </cell>
          <cell r="E118" t="str">
            <v>Non-Summer Off-Peak</v>
          </cell>
          <cell r="F118">
            <v>0.27485323595405009</v>
          </cell>
          <cell r="G118">
            <v>19298089.999999996</v>
          </cell>
          <cell r="H118">
            <v>8.3803000000000002E-3</v>
          </cell>
          <cell r="I118">
            <v>161723.78362699997</v>
          </cell>
          <cell r="J118">
            <v>19298089.999999996</v>
          </cell>
          <cell r="K118">
            <v>2458464.0805741828</v>
          </cell>
          <cell r="L118">
            <v>675716.80802261271</v>
          </cell>
        </row>
        <row r="119">
          <cell r="B119" t="str">
            <v>15B</v>
          </cell>
          <cell r="C119" t="str">
            <v>Reactive</v>
          </cell>
          <cell r="E119" t="str">
            <v>Billable RkVA Summer</v>
          </cell>
          <cell r="F119">
            <v>1</v>
          </cell>
          <cell r="G119">
            <v>0</v>
          </cell>
          <cell r="H119">
            <v>0.27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 t="str">
            <v>15B</v>
          </cell>
          <cell r="C120" t="str">
            <v>Reactive</v>
          </cell>
          <cell r="E120" t="str">
            <v>Billable RkVA Non-Summer</v>
          </cell>
          <cell r="F120">
            <v>1</v>
          </cell>
          <cell r="G120">
            <v>0</v>
          </cell>
          <cell r="H120">
            <v>0.27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 t="str">
            <v>30B</v>
          </cell>
          <cell r="C121" t="str">
            <v>Customer</v>
          </cell>
          <cell r="D121" t="str">
            <v>Customer Charge</v>
          </cell>
          <cell r="E121" t="str">
            <v>Customer Charge</v>
          </cell>
          <cell r="F121">
            <v>1</v>
          </cell>
          <cell r="G121">
            <v>12</v>
          </cell>
          <cell r="H121">
            <v>24245.96</v>
          </cell>
          <cell r="I121">
            <v>290951.52</v>
          </cell>
          <cell r="J121">
            <v>12</v>
          </cell>
          <cell r="K121">
            <v>649941.57090469566</v>
          </cell>
          <cell r="L121">
            <v>649941.57090469566</v>
          </cell>
        </row>
        <row r="122">
          <cell r="B122" t="str">
            <v>30B</v>
          </cell>
          <cell r="C122" t="str">
            <v>Demand</v>
          </cell>
          <cell r="D122" t="str">
            <v>Primary Summer</v>
          </cell>
          <cell r="E122" t="str">
            <v>Summer</v>
          </cell>
          <cell r="F122">
            <v>0.34129890433146698</v>
          </cell>
          <cell r="G122">
            <v>302734.84423763392</v>
          </cell>
          <cell r="H122">
            <v>29.24</v>
          </cell>
          <cell r="I122">
            <v>8851966.8455084153</v>
          </cell>
          <cell r="J122">
            <v>302734.84423763392</v>
          </cell>
          <cell r="K122">
            <v>26609481.913809799</v>
          </cell>
          <cell r="L122">
            <v>9081787.0220112707</v>
          </cell>
        </row>
        <row r="123">
          <cell r="B123" t="str">
            <v>30B</v>
          </cell>
          <cell r="C123" t="str">
            <v>Demand</v>
          </cell>
          <cell r="D123" t="str">
            <v>Primary Non-Summer</v>
          </cell>
          <cell r="E123" t="str">
            <v>Non-Summer</v>
          </cell>
          <cell r="F123">
            <v>0.65870109566853297</v>
          </cell>
          <cell r="G123">
            <v>826518.909034729</v>
          </cell>
          <cell r="H123">
            <v>20.67</v>
          </cell>
          <cell r="I123">
            <v>17084145.849747851</v>
          </cell>
          <cell r="J123">
            <v>826518.909034729</v>
          </cell>
          <cell r="K123">
            <v>26609481.913809799</v>
          </cell>
          <cell r="L123">
            <v>17527694.891798526</v>
          </cell>
        </row>
        <row r="124">
          <cell r="B124" t="str">
            <v>30B</v>
          </cell>
          <cell r="C124" t="str">
            <v>Energy</v>
          </cell>
          <cell r="E124" t="str">
            <v>Summer On-Peak</v>
          </cell>
          <cell r="F124">
            <v>0.14880115754495526</v>
          </cell>
          <cell r="G124">
            <v>64820437.202636957</v>
          </cell>
          <cell r="H124">
            <v>1.1701899999999999E-2</v>
          </cell>
          <cell r="I124">
            <v>758522.27410153742</v>
          </cell>
          <cell r="J124">
            <v>64820437.202636957</v>
          </cell>
          <cell r="K124">
            <v>6540490.9513250617</v>
          </cell>
          <cell r="L124">
            <v>973232.62446947489</v>
          </cell>
        </row>
        <row r="125">
          <cell r="B125" t="str">
            <v>30B</v>
          </cell>
          <cell r="C125" t="str">
            <v>Energy</v>
          </cell>
          <cell r="E125" t="str">
            <v>Summer Off-Peak</v>
          </cell>
          <cell r="F125">
            <v>0.12884103825683857</v>
          </cell>
          <cell r="G125">
            <v>115033881.46052738</v>
          </cell>
          <cell r="H125">
            <v>5.7093999999999999E-3</v>
          </cell>
          <cell r="I125">
            <v>656774.44281073497</v>
          </cell>
          <cell r="J125">
            <v>115033881.46052738</v>
          </cell>
          <cell r="K125">
            <v>6540490.9513250617</v>
          </cell>
          <cell r="L125">
            <v>842683.64487817872</v>
          </cell>
        </row>
        <row r="126">
          <cell r="B126" t="str">
            <v>30B</v>
          </cell>
          <cell r="C126" t="str">
            <v>Energy</v>
          </cell>
          <cell r="E126" t="str">
            <v>Non-Summer On-Peak</v>
          </cell>
          <cell r="F126">
            <v>0.33962480647703891</v>
          </cell>
          <cell r="G126">
            <v>190793097.06730145</v>
          </cell>
          <cell r="H126">
            <v>9.0740000000000005E-3</v>
          </cell>
          <cell r="I126">
            <v>1731256.5627886935</v>
          </cell>
          <cell r="J126">
            <v>190793097.06730145</v>
          </cell>
          <cell r="K126">
            <v>6540490.9513250617</v>
          </cell>
          <cell r="L126">
            <v>2221312.9736085981</v>
          </cell>
        </row>
        <row r="127">
          <cell r="B127" t="str">
            <v>30B</v>
          </cell>
          <cell r="C127" t="str">
            <v>Energy</v>
          </cell>
          <cell r="E127" t="str">
            <v>Non-Summer Off-Peak</v>
          </cell>
          <cell r="F127">
            <v>0.38273299772116731</v>
          </cell>
          <cell r="G127">
            <v>341717692.48803139</v>
          </cell>
          <cell r="H127">
            <v>5.7093999999999999E-3</v>
          </cell>
          <cell r="I127">
            <v>1951002.9934911663</v>
          </cell>
          <cell r="J127">
            <v>341717692.48803139</v>
          </cell>
          <cell r="K127">
            <v>6540490.9513250617</v>
          </cell>
          <cell r="L127">
            <v>2503261.7083688104</v>
          </cell>
        </row>
        <row r="128">
          <cell r="B128" t="str">
            <v>30B</v>
          </cell>
          <cell r="C128" t="str">
            <v>Reactive</v>
          </cell>
          <cell r="E128" t="str">
            <v>Billable RkVA Summer</v>
          </cell>
          <cell r="F128">
            <v>1</v>
          </cell>
          <cell r="G128">
            <v>13741.408352369144</v>
          </cell>
          <cell r="H128">
            <v>0.27</v>
          </cell>
          <cell r="I128">
            <v>3710.180255139669</v>
          </cell>
          <cell r="J128">
            <v>13741.408352369144</v>
          </cell>
          <cell r="K128">
            <v>3710.180255139669</v>
          </cell>
          <cell r="L128">
            <v>3710.180255139669</v>
          </cell>
        </row>
        <row r="129">
          <cell r="B129" t="str">
            <v>30B</v>
          </cell>
          <cell r="C129" t="str">
            <v>Reactive</v>
          </cell>
          <cell r="E129" t="str">
            <v>Billable RkVA Non-Summer</v>
          </cell>
          <cell r="F129">
            <v>1</v>
          </cell>
          <cell r="G129">
            <v>36897.737435914321</v>
          </cell>
          <cell r="H129">
            <v>0.27</v>
          </cell>
          <cell r="I129">
            <v>9962.3891076968666</v>
          </cell>
          <cell r="J129">
            <v>36897.737435914321</v>
          </cell>
          <cell r="K129">
            <v>9962.3891076968666</v>
          </cell>
          <cell r="L129">
            <v>9962.3891076968666</v>
          </cell>
        </row>
        <row r="130">
          <cell r="B130" t="str">
            <v>33B</v>
          </cell>
          <cell r="C130" t="str">
            <v>Customer</v>
          </cell>
          <cell r="D130" t="str">
            <v>Customer Charge</v>
          </cell>
          <cell r="E130" t="str">
            <v>Customer Charge</v>
          </cell>
          <cell r="F130">
            <v>1</v>
          </cell>
          <cell r="G130">
            <v>24</v>
          </cell>
          <cell r="H130">
            <v>447.01</v>
          </cell>
          <cell r="I130">
            <v>10728.24</v>
          </cell>
          <cell r="J130">
            <v>24</v>
          </cell>
          <cell r="K130">
            <v>11091.337068222076</v>
          </cell>
          <cell r="L130">
            <v>11091.337068222076</v>
          </cell>
        </row>
        <row r="131">
          <cell r="B131" t="str">
            <v>33B</v>
          </cell>
          <cell r="C131" t="str">
            <v>Demand</v>
          </cell>
          <cell r="D131" t="str">
            <v>Primary Summer</v>
          </cell>
          <cell r="E131" t="str">
            <v>Summer</v>
          </cell>
          <cell r="F131">
            <v>0.34648228402965192</v>
          </cell>
          <cell r="G131">
            <v>6520.0000000000009</v>
          </cell>
          <cell r="H131">
            <v>5.35</v>
          </cell>
          <cell r="I131">
            <v>34882</v>
          </cell>
          <cell r="J131">
            <v>6520.0000000000009</v>
          </cell>
          <cell r="K131">
            <v>11650.459678396146</v>
          </cell>
          <cell r="L131">
            <v>4036.6778793660606</v>
          </cell>
        </row>
        <row r="132">
          <cell r="B132" t="str">
            <v>33B</v>
          </cell>
          <cell r="C132" t="str">
            <v>Demand</v>
          </cell>
          <cell r="D132" t="str">
            <v>Primary Non-Summer</v>
          </cell>
          <cell r="E132" t="str">
            <v>Non-Summer</v>
          </cell>
          <cell r="F132">
            <v>0.65351771597034813</v>
          </cell>
          <cell r="G132">
            <v>17830.000000000004</v>
          </cell>
          <cell r="H132">
            <v>3.69</v>
          </cell>
          <cell r="I132">
            <v>65792.700000000012</v>
          </cell>
          <cell r="J132">
            <v>17830.000000000004</v>
          </cell>
          <cell r="K132">
            <v>11650.459678396146</v>
          </cell>
          <cell r="L132">
            <v>7613.7817990300864</v>
          </cell>
        </row>
        <row r="133">
          <cell r="B133" t="str">
            <v>33B</v>
          </cell>
          <cell r="C133" t="str">
            <v>Energy</v>
          </cell>
          <cell r="E133" t="str">
            <v>Summer On-Peak</v>
          </cell>
          <cell r="F133">
            <v>0.12999051393219208</v>
          </cell>
          <cell r="G133">
            <v>270210.00000000006</v>
          </cell>
          <cell r="H133">
            <v>2.4153500000000001E-2</v>
          </cell>
          <cell r="I133">
            <v>6526.5172350000021</v>
          </cell>
          <cell r="J133">
            <v>270210.00000000006</v>
          </cell>
          <cell r="K133">
            <v>156738.03095198178</v>
          </cell>
          <cell r="L133">
            <v>20374.457196167939</v>
          </cell>
        </row>
        <row r="134">
          <cell r="B134" t="str">
            <v>33B</v>
          </cell>
          <cell r="C134" t="str">
            <v>Energy</v>
          </cell>
          <cell r="E134" t="str">
            <v>Summer Off-Peak</v>
          </cell>
          <cell r="F134">
            <v>0.12727587312122579</v>
          </cell>
          <cell r="G134">
            <v>533920</v>
          </cell>
          <cell r="H134">
            <v>1.19685E-2</v>
          </cell>
          <cell r="I134">
            <v>6390.2215200000001</v>
          </cell>
          <cell r="J134">
            <v>533920</v>
          </cell>
          <cell r="K134">
            <v>156738.03095198178</v>
          </cell>
          <cell r="L134">
            <v>19948.969740715194</v>
          </cell>
        </row>
        <row r="135">
          <cell r="B135" t="str">
            <v>33B</v>
          </cell>
          <cell r="C135" t="str">
            <v>Energy</v>
          </cell>
          <cell r="E135" t="str">
            <v>Non-Summer On-Peak</v>
          </cell>
          <cell r="F135">
            <v>0.34610259284716144</v>
          </cell>
          <cell r="G135">
            <v>881030.00000000012</v>
          </cell>
          <cell r="H135">
            <v>1.9723500000000001E-2</v>
          </cell>
          <cell r="I135">
            <v>17376.995205000003</v>
          </cell>
          <cell r="J135">
            <v>881030.00000000012</v>
          </cell>
          <cell r="K135">
            <v>156738.03095198178</v>
          </cell>
          <cell r="L135">
            <v>54247.438910239536</v>
          </cell>
        </row>
        <row r="136">
          <cell r="B136" t="str">
            <v>33B</v>
          </cell>
          <cell r="C136" t="str">
            <v>Energy</v>
          </cell>
          <cell r="E136" t="str">
            <v>Non-Summer Off-Peak</v>
          </cell>
          <cell r="F136">
            <v>0.39663102009942075</v>
          </cell>
          <cell r="G136">
            <v>1663860</v>
          </cell>
          <cell r="H136">
            <v>1.19685E-2</v>
          </cell>
          <cell r="I136">
            <v>19913.90841</v>
          </cell>
          <cell r="J136">
            <v>1663860</v>
          </cell>
          <cell r="K136">
            <v>156738.03095198178</v>
          </cell>
          <cell r="L136">
            <v>62167.165104859116</v>
          </cell>
        </row>
        <row r="137">
          <cell r="B137" t="str">
            <v>33B</v>
          </cell>
          <cell r="C137" t="str">
            <v>Reactive</v>
          </cell>
          <cell r="E137" t="str">
            <v>Billable RkVA Summer</v>
          </cell>
          <cell r="F137">
            <v>1</v>
          </cell>
          <cell r="G137">
            <v>69619.999999999985</v>
          </cell>
          <cell r="H137">
            <v>0.27</v>
          </cell>
          <cell r="I137">
            <v>18797.399999999998</v>
          </cell>
          <cell r="J137">
            <v>69619.999999999985</v>
          </cell>
          <cell r="K137">
            <v>18797.399999999998</v>
          </cell>
          <cell r="L137">
            <v>18797.399999999998</v>
          </cell>
        </row>
        <row r="138">
          <cell r="B138" t="str">
            <v>33B</v>
          </cell>
          <cell r="C138" t="str">
            <v>Reactive</v>
          </cell>
          <cell r="E138" t="str">
            <v>Billable RkVA Non-Summer</v>
          </cell>
          <cell r="F138">
            <v>1</v>
          </cell>
          <cell r="G138">
            <v>169719.99999999997</v>
          </cell>
          <cell r="H138">
            <v>0.27</v>
          </cell>
          <cell r="I138">
            <v>45824.399999999994</v>
          </cell>
          <cell r="J138">
            <v>169719.99999999997</v>
          </cell>
          <cell r="K138">
            <v>45824.399999999994</v>
          </cell>
          <cell r="L138">
            <v>45824.399999999994</v>
          </cell>
        </row>
        <row r="139">
          <cell r="B139" t="str">
            <v>35B</v>
          </cell>
          <cell r="C139" t="str">
            <v>Customer</v>
          </cell>
          <cell r="D139" t="str">
            <v>Customer Charge</v>
          </cell>
          <cell r="E139" t="str">
            <v>Customer Charge</v>
          </cell>
          <cell r="F139">
            <v>1</v>
          </cell>
          <cell r="G139">
            <v>48</v>
          </cell>
          <cell r="H139">
            <v>2724.28</v>
          </cell>
          <cell r="I139">
            <v>130765.44</v>
          </cell>
          <cell r="J139">
            <v>48</v>
          </cell>
          <cell r="K139">
            <v>181292.11181204207</v>
          </cell>
          <cell r="L139">
            <v>181292.11181204207</v>
          </cell>
        </row>
        <row r="140">
          <cell r="B140" t="str">
            <v>35B</v>
          </cell>
          <cell r="C140" t="str">
            <v>Demand</v>
          </cell>
          <cell r="D140" t="str">
            <v>Primary Summer</v>
          </cell>
          <cell r="E140" t="str">
            <v>Summer</v>
          </cell>
          <cell r="F140">
            <v>0.3470586721343823</v>
          </cell>
          <cell r="G140">
            <v>81340</v>
          </cell>
          <cell r="H140">
            <v>24.37</v>
          </cell>
          <cell r="I140">
            <v>1982255.8</v>
          </cell>
          <cell r="J140">
            <v>81340</v>
          </cell>
          <cell r="K140">
            <v>5868945.0234909579</v>
          </cell>
          <cell r="L140">
            <v>2036868.266682463</v>
          </cell>
        </row>
        <row r="141">
          <cell r="B141" t="str">
            <v>35B</v>
          </cell>
          <cell r="C141" t="str">
            <v>Demand</v>
          </cell>
          <cell r="D141" t="str">
            <v>Primary Non-Summer</v>
          </cell>
          <cell r="E141" t="str">
            <v>Non-Summer</v>
          </cell>
          <cell r="F141">
            <v>0.65294132786561765</v>
          </cell>
          <cell r="G141">
            <v>237840</v>
          </cell>
          <cell r="H141">
            <v>15.68</v>
          </cell>
          <cell r="I141">
            <v>3729331.1999999997</v>
          </cell>
          <cell r="J141">
            <v>237840</v>
          </cell>
          <cell r="K141">
            <v>5868945.0234909579</v>
          </cell>
          <cell r="L141">
            <v>3832076.7568084947</v>
          </cell>
        </row>
        <row r="142">
          <cell r="B142" t="str">
            <v>35B</v>
          </cell>
          <cell r="C142" t="str">
            <v>Energy</v>
          </cell>
          <cell r="E142" t="str">
            <v>Summer On-Peak</v>
          </cell>
          <cell r="F142">
            <v>0.14897848427829272</v>
          </cell>
          <cell r="G142">
            <v>17450180</v>
          </cell>
          <cell r="H142">
            <v>1.30253E-2</v>
          </cell>
          <cell r="I142">
            <v>227293.829554</v>
          </cell>
          <cell r="J142">
            <v>17450180</v>
          </cell>
          <cell r="K142">
            <v>3389512.8769431878</v>
          </cell>
          <cell r="L142">
            <v>504964.49084875139</v>
          </cell>
        </row>
        <row r="143">
          <cell r="B143" t="str">
            <v>35B</v>
          </cell>
          <cell r="C143" t="str">
            <v>Energy</v>
          </cell>
          <cell r="E143" t="str">
            <v>Summer Off-Peak</v>
          </cell>
          <cell r="F143">
            <v>0.14159315395786681</v>
          </cell>
          <cell r="G143">
            <v>31934329.999999996</v>
          </cell>
          <cell r="H143">
            <v>6.7647000000000002E-3</v>
          </cell>
          <cell r="I143">
            <v>216026.16215099997</v>
          </cell>
          <cell r="J143">
            <v>31934329.999999996</v>
          </cell>
          <cell r="K143">
            <v>3389512.8769431878</v>
          </cell>
          <cell r="L143">
            <v>479931.81862718886</v>
          </cell>
        </row>
        <row r="144">
          <cell r="B144" t="str">
            <v>35B</v>
          </cell>
          <cell r="C144" t="str">
            <v>Energy</v>
          </cell>
          <cell r="E144" t="str">
            <v>Non-Summer On-Peak</v>
          </cell>
          <cell r="F144">
            <v>0.31948154655683791</v>
          </cell>
          <cell r="G144">
            <v>47655239.999999993</v>
          </cell>
          <cell r="H144">
            <v>1.02282E-2</v>
          </cell>
          <cell r="I144">
            <v>487427.32576799992</v>
          </cell>
          <cell r="J144">
            <v>47655239.999999993</v>
          </cell>
          <cell r="K144">
            <v>3389512.8769431878</v>
          </cell>
          <cell r="L144">
            <v>1082886.8160001268</v>
          </cell>
        </row>
        <row r="145">
          <cell r="B145" t="str">
            <v>35B</v>
          </cell>
          <cell r="C145" t="str">
            <v>Energy</v>
          </cell>
          <cell r="E145" t="str">
            <v>Non-Summer Off-Peak</v>
          </cell>
          <cell r="F145">
            <v>0.38994681520700258</v>
          </cell>
          <cell r="G145">
            <v>87946980.000000015</v>
          </cell>
          <cell r="H145">
            <v>6.7647000000000002E-3</v>
          </cell>
          <cell r="I145">
            <v>594934.93560600013</v>
          </cell>
          <cell r="J145">
            <v>87946980.000000015</v>
          </cell>
          <cell r="K145">
            <v>3389512.8769431878</v>
          </cell>
          <cell r="L145">
            <v>1321729.7514671208</v>
          </cell>
        </row>
        <row r="146">
          <cell r="B146" t="str">
            <v>35B</v>
          </cell>
          <cell r="C146" t="str">
            <v>Reactive</v>
          </cell>
          <cell r="E146" t="str">
            <v>Billable RkVA Summer</v>
          </cell>
          <cell r="F146">
            <v>1</v>
          </cell>
          <cell r="G146">
            <v>0</v>
          </cell>
          <cell r="H146">
            <v>0.27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35B</v>
          </cell>
          <cell r="C147" t="str">
            <v>Reactive</v>
          </cell>
          <cell r="E147" t="str">
            <v>Billable RkVA Non-Summer</v>
          </cell>
          <cell r="F147">
            <v>1</v>
          </cell>
          <cell r="G147">
            <v>0</v>
          </cell>
          <cell r="H147">
            <v>0.27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35B</v>
          </cell>
          <cell r="C148" t="str">
            <v>Other</v>
          </cell>
          <cell r="E148" t="str">
            <v>IIPR Recovery</v>
          </cell>
          <cell r="I148">
            <v>1489741.96</v>
          </cell>
          <cell r="L148">
            <v>0</v>
          </cell>
        </row>
        <row r="149">
          <cell r="B149" t="str">
            <v>36B</v>
          </cell>
          <cell r="C149" t="str">
            <v>Customer</v>
          </cell>
          <cell r="D149" t="str">
            <v>Customer Charge</v>
          </cell>
          <cell r="E149" t="str">
            <v>Customer Charge</v>
          </cell>
          <cell r="F149">
            <v>1</v>
          </cell>
          <cell r="G149">
            <v>12</v>
          </cell>
          <cell r="H149">
            <v>3705.85</v>
          </cell>
          <cell r="I149">
            <v>44470.2</v>
          </cell>
          <cell r="J149">
            <v>12</v>
          </cell>
          <cell r="K149">
            <v>299187.72007381549</v>
          </cell>
          <cell r="L149">
            <v>299187.72007381549</v>
          </cell>
        </row>
        <row r="150">
          <cell r="B150" t="str">
            <v>36B</v>
          </cell>
          <cell r="C150" t="str">
            <v>Demand</v>
          </cell>
          <cell r="D150" t="str">
            <v>Primary Summer</v>
          </cell>
          <cell r="E150" t="str">
            <v>Transmission Demand Charge</v>
          </cell>
          <cell r="F150">
            <v>0.88827838827838823</v>
          </cell>
          <cell r="G150">
            <v>2097285.5330520445</v>
          </cell>
          <cell r="H150">
            <v>3.9</v>
          </cell>
          <cell r="I150">
            <v>8179413.5789029729</v>
          </cell>
          <cell r="J150">
            <v>2097285.5330520445</v>
          </cell>
          <cell r="K150">
            <v>11451179.010464162</v>
          </cell>
          <cell r="L150">
            <v>10171834.835302414</v>
          </cell>
        </row>
        <row r="151">
          <cell r="B151" t="str">
            <v>36B</v>
          </cell>
          <cell r="C151" t="str">
            <v>Demand</v>
          </cell>
          <cell r="D151" t="str">
            <v>Primary Non-Summer</v>
          </cell>
          <cell r="E151" t="str">
            <v>Contribution to Production Component</v>
          </cell>
          <cell r="F151">
            <v>0.11172161172161177</v>
          </cell>
          <cell r="G151">
            <v>2097285.5330520445</v>
          </cell>
          <cell r="H151">
            <v>0</v>
          </cell>
          <cell r="I151">
            <v>0</v>
          </cell>
          <cell r="J151">
            <v>2097285.5330520445</v>
          </cell>
          <cell r="K151">
            <v>11451179.010464162</v>
          </cell>
          <cell r="L151">
            <v>1279344.1751617475</v>
          </cell>
        </row>
        <row r="152">
          <cell r="B152" t="str">
            <v>36B</v>
          </cell>
          <cell r="C152" t="str">
            <v>Energy</v>
          </cell>
          <cell r="E152" t="str">
            <v>Energy Related Non-Fuel Charge</v>
          </cell>
          <cell r="F152">
            <v>1</v>
          </cell>
          <cell r="G152">
            <v>315069291.27037501</v>
          </cell>
          <cell r="H152">
            <v>5.6917000000000001E-3</v>
          </cell>
          <cell r="I152">
            <v>1793279.8851235935</v>
          </cell>
          <cell r="J152">
            <v>315069291.27037501</v>
          </cell>
          <cell r="K152">
            <v>6913501.1343130339</v>
          </cell>
          <cell r="L152">
            <v>6913501.1343130339</v>
          </cell>
        </row>
        <row r="153">
          <cell r="B153" t="str">
            <v>36B</v>
          </cell>
          <cell r="C153" t="str">
            <v>Energy</v>
          </cell>
          <cell r="E153" t="str">
            <v>Original Contribution to Production Component</v>
          </cell>
          <cell r="F153">
            <v>0</v>
          </cell>
          <cell r="G153">
            <v>315069291.27037501</v>
          </cell>
          <cell r="H153">
            <v>2.31074E-2</v>
          </cell>
          <cell r="I153">
            <v>7280432.1411010632</v>
          </cell>
          <cell r="J153">
            <v>0</v>
          </cell>
          <cell r="K153">
            <v>6913501.1343130339</v>
          </cell>
          <cell r="L153">
            <v>0</v>
          </cell>
        </row>
        <row r="154">
          <cell r="B154">
            <v>6</v>
          </cell>
          <cell r="C154" t="str">
            <v>Customer</v>
          </cell>
          <cell r="E154" t="str">
            <v>175W MV Lt (73 kWh) - (LA12)</v>
          </cell>
          <cell r="F154">
            <v>0.12538573798363548</v>
          </cell>
          <cell r="G154">
            <v>26247</v>
          </cell>
          <cell r="H154">
            <v>11.57</v>
          </cell>
          <cell r="I154">
            <v>303677.78999999998</v>
          </cell>
          <cell r="J154">
            <v>26247</v>
          </cell>
          <cell r="K154">
            <v>2613249.0200149617</v>
          </cell>
          <cell r="L154">
            <v>327664.15690958814</v>
          </cell>
        </row>
        <row r="155">
          <cell r="B155">
            <v>6</v>
          </cell>
          <cell r="C155" t="str">
            <v>Customer</v>
          </cell>
          <cell r="E155" t="str">
            <v>175W MV Lt (73 kWh) - (LA1A)</v>
          </cell>
          <cell r="F155">
            <v>5.8328946575996854E-2</v>
          </cell>
          <cell r="G155">
            <v>12210</v>
          </cell>
          <cell r="H155">
            <v>11.57</v>
          </cell>
          <cell r="I155">
            <v>141269.70000000001</v>
          </cell>
          <cell r="J155">
            <v>12210</v>
          </cell>
          <cell r="K155">
            <v>2613249.0200149617</v>
          </cell>
          <cell r="L155">
            <v>152428.06247822882</v>
          </cell>
        </row>
        <row r="156">
          <cell r="B156">
            <v>6</v>
          </cell>
          <cell r="C156" t="str">
            <v>Customer</v>
          </cell>
          <cell r="E156" t="str">
            <v>400W MV Lt (162 kWh) - (LAFA)</v>
          </cell>
          <cell r="F156">
            <v>2.2872122107373365E-2</v>
          </cell>
          <cell r="G156">
            <v>2419</v>
          </cell>
          <cell r="H156">
            <v>22.9</v>
          </cell>
          <cell r="I156">
            <v>55395.1</v>
          </cell>
          <cell r="J156">
            <v>2419</v>
          </cell>
          <cell r="K156">
            <v>2613249.0200149617</v>
          </cell>
          <cell r="L156">
            <v>59770.550682755988</v>
          </cell>
        </row>
        <row r="157">
          <cell r="B157">
            <v>6</v>
          </cell>
          <cell r="C157" t="str">
            <v>Customer</v>
          </cell>
          <cell r="E157" t="str">
            <v>400W MH Lt (162 kWh) - (LAMA)</v>
          </cell>
          <cell r="F157">
            <v>2.6151564367336934E-2</v>
          </cell>
          <cell r="G157">
            <v>2581</v>
          </cell>
          <cell r="H157">
            <v>24.54</v>
          </cell>
          <cell r="I157">
            <v>63337.74</v>
          </cell>
          <cell r="J157">
            <v>2581</v>
          </cell>
          <cell r="K157">
            <v>2613249.0200149617</v>
          </cell>
          <cell r="L157">
            <v>68340.549954801434</v>
          </cell>
        </row>
        <row r="158">
          <cell r="B158">
            <v>6</v>
          </cell>
          <cell r="C158" t="str">
            <v>Customer</v>
          </cell>
          <cell r="E158" t="str">
            <v>1,000W MH Lt (380 kWh) - (LANA)</v>
          </cell>
          <cell r="F158">
            <v>4.9265087156562968E-3</v>
          </cell>
          <cell r="G158">
            <v>225</v>
          </cell>
          <cell r="H158">
            <v>53.03</v>
          </cell>
          <cell r="I158">
            <v>11931.75</v>
          </cell>
          <cell r="J158">
            <v>225</v>
          </cell>
          <cell r="K158">
            <v>2613249.0200149617</v>
          </cell>
          <cell r="L158">
            <v>12874.194073283985</v>
          </cell>
        </row>
        <row r="159">
          <cell r="B159">
            <v>6</v>
          </cell>
          <cell r="C159" t="str">
            <v>Customer</v>
          </cell>
          <cell r="E159" t="str">
            <v>100W HPS Lt (45 kWh) - (LA32)</v>
          </cell>
          <cell r="F159">
            <v>0.21928625961406722</v>
          </cell>
          <cell r="G159">
            <v>57169</v>
          </cell>
          <cell r="H159">
            <v>9.2899999999999991</v>
          </cell>
          <cell r="I159">
            <v>531100.01</v>
          </cell>
          <cell r="J159">
            <v>57169</v>
          </cell>
          <cell r="K159">
            <v>2613249.0200149617</v>
          </cell>
          <cell r="L159">
            <v>573049.60303920764</v>
          </cell>
        </row>
        <row r="160">
          <cell r="B160">
            <v>6</v>
          </cell>
          <cell r="C160" t="str">
            <v>Customer</v>
          </cell>
          <cell r="E160" t="str">
            <v>100W HPS Lt (45 kWh) - (LA3A)</v>
          </cell>
          <cell r="F160">
            <v>9.1655358209486545E-2</v>
          </cell>
          <cell r="G160">
            <v>23895</v>
          </cell>
          <cell r="H160">
            <v>9.2899999999999991</v>
          </cell>
          <cell r="I160">
            <v>221984.55</v>
          </cell>
          <cell r="J160">
            <v>23895</v>
          </cell>
          <cell r="K160">
            <v>2613249.0200149617</v>
          </cell>
          <cell r="L160">
            <v>239518.275020061</v>
          </cell>
        </row>
        <row r="161">
          <cell r="B161">
            <v>6</v>
          </cell>
          <cell r="C161" t="str">
            <v>Customer</v>
          </cell>
          <cell r="E161" t="str">
            <v>200W HPS Lt (89 kWh) - (LAOA)</v>
          </cell>
          <cell r="F161">
            <v>3.5952788788127859E-3</v>
          </cell>
          <cell r="G161">
            <v>574</v>
          </cell>
          <cell r="H161">
            <v>15.17</v>
          </cell>
          <cell r="I161">
            <v>8707.58</v>
          </cell>
          <cell r="J161">
            <v>574</v>
          </cell>
          <cell r="K161">
            <v>2613249.0200149617</v>
          </cell>
          <cell r="L161">
            <v>9395.3590067380028</v>
          </cell>
        </row>
        <row r="162">
          <cell r="B162">
            <v>6</v>
          </cell>
          <cell r="C162" t="str">
            <v>Customer</v>
          </cell>
          <cell r="E162" t="str">
            <v>200W HPS Lt (89 kWh) - (LATA)</v>
          </cell>
          <cell r="F162">
            <v>5.850157618137878E-2</v>
          </cell>
          <cell r="G162">
            <v>9340</v>
          </cell>
          <cell r="H162">
            <v>15.17</v>
          </cell>
          <cell r="I162">
            <v>141687.79999999999</v>
          </cell>
          <cell r="J162">
            <v>9340</v>
          </cell>
          <cell r="K162">
            <v>2613249.0200149617</v>
          </cell>
          <cell r="L162">
            <v>152879.18662531872</v>
          </cell>
        </row>
        <row r="163">
          <cell r="B163">
            <v>6</v>
          </cell>
          <cell r="C163" t="str">
            <v>Customer</v>
          </cell>
          <cell r="E163" t="str">
            <v>400W HPS FL (165 kWh) - (LA42)</v>
          </cell>
          <cell r="F163">
            <v>0.20933182383793289</v>
          </cell>
          <cell r="G163">
            <v>19976</v>
          </cell>
          <cell r="H163">
            <v>25.38</v>
          </cell>
          <cell r="I163">
            <v>506990.88</v>
          </cell>
          <cell r="J163">
            <v>19976</v>
          </cell>
          <cell r="K163">
            <v>2613249.0200149617</v>
          </cell>
          <cell r="L163">
            <v>547036.18350242276</v>
          </cell>
        </row>
        <row r="164">
          <cell r="B164">
            <v>6</v>
          </cell>
          <cell r="C164" t="str">
            <v>Customer</v>
          </cell>
          <cell r="E164" t="str">
            <v>400W HPS FL (165 kWh) (30' Wood Pole) - (LB42)</v>
          </cell>
          <cell r="F164">
            <v>6.1334559717832457E-2</v>
          </cell>
          <cell r="G164">
            <v>5853</v>
          </cell>
          <cell r="H164">
            <v>25.38</v>
          </cell>
          <cell r="I164">
            <v>148549.13999999998</v>
          </cell>
          <cell r="J164">
            <v>5853</v>
          </cell>
          <cell r="K164">
            <v>2613249.0200149617</v>
          </cell>
          <cell r="L164">
            <v>160282.47807567482</v>
          </cell>
        </row>
        <row r="165">
          <cell r="B165">
            <v>6</v>
          </cell>
          <cell r="C165" t="str">
            <v>Customer</v>
          </cell>
          <cell r="E165" t="str">
            <v>400W HPS FL (165 kWh) (35' Wood Pole) - (LC42)</v>
          </cell>
          <cell r="F165">
            <v>7.4433517456990256E-2</v>
          </cell>
          <cell r="G165">
            <v>7103</v>
          </cell>
          <cell r="H165">
            <v>25.38</v>
          </cell>
          <cell r="I165">
            <v>180274.13999999998</v>
          </cell>
          <cell r="J165">
            <v>7103</v>
          </cell>
          <cell r="K165">
            <v>2613249.0200149617</v>
          </cell>
          <cell r="L165">
            <v>194513.31655074633</v>
          </cell>
        </row>
        <row r="166">
          <cell r="B166">
            <v>6</v>
          </cell>
          <cell r="C166" t="str">
            <v>Customer</v>
          </cell>
          <cell r="E166" t="str">
            <v>400W HPS FL (165 kWh) (40' Wood Pole) - (LD42)</v>
          </cell>
          <cell r="F166">
            <v>1.5089999315509779E-3</v>
          </cell>
          <cell r="G166">
            <v>144</v>
          </cell>
          <cell r="H166">
            <v>25.38</v>
          </cell>
          <cell r="I166">
            <v>3654.72</v>
          </cell>
          <cell r="J166">
            <v>144</v>
          </cell>
          <cell r="K166">
            <v>2613249.0200149617</v>
          </cell>
          <cell r="L166">
            <v>3943.3925923282372</v>
          </cell>
        </row>
        <row r="167">
          <cell r="B167">
            <v>6</v>
          </cell>
          <cell r="C167" t="str">
            <v>Customer</v>
          </cell>
          <cell r="E167" t="str">
            <v>400W HPS Lt (165 kWh) - (LA4A)</v>
          </cell>
          <cell r="F167">
            <v>2.7664998745101262E-3</v>
          </cell>
          <cell r="G167">
            <v>264</v>
          </cell>
          <cell r="H167">
            <v>25.38</v>
          </cell>
          <cell r="I167">
            <v>6700.32</v>
          </cell>
          <cell r="J167">
            <v>264</v>
          </cell>
          <cell r="K167">
            <v>2613249.0200149617</v>
          </cell>
          <cell r="L167">
            <v>7229.553085935102</v>
          </cell>
        </row>
        <row r="168">
          <cell r="B168">
            <v>6</v>
          </cell>
          <cell r="C168" t="str">
            <v>Customer</v>
          </cell>
          <cell r="E168" t="str">
            <v>Pole Charge (wood) - (L0LA)</v>
          </cell>
          <cell r="F168">
            <v>3.9921246547438852E-2</v>
          </cell>
          <cell r="G168">
            <v>31805</v>
          </cell>
          <cell r="H168">
            <v>3.04</v>
          </cell>
          <cell r="I168">
            <v>96687.2</v>
          </cell>
          <cell r="J168">
            <v>31805</v>
          </cell>
          <cell r="K168">
            <v>2613249.0200149617</v>
          </cell>
          <cell r="L168">
            <v>104324.15841787025</v>
          </cell>
        </row>
        <row r="169">
          <cell r="B169">
            <v>20</v>
          </cell>
          <cell r="C169" t="str">
            <v>Customer</v>
          </cell>
          <cell r="E169" t="str">
            <v>175W Mercury Vapor and Streetlight - Co Own</v>
          </cell>
          <cell r="F169">
            <v>9.4659777816414367E-2</v>
          </cell>
          <cell r="G169">
            <v>28141</v>
          </cell>
          <cell r="H169">
            <v>14.14</v>
          </cell>
          <cell r="I169">
            <v>397913.74</v>
          </cell>
          <cell r="J169">
            <v>28141</v>
          </cell>
          <cell r="K169">
            <v>4261407.3626719741</v>
          </cell>
          <cell r="L169">
            <v>403383.87413576141</v>
          </cell>
        </row>
        <row r="170">
          <cell r="B170">
            <v>20</v>
          </cell>
          <cell r="C170" t="str">
            <v>Customer</v>
          </cell>
          <cell r="E170" t="str">
            <v>400W Mercury Vapor Streetlight - Co Own</v>
          </cell>
          <cell r="F170">
            <v>1.0541885200895076E-2</v>
          </cell>
          <cell r="G170">
            <v>2064</v>
          </cell>
          <cell r="H170">
            <v>21.47</v>
          </cell>
          <cell r="I170">
            <v>44314.079999999994</v>
          </cell>
          <cell r="J170">
            <v>2064</v>
          </cell>
          <cell r="K170">
            <v>4261407.3626719741</v>
          </cell>
          <cell r="L170">
            <v>44923.267211537001</v>
          </cell>
        </row>
        <row r="171">
          <cell r="B171">
            <v>20</v>
          </cell>
          <cell r="C171" t="str">
            <v>Customer</v>
          </cell>
          <cell r="E171" t="str">
            <v>55W Low Pressure Sodium Street Light - Co Own</v>
          </cell>
          <cell r="F171">
            <v>0</v>
          </cell>
          <cell r="G171">
            <v>0</v>
          </cell>
          <cell r="H171">
            <v>12.7</v>
          </cell>
          <cell r="I171">
            <v>0</v>
          </cell>
          <cell r="J171">
            <v>0</v>
          </cell>
          <cell r="K171">
            <v>4261407.3626719741</v>
          </cell>
          <cell r="L171">
            <v>0</v>
          </cell>
        </row>
        <row r="172">
          <cell r="B172">
            <v>20</v>
          </cell>
          <cell r="C172" t="str">
            <v>Customer</v>
          </cell>
          <cell r="E172" t="str">
            <v>135W Low Pressure Sodium Street Light - Co Own</v>
          </cell>
          <cell r="F172">
            <v>0</v>
          </cell>
          <cell r="G172">
            <v>0</v>
          </cell>
          <cell r="H172">
            <v>17.13</v>
          </cell>
          <cell r="I172">
            <v>0</v>
          </cell>
          <cell r="J172">
            <v>0</v>
          </cell>
          <cell r="K172">
            <v>4261407.3626719741</v>
          </cell>
          <cell r="L172">
            <v>0</v>
          </cell>
        </row>
        <row r="173">
          <cell r="B173">
            <v>20</v>
          </cell>
          <cell r="C173" t="str">
            <v>Customer</v>
          </cell>
          <cell r="E173" t="str">
            <v>70W High Pressure Sodium Street Light - Co Own</v>
          </cell>
          <cell r="F173">
            <v>0</v>
          </cell>
          <cell r="G173">
            <v>0</v>
          </cell>
          <cell r="H173">
            <v>10.95</v>
          </cell>
          <cell r="I173">
            <v>0</v>
          </cell>
          <cell r="J173">
            <v>0</v>
          </cell>
          <cell r="K173">
            <v>4261407.3626719741</v>
          </cell>
          <cell r="L173">
            <v>0</v>
          </cell>
        </row>
        <row r="174">
          <cell r="B174">
            <v>20</v>
          </cell>
          <cell r="C174" t="str">
            <v>Customer</v>
          </cell>
          <cell r="E174" t="str">
            <v>100W High Pressure Sodium Street Light - Co Own</v>
          </cell>
          <cell r="F174">
            <v>0</v>
          </cell>
          <cell r="G174">
            <v>0</v>
          </cell>
          <cell r="H174">
            <v>12.02</v>
          </cell>
          <cell r="I174">
            <v>0</v>
          </cell>
          <cell r="J174">
            <v>0</v>
          </cell>
          <cell r="K174">
            <v>4261407.3626719741</v>
          </cell>
          <cell r="L174">
            <v>0</v>
          </cell>
        </row>
        <row r="175">
          <cell r="B175">
            <v>20</v>
          </cell>
          <cell r="C175" t="str">
            <v>Customer</v>
          </cell>
          <cell r="E175" t="str">
            <v>200W High Pressure Sodium Street Light - Co Own</v>
          </cell>
          <cell r="F175">
            <v>0</v>
          </cell>
          <cell r="G175">
            <v>0</v>
          </cell>
          <cell r="H175">
            <v>14.99</v>
          </cell>
          <cell r="I175">
            <v>0</v>
          </cell>
          <cell r="J175">
            <v>0</v>
          </cell>
          <cell r="K175">
            <v>4261407.3626719741</v>
          </cell>
          <cell r="L175">
            <v>0</v>
          </cell>
        </row>
        <row r="176">
          <cell r="B176">
            <v>20</v>
          </cell>
          <cell r="C176" t="str">
            <v>Customer</v>
          </cell>
          <cell r="E176" t="str">
            <v>250W High Pressure Sodium Street Light - Co Own</v>
          </cell>
          <cell r="F176">
            <v>0</v>
          </cell>
          <cell r="G176">
            <v>0</v>
          </cell>
          <cell r="H176">
            <v>17.29</v>
          </cell>
          <cell r="I176">
            <v>0</v>
          </cell>
          <cell r="J176">
            <v>0</v>
          </cell>
          <cell r="K176">
            <v>4261407.3626719741</v>
          </cell>
          <cell r="L176">
            <v>0</v>
          </cell>
        </row>
        <row r="177">
          <cell r="B177">
            <v>20</v>
          </cell>
          <cell r="C177" t="str">
            <v>Customer</v>
          </cell>
          <cell r="E177" t="str">
            <v>400W High Pressure Sodium Flood Light - Co Own</v>
          </cell>
          <cell r="F177">
            <v>0</v>
          </cell>
          <cell r="G177">
            <v>0</v>
          </cell>
          <cell r="H177">
            <v>21.7</v>
          </cell>
          <cell r="I177">
            <v>0</v>
          </cell>
          <cell r="J177">
            <v>0</v>
          </cell>
          <cell r="K177">
            <v>4261407.3626719741</v>
          </cell>
          <cell r="L177">
            <v>0</v>
          </cell>
        </row>
        <row r="178">
          <cell r="B178">
            <v>20</v>
          </cell>
          <cell r="C178" t="str">
            <v>Customer</v>
          </cell>
          <cell r="E178" t="str">
            <v>400W High Pressure Sodium Street Light - Co Own</v>
          </cell>
          <cell r="F178">
            <v>0</v>
          </cell>
          <cell r="G178">
            <v>0</v>
          </cell>
          <cell r="H178">
            <v>21.7</v>
          </cell>
          <cell r="I178">
            <v>0</v>
          </cell>
          <cell r="J178">
            <v>0</v>
          </cell>
          <cell r="K178">
            <v>4261407.3626719741</v>
          </cell>
          <cell r="L178">
            <v>0</v>
          </cell>
        </row>
        <row r="179">
          <cell r="B179">
            <v>20</v>
          </cell>
          <cell r="C179" t="str">
            <v>Customer</v>
          </cell>
          <cell r="E179" t="str">
            <v>175W Mercury Vapor and Streetlight - Cu Own</v>
          </cell>
          <cell r="F179">
            <v>3.7850423703982448E-3</v>
          </cell>
          <cell r="G179">
            <v>2872</v>
          </cell>
          <cell r="H179">
            <v>5.54</v>
          </cell>
          <cell r="I179">
            <v>15910.88</v>
          </cell>
          <cell r="J179">
            <v>2872</v>
          </cell>
          <cell r="K179">
            <v>4261407.3626719741</v>
          </cell>
          <cell r="L179">
            <v>16129.607425240461</v>
          </cell>
        </row>
        <row r="180">
          <cell r="B180">
            <v>20</v>
          </cell>
          <cell r="C180" t="str">
            <v>Customer</v>
          </cell>
          <cell r="E180" t="str">
            <v>400W Mercury Vapor Streetlight - Cu Own</v>
          </cell>
          <cell r="F180">
            <v>9.0210103541497905E-3</v>
          </cell>
          <cell r="G180">
            <v>3083</v>
          </cell>
          <cell r="H180">
            <v>12.3</v>
          </cell>
          <cell r="I180">
            <v>37920.9</v>
          </cell>
          <cell r="J180">
            <v>3083</v>
          </cell>
          <cell r="K180">
            <v>4261407.3626719741</v>
          </cell>
          <cell r="L180">
            <v>38442.199941914027</v>
          </cell>
        </row>
        <row r="181">
          <cell r="B181">
            <v>20</v>
          </cell>
          <cell r="C181" t="str">
            <v>Customer</v>
          </cell>
          <cell r="E181" t="str">
            <v>55W Low Pressure Sodium Street Light - Cu Own</v>
          </cell>
          <cell r="F181">
            <v>0</v>
          </cell>
          <cell r="G181">
            <v>0</v>
          </cell>
          <cell r="H181">
            <v>2.13</v>
          </cell>
          <cell r="I181">
            <v>0</v>
          </cell>
          <cell r="J181">
            <v>0</v>
          </cell>
          <cell r="K181">
            <v>4261407.3626719741</v>
          </cell>
          <cell r="L181">
            <v>0</v>
          </cell>
        </row>
        <row r="182">
          <cell r="B182">
            <v>20</v>
          </cell>
          <cell r="C182" t="str">
            <v>Customer</v>
          </cell>
          <cell r="E182" t="str">
            <v>135W Low Pressure Sodium Street Light - Cu Own</v>
          </cell>
          <cell r="F182">
            <v>0</v>
          </cell>
          <cell r="G182">
            <v>0</v>
          </cell>
          <cell r="H182">
            <v>4.78</v>
          </cell>
          <cell r="I182">
            <v>0</v>
          </cell>
          <cell r="J182">
            <v>0</v>
          </cell>
          <cell r="K182">
            <v>4261407.3626719741</v>
          </cell>
          <cell r="L182">
            <v>0</v>
          </cell>
        </row>
        <row r="183">
          <cell r="B183">
            <v>20</v>
          </cell>
          <cell r="C183" t="str">
            <v>Customer</v>
          </cell>
          <cell r="E183" t="str">
            <v>70W High Pressure Sodium Street Light - Cu Own</v>
          </cell>
          <cell r="F183">
            <v>6.9880245234989164E-5</v>
          </cell>
          <cell r="G183">
            <v>125</v>
          </cell>
          <cell r="H183">
            <v>2.35</v>
          </cell>
          <cell r="I183">
            <v>293.75</v>
          </cell>
          <cell r="J183">
            <v>125</v>
          </cell>
          <cell r="K183">
            <v>4261407.3626719741</v>
          </cell>
          <cell r="L183">
            <v>297.78819154970597</v>
          </cell>
        </row>
        <row r="184">
          <cell r="B184">
            <v>20</v>
          </cell>
          <cell r="C184" t="str">
            <v>Customer</v>
          </cell>
          <cell r="E184" t="str">
            <v>100W High Pressure Sodium Street Light - Cu Own</v>
          </cell>
          <cell r="F184">
            <v>3.5402314722557247E-2</v>
          </cell>
          <cell r="G184">
            <v>43514</v>
          </cell>
          <cell r="H184">
            <v>3.42</v>
          </cell>
          <cell r="I184">
            <v>148817.88</v>
          </cell>
          <cell r="J184">
            <v>43514</v>
          </cell>
          <cell r="K184">
            <v>4261407.3626719741</v>
          </cell>
          <cell r="L184">
            <v>150863.68461433589</v>
          </cell>
        </row>
        <row r="185">
          <cell r="B185">
            <v>20</v>
          </cell>
          <cell r="C185" t="str">
            <v>Customer</v>
          </cell>
          <cell r="E185" t="str">
            <v>200W High Pressure Sodium Street Light - Cu Own</v>
          </cell>
          <cell r="F185">
            <v>0</v>
          </cell>
          <cell r="G185">
            <v>0</v>
          </cell>
          <cell r="H185">
            <v>6.76</v>
          </cell>
          <cell r="I185">
            <v>0</v>
          </cell>
          <cell r="J185">
            <v>0</v>
          </cell>
          <cell r="K185">
            <v>4261407.3626719741</v>
          </cell>
          <cell r="L185">
            <v>0</v>
          </cell>
        </row>
        <row r="186">
          <cell r="B186">
            <v>20</v>
          </cell>
          <cell r="C186" t="str">
            <v>Customer</v>
          </cell>
          <cell r="E186" t="str">
            <v>250W High Pressure Sodium Street Light - Cu Own</v>
          </cell>
          <cell r="F186">
            <v>5.9352443133729525E-2</v>
          </cell>
          <cell r="G186">
            <v>30726</v>
          </cell>
          <cell r="H186">
            <v>8.1199999999999992</v>
          </cell>
          <cell r="I186">
            <v>249495.11999999997</v>
          </cell>
          <cell r="J186">
            <v>30726</v>
          </cell>
          <cell r="K186">
            <v>4261407.3626719741</v>
          </cell>
          <cell r="L186">
            <v>252924.93816264466</v>
          </cell>
        </row>
        <row r="187">
          <cell r="B187">
            <v>20</v>
          </cell>
          <cell r="C187" t="str">
            <v>Customer</v>
          </cell>
          <cell r="E187" t="str">
            <v>400W High Pressure Sodium Flood Light - Cu Own</v>
          </cell>
          <cell r="F187">
            <v>3.5769169952452667E-4</v>
          </cell>
          <cell r="G187">
            <v>120</v>
          </cell>
          <cell r="H187">
            <v>12.53</v>
          </cell>
          <cell r="I187">
            <v>1503.6</v>
          </cell>
          <cell r="J187">
            <v>120</v>
          </cell>
          <cell r="K187">
            <v>4261407.3626719741</v>
          </cell>
          <cell r="L187">
            <v>1524.2700419204693</v>
          </cell>
        </row>
        <row r="188">
          <cell r="B188">
            <v>20</v>
          </cell>
          <cell r="C188" t="str">
            <v>Customer</v>
          </cell>
          <cell r="E188" t="str">
            <v>400W High Pressure Sodium Street Light - Cu Own</v>
          </cell>
          <cell r="F188">
            <v>5.1346643466745806E-2</v>
          </cell>
          <cell r="G188">
            <v>17226</v>
          </cell>
          <cell r="H188">
            <v>12.53</v>
          </cell>
          <cell r="I188">
            <v>215841.78</v>
          </cell>
          <cell r="J188">
            <v>17226</v>
          </cell>
          <cell r="K188">
            <v>4261407.3626719741</v>
          </cell>
          <cell r="L188">
            <v>218808.9645176834</v>
          </cell>
        </row>
        <row r="189">
          <cell r="B189">
            <v>20</v>
          </cell>
          <cell r="C189" t="str">
            <v>Customer</v>
          </cell>
          <cell r="E189" t="str">
            <v>10W LED - Company Owned</v>
          </cell>
          <cell r="F189">
            <v>0</v>
          </cell>
          <cell r="H189">
            <v>0.71</v>
          </cell>
          <cell r="I189">
            <v>0</v>
          </cell>
          <cell r="J189">
            <v>0</v>
          </cell>
          <cell r="K189">
            <v>4261407.3626719741</v>
          </cell>
          <cell r="L189">
            <v>0</v>
          </cell>
        </row>
        <row r="190">
          <cell r="B190">
            <v>20</v>
          </cell>
          <cell r="C190" t="str">
            <v>Customer</v>
          </cell>
          <cell r="E190" t="str">
            <v>20W LED - Company Owned</v>
          </cell>
          <cell r="F190">
            <v>0</v>
          </cell>
          <cell r="H190">
            <v>1.42</v>
          </cell>
          <cell r="I190">
            <v>0</v>
          </cell>
          <cell r="J190">
            <v>0</v>
          </cell>
          <cell r="K190">
            <v>4261407.3626719741</v>
          </cell>
          <cell r="L190">
            <v>0</v>
          </cell>
        </row>
        <row r="191">
          <cell r="B191">
            <v>20</v>
          </cell>
          <cell r="C191" t="str">
            <v>Customer</v>
          </cell>
          <cell r="E191" t="str">
            <v>30W LED - Company Owned</v>
          </cell>
          <cell r="F191">
            <v>0</v>
          </cell>
          <cell r="H191">
            <v>2.14</v>
          </cell>
          <cell r="I191">
            <v>0</v>
          </cell>
          <cell r="J191">
            <v>0</v>
          </cell>
          <cell r="K191">
            <v>4261407.3626719741</v>
          </cell>
          <cell r="L191">
            <v>0</v>
          </cell>
        </row>
        <row r="192">
          <cell r="B192">
            <v>20</v>
          </cell>
          <cell r="C192" t="str">
            <v>Customer</v>
          </cell>
          <cell r="E192" t="str">
            <v>40W LED - Company Owned</v>
          </cell>
          <cell r="F192">
            <v>9.6986726941837423E-2</v>
          </cell>
          <cell r="G192">
            <v>143051</v>
          </cell>
          <cell r="H192">
            <v>2.85</v>
          </cell>
          <cell r="I192">
            <v>407695.35000000003</v>
          </cell>
          <cell r="J192">
            <v>143051</v>
          </cell>
          <cell r="K192">
            <v>4261407.3626719741</v>
          </cell>
          <cell r="L192">
            <v>413299.95227140229</v>
          </cell>
        </row>
        <row r="193">
          <cell r="B193">
            <v>20</v>
          </cell>
          <cell r="C193" t="str">
            <v>Customer</v>
          </cell>
          <cell r="E193" t="str">
            <v>50W LED - Company Owned</v>
          </cell>
          <cell r="F193">
            <v>0</v>
          </cell>
          <cell r="H193">
            <v>3.56</v>
          </cell>
          <cell r="I193">
            <v>0</v>
          </cell>
          <cell r="J193">
            <v>0</v>
          </cell>
          <cell r="K193">
            <v>4261407.3626719741</v>
          </cell>
          <cell r="L193">
            <v>0</v>
          </cell>
        </row>
        <row r="194">
          <cell r="B194">
            <v>20</v>
          </cell>
          <cell r="C194" t="str">
            <v>Customer</v>
          </cell>
          <cell r="E194" t="str">
            <v>60W LED - Company Owned</v>
          </cell>
          <cell r="F194">
            <v>0</v>
          </cell>
          <cell r="H194">
            <v>4.2699999999999996</v>
          </cell>
          <cell r="I194">
            <v>0</v>
          </cell>
          <cell r="J194">
            <v>0</v>
          </cell>
          <cell r="K194">
            <v>4261407.3626719741</v>
          </cell>
          <cell r="L194">
            <v>0</v>
          </cell>
        </row>
        <row r="195">
          <cell r="B195">
            <v>20</v>
          </cell>
          <cell r="C195" t="str">
            <v>Customer</v>
          </cell>
          <cell r="E195" t="str">
            <v>70W LED - Company Owned</v>
          </cell>
          <cell r="F195">
            <v>0</v>
          </cell>
          <cell r="H195">
            <v>4.99</v>
          </cell>
          <cell r="I195">
            <v>0</v>
          </cell>
          <cell r="J195">
            <v>0</v>
          </cell>
          <cell r="K195">
            <v>4261407.3626719741</v>
          </cell>
          <cell r="L195">
            <v>0</v>
          </cell>
        </row>
        <row r="196">
          <cell r="B196">
            <v>20</v>
          </cell>
          <cell r="C196" t="str">
            <v>Customer</v>
          </cell>
          <cell r="E196" t="str">
            <v>80W LED - Company Owned</v>
          </cell>
          <cell r="F196">
            <v>0</v>
          </cell>
          <cell r="G196">
            <v>0</v>
          </cell>
          <cell r="H196">
            <v>5.7</v>
          </cell>
          <cell r="I196">
            <v>0</v>
          </cell>
          <cell r="J196">
            <v>0</v>
          </cell>
          <cell r="K196">
            <v>4261407.3626719741</v>
          </cell>
          <cell r="L196">
            <v>0</v>
          </cell>
        </row>
        <row r="197">
          <cell r="B197">
            <v>20</v>
          </cell>
          <cell r="C197" t="str">
            <v>Customer</v>
          </cell>
          <cell r="E197" t="str">
            <v>90W LED - Company Owned</v>
          </cell>
          <cell r="F197">
            <v>0</v>
          </cell>
          <cell r="H197">
            <v>6.41</v>
          </cell>
          <cell r="I197">
            <v>0</v>
          </cell>
          <cell r="J197">
            <v>0</v>
          </cell>
          <cell r="K197">
            <v>4261407.3626719741</v>
          </cell>
          <cell r="L197">
            <v>0</v>
          </cell>
        </row>
        <row r="198">
          <cell r="B198">
            <v>20</v>
          </cell>
          <cell r="C198" t="str">
            <v>Customer</v>
          </cell>
          <cell r="E198" t="str">
            <v>100W LED - Company Owned</v>
          </cell>
          <cell r="F198">
            <v>2.0325338392774382E-4</v>
          </cell>
          <cell r="G198">
            <v>120</v>
          </cell>
          <cell r="H198">
            <v>7.12</v>
          </cell>
          <cell r="I198">
            <v>854.4</v>
          </cell>
          <cell r="J198">
            <v>120</v>
          </cell>
          <cell r="K198">
            <v>4261407.3626719741</v>
          </cell>
          <cell r="L198">
            <v>866.14546675768099</v>
          </cell>
        </row>
        <row r="199">
          <cell r="B199">
            <v>20</v>
          </cell>
          <cell r="C199" t="str">
            <v>Customer</v>
          </cell>
          <cell r="E199" t="str">
            <v>110W LED - Company Owned</v>
          </cell>
          <cell r="F199">
            <v>0</v>
          </cell>
          <cell r="H199">
            <v>7.84</v>
          </cell>
          <cell r="I199">
            <v>0</v>
          </cell>
          <cell r="J199">
            <v>0</v>
          </cell>
          <cell r="K199">
            <v>4261407.3626719741</v>
          </cell>
          <cell r="L199">
            <v>0</v>
          </cell>
        </row>
        <row r="200">
          <cell r="B200">
            <v>20</v>
          </cell>
          <cell r="C200" t="str">
            <v>Customer</v>
          </cell>
          <cell r="E200" t="str">
            <v>120W LED - Company Owned</v>
          </cell>
          <cell r="F200">
            <v>0.17421691095083872</v>
          </cell>
          <cell r="G200">
            <v>85654</v>
          </cell>
          <cell r="H200">
            <v>8.5500000000000007</v>
          </cell>
          <cell r="I200">
            <v>732341.70000000007</v>
          </cell>
          <cell r="J200">
            <v>85654</v>
          </cell>
          <cell r="K200">
            <v>4261407.3626719741</v>
          </cell>
          <cell r="L200">
            <v>742409.22702787176</v>
          </cell>
        </row>
        <row r="201">
          <cell r="B201">
            <v>20</v>
          </cell>
          <cell r="C201" t="str">
            <v>Customer</v>
          </cell>
          <cell r="E201" t="str">
            <v>130W LED - Company Owned</v>
          </cell>
          <cell r="F201">
            <v>0</v>
          </cell>
          <cell r="H201">
            <v>9.26</v>
          </cell>
          <cell r="I201">
            <v>0</v>
          </cell>
          <cell r="J201">
            <v>0</v>
          </cell>
          <cell r="K201">
            <v>4261407.3626719741</v>
          </cell>
          <cell r="L201">
            <v>0</v>
          </cell>
        </row>
        <row r="202">
          <cell r="B202">
            <v>20</v>
          </cell>
          <cell r="C202" t="str">
            <v>Customer</v>
          </cell>
          <cell r="E202" t="str">
            <v>140W LED - Company Owned</v>
          </cell>
          <cell r="F202">
            <v>1.9353604517928821E-3</v>
          </cell>
          <cell r="G202">
            <v>816</v>
          </cell>
          <cell r="H202">
            <v>9.9700000000000006</v>
          </cell>
          <cell r="I202">
            <v>8135.52</v>
          </cell>
          <cell r="J202">
            <v>816</v>
          </cell>
          <cell r="K202">
            <v>4261407.3626719741</v>
          </cell>
          <cell r="L202">
            <v>8247.3592786943464</v>
          </cell>
        </row>
        <row r="203">
          <cell r="B203">
            <v>20</v>
          </cell>
          <cell r="C203" t="str">
            <v>Customer</v>
          </cell>
          <cell r="E203" t="str">
            <v>150W LED - Company Owned</v>
          </cell>
          <cell r="F203">
            <v>0</v>
          </cell>
          <cell r="H203">
            <v>10.68</v>
          </cell>
          <cell r="I203">
            <v>0</v>
          </cell>
          <cell r="J203">
            <v>0</v>
          </cell>
          <cell r="K203">
            <v>4261407.3626719741</v>
          </cell>
          <cell r="L203">
            <v>0</v>
          </cell>
        </row>
        <row r="204">
          <cell r="B204">
            <v>20</v>
          </cell>
          <cell r="C204" t="str">
            <v>Customer</v>
          </cell>
          <cell r="E204" t="str">
            <v>160W LED - Company Owned</v>
          </cell>
          <cell r="F204">
            <v>0</v>
          </cell>
          <cell r="H204">
            <v>11.4</v>
          </cell>
          <cell r="I204">
            <v>0</v>
          </cell>
          <cell r="J204">
            <v>0</v>
          </cell>
          <cell r="K204">
            <v>4261407.3626719741</v>
          </cell>
          <cell r="L204">
            <v>0</v>
          </cell>
        </row>
        <row r="205">
          <cell r="B205">
            <v>20</v>
          </cell>
          <cell r="C205" t="str">
            <v>Customer</v>
          </cell>
          <cell r="E205" t="str">
            <v>170W LED - Company Owned</v>
          </cell>
          <cell r="F205">
            <v>0</v>
          </cell>
          <cell r="H205">
            <v>12.11</v>
          </cell>
          <cell r="I205">
            <v>0</v>
          </cell>
          <cell r="J205">
            <v>0</v>
          </cell>
          <cell r="K205">
            <v>4261407.3626719741</v>
          </cell>
          <cell r="L205">
            <v>0</v>
          </cell>
        </row>
        <row r="206">
          <cell r="B206">
            <v>20</v>
          </cell>
          <cell r="C206" t="str">
            <v>Customer</v>
          </cell>
          <cell r="E206" t="str">
            <v>180W LED - Company Owned</v>
          </cell>
          <cell r="F206">
            <v>0</v>
          </cell>
          <cell r="H206">
            <v>12.82</v>
          </cell>
          <cell r="I206">
            <v>0</v>
          </cell>
          <cell r="J206">
            <v>0</v>
          </cell>
          <cell r="K206">
            <v>4261407.3626719741</v>
          </cell>
          <cell r="L206">
            <v>0</v>
          </cell>
        </row>
        <row r="207">
          <cell r="B207">
            <v>20</v>
          </cell>
          <cell r="C207" t="str">
            <v>Customer</v>
          </cell>
          <cell r="E207" t="str">
            <v>190W LED - Company Owned</v>
          </cell>
          <cell r="F207">
            <v>0</v>
          </cell>
          <cell r="H207">
            <v>13.53</v>
          </cell>
          <cell r="I207">
            <v>0</v>
          </cell>
          <cell r="J207">
            <v>0</v>
          </cell>
          <cell r="K207">
            <v>4261407.3626719741</v>
          </cell>
          <cell r="L207">
            <v>0</v>
          </cell>
        </row>
        <row r="208">
          <cell r="B208">
            <v>20</v>
          </cell>
          <cell r="C208" t="str">
            <v>Customer</v>
          </cell>
          <cell r="E208" t="str">
            <v>200W LED - Company Owned</v>
          </cell>
          <cell r="F208">
            <v>2.9526336469629849E-2</v>
          </cell>
          <cell r="G208">
            <v>8710</v>
          </cell>
          <cell r="H208">
            <v>14.25</v>
          </cell>
          <cell r="I208">
            <v>124117.5</v>
          </cell>
          <cell r="J208">
            <v>8710</v>
          </cell>
          <cell r="K208">
            <v>4261407.3626719741</v>
          </cell>
          <cell r="L208">
            <v>125823.74762441067</v>
          </cell>
        </row>
        <row r="209">
          <cell r="B209">
            <v>20</v>
          </cell>
          <cell r="C209" t="str">
            <v>Customer</v>
          </cell>
          <cell r="E209" t="str">
            <v>210W LED - Company Owned</v>
          </cell>
          <cell r="F209">
            <v>0</v>
          </cell>
          <cell r="H209">
            <v>14.96</v>
          </cell>
          <cell r="I209">
            <v>0</v>
          </cell>
          <cell r="J209">
            <v>0</v>
          </cell>
          <cell r="K209">
            <v>4261407.3626719741</v>
          </cell>
          <cell r="L209">
            <v>0</v>
          </cell>
        </row>
        <row r="210">
          <cell r="B210">
            <v>20</v>
          </cell>
          <cell r="C210" t="str">
            <v>Customer</v>
          </cell>
          <cell r="E210" t="str">
            <v>220W LED - Company Owned</v>
          </cell>
          <cell r="F210">
            <v>0</v>
          </cell>
          <cell r="H210">
            <v>15.67</v>
          </cell>
          <cell r="I210">
            <v>0</v>
          </cell>
          <cell r="J210">
            <v>0</v>
          </cell>
          <cell r="K210">
            <v>4261407.3626719741</v>
          </cell>
          <cell r="L210">
            <v>0</v>
          </cell>
        </row>
        <row r="211">
          <cell r="B211">
            <v>20</v>
          </cell>
          <cell r="C211" t="str">
            <v>Customer</v>
          </cell>
          <cell r="E211" t="str">
            <v>230W LED - Company Owned</v>
          </cell>
          <cell r="F211">
            <v>0</v>
          </cell>
          <cell r="H211">
            <v>16.38</v>
          </cell>
          <cell r="I211">
            <v>0</v>
          </cell>
          <cell r="J211">
            <v>0</v>
          </cell>
          <cell r="K211">
            <v>4261407.3626719741</v>
          </cell>
          <cell r="L211">
            <v>0</v>
          </cell>
        </row>
        <row r="212">
          <cell r="B212">
            <v>20</v>
          </cell>
          <cell r="C212" t="str">
            <v>Customer</v>
          </cell>
          <cell r="E212" t="str">
            <v>240W LED - Company Owned</v>
          </cell>
          <cell r="F212">
            <v>0</v>
          </cell>
          <cell r="H212">
            <v>17.100000000000001</v>
          </cell>
          <cell r="I212">
            <v>0</v>
          </cell>
          <cell r="J212">
            <v>0</v>
          </cell>
          <cell r="K212">
            <v>4261407.3626719741</v>
          </cell>
          <cell r="L212">
            <v>0</v>
          </cell>
        </row>
        <row r="213">
          <cell r="B213">
            <v>20</v>
          </cell>
          <cell r="C213" t="str">
            <v>Customer</v>
          </cell>
          <cell r="E213" t="str">
            <v>250W LED - Company Owned</v>
          </cell>
          <cell r="F213">
            <v>1.5333067505265134E-2</v>
          </cell>
          <cell r="G213">
            <v>3619</v>
          </cell>
          <cell r="H213">
            <v>17.809999999999999</v>
          </cell>
          <cell r="I213">
            <v>64454.389999999992</v>
          </cell>
          <cell r="J213">
            <v>3619</v>
          </cell>
          <cell r="K213">
            <v>4261407.3626719741</v>
          </cell>
          <cell r="L213">
            <v>65340.446759283244</v>
          </cell>
        </row>
        <row r="214">
          <cell r="B214">
            <v>20</v>
          </cell>
          <cell r="C214" t="str">
            <v>Customer</v>
          </cell>
          <cell r="E214" t="str">
            <v>260W LED - Company Owned</v>
          </cell>
          <cell r="F214">
            <v>8.3532573302529042E-3</v>
          </cell>
          <cell r="G214">
            <v>1896</v>
          </cell>
          <cell r="H214">
            <v>18.52</v>
          </cell>
          <cell r="I214">
            <v>35113.919999999998</v>
          </cell>
          <cell r="J214">
            <v>1896</v>
          </cell>
          <cell r="K214">
            <v>4261407.3626719741</v>
          </cell>
          <cell r="L214">
            <v>35596.632289433364</v>
          </cell>
        </row>
        <row r="215">
          <cell r="B215">
            <v>20</v>
          </cell>
          <cell r="C215" t="str">
            <v>Customer</v>
          </cell>
          <cell r="E215" t="str">
            <v>270W LED - Company Owned</v>
          </cell>
          <cell r="F215">
            <v>0</v>
          </cell>
          <cell r="H215">
            <v>19.23</v>
          </cell>
          <cell r="I215">
            <v>0</v>
          </cell>
          <cell r="J215">
            <v>0</v>
          </cell>
          <cell r="K215">
            <v>4261407.3626719741</v>
          </cell>
          <cell r="L215">
            <v>0</v>
          </cell>
        </row>
        <row r="216">
          <cell r="B216">
            <v>20</v>
          </cell>
          <cell r="C216" t="str">
            <v>Customer</v>
          </cell>
          <cell r="E216" t="str">
            <v>280W LED - Company Owned</v>
          </cell>
          <cell r="F216">
            <v>0</v>
          </cell>
          <cell r="H216">
            <v>19.940000000000001</v>
          </cell>
          <cell r="I216">
            <v>0</v>
          </cell>
          <cell r="J216">
            <v>0</v>
          </cell>
          <cell r="K216">
            <v>4261407.3626719741</v>
          </cell>
          <cell r="L216">
            <v>0</v>
          </cell>
        </row>
        <row r="217">
          <cell r="B217">
            <v>20</v>
          </cell>
          <cell r="C217" t="str">
            <v>Customer</v>
          </cell>
          <cell r="E217" t="str">
            <v>290W LED - Company Owned</v>
          </cell>
          <cell r="F217">
            <v>0</v>
          </cell>
          <cell r="H217">
            <v>20.66</v>
          </cell>
          <cell r="I217">
            <v>0</v>
          </cell>
          <cell r="J217">
            <v>0</v>
          </cell>
          <cell r="K217">
            <v>4261407.3626719741</v>
          </cell>
          <cell r="L217">
            <v>0</v>
          </cell>
        </row>
        <row r="218">
          <cell r="B218">
            <v>20</v>
          </cell>
          <cell r="C218" t="str">
            <v>Customer</v>
          </cell>
          <cell r="E218" t="str">
            <v>300W LED - Company Owned</v>
          </cell>
          <cell r="F218">
            <v>0</v>
          </cell>
          <cell r="H218">
            <v>21.37</v>
          </cell>
          <cell r="I218">
            <v>0</v>
          </cell>
          <cell r="J218">
            <v>0</v>
          </cell>
          <cell r="K218">
            <v>4261407.3626719741</v>
          </cell>
          <cell r="L218">
            <v>0</v>
          </cell>
        </row>
        <row r="219">
          <cell r="B219">
            <v>20</v>
          </cell>
          <cell r="C219" t="str">
            <v>Customer</v>
          </cell>
          <cell r="E219" t="str">
            <v>310W LED - Company Owned</v>
          </cell>
          <cell r="F219">
            <v>0</v>
          </cell>
          <cell r="H219">
            <v>22.08</v>
          </cell>
          <cell r="I219">
            <v>0</v>
          </cell>
          <cell r="J219">
            <v>0</v>
          </cell>
          <cell r="K219">
            <v>4261407.3626719741</v>
          </cell>
          <cell r="L219">
            <v>0</v>
          </cell>
        </row>
        <row r="220">
          <cell r="B220">
            <v>20</v>
          </cell>
          <cell r="C220" t="str">
            <v>Customer</v>
          </cell>
          <cell r="E220" t="str">
            <v>320W LED - Company Owned</v>
          </cell>
          <cell r="F220">
            <v>0</v>
          </cell>
          <cell r="H220">
            <v>22.79</v>
          </cell>
          <cell r="I220">
            <v>0</v>
          </cell>
          <cell r="J220">
            <v>0</v>
          </cell>
          <cell r="K220">
            <v>4261407.3626719741</v>
          </cell>
          <cell r="L220">
            <v>0</v>
          </cell>
        </row>
        <row r="221">
          <cell r="B221">
            <v>20</v>
          </cell>
          <cell r="C221" t="str">
            <v>Customer</v>
          </cell>
          <cell r="E221" t="str">
            <v>330W LED - Company Owned</v>
          </cell>
          <cell r="F221">
            <v>0</v>
          </cell>
          <cell r="H221">
            <v>23.51</v>
          </cell>
          <cell r="I221">
            <v>0</v>
          </cell>
          <cell r="J221">
            <v>0</v>
          </cell>
          <cell r="K221">
            <v>4261407.3626719741</v>
          </cell>
          <cell r="L221">
            <v>0</v>
          </cell>
        </row>
        <row r="222">
          <cell r="B222">
            <v>20</v>
          </cell>
          <cell r="C222" t="str">
            <v>Customer</v>
          </cell>
          <cell r="E222" t="str">
            <v>340W LED - Company Owned</v>
          </cell>
          <cell r="F222">
            <v>0</v>
          </cell>
          <cell r="H222">
            <v>24.22</v>
          </cell>
          <cell r="I222">
            <v>0</v>
          </cell>
          <cell r="J222">
            <v>0</v>
          </cell>
          <cell r="K222">
            <v>4261407.3626719741</v>
          </cell>
          <cell r="L222">
            <v>0</v>
          </cell>
        </row>
        <row r="223">
          <cell r="B223">
            <v>20</v>
          </cell>
          <cell r="C223" t="str">
            <v>Customer</v>
          </cell>
          <cell r="E223" t="str">
            <v>350W LED - Company Owned</v>
          </cell>
          <cell r="F223">
            <v>0</v>
          </cell>
          <cell r="H223">
            <v>24.93</v>
          </cell>
          <cell r="I223">
            <v>0</v>
          </cell>
          <cell r="J223">
            <v>0</v>
          </cell>
          <cell r="K223">
            <v>4261407.3626719741</v>
          </cell>
          <cell r="L223">
            <v>0</v>
          </cell>
        </row>
        <row r="224">
          <cell r="B224">
            <v>20</v>
          </cell>
          <cell r="C224" t="str">
            <v>Customer</v>
          </cell>
          <cell r="E224" t="str">
            <v>360W LED - Company Owned</v>
          </cell>
          <cell r="F224">
            <v>0</v>
          </cell>
          <cell r="H224">
            <v>25.64</v>
          </cell>
          <cell r="I224">
            <v>0</v>
          </cell>
          <cell r="J224">
            <v>0</v>
          </cell>
          <cell r="K224">
            <v>4261407.3626719741</v>
          </cell>
          <cell r="L224">
            <v>0</v>
          </cell>
        </row>
        <row r="225">
          <cell r="B225">
            <v>20</v>
          </cell>
          <cell r="C225" t="str">
            <v>Customer</v>
          </cell>
          <cell r="E225" t="str">
            <v>370W LED - Company Owned</v>
          </cell>
          <cell r="F225">
            <v>0</v>
          </cell>
          <cell r="H225">
            <v>26.36</v>
          </cell>
          <cell r="I225">
            <v>0</v>
          </cell>
          <cell r="J225">
            <v>0</v>
          </cell>
          <cell r="K225">
            <v>4261407.3626719741</v>
          </cell>
          <cell r="L225">
            <v>0</v>
          </cell>
        </row>
        <row r="226">
          <cell r="B226">
            <v>20</v>
          </cell>
          <cell r="C226" t="str">
            <v>Customer</v>
          </cell>
          <cell r="E226" t="str">
            <v>380W LED - Company Owned</v>
          </cell>
          <cell r="F226">
            <v>0</v>
          </cell>
          <cell r="H226">
            <v>27.07</v>
          </cell>
          <cell r="I226">
            <v>0</v>
          </cell>
          <cell r="J226">
            <v>0</v>
          </cell>
          <cell r="K226">
            <v>4261407.3626719741</v>
          </cell>
          <cell r="L226">
            <v>0</v>
          </cell>
        </row>
        <row r="227">
          <cell r="B227">
            <v>20</v>
          </cell>
          <cell r="C227" t="str">
            <v>Customer</v>
          </cell>
          <cell r="E227" t="str">
            <v>390W LED - Company Owned</v>
          </cell>
          <cell r="F227">
            <v>0</v>
          </cell>
          <cell r="H227">
            <v>27.78</v>
          </cell>
          <cell r="I227">
            <v>0</v>
          </cell>
          <cell r="J227">
            <v>0</v>
          </cell>
          <cell r="K227">
            <v>4261407.3626719741</v>
          </cell>
          <cell r="L227">
            <v>0</v>
          </cell>
        </row>
        <row r="228">
          <cell r="B228">
            <v>20</v>
          </cell>
          <cell r="C228" t="str">
            <v>Customer</v>
          </cell>
          <cell r="E228" t="str">
            <v>400W LED - Company Owned</v>
          </cell>
          <cell r="F228">
            <v>0</v>
          </cell>
          <cell r="H228">
            <v>28.49</v>
          </cell>
          <cell r="I228">
            <v>0</v>
          </cell>
          <cell r="J228">
            <v>0</v>
          </cell>
          <cell r="K228">
            <v>4261407.3626719741</v>
          </cell>
          <cell r="L228">
            <v>0</v>
          </cell>
        </row>
        <row r="229">
          <cell r="B229">
            <v>20</v>
          </cell>
          <cell r="C229" t="str">
            <v>Customer</v>
          </cell>
          <cell r="E229" t="str">
            <v>10W LED - Customer Owned</v>
          </cell>
          <cell r="F229">
            <v>0</v>
          </cell>
          <cell r="H229">
            <v>0.2</v>
          </cell>
          <cell r="I229">
            <v>0</v>
          </cell>
          <cell r="J229">
            <v>0</v>
          </cell>
          <cell r="K229">
            <v>4261407.3626719741</v>
          </cell>
          <cell r="L229">
            <v>0</v>
          </cell>
        </row>
        <row r="230">
          <cell r="B230">
            <v>20</v>
          </cell>
          <cell r="C230" t="str">
            <v>Customer</v>
          </cell>
          <cell r="E230" t="str">
            <v>20W LED - Customer Owned</v>
          </cell>
          <cell r="F230">
            <v>0</v>
          </cell>
          <cell r="H230">
            <v>0.4</v>
          </cell>
          <cell r="I230">
            <v>0</v>
          </cell>
          <cell r="J230">
            <v>0</v>
          </cell>
          <cell r="K230">
            <v>4261407.3626719741</v>
          </cell>
          <cell r="L230">
            <v>0</v>
          </cell>
        </row>
        <row r="231">
          <cell r="B231">
            <v>20</v>
          </cell>
          <cell r="C231" t="str">
            <v>Customer</v>
          </cell>
          <cell r="E231" t="str">
            <v>30W LED - Customer Owned</v>
          </cell>
          <cell r="F231">
            <v>0</v>
          </cell>
          <cell r="H231">
            <v>0.6</v>
          </cell>
          <cell r="I231">
            <v>0</v>
          </cell>
          <cell r="J231">
            <v>0</v>
          </cell>
          <cell r="K231">
            <v>4261407.3626719741</v>
          </cell>
          <cell r="L231">
            <v>0</v>
          </cell>
        </row>
        <row r="232">
          <cell r="B232">
            <v>20</v>
          </cell>
          <cell r="C232" t="str">
            <v>Customer</v>
          </cell>
          <cell r="E232" t="str">
            <v>40W LED - Customer Owned</v>
          </cell>
          <cell r="F232">
            <v>1.6961380701475879E-2</v>
          </cell>
          <cell r="G232">
            <v>89124</v>
          </cell>
          <cell r="H232">
            <v>0.8</v>
          </cell>
          <cell r="I232">
            <v>71299.199999999997</v>
          </cell>
          <cell r="J232">
            <v>89124</v>
          </cell>
          <cell r="K232">
            <v>4261407.3626719741</v>
          </cell>
          <cell r="L232">
            <v>72279.352602351646</v>
          </cell>
        </row>
        <row r="233">
          <cell r="B233">
            <v>20</v>
          </cell>
          <cell r="C233" t="str">
            <v>Customer</v>
          </cell>
          <cell r="E233" t="str">
            <v>50W LED - Customer Owned</v>
          </cell>
          <cell r="F233">
            <v>5.6379976581080629E-4</v>
          </cell>
          <cell r="G233">
            <v>2370</v>
          </cell>
          <cell r="H233">
            <v>1</v>
          </cell>
          <cell r="I233">
            <v>2370</v>
          </cell>
          <cell r="J233">
            <v>2370</v>
          </cell>
          <cell r="K233">
            <v>4261407.3626719741</v>
          </cell>
          <cell r="L233">
            <v>2402.5804730989048</v>
          </cell>
        </row>
        <row r="234">
          <cell r="B234">
            <v>20</v>
          </cell>
          <cell r="C234" t="str">
            <v>Customer</v>
          </cell>
          <cell r="E234" t="str">
            <v>60W LED - Customer Owned</v>
          </cell>
          <cell r="F234">
            <v>3.0830569472185858E-4</v>
          </cell>
          <cell r="G234">
            <v>1080</v>
          </cell>
          <cell r="H234">
            <v>1.2</v>
          </cell>
          <cell r="I234">
            <v>1296</v>
          </cell>
          <cell r="J234">
            <v>1080</v>
          </cell>
          <cell r="K234">
            <v>4261407.3626719741</v>
          </cell>
          <cell r="L234">
            <v>1313.8161574414262</v>
          </cell>
        </row>
        <row r="235">
          <cell r="B235">
            <v>20</v>
          </cell>
          <cell r="C235" t="str">
            <v>Customer</v>
          </cell>
          <cell r="E235" t="str">
            <v>70W LED - Customer Owned</v>
          </cell>
          <cell r="F235">
            <v>3.996555301950019E-5</v>
          </cell>
          <cell r="G235">
            <v>120</v>
          </cell>
          <cell r="H235">
            <v>1.4</v>
          </cell>
          <cell r="I235">
            <v>168</v>
          </cell>
          <cell r="J235">
            <v>120</v>
          </cell>
          <cell r="K235">
            <v>4261407.3626719741</v>
          </cell>
          <cell r="L235">
            <v>170.30950189055525</v>
          </cell>
        </row>
        <row r="236">
          <cell r="B236">
            <v>20</v>
          </cell>
          <cell r="C236" t="str">
            <v>Customer</v>
          </cell>
          <cell r="E236" t="str">
            <v>80W LED - Customer Owned</v>
          </cell>
          <cell r="F236">
            <v>2.4390406071329259E-3</v>
          </cell>
          <cell r="G236">
            <v>6408</v>
          </cell>
          <cell r="H236">
            <v>1.6</v>
          </cell>
          <cell r="I236">
            <v>10252.800000000001</v>
          </cell>
          <cell r="J236">
            <v>6408</v>
          </cell>
          <cell r="K236">
            <v>4261407.3626719741</v>
          </cell>
          <cell r="L236">
            <v>10393.745601092172</v>
          </cell>
        </row>
        <row r="237">
          <cell r="B237">
            <v>20</v>
          </cell>
          <cell r="C237" t="str">
            <v>Customer</v>
          </cell>
          <cell r="E237" t="str">
            <v>90W LED - Customer Owned</v>
          </cell>
          <cell r="F237">
            <v>3.9720050336666118E-3</v>
          </cell>
          <cell r="G237">
            <v>9276</v>
          </cell>
          <cell r="H237">
            <v>1.8</v>
          </cell>
          <cell r="I237">
            <v>16696.8</v>
          </cell>
          <cell r="J237">
            <v>9276</v>
          </cell>
          <cell r="K237">
            <v>4261407.3626719741</v>
          </cell>
          <cell r="L237">
            <v>16926.33149503704</v>
          </cell>
        </row>
        <row r="238">
          <cell r="B238">
            <v>20</v>
          </cell>
          <cell r="C238" t="str">
            <v>Customer</v>
          </cell>
          <cell r="E238" t="str">
            <v>100W LED - Customer Owned</v>
          </cell>
          <cell r="F238">
            <v>2.7795090564276203E-3</v>
          </cell>
          <cell r="G238">
            <v>5842</v>
          </cell>
          <cell r="H238">
            <v>2</v>
          </cell>
          <cell r="I238">
            <v>11684</v>
          </cell>
          <cell r="J238">
            <v>5842</v>
          </cell>
          <cell r="K238">
            <v>4261407.3626719741</v>
          </cell>
          <cell r="L238">
            <v>11844.620357674092</v>
          </cell>
        </row>
        <row r="239">
          <cell r="B239">
            <v>20</v>
          </cell>
          <cell r="C239" t="str">
            <v>Customer</v>
          </cell>
          <cell r="E239" t="str">
            <v>110W LED - Customer Owned</v>
          </cell>
          <cell r="F239">
            <v>8.3528005810755402E-4</v>
          </cell>
          <cell r="G239">
            <v>1596</v>
          </cell>
          <cell r="H239">
            <v>2.2000000000000002</v>
          </cell>
          <cell r="I239">
            <v>3511.2000000000003</v>
          </cell>
          <cell r="J239">
            <v>1596</v>
          </cell>
          <cell r="K239">
            <v>4261407.3626719741</v>
          </cell>
          <cell r="L239">
            <v>3559.4685895126049</v>
          </cell>
        </row>
        <row r="240">
          <cell r="B240">
            <v>20</v>
          </cell>
          <cell r="C240" t="str">
            <v>Customer</v>
          </cell>
          <cell r="E240" t="str">
            <v>120W LED - Customer Owned</v>
          </cell>
          <cell r="F240">
            <v>1.3454688892250592E-2</v>
          </cell>
          <cell r="G240">
            <v>23566</v>
          </cell>
          <cell r="H240">
            <v>2.4</v>
          </cell>
          <cell r="I240">
            <v>56558.400000000001</v>
          </cell>
          <cell r="J240">
            <v>23566</v>
          </cell>
          <cell r="K240">
            <v>4261407.3626719741</v>
          </cell>
          <cell r="L240">
            <v>57335.910307897502</v>
          </cell>
        </row>
        <row r="241">
          <cell r="B241">
            <v>20</v>
          </cell>
          <cell r="C241" t="str">
            <v>Customer</v>
          </cell>
          <cell r="E241" t="str">
            <v>130W LED - Customer Owned</v>
          </cell>
          <cell r="F241">
            <v>1.4648897678904706E-2</v>
          </cell>
          <cell r="G241">
            <v>23684</v>
          </cell>
          <cell r="H241">
            <v>2.6</v>
          </cell>
          <cell r="I241">
            <v>61578.400000000001</v>
          </cell>
          <cell r="J241">
            <v>23684</v>
          </cell>
          <cell r="K241">
            <v>4261407.3626719741</v>
          </cell>
          <cell r="L241">
            <v>62424.920423912903</v>
          </cell>
        </row>
        <row r="242">
          <cell r="B242">
            <v>20</v>
          </cell>
          <cell r="C242" t="str">
            <v>Customer</v>
          </cell>
          <cell r="E242" t="str">
            <v>140W LED - Customer Owned</v>
          </cell>
          <cell r="F242">
            <v>1.0790699315265051E-2</v>
          </cell>
          <cell r="G242">
            <v>16200</v>
          </cell>
          <cell r="H242">
            <v>2.8</v>
          </cell>
          <cell r="I242">
            <v>45360</v>
          </cell>
          <cell r="J242">
            <v>16200</v>
          </cell>
          <cell r="K242">
            <v>4261407.3626719741</v>
          </cell>
          <cell r="L242">
            <v>45983.565510449916</v>
          </cell>
        </row>
        <row r="243">
          <cell r="B243">
            <v>20</v>
          </cell>
          <cell r="C243" t="str">
            <v>Customer</v>
          </cell>
          <cell r="E243" t="str">
            <v>150W LED - Customer Owned</v>
          </cell>
          <cell r="F243">
            <v>0</v>
          </cell>
          <cell r="G243">
            <v>0</v>
          </cell>
          <cell r="H243">
            <v>3</v>
          </cell>
          <cell r="I243">
            <v>0</v>
          </cell>
          <cell r="J243">
            <v>0</v>
          </cell>
          <cell r="K243">
            <v>4261407.3626719741</v>
          </cell>
          <cell r="L243">
            <v>0</v>
          </cell>
        </row>
        <row r="244">
          <cell r="B244">
            <v>20</v>
          </cell>
          <cell r="C244" t="str">
            <v>Customer</v>
          </cell>
          <cell r="E244" t="str">
            <v>160W LED - Customer Owned</v>
          </cell>
          <cell r="F244">
            <v>1.5529472030434362E-4</v>
          </cell>
          <cell r="G244">
            <v>204</v>
          </cell>
          <cell r="H244">
            <v>3.2</v>
          </cell>
          <cell r="I244">
            <v>652.80000000000007</v>
          </cell>
          <cell r="J244">
            <v>204</v>
          </cell>
          <cell r="K244">
            <v>4261407.3626719741</v>
          </cell>
          <cell r="L244">
            <v>661.77406448901479</v>
          </cell>
        </row>
        <row r="245">
          <cell r="B245">
            <v>20</v>
          </cell>
          <cell r="C245" t="str">
            <v>Customer</v>
          </cell>
          <cell r="E245" t="str">
            <v>170W LED - Customer Owned</v>
          </cell>
          <cell r="F245">
            <v>0</v>
          </cell>
          <cell r="H245">
            <v>3.4</v>
          </cell>
          <cell r="I245">
            <v>0</v>
          </cell>
          <cell r="J245">
            <v>0</v>
          </cell>
          <cell r="K245">
            <v>4261407.3626719741</v>
          </cell>
          <cell r="L245">
            <v>0</v>
          </cell>
        </row>
        <row r="246">
          <cell r="B246">
            <v>20</v>
          </cell>
          <cell r="C246" t="str">
            <v>Customer</v>
          </cell>
          <cell r="E246" t="str">
            <v>180W LED - Customer Owned</v>
          </cell>
          <cell r="F246">
            <v>1.2198628654494873E-2</v>
          </cell>
          <cell r="G246">
            <v>14244</v>
          </cell>
          <cell r="H246">
            <v>3.6</v>
          </cell>
          <cell r="I246">
            <v>51278.400000000001</v>
          </cell>
          <cell r="J246">
            <v>14244</v>
          </cell>
          <cell r="K246">
            <v>4261407.3626719741</v>
          </cell>
          <cell r="L246">
            <v>51983.325962765768</v>
          </cell>
        </row>
        <row r="247">
          <cell r="B247">
            <v>20</v>
          </cell>
          <cell r="C247" t="str">
            <v>Customer</v>
          </cell>
          <cell r="E247" t="str">
            <v>190W LED - Customer Owned</v>
          </cell>
          <cell r="F247">
            <v>2.048443935622344E-3</v>
          </cell>
          <cell r="G247">
            <v>2272</v>
          </cell>
          <cell r="H247">
            <v>3.79</v>
          </cell>
          <cell r="I247">
            <v>8610.8799999999992</v>
          </cell>
          <cell r="J247">
            <v>2272</v>
          </cell>
          <cell r="K247">
            <v>4261407.3626719741</v>
          </cell>
          <cell r="L247">
            <v>8729.2540692818111</v>
          </cell>
        </row>
        <row r="248">
          <cell r="B248">
            <v>20</v>
          </cell>
          <cell r="C248" t="str">
            <v>Customer</v>
          </cell>
          <cell r="E248" t="str">
            <v>200W LED - Customer Owned</v>
          </cell>
          <cell r="F248">
            <v>0</v>
          </cell>
          <cell r="H248">
            <v>3.99</v>
          </cell>
          <cell r="I248">
            <v>0</v>
          </cell>
          <cell r="J248">
            <v>0</v>
          </cell>
          <cell r="K248">
            <v>4261407.3626719741</v>
          </cell>
          <cell r="L248">
            <v>0</v>
          </cell>
        </row>
        <row r="249">
          <cell r="B249">
            <v>20</v>
          </cell>
          <cell r="C249" t="str">
            <v>Customer</v>
          </cell>
          <cell r="E249" t="str">
            <v>210W LED - Customer Owned</v>
          </cell>
          <cell r="F249">
            <v>8.4325889529966135E-3</v>
          </cell>
          <cell r="G249">
            <v>8460</v>
          </cell>
          <cell r="H249">
            <v>4.1900000000000004</v>
          </cell>
          <cell r="I249">
            <v>35447.4</v>
          </cell>
          <cell r="J249">
            <v>8460</v>
          </cell>
          <cell r="K249">
            <v>4261407.3626719741</v>
          </cell>
          <cell r="L249">
            <v>35934.696650686121</v>
          </cell>
        </row>
        <row r="250">
          <cell r="B250">
            <v>20</v>
          </cell>
          <cell r="C250" t="str">
            <v>Customer</v>
          </cell>
          <cell r="E250" t="str">
            <v>220W LED - Customer Owned</v>
          </cell>
          <cell r="F250">
            <v>0</v>
          </cell>
          <cell r="H250">
            <v>4.3899999999999997</v>
          </cell>
          <cell r="I250">
            <v>0</v>
          </cell>
          <cell r="J250">
            <v>0</v>
          </cell>
          <cell r="K250">
            <v>4261407.3626719741</v>
          </cell>
          <cell r="L250">
            <v>0</v>
          </cell>
        </row>
        <row r="251">
          <cell r="B251">
            <v>20</v>
          </cell>
          <cell r="C251" t="str">
            <v>Customer</v>
          </cell>
          <cell r="E251" t="str">
            <v>230W LED - Customer Owned</v>
          </cell>
          <cell r="F251">
            <v>0</v>
          </cell>
          <cell r="H251">
            <v>4.59</v>
          </cell>
          <cell r="I251">
            <v>0</v>
          </cell>
          <cell r="J251">
            <v>0</v>
          </cell>
          <cell r="K251">
            <v>4261407.3626719741</v>
          </cell>
          <cell r="L251">
            <v>0</v>
          </cell>
        </row>
        <row r="252">
          <cell r="B252">
            <v>20</v>
          </cell>
          <cell r="C252" t="str">
            <v>Customer</v>
          </cell>
          <cell r="E252" t="str">
            <v>240W LED - Customer Owned</v>
          </cell>
          <cell r="F252">
            <v>0</v>
          </cell>
          <cell r="H252">
            <v>4.79</v>
          </cell>
          <cell r="I252">
            <v>0</v>
          </cell>
          <cell r="J252">
            <v>0</v>
          </cell>
          <cell r="K252">
            <v>4261407.3626719741</v>
          </cell>
          <cell r="L252">
            <v>0</v>
          </cell>
        </row>
        <row r="253">
          <cell r="B253">
            <v>20</v>
          </cell>
          <cell r="C253" t="str">
            <v>Customer</v>
          </cell>
          <cell r="E253" t="str">
            <v>250W LED - Customer Owned</v>
          </cell>
          <cell r="F253">
            <v>9.9714054783652984E-5</v>
          </cell>
          <cell r="G253">
            <v>84</v>
          </cell>
          <cell r="H253">
            <v>4.99</v>
          </cell>
          <cell r="I253">
            <v>419.16</v>
          </cell>
          <cell r="J253">
            <v>84</v>
          </cell>
          <cell r="K253">
            <v>4261407.3626719741</v>
          </cell>
          <cell r="L253">
            <v>424.92220721693542</v>
          </cell>
        </row>
        <row r="254">
          <cell r="B254">
            <v>20</v>
          </cell>
          <cell r="C254" t="str">
            <v>Customer</v>
          </cell>
          <cell r="E254" t="str">
            <v>260W LED - Customer Owned</v>
          </cell>
          <cell r="F254">
            <v>0</v>
          </cell>
          <cell r="H254">
            <v>5.19</v>
          </cell>
          <cell r="I254">
            <v>0</v>
          </cell>
          <cell r="J254">
            <v>0</v>
          </cell>
          <cell r="K254">
            <v>4261407.3626719741</v>
          </cell>
          <cell r="L254">
            <v>0</v>
          </cell>
        </row>
        <row r="255">
          <cell r="B255">
            <v>20</v>
          </cell>
          <cell r="C255" t="str">
            <v>Customer</v>
          </cell>
          <cell r="E255" t="str">
            <v>270W LED - Customer Owned</v>
          </cell>
          <cell r="F255">
            <v>0</v>
          </cell>
          <cell r="G255">
            <v>0</v>
          </cell>
          <cell r="H255">
            <v>5.39</v>
          </cell>
          <cell r="I255">
            <v>0</v>
          </cell>
          <cell r="J255">
            <v>0</v>
          </cell>
          <cell r="K255">
            <v>4261407.3626719741</v>
          </cell>
          <cell r="L255">
            <v>0</v>
          </cell>
        </row>
        <row r="256">
          <cell r="B256">
            <v>20</v>
          </cell>
          <cell r="C256" t="str">
            <v>Customer</v>
          </cell>
          <cell r="E256" t="str">
            <v>280W LED - Customer Owned</v>
          </cell>
          <cell r="F256">
            <v>0</v>
          </cell>
          <cell r="H256">
            <v>5.59</v>
          </cell>
          <cell r="I256">
            <v>0</v>
          </cell>
          <cell r="J256">
            <v>0</v>
          </cell>
          <cell r="K256">
            <v>4261407.3626719741</v>
          </cell>
          <cell r="L256">
            <v>0</v>
          </cell>
        </row>
        <row r="257">
          <cell r="B257">
            <v>20</v>
          </cell>
          <cell r="C257" t="str">
            <v>Customer</v>
          </cell>
          <cell r="E257" t="str">
            <v>290W LED - Customer Owned</v>
          </cell>
          <cell r="F257">
            <v>0</v>
          </cell>
          <cell r="H257">
            <v>5.79</v>
          </cell>
          <cell r="I257">
            <v>0</v>
          </cell>
          <cell r="J257">
            <v>0</v>
          </cell>
          <cell r="K257">
            <v>4261407.3626719741</v>
          </cell>
          <cell r="L257">
            <v>0</v>
          </cell>
        </row>
        <row r="258">
          <cell r="B258">
            <v>20</v>
          </cell>
          <cell r="C258" t="str">
            <v>Customer</v>
          </cell>
          <cell r="E258" t="str">
            <v>300W LED - Customer Owned</v>
          </cell>
          <cell r="F258">
            <v>0</v>
          </cell>
          <cell r="H258">
            <v>5.99</v>
          </cell>
          <cell r="I258">
            <v>0</v>
          </cell>
          <cell r="J258">
            <v>0</v>
          </cell>
          <cell r="K258">
            <v>4261407.3626719741</v>
          </cell>
          <cell r="L258">
            <v>0</v>
          </cell>
        </row>
        <row r="259">
          <cell r="B259">
            <v>20</v>
          </cell>
          <cell r="C259" t="str">
            <v>Customer</v>
          </cell>
          <cell r="E259" t="str">
            <v>310W LED - Customer Owned</v>
          </cell>
          <cell r="F259">
            <v>1.7545317872424193E-2</v>
          </cell>
          <cell r="G259">
            <v>11915</v>
          </cell>
          <cell r="H259">
            <v>6.19</v>
          </cell>
          <cell r="I259">
            <v>73753.850000000006</v>
          </cell>
          <cell r="J259">
            <v>11915</v>
          </cell>
          <cell r="K259">
            <v>4261407.3626719741</v>
          </cell>
          <cell r="L259">
            <v>74767.746761968636</v>
          </cell>
        </row>
        <row r="260">
          <cell r="B260">
            <v>20</v>
          </cell>
          <cell r="C260" t="str">
            <v>Customer</v>
          </cell>
          <cell r="E260" t="str">
            <v>320W LED - Customer Owned</v>
          </cell>
          <cell r="F260">
            <v>0</v>
          </cell>
          <cell r="H260">
            <v>6.39</v>
          </cell>
          <cell r="I260">
            <v>0</v>
          </cell>
          <cell r="J260">
            <v>0</v>
          </cell>
          <cell r="K260">
            <v>4261407.3626719741</v>
          </cell>
          <cell r="L260">
            <v>0</v>
          </cell>
        </row>
        <row r="261">
          <cell r="B261">
            <v>20</v>
          </cell>
          <cell r="C261" t="str">
            <v>Customer</v>
          </cell>
          <cell r="E261" t="str">
            <v>330W LED - Customer Owned</v>
          </cell>
          <cell r="F261">
            <v>0</v>
          </cell>
          <cell r="H261">
            <v>6.59</v>
          </cell>
          <cell r="I261">
            <v>0</v>
          </cell>
          <cell r="J261">
            <v>0</v>
          </cell>
          <cell r="K261">
            <v>4261407.3626719741</v>
          </cell>
          <cell r="L261">
            <v>0</v>
          </cell>
        </row>
        <row r="262">
          <cell r="B262">
            <v>20</v>
          </cell>
          <cell r="C262" t="str">
            <v>Customer</v>
          </cell>
          <cell r="E262" t="str">
            <v>340W LED - Customer Owned</v>
          </cell>
          <cell r="F262">
            <v>0</v>
          </cell>
          <cell r="H262">
            <v>6.79</v>
          </cell>
          <cell r="I262">
            <v>0</v>
          </cell>
          <cell r="J262">
            <v>0</v>
          </cell>
          <cell r="K262">
            <v>4261407.3626719741</v>
          </cell>
          <cell r="L262">
            <v>0</v>
          </cell>
        </row>
        <row r="263">
          <cell r="B263">
            <v>20</v>
          </cell>
          <cell r="C263" t="str">
            <v>Customer</v>
          </cell>
          <cell r="E263" t="str">
            <v>350W LED - Customer Owned</v>
          </cell>
          <cell r="F263">
            <v>0</v>
          </cell>
          <cell r="H263">
            <v>6.99</v>
          </cell>
          <cell r="I263">
            <v>0</v>
          </cell>
          <cell r="J263">
            <v>0</v>
          </cell>
          <cell r="K263">
            <v>4261407.3626719741</v>
          </cell>
          <cell r="L263">
            <v>0</v>
          </cell>
        </row>
        <row r="264">
          <cell r="B264">
            <v>20</v>
          </cell>
          <cell r="C264" t="str">
            <v>Customer</v>
          </cell>
          <cell r="E264" t="str">
            <v>360W LED - Customer Owned</v>
          </cell>
          <cell r="F264">
            <v>0</v>
          </cell>
          <cell r="H264">
            <v>7.19</v>
          </cell>
          <cell r="I264">
            <v>0</v>
          </cell>
          <cell r="J264">
            <v>0</v>
          </cell>
          <cell r="K264">
            <v>4261407.3626719741</v>
          </cell>
          <cell r="L264">
            <v>0</v>
          </cell>
        </row>
        <row r="265">
          <cell r="B265">
            <v>20</v>
          </cell>
          <cell r="C265" t="str">
            <v>Customer</v>
          </cell>
          <cell r="E265" t="str">
            <v>370W LED - Customer Owned</v>
          </cell>
          <cell r="F265">
            <v>0</v>
          </cell>
          <cell r="H265">
            <v>7.39</v>
          </cell>
          <cell r="I265">
            <v>0</v>
          </cell>
          <cell r="J265">
            <v>0</v>
          </cell>
          <cell r="K265">
            <v>4261407.3626719741</v>
          </cell>
          <cell r="L265">
            <v>0</v>
          </cell>
        </row>
        <row r="266">
          <cell r="B266">
            <v>20</v>
          </cell>
          <cell r="C266" t="str">
            <v>Customer</v>
          </cell>
          <cell r="E266" t="str">
            <v>380W LED - Customer Owned</v>
          </cell>
          <cell r="F266">
            <v>0</v>
          </cell>
          <cell r="H266">
            <v>7.59</v>
          </cell>
          <cell r="I266">
            <v>0</v>
          </cell>
          <cell r="J266">
            <v>0</v>
          </cell>
          <cell r="K266">
            <v>4261407.3626719741</v>
          </cell>
          <cell r="L266">
            <v>0</v>
          </cell>
        </row>
        <row r="267">
          <cell r="B267">
            <v>20</v>
          </cell>
          <cell r="C267" t="str">
            <v>Customer</v>
          </cell>
          <cell r="E267" t="str">
            <v>390W LED - Customer Owned</v>
          </cell>
          <cell r="F267">
            <v>0</v>
          </cell>
          <cell r="H267">
            <v>7.79</v>
          </cell>
          <cell r="I267">
            <v>0</v>
          </cell>
          <cell r="J267">
            <v>0</v>
          </cell>
          <cell r="K267">
            <v>4261407.3626719741</v>
          </cell>
          <cell r="L267">
            <v>0</v>
          </cell>
        </row>
        <row r="268">
          <cell r="B268">
            <v>20</v>
          </cell>
          <cell r="C268" t="str">
            <v>Customer</v>
          </cell>
          <cell r="E268" t="str">
            <v>400W LED - Customer Owned</v>
          </cell>
          <cell r="F268">
            <v>0</v>
          </cell>
          <cell r="H268">
            <v>7.99</v>
          </cell>
          <cell r="I268">
            <v>0</v>
          </cell>
          <cell r="J268">
            <v>0</v>
          </cell>
          <cell r="K268">
            <v>4261407.3626719741</v>
          </cell>
          <cell r="L268">
            <v>0</v>
          </cell>
        </row>
        <row r="269">
          <cell r="B269">
            <v>20</v>
          </cell>
          <cell r="C269" t="str">
            <v>Customer</v>
          </cell>
          <cell r="E269" t="str">
            <v>460W LED - Customer Owned</v>
          </cell>
          <cell r="F269">
            <v>1.2067884202473936E-3</v>
          </cell>
          <cell r="G269">
            <v>552</v>
          </cell>
          <cell r="H269">
            <v>9.19</v>
          </cell>
          <cell r="I269">
            <v>5072.88</v>
          </cell>
          <cell r="J269">
            <v>552</v>
          </cell>
          <cell r="K269">
            <v>4261407.3626719741</v>
          </cell>
          <cell r="L269">
            <v>5142.6170592295239</v>
          </cell>
        </row>
        <row r="270">
          <cell r="B270">
            <v>20</v>
          </cell>
          <cell r="C270" t="str">
            <v>Customer</v>
          </cell>
          <cell r="E270" t="str">
            <v>470W LED - Customer Owned</v>
          </cell>
          <cell r="F270">
            <v>2.4500197154838543E-2</v>
          </cell>
          <cell r="G270">
            <v>10968</v>
          </cell>
          <cell r="H270">
            <v>9.39</v>
          </cell>
          <cell r="I270">
            <v>102989.52</v>
          </cell>
          <cell r="J270">
            <v>10968</v>
          </cell>
          <cell r="K270">
            <v>4261407.3626719741</v>
          </cell>
          <cell r="L270">
            <v>104405.32054254392</v>
          </cell>
        </row>
        <row r="271">
          <cell r="B271">
            <v>20</v>
          </cell>
          <cell r="C271" t="str">
            <v>Customer</v>
          </cell>
          <cell r="E271" t="str">
            <v>Company-Owned</v>
          </cell>
          <cell r="F271">
            <v>8.9681149474451979E-3</v>
          </cell>
          <cell r="G271">
            <v>194315.4</v>
          </cell>
          <cell r="H271">
            <v>0.19400699999999999</v>
          </cell>
          <cell r="I271">
            <v>37698.547807799994</v>
          </cell>
          <cell r="J271">
            <v>194315.4</v>
          </cell>
          <cell r="K271">
            <v>4261407.3626719741</v>
          </cell>
          <cell r="L271">
            <v>38216.791066331549</v>
          </cell>
        </row>
        <row r="272">
          <cell r="B272">
            <v>20</v>
          </cell>
          <cell r="C272" t="str">
            <v>Customer</v>
          </cell>
          <cell r="E272" t="str">
            <v>Customer-Owned</v>
          </cell>
          <cell r="F272">
            <v>1.5686099563836167E-2</v>
          </cell>
          <cell r="G272">
            <v>1173617.3999999999</v>
          </cell>
          <cell r="H272">
            <v>5.6183900000000002E-2</v>
          </cell>
          <cell r="I272">
            <v>65938.402639859996</v>
          </cell>
          <cell r="J272">
            <v>1173617.3999999999</v>
          </cell>
          <cell r="K272">
            <v>4261407.3626719741</v>
          </cell>
          <cell r="L272">
            <v>66844.860172937086</v>
          </cell>
        </row>
        <row r="273">
          <cell r="B273">
            <v>20</v>
          </cell>
          <cell r="C273" t="str">
            <v>Customer</v>
          </cell>
          <cell r="E273" t="str">
            <v>Wood Pole</v>
          </cell>
          <cell r="F273">
            <v>0.13996307776135578</v>
          </cell>
          <cell r="G273">
            <v>121060</v>
          </cell>
          <cell r="H273">
            <v>4.8600000000000003</v>
          </cell>
          <cell r="I273">
            <v>588351.60000000009</v>
          </cell>
          <cell r="J273">
            <v>121060</v>
          </cell>
          <cell r="K273">
            <v>4261407.3626719741</v>
          </cell>
          <cell r="L273">
            <v>596439.69007447152</v>
          </cell>
        </row>
        <row r="274">
          <cell r="B274">
            <v>20</v>
          </cell>
          <cell r="C274" t="str">
            <v>Customer</v>
          </cell>
          <cell r="E274" t="str">
            <v>Non-Wood Pole</v>
          </cell>
          <cell r="F274">
            <v>0.1113105595616737</v>
          </cell>
          <cell r="G274">
            <v>49514</v>
          </cell>
          <cell r="H274">
            <v>9.4499999999999993</v>
          </cell>
          <cell r="I274">
            <v>467907.3</v>
          </cell>
          <cell r="J274">
            <v>49514</v>
          </cell>
          <cell r="K274">
            <v>4261407.3626719741</v>
          </cell>
          <cell r="L274">
            <v>474339.63805925357</v>
          </cell>
        </row>
        <row r="275">
          <cell r="B275">
            <v>20</v>
          </cell>
          <cell r="C275" t="str">
            <v>Customer</v>
          </cell>
          <cell r="E275" t="str">
            <v>CAR Appl. To L2Z5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4261407.3626719741</v>
          </cell>
          <cell r="L275">
            <v>0</v>
          </cell>
        </row>
        <row r="276">
          <cell r="B276">
            <v>20</v>
          </cell>
          <cell r="C276" t="str">
            <v>Customer</v>
          </cell>
          <cell r="E276" t="str">
            <v>CAR Appl. To L3D1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4261407.3626719741</v>
          </cell>
          <cell r="L276">
            <v>0</v>
          </cell>
        </row>
        <row r="277">
          <cell r="B277">
            <v>20</v>
          </cell>
          <cell r="C277" t="str">
            <v>Customer</v>
          </cell>
          <cell r="E277" t="str">
            <v>CAR Appl. To L7D1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4261407.3626719741</v>
          </cell>
          <cell r="L277">
            <v>0</v>
          </cell>
        </row>
        <row r="278">
          <cell r="B278">
            <v>20</v>
          </cell>
          <cell r="C278" t="str">
            <v>Customer</v>
          </cell>
          <cell r="E278" t="str">
            <v>CAR Appl. To L8D1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4261407.3626719741</v>
          </cell>
          <cell r="L278">
            <v>0</v>
          </cell>
        </row>
        <row r="279">
          <cell r="B279">
            <v>20</v>
          </cell>
          <cell r="C279" t="str">
            <v>Customer</v>
          </cell>
          <cell r="E279" t="str">
            <v>CAR Appl. To L7D3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4261407.3626719741</v>
          </cell>
          <cell r="L279">
            <v>0</v>
          </cell>
        </row>
        <row r="280">
          <cell r="B280">
            <v>20</v>
          </cell>
          <cell r="C280" t="str">
            <v>Customer</v>
          </cell>
          <cell r="E280" t="str">
            <v>CAR Appl. To L8D3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4261407.3626719741</v>
          </cell>
          <cell r="L280">
            <v>0</v>
          </cell>
        </row>
        <row r="281">
          <cell r="B281">
            <v>20</v>
          </cell>
          <cell r="C281" t="str">
            <v>Customer</v>
          </cell>
          <cell r="E281" t="str">
            <v>CAR Appl. To L7F1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4261407.3626719741</v>
          </cell>
          <cell r="L281">
            <v>0</v>
          </cell>
        </row>
        <row r="282">
          <cell r="B282">
            <v>20</v>
          </cell>
          <cell r="C282" t="str">
            <v>Customer</v>
          </cell>
          <cell r="E282" t="str">
            <v>CAR Appl. To L8F1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4261407.3626719741</v>
          </cell>
          <cell r="L282">
            <v>0</v>
          </cell>
        </row>
        <row r="283">
          <cell r="B283">
            <v>20</v>
          </cell>
          <cell r="C283" t="str">
            <v>Customer</v>
          </cell>
          <cell r="E283" t="str">
            <v>CAR Appl. To L7F3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4261407.3626719741</v>
          </cell>
          <cell r="L283">
            <v>0</v>
          </cell>
        </row>
        <row r="284">
          <cell r="B284">
            <v>20</v>
          </cell>
          <cell r="C284" t="str">
            <v>Customer</v>
          </cell>
          <cell r="E284" t="str">
            <v>CAR Appl. To L8F3</v>
          </cell>
          <cell r="F284">
            <v>0</v>
          </cell>
          <cell r="G284">
            <v>948</v>
          </cell>
          <cell r="H284">
            <v>0</v>
          </cell>
          <cell r="I284">
            <v>0</v>
          </cell>
          <cell r="J284">
            <v>948</v>
          </cell>
          <cell r="K284">
            <v>4261407.3626719741</v>
          </cell>
          <cell r="L284">
            <v>0</v>
          </cell>
        </row>
        <row r="285">
          <cell r="B285">
            <v>20</v>
          </cell>
          <cell r="C285" t="str">
            <v>Customer</v>
          </cell>
          <cell r="E285" t="str">
            <v>CAR Appl. To L7A1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4261407.3626719741</v>
          </cell>
          <cell r="L285">
            <v>0</v>
          </cell>
        </row>
        <row r="286">
          <cell r="B286">
            <v>20</v>
          </cell>
          <cell r="C286" t="str">
            <v>Customer</v>
          </cell>
          <cell r="E286" t="str">
            <v>CAR Appl. To L8A1</v>
          </cell>
          <cell r="F286">
            <v>0</v>
          </cell>
          <cell r="G286">
            <v>156</v>
          </cell>
          <cell r="H286">
            <v>0</v>
          </cell>
          <cell r="I286">
            <v>0</v>
          </cell>
          <cell r="J286">
            <v>156</v>
          </cell>
          <cell r="K286">
            <v>4261407.3626719741</v>
          </cell>
          <cell r="L286">
            <v>0</v>
          </cell>
        </row>
        <row r="287">
          <cell r="B287">
            <v>20</v>
          </cell>
          <cell r="C287" t="str">
            <v>Customer</v>
          </cell>
          <cell r="E287" t="str">
            <v>CAR Appl. To L7A3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4261407.3626719741</v>
          </cell>
          <cell r="L287">
            <v>0</v>
          </cell>
        </row>
        <row r="288">
          <cell r="B288">
            <v>20</v>
          </cell>
          <cell r="C288" t="str">
            <v>Customer</v>
          </cell>
          <cell r="E288" t="str">
            <v>CAR Appl. To L8A3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4261407.3626719741</v>
          </cell>
          <cell r="L288">
            <v>0</v>
          </cell>
        </row>
        <row r="289">
          <cell r="B289">
            <v>20</v>
          </cell>
          <cell r="C289" t="str">
            <v>Customer</v>
          </cell>
          <cell r="E289" t="str">
            <v>CAR Appl. To L7T1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4261407.3626719741</v>
          </cell>
          <cell r="L289">
            <v>0</v>
          </cell>
        </row>
        <row r="290">
          <cell r="B290">
            <v>20</v>
          </cell>
          <cell r="C290" t="str">
            <v>Customer</v>
          </cell>
          <cell r="E290" t="str">
            <v>CAR Appl. To L8T1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4261407.3626719741</v>
          </cell>
          <cell r="L290">
            <v>0</v>
          </cell>
        </row>
        <row r="291">
          <cell r="B291">
            <v>20</v>
          </cell>
          <cell r="C291" t="str">
            <v>Customer</v>
          </cell>
          <cell r="E291" t="str">
            <v>CAR Appl. To L7T3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4261407.3626719741</v>
          </cell>
          <cell r="L291">
            <v>0</v>
          </cell>
        </row>
        <row r="292">
          <cell r="B292">
            <v>20</v>
          </cell>
          <cell r="C292" t="str">
            <v>Customer</v>
          </cell>
          <cell r="E292" t="str">
            <v>CAR Appl. To L8T3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4261407.3626719741</v>
          </cell>
          <cell r="L292">
            <v>0</v>
          </cell>
        </row>
        <row r="293">
          <cell r="B293">
            <v>20</v>
          </cell>
          <cell r="C293" t="str">
            <v>Customer</v>
          </cell>
          <cell r="E293" t="str">
            <v>CAR Appl. To L7C1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4261407.3626719741</v>
          </cell>
          <cell r="L293">
            <v>0</v>
          </cell>
        </row>
        <row r="294">
          <cell r="B294">
            <v>20</v>
          </cell>
          <cell r="C294" t="str">
            <v>Customer</v>
          </cell>
          <cell r="E294" t="str">
            <v>CAR Appl. To L8C1</v>
          </cell>
          <cell r="F294">
            <v>0</v>
          </cell>
          <cell r="G294">
            <v>12</v>
          </cell>
          <cell r="H294">
            <v>0</v>
          </cell>
          <cell r="I294">
            <v>0</v>
          </cell>
          <cell r="J294">
            <v>12</v>
          </cell>
          <cell r="K294">
            <v>4261407.3626719741</v>
          </cell>
          <cell r="L294">
            <v>0</v>
          </cell>
        </row>
        <row r="295">
          <cell r="B295">
            <v>20</v>
          </cell>
          <cell r="C295" t="str">
            <v>Customer</v>
          </cell>
          <cell r="E295" t="str">
            <v>CAR Appl. To L7C3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4261407.3626719741</v>
          </cell>
          <cell r="L295">
            <v>0</v>
          </cell>
        </row>
        <row r="296">
          <cell r="B296">
            <v>20</v>
          </cell>
          <cell r="C296" t="str">
            <v>Customer</v>
          </cell>
          <cell r="E296" t="str">
            <v>CAR Appl. To L8C3</v>
          </cell>
          <cell r="F296">
            <v>0</v>
          </cell>
          <cell r="G296">
            <v>684</v>
          </cell>
          <cell r="H296">
            <v>0</v>
          </cell>
          <cell r="I296">
            <v>0</v>
          </cell>
          <cell r="J296">
            <v>684</v>
          </cell>
          <cell r="K296">
            <v>4261407.3626719741</v>
          </cell>
          <cell r="L296">
            <v>0</v>
          </cell>
        </row>
        <row r="297">
          <cell r="B297">
            <v>20</v>
          </cell>
          <cell r="C297" t="str">
            <v>Customer</v>
          </cell>
          <cell r="E297" t="str">
            <v>CAR Appl. To L1Z5</v>
          </cell>
          <cell r="F297">
            <v>0</v>
          </cell>
          <cell r="G297">
            <v>0</v>
          </cell>
          <cell r="H297">
            <v>-9.7010299999999994E-2</v>
          </cell>
          <cell r="I297">
            <v>0</v>
          </cell>
          <cell r="J297">
            <v>0</v>
          </cell>
          <cell r="K297">
            <v>4261407.3626719741</v>
          </cell>
          <cell r="L297">
            <v>0</v>
          </cell>
        </row>
        <row r="298">
          <cell r="B298">
            <v>20</v>
          </cell>
          <cell r="C298" t="str">
            <v>Customer</v>
          </cell>
          <cell r="E298" t="str">
            <v>CAR Appl. To L3D2</v>
          </cell>
          <cell r="F298">
            <v>0</v>
          </cell>
          <cell r="G298">
            <v>3483</v>
          </cell>
          <cell r="H298">
            <v>-11.9</v>
          </cell>
          <cell r="I298">
            <v>-41447.700000000004</v>
          </cell>
          <cell r="J298">
            <v>3483</v>
          </cell>
          <cell r="K298">
            <v>4261407.3626719741</v>
          </cell>
          <cell r="L298">
            <v>0</v>
          </cell>
        </row>
        <row r="299">
          <cell r="B299">
            <v>20</v>
          </cell>
          <cell r="C299" t="str">
            <v>Customer</v>
          </cell>
          <cell r="E299" t="str">
            <v>CAR Appl. To L4D2</v>
          </cell>
          <cell r="F299">
            <v>0</v>
          </cell>
          <cell r="G299">
            <v>120</v>
          </cell>
          <cell r="H299">
            <v>-16.489999999999998</v>
          </cell>
          <cell r="I299">
            <v>-1978.7999999999997</v>
          </cell>
          <cell r="J299">
            <v>120</v>
          </cell>
          <cell r="K299">
            <v>4261407.3626719741</v>
          </cell>
          <cell r="L299">
            <v>0</v>
          </cell>
        </row>
        <row r="300">
          <cell r="B300">
            <v>20</v>
          </cell>
          <cell r="C300" t="str">
            <v>Customer</v>
          </cell>
          <cell r="E300" t="str">
            <v>CAR Appl. To L7D2</v>
          </cell>
          <cell r="F300">
            <v>0</v>
          </cell>
          <cell r="G300">
            <v>7152</v>
          </cell>
          <cell r="H300">
            <v>-7.04</v>
          </cell>
          <cell r="I300">
            <v>-50350.080000000002</v>
          </cell>
          <cell r="J300">
            <v>7152</v>
          </cell>
          <cell r="K300">
            <v>4261407.3626719741</v>
          </cell>
          <cell r="L300">
            <v>0</v>
          </cell>
        </row>
        <row r="301">
          <cell r="B301">
            <v>20</v>
          </cell>
          <cell r="C301" t="str">
            <v>Customer</v>
          </cell>
          <cell r="E301" t="str">
            <v>CAR Appl. To L8D2</v>
          </cell>
          <cell r="F301">
            <v>0</v>
          </cell>
          <cell r="G301">
            <v>0</v>
          </cell>
          <cell r="H301">
            <v>-7.04</v>
          </cell>
          <cell r="I301">
            <v>0</v>
          </cell>
          <cell r="J301">
            <v>0</v>
          </cell>
          <cell r="K301">
            <v>4261407.3626719741</v>
          </cell>
          <cell r="L301">
            <v>0</v>
          </cell>
        </row>
        <row r="302">
          <cell r="B302">
            <v>20</v>
          </cell>
          <cell r="C302" t="str">
            <v>Customer</v>
          </cell>
          <cell r="E302" t="str">
            <v>CAR Appl. To L3D4</v>
          </cell>
          <cell r="F302">
            <v>0</v>
          </cell>
          <cell r="G302">
            <v>72</v>
          </cell>
          <cell r="H302">
            <v>-11.9</v>
          </cell>
          <cell r="I302">
            <v>-856.80000000000007</v>
          </cell>
          <cell r="J302">
            <v>72</v>
          </cell>
          <cell r="K302">
            <v>4261407.3626719741</v>
          </cell>
          <cell r="L302">
            <v>0</v>
          </cell>
        </row>
        <row r="303">
          <cell r="B303">
            <v>20</v>
          </cell>
          <cell r="C303" t="str">
            <v>Customer</v>
          </cell>
          <cell r="E303" t="str">
            <v>CAR Appl. To L4D4</v>
          </cell>
          <cell r="F303">
            <v>0</v>
          </cell>
          <cell r="G303">
            <v>480</v>
          </cell>
          <cell r="H303">
            <v>-16.489999999999998</v>
          </cell>
          <cell r="I303">
            <v>-7915.1999999999989</v>
          </cell>
          <cell r="J303">
            <v>480</v>
          </cell>
          <cell r="K303">
            <v>4261407.3626719741</v>
          </cell>
          <cell r="L303">
            <v>0</v>
          </cell>
        </row>
        <row r="304">
          <cell r="B304">
            <v>20</v>
          </cell>
          <cell r="C304" t="str">
            <v>Customer</v>
          </cell>
          <cell r="E304" t="str">
            <v>CAR Appl. To L3F2</v>
          </cell>
          <cell r="F304">
            <v>0</v>
          </cell>
          <cell r="G304">
            <v>444</v>
          </cell>
          <cell r="H304">
            <v>-10.34</v>
          </cell>
          <cell r="I304">
            <v>-4590.96</v>
          </cell>
          <cell r="J304">
            <v>444</v>
          </cell>
          <cell r="K304">
            <v>4261407.3626719741</v>
          </cell>
          <cell r="L304">
            <v>0</v>
          </cell>
        </row>
        <row r="305">
          <cell r="B305">
            <v>20</v>
          </cell>
          <cell r="C305" t="str">
            <v>Customer</v>
          </cell>
          <cell r="E305" t="str">
            <v>CAR Appl. To L4F2</v>
          </cell>
          <cell r="F305">
            <v>0</v>
          </cell>
          <cell r="G305">
            <v>12</v>
          </cell>
          <cell r="H305">
            <v>-12.24</v>
          </cell>
          <cell r="I305">
            <v>-146.88</v>
          </cell>
          <cell r="J305">
            <v>12</v>
          </cell>
          <cell r="K305">
            <v>4261407.3626719741</v>
          </cell>
          <cell r="L305">
            <v>0</v>
          </cell>
        </row>
        <row r="306">
          <cell r="B306">
            <v>20</v>
          </cell>
          <cell r="C306" t="str">
            <v>Customer</v>
          </cell>
          <cell r="E306" t="str">
            <v>CAR Appl. To L7F2</v>
          </cell>
          <cell r="F306">
            <v>0</v>
          </cell>
          <cell r="G306">
            <v>1092</v>
          </cell>
          <cell r="H306">
            <v>-5.48</v>
          </cell>
          <cell r="I306">
            <v>-5984.1600000000008</v>
          </cell>
          <cell r="J306">
            <v>1092</v>
          </cell>
          <cell r="K306">
            <v>4261407.3626719741</v>
          </cell>
          <cell r="L306">
            <v>0</v>
          </cell>
        </row>
        <row r="307">
          <cell r="B307">
            <v>20</v>
          </cell>
          <cell r="C307" t="str">
            <v>Customer</v>
          </cell>
          <cell r="E307" t="str">
            <v>CAR Appl. To L8F2</v>
          </cell>
          <cell r="F307">
            <v>0</v>
          </cell>
          <cell r="G307">
            <v>0</v>
          </cell>
          <cell r="H307">
            <v>-2.79</v>
          </cell>
          <cell r="I307">
            <v>0</v>
          </cell>
          <cell r="J307">
            <v>0</v>
          </cell>
          <cell r="K307">
            <v>4261407.3626719741</v>
          </cell>
          <cell r="L307">
            <v>0</v>
          </cell>
        </row>
        <row r="308">
          <cell r="B308">
            <v>20</v>
          </cell>
          <cell r="C308" t="str">
            <v>Customer</v>
          </cell>
          <cell r="E308" t="str">
            <v>CAR Appl. To L4F4</v>
          </cell>
          <cell r="F308">
            <v>0</v>
          </cell>
          <cell r="G308">
            <v>24</v>
          </cell>
          <cell r="H308">
            <v>-12.24</v>
          </cell>
          <cell r="I308">
            <v>-293.76</v>
          </cell>
          <cell r="J308">
            <v>24</v>
          </cell>
          <cell r="K308">
            <v>4261407.3626719741</v>
          </cell>
          <cell r="L308">
            <v>0</v>
          </cell>
        </row>
        <row r="309">
          <cell r="B309">
            <v>20</v>
          </cell>
          <cell r="C309" t="str">
            <v>Customer</v>
          </cell>
          <cell r="E309" t="str">
            <v>CAR Appl. To L3U2</v>
          </cell>
          <cell r="F309">
            <v>0</v>
          </cell>
          <cell r="G309">
            <v>2689</v>
          </cell>
          <cell r="H309">
            <v>-7.39</v>
          </cell>
          <cell r="I309">
            <v>-19871.71</v>
          </cell>
          <cell r="J309">
            <v>2689</v>
          </cell>
          <cell r="K309">
            <v>4261407.3626719741</v>
          </cell>
          <cell r="L309">
            <v>0</v>
          </cell>
        </row>
        <row r="310">
          <cell r="B310">
            <v>20</v>
          </cell>
          <cell r="C310" t="str">
            <v>Customer</v>
          </cell>
          <cell r="E310" t="str">
            <v>CAR Appl. To L4U2</v>
          </cell>
          <cell r="F310">
            <v>0</v>
          </cell>
          <cell r="G310">
            <v>12</v>
          </cell>
          <cell r="H310">
            <v>-11.98</v>
          </cell>
          <cell r="I310">
            <v>-143.76</v>
          </cell>
          <cell r="J310">
            <v>12</v>
          </cell>
          <cell r="K310">
            <v>4261407.3626719741</v>
          </cell>
          <cell r="L310">
            <v>0</v>
          </cell>
        </row>
        <row r="311">
          <cell r="B311">
            <v>20</v>
          </cell>
          <cell r="C311" t="str">
            <v>Customer</v>
          </cell>
          <cell r="E311" t="str">
            <v>CAR Appl. To L7U2</v>
          </cell>
          <cell r="F311">
            <v>0</v>
          </cell>
          <cell r="G311">
            <v>2026</v>
          </cell>
          <cell r="H311">
            <v>-2.5299999999999998</v>
          </cell>
          <cell r="I311">
            <v>-5125.78</v>
          </cell>
          <cell r="J311">
            <v>2026</v>
          </cell>
          <cell r="K311">
            <v>4261407.3626719741</v>
          </cell>
          <cell r="L311">
            <v>0</v>
          </cell>
        </row>
        <row r="312">
          <cell r="B312">
            <v>20</v>
          </cell>
          <cell r="C312" t="str">
            <v>Customer</v>
          </cell>
          <cell r="E312" t="str">
            <v>CAR Appl. To L8U2</v>
          </cell>
          <cell r="F312">
            <v>0</v>
          </cell>
          <cell r="G312">
            <v>0</v>
          </cell>
          <cell r="H312">
            <v>-2.5299999999999998</v>
          </cell>
          <cell r="I312">
            <v>0</v>
          </cell>
          <cell r="J312">
            <v>0</v>
          </cell>
          <cell r="K312">
            <v>4261407.3626719741</v>
          </cell>
          <cell r="L312">
            <v>0</v>
          </cell>
        </row>
        <row r="313">
          <cell r="B313">
            <v>20</v>
          </cell>
          <cell r="C313" t="str">
            <v>Customer</v>
          </cell>
          <cell r="E313" t="str">
            <v>CAR Appl. To L3U4</v>
          </cell>
          <cell r="F313">
            <v>0</v>
          </cell>
          <cell r="G313">
            <v>574</v>
          </cell>
          <cell r="H313">
            <v>-7.39</v>
          </cell>
          <cell r="I313">
            <v>-4241.8599999999997</v>
          </cell>
          <cell r="J313">
            <v>574</v>
          </cell>
          <cell r="K313">
            <v>4261407.3626719741</v>
          </cell>
          <cell r="L313">
            <v>0</v>
          </cell>
        </row>
        <row r="314">
          <cell r="B314">
            <v>20</v>
          </cell>
          <cell r="C314" t="str">
            <v>Customer</v>
          </cell>
          <cell r="E314" t="str">
            <v>CAR Appl. To L4U4</v>
          </cell>
          <cell r="F314">
            <v>0</v>
          </cell>
          <cell r="G314">
            <v>547</v>
          </cell>
          <cell r="H314">
            <v>-11.98</v>
          </cell>
          <cell r="I314">
            <v>-6553.06</v>
          </cell>
          <cell r="J314">
            <v>547</v>
          </cell>
          <cell r="K314">
            <v>4261407.3626719741</v>
          </cell>
          <cell r="L314">
            <v>0</v>
          </cell>
        </row>
        <row r="315">
          <cell r="B315">
            <v>20</v>
          </cell>
          <cell r="C315" t="str">
            <v>Customer</v>
          </cell>
          <cell r="E315" t="str">
            <v>CAR Appl. To L3V2</v>
          </cell>
          <cell r="F315">
            <v>0</v>
          </cell>
          <cell r="G315">
            <v>2</v>
          </cell>
          <cell r="H315">
            <v>-7.68</v>
          </cell>
          <cell r="I315">
            <v>-15.36</v>
          </cell>
          <cell r="J315">
            <v>2</v>
          </cell>
          <cell r="K315">
            <v>4261407.3626719741</v>
          </cell>
          <cell r="L315">
            <v>0</v>
          </cell>
        </row>
        <row r="316">
          <cell r="B316">
            <v>20</v>
          </cell>
          <cell r="C316" t="str">
            <v>Customer</v>
          </cell>
          <cell r="E316" t="str">
            <v>CAR Appl. To L7V2</v>
          </cell>
          <cell r="F316">
            <v>0</v>
          </cell>
          <cell r="G316">
            <v>12</v>
          </cell>
          <cell r="H316">
            <v>-2.82</v>
          </cell>
          <cell r="I316">
            <v>-33.839999999999996</v>
          </cell>
          <cell r="J316">
            <v>12</v>
          </cell>
          <cell r="K316">
            <v>4261407.3626719741</v>
          </cell>
          <cell r="L316">
            <v>0</v>
          </cell>
        </row>
        <row r="317">
          <cell r="B317">
            <v>20</v>
          </cell>
          <cell r="C317" t="str">
            <v>Customer</v>
          </cell>
          <cell r="E317" t="str">
            <v>CAR Appl. To L4V4</v>
          </cell>
          <cell r="F317">
            <v>0</v>
          </cell>
          <cell r="G317">
            <v>242</v>
          </cell>
          <cell r="H317">
            <v>-12.27</v>
          </cell>
          <cell r="I317">
            <v>-2969.3399999999997</v>
          </cell>
          <cell r="J317">
            <v>242</v>
          </cell>
          <cell r="K317">
            <v>4261407.3626719741</v>
          </cell>
          <cell r="L317">
            <v>0</v>
          </cell>
        </row>
        <row r="318">
          <cell r="B318">
            <v>20</v>
          </cell>
          <cell r="C318" t="str">
            <v>Customer</v>
          </cell>
          <cell r="E318" t="str">
            <v>CAR Appl. To L3A2</v>
          </cell>
          <cell r="F318">
            <v>0</v>
          </cell>
          <cell r="G318">
            <v>9965</v>
          </cell>
          <cell r="H318">
            <v>-6.93</v>
          </cell>
          <cell r="I318">
            <v>-69057.45</v>
          </cell>
          <cell r="J318">
            <v>9965</v>
          </cell>
          <cell r="K318">
            <v>4261407.3626719741</v>
          </cell>
          <cell r="L318">
            <v>0</v>
          </cell>
        </row>
        <row r="319">
          <cell r="B319">
            <v>20</v>
          </cell>
          <cell r="C319" t="str">
            <v>Customer</v>
          </cell>
          <cell r="E319" t="str">
            <v>CAR Appl. To L4A2</v>
          </cell>
          <cell r="F319">
            <v>0</v>
          </cell>
          <cell r="G319">
            <v>72</v>
          </cell>
          <cell r="H319">
            <v>-2.64</v>
          </cell>
          <cell r="I319">
            <v>-190.08</v>
          </cell>
          <cell r="J319">
            <v>72</v>
          </cell>
          <cell r="K319">
            <v>4261407.3626719741</v>
          </cell>
          <cell r="L319">
            <v>0</v>
          </cell>
        </row>
        <row r="320">
          <cell r="B320">
            <v>20</v>
          </cell>
          <cell r="C320" t="str">
            <v>Customer</v>
          </cell>
          <cell r="E320" t="str">
            <v>CAR Appl. To L7A2</v>
          </cell>
          <cell r="F320">
            <v>0</v>
          </cell>
          <cell r="G320">
            <v>8313</v>
          </cell>
          <cell r="H320">
            <v>-2.0699999999999998</v>
          </cell>
          <cell r="I320">
            <v>-17207.91</v>
          </cell>
          <cell r="J320">
            <v>8313</v>
          </cell>
          <cell r="K320">
            <v>4261407.3626719741</v>
          </cell>
          <cell r="L320">
            <v>0</v>
          </cell>
        </row>
        <row r="321">
          <cell r="B321">
            <v>20</v>
          </cell>
          <cell r="C321" t="str">
            <v>Customer</v>
          </cell>
          <cell r="E321" t="str">
            <v xml:space="preserve">CAR Appl. To L8A2 </v>
          </cell>
          <cell r="F321">
            <v>0</v>
          </cell>
          <cell r="G321">
            <v>48</v>
          </cell>
          <cell r="H321">
            <v>0</v>
          </cell>
          <cell r="I321">
            <v>0</v>
          </cell>
          <cell r="J321">
            <v>48</v>
          </cell>
          <cell r="K321">
            <v>4261407.3626719741</v>
          </cell>
          <cell r="L321">
            <v>0</v>
          </cell>
        </row>
        <row r="322">
          <cell r="B322">
            <v>20</v>
          </cell>
          <cell r="C322" t="str">
            <v>Customer</v>
          </cell>
          <cell r="E322" t="str">
            <v>CAR Appl. To L3A4</v>
          </cell>
          <cell r="F322">
            <v>0</v>
          </cell>
          <cell r="G322">
            <v>1890</v>
          </cell>
          <cell r="H322">
            <v>-3.83</v>
          </cell>
          <cell r="I322">
            <v>-7238.7</v>
          </cell>
          <cell r="J322">
            <v>1890</v>
          </cell>
          <cell r="K322">
            <v>4261407.3626719741</v>
          </cell>
          <cell r="L322">
            <v>0</v>
          </cell>
        </row>
        <row r="323">
          <cell r="B323">
            <v>20</v>
          </cell>
          <cell r="C323" t="str">
            <v>Customer</v>
          </cell>
          <cell r="E323" t="str">
            <v>CAR Appl. To L4A4</v>
          </cell>
          <cell r="F323">
            <v>0</v>
          </cell>
          <cell r="G323">
            <v>1987</v>
          </cell>
          <cell r="H323">
            <v>-8.42</v>
          </cell>
          <cell r="I323">
            <v>-16730.54</v>
          </cell>
          <cell r="J323">
            <v>1987</v>
          </cell>
          <cell r="K323">
            <v>4261407.3626719741</v>
          </cell>
          <cell r="L323">
            <v>0</v>
          </cell>
        </row>
        <row r="324">
          <cell r="B324">
            <v>20</v>
          </cell>
          <cell r="C324" t="str">
            <v>Customer</v>
          </cell>
          <cell r="E324" t="str">
            <v>CAR Appl. To L3T2</v>
          </cell>
          <cell r="F324">
            <v>0</v>
          </cell>
          <cell r="G324">
            <v>1598</v>
          </cell>
          <cell r="H324">
            <v>-7.7</v>
          </cell>
          <cell r="I324">
            <v>-12304.6</v>
          </cell>
          <cell r="J324">
            <v>1598</v>
          </cell>
          <cell r="K324">
            <v>4261407.3626719741</v>
          </cell>
          <cell r="L324">
            <v>0</v>
          </cell>
        </row>
        <row r="325">
          <cell r="B325">
            <v>20</v>
          </cell>
          <cell r="C325" t="str">
            <v>Customer</v>
          </cell>
          <cell r="E325" t="str">
            <v>CAR Appl. To L4T2</v>
          </cell>
          <cell r="F325">
            <v>0</v>
          </cell>
          <cell r="G325">
            <v>1478</v>
          </cell>
          <cell r="H325">
            <v>-3.95</v>
          </cell>
          <cell r="I325">
            <v>-5838.1</v>
          </cell>
          <cell r="J325">
            <v>1478</v>
          </cell>
          <cell r="K325">
            <v>4261407.3626719741</v>
          </cell>
          <cell r="L325">
            <v>0</v>
          </cell>
        </row>
        <row r="326">
          <cell r="B326">
            <v>20</v>
          </cell>
          <cell r="C326" t="str">
            <v>Customer</v>
          </cell>
          <cell r="E326" t="str">
            <v>CAR Appl. To L7T2</v>
          </cell>
          <cell r="F326">
            <v>0</v>
          </cell>
          <cell r="G326">
            <v>1014</v>
          </cell>
          <cell r="H326">
            <v>-2.84</v>
          </cell>
          <cell r="I326">
            <v>-2879.7599999999998</v>
          </cell>
          <cell r="J326">
            <v>1014</v>
          </cell>
          <cell r="K326">
            <v>4261407.3626719741</v>
          </cell>
          <cell r="L326">
            <v>0</v>
          </cell>
        </row>
        <row r="327">
          <cell r="B327">
            <v>20</v>
          </cell>
          <cell r="C327" t="str">
            <v>Customer</v>
          </cell>
          <cell r="E327" t="str">
            <v>CAR Appl. To L8T2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4261407.3626719741</v>
          </cell>
          <cell r="L327">
            <v>0</v>
          </cell>
        </row>
        <row r="328">
          <cell r="B328">
            <v>20</v>
          </cell>
          <cell r="C328" t="str">
            <v>Customer</v>
          </cell>
          <cell r="E328" t="str">
            <v>CAR Appl. To L3T4</v>
          </cell>
          <cell r="F328">
            <v>0</v>
          </cell>
          <cell r="G328">
            <v>12</v>
          </cell>
          <cell r="H328">
            <v>-5.0199999999999996</v>
          </cell>
          <cell r="I328">
            <v>-60.239999999999995</v>
          </cell>
          <cell r="J328">
            <v>12</v>
          </cell>
          <cell r="K328">
            <v>4261407.3626719741</v>
          </cell>
          <cell r="L328">
            <v>0</v>
          </cell>
        </row>
        <row r="329">
          <cell r="B329">
            <v>20</v>
          </cell>
          <cell r="C329" t="str">
            <v>Customer</v>
          </cell>
          <cell r="E329" t="str">
            <v>CAR Appl. To L4T4</v>
          </cell>
          <cell r="F329">
            <v>0</v>
          </cell>
          <cell r="G329">
            <v>6953</v>
          </cell>
          <cell r="H329">
            <v>-3.95</v>
          </cell>
          <cell r="I329">
            <v>-27464.350000000002</v>
          </cell>
          <cell r="J329">
            <v>6953</v>
          </cell>
          <cell r="K329">
            <v>4261407.3626719741</v>
          </cell>
          <cell r="L329">
            <v>0</v>
          </cell>
        </row>
        <row r="330">
          <cell r="B330">
            <v>20</v>
          </cell>
          <cell r="C330" t="str">
            <v>Customer</v>
          </cell>
          <cell r="E330" t="str">
            <v>CAR Appl. To L3C2</v>
          </cell>
          <cell r="F330">
            <v>0</v>
          </cell>
          <cell r="G330">
            <v>271</v>
          </cell>
          <cell r="H330">
            <v>-10.61</v>
          </cell>
          <cell r="I330">
            <v>-2875.31</v>
          </cell>
          <cell r="J330">
            <v>271</v>
          </cell>
          <cell r="K330">
            <v>4261407.3626719741</v>
          </cell>
          <cell r="L330">
            <v>0</v>
          </cell>
        </row>
        <row r="331">
          <cell r="B331">
            <v>20</v>
          </cell>
          <cell r="C331" t="str">
            <v>Customer</v>
          </cell>
          <cell r="E331" t="str">
            <v>CAR Appl. To L4C2</v>
          </cell>
          <cell r="F331">
            <v>0</v>
          </cell>
          <cell r="G331">
            <v>12</v>
          </cell>
          <cell r="H331">
            <v>-7.67</v>
          </cell>
          <cell r="I331">
            <v>-92.039999999999992</v>
          </cell>
          <cell r="J331">
            <v>12</v>
          </cell>
          <cell r="K331">
            <v>4261407.3626719741</v>
          </cell>
          <cell r="L331">
            <v>0</v>
          </cell>
        </row>
        <row r="332">
          <cell r="B332">
            <v>20</v>
          </cell>
          <cell r="C332" t="str">
            <v>Customer</v>
          </cell>
          <cell r="E332" t="str">
            <v>CAR Appl. To L7C2</v>
          </cell>
          <cell r="F332">
            <v>0</v>
          </cell>
          <cell r="G332">
            <v>408</v>
          </cell>
          <cell r="H332">
            <v>-5.75</v>
          </cell>
          <cell r="I332">
            <v>-2346</v>
          </cell>
          <cell r="J332">
            <v>408</v>
          </cell>
          <cell r="K332">
            <v>4261407.3626719741</v>
          </cell>
          <cell r="L332">
            <v>0</v>
          </cell>
        </row>
        <row r="333">
          <cell r="B333">
            <v>20</v>
          </cell>
          <cell r="C333" t="str">
            <v>Customer</v>
          </cell>
          <cell r="E333" t="str">
            <v>CAR Appl. To L8C2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4261407.3626719741</v>
          </cell>
          <cell r="L333">
            <v>0</v>
          </cell>
        </row>
        <row r="334">
          <cell r="B334">
            <v>20</v>
          </cell>
          <cell r="C334" t="str">
            <v>Customer</v>
          </cell>
          <cell r="E334" t="str">
            <v>CAR Appl. To L4C4</v>
          </cell>
          <cell r="F334">
            <v>0</v>
          </cell>
          <cell r="G334">
            <v>36</v>
          </cell>
          <cell r="H334">
            <v>-7.67</v>
          </cell>
          <cell r="I334">
            <v>-276.12</v>
          </cell>
          <cell r="J334">
            <v>36</v>
          </cell>
          <cell r="K334">
            <v>4261407.3626719741</v>
          </cell>
          <cell r="L334">
            <v>0</v>
          </cell>
        </row>
        <row r="336">
          <cell r="B336" t="str">
            <v>3B/3D</v>
          </cell>
          <cell r="C336" t="str">
            <v>Customer</v>
          </cell>
          <cell r="D336" t="str">
            <v>Customer Charge</v>
          </cell>
          <cell r="E336" t="str">
            <v>Customer Charge</v>
          </cell>
          <cell r="F336">
            <v>1</v>
          </cell>
          <cell r="G336">
            <v>39926.699999999997</v>
          </cell>
          <cell r="H336">
            <v>81.63</v>
          </cell>
          <cell r="I336">
            <v>3259216.5209999997</v>
          </cell>
          <cell r="J336">
            <v>39926.699999999997</v>
          </cell>
          <cell r="K336">
            <v>4327011.9329723772</v>
          </cell>
          <cell r="L336">
            <v>4327011.9329723772</v>
          </cell>
        </row>
        <row r="337">
          <cell r="B337" t="str">
            <v>3B/3D</v>
          </cell>
          <cell r="C337" t="str">
            <v>Demand</v>
          </cell>
          <cell r="D337" t="str">
            <v>Primary Summer</v>
          </cell>
          <cell r="E337" t="str">
            <v>Primary Summer</v>
          </cell>
          <cell r="F337">
            <v>2.4100323143708215E-2</v>
          </cell>
          <cell r="G337">
            <v>78710</v>
          </cell>
          <cell r="H337">
            <v>25.14</v>
          </cell>
          <cell r="I337">
            <v>1978769.4000000001</v>
          </cell>
          <cell r="J337">
            <v>78710</v>
          </cell>
          <cell r="K337">
            <v>103450425.72346748</v>
          </cell>
          <cell r="L337">
            <v>2493188.689289751</v>
          </cell>
        </row>
        <row r="338">
          <cell r="B338" t="str">
            <v>3B/3D</v>
          </cell>
          <cell r="C338" t="str">
            <v>Demand</v>
          </cell>
          <cell r="D338" t="str">
            <v>Primary Non-Summer</v>
          </cell>
          <cell r="E338" t="str">
            <v>Primary Non-Summer</v>
          </cell>
          <cell r="F338">
            <v>5.0309756787440679E-2</v>
          </cell>
          <cell r="G338">
            <v>221130</v>
          </cell>
          <cell r="H338">
            <v>18.68</v>
          </cell>
          <cell r="I338">
            <v>4130708.4</v>
          </cell>
          <cell r="J338">
            <v>221130</v>
          </cell>
          <cell r="K338">
            <v>103450425.72346748</v>
          </cell>
          <cell r="L338">
            <v>5204565.7577048466</v>
          </cell>
        </row>
        <row r="339">
          <cell r="B339" t="str">
            <v>3B/3D</v>
          </cell>
          <cell r="C339" t="str">
            <v>Demand</v>
          </cell>
          <cell r="D339" t="str">
            <v>Secondary Summer</v>
          </cell>
          <cell r="E339" t="str">
            <v>Secondary Summer</v>
          </cell>
          <cell r="F339">
            <v>0.31908261673224647</v>
          </cell>
          <cell r="G339">
            <v>1028600</v>
          </cell>
          <cell r="H339">
            <v>25.47</v>
          </cell>
          <cell r="I339">
            <v>26198442</v>
          </cell>
          <cell r="J339">
            <v>1028600</v>
          </cell>
          <cell r="K339">
            <v>103450425.72346748</v>
          </cell>
          <cell r="L339">
            <v>33009232.541908905</v>
          </cell>
        </row>
        <row r="340">
          <cell r="B340" t="str">
            <v>3B/3D</v>
          </cell>
          <cell r="C340" t="str">
            <v>Demand</v>
          </cell>
          <cell r="D340" t="str">
            <v>Secondary Non-Summer</v>
          </cell>
          <cell r="E340" t="str">
            <v>Secondary Non-Summer</v>
          </cell>
          <cell r="F340">
            <v>0.60650730333660463</v>
          </cell>
          <cell r="G340">
            <v>2618169.9999999995</v>
          </cell>
          <cell r="H340">
            <v>19.02</v>
          </cell>
          <cell r="I340">
            <v>49797593.399999991</v>
          </cell>
          <cell r="J340">
            <v>2618169.9999999995</v>
          </cell>
          <cell r="K340">
            <v>103450425.72346748</v>
          </cell>
          <cell r="L340">
            <v>62743438.734563977</v>
          </cell>
        </row>
        <row r="341">
          <cell r="B341" t="str">
            <v>3B/3D</v>
          </cell>
          <cell r="C341" t="str">
            <v>Energy</v>
          </cell>
          <cell r="E341" t="str">
            <v>Summer On-Peak</v>
          </cell>
          <cell r="F341">
            <v>0.18813625447891766</v>
          </cell>
          <cell r="G341">
            <v>193268790.00000003</v>
          </cell>
          <cell r="H341">
            <v>3.2865699999999998E-2</v>
          </cell>
          <cell r="I341">
            <v>6351914.0715030003</v>
          </cell>
          <cell r="J341">
            <v>193268790.00000003</v>
          </cell>
          <cell r="K341">
            <v>20762002.488093499</v>
          </cell>
          <cell r="L341">
            <v>3906085.3835918801</v>
          </cell>
        </row>
        <row r="342">
          <cell r="B342" t="str">
            <v>3B/3D</v>
          </cell>
          <cell r="C342" t="str">
            <v>Energy</v>
          </cell>
          <cell r="E342" t="str">
            <v>Summer Off-Peak</v>
          </cell>
          <cell r="F342">
            <v>0.12131856761022342</v>
          </cell>
          <cell r="G342">
            <v>267698080.00000006</v>
          </cell>
          <cell r="H342">
            <v>1.53008E-2</v>
          </cell>
          <cell r="I342">
            <v>4095994.7824640009</v>
          </cell>
          <cell r="J342">
            <v>267698080.00000006</v>
          </cell>
          <cell r="K342">
            <v>20762002.488093499</v>
          </cell>
          <cell r="L342">
            <v>2518816.4025753979</v>
          </cell>
        </row>
        <row r="343">
          <cell r="B343" t="str">
            <v>3B/3D</v>
          </cell>
          <cell r="C343" t="str">
            <v>Energy</v>
          </cell>
          <cell r="E343" t="str">
            <v>Non-Summer On-Peak</v>
          </cell>
          <cell r="F343">
            <v>0.37796764968543672</v>
          </cell>
          <cell r="G343">
            <v>468699979.99999994</v>
          </cell>
          <cell r="H343">
            <v>2.7226500000000001E-2</v>
          </cell>
          <cell r="I343">
            <v>12761060.005469998</v>
          </cell>
          <cell r="J343">
            <v>468699979.99999994</v>
          </cell>
          <cell r="K343">
            <v>20762002.488093499</v>
          </cell>
          <cell r="L343">
            <v>7847365.2831878895</v>
          </cell>
        </row>
        <row r="344">
          <cell r="B344" t="str">
            <v>3B/3D</v>
          </cell>
          <cell r="C344" t="str">
            <v>Energy</v>
          </cell>
          <cell r="E344" t="str">
            <v>Non-Summer Off-Peak</v>
          </cell>
          <cell r="F344">
            <v>0.31257752822542217</v>
          </cell>
          <cell r="G344">
            <v>689724630</v>
          </cell>
          <cell r="H344">
            <v>1.53008E-2</v>
          </cell>
          <cell r="I344">
            <v>10553338.618704</v>
          </cell>
          <cell r="J344">
            <v>689724630</v>
          </cell>
          <cell r="K344">
            <v>20762002.488093499</v>
          </cell>
          <cell r="L344">
            <v>6489735.4187383307</v>
          </cell>
        </row>
        <row r="345">
          <cell r="B345" t="str">
            <v>3B/3D</v>
          </cell>
          <cell r="C345" t="str">
            <v>Reactive</v>
          </cell>
          <cell r="E345" t="str">
            <v>Billable RkVA Summer</v>
          </cell>
          <cell r="F345">
            <v>1</v>
          </cell>
          <cell r="G345">
            <v>55270</v>
          </cell>
          <cell r="H345">
            <v>0.27</v>
          </cell>
          <cell r="I345">
            <v>14922.900000000001</v>
          </cell>
          <cell r="J345">
            <v>55270</v>
          </cell>
          <cell r="K345">
            <v>14922.900000000001</v>
          </cell>
          <cell r="L345">
            <v>14922.900000000001</v>
          </cell>
        </row>
        <row r="346">
          <cell r="B346" t="str">
            <v>3B/3D</v>
          </cell>
          <cell r="C346" t="str">
            <v>Reactive</v>
          </cell>
          <cell r="E346" t="str">
            <v>Billable RkVA Non-Summer</v>
          </cell>
          <cell r="F346">
            <v>1</v>
          </cell>
          <cell r="G346">
            <v>85690</v>
          </cell>
          <cell r="H346">
            <v>0.27</v>
          </cell>
          <cell r="I346">
            <v>23136.300000000003</v>
          </cell>
          <cell r="J346">
            <v>85690</v>
          </cell>
          <cell r="K346">
            <v>23136.300000000003</v>
          </cell>
          <cell r="L346">
            <v>23136.300000000003</v>
          </cell>
        </row>
        <row r="347">
          <cell r="B347" t="str">
            <v>3C/3E</v>
          </cell>
          <cell r="C347" t="str">
            <v>Customer</v>
          </cell>
          <cell r="D347" t="str">
            <v>Customer Charge</v>
          </cell>
          <cell r="E347" t="str">
            <v>Customer Charge</v>
          </cell>
          <cell r="F347">
            <v>1</v>
          </cell>
          <cell r="G347">
            <v>9881.9999999999982</v>
          </cell>
          <cell r="H347">
            <v>81.91</v>
          </cell>
          <cell r="I347">
            <v>809434.61999999976</v>
          </cell>
          <cell r="J347">
            <v>9881.9999999999982</v>
          </cell>
          <cell r="K347">
            <v>776493.08438797377</v>
          </cell>
          <cell r="L347">
            <v>776493.08438797377</v>
          </cell>
        </row>
        <row r="348">
          <cell r="B348" t="str">
            <v>3C/3E</v>
          </cell>
          <cell r="C348" t="str">
            <v>Demand</v>
          </cell>
          <cell r="D348" t="str">
            <v>Primary Summer</v>
          </cell>
          <cell r="E348" t="str">
            <v>Primary Summer</v>
          </cell>
          <cell r="F348">
            <v>2.4326838191862418E-2</v>
          </cell>
          <cell r="G348">
            <v>20680</v>
          </cell>
          <cell r="H348">
            <v>7.77</v>
          </cell>
          <cell r="I348">
            <v>160683.59999999998</v>
          </cell>
          <cell r="J348">
            <v>20680</v>
          </cell>
          <cell r="K348">
            <v>13196289.899999999</v>
          </cell>
          <cell r="L348">
            <v>321024.00913020823</v>
          </cell>
        </row>
        <row r="349">
          <cell r="B349" t="str">
            <v>3C/3E</v>
          </cell>
          <cell r="C349" t="str">
            <v>Demand</v>
          </cell>
          <cell r="D349" t="str">
            <v>Primary Non-Summer</v>
          </cell>
          <cell r="E349" t="str">
            <v>Primary Non-Summer</v>
          </cell>
          <cell r="F349">
            <v>5.2980934547813073E-2</v>
          </cell>
          <cell r="G349">
            <v>61180</v>
          </cell>
          <cell r="H349">
            <v>5.72</v>
          </cell>
          <cell r="I349">
            <v>349949.6</v>
          </cell>
          <cell r="J349">
            <v>61180</v>
          </cell>
          <cell r="K349">
            <v>13196289.899999999</v>
          </cell>
          <cell r="L349">
            <v>699151.77146586659</v>
          </cell>
        </row>
        <row r="350">
          <cell r="B350" t="str">
            <v>3C/3E</v>
          </cell>
          <cell r="C350" t="str">
            <v>Demand</v>
          </cell>
          <cell r="D350" t="str">
            <v>Secondary Summer</v>
          </cell>
          <cell r="E350" t="str">
            <v>Secondary Summer</v>
          </cell>
          <cell r="F350">
            <v>0.33895119612374414</v>
          </cell>
          <cell r="G350">
            <v>276399.99999999994</v>
          </cell>
          <cell r="H350">
            <v>8.1</v>
          </cell>
          <cell r="I350">
            <v>2238839.9999999995</v>
          </cell>
          <cell r="J350">
            <v>276399.99999999994</v>
          </cell>
          <cell r="K350">
            <v>13196289.899999999</v>
          </cell>
          <cell r="L350">
            <v>4472898.2460006829</v>
          </cell>
        </row>
        <row r="351">
          <cell r="B351" t="str">
            <v>3C/3E</v>
          </cell>
          <cell r="C351" t="str">
            <v>Demand</v>
          </cell>
          <cell r="D351" t="str">
            <v>Secondary Non-Summer</v>
          </cell>
          <cell r="E351" t="str">
            <v>Secondary Non-Summer</v>
          </cell>
          <cell r="F351">
            <v>0.58374103113658038</v>
          </cell>
          <cell r="G351">
            <v>637310</v>
          </cell>
          <cell r="H351">
            <v>6.05</v>
          </cell>
          <cell r="I351">
            <v>3855725.5</v>
          </cell>
          <cell r="J351">
            <v>637310</v>
          </cell>
          <cell r="K351">
            <v>13196289.899999999</v>
          </cell>
          <cell r="L351">
            <v>7703215.87340324</v>
          </cell>
        </row>
        <row r="352">
          <cell r="B352" t="str">
            <v>3C/3E</v>
          </cell>
          <cell r="C352" t="str">
            <v>Energy</v>
          </cell>
          <cell r="E352" t="str">
            <v>Summer On-Peak</v>
          </cell>
          <cell r="F352">
            <v>0.22836557094424728</v>
          </cell>
          <cell r="G352">
            <v>27717189.999999996</v>
          </cell>
          <cell r="H352">
            <v>0.115437</v>
          </cell>
          <cell r="I352">
            <v>3199589.2620299994</v>
          </cell>
          <cell r="J352">
            <v>27717189.999999996</v>
          </cell>
          <cell r="K352">
            <v>9146102.3089516833</v>
          </cell>
          <cell r="L352">
            <v>2088654.8756982496</v>
          </cell>
        </row>
        <row r="353">
          <cell r="B353" t="str">
            <v>3C/3E</v>
          </cell>
          <cell r="C353" t="str">
            <v>Energy</v>
          </cell>
          <cell r="E353" t="str">
            <v>Summer Off-Peak</v>
          </cell>
          <cell r="F353">
            <v>0.10573123220810729</v>
          </cell>
          <cell r="G353">
            <v>28474359.999999993</v>
          </cell>
          <cell r="H353">
            <v>5.2025099999999998E-2</v>
          </cell>
          <cell r="I353">
            <v>1481381.4264359996</v>
          </cell>
          <cell r="J353">
            <v>28474359.999999993</v>
          </cell>
          <cell r="K353">
            <v>9146102.3089516833</v>
          </cell>
          <cell r="L353">
            <v>967028.6670268767</v>
          </cell>
        </row>
        <row r="354">
          <cell r="B354" t="str">
            <v>3C/3E</v>
          </cell>
          <cell r="C354" t="str">
            <v>Energy</v>
          </cell>
          <cell r="E354" t="str">
            <v>Non-Summer On-Peak</v>
          </cell>
          <cell r="F354">
            <v>0.41057871835027093</v>
          </cell>
          <cell r="G354">
            <v>66152460</v>
          </cell>
          <cell r="H354">
            <v>8.6958900000000006E-2</v>
          </cell>
          <cell r="I354">
            <v>5752545.1538940007</v>
          </cell>
          <cell r="J354">
            <v>66152460</v>
          </cell>
          <cell r="K354">
            <v>9146102.3089516833</v>
          </cell>
          <cell r="L354">
            <v>3755194.963909836</v>
          </cell>
        </row>
        <row r="355">
          <cell r="B355" t="str">
            <v>3C/3E</v>
          </cell>
          <cell r="C355" t="str">
            <v>Energy</v>
          </cell>
          <cell r="E355" t="str">
            <v>Non-Summer Off-Peak</v>
          </cell>
          <cell r="F355">
            <v>0.25532447849737444</v>
          </cell>
          <cell r="G355">
            <v>68761150</v>
          </cell>
          <cell r="H355">
            <v>5.2025099999999998E-2</v>
          </cell>
          <cell r="I355">
            <v>3577305.7048649997</v>
          </cell>
          <cell r="J355">
            <v>68761150</v>
          </cell>
          <cell r="K355">
            <v>9146102.3089516833</v>
          </cell>
          <cell r="L355">
            <v>2335223.8023167206</v>
          </cell>
        </row>
        <row r="356">
          <cell r="B356" t="str">
            <v>3C/3E</v>
          </cell>
          <cell r="C356" t="str">
            <v>Reactive</v>
          </cell>
          <cell r="E356" t="str">
            <v>Billable RkVA Summer</v>
          </cell>
          <cell r="F356">
            <v>1</v>
          </cell>
          <cell r="G356">
            <v>18449.999999999996</v>
          </cell>
          <cell r="H356">
            <v>0.27</v>
          </cell>
          <cell r="I356">
            <v>4981.4999999999991</v>
          </cell>
          <cell r="J356">
            <v>18449.999999999996</v>
          </cell>
          <cell r="K356">
            <v>4981.4999999999991</v>
          </cell>
          <cell r="L356">
            <v>4981.4999999999991</v>
          </cell>
        </row>
        <row r="357">
          <cell r="B357" t="str">
            <v>3C/3E</v>
          </cell>
          <cell r="C357" t="str">
            <v>Reactive</v>
          </cell>
          <cell r="E357" t="str">
            <v>Billable RkVA Non-Summer</v>
          </cell>
          <cell r="F357">
            <v>1</v>
          </cell>
          <cell r="G357">
            <v>33800.000000000007</v>
          </cell>
          <cell r="H357">
            <v>0.27</v>
          </cell>
          <cell r="I357">
            <v>9126.0000000000018</v>
          </cell>
          <cell r="J357">
            <v>33800.000000000007</v>
          </cell>
          <cell r="K357">
            <v>9126.0000000000018</v>
          </cell>
          <cell r="L357">
            <v>9126.0000000000018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SIN"/>
      <sheetName val="KWHtoCC"/>
      <sheetName val="RCtoCCtable"/>
      <sheetName val="Forecast KWH"/>
      <sheetName val="Forecast KW"/>
      <sheetName val="Forecast BILLS"/>
    </sheetNames>
    <sheetDataSet>
      <sheetData sheetId="0">
        <row r="6">
          <cell r="AI6">
            <v>7.0913000000000004E-2</v>
          </cell>
        </row>
      </sheetData>
      <sheetData sheetId="1"/>
      <sheetData sheetId="2"/>
      <sheetData sheetId="3">
        <row r="70">
          <cell r="B70">
            <v>13976789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SINRC"/>
      <sheetName val="KWHtoCC"/>
      <sheetName val="RCtoCCtable"/>
      <sheetName val="Forecast KWH"/>
      <sheetName val="Forecast BILLS"/>
    </sheetNames>
    <sheetDataSet>
      <sheetData sheetId="0"/>
      <sheetData sheetId="1"/>
      <sheetData sheetId="2"/>
      <sheetData sheetId="3">
        <row r="70">
          <cell r="I70">
            <v>1527729250</v>
          </cell>
        </row>
      </sheetData>
      <sheetData sheetId="4">
        <row r="71">
          <cell r="I71">
            <v>1689991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5.bin"/><Relationship Id="rId13" Type="http://schemas.openxmlformats.org/officeDocument/2006/relationships/printerSettings" Target="../printerSettings/printerSettings110.bin"/><Relationship Id="rId3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104.bin"/><Relationship Id="rId12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11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102.bin"/><Relationship Id="rId10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01.bin"/><Relationship Id="rId9" Type="http://schemas.openxmlformats.org/officeDocument/2006/relationships/printerSettings" Target="../printerSettings/printerSettings10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.bin"/><Relationship Id="rId18" Type="http://schemas.openxmlformats.org/officeDocument/2006/relationships/ctrlProp" Target="../ctrlProps/ctrlProp5.xml"/><Relationship Id="rId26" Type="http://schemas.openxmlformats.org/officeDocument/2006/relationships/ctrlProp" Target="../ctrlProps/ctrlProp13.xml"/><Relationship Id="rId39" Type="http://schemas.openxmlformats.org/officeDocument/2006/relationships/ctrlProp" Target="../ctrlProps/ctrlProp26.xml"/><Relationship Id="rId21" Type="http://schemas.openxmlformats.org/officeDocument/2006/relationships/ctrlProp" Target="../ctrlProps/ctrlProp8.xml"/><Relationship Id="rId34" Type="http://schemas.openxmlformats.org/officeDocument/2006/relationships/ctrlProp" Target="../ctrlProps/ctrlProp21.xml"/><Relationship Id="rId42" Type="http://schemas.openxmlformats.org/officeDocument/2006/relationships/ctrlProp" Target="../ctrlProps/ctrlProp29.xml"/><Relationship Id="rId47" Type="http://schemas.openxmlformats.org/officeDocument/2006/relationships/ctrlProp" Target="../ctrlProps/ctrlProp34.xml"/><Relationship Id="rId50" Type="http://schemas.openxmlformats.org/officeDocument/2006/relationships/ctrlProp" Target="../ctrlProps/ctrlProp37.xml"/><Relationship Id="rId55" Type="http://schemas.openxmlformats.org/officeDocument/2006/relationships/ctrlProp" Target="../ctrlProps/ctrlProp42.xml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6" Type="http://schemas.openxmlformats.org/officeDocument/2006/relationships/ctrlProp" Target="../ctrlProps/ctrlProp3.xml"/><Relationship Id="rId29" Type="http://schemas.openxmlformats.org/officeDocument/2006/relationships/ctrlProp" Target="../ctrlProps/ctrlProp16.xml"/><Relationship Id="rId11" Type="http://schemas.openxmlformats.org/officeDocument/2006/relationships/printerSettings" Target="../printerSettings/printerSettings24.bin"/><Relationship Id="rId24" Type="http://schemas.openxmlformats.org/officeDocument/2006/relationships/ctrlProp" Target="../ctrlProps/ctrlProp11.xml"/><Relationship Id="rId32" Type="http://schemas.openxmlformats.org/officeDocument/2006/relationships/ctrlProp" Target="../ctrlProps/ctrlProp19.xml"/><Relationship Id="rId37" Type="http://schemas.openxmlformats.org/officeDocument/2006/relationships/ctrlProp" Target="../ctrlProps/ctrlProp24.xml"/><Relationship Id="rId40" Type="http://schemas.openxmlformats.org/officeDocument/2006/relationships/ctrlProp" Target="../ctrlProps/ctrlProp27.xml"/><Relationship Id="rId45" Type="http://schemas.openxmlformats.org/officeDocument/2006/relationships/ctrlProp" Target="../ctrlProps/ctrlProp32.xml"/><Relationship Id="rId53" Type="http://schemas.openxmlformats.org/officeDocument/2006/relationships/ctrlProp" Target="../ctrlProps/ctrlProp40.xml"/><Relationship Id="rId58" Type="http://schemas.openxmlformats.org/officeDocument/2006/relationships/ctrlProp" Target="../ctrlProps/ctrlProp45.xml"/><Relationship Id="rId5" Type="http://schemas.openxmlformats.org/officeDocument/2006/relationships/printerSettings" Target="../printerSettings/printerSettings18.bin"/><Relationship Id="rId61" Type="http://schemas.openxmlformats.org/officeDocument/2006/relationships/ctrlProp" Target="../ctrlProps/ctrlProp48.xml"/><Relationship Id="rId19" Type="http://schemas.openxmlformats.org/officeDocument/2006/relationships/ctrlProp" Target="../ctrlProps/ctrlProp6.xml"/><Relationship Id="rId14" Type="http://schemas.openxmlformats.org/officeDocument/2006/relationships/drawing" Target="../drawings/drawing2.xml"/><Relationship Id="rId22" Type="http://schemas.openxmlformats.org/officeDocument/2006/relationships/ctrlProp" Target="../ctrlProps/ctrlProp9.xml"/><Relationship Id="rId27" Type="http://schemas.openxmlformats.org/officeDocument/2006/relationships/ctrlProp" Target="../ctrlProps/ctrlProp14.xml"/><Relationship Id="rId30" Type="http://schemas.openxmlformats.org/officeDocument/2006/relationships/ctrlProp" Target="../ctrlProps/ctrlProp17.xml"/><Relationship Id="rId35" Type="http://schemas.openxmlformats.org/officeDocument/2006/relationships/ctrlProp" Target="../ctrlProps/ctrlProp22.xml"/><Relationship Id="rId43" Type="http://schemas.openxmlformats.org/officeDocument/2006/relationships/ctrlProp" Target="../ctrlProps/ctrlProp30.xml"/><Relationship Id="rId48" Type="http://schemas.openxmlformats.org/officeDocument/2006/relationships/ctrlProp" Target="../ctrlProps/ctrlProp35.xml"/><Relationship Id="rId56" Type="http://schemas.openxmlformats.org/officeDocument/2006/relationships/ctrlProp" Target="../ctrlProps/ctrlProp43.xml"/><Relationship Id="rId8" Type="http://schemas.openxmlformats.org/officeDocument/2006/relationships/printerSettings" Target="../printerSettings/printerSettings21.bin"/><Relationship Id="rId51" Type="http://schemas.openxmlformats.org/officeDocument/2006/relationships/ctrlProp" Target="../ctrlProps/ctrlProp38.xml"/><Relationship Id="rId3" Type="http://schemas.openxmlformats.org/officeDocument/2006/relationships/printerSettings" Target="../printerSettings/printerSettings16.bin"/><Relationship Id="rId12" Type="http://schemas.openxmlformats.org/officeDocument/2006/relationships/printerSettings" Target="../printerSettings/printerSettings25.bin"/><Relationship Id="rId17" Type="http://schemas.openxmlformats.org/officeDocument/2006/relationships/ctrlProp" Target="../ctrlProps/ctrlProp4.xml"/><Relationship Id="rId25" Type="http://schemas.openxmlformats.org/officeDocument/2006/relationships/ctrlProp" Target="../ctrlProps/ctrlProp12.xml"/><Relationship Id="rId33" Type="http://schemas.openxmlformats.org/officeDocument/2006/relationships/ctrlProp" Target="../ctrlProps/ctrlProp20.xml"/><Relationship Id="rId38" Type="http://schemas.openxmlformats.org/officeDocument/2006/relationships/ctrlProp" Target="../ctrlProps/ctrlProp25.xml"/><Relationship Id="rId46" Type="http://schemas.openxmlformats.org/officeDocument/2006/relationships/ctrlProp" Target="../ctrlProps/ctrlProp33.xml"/><Relationship Id="rId59" Type="http://schemas.openxmlformats.org/officeDocument/2006/relationships/ctrlProp" Target="../ctrlProps/ctrlProp46.xml"/><Relationship Id="rId20" Type="http://schemas.openxmlformats.org/officeDocument/2006/relationships/ctrlProp" Target="../ctrlProps/ctrlProp7.xml"/><Relationship Id="rId41" Type="http://schemas.openxmlformats.org/officeDocument/2006/relationships/ctrlProp" Target="../ctrlProps/ctrlProp28.xml"/><Relationship Id="rId54" Type="http://schemas.openxmlformats.org/officeDocument/2006/relationships/ctrlProp" Target="../ctrlProps/ctrlProp41.xml"/><Relationship Id="rId62" Type="http://schemas.openxmlformats.org/officeDocument/2006/relationships/ctrlProp" Target="../ctrlProps/ctrlProp49.xml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5" Type="http://schemas.openxmlformats.org/officeDocument/2006/relationships/vmlDrawing" Target="../drawings/vmlDrawing2.vml"/><Relationship Id="rId23" Type="http://schemas.openxmlformats.org/officeDocument/2006/relationships/ctrlProp" Target="../ctrlProps/ctrlProp10.xml"/><Relationship Id="rId28" Type="http://schemas.openxmlformats.org/officeDocument/2006/relationships/ctrlProp" Target="../ctrlProps/ctrlProp15.xml"/><Relationship Id="rId36" Type="http://schemas.openxmlformats.org/officeDocument/2006/relationships/ctrlProp" Target="../ctrlProps/ctrlProp23.xml"/><Relationship Id="rId49" Type="http://schemas.openxmlformats.org/officeDocument/2006/relationships/ctrlProp" Target="../ctrlProps/ctrlProp36.xml"/><Relationship Id="rId57" Type="http://schemas.openxmlformats.org/officeDocument/2006/relationships/ctrlProp" Target="../ctrlProps/ctrlProp44.xml"/><Relationship Id="rId10" Type="http://schemas.openxmlformats.org/officeDocument/2006/relationships/printerSettings" Target="../printerSettings/printerSettings23.bin"/><Relationship Id="rId31" Type="http://schemas.openxmlformats.org/officeDocument/2006/relationships/ctrlProp" Target="../ctrlProps/ctrlProp18.xml"/><Relationship Id="rId44" Type="http://schemas.openxmlformats.org/officeDocument/2006/relationships/ctrlProp" Target="../ctrlProps/ctrlProp31.xml"/><Relationship Id="rId52" Type="http://schemas.openxmlformats.org/officeDocument/2006/relationships/ctrlProp" Target="../ctrlProps/ctrlProp39.xml"/><Relationship Id="rId60" Type="http://schemas.openxmlformats.org/officeDocument/2006/relationships/ctrlProp" Target="../ctrlProps/ctrlProp47.xml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9.bin"/><Relationship Id="rId13" Type="http://schemas.openxmlformats.org/officeDocument/2006/relationships/printerSettings" Target="../printerSettings/printerSettings124.bin"/><Relationship Id="rId3" Type="http://schemas.openxmlformats.org/officeDocument/2006/relationships/printerSettings" Target="../printerSettings/printerSettings114.bin"/><Relationship Id="rId7" Type="http://schemas.openxmlformats.org/officeDocument/2006/relationships/printerSettings" Target="../printerSettings/printerSettings118.bin"/><Relationship Id="rId12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printerSettings" Target="../printerSettings/printerSettings117.bin"/><Relationship Id="rId11" Type="http://schemas.openxmlformats.org/officeDocument/2006/relationships/printerSettings" Target="../printerSettings/printerSettings122.bin"/><Relationship Id="rId5" Type="http://schemas.openxmlformats.org/officeDocument/2006/relationships/printerSettings" Target="../printerSettings/printerSettings116.bin"/><Relationship Id="rId10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15.bin"/><Relationship Id="rId9" Type="http://schemas.openxmlformats.org/officeDocument/2006/relationships/printerSettings" Target="../printerSettings/printerSettings1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13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12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11" Type="http://schemas.openxmlformats.org/officeDocument/2006/relationships/printerSettings" Target="../printerSettings/printerSettings138.bin"/><Relationship Id="rId5" Type="http://schemas.openxmlformats.org/officeDocument/2006/relationships/printerSettings" Target="../printerSettings/printerSettings132.bin"/><Relationship Id="rId10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13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12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1.bin"/><Relationship Id="rId13" Type="http://schemas.openxmlformats.org/officeDocument/2006/relationships/printerSettings" Target="../printerSettings/printerSettings166.bin"/><Relationship Id="rId3" Type="http://schemas.openxmlformats.org/officeDocument/2006/relationships/printerSettings" Target="../printerSettings/printerSettings156.bin"/><Relationship Id="rId7" Type="http://schemas.openxmlformats.org/officeDocument/2006/relationships/printerSettings" Target="../printerSettings/printerSettings160.bin"/><Relationship Id="rId12" Type="http://schemas.openxmlformats.org/officeDocument/2006/relationships/printerSettings" Target="../printerSettings/printerSettings165.bin"/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Relationship Id="rId6" Type="http://schemas.openxmlformats.org/officeDocument/2006/relationships/printerSettings" Target="../printerSettings/printerSettings159.bin"/><Relationship Id="rId11" Type="http://schemas.openxmlformats.org/officeDocument/2006/relationships/printerSettings" Target="../printerSettings/printerSettings164.bin"/><Relationship Id="rId5" Type="http://schemas.openxmlformats.org/officeDocument/2006/relationships/printerSettings" Target="../printerSettings/printerSettings158.bin"/><Relationship Id="rId10" Type="http://schemas.openxmlformats.org/officeDocument/2006/relationships/printerSettings" Target="../printerSettings/printerSettings163.bin"/><Relationship Id="rId4" Type="http://schemas.openxmlformats.org/officeDocument/2006/relationships/printerSettings" Target="../printerSettings/printerSettings157.bin"/><Relationship Id="rId9" Type="http://schemas.openxmlformats.org/officeDocument/2006/relationships/printerSettings" Target="../printerSettings/printerSettings16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4.bin"/><Relationship Id="rId13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69.bin"/><Relationship Id="rId7" Type="http://schemas.openxmlformats.org/officeDocument/2006/relationships/printerSettings" Target="../printerSettings/printerSettings173.bin"/><Relationship Id="rId12" Type="http://schemas.openxmlformats.org/officeDocument/2006/relationships/printerSettings" Target="../printerSettings/printerSettings178.bin"/><Relationship Id="rId2" Type="http://schemas.openxmlformats.org/officeDocument/2006/relationships/printerSettings" Target="../printerSettings/printerSettings168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7.bin"/><Relationship Id="rId5" Type="http://schemas.openxmlformats.org/officeDocument/2006/relationships/printerSettings" Target="../printerSettings/printerSettings171.bin"/><Relationship Id="rId10" Type="http://schemas.openxmlformats.org/officeDocument/2006/relationships/printerSettings" Target="../printerSettings/printerSettings176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7.bin"/><Relationship Id="rId13" Type="http://schemas.openxmlformats.org/officeDocument/2006/relationships/printerSettings" Target="../printerSettings/printerSettings192.bin"/><Relationship Id="rId3" Type="http://schemas.openxmlformats.org/officeDocument/2006/relationships/printerSettings" Target="../printerSettings/printerSettings182.bin"/><Relationship Id="rId7" Type="http://schemas.openxmlformats.org/officeDocument/2006/relationships/printerSettings" Target="../printerSettings/printerSettings186.bin"/><Relationship Id="rId12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Relationship Id="rId6" Type="http://schemas.openxmlformats.org/officeDocument/2006/relationships/printerSettings" Target="../printerSettings/printerSettings185.bin"/><Relationship Id="rId11" Type="http://schemas.openxmlformats.org/officeDocument/2006/relationships/printerSettings" Target="../printerSettings/printerSettings190.bin"/><Relationship Id="rId5" Type="http://schemas.openxmlformats.org/officeDocument/2006/relationships/printerSettings" Target="../printerSettings/printerSettings184.bin"/><Relationship Id="rId10" Type="http://schemas.openxmlformats.org/officeDocument/2006/relationships/printerSettings" Target="../printerSettings/printerSettings189.bin"/><Relationship Id="rId4" Type="http://schemas.openxmlformats.org/officeDocument/2006/relationships/printerSettings" Target="../printerSettings/printerSettings183.bin"/><Relationship Id="rId9" Type="http://schemas.openxmlformats.org/officeDocument/2006/relationships/printerSettings" Target="../printerSettings/printerSettings18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3" Type="http://schemas.openxmlformats.org/officeDocument/2006/relationships/printerSettings" Target="../printerSettings/printerSettings195.bin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0" Type="http://schemas.openxmlformats.org/officeDocument/2006/relationships/printerSettings" Target="../printerSettings/printerSettings202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13" Type="http://schemas.openxmlformats.org/officeDocument/2006/relationships/printerSettings" Target="../printerSettings/printerSettings248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printerSettings" Target="../printerSettings/printerSettings261.bin"/><Relationship Id="rId3" Type="http://schemas.openxmlformats.org/officeDocument/2006/relationships/printerSettings" Target="../printerSettings/printerSettings251.bin"/><Relationship Id="rId7" Type="http://schemas.openxmlformats.org/officeDocument/2006/relationships/printerSettings" Target="../printerSettings/printerSettings255.bin"/><Relationship Id="rId12" Type="http://schemas.openxmlformats.org/officeDocument/2006/relationships/printerSettings" Target="../printerSettings/printerSettings260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5" Type="http://schemas.openxmlformats.org/officeDocument/2006/relationships/printerSettings" Target="../printerSettings/printerSettings253.bin"/><Relationship Id="rId10" Type="http://schemas.openxmlformats.org/officeDocument/2006/relationships/printerSettings" Target="../printerSettings/printerSettings258.bin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13" Type="http://schemas.openxmlformats.org/officeDocument/2006/relationships/printerSettings" Target="../printerSettings/printerSettings274.bin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13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12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1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32.bin"/><Relationship Id="rId10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1.bin"/><Relationship Id="rId9" Type="http://schemas.openxmlformats.org/officeDocument/2006/relationships/printerSettings" Target="../printerSettings/printerSettings36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3" Type="http://schemas.openxmlformats.org/officeDocument/2006/relationships/printerSettings" Target="../printerSettings/printerSettings278.bin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5" Type="http://schemas.openxmlformats.org/officeDocument/2006/relationships/printerSettings" Target="../printerSettings/printerSettings280.bin"/><Relationship Id="rId10" Type="http://schemas.openxmlformats.org/officeDocument/2006/relationships/printerSettings" Target="../printerSettings/printerSettings285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13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56.bin"/><Relationship Id="rId7" Type="http://schemas.openxmlformats.org/officeDocument/2006/relationships/printerSettings" Target="../printerSettings/printerSettings60.bin"/><Relationship Id="rId12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11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58.bin"/><Relationship Id="rId10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57.bin"/><Relationship Id="rId9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7.bin"/><Relationship Id="rId13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86.bin"/><Relationship Id="rId12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11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4.bin"/><Relationship Id="rId10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3.bin"/><Relationship Id="rId9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07"/>
  <sheetViews>
    <sheetView workbookViewId="0">
      <selection sqref="A1:J1"/>
    </sheetView>
  </sheetViews>
  <sheetFormatPr defaultColWidth="8.8984375" defaultRowHeight="15"/>
  <cols>
    <col min="1" max="1" width="4.8984375" style="1" customWidth="1"/>
    <col min="2" max="2" width="34.296875" style="1" customWidth="1"/>
    <col min="3" max="4" width="12.69921875" style="1" customWidth="1"/>
    <col min="5" max="5" width="11.69921875" style="1" customWidth="1"/>
    <col min="6" max="7" width="10.69921875" style="1" customWidth="1"/>
    <col min="8" max="9" width="12.69921875" style="1" customWidth="1"/>
    <col min="10" max="10" width="10.59765625" style="1" customWidth="1"/>
    <col min="11" max="16384" width="8.8984375" style="1"/>
  </cols>
  <sheetData>
    <row r="1" spans="1:12" ht="27.75" customHeight="1">
      <c r="A1" s="753" t="str">
        <f>IF(H7=1,"TEST PERIOD WITH RIDERS","TEST PERIOD WITHOUT RIDERS")</f>
        <v>TEST PERIOD WITH RIDERS</v>
      </c>
      <c r="B1" s="754"/>
      <c r="C1" s="754"/>
      <c r="D1" s="754"/>
      <c r="E1" s="754"/>
      <c r="F1" s="754"/>
      <c r="G1" s="754"/>
      <c r="H1" s="754"/>
      <c r="I1" s="754"/>
      <c r="J1" s="754"/>
      <c r="K1" s="19"/>
      <c r="L1" s="19"/>
    </row>
    <row r="2" spans="1:12" ht="15.75">
      <c r="A2" s="15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</row>
    <row r="3" spans="1:1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12" ht="16.5" thickBot="1">
      <c r="A4" s="28" t="s">
        <v>194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 ht="16.5" thickBot="1">
      <c r="A5" s="19"/>
      <c r="B5" s="262" t="s">
        <v>173</v>
      </c>
      <c r="C5" s="146"/>
      <c r="D5" s="143"/>
      <c r="E5" s="143"/>
      <c r="F5" s="144"/>
      <c r="G5" s="19"/>
      <c r="H5" s="181"/>
      <c r="I5" s="20"/>
      <c r="J5" s="19"/>
      <c r="K5" s="19"/>
      <c r="L5" s="19"/>
    </row>
    <row r="6" spans="1:12" ht="16.5" thickBot="1">
      <c r="A6" s="19"/>
      <c r="B6" s="262" t="str">
        <f>IF(H$7=1,"12 Months Projected with Riders","12 Months Projected without Riders but incl FAC")</f>
        <v>12 Months Projected with Riders</v>
      </c>
      <c r="C6" s="146"/>
      <c r="D6" s="143"/>
      <c r="E6" s="143"/>
      <c r="F6" s="144"/>
      <c r="G6" s="19"/>
      <c r="H6" s="182"/>
      <c r="I6" s="21"/>
      <c r="J6" s="19"/>
      <c r="K6" s="19"/>
      <c r="L6" s="19"/>
    </row>
    <row r="7" spans="1:12" ht="16.5" thickBot="1">
      <c r="A7" s="28"/>
      <c r="B7" s="19"/>
      <c r="C7" s="19"/>
      <c r="D7" s="19"/>
      <c r="E7" s="19"/>
      <c r="F7" s="19"/>
      <c r="G7" s="19"/>
      <c r="H7" s="183">
        <v>1</v>
      </c>
      <c r="I7" s="21"/>
      <c r="J7" s="19"/>
      <c r="K7" s="19"/>
      <c r="L7" s="19"/>
    </row>
    <row r="8" spans="1:12" ht="16.5" thickBot="1">
      <c r="A8" s="19"/>
      <c r="B8" s="29" t="s">
        <v>479</v>
      </c>
      <c r="C8" s="147"/>
      <c r="D8" s="30"/>
      <c r="E8" s="30"/>
      <c r="F8" s="31"/>
      <c r="G8" s="23"/>
      <c r="H8" s="23"/>
      <c r="I8" s="20"/>
      <c r="J8" s="19"/>
      <c r="K8" s="19"/>
      <c r="L8" s="19"/>
    </row>
    <row r="9" spans="1:12" ht="16.5" thickBot="1">
      <c r="A9" s="19"/>
      <c r="B9" s="22" t="s">
        <v>0</v>
      </c>
      <c r="C9" s="22"/>
      <c r="D9" s="23"/>
      <c r="E9" s="23"/>
      <c r="F9" s="23"/>
      <c r="G9" s="23"/>
      <c r="H9" s="23"/>
      <c r="I9" s="20"/>
      <c r="J9" s="19"/>
      <c r="K9" s="19"/>
      <c r="L9" s="19"/>
    </row>
    <row r="10" spans="1:12" ht="16.5" thickBot="1">
      <c r="A10" s="19"/>
      <c r="B10" s="180" t="s">
        <v>1041</v>
      </c>
      <c r="C10" s="147"/>
      <c r="D10" s="30"/>
      <c r="E10" s="30"/>
      <c r="F10" s="30"/>
      <c r="G10" s="31"/>
      <c r="H10" s="23"/>
      <c r="I10" s="20"/>
      <c r="J10" s="19"/>
      <c r="K10" s="19"/>
      <c r="L10" s="19"/>
    </row>
    <row r="11" spans="1:12" ht="16.5" thickBot="1">
      <c r="A11" s="19"/>
      <c r="B11" s="179" t="s">
        <v>1132</v>
      </c>
      <c r="C11" s="35"/>
      <c r="D11" s="98"/>
      <c r="E11" s="98"/>
      <c r="F11" s="98"/>
      <c r="G11" s="33"/>
      <c r="H11" s="19"/>
      <c r="I11" s="21"/>
      <c r="J11" s="19"/>
      <c r="K11" s="19"/>
      <c r="L11" s="19"/>
    </row>
    <row r="12" spans="1:12" ht="16.5" thickBot="1">
      <c r="A12" s="19"/>
      <c r="B12" s="27" t="s">
        <v>1</v>
      </c>
      <c r="C12" s="27"/>
      <c r="D12" s="96" t="s">
        <v>2</v>
      </c>
      <c r="E12" s="97"/>
      <c r="F12" s="19"/>
      <c r="G12" s="19"/>
      <c r="H12" s="19"/>
      <c r="I12" s="21"/>
      <c r="J12" s="19"/>
      <c r="K12" s="19"/>
      <c r="L12" s="19"/>
    </row>
    <row r="13" spans="1:12" ht="16.5" thickBot="1">
      <c r="A13" s="19"/>
      <c r="B13" s="34" t="s">
        <v>539</v>
      </c>
      <c r="C13" s="36"/>
      <c r="D13" s="35"/>
      <c r="E13" s="35"/>
      <c r="F13" s="35"/>
      <c r="G13" s="32"/>
      <c r="H13" s="19"/>
      <c r="I13" s="20" t="s">
        <v>965</v>
      </c>
      <c r="J13" s="19"/>
      <c r="K13" s="19"/>
      <c r="L13" s="19"/>
    </row>
    <row r="14" spans="1:12" ht="16.5" thickBot="1">
      <c r="A14" s="19"/>
      <c r="B14" s="34" t="s">
        <v>333</v>
      </c>
      <c r="C14" s="36"/>
      <c r="D14" s="36"/>
      <c r="E14" s="35"/>
      <c r="F14" s="35"/>
      <c r="G14" s="32"/>
      <c r="H14" s="19"/>
      <c r="I14" s="20" t="s">
        <v>966</v>
      </c>
      <c r="J14" s="278">
        <v>24</v>
      </c>
      <c r="K14" s="19"/>
      <c r="L14" s="19"/>
    </row>
    <row r="15" spans="1:12" ht="16.5" thickBot="1">
      <c r="A15" s="19"/>
      <c r="B15" s="152" t="s">
        <v>540</v>
      </c>
      <c r="C15" s="36"/>
      <c r="D15" s="36"/>
      <c r="E15" s="35"/>
      <c r="F15" s="35"/>
      <c r="G15" s="32"/>
      <c r="H15" s="19"/>
      <c r="I15" s="20" t="s">
        <v>967</v>
      </c>
      <c r="J15" s="278">
        <v>24</v>
      </c>
      <c r="K15" s="19"/>
      <c r="L15" s="19"/>
    </row>
    <row r="16" spans="1:12" ht="42" customHeight="1">
      <c r="A16" s="19"/>
      <c r="B16" s="19"/>
      <c r="C16" s="19"/>
      <c r="D16" s="19"/>
      <c r="E16" s="19"/>
      <c r="F16" s="19"/>
      <c r="G16" s="19"/>
      <c r="H16" s="19"/>
      <c r="I16" s="20"/>
      <c r="J16" s="19"/>
      <c r="K16" s="19"/>
      <c r="L16" s="19"/>
    </row>
    <row r="17" spans="1:12" ht="19.5" customHeight="1">
      <c r="A17" s="19"/>
      <c r="B17" s="19"/>
      <c r="C17" s="145" t="s">
        <v>8</v>
      </c>
      <c r="D17" s="145" t="s">
        <v>6</v>
      </c>
      <c r="E17" s="149"/>
      <c r="F17" s="19"/>
      <c r="G17" s="19"/>
      <c r="H17" s="19"/>
      <c r="I17" s="20"/>
      <c r="J17" s="19"/>
      <c r="K17" s="19"/>
      <c r="L17" s="19"/>
    </row>
    <row r="18" spans="1:12" ht="19.5" customHeight="1" thickBot="1">
      <c r="A18" s="19"/>
      <c r="B18" s="150" t="s">
        <v>969</v>
      </c>
      <c r="C18" s="19"/>
      <c r="D18" s="19"/>
      <c r="E18" s="145"/>
      <c r="F18" s="19"/>
      <c r="G18" s="19"/>
      <c r="H18" s="19"/>
      <c r="I18" s="20"/>
      <c r="J18" s="19"/>
      <c r="K18" s="19"/>
      <c r="L18" s="19"/>
    </row>
    <row r="19" spans="1:12" ht="16.5" thickBot="1">
      <c r="A19" s="19"/>
      <c r="B19" s="148" t="s">
        <v>533</v>
      </c>
      <c r="C19" s="117">
        <v>3.4872127999999998E-3</v>
      </c>
      <c r="D19" s="117">
        <f>CUR_FAC</f>
        <v>3.4872127999999998E-3</v>
      </c>
      <c r="E19" s="37" t="s">
        <v>332</v>
      </c>
      <c r="F19" s="156">
        <f>CUR_FAC</f>
        <v>3.4872127999999998E-3</v>
      </c>
      <c r="G19" s="157"/>
      <c r="H19" s="157"/>
      <c r="I19" s="117"/>
      <c r="J19" s="161" t="s">
        <v>671</v>
      </c>
      <c r="K19" s="162"/>
      <c r="L19" s="162"/>
    </row>
    <row r="20" spans="1:12" ht="16.5" thickBot="1">
      <c r="A20" s="19"/>
      <c r="B20" s="37" t="s">
        <v>429</v>
      </c>
      <c r="C20" s="118">
        <v>3.3779999999999998E-2</v>
      </c>
      <c r="D20" s="118">
        <v>3.3779999999999998E-2</v>
      </c>
      <c r="E20" s="37" t="s">
        <v>332</v>
      </c>
      <c r="F20" s="26"/>
      <c r="G20" s="19"/>
      <c r="H20" s="19"/>
      <c r="I20" s="19"/>
      <c r="J20" s="37"/>
      <c r="K20" s="19"/>
      <c r="L20" s="19"/>
    </row>
    <row r="21" spans="1:12" ht="15.75">
      <c r="A21" s="19"/>
      <c r="B21" s="37"/>
      <c r="C21" s="37"/>
      <c r="D21" s="37"/>
      <c r="E21" s="37"/>
      <c r="F21" s="26"/>
      <c r="G21" s="19"/>
      <c r="H21" s="19"/>
      <c r="I21" s="19"/>
      <c r="J21" s="37"/>
      <c r="K21" s="19"/>
      <c r="L21" s="19"/>
    </row>
    <row r="22" spans="1:12" ht="18.75" thickBot="1">
      <c r="A22" s="19"/>
      <c r="B22" s="751" t="s">
        <v>1049</v>
      </c>
      <c r="C22" s="751"/>
      <c r="D22" s="751"/>
      <c r="E22" s="37"/>
      <c r="F22" s="26"/>
      <c r="G22" s="19"/>
      <c r="H22" s="19"/>
      <c r="I22" s="19"/>
      <c r="J22" s="37"/>
      <c r="K22" s="19"/>
      <c r="L22" s="19"/>
    </row>
    <row r="23" spans="1:12" ht="16.5" thickBot="1">
      <c r="A23" s="19"/>
      <c r="B23" s="37" t="s">
        <v>53</v>
      </c>
      <c r="C23" s="122"/>
      <c r="D23" s="122"/>
      <c r="E23" s="37" t="s">
        <v>332</v>
      </c>
      <c r="F23" s="26"/>
      <c r="G23" s="19"/>
      <c r="H23" s="19"/>
      <c r="I23" s="19"/>
      <c r="J23" s="37"/>
      <c r="K23" s="19"/>
      <c r="L23" s="19"/>
    </row>
    <row r="24" spans="1:12" ht="16.5" thickBot="1">
      <c r="A24" s="19"/>
      <c r="B24" s="37" t="s">
        <v>253</v>
      </c>
      <c r="C24" s="122"/>
      <c r="D24" s="122"/>
      <c r="E24" s="37" t="s">
        <v>332</v>
      </c>
      <c r="F24" s="26"/>
      <c r="G24" s="19"/>
      <c r="H24" s="19"/>
      <c r="I24" s="19"/>
      <c r="J24" s="37"/>
      <c r="K24" s="19"/>
      <c r="L24" s="19"/>
    </row>
    <row r="25" spans="1:12" ht="16.5" thickBot="1">
      <c r="A25" s="19"/>
      <c r="B25" s="37" t="s">
        <v>254</v>
      </c>
      <c r="C25" s="122"/>
      <c r="D25" s="122"/>
      <c r="E25" s="37" t="s">
        <v>332</v>
      </c>
      <c r="F25" s="26"/>
      <c r="G25" s="19"/>
      <c r="H25" s="19"/>
      <c r="I25" s="19"/>
      <c r="J25" s="37"/>
      <c r="K25" s="19"/>
      <c r="L25" s="19"/>
    </row>
    <row r="26" spans="1:12" ht="16.5" thickBot="1">
      <c r="A26" s="19"/>
      <c r="B26" s="37" t="s">
        <v>385</v>
      </c>
      <c r="C26" s="127"/>
      <c r="D26" s="122"/>
      <c r="E26" s="37" t="s">
        <v>332</v>
      </c>
      <c r="F26" s="26"/>
      <c r="G26" s="19"/>
      <c r="H26" s="19"/>
      <c r="I26" s="19"/>
      <c r="J26" s="37"/>
      <c r="K26" s="19"/>
      <c r="L26" s="19"/>
    </row>
    <row r="27" spans="1:12" ht="15.75">
      <c r="A27" s="19"/>
      <c r="B27" s="37"/>
      <c r="C27" s="37"/>
      <c r="D27" s="26"/>
      <c r="E27" s="37"/>
      <c r="F27" s="26"/>
      <c r="G27" s="19"/>
      <c r="H27" s="19"/>
      <c r="I27" s="19"/>
      <c r="J27" s="37"/>
      <c r="K27" s="19"/>
      <c r="L27" s="19"/>
    </row>
    <row r="28" spans="1:12" ht="18.75" thickBot="1">
      <c r="A28" s="19"/>
      <c r="B28" s="178" t="s">
        <v>1046</v>
      </c>
      <c r="C28" s="37"/>
      <c r="D28" s="119"/>
      <c r="E28" s="37"/>
      <c r="F28" s="19" t="s">
        <v>791</v>
      </c>
      <c r="G28" s="26"/>
      <c r="H28" s="19"/>
      <c r="I28" s="20"/>
      <c r="J28" s="19"/>
      <c r="K28" s="19"/>
      <c r="L28" s="19"/>
    </row>
    <row r="29" spans="1:12" ht="16.5" thickBot="1">
      <c r="A29" s="19"/>
      <c r="B29" s="37" t="s">
        <v>53</v>
      </c>
      <c r="C29" s="117">
        <f t="shared" ref="C29:D31" si="0">IF($H$7=1,F29,0)</f>
        <v>1.3519999999999999E-3</v>
      </c>
      <c r="D29" s="117">
        <f t="shared" si="0"/>
        <v>1.3519999999999999E-3</v>
      </c>
      <c r="E29" s="37" t="s">
        <v>332</v>
      </c>
      <c r="F29" s="184">
        <v>1.3519999999999999E-3</v>
      </c>
      <c r="G29" s="184">
        <f>+F29</f>
        <v>1.3519999999999999E-3</v>
      </c>
      <c r="H29" s="19"/>
      <c r="I29" s="187">
        <v>0.3</v>
      </c>
      <c r="J29" s="121">
        <f>IF($H$7=1,I29,0)</f>
        <v>0.3</v>
      </c>
      <c r="K29" s="27" t="s">
        <v>647</v>
      </c>
      <c r="L29" s="19"/>
    </row>
    <row r="30" spans="1:12" ht="16.5" thickBot="1">
      <c r="A30" s="19"/>
      <c r="B30" s="37" t="s">
        <v>253</v>
      </c>
      <c r="C30" s="117">
        <f t="shared" si="0"/>
        <v>3.503E-3</v>
      </c>
      <c r="D30" s="117">
        <f t="shared" si="0"/>
        <v>3.503E-3</v>
      </c>
      <c r="E30" s="37" t="s">
        <v>332</v>
      </c>
      <c r="F30" s="184">
        <v>3.503E-3</v>
      </c>
      <c r="G30" s="184">
        <f>+F30</f>
        <v>3.503E-3</v>
      </c>
      <c r="H30" s="19"/>
      <c r="I30" s="20"/>
      <c r="J30" s="19"/>
      <c r="K30" s="19"/>
      <c r="L30" s="19"/>
    </row>
    <row r="31" spans="1:12" ht="16.5" thickBot="1">
      <c r="A31" s="19"/>
      <c r="B31" s="37" t="s">
        <v>254</v>
      </c>
      <c r="C31" s="117">
        <f t="shared" si="0"/>
        <v>5.1400000000000003E-4</v>
      </c>
      <c r="D31" s="117">
        <f t="shared" si="0"/>
        <v>5.1400000000000003E-4</v>
      </c>
      <c r="E31" s="37" t="s">
        <v>332</v>
      </c>
      <c r="F31" s="184">
        <v>5.1400000000000003E-4</v>
      </c>
      <c r="G31" s="184">
        <f>+F31</f>
        <v>5.1400000000000003E-4</v>
      </c>
      <c r="H31" s="19"/>
      <c r="I31" s="20"/>
      <c r="J31" s="19"/>
      <c r="K31" s="19"/>
      <c r="L31" s="19"/>
    </row>
    <row r="32" spans="1:12">
      <c r="A32" s="19"/>
      <c r="B32" s="24"/>
      <c r="C32" s="24"/>
      <c r="D32" s="19"/>
      <c r="E32" s="25"/>
      <c r="F32" s="24"/>
      <c r="G32" s="26"/>
      <c r="H32" s="19"/>
      <c r="I32" s="20"/>
      <c r="J32" s="19"/>
      <c r="K32" s="19"/>
      <c r="L32" s="19"/>
    </row>
    <row r="33" spans="1:12" ht="18.75" thickBot="1">
      <c r="A33" s="19"/>
      <c r="B33" s="752" t="s">
        <v>1047</v>
      </c>
      <c r="C33" s="749"/>
      <c r="D33" s="19"/>
      <c r="E33" s="25"/>
      <c r="F33" s="24"/>
      <c r="G33" s="26"/>
      <c r="H33" s="19"/>
      <c r="I33" s="20"/>
      <c r="J33" s="19"/>
      <c r="K33" s="19"/>
      <c r="L33" s="19"/>
    </row>
    <row r="34" spans="1:12" ht="16.5" thickBot="1">
      <c r="A34" s="19"/>
      <c r="B34" s="27" t="s">
        <v>386</v>
      </c>
      <c r="C34" s="117">
        <f>IF($H$7=1,F34,0)</f>
        <v>2.4750000000000002E-3</v>
      </c>
      <c r="D34" s="117">
        <f>IF($H$7=1,G34,0)</f>
        <v>2.4750000000000002E-3</v>
      </c>
      <c r="E34" s="37" t="s">
        <v>332</v>
      </c>
      <c r="F34" s="185">
        <v>2.4750000000000002E-3</v>
      </c>
      <c r="G34" s="185">
        <f>F34</f>
        <v>2.4750000000000002E-3</v>
      </c>
      <c r="H34" s="19"/>
      <c r="I34" s="20"/>
      <c r="J34" s="19"/>
      <c r="K34" s="19"/>
      <c r="L34" s="19"/>
    </row>
    <row r="35" spans="1:12">
      <c r="A35" s="19"/>
      <c r="B35" s="24"/>
      <c r="C35" s="24"/>
      <c r="D35" s="19"/>
      <c r="E35" s="25"/>
      <c r="F35" s="26"/>
      <c r="G35" s="26"/>
      <c r="H35" s="19"/>
      <c r="I35" s="20"/>
      <c r="J35" s="19"/>
      <c r="K35" s="19"/>
      <c r="L35" s="19"/>
    </row>
    <row r="36" spans="1:12">
      <c r="A36" s="19"/>
      <c r="B36" s="24"/>
      <c r="C36" s="24"/>
      <c r="D36" s="19"/>
      <c r="E36" s="25"/>
      <c r="F36" s="24"/>
      <c r="G36" s="26"/>
      <c r="H36" s="19"/>
      <c r="I36" s="20"/>
      <c r="J36" s="19"/>
      <c r="K36" s="19"/>
      <c r="L36" s="19"/>
    </row>
    <row r="37" spans="1:12" ht="15.75" thickBot="1">
      <c r="A37" s="19"/>
      <c r="B37" s="24"/>
      <c r="C37" s="24"/>
      <c r="D37" s="19"/>
      <c r="E37" s="25"/>
      <c r="F37" s="24"/>
      <c r="G37" s="26"/>
      <c r="H37" s="19"/>
      <c r="I37" s="20"/>
      <c r="J37" s="19"/>
      <c r="K37" s="19"/>
      <c r="L37" s="19"/>
    </row>
    <row r="38" spans="1:12" ht="16.5" thickBot="1">
      <c r="A38" s="19"/>
      <c r="B38" s="38" t="s">
        <v>3</v>
      </c>
      <c r="C38" s="38"/>
      <c r="D38" s="39" t="s">
        <v>970</v>
      </c>
      <c r="E38" s="33"/>
      <c r="F38" s="19"/>
      <c r="G38" s="19"/>
      <c r="H38" s="19"/>
      <c r="I38" s="19"/>
      <c r="J38" s="19"/>
      <c r="K38" s="19"/>
      <c r="L38" s="19"/>
    </row>
    <row r="39" spans="1:12" ht="15.75">
      <c r="A39" s="19"/>
      <c r="B39" s="24"/>
      <c r="C39" s="24"/>
      <c r="D39" s="26"/>
      <c r="E39" s="26"/>
      <c r="F39" s="24"/>
      <c r="G39" s="26"/>
      <c r="H39" s="19"/>
      <c r="I39" s="19"/>
      <c r="J39" s="37"/>
      <c r="K39" s="19"/>
      <c r="L39" s="19"/>
    </row>
    <row r="40" spans="1:12" ht="15.75">
      <c r="A40" s="19"/>
      <c r="B40" s="19"/>
      <c r="C40" s="19"/>
      <c r="D40" s="19"/>
      <c r="E40" s="19"/>
      <c r="F40" s="19"/>
      <c r="G40" s="19"/>
      <c r="H40" s="27"/>
      <c r="I40" s="19"/>
      <c r="J40" s="37"/>
      <c r="K40" s="19"/>
      <c r="L40" s="19"/>
    </row>
    <row r="41" spans="1:12" ht="15.75">
      <c r="A41" s="19"/>
      <c r="B41" s="19"/>
      <c r="C41" s="145" t="s">
        <v>8</v>
      </c>
      <c r="D41" s="145" t="s">
        <v>6</v>
      </c>
      <c r="E41" s="19"/>
      <c r="F41" s="19"/>
      <c r="G41" s="19"/>
      <c r="H41" s="27"/>
      <c r="I41" s="19"/>
      <c r="J41" s="37"/>
      <c r="K41" s="19"/>
      <c r="L41" s="19"/>
    </row>
    <row r="42" spans="1:12" ht="18.75" thickBot="1">
      <c r="A42" s="19"/>
      <c r="B42" s="750" t="s">
        <v>1048</v>
      </c>
      <c r="C42" s="751"/>
      <c r="D42" s="751"/>
      <c r="E42" s="19"/>
      <c r="F42" s="19"/>
      <c r="G42" s="19"/>
      <c r="H42" s="27"/>
      <c r="I42" s="19"/>
      <c r="J42" s="37"/>
      <c r="K42" s="19"/>
      <c r="L42" s="19"/>
    </row>
    <row r="43" spans="1:12" ht="16.5" thickBot="1">
      <c r="A43" s="19"/>
      <c r="B43" s="37" t="s">
        <v>62</v>
      </c>
      <c r="C43" s="122">
        <v>13</v>
      </c>
      <c r="D43" s="122">
        <f>'Proposed Rates'!C14</f>
        <v>16</v>
      </c>
      <c r="E43" s="37" t="s">
        <v>480</v>
      </c>
      <c r="F43" s="19"/>
      <c r="G43" s="19">
        <f>D43/C43-1</f>
        <v>0.23076923076923084</v>
      </c>
      <c r="H43" s="27"/>
      <c r="I43" s="19"/>
      <c r="J43" s="37"/>
      <c r="K43" s="19"/>
      <c r="L43" s="19"/>
    </row>
    <row r="44" spans="1:12" ht="16.5" thickBot="1">
      <c r="A44" s="19"/>
      <c r="B44" s="37" t="s">
        <v>481</v>
      </c>
      <c r="C44" s="122">
        <v>0.111639</v>
      </c>
      <c r="D44" s="122">
        <f>'Proposed Rates'!C20</f>
        <v>0.130111</v>
      </c>
      <c r="E44" s="37" t="s">
        <v>332</v>
      </c>
      <c r="F44" s="24"/>
      <c r="G44" s="19">
        <f>D44/C44-1</f>
        <v>0.16546189055795923</v>
      </c>
      <c r="H44" s="27"/>
      <c r="I44" s="171"/>
      <c r="J44" s="37"/>
      <c r="K44" s="19"/>
      <c r="L44" s="19"/>
    </row>
    <row r="45" spans="1:12" ht="15.75">
      <c r="A45" s="19"/>
      <c r="B45" s="19"/>
      <c r="C45" s="19"/>
      <c r="D45" s="19"/>
      <c r="E45" s="19"/>
      <c r="F45" s="19"/>
      <c r="G45" s="19"/>
      <c r="H45" s="27"/>
      <c r="I45" s="19"/>
      <c r="J45" s="37"/>
      <c r="K45" s="19"/>
      <c r="L45" s="19"/>
    </row>
    <row r="46" spans="1:12" ht="18">
      <c r="A46" s="26"/>
      <c r="B46" s="750" t="s">
        <v>1045</v>
      </c>
      <c r="C46" s="751"/>
      <c r="D46" s="751"/>
      <c r="E46" s="19"/>
      <c r="F46" s="19"/>
      <c r="G46" s="19"/>
      <c r="H46" s="27"/>
      <c r="I46" s="19"/>
      <c r="J46" s="37"/>
      <c r="K46" s="19"/>
      <c r="L46" s="19"/>
    </row>
    <row r="47" spans="1:12" ht="16.5" thickBot="1">
      <c r="A47" s="19"/>
      <c r="B47" s="37" t="s">
        <v>62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</row>
    <row r="48" spans="1:12" ht="16.5" thickBot="1">
      <c r="A48" s="19"/>
      <c r="B48" s="37" t="s">
        <v>482</v>
      </c>
      <c r="C48" s="122">
        <v>15</v>
      </c>
      <c r="D48" s="122">
        <f>'Proposed Rates'!G18</f>
        <v>15</v>
      </c>
      <c r="E48" s="37" t="s">
        <v>480</v>
      </c>
      <c r="F48" s="19"/>
      <c r="G48" s="19">
        <f>D48/C48-1</f>
        <v>0</v>
      </c>
      <c r="H48" s="19"/>
      <c r="I48" s="19"/>
      <c r="J48" s="19"/>
      <c r="K48" s="19"/>
      <c r="L48" s="19"/>
    </row>
    <row r="49" spans="1:12" ht="16.5" thickBot="1">
      <c r="A49" s="19"/>
      <c r="B49" s="37" t="s">
        <v>483</v>
      </c>
      <c r="C49" s="122">
        <v>30</v>
      </c>
      <c r="D49" s="122">
        <f>'Proposed Rates'!G19</f>
        <v>30</v>
      </c>
      <c r="E49" s="37" t="s">
        <v>480</v>
      </c>
      <c r="F49" s="19"/>
      <c r="G49" s="19">
        <f>D49/C49-1</f>
        <v>0</v>
      </c>
      <c r="H49" s="19"/>
      <c r="I49" s="19"/>
      <c r="J49" s="19"/>
      <c r="K49" s="19"/>
      <c r="L49" s="19"/>
    </row>
    <row r="50" spans="1:12" ht="16.5" thickBot="1">
      <c r="A50" s="19"/>
      <c r="B50" s="37" t="s">
        <v>481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</row>
    <row r="51" spans="1:12" ht="16.5" thickBot="1">
      <c r="A51" s="19"/>
      <c r="B51" s="19" t="s">
        <v>484</v>
      </c>
      <c r="C51" s="122">
        <v>0.114788</v>
      </c>
      <c r="D51" s="122">
        <f>'Proposed Rates'!G32</f>
        <v>0.121549</v>
      </c>
      <c r="E51" s="37" t="s">
        <v>332</v>
      </c>
      <c r="F51" s="19"/>
      <c r="G51" s="19">
        <f>D51/C51-1</f>
        <v>5.889988500540122E-2</v>
      </c>
      <c r="H51" s="19"/>
      <c r="I51" s="19"/>
      <c r="J51" s="19"/>
      <c r="K51" s="19"/>
      <c r="L51" s="19"/>
    </row>
    <row r="52" spans="1:12" ht="16.5" thickBot="1">
      <c r="A52" s="19"/>
      <c r="B52" s="19" t="s">
        <v>485</v>
      </c>
      <c r="C52" s="122">
        <v>7.4619000000000005E-2</v>
      </c>
      <c r="D52" s="122">
        <f>'Proposed Rates'!G36</f>
        <v>7.9014000000000001E-2</v>
      </c>
      <c r="E52" s="37" t="s">
        <v>332</v>
      </c>
      <c r="F52" s="19"/>
      <c r="G52" s="19">
        <f>D52/C52-1</f>
        <v>5.8899207976520707E-2</v>
      </c>
      <c r="H52" s="19"/>
      <c r="I52" s="19"/>
      <c r="J52" s="19"/>
      <c r="K52" s="19"/>
      <c r="L52" s="19"/>
    </row>
    <row r="53" spans="1:12" ht="16.5" thickBot="1">
      <c r="A53" s="19"/>
      <c r="B53" s="19" t="s">
        <v>486</v>
      </c>
      <c r="C53" s="122">
        <v>6.3056000000000001E-2</v>
      </c>
      <c r="D53" s="122">
        <f>'Proposed Rates'!G40</f>
        <v>6.6767999999999994E-2</v>
      </c>
      <c r="E53" s="37" t="s">
        <v>332</v>
      </c>
      <c r="F53" s="19"/>
      <c r="G53" s="19">
        <f>D53/C53-1</f>
        <v>5.8868307536158238E-2</v>
      </c>
      <c r="H53" s="19"/>
      <c r="I53" s="19"/>
      <c r="J53" s="19"/>
      <c r="K53" s="19"/>
      <c r="L53" s="19"/>
    </row>
    <row r="54" spans="1:12" ht="16.5" thickBot="1">
      <c r="A54" s="19"/>
      <c r="B54" s="37" t="s">
        <v>487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2" ht="16.5" thickBot="1">
      <c r="A55" s="19"/>
      <c r="B55" s="19" t="s">
        <v>489</v>
      </c>
      <c r="C55" s="122">
        <v>0</v>
      </c>
      <c r="D55" s="122">
        <v>0</v>
      </c>
      <c r="E55" s="37" t="s">
        <v>488</v>
      </c>
      <c r="F55" s="19"/>
      <c r="G55" s="19"/>
      <c r="H55" s="19"/>
      <c r="I55" s="19"/>
      <c r="J55" s="19"/>
      <c r="K55" s="19"/>
      <c r="L55" s="19"/>
    </row>
    <row r="56" spans="1:12" ht="16.5" thickBot="1">
      <c r="A56" s="19"/>
      <c r="B56" s="19" t="s">
        <v>486</v>
      </c>
      <c r="C56" s="122">
        <v>10.68</v>
      </c>
      <c r="D56" s="122">
        <f>'Proposed Rates'!G25</f>
        <v>12.36</v>
      </c>
      <c r="E56" s="37" t="s">
        <v>488</v>
      </c>
      <c r="F56" s="19"/>
      <c r="G56" s="19">
        <f>D56/C56-1</f>
        <v>0.15730337078651679</v>
      </c>
      <c r="H56" s="19"/>
      <c r="I56" s="19"/>
      <c r="J56" s="19"/>
      <c r="K56" s="19"/>
      <c r="L56" s="19"/>
    </row>
    <row r="57" spans="1:12" ht="16.5" thickBot="1">
      <c r="A57" s="19"/>
      <c r="B57" s="37" t="s">
        <v>490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</row>
    <row r="58" spans="1:12" ht="16.5" thickBot="1">
      <c r="A58" s="19"/>
      <c r="B58" s="19" t="s">
        <v>491</v>
      </c>
      <c r="C58" s="122">
        <v>0.30729699999999999</v>
      </c>
      <c r="D58" s="122">
        <f>'Proposed Rates'!G44</f>
        <v>0.32539800000000002</v>
      </c>
      <c r="E58" s="37" t="s">
        <v>332</v>
      </c>
      <c r="F58" s="19"/>
      <c r="G58" s="19">
        <f>D58/C58-1</f>
        <v>5.8903926819982022E-2</v>
      </c>
      <c r="H58" s="19"/>
      <c r="I58" s="19"/>
      <c r="J58" s="19"/>
      <c r="K58" s="19"/>
      <c r="L58" s="19"/>
    </row>
    <row r="59" spans="1:12" ht="16.5" thickBot="1">
      <c r="A59" s="19"/>
      <c r="B59" s="19" t="s">
        <v>492</v>
      </c>
      <c r="C59" s="122">
        <v>0.18865199999999999</v>
      </c>
      <c r="D59" s="122">
        <f>'Proposed Rates'!G48</f>
        <v>0.199765</v>
      </c>
      <c r="E59" s="37" t="s">
        <v>332</v>
      </c>
      <c r="F59" s="19"/>
      <c r="G59" s="19">
        <f>D59/C59-1</f>
        <v>5.8907406229459669E-2</v>
      </c>
      <c r="H59" s="19"/>
      <c r="I59" s="19"/>
      <c r="J59" s="19"/>
      <c r="K59" s="19"/>
      <c r="L59" s="19"/>
    </row>
    <row r="60" spans="1:12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2" ht="18">
      <c r="A61" s="19"/>
      <c r="B61" s="750" t="s">
        <v>1050</v>
      </c>
      <c r="C61" s="751"/>
      <c r="D61" s="751"/>
      <c r="E61" s="19"/>
      <c r="F61" s="19"/>
      <c r="G61" s="19"/>
      <c r="H61" s="19"/>
      <c r="I61" s="19"/>
      <c r="J61" s="19"/>
      <c r="K61" s="19"/>
      <c r="L61" s="19"/>
    </row>
    <row r="62" spans="1:12" ht="16.5" thickBot="1">
      <c r="A62" s="19"/>
      <c r="B62" s="37" t="s">
        <v>62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</row>
    <row r="63" spans="1:12" ht="16.5" thickBot="1">
      <c r="A63" s="19"/>
      <c r="B63" s="19" t="s">
        <v>627</v>
      </c>
      <c r="C63" s="122">
        <v>5</v>
      </c>
      <c r="D63" s="122">
        <v>5</v>
      </c>
      <c r="E63" s="37" t="s">
        <v>480</v>
      </c>
      <c r="F63" s="19"/>
      <c r="G63" s="19">
        <f t="shared" ref="G63:G119" si="1">D63/C63-1</f>
        <v>0</v>
      </c>
      <c r="H63" s="19"/>
      <c r="I63" s="19"/>
      <c r="J63" s="19"/>
      <c r="K63" s="19"/>
      <c r="L63" s="19"/>
    </row>
    <row r="64" spans="1:12" ht="16.5" thickBot="1">
      <c r="A64" s="19"/>
      <c r="B64" s="19" t="s">
        <v>626</v>
      </c>
      <c r="C64" s="122">
        <v>5</v>
      </c>
      <c r="D64" s="122">
        <v>5</v>
      </c>
      <c r="E64" s="37" t="s">
        <v>480</v>
      </c>
      <c r="F64" s="19"/>
      <c r="G64" s="19">
        <f t="shared" si="1"/>
        <v>0</v>
      </c>
      <c r="H64" s="19"/>
      <c r="I64" s="19"/>
      <c r="J64" s="19"/>
      <c r="K64" s="19"/>
      <c r="L64" s="19"/>
    </row>
    <row r="65" spans="1:12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</row>
    <row r="66" spans="1:12" ht="18">
      <c r="A66" s="26"/>
      <c r="B66" s="750" t="s">
        <v>1044</v>
      </c>
      <c r="C66" s="751"/>
      <c r="D66" s="751"/>
      <c r="E66" s="19"/>
      <c r="F66" s="19"/>
      <c r="G66" s="19"/>
      <c r="H66" s="27"/>
      <c r="I66" s="19"/>
      <c r="J66" s="37"/>
      <c r="K66" s="19"/>
      <c r="L66" s="19"/>
    </row>
    <row r="67" spans="1:12" ht="16.5" thickBot="1">
      <c r="A67" s="19"/>
      <c r="B67" s="37" t="s">
        <v>62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1:12" ht="16.5" thickBot="1">
      <c r="A68" s="19"/>
      <c r="B68" s="37" t="s">
        <v>482</v>
      </c>
      <c r="C68" s="122">
        <v>63.5</v>
      </c>
      <c r="D68" s="122">
        <f>'Proposed Rates'!O17</f>
        <v>64</v>
      </c>
      <c r="E68" s="37" t="s">
        <v>480</v>
      </c>
      <c r="F68" s="19"/>
      <c r="G68" s="19">
        <f t="shared" si="1"/>
        <v>7.8740157480314821E-3</v>
      </c>
      <c r="H68" s="19"/>
      <c r="I68" s="19"/>
      <c r="J68" s="19"/>
      <c r="K68" s="19"/>
      <c r="L68" s="19"/>
    </row>
    <row r="69" spans="1:12" ht="16.5" thickBot="1">
      <c r="A69" s="19"/>
      <c r="B69" s="37" t="s">
        <v>483</v>
      </c>
      <c r="C69" s="122">
        <v>127</v>
      </c>
      <c r="D69" s="122">
        <f>'Proposed Rates'!O16</f>
        <v>128</v>
      </c>
      <c r="E69" s="37" t="s">
        <v>480</v>
      </c>
      <c r="F69" s="19"/>
      <c r="G69" s="19">
        <f t="shared" si="1"/>
        <v>7.8740157480314821E-3</v>
      </c>
      <c r="H69" s="19"/>
      <c r="I69" s="19"/>
      <c r="J69" s="19"/>
      <c r="K69" s="19"/>
      <c r="L69" s="19"/>
    </row>
    <row r="70" spans="1:12" ht="16.5" thickBot="1">
      <c r="A70" s="19"/>
      <c r="B70" s="37" t="s">
        <v>493</v>
      </c>
      <c r="C70" s="122">
        <v>138</v>
      </c>
      <c r="D70" s="122">
        <f>'Proposed Rates'!O23</f>
        <v>160</v>
      </c>
      <c r="E70" s="37" t="s">
        <v>480</v>
      </c>
      <c r="F70" s="19"/>
      <c r="G70" s="19">
        <f t="shared" si="1"/>
        <v>0.15942028985507251</v>
      </c>
      <c r="H70" s="19"/>
      <c r="I70" s="19"/>
      <c r="J70" s="19"/>
      <c r="K70" s="19"/>
      <c r="L70" s="19"/>
    </row>
    <row r="71" spans="1:12" ht="16.5" thickBot="1">
      <c r="A71" s="19"/>
      <c r="B71" s="37" t="s">
        <v>481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</row>
    <row r="72" spans="1:12" ht="16.5" thickBot="1">
      <c r="A72" s="19"/>
      <c r="B72" s="19" t="s">
        <v>494</v>
      </c>
      <c r="C72" s="122">
        <v>5.6746999999999999E-2</v>
      </c>
      <c r="D72" s="122">
        <f>'Proposed Rates'!O30</f>
        <v>6.4528000000000002E-2</v>
      </c>
      <c r="E72" s="37" t="s">
        <v>332</v>
      </c>
      <c r="F72" s="19"/>
      <c r="G72" s="19">
        <f t="shared" si="1"/>
        <v>0.13711738065448409</v>
      </c>
      <c r="H72" s="19"/>
      <c r="I72" s="19"/>
      <c r="J72" s="19"/>
      <c r="K72" s="19"/>
      <c r="L72" s="19"/>
    </row>
    <row r="73" spans="1:12" ht="16.5" thickBot="1">
      <c r="A73" s="19"/>
      <c r="B73" s="19" t="s">
        <v>495</v>
      </c>
      <c r="C73" s="122">
        <v>5.4640000000000001E-2</v>
      </c>
      <c r="D73" s="122">
        <f>'Proposed Rates'!O31</f>
        <v>6.2133000000000001E-2</v>
      </c>
      <c r="E73" s="37" t="s">
        <v>332</v>
      </c>
      <c r="F73" s="19"/>
      <c r="G73" s="19">
        <f t="shared" si="1"/>
        <v>0.13713396778916542</v>
      </c>
      <c r="H73" s="19"/>
      <c r="I73" s="19"/>
      <c r="J73" s="19"/>
      <c r="K73" s="19"/>
      <c r="L73" s="19"/>
    </row>
    <row r="74" spans="1:12" ht="16.5" thickBot="1">
      <c r="A74" s="19"/>
      <c r="B74" s="19" t="s">
        <v>496</v>
      </c>
      <c r="C74" s="122">
        <v>4.8348000000000002E-2</v>
      </c>
      <c r="D74" s="122">
        <f>'Proposed Rates'!O32</f>
        <v>5.4975999999999997E-2</v>
      </c>
      <c r="E74" s="37" t="s">
        <v>332</v>
      </c>
      <c r="F74" s="19"/>
      <c r="G74" s="19">
        <f t="shared" si="1"/>
        <v>0.13708943493008996</v>
      </c>
      <c r="H74" s="19"/>
      <c r="I74" s="19"/>
      <c r="J74" s="19"/>
      <c r="K74" s="19"/>
      <c r="L74" s="19"/>
    </row>
    <row r="75" spans="1:12" ht="16.5" thickBot="1">
      <c r="A75" s="19"/>
      <c r="B75" s="37" t="s">
        <v>487</v>
      </c>
      <c r="C75" s="19"/>
      <c r="D75" s="19"/>
      <c r="E75" s="19"/>
      <c r="F75" s="19"/>
      <c r="G75" s="19"/>
      <c r="H75" s="19"/>
      <c r="I75" s="19"/>
      <c r="J75" s="19"/>
      <c r="K75" s="19"/>
      <c r="L75" s="19"/>
    </row>
    <row r="76" spans="1:12" ht="16.5" thickBot="1">
      <c r="A76" s="19"/>
      <c r="B76" s="19" t="s">
        <v>494</v>
      </c>
      <c r="C76" s="122">
        <v>14.71</v>
      </c>
      <c r="D76" s="122">
        <f>'Proposed Rates'!O33</f>
        <v>16.73</v>
      </c>
      <c r="E76" s="37" t="s">
        <v>488</v>
      </c>
      <c r="F76" s="19"/>
      <c r="G76" s="19">
        <f t="shared" si="1"/>
        <v>0.13732154996600943</v>
      </c>
      <c r="H76" s="19"/>
      <c r="I76" s="19"/>
      <c r="J76" s="19"/>
      <c r="K76" s="19"/>
      <c r="L76" s="19"/>
    </row>
    <row r="77" spans="1:12" ht="16.5" thickBot="1">
      <c r="A77" s="19"/>
      <c r="B77" s="19" t="s">
        <v>497</v>
      </c>
      <c r="C77" s="122">
        <v>1.32</v>
      </c>
      <c r="D77" s="122">
        <f>'Proposed Rates'!O34</f>
        <v>1.5</v>
      </c>
      <c r="E77" s="37" t="s">
        <v>488</v>
      </c>
      <c r="F77" s="19"/>
      <c r="G77" s="19">
        <f t="shared" si="1"/>
        <v>0.13636363636363624</v>
      </c>
      <c r="H77" s="19"/>
      <c r="I77" s="19"/>
      <c r="J77" s="19"/>
      <c r="K77" s="19"/>
      <c r="L77" s="19"/>
    </row>
    <row r="78" spans="1:12" ht="16.5" thickBot="1">
      <c r="A78" s="19"/>
      <c r="B78" s="19" t="s">
        <v>495</v>
      </c>
      <c r="C78" s="122">
        <v>13.92</v>
      </c>
      <c r="D78" s="122">
        <f>'Proposed Rates'!O35</f>
        <v>15.83</v>
      </c>
      <c r="E78" s="37" t="s">
        <v>488</v>
      </c>
      <c r="F78" s="19"/>
      <c r="G78" s="19">
        <f t="shared" si="1"/>
        <v>0.13721264367816088</v>
      </c>
      <c r="H78" s="19"/>
      <c r="I78" s="19"/>
      <c r="J78" s="19"/>
      <c r="K78" s="19"/>
      <c r="L78" s="19"/>
    </row>
    <row r="79" spans="1:12" ht="16.5" thickBot="1">
      <c r="A79" s="19"/>
      <c r="B79" s="19" t="s">
        <v>498</v>
      </c>
      <c r="C79" s="122">
        <v>1.32</v>
      </c>
      <c r="D79" s="122">
        <f>'Proposed Rates'!O36</f>
        <v>1.5</v>
      </c>
      <c r="E79" s="37" t="s">
        <v>488</v>
      </c>
      <c r="F79" s="19"/>
      <c r="G79" s="19">
        <f t="shared" si="1"/>
        <v>0.13636363636363624</v>
      </c>
      <c r="H79" s="19"/>
      <c r="I79" s="19"/>
      <c r="J79" s="19"/>
      <c r="K79" s="19"/>
      <c r="L79" s="19"/>
    </row>
    <row r="80" spans="1:12" ht="16.5" thickBot="1">
      <c r="A80" s="19"/>
      <c r="B80" s="19" t="s">
        <v>499</v>
      </c>
      <c r="C80" s="122">
        <v>-0.75</v>
      </c>
      <c r="D80" s="122">
        <f>'Proposed Rates'!O38</f>
        <v>-0.85</v>
      </c>
      <c r="E80" s="37" t="s">
        <v>488</v>
      </c>
      <c r="F80" s="19"/>
      <c r="G80" s="19">
        <f t="shared" si="1"/>
        <v>0.1333333333333333</v>
      </c>
      <c r="H80" s="281"/>
      <c r="I80" s="19"/>
      <c r="J80" s="19"/>
      <c r="K80" s="19"/>
      <c r="L80" s="19"/>
    </row>
    <row r="81" spans="1:12" ht="16.5" thickBot="1">
      <c r="A81" s="19"/>
      <c r="B81" s="19" t="s">
        <v>500</v>
      </c>
      <c r="C81" s="122">
        <v>-0.57999999999999996</v>
      </c>
      <c r="D81" s="122">
        <f>'Proposed Rates'!O39</f>
        <v>-0.66</v>
      </c>
      <c r="E81" s="37" t="s">
        <v>488</v>
      </c>
      <c r="F81" s="19"/>
      <c r="G81" s="19">
        <f t="shared" si="1"/>
        <v>0.13793103448275867</v>
      </c>
      <c r="H81" s="281"/>
      <c r="I81" s="19"/>
      <c r="J81" s="19"/>
      <c r="K81" s="19"/>
      <c r="L81" s="19"/>
    </row>
    <row r="82" spans="1:12" ht="15.75">
      <c r="A82" s="19"/>
      <c r="B82" s="19" t="s">
        <v>975</v>
      </c>
      <c r="C82" s="284">
        <v>6.07</v>
      </c>
      <c r="D82" s="284">
        <f>'Proposed Rates'!O37</f>
        <v>7.77</v>
      </c>
      <c r="E82" s="37" t="s">
        <v>488</v>
      </c>
      <c r="F82" s="19"/>
      <c r="G82" s="19">
        <f t="shared" si="1"/>
        <v>0.28006589785831948</v>
      </c>
      <c r="H82" s="19"/>
      <c r="I82" s="19"/>
      <c r="J82" s="19"/>
      <c r="K82" s="19"/>
      <c r="L82" s="19"/>
    </row>
    <row r="83" spans="1:12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</row>
    <row r="84" spans="1:12" ht="18">
      <c r="A84" s="26"/>
      <c r="B84" s="750" t="s">
        <v>1043</v>
      </c>
      <c r="C84" s="751"/>
      <c r="D84" s="751"/>
      <c r="E84" s="19"/>
      <c r="F84" s="19"/>
      <c r="G84" s="19"/>
      <c r="H84" s="27"/>
      <c r="I84" s="19"/>
      <c r="J84" s="37"/>
      <c r="K84" s="19"/>
      <c r="L84" s="19"/>
    </row>
    <row r="85" spans="1:12" ht="16.5" thickBot="1">
      <c r="A85" s="19"/>
      <c r="B85" s="37" t="s">
        <v>62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</row>
    <row r="86" spans="1:12" ht="16.5" thickBot="1">
      <c r="A86" s="19"/>
      <c r="B86" s="37" t="s">
        <v>482</v>
      </c>
      <c r="C86" s="122">
        <v>15</v>
      </c>
      <c r="D86" s="122">
        <f>'Proposed Rates'!W17</f>
        <v>15</v>
      </c>
      <c r="E86" s="37" t="s">
        <v>480</v>
      </c>
      <c r="F86" s="19"/>
      <c r="G86" s="19">
        <f t="shared" si="1"/>
        <v>0</v>
      </c>
      <c r="H86" s="19"/>
      <c r="I86" s="19"/>
      <c r="J86" s="19"/>
      <c r="K86" s="19"/>
      <c r="L86" s="19"/>
    </row>
    <row r="87" spans="1:12" ht="16.5" thickBot="1">
      <c r="A87" s="19"/>
      <c r="B87" s="37" t="s">
        <v>483</v>
      </c>
      <c r="C87" s="122">
        <v>30</v>
      </c>
      <c r="D87" s="122">
        <f>'Proposed Rates'!W16</f>
        <v>30</v>
      </c>
      <c r="E87" s="37" t="s">
        <v>480</v>
      </c>
      <c r="F87" s="19"/>
      <c r="G87" s="19">
        <f t="shared" si="1"/>
        <v>0</v>
      </c>
      <c r="H87" s="19"/>
      <c r="I87" s="19"/>
      <c r="J87" s="19"/>
      <c r="K87" s="19"/>
      <c r="L87" s="19"/>
    </row>
    <row r="88" spans="1:12" ht="16.5" thickBot="1">
      <c r="A88" s="19"/>
      <c r="B88" s="37" t="s">
        <v>493</v>
      </c>
      <c r="C88" s="122">
        <v>117</v>
      </c>
      <c r="D88" s="122">
        <f>'Proposed Rates'!W19</f>
        <v>120</v>
      </c>
      <c r="E88" s="37" t="s">
        <v>480</v>
      </c>
      <c r="F88" s="19"/>
      <c r="G88" s="19">
        <f t="shared" si="1"/>
        <v>2.564102564102555E-2</v>
      </c>
      <c r="H88" s="19"/>
      <c r="I88" s="19"/>
      <c r="J88" s="19"/>
      <c r="K88" s="19"/>
      <c r="L88" s="19"/>
    </row>
    <row r="89" spans="1:12" ht="16.5" thickBot="1">
      <c r="A89" s="19"/>
      <c r="B89" s="37" t="s">
        <v>481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</row>
    <row r="90" spans="1:12" ht="16.5" thickBot="1">
      <c r="A90" s="19"/>
      <c r="B90" s="19" t="s">
        <v>501</v>
      </c>
      <c r="C90" s="122">
        <v>9.0635999999999994E-2</v>
      </c>
      <c r="D90" s="122">
        <f>'Proposed Rates'!W22</f>
        <v>0.104834</v>
      </c>
      <c r="E90" s="37" t="s">
        <v>332</v>
      </c>
      <c r="F90" s="19"/>
      <c r="G90" s="19">
        <f t="shared" si="1"/>
        <v>0.15664857231122298</v>
      </c>
      <c r="H90" s="19"/>
      <c r="I90" s="19"/>
      <c r="J90" s="19"/>
      <c r="K90" s="19"/>
      <c r="L90" s="19"/>
    </row>
    <row r="91" spans="1:12" ht="16.5" thickBot="1">
      <c r="A91" s="19"/>
      <c r="B91" s="37" t="s">
        <v>487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</row>
    <row r="92" spans="1:12" ht="16.5" thickBot="1">
      <c r="A92" s="19"/>
      <c r="B92" s="19" t="s">
        <v>502</v>
      </c>
      <c r="C92" s="122">
        <v>0</v>
      </c>
      <c r="D92" s="122">
        <v>0</v>
      </c>
      <c r="E92" s="37" t="s">
        <v>488</v>
      </c>
      <c r="F92" s="19"/>
      <c r="G92" s="19"/>
      <c r="H92" s="19"/>
      <c r="I92" s="19"/>
      <c r="J92" s="19"/>
      <c r="K92" s="19"/>
      <c r="L92" s="19"/>
    </row>
    <row r="93" spans="1:12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</row>
    <row r="94" spans="1:12" ht="18">
      <c r="A94" s="26"/>
      <c r="B94" s="750" t="s">
        <v>1042</v>
      </c>
      <c r="C94" s="751"/>
      <c r="D94" s="751"/>
      <c r="E94" s="19"/>
      <c r="F94" s="19"/>
      <c r="G94" s="19"/>
      <c r="H94" s="27"/>
      <c r="I94" s="19"/>
      <c r="J94" s="37"/>
      <c r="K94" s="19"/>
      <c r="L94" s="19"/>
    </row>
    <row r="95" spans="1:12" ht="16.5" thickBot="1">
      <c r="A95" s="19"/>
      <c r="B95" s="37" t="s">
        <v>62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</row>
    <row r="96" spans="1:12" ht="16.5" thickBot="1">
      <c r="A96" s="19"/>
      <c r="B96" s="37" t="s">
        <v>482</v>
      </c>
      <c r="C96" s="122">
        <v>15</v>
      </c>
      <c r="D96" s="122">
        <f>'Proposed Rates'!AA17</f>
        <v>15</v>
      </c>
      <c r="E96" s="37" t="s">
        <v>480</v>
      </c>
      <c r="F96" s="19"/>
      <c r="G96" s="19">
        <f t="shared" si="1"/>
        <v>0</v>
      </c>
      <c r="H96" s="19"/>
      <c r="I96" s="19"/>
      <c r="J96" s="19"/>
      <c r="K96" s="19"/>
      <c r="L96" s="19"/>
    </row>
    <row r="97" spans="1:12" ht="16.5" thickBot="1">
      <c r="A97" s="19"/>
      <c r="B97" s="37" t="s">
        <v>481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2" ht="16.5" thickBot="1">
      <c r="A98" s="19"/>
      <c r="B98" s="19" t="s">
        <v>501</v>
      </c>
      <c r="C98" s="122">
        <v>0.14451900000000001</v>
      </c>
      <c r="D98" s="122">
        <f>'Proposed Rates'!AA22</f>
        <v>0.16764499999999999</v>
      </c>
      <c r="E98" s="37" t="s">
        <v>332</v>
      </c>
      <c r="F98" s="19"/>
      <c r="G98" s="19">
        <f t="shared" si="1"/>
        <v>0.16002048173596539</v>
      </c>
      <c r="H98" s="19"/>
      <c r="I98" s="19"/>
      <c r="J98" s="19"/>
      <c r="K98" s="19"/>
      <c r="L98" s="19"/>
    </row>
    <row r="99" spans="1:12" ht="16.5" thickBot="1">
      <c r="A99" s="19"/>
      <c r="B99" s="37" t="s">
        <v>487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</row>
    <row r="100" spans="1:12" ht="16.5" thickBot="1">
      <c r="A100" s="19"/>
      <c r="B100" s="19" t="s">
        <v>502</v>
      </c>
      <c r="C100" s="122">
        <v>0</v>
      </c>
      <c r="D100" s="122">
        <v>0</v>
      </c>
      <c r="E100" s="37" t="s">
        <v>488</v>
      </c>
      <c r="F100" s="19"/>
      <c r="G100" s="19"/>
      <c r="H100" s="19"/>
      <c r="I100" s="19"/>
      <c r="J100" s="19"/>
      <c r="K100" s="19"/>
      <c r="L100" s="19"/>
    </row>
    <row r="101" spans="1:12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</row>
    <row r="102" spans="1:12" ht="18">
      <c r="A102" s="26"/>
      <c r="B102" s="750" t="s">
        <v>1051</v>
      </c>
      <c r="C102" s="751"/>
      <c r="D102" s="751"/>
      <c r="E102" s="19"/>
      <c r="F102" s="19"/>
      <c r="G102" s="19"/>
      <c r="H102" s="27"/>
      <c r="I102" s="19"/>
      <c r="J102" s="37"/>
      <c r="K102" s="19"/>
      <c r="L102" s="19"/>
    </row>
    <row r="103" spans="1:12" ht="16.5" thickBot="1">
      <c r="A103" s="19"/>
      <c r="B103" s="37" t="s">
        <v>506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</row>
    <row r="104" spans="1:12" ht="16.5" thickBot="1">
      <c r="A104" s="19"/>
      <c r="B104" s="37" t="s">
        <v>503</v>
      </c>
      <c r="C104" s="122">
        <v>3.79</v>
      </c>
      <c r="D104" s="122">
        <f>'Proposed Rates'!AE18</f>
        <v>4.37</v>
      </c>
      <c r="E104" s="37" t="s">
        <v>480</v>
      </c>
      <c r="F104" s="19"/>
      <c r="G104" s="19">
        <f t="shared" si="1"/>
        <v>0.15303430079155667</v>
      </c>
      <c r="H104" s="19"/>
      <c r="I104" s="19"/>
      <c r="J104" s="19"/>
      <c r="K104" s="19"/>
      <c r="L104" s="19"/>
    </row>
    <row r="105" spans="1:12" ht="16.5" thickBot="1">
      <c r="A105" s="19"/>
      <c r="B105" s="37" t="s">
        <v>481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</row>
    <row r="106" spans="1:12" ht="16.5" thickBot="1">
      <c r="A106" s="19"/>
      <c r="B106" s="19" t="s">
        <v>505</v>
      </c>
      <c r="C106" s="122">
        <v>0.115594</v>
      </c>
      <c r="D106" s="122">
        <f>'Proposed Rates'!AE19</f>
        <v>0.13300199999999998</v>
      </c>
      <c r="E106" s="37" t="s">
        <v>332</v>
      </c>
      <c r="F106" s="19"/>
      <c r="G106" s="19">
        <f t="shared" si="1"/>
        <v>0.1505960516981848</v>
      </c>
      <c r="H106" s="19"/>
      <c r="I106" s="19"/>
      <c r="J106" s="19"/>
      <c r="K106" s="19"/>
      <c r="L106" s="19"/>
    </row>
    <row r="107" spans="1:12" ht="16.5" thickBot="1">
      <c r="A107" s="19"/>
      <c r="B107" s="19" t="s">
        <v>504</v>
      </c>
      <c r="C107" s="122">
        <v>0.13156599999999999</v>
      </c>
      <c r="D107" s="122">
        <f>'Proposed Rates'!AE20</f>
        <v>0.15163599999999999</v>
      </c>
      <c r="E107" s="37" t="s">
        <v>332</v>
      </c>
      <c r="F107" s="19"/>
      <c r="G107" s="19">
        <f t="shared" si="1"/>
        <v>0.15254701062584552</v>
      </c>
      <c r="H107" s="19"/>
      <c r="I107" s="19"/>
      <c r="J107" s="19"/>
      <c r="K107" s="19"/>
      <c r="L107" s="19"/>
    </row>
    <row r="108" spans="1:12" ht="16.5" thickBot="1">
      <c r="A108" s="19"/>
      <c r="B108" s="37" t="s">
        <v>487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</row>
    <row r="109" spans="1:12" ht="16.5" thickBot="1">
      <c r="A109" s="19"/>
      <c r="B109" s="19" t="s">
        <v>502</v>
      </c>
      <c r="C109" s="122">
        <v>0</v>
      </c>
      <c r="D109" s="122">
        <v>0</v>
      </c>
      <c r="E109" s="37" t="s">
        <v>488</v>
      </c>
      <c r="F109" s="19"/>
      <c r="G109" s="19"/>
      <c r="H109" s="19"/>
      <c r="I109" s="19"/>
      <c r="J109" s="19"/>
      <c r="K109" s="19"/>
      <c r="L109" s="19"/>
    </row>
    <row r="110" spans="1:12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</row>
    <row r="111" spans="1:12" ht="18">
      <c r="A111" s="26"/>
      <c r="B111" s="750" t="s">
        <v>1052</v>
      </c>
      <c r="C111" s="751"/>
      <c r="D111" s="751"/>
      <c r="E111" s="19"/>
      <c r="F111" s="19"/>
      <c r="G111" s="19"/>
      <c r="H111" s="27"/>
      <c r="I111" s="19"/>
      <c r="J111" s="37"/>
      <c r="K111" s="19"/>
      <c r="L111" s="19"/>
    </row>
    <row r="112" spans="1:12" ht="16.5" thickBot="1">
      <c r="A112" s="19"/>
      <c r="B112" s="37" t="s">
        <v>62</v>
      </c>
      <c r="C112" s="19"/>
      <c r="D112" s="19"/>
      <c r="E112" s="19"/>
      <c r="F112" s="19"/>
      <c r="G112" s="19"/>
      <c r="H112" s="19"/>
      <c r="I112" s="19"/>
      <c r="J112" s="19"/>
      <c r="K112" s="19"/>
      <c r="L112" s="19"/>
    </row>
    <row r="113" spans="1:12" ht="16.5" thickBot="1">
      <c r="A113" s="19"/>
      <c r="B113" s="37" t="s">
        <v>493</v>
      </c>
      <c r="C113" s="122">
        <v>117</v>
      </c>
      <c r="D113" s="122">
        <f>'Proposed Rates'!AJ19</f>
        <v>120</v>
      </c>
      <c r="E113" s="37" t="s">
        <v>480</v>
      </c>
      <c r="F113" s="19"/>
      <c r="G113" s="19">
        <f t="shared" si="1"/>
        <v>2.564102564102555E-2</v>
      </c>
      <c r="H113" s="19"/>
      <c r="I113" s="19"/>
      <c r="J113" s="19"/>
      <c r="K113" s="19"/>
      <c r="L113" s="19"/>
    </row>
    <row r="114" spans="1:12" ht="16.5" thickBot="1">
      <c r="A114" s="19"/>
      <c r="B114" s="37" t="s">
        <v>481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</row>
    <row r="115" spans="1:12" ht="16.5" thickBot="1">
      <c r="A115" s="19"/>
      <c r="B115" s="19" t="s">
        <v>507</v>
      </c>
      <c r="C115" s="122">
        <v>7.1562000000000001E-2</v>
      </c>
      <c r="D115" s="122">
        <f>'Proposed Rates'!AJ32</f>
        <v>7.6294000000000001E-2</v>
      </c>
      <c r="E115" s="37" t="s">
        <v>332</v>
      </c>
      <c r="F115" s="19"/>
      <c r="G115" s="19">
        <f t="shared" si="1"/>
        <v>6.6124479472345676E-2</v>
      </c>
      <c r="H115" s="19"/>
      <c r="I115" s="19"/>
      <c r="J115" s="19"/>
      <c r="K115" s="19"/>
      <c r="L115" s="19"/>
    </row>
    <row r="116" spans="1:12" ht="16.5" thickBot="1">
      <c r="A116" s="19"/>
      <c r="B116" s="19" t="s">
        <v>486</v>
      </c>
      <c r="C116" s="122">
        <v>6.2067999999999998E-2</v>
      </c>
      <c r="D116" s="122">
        <f>'Proposed Rates'!AJ33</f>
        <v>6.611199999999999E-2</v>
      </c>
      <c r="E116" s="37" t="s">
        <v>332</v>
      </c>
      <c r="F116" s="19"/>
      <c r="G116" s="19">
        <f t="shared" si="1"/>
        <v>6.5154346845395228E-2</v>
      </c>
      <c r="H116" s="19"/>
      <c r="I116" s="19"/>
      <c r="J116" s="19"/>
      <c r="K116" s="19"/>
      <c r="L116" s="19"/>
    </row>
    <row r="117" spans="1:12" ht="16.5" thickBot="1">
      <c r="A117" s="19"/>
      <c r="B117" s="19" t="s">
        <v>529</v>
      </c>
      <c r="C117" s="122">
        <v>0.289184</v>
      </c>
      <c r="D117" s="122">
        <f>'Proposed Rates'!AJ34</f>
        <v>0.308166</v>
      </c>
      <c r="E117" s="37" t="s">
        <v>332</v>
      </c>
      <c r="F117" s="19"/>
      <c r="G117" s="19">
        <f t="shared" si="1"/>
        <v>6.563986942569433E-2</v>
      </c>
      <c r="H117" s="19"/>
      <c r="I117" s="19"/>
      <c r="J117" s="19"/>
      <c r="K117" s="19"/>
      <c r="L117" s="19"/>
    </row>
    <row r="118" spans="1:12" ht="16.5" thickBot="1">
      <c r="A118" s="19"/>
      <c r="B118" s="37" t="s">
        <v>487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</row>
    <row r="119" spans="1:12" ht="16.5" thickBot="1">
      <c r="A119" s="19"/>
      <c r="B119" s="19" t="s">
        <v>502</v>
      </c>
      <c r="C119" s="122">
        <v>9.5</v>
      </c>
      <c r="D119" s="122">
        <f>'Proposed Rates'!AJ31</f>
        <v>10.130000000000001</v>
      </c>
      <c r="E119" s="37" t="s">
        <v>488</v>
      </c>
      <c r="F119" s="19"/>
      <c r="G119" s="19">
        <f t="shared" si="1"/>
        <v>6.6315789473684328E-2</v>
      </c>
      <c r="H119" s="19"/>
      <c r="I119" s="19"/>
      <c r="J119" s="19"/>
      <c r="K119" s="19"/>
      <c r="L119" s="19"/>
    </row>
    <row r="120" spans="1:12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</row>
    <row r="121" spans="1:12" ht="18">
      <c r="A121" s="26"/>
      <c r="B121" s="750" t="s">
        <v>1053</v>
      </c>
      <c r="C121" s="751"/>
      <c r="D121" s="751"/>
      <c r="E121" s="19"/>
      <c r="F121" s="19"/>
      <c r="G121" s="19"/>
      <c r="H121" s="27"/>
      <c r="I121" s="19"/>
      <c r="J121" s="37"/>
      <c r="K121" s="19"/>
      <c r="L121" s="19"/>
    </row>
    <row r="122" spans="1:12" ht="16.5" thickBot="1">
      <c r="A122" s="19"/>
      <c r="B122" s="37" t="s">
        <v>62</v>
      </c>
      <c r="C122" s="19"/>
      <c r="D122" s="19"/>
      <c r="E122" s="19"/>
      <c r="F122" s="19"/>
      <c r="G122" s="19"/>
      <c r="H122" s="19"/>
      <c r="I122" s="19"/>
      <c r="J122" s="19"/>
      <c r="K122" s="19"/>
      <c r="L122" s="19"/>
    </row>
    <row r="123" spans="1:12" ht="16.5" thickBot="1">
      <c r="A123" s="19"/>
      <c r="B123" s="37" t="s">
        <v>508</v>
      </c>
      <c r="C123" s="122">
        <v>500</v>
      </c>
      <c r="D123" s="122">
        <f>'Proposed Rates'!AO18</f>
        <v>500</v>
      </c>
      <c r="E123" s="37" t="s">
        <v>480</v>
      </c>
      <c r="F123" s="19"/>
      <c r="G123" s="19">
        <f t="shared" ref="G123:G132" si="2">D123/C123-1</f>
        <v>0</v>
      </c>
      <c r="H123" s="19"/>
      <c r="I123" s="19"/>
      <c r="J123" s="19"/>
      <c r="K123" s="19"/>
      <c r="L123" s="19"/>
    </row>
    <row r="124" spans="1:12" ht="16.5" thickBot="1">
      <c r="A124" s="19"/>
      <c r="B124" s="37" t="s">
        <v>481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</row>
    <row r="125" spans="1:12" ht="16.5" thickBot="1">
      <c r="A125" s="19"/>
      <c r="B125" s="19" t="s">
        <v>535</v>
      </c>
      <c r="C125" s="122">
        <v>6.7652000000000004E-2</v>
      </c>
      <c r="D125" s="122">
        <f>'Proposed Rates'!AO34</f>
        <v>7.3557999999999998E-2</v>
      </c>
      <c r="E125" s="37" t="s">
        <v>332</v>
      </c>
      <c r="F125" s="19"/>
      <c r="G125" s="19">
        <f t="shared" si="2"/>
        <v>8.7299710282031429E-2</v>
      </c>
      <c r="H125" s="19"/>
      <c r="I125" s="19"/>
      <c r="J125" s="19"/>
      <c r="K125" s="19"/>
      <c r="L125" s="19"/>
    </row>
    <row r="126" spans="1:12" ht="16.5" thickBot="1">
      <c r="A126" s="19"/>
      <c r="B126" s="19" t="s">
        <v>536</v>
      </c>
      <c r="C126" s="122">
        <v>6.5057000000000004E-2</v>
      </c>
      <c r="D126" s="122">
        <f>'Proposed Rates'!AO35</f>
        <v>7.0735999999999993E-2</v>
      </c>
      <c r="E126" s="37"/>
      <c r="F126" s="19"/>
      <c r="G126" s="19">
        <f t="shared" si="2"/>
        <v>8.7292681802111805E-2</v>
      </c>
      <c r="H126" s="19"/>
      <c r="I126" s="19"/>
      <c r="J126" s="19"/>
      <c r="K126" s="19"/>
      <c r="L126" s="19"/>
    </row>
    <row r="127" spans="1:12" ht="16.5" thickBot="1">
      <c r="A127" s="19"/>
      <c r="B127" s="19" t="s">
        <v>496</v>
      </c>
      <c r="C127" s="122">
        <v>5.7296E-2</v>
      </c>
      <c r="D127" s="122">
        <f>'Proposed Rates'!AO36</f>
        <v>6.2296999999999998E-2</v>
      </c>
      <c r="E127" s="37"/>
      <c r="F127" s="19"/>
      <c r="G127" s="19">
        <f t="shared" si="2"/>
        <v>8.7283580005585115E-2</v>
      </c>
      <c r="H127" s="19"/>
      <c r="I127" s="19"/>
      <c r="J127" s="19"/>
      <c r="K127" s="19"/>
      <c r="L127" s="19"/>
    </row>
    <row r="128" spans="1:12" ht="16.5" thickBot="1">
      <c r="A128" s="19"/>
      <c r="B128" s="37" t="s">
        <v>487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</row>
    <row r="129" spans="1:12" ht="16.5" thickBot="1">
      <c r="A129" s="19"/>
      <c r="B129" s="19" t="s">
        <v>494</v>
      </c>
      <c r="C129" s="122">
        <v>9.41</v>
      </c>
      <c r="D129" s="122">
        <f>'Proposed Rates'!AO30</f>
        <v>10.23</v>
      </c>
      <c r="E129" s="37" t="s">
        <v>488</v>
      </c>
      <c r="F129" s="19"/>
      <c r="G129" s="19">
        <f t="shared" si="2"/>
        <v>8.714133900106269E-2</v>
      </c>
      <c r="H129" s="19"/>
      <c r="I129" s="19"/>
      <c r="J129" s="19"/>
      <c r="K129" s="19"/>
      <c r="L129" s="19"/>
    </row>
    <row r="130" spans="1:12" ht="16.5" thickBot="1">
      <c r="A130" s="19"/>
      <c r="B130" s="19" t="s">
        <v>497</v>
      </c>
      <c r="C130" s="122">
        <v>1.43</v>
      </c>
      <c r="D130" s="122">
        <f>'Proposed Rates'!AO32</f>
        <v>1.55</v>
      </c>
      <c r="E130" s="37" t="s">
        <v>488</v>
      </c>
      <c r="F130" s="19"/>
      <c r="G130" s="19">
        <f t="shared" si="2"/>
        <v>8.3916083916083961E-2</v>
      </c>
      <c r="H130" s="19"/>
      <c r="I130" s="19"/>
      <c r="J130" s="19"/>
      <c r="K130" s="19"/>
      <c r="L130" s="19"/>
    </row>
    <row r="131" spans="1:12" ht="16.5" thickBot="1">
      <c r="A131" s="19"/>
      <c r="B131" s="19" t="s">
        <v>495</v>
      </c>
      <c r="C131" s="122">
        <v>7.72</v>
      </c>
      <c r="D131" s="122">
        <f>'Proposed Rates'!AO31</f>
        <v>8.39</v>
      </c>
      <c r="E131" s="37" t="s">
        <v>488</v>
      </c>
      <c r="F131" s="19"/>
      <c r="G131" s="19">
        <f t="shared" si="2"/>
        <v>8.6787564766839465E-2</v>
      </c>
      <c r="H131" s="19"/>
      <c r="I131" s="19"/>
      <c r="J131" s="19"/>
      <c r="K131" s="19"/>
      <c r="L131" s="19"/>
    </row>
    <row r="132" spans="1:12" ht="16.5" thickBot="1">
      <c r="A132" s="19"/>
      <c r="B132" s="19" t="s">
        <v>498</v>
      </c>
      <c r="C132" s="122">
        <v>1.43</v>
      </c>
      <c r="D132" s="122">
        <f>D130</f>
        <v>1.55</v>
      </c>
      <c r="E132" s="37" t="s">
        <v>488</v>
      </c>
      <c r="F132" s="19"/>
      <c r="G132" s="19">
        <f t="shared" si="2"/>
        <v>8.3916083916083961E-2</v>
      </c>
      <c r="H132" s="19"/>
      <c r="I132" s="19"/>
      <c r="J132" s="19"/>
      <c r="K132" s="19"/>
      <c r="L132" s="19"/>
    </row>
    <row r="133" spans="1:12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</row>
    <row r="134" spans="1:12" ht="18">
      <c r="A134" s="26"/>
      <c r="B134" s="751" t="s">
        <v>1054</v>
      </c>
      <c r="C134" s="751"/>
      <c r="D134" s="751"/>
      <c r="E134" s="19"/>
      <c r="F134" s="19"/>
      <c r="G134" s="19"/>
      <c r="H134" s="27"/>
      <c r="I134" s="19"/>
      <c r="J134" s="37"/>
      <c r="K134" s="19"/>
      <c r="L134" s="19"/>
    </row>
    <row r="135" spans="1:12" ht="16.5" thickBot="1">
      <c r="A135" s="19"/>
      <c r="B135" s="37" t="s">
        <v>62</v>
      </c>
      <c r="C135" s="19"/>
      <c r="D135" s="19"/>
      <c r="E135" s="19"/>
      <c r="F135" s="19"/>
      <c r="G135" s="19"/>
      <c r="H135" s="19"/>
      <c r="I135" s="19"/>
      <c r="J135" s="19"/>
      <c r="K135" s="19"/>
      <c r="L135" s="19"/>
    </row>
    <row r="136" spans="1:12" ht="16.5" thickBot="1">
      <c r="A136" s="19"/>
      <c r="B136" s="19" t="s">
        <v>509</v>
      </c>
      <c r="C136" s="122">
        <v>0</v>
      </c>
      <c r="D136" s="122"/>
      <c r="E136" s="37" t="s">
        <v>480</v>
      </c>
      <c r="F136" s="19"/>
      <c r="G136" s="19"/>
      <c r="H136" s="19"/>
      <c r="I136" s="19"/>
      <c r="J136" s="19"/>
      <c r="K136" s="19"/>
      <c r="L136" s="19"/>
    </row>
    <row r="137" spans="1:12" ht="16.5" thickBot="1">
      <c r="A137" s="19"/>
      <c r="B137" s="19" t="s">
        <v>493</v>
      </c>
      <c r="C137" s="122">
        <v>0</v>
      </c>
      <c r="D137" s="122"/>
      <c r="E137" s="37" t="s">
        <v>480</v>
      </c>
      <c r="F137" s="19"/>
      <c r="G137" s="19"/>
      <c r="H137" s="19"/>
      <c r="I137" s="19"/>
      <c r="J137" s="19"/>
      <c r="K137" s="19"/>
      <c r="L137" s="19"/>
    </row>
    <row r="138" spans="1:12" ht="16.5" thickBot="1">
      <c r="A138" s="19"/>
      <c r="B138" s="19" t="s">
        <v>510</v>
      </c>
      <c r="C138" s="122">
        <v>0</v>
      </c>
      <c r="D138" s="122"/>
      <c r="E138" s="37" t="s">
        <v>480</v>
      </c>
      <c r="F138" s="19"/>
      <c r="G138" s="19"/>
      <c r="H138" s="19"/>
      <c r="I138" s="19"/>
      <c r="J138" s="19"/>
      <c r="K138" s="19"/>
      <c r="L138" s="19"/>
    </row>
    <row r="139" spans="1:12" ht="16.5" thickBot="1">
      <c r="A139" s="19"/>
      <c r="B139" s="37" t="s">
        <v>511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</row>
    <row r="140" spans="1:12" ht="16.5" thickBot="1">
      <c r="A140" s="19"/>
      <c r="B140" s="19" t="s">
        <v>509</v>
      </c>
      <c r="C140" s="122">
        <v>0</v>
      </c>
      <c r="D140" s="122"/>
      <c r="E140" s="37" t="s">
        <v>332</v>
      </c>
      <c r="F140" s="19"/>
      <c r="G140" s="19"/>
      <c r="H140" s="19"/>
      <c r="I140" s="19"/>
      <c r="J140" s="19"/>
      <c r="K140" s="19"/>
      <c r="L140" s="19"/>
    </row>
    <row r="141" spans="1:12" ht="16.5" thickBot="1">
      <c r="A141" s="19"/>
      <c r="B141" s="19" t="s">
        <v>493</v>
      </c>
      <c r="C141" s="122">
        <v>0</v>
      </c>
      <c r="D141" s="122"/>
      <c r="E141" s="37" t="s">
        <v>332</v>
      </c>
      <c r="F141" s="19"/>
      <c r="G141" s="19"/>
      <c r="H141" s="19"/>
      <c r="I141" s="19"/>
      <c r="J141" s="19"/>
      <c r="K141" s="19"/>
      <c r="L141" s="19"/>
    </row>
    <row r="142" spans="1:12" ht="16.5" thickBot="1">
      <c r="A142" s="19"/>
      <c r="B142" s="19" t="s">
        <v>510</v>
      </c>
      <c r="C142" s="122">
        <v>0</v>
      </c>
      <c r="D142" s="122"/>
      <c r="E142" s="37" t="s">
        <v>332</v>
      </c>
      <c r="F142" s="19"/>
      <c r="G142" s="19"/>
      <c r="H142" s="19"/>
      <c r="I142" s="19"/>
      <c r="J142" s="19"/>
      <c r="K142" s="19"/>
      <c r="L142" s="19"/>
    </row>
    <row r="143" spans="1:12" ht="16.5" thickBot="1">
      <c r="A143" s="19"/>
      <c r="B143" s="37" t="s">
        <v>512</v>
      </c>
      <c r="C143" s="19"/>
      <c r="D143" s="19"/>
      <c r="E143" s="19"/>
      <c r="F143" s="19"/>
      <c r="G143" s="19"/>
      <c r="H143" s="19"/>
      <c r="I143" s="19"/>
      <c r="J143" s="19"/>
      <c r="K143" s="19"/>
      <c r="L143" s="19"/>
    </row>
    <row r="144" spans="1:12" ht="16.5" thickBot="1">
      <c r="A144" s="19"/>
      <c r="B144" s="19" t="s">
        <v>509</v>
      </c>
      <c r="C144" s="122">
        <v>0</v>
      </c>
      <c r="D144" s="122"/>
      <c r="E144" s="37" t="s">
        <v>332</v>
      </c>
      <c r="F144" s="19"/>
      <c r="G144" s="19"/>
      <c r="H144" s="19"/>
      <c r="I144" s="19"/>
      <c r="J144" s="19"/>
      <c r="K144" s="19"/>
      <c r="L144" s="19"/>
    </row>
    <row r="145" spans="1:12" ht="16.5" thickBot="1">
      <c r="A145" s="19"/>
      <c r="B145" s="19" t="s">
        <v>493</v>
      </c>
      <c r="C145" s="122">
        <v>0</v>
      </c>
      <c r="D145" s="122"/>
      <c r="E145" s="37" t="s">
        <v>332</v>
      </c>
      <c r="F145" s="19"/>
      <c r="G145" s="19"/>
      <c r="H145" s="19"/>
      <c r="I145" s="19"/>
      <c r="J145" s="19"/>
      <c r="K145" s="19"/>
      <c r="L145" s="19"/>
    </row>
    <row r="146" spans="1:12" ht="16.5" thickBot="1">
      <c r="A146" s="19"/>
      <c r="B146" s="19" t="s">
        <v>510</v>
      </c>
      <c r="C146" s="122">
        <v>0</v>
      </c>
      <c r="D146" s="122"/>
      <c r="E146" s="37" t="s">
        <v>332</v>
      </c>
      <c r="F146" s="19"/>
      <c r="G146" s="19"/>
      <c r="H146" s="19"/>
      <c r="I146" s="19"/>
      <c r="J146" s="19"/>
      <c r="K146" s="19"/>
      <c r="L146" s="19"/>
    </row>
    <row r="147" spans="1:12" ht="16.5" thickBot="1">
      <c r="A147" s="19"/>
      <c r="B147" s="37" t="s">
        <v>513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</row>
    <row r="148" spans="1:12" ht="16.5" thickBot="1">
      <c r="A148" s="19"/>
      <c r="B148" s="19" t="s">
        <v>514</v>
      </c>
      <c r="C148" s="122">
        <v>0</v>
      </c>
      <c r="D148" s="122"/>
      <c r="E148" s="37" t="s">
        <v>332</v>
      </c>
      <c r="F148" s="19"/>
      <c r="G148" s="19"/>
      <c r="H148" s="19"/>
      <c r="I148" s="19"/>
      <c r="J148" s="19"/>
      <c r="K148" s="19"/>
      <c r="L148" s="19"/>
    </row>
    <row r="149" spans="1:12" ht="16.5" thickBot="1">
      <c r="A149" s="19"/>
      <c r="B149" s="19" t="s">
        <v>515</v>
      </c>
      <c r="C149" s="122">
        <v>0</v>
      </c>
      <c r="D149" s="122"/>
      <c r="E149" s="37" t="s">
        <v>332</v>
      </c>
      <c r="F149" s="19"/>
      <c r="G149" s="19"/>
      <c r="H149" s="19"/>
      <c r="I149" s="19"/>
      <c r="J149" s="19"/>
      <c r="K149" s="19"/>
      <c r="L149" s="19"/>
    </row>
    <row r="150" spans="1:12" ht="16.5" thickBot="1">
      <c r="A150" s="19"/>
      <c r="B150" s="19" t="s">
        <v>516</v>
      </c>
      <c r="C150" s="122">
        <v>0</v>
      </c>
      <c r="D150" s="122"/>
      <c r="E150" s="37" t="s">
        <v>332</v>
      </c>
      <c r="F150" s="19"/>
      <c r="G150" s="19"/>
      <c r="H150" s="19"/>
      <c r="I150" s="19"/>
      <c r="J150" s="19"/>
      <c r="K150" s="19"/>
      <c r="L150" s="19"/>
    </row>
    <row r="151" spans="1:12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</row>
    <row r="152" spans="1:12" ht="18">
      <c r="A152" s="26"/>
      <c r="B152" s="750" t="s">
        <v>1055</v>
      </c>
      <c r="C152" s="751"/>
      <c r="D152" s="751"/>
      <c r="E152" s="19"/>
      <c r="F152" s="19"/>
      <c r="G152" s="19"/>
      <c r="H152" s="27"/>
      <c r="I152" s="19"/>
      <c r="J152" s="37"/>
      <c r="K152" s="19"/>
      <c r="L152" s="19"/>
    </row>
    <row r="153" spans="1:12" ht="16.5" thickBot="1">
      <c r="A153" s="19"/>
      <c r="B153" s="37" t="s">
        <v>517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</row>
    <row r="154" spans="1:12" ht="16.5" thickBot="1">
      <c r="A154" s="19"/>
      <c r="B154" s="19" t="s">
        <v>518</v>
      </c>
      <c r="C154" s="280">
        <v>183</v>
      </c>
      <c r="D154" s="122">
        <v>183</v>
      </c>
      <c r="E154" s="37" t="s">
        <v>480</v>
      </c>
      <c r="F154" s="19"/>
      <c r="G154" s="19">
        <f t="shared" ref="G154:G162" si="3">D154/C154-1</f>
        <v>0</v>
      </c>
      <c r="H154" s="19"/>
      <c r="I154" s="19"/>
      <c r="J154" s="19"/>
      <c r="K154" s="19"/>
      <c r="L154" s="19"/>
    </row>
    <row r="155" spans="1:12" ht="16.5" thickBot="1">
      <c r="A155" s="19"/>
      <c r="B155" s="37" t="s">
        <v>511</v>
      </c>
      <c r="C155" s="281"/>
      <c r="D155" s="19"/>
      <c r="E155" s="19"/>
      <c r="F155" s="19"/>
      <c r="G155" s="19"/>
      <c r="H155" s="19"/>
      <c r="I155" s="19"/>
      <c r="J155" s="19"/>
      <c r="K155" s="19"/>
      <c r="L155" s="19"/>
    </row>
    <row r="156" spans="1:12" ht="16.5" thickBot="1">
      <c r="A156" s="19"/>
      <c r="B156" s="19" t="s">
        <v>509</v>
      </c>
      <c r="C156" s="280">
        <v>2.0034E-2</v>
      </c>
      <c r="D156" s="122">
        <f>'RTP Worksheet'!F16</f>
        <v>3.3517999999999999E-2</v>
      </c>
      <c r="E156" s="37" t="s">
        <v>332</v>
      </c>
      <c r="F156" s="19"/>
      <c r="G156" s="19">
        <f t="shared" si="3"/>
        <v>0.67305580513127672</v>
      </c>
      <c r="H156" s="19"/>
      <c r="I156" s="19"/>
      <c r="J156" s="19"/>
      <c r="K156" s="19"/>
      <c r="L156" s="19"/>
    </row>
    <row r="157" spans="1:12" ht="16.5" thickBot="1">
      <c r="A157" s="19"/>
      <c r="B157" s="19" t="s">
        <v>493</v>
      </c>
      <c r="C157" s="280">
        <v>1.6479000000000001E-2</v>
      </c>
      <c r="D157" s="122">
        <f>'RTP Worksheet'!I16</f>
        <v>2.8504000000000002E-2</v>
      </c>
      <c r="E157" s="37" t="s">
        <v>332</v>
      </c>
      <c r="F157" s="19"/>
      <c r="G157" s="19">
        <f t="shared" si="3"/>
        <v>0.72971660901753754</v>
      </c>
      <c r="H157" s="19"/>
      <c r="I157" s="19"/>
      <c r="J157" s="19"/>
      <c r="K157" s="19"/>
      <c r="L157" s="19"/>
    </row>
    <row r="158" spans="1:12" ht="16.5" thickBot="1">
      <c r="A158" s="19"/>
      <c r="B158" s="19" t="s">
        <v>510</v>
      </c>
      <c r="C158" s="280">
        <v>6.9150000000000001E-3</v>
      </c>
      <c r="D158" s="122">
        <f>'RTP Worksheet'!J16</f>
        <v>1.0567999999999999E-2</v>
      </c>
      <c r="E158" s="37" t="s">
        <v>332</v>
      </c>
      <c r="F158" s="19"/>
      <c r="G158" s="19">
        <f t="shared" si="3"/>
        <v>0.5282718727404192</v>
      </c>
      <c r="H158" s="19"/>
      <c r="I158" s="19"/>
      <c r="J158" s="19"/>
      <c r="K158" s="19"/>
      <c r="L158" s="19"/>
    </row>
    <row r="159" spans="1:12" ht="16.5" thickBot="1">
      <c r="A159" s="19"/>
      <c r="B159" s="37" t="s">
        <v>513</v>
      </c>
      <c r="C159" s="281"/>
      <c r="D159" s="19"/>
      <c r="E159" s="19"/>
      <c r="F159" s="19"/>
      <c r="G159" s="19"/>
      <c r="H159" s="19"/>
      <c r="I159" s="19"/>
      <c r="J159" s="19"/>
      <c r="K159" s="19"/>
      <c r="L159" s="19"/>
    </row>
    <row r="160" spans="1:12" ht="16.5" thickBot="1">
      <c r="A160" s="19"/>
      <c r="B160" s="19" t="s">
        <v>652</v>
      </c>
      <c r="C160" s="280">
        <v>3.8117999999999999E-2</v>
      </c>
      <c r="D160" s="122">
        <f>C160</f>
        <v>3.8117999999999999E-2</v>
      </c>
      <c r="E160" s="37" t="s">
        <v>332</v>
      </c>
      <c r="F160" s="19"/>
      <c r="G160" s="19">
        <f t="shared" si="3"/>
        <v>0</v>
      </c>
      <c r="H160" s="19"/>
      <c r="I160" s="19"/>
      <c r="J160" s="19"/>
      <c r="K160" s="19"/>
      <c r="L160" s="19"/>
    </row>
    <row r="161" spans="1:12" ht="16.5" thickBot="1">
      <c r="A161" s="19"/>
      <c r="B161" s="19" t="s">
        <v>653</v>
      </c>
      <c r="C161" s="280">
        <v>3.9684999999999998E-2</v>
      </c>
      <c r="D161" s="122">
        <f>C161</f>
        <v>3.9684999999999998E-2</v>
      </c>
      <c r="E161" s="37" t="s">
        <v>332</v>
      </c>
      <c r="F161" s="19"/>
      <c r="G161" s="19">
        <f t="shared" si="3"/>
        <v>0</v>
      </c>
      <c r="H161" s="19"/>
      <c r="I161" s="19"/>
      <c r="J161" s="19"/>
      <c r="K161" s="19"/>
      <c r="L161" s="19"/>
    </row>
    <row r="162" spans="1:12" ht="16.5" thickBot="1">
      <c r="A162" s="19"/>
      <c r="B162" s="19" t="s">
        <v>516</v>
      </c>
      <c r="C162" s="280">
        <v>3.4157E-2</v>
      </c>
      <c r="D162" s="122">
        <f>C162</f>
        <v>3.4157E-2</v>
      </c>
      <c r="E162" s="37" t="s">
        <v>332</v>
      </c>
      <c r="F162" s="19"/>
      <c r="G162" s="19">
        <f t="shared" si="3"/>
        <v>0</v>
      </c>
      <c r="H162" s="19"/>
      <c r="I162" s="19"/>
      <c r="J162" s="19"/>
      <c r="K162" s="19"/>
      <c r="L162" s="19"/>
    </row>
    <row r="163" spans="1:12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</row>
    <row r="164" spans="1:12" ht="18.75" thickBot="1">
      <c r="A164" s="19"/>
      <c r="B164" s="749" t="s">
        <v>1056</v>
      </c>
      <c r="C164" s="749"/>
      <c r="D164" s="19"/>
      <c r="E164" s="25"/>
      <c r="F164" s="26" t="s">
        <v>791</v>
      </c>
      <c r="G164" s="19"/>
      <c r="H164" s="19"/>
      <c r="I164" s="20"/>
      <c r="J164" s="19"/>
      <c r="K164" s="19"/>
      <c r="L164" s="19"/>
    </row>
    <row r="165" spans="1:12" ht="16.5" thickBot="1">
      <c r="A165" s="19"/>
      <c r="B165" s="27" t="s">
        <v>792</v>
      </c>
      <c r="C165" s="188">
        <f>IF($H$7=1,F165,0)</f>
        <v>4.2117566880979784E-3</v>
      </c>
      <c r="D165" s="188">
        <f>IF($H$7=1,G165,0)</f>
        <v>3.5414520000000001E-3</v>
      </c>
      <c r="E165" s="190" t="s">
        <v>794</v>
      </c>
      <c r="F165" s="189">
        <v>4.2117566880979784E-3</v>
      </c>
      <c r="G165" s="189">
        <v>3.5414520000000001E-3</v>
      </c>
      <c r="H165" s="19"/>
      <c r="I165" s="20"/>
      <c r="J165" s="19"/>
      <c r="K165" s="19"/>
      <c r="L165" s="19"/>
    </row>
    <row r="166" spans="1:12" ht="16.5" thickBot="1">
      <c r="A166" s="19"/>
      <c r="B166" s="27" t="s">
        <v>793</v>
      </c>
      <c r="C166" s="188">
        <f>IF($H$7=1,F166,0)</f>
        <v>6.4941608437496566E-3</v>
      </c>
      <c r="D166" s="188">
        <f>IF($H$7=1,G166,0)</f>
        <v>5.4606095773317587E-3</v>
      </c>
      <c r="E166" s="190" t="s">
        <v>794</v>
      </c>
      <c r="F166" s="189">
        <f>(0.1306/0.0847)*F165</f>
        <v>6.4941608437496566E-3</v>
      </c>
      <c r="G166" s="189">
        <f>(0.1306/0.0847)*G165</f>
        <v>5.4606095773317587E-3</v>
      </c>
      <c r="H166" s="19"/>
      <c r="I166" s="20"/>
      <c r="J166" s="19"/>
      <c r="K166" s="19"/>
      <c r="L166" s="19"/>
    </row>
    <row r="167" spans="1:12">
      <c r="A167" s="19"/>
      <c r="B167" s="24"/>
      <c r="C167" s="24"/>
      <c r="D167" s="19"/>
      <c r="E167" s="25"/>
      <c r="F167" s="26"/>
      <c r="G167" s="19"/>
      <c r="H167" s="19"/>
      <c r="I167" s="20"/>
      <c r="J167" s="19"/>
      <c r="K167" s="19"/>
      <c r="L167" s="19"/>
    </row>
    <row r="168" spans="1:12" ht="18.75" thickBot="1">
      <c r="A168" s="19"/>
      <c r="B168" s="749"/>
      <c r="C168" s="749"/>
      <c r="D168" s="19"/>
      <c r="E168" s="25"/>
      <c r="F168" s="26"/>
      <c r="G168" s="19"/>
      <c r="H168" s="19"/>
      <c r="I168" s="20"/>
      <c r="J168" s="19"/>
      <c r="K168" s="19"/>
      <c r="L168" s="19"/>
    </row>
    <row r="169" spans="1:12" ht="16.5" thickBot="1">
      <c r="A169" s="19"/>
      <c r="B169" s="37"/>
      <c r="C169" s="117"/>
      <c r="D169" s="117"/>
      <c r="E169" s="37"/>
      <c r="F169" s="189"/>
      <c r="G169" s="184"/>
      <c r="H169" s="19"/>
      <c r="I169" s="20"/>
      <c r="J169" s="20"/>
      <c r="K169" s="27"/>
      <c r="L169" s="19"/>
    </row>
    <row r="170" spans="1:12" ht="16.5" thickBot="1">
      <c r="A170" s="19"/>
      <c r="B170" s="37"/>
      <c r="C170" s="117"/>
      <c r="D170" s="117"/>
      <c r="E170" s="37"/>
      <c r="F170" s="189"/>
      <c r="G170" s="184"/>
      <c r="H170" s="19"/>
      <c r="I170" s="20"/>
      <c r="J170" s="19"/>
      <c r="K170" s="19"/>
      <c r="L170" s="19"/>
    </row>
    <row r="171" spans="1:12" ht="16.5" thickBot="1">
      <c r="A171" s="19"/>
      <c r="B171" s="37"/>
      <c r="C171" s="117"/>
      <c r="D171" s="117"/>
      <c r="E171" s="37"/>
      <c r="F171" s="184"/>
      <c r="G171" s="184"/>
      <c r="H171" s="19"/>
      <c r="I171" s="20"/>
      <c r="J171" s="19"/>
      <c r="K171" s="19"/>
      <c r="L171" s="19"/>
    </row>
    <row r="172" spans="1:12" ht="16.5" thickBot="1">
      <c r="A172" s="19"/>
      <c r="B172" s="37"/>
      <c r="C172" s="117"/>
      <c r="D172" s="117"/>
      <c r="E172" s="37"/>
      <c r="F172" s="184"/>
      <c r="G172" s="184"/>
      <c r="H172" s="19"/>
      <c r="I172" s="20"/>
      <c r="J172" s="19"/>
      <c r="K172" s="19"/>
      <c r="L172" s="19"/>
    </row>
    <row r="173" spans="1:12" ht="16.5" thickBot="1">
      <c r="A173" s="19"/>
      <c r="B173" s="37"/>
      <c r="C173" s="117"/>
      <c r="D173" s="117"/>
      <c r="E173" s="37"/>
      <c r="F173" s="184"/>
      <c r="G173" s="184"/>
      <c r="H173" s="19"/>
      <c r="I173" s="20"/>
      <c r="J173" s="19"/>
      <c r="K173" s="19"/>
      <c r="L173" s="19"/>
    </row>
    <row r="174" spans="1:12" ht="16.5" thickBot="1">
      <c r="A174" s="19"/>
      <c r="B174" s="37"/>
      <c r="C174" s="117"/>
      <c r="D174" s="117"/>
      <c r="E174" s="37"/>
      <c r="F174" s="184"/>
      <c r="G174" s="184"/>
      <c r="H174" s="19"/>
      <c r="I174" s="20"/>
      <c r="J174" s="19"/>
      <c r="K174" s="19"/>
      <c r="L174" s="19"/>
    </row>
    <row r="175" spans="1:12" ht="16.5" thickBot="1">
      <c r="A175" s="19"/>
      <c r="B175" s="37"/>
      <c r="C175" s="117"/>
      <c r="D175" s="117"/>
      <c r="E175" s="37"/>
      <c r="F175" s="184"/>
      <c r="G175" s="184"/>
      <c r="H175" s="19"/>
      <c r="I175" s="20"/>
      <c r="J175" s="19"/>
      <c r="K175" s="19"/>
      <c r="L175" s="19"/>
    </row>
    <row r="176" spans="1:12" ht="16.5" thickBot="1">
      <c r="A176" s="19"/>
      <c r="B176" s="37"/>
      <c r="C176" s="117"/>
      <c r="D176" s="117"/>
      <c r="E176" s="37"/>
      <c r="F176" s="184"/>
      <c r="G176" s="184"/>
      <c r="H176" s="19"/>
      <c r="I176" s="20"/>
      <c r="J176" s="19"/>
      <c r="K176" s="19"/>
      <c r="L176" s="19"/>
    </row>
    <row r="177" spans="1:12" ht="16.5" thickBot="1">
      <c r="A177" s="19"/>
      <c r="B177" s="37"/>
      <c r="C177" s="166"/>
      <c r="D177" s="166"/>
      <c r="E177" s="37"/>
      <c r="F177" s="186"/>
      <c r="G177" s="186"/>
      <c r="H177" s="19"/>
      <c r="I177" s="20"/>
      <c r="J177" s="19"/>
      <c r="K177" s="19"/>
      <c r="L177" s="19"/>
    </row>
    <row r="178" spans="1:12" ht="16.5" thickBot="1">
      <c r="A178" s="19"/>
      <c r="B178" s="37"/>
      <c r="C178" s="117"/>
      <c r="D178" s="117"/>
      <c r="E178" s="37"/>
      <c r="F178" s="184"/>
      <c r="G178" s="184"/>
      <c r="H178" s="19"/>
      <c r="I178" s="20"/>
      <c r="J178" s="19"/>
      <c r="K178" s="19"/>
      <c r="L178" s="19"/>
    </row>
    <row r="179" spans="1:12" ht="16.5" thickBot="1">
      <c r="A179" s="19"/>
      <c r="B179" s="37"/>
      <c r="C179" s="166"/>
      <c r="D179" s="166"/>
      <c r="E179" s="37"/>
      <c r="F179" s="186"/>
      <c r="G179" s="186"/>
      <c r="H179" s="19"/>
      <c r="I179" s="20"/>
      <c r="J179" s="19"/>
      <c r="K179" s="19"/>
      <c r="L179" s="19"/>
    </row>
    <row r="180" spans="1:12" ht="15.75">
      <c r="A180" s="19"/>
      <c r="B180" s="165" t="s">
        <v>527</v>
      </c>
      <c r="C180" s="26"/>
      <c r="D180" s="26"/>
      <c r="E180" s="37"/>
      <c r="F180" s="26"/>
      <c r="G180" s="19"/>
      <c r="H180" s="19"/>
      <c r="I180" s="20"/>
      <c r="J180" s="19"/>
      <c r="K180" s="19"/>
      <c r="L180" s="19"/>
    </row>
    <row r="181" spans="1:12">
      <c r="A181" s="19"/>
      <c r="B181" s="24"/>
      <c r="C181" s="24"/>
      <c r="D181" s="19"/>
      <c r="E181" s="25"/>
      <c r="F181" s="26"/>
      <c r="G181" s="19"/>
      <c r="H181" s="19"/>
      <c r="I181" s="20"/>
      <c r="J181" s="19"/>
      <c r="K181" s="19"/>
      <c r="L181" s="19"/>
    </row>
    <row r="182" spans="1:12" ht="18.75" thickBot="1">
      <c r="A182" s="19"/>
      <c r="B182" s="749"/>
      <c r="C182" s="749"/>
      <c r="D182" s="19"/>
      <c r="E182" s="25"/>
      <c r="F182" s="26"/>
      <c r="G182" s="19"/>
      <c r="H182" s="19"/>
      <c r="I182" s="20"/>
      <c r="J182" s="19"/>
      <c r="K182" s="19"/>
      <c r="L182" s="19"/>
    </row>
    <row r="183" spans="1:12" ht="16.5" thickBot="1">
      <c r="A183" s="19"/>
      <c r="B183" s="37"/>
      <c r="C183" s="117"/>
      <c r="D183" s="117"/>
      <c r="E183" s="37"/>
      <c r="F183" s="184"/>
      <c r="G183" s="184"/>
      <c r="H183" s="19"/>
      <c r="I183" s="20"/>
      <c r="J183" s="20"/>
      <c r="K183" s="27"/>
      <c r="L183" s="19"/>
    </row>
    <row r="184" spans="1:12" ht="16.5" thickBot="1">
      <c r="A184" s="19"/>
      <c r="B184" s="37"/>
      <c r="C184" s="117"/>
      <c r="D184" s="117"/>
      <c r="E184" s="37"/>
      <c r="F184" s="184"/>
      <c r="G184" s="184"/>
      <c r="H184" s="19"/>
      <c r="I184" s="20"/>
      <c r="J184" s="19"/>
      <c r="K184" s="19"/>
      <c r="L184" s="19"/>
    </row>
    <row r="185" spans="1:12" ht="16.5" thickBot="1">
      <c r="A185" s="19"/>
      <c r="B185" s="37"/>
      <c r="C185" s="117"/>
      <c r="D185" s="117"/>
      <c r="E185" s="37"/>
      <c r="F185" s="184"/>
      <c r="G185" s="184"/>
      <c r="H185" s="19"/>
      <c r="I185" s="20"/>
      <c r="J185" s="19"/>
      <c r="K185" s="19"/>
      <c r="L185" s="19"/>
    </row>
    <row r="186" spans="1:12" ht="16.5" thickBot="1">
      <c r="A186" s="19"/>
      <c r="B186" s="37"/>
      <c r="C186" s="117"/>
      <c r="D186" s="117"/>
      <c r="E186" s="37"/>
      <c r="F186" s="184"/>
      <c r="G186" s="184"/>
      <c r="H186" s="19"/>
      <c r="I186" s="20"/>
      <c r="J186" s="19"/>
      <c r="K186" s="19"/>
      <c r="L186" s="19"/>
    </row>
    <row r="187" spans="1:12" ht="16.5" thickBot="1">
      <c r="A187" s="19"/>
      <c r="B187" s="37"/>
      <c r="C187" s="117"/>
      <c r="D187" s="117"/>
      <c r="E187" s="37"/>
      <c r="F187" s="184"/>
      <c r="G187" s="184"/>
      <c r="H187" s="19"/>
      <c r="I187" s="20"/>
      <c r="J187" s="19"/>
      <c r="K187" s="19"/>
      <c r="L187" s="19"/>
    </row>
    <row r="188" spans="1:12" ht="16.5" thickBot="1">
      <c r="A188" s="19"/>
      <c r="B188" s="37"/>
      <c r="C188" s="117"/>
      <c r="D188" s="117"/>
      <c r="E188" s="37"/>
      <c r="F188" s="184"/>
      <c r="G188" s="184"/>
      <c r="H188" s="19"/>
      <c r="I188" s="20"/>
      <c r="J188" s="19"/>
      <c r="K188" s="19"/>
      <c r="L188" s="19"/>
    </row>
    <row r="189" spans="1:12" ht="16.5" thickBot="1">
      <c r="A189" s="19"/>
      <c r="B189" s="37"/>
      <c r="C189" s="117"/>
      <c r="D189" s="117"/>
      <c r="E189" s="37"/>
      <c r="F189" s="184"/>
      <c r="G189" s="184"/>
      <c r="H189" s="19"/>
      <c r="I189" s="20"/>
      <c r="J189" s="19"/>
      <c r="K189" s="19"/>
      <c r="L189" s="19"/>
    </row>
    <row r="190" spans="1:12" ht="16.5" thickBot="1">
      <c r="A190" s="19"/>
      <c r="B190" s="37"/>
      <c r="C190" s="117"/>
      <c r="D190" s="117"/>
      <c r="E190" s="37"/>
      <c r="F190" s="184"/>
      <c r="G190" s="184"/>
      <c r="H190" s="19"/>
      <c r="I190" s="20"/>
      <c r="J190" s="19"/>
      <c r="K190" s="19"/>
      <c r="L190" s="19"/>
    </row>
    <row r="191" spans="1:12" ht="16.5" thickBot="1">
      <c r="A191" s="19"/>
      <c r="B191" s="37"/>
      <c r="C191" s="117"/>
      <c r="D191" s="117"/>
      <c r="E191" s="37"/>
      <c r="F191" s="184"/>
      <c r="G191" s="184"/>
      <c r="H191" s="19"/>
      <c r="I191" s="20"/>
      <c r="J191" s="19"/>
      <c r="K191" s="19"/>
      <c r="L191" s="19"/>
    </row>
    <row r="192" spans="1:12" ht="16.5" thickBot="1">
      <c r="A192" s="19"/>
      <c r="B192" s="37"/>
      <c r="C192" s="117"/>
      <c r="D192" s="117"/>
      <c r="E192" s="37"/>
      <c r="F192" s="184"/>
      <c r="G192" s="184"/>
      <c r="H192" s="19"/>
      <c r="I192" s="20"/>
      <c r="J192" s="19"/>
      <c r="K192" s="19"/>
      <c r="L192" s="19"/>
    </row>
    <row r="193" spans="1:12">
      <c r="A193" s="19"/>
      <c r="B193" s="24"/>
      <c r="C193" s="24"/>
      <c r="D193" s="19"/>
      <c r="E193" s="25"/>
      <c r="F193" s="24"/>
      <c r="G193" s="26"/>
      <c r="H193" s="19"/>
      <c r="I193" s="20"/>
      <c r="J193" s="19"/>
      <c r="K193" s="19"/>
      <c r="L193" s="19"/>
    </row>
    <row r="194" spans="1:12" ht="16.5" thickBot="1">
      <c r="A194" s="19"/>
      <c r="B194" s="37" t="s">
        <v>530</v>
      </c>
      <c r="C194" s="24"/>
      <c r="D194" s="19"/>
      <c r="E194" s="25"/>
      <c r="F194" s="24"/>
      <c r="G194" s="26"/>
      <c r="H194" s="19"/>
      <c r="I194" s="20"/>
      <c r="J194" s="19"/>
      <c r="K194" s="19"/>
      <c r="L194" s="19"/>
    </row>
    <row r="195" spans="1:12" ht="16.5" thickBot="1">
      <c r="A195" s="19"/>
      <c r="B195" s="34" t="s">
        <v>433</v>
      </c>
      <c r="C195" s="36"/>
      <c r="D195" s="35"/>
      <c r="E195" s="35"/>
      <c r="F195" s="35"/>
      <c r="G195" s="32"/>
      <c r="H195" s="19"/>
      <c r="I195" s="20"/>
      <c r="J195" s="19"/>
      <c r="K195" s="19"/>
      <c r="L195" s="19"/>
    </row>
    <row r="196" spans="1:12" ht="16.5" thickBot="1">
      <c r="A196" s="19"/>
      <c r="B196" s="34" t="s">
        <v>434</v>
      </c>
      <c r="C196" s="36"/>
      <c r="D196" s="36"/>
      <c r="E196" s="35"/>
      <c r="F196" s="35"/>
      <c r="G196" s="32"/>
      <c r="H196" s="19"/>
      <c r="I196" s="20"/>
      <c r="J196" s="19"/>
      <c r="K196" s="19"/>
      <c r="L196" s="19"/>
    </row>
    <row r="197" spans="1:12" ht="16.5" thickBot="1">
      <c r="A197" s="19"/>
      <c r="B197" s="152" t="s">
        <v>531</v>
      </c>
      <c r="C197" s="36"/>
      <c r="D197" s="36"/>
      <c r="E197" s="35"/>
      <c r="F197" s="35"/>
      <c r="G197" s="32"/>
      <c r="H197" s="19"/>
      <c r="I197" s="20"/>
      <c r="J197" s="19"/>
      <c r="K197" s="19"/>
      <c r="L197" s="19"/>
    </row>
    <row r="198" spans="1:12" ht="16.5" thickBot="1">
      <c r="A198" s="19"/>
      <c r="B198" s="276" t="s">
        <v>963</v>
      </c>
      <c r="C198" s="36"/>
      <c r="D198" s="36"/>
      <c r="E198" s="35"/>
      <c r="F198" s="35"/>
      <c r="G198" s="32"/>
      <c r="H198" s="19"/>
      <c r="I198" s="20"/>
      <c r="J198" s="19"/>
      <c r="K198" s="19"/>
      <c r="L198" s="19"/>
    </row>
    <row r="199" spans="1:12" ht="16.5" thickBot="1">
      <c r="A199" s="19"/>
      <c r="B199" s="152" t="s">
        <v>432</v>
      </c>
      <c r="C199" s="36"/>
      <c r="D199" s="36"/>
      <c r="E199" s="35"/>
      <c r="F199" s="35"/>
      <c r="G199" s="32"/>
      <c r="H199" s="19"/>
      <c r="I199" s="20"/>
      <c r="J199" s="19"/>
      <c r="K199" s="19"/>
      <c r="L199" s="19"/>
    </row>
    <row r="200" spans="1:12" ht="16.5" thickBot="1">
      <c r="A200" s="19"/>
      <c r="B200" s="152"/>
      <c r="C200" s="36"/>
      <c r="D200" s="36"/>
      <c r="E200" s="35"/>
      <c r="F200" s="35"/>
      <c r="G200" s="32"/>
      <c r="H200" s="19"/>
      <c r="I200" s="20"/>
      <c r="J200" s="19"/>
      <c r="K200" s="19"/>
      <c r="L200" s="19"/>
    </row>
    <row r="201" spans="1:12" ht="16.5" thickBot="1">
      <c r="A201" s="19"/>
      <c r="B201" s="152"/>
      <c r="C201" s="36"/>
      <c r="D201" s="36"/>
      <c r="E201" s="35"/>
      <c r="F201" s="35"/>
      <c r="G201" s="32"/>
      <c r="H201" s="19"/>
      <c r="I201" s="20"/>
      <c r="J201" s="19"/>
      <c r="K201" s="19"/>
      <c r="L201" s="19"/>
    </row>
    <row r="202" spans="1:12">
      <c r="A202" s="19"/>
      <c r="B202" s="24"/>
      <c r="C202" s="24"/>
      <c r="D202" s="19"/>
      <c r="E202" s="25"/>
      <c r="F202" s="24"/>
      <c r="G202" s="26"/>
      <c r="H202" s="19"/>
      <c r="I202" s="20"/>
      <c r="J202" s="19"/>
      <c r="K202" s="19"/>
      <c r="L202" s="19"/>
    </row>
    <row r="203" spans="1:12" ht="18.75" thickBot="1">
      <c r="A203" s="19"/>
      <c r="B203" s="749" t="s">
        <v>650</v>
      </c>
      <c r="C203" s="749"/>
      <c r="D203" s="19"/>
      <c r="E203" s="25"/>
      <c r="F203" s="24"/>
      <c r="G203" s="26"/>
      <c r="H203" s="19"/>
      <c r="I203" s="20"/>
      <c r="J203" s="19"/>
      <c r="K203" s="19"/>
      <c r="L203" s="19"/>
    </row>
    <row r="204" spans="1:12" ht="16.5" thickBot="1">
      <c r="A204" s="19"/>
      <c r="B204" s="37" t="s">
        <v>651</v>
      </c>
      <c r="C204" s="282">
        <f>[8]WSIN!$AI$6</f>
        <v>7.0913000000000004E-2</v>
      </c>
      <c r="D204" s="117">
        <f>C204</f>
        <v>7.0913000000000004E-2</v>
      </c>
      <c r="E204" s="37" t="s">
        <v>332</v>
      </c>
      <c r="F204" s="151"/>
      <c r="G204" s="19">
        <f>D204/C204-1</f>
        <v>0</v>
      </c>
      <c r="H204" s="19"/>
      <c r="I204" s="20"/>
      <c r="J204" s="20"/>
      <c r="K204" s="27"/>
      <c r="L204" s="19"/>
    </row>
    <row r="207" spans="1:12">
      <c r="B207" s="167"/>
    </row>
  </sheetData>
  <customSheetViews>
    <customSheetView guid="{F562D92E-120C-4AE9-9663-89E64D41DC53}" topLeftCell="A5">
      <selection activeCell="C15" sqref="C15"/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</customSheetView>
    <customSheetView guid="{35F19056-2E6F-4935-B863-78836FE990BF}" showPageBreaks="1" showRuler="0">
      <selection activeCell="C15" sqref="C15"/>
      <pageMargins left="0.75" right="0.75" top="1" bottom="1" header="0.5" footer="0.5"/>
      <pageSetup orientation="portrait" r:id="rId2"/>
      <headerFooter alignWithMargins="0">
        <oddHeader>&amp;A</oddHeader>
        <oddFooter>Page &amp;P</oddFooter>
      </headerFooter>
    </customSheetView>
    <customSheetView guid="{18BDED73-BFA0-442E-87EC-CED86EE4CF94}" showRuler="0">
      <selection activeCell="B4" sqref="B4"/>
      <pageMargins left="0.75" right="0.75" top="1" bottom="1" header="0.5" footer="0.5"/>
      <pageSetup orientation="portrait" r:id="rId3"/>
      <headerFooter alignWithMargins="0">
        <oddHeader>&amp;A</oddHeader>
        <oddFooter>Page &amp;P</oddFooter>
      </headerFooter>
    </customSheetView>
    <customSheetView guid="{0BC1F393-8A13-47D5-BC6C-0C99615B5AB9}" showRuler="0">
      <selection activeCell="C14" sqref="C14"/>
      <pageMargins left="0.75" right="0.75" top="1" bottom="1" header="0.5" footer="0.5"/>
      <pageSetup orientation="portrait" r:id="rId4"/>
      <headerFooter alignWithMargins="0">
        <oddHeader>&amp;A</oddHeader>
        <oddFooter>Page &amp;P</oddFooter>
      </headerFooter>
    </customSheetView>
    <customSheetView guid="{6B3D5C27-2FDE-4561-9575-1E98BFB869D0}" showRuler="0">
      <selection activeCell="C15" sqref="C15"/>
      <pageMargins left="0.75" right="0.75" top="1" bottom="1" header="0.5" footer="0.5"/>
      <pageSetup orientation="portrait" r:id="rId5"/>
      <headerFooter alignWithMargins="0">
        <oddHeader>&amp;A</oddHeader>
        <oddFooter>Page &amp;P</oddFooter>
      </headerFooter>
    </customSheetView>
    <customSheetView guid="{8FB94551-8874-4095-B8FB-5316E0D2FD2C}" showRuler="0">
      <pageMargins left="0.75" right="0.75" top="1" bottom="1" header="0.5" footer="0.5"/>
      <pageSetup orientation="portrait" r:id="rId6"/>
      <headerFooter alignWithMargins="0">
        <oddHeader>&amp;A</oddHeader>
        <oddFooter>Page &amp;P</oddFooter>
      </headerFooter>
    </customSheetView>
    <customSheetView guid="{8FC77C99-DBF7-40B8-99B8-01B75826CDCB}" showRuler="0">
      <selection activeCell="C13" sqref="C13"/>
      <pageMargins left="0.75" right="0.75" top="1" bottom="1" header="0.5" footer="0.5"/>
      <pageSetup orientation="portrait" r:id="rId7"/>
      <headerFooter alignWithMargins="0">
        <oddHeader>&amp;A</oddHeader>
        <oddFooter>Page &amp;P</oddFooter>
      </headerFooter>
    </customSheetView>
    <customSheetView guid="{2EA35095-1ADC-4CC7-8C3C-B487D65FA247}" showRuler="0">
      <selection activeCell="B4" sqref="B4"/>
      <pageMargins left="0.75" right="0.75" top="1" bottom="1" header="0.5" footer="0.5"/>
      <pageSetup orientation="portrait" r:id="rId8"/>
      <headerFooter alignWithMargins="0">
        <oddHeader>&amp;A</oddHeader>
        <oddFooter>Page &amp;P</oddFooter>
      </headerFooter>
    </customSheetView>
    <customSheetView guid="{2431C9E5-7CC2-4B8D-99C3-962247B1DBF5}" showRuler="0">
      <selection activeCell="B4" sqref="B4"/>
      <pageMargins left="0.75" right="0.75" top="1" bottom="1" header="0.5" footer="0.5"/>
      <pageSetup orientation="portrait" r:id="rId9"/>
      <headerFooter alignWithMargins="0">
        <oddHeader>&amp;A</oddHeader>
        <oddFooter>Page &amp;P</oddFooter>
      </headerFooter>
    </customSheetView>
    <customSheetView guid="{4BC93440-BA85-4935-A8C9-66DC6AE5DE5E}" showRuler="0">
      <selection activeCell="C15" sqref="C15"/>
      <pageMargins left="0.75" right="0.75" top="1" bottom="1" header="0.5" footer="0.5"/>
      <pageSetup orientation="portrait" r:id="rId10"/>
      <headerFooter alignWithMargins="0">
        <oddHeader>&amp;A</oddHeader>
        <oddFooter>Page &amp;P</oddFooter>
      </headerFooter>
    </customSheetView>
    <customSheetView guid="{0C49E549-011E-46F4-A82E-2CC8951A9C1E}" showRuler="0">
      <selection activeCell="C17" sqref="C17"/>
      <pageMargins left="0.75" right="0.75" top="1" bottom="1" header="0.5" footer="0.5"/>
      <pageSetup orientation="portrait" r:id="rId11"/>
      <headerFooter alignWithMargins="0">
        <oddHeader>&amp;A</oddHeader>
        <oddFooter>Page &amp;P</oddFooter>
      </headerFooter>
    </customSheetView>
    <customSheetView guid="{195DF303-1BBD-4236-94B5-47432850B006}" showRuler="0">
      <pageMargins left="0.75" right="0.75" top="1" bottom="1" header="0.5" footer="0.5"/>
      <pageSetup orientation="portrait" r:id="rId12"/>
      <headerFooter alignWithMargins="0">
        <oddHeader>&amp;A</oddHeader>
        <oddFooter>Page &amp;P</oddFooter>
      </headerFooter>
    </customSheetView>
  </customSheetViews>
  <mergeCells count="18">
    <mergeCell ref="B22:D22"/>
    <mergeCell ref="B164:C164"/>
    <mergeCell ref="B168:C168"/>
    <mergeCell ref="B134:D134"/>
    <mergeCell ref="A1:J1"/>
    <mergeCell ref="B42:D42"/>
    <mergeCell ref="B46:D46"/>
    <mergeCell ref="B111:D111"/>
    <mergeCell ref="B61:D61"/>
    <mergeCell ref="B66:D66"/>
    <mergeCell ref="B84:D84"/>
    <mergeCell ref="B94:D94"/>
    <mergeCell ref="B102:D102"/>
    <mergeCell ref="B203:C203"/>
    <mergeCell ref="B152:D152"/>
    <mergeCell ref="B33:C33"/>
    <mergeCell ref="B121:D121"/>
    <mergeCell ref="B182:C182"/>
  </mergeCells>
  <phoneticPr fontId="12" type="noConversion"/>
  <pageMargins left="0.75" right="0.75" top="1" bottom="1" header="0.5" footer="0.5"/>
  <pageSetup orientation="portrait" r:id="rId13"/>
  <headerFooter alignWithMargins="0">
    <oddHeader>&amp;A</oddHeader>
    <oddFooter>Page &amp;P</oddFooter>
  </headerFooter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7" r:id="rId16" name="Option Button 1">
              <controlPr defaultSize="0" autoFill="0" autoLine="0" autoPict="0" altText="With Riders">
                <anchor moveWithCells="1">
                  <from>
                    <xdr:col>7</xdr:col>
                    <xdr:colOff>66675</xdr:colOff>
                    <xdr:row>4</xdr:row>
                    <xdr:rowOff>9525</xdr:rowOff>
                  </from>
                  <to>
                    <xdr:col>8</xdr:col>
                    <xdr:colOff>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98" r:id="rId17" name="Option Button 2">
              <controlPr defaultSize="0" autoFill="0" autoLine="0" autoPict="0">
                <anchor moveWithCells="1">
                  <from>
                    <xdr:col>7</xdr:col>
                    <xdr:colOff>66675</xdr:colOff>
                    <xdr:row>5</xdr:row>
                    <xdr:rowOff>0</xdr:rowOff>
                  </from>
                  <to>
                    <xdr:col>8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F4B76-9212-4978-9562-EA24E8373DCA}">
  <sheetPr>
    <tabColor rgb="FF00B0F0"/>
    <pageSetUpPr fitToPage="1"/>
  </sheetPr>
  <dimension ref="A1:F56"/>
  <sheetViews>
    <sheetView view="pageBreakPreview" zoomScale="85" zoomScaleNormal="100" zoomScaleSheetLayoutView="85" workbookViewId="0">
      <selection activeCell="D4" sqref="D4:E4"/>
    </sheetView>
  </sheetViews>
  <sheetFormatPr defaultColWidth="6.69921875" defaultRowHeight="15.75"/>
  <cols>
    <col min="1" max="1" width="28.796875" style="723" customWidth="1"/>
    <col min="2" max="2" width="6.3984375" style="724" customWidth="1"/>
    <col min="3" max="3" width="12.09765625" style="723" customWidth="1"/>
    <col min="4" max="4" width="11.3984375" style="723" customWidth="1"/>
    <col min="5" max="5" width="14.69921875" style="723" customWidth="1"/>
    <col min="6" max="6" width="39" style="723" customWidth="1"/>
    <col min="7" max="16384" width="6.69921875" style="723"/>
  </cols>
  <sheetData>
    <row r="1" spans="1:6" ht="20.25">
      <c r="A1" s="762" t="s">
        <v>1354</v>
      </c>
      <c r="B1" s="762"/>
      <c r="C1" s="762"/>
      <c r="D1" s="762"/>
      <c r="E1" s="762"/>
      <c r="F1" s="762"/>
    </row>
    <row r="2" spans="1:6" ht="20.25">
      <c r="A2" s="762" t="s">
        <v>1359</v>
      </c>
      <c r="B2" s="762"/>
      <c r="C2" s="762"/>
      <c r="D2" s="762"/>
      <c r="E2" s="762"/>
      <c r="F2" s="762"/>
    </row>
    <row r="3" spans="1:6">
      <c r="A3" s="761"/>
      <c r="B3" s="761"/>
      <c r="C3" s="761"/>
    </row>
    <row r="4" spans="1:6" ht="31.5">
      <c r="A4" s="725" t="s">
        <v>1141</v>
      </c>
      <c r="B4" s="726" t="s">
        <v>1142</v>
      </c>
      <c r="C4" s="742" t="s">
        <v>1370</v>
      </c>
      <c r="D4" s="742" t="s">
        <v>1143</v>
      </c>
      <c r="E4" s="742" t="s">
        <v>1360</v>
      </c>
    </row>
    <row r="5" spans="1:6">
      <c r="A5" s="738"/>
      <c r="B5" s="726"/>
      <c r="C5" s="725"/>
      <c r="D5" s="727"/>
    </row>
    <row r="6" spans="1:6">
      <c r="A6" s="723" t="s">
        <v>1144</v>
      </c>
      <c r="C6" s="728"/>
      <c r="D6" s="729"/>
      <c r="E6" s="730"/>
    </row>
    <row r="7" spans="1:6">
      <c r="A7" s="731" t="s">
        <v>1367</v>
      </c>
      <c r="B7" s="724" t="s">
        <v>1394</v>
      </c>
      <c r="C7" s="728">
        <f>+'Rate DS (As-Filed)'!F24</f>
        <v>1545</v>
      </c>
      <c r="D7" s="729">
        <f>+'Rate DS (As-Filed)'!J24</f>
        <v>5</v>
      </c>
      <c r="E7" s="730">
        <f t="shared" ref="E7:E9" si="0">+C7*D7</f>
        <v>7725</v>
      </c>
    </row>
    <row r="8" spans="1:6">
      <c r="A8" s="731" t="s">
        <v>1368</v>
      </c>
      <c r="B8" s="724" t="s">
        <v>1394</v>
      </c>
      <c r="C8" s="728">
        <f>+'Rate DS (As-Filed)'!F25</f>
        <v>79682</v>
      </c>
      <c r="D8" s="729">
        <f>+'Rate DS (As-Filed)'!J25</f>
        <v>15</v>
      </c>
      <c r="E8" s="730">
        <f t="shared" si="0"/>
        <v>1195230</v>
      </c>
    </row>
    <row r="9" spans="1:6">
      <c r="A9" s="731" t="s">
        <v>1369</v>
      </c>
      <c r="B9" s="724" t="s">
        <v>1394</v>
      </c>
      <c r="C9" s="728">
        <f>+'Rate DS (As-Filed)'!F26</f>
        <v>75323</v>
      </c>
      <c r="D9" s="729">
        <f>+'Rate DS (As-Filed)'!J26</f>
        <v>30</v>
      </c>
      <c r="E9" s="730">
        <f t="shared" si="0"/>
        <v>2259690</v>
      </c>
    </row>
    <row r="10" spans="1:6">
      <c r="A10" s="723" t="s">
        <v>1148</v>
      </c>
      <c r="C10" s="728"/>
      <c r="D10" s="730"/>
      <c r="E10" s="730"/>
    </row>
    <row r="11" spans="1:6">
      <c r="A11" s="731" t="s">
        <v>1371</v>
      </c>
      <c r="B11" s="724" t="s">
        <v>1150</v>
      </c>
      <c r="C11" s="728">
        <f>+'Rate DS (As-Filed)'!H30</f>
        <v>1355176</v>
      </c>
      <c r="D11" s="729">
        <f>+'Rate DS (As-Filed)'!J30</f>
        <v>0</v>
      </c>
      <c r="E11" s="730">
        <f t="shared" ref="E11:E22" si="1">+C11*D11</f>
        <v>0</v>
      </c>
    </row>
    <row r="12" spans="1:6">
      <c r="A12" s="731" t="s">
        <v>1372</v>
      </c>
      <c r="B12" s="724" t="s">
        <v>1150</v>
      </c>
      <c r="C12" s="728">
        <f>+'Rate DS (As-Filed)'!H31</f>
        <v>2641511</v>
      </c>
      <c r="D12" s="729">
        <f>+'Rate DS (As-Filed)'!J31</f>
        <v>12.36</v>
      </c>
      <c r="E12" s="730">
        <f t="shared" si="1"/>
        <v>32649075.959999997</v>
      </c>
    </row>
    <row r="13" spans="1:6">
      <c r="A13" s="723" t="s">
        <v>1152</v>
      </c>
      <c r="B13" s="724" t="s">
        <v>1361</v>
      </c>
      <c r="C13" s="728"/>
      <c r="D13" s="730"/>
      <c r="E13" s="730"/>
    </row>
    <row r="14" spans="1:6">
      <c r="A14" s="731" t="s">
        <v>1373</v>
      </c>
      <c r="B14" s="724" t="s">
        <v>961</v>
      </c>
      <c r="C14" s="728">
        <f>+'Rate DS (As-Filed)'!H35</f>
        <v>348050244</v>
      </c>
      <c r="D14" s="743">
        <f>+'Rate DS (As-Filed)'!J35</f>
        <v>0.13287399999999999</v>
      </c>
      <c r="E14" s="730">
        <f t="shared" si="1"/>
        <v>46246828.121255994</v>
      </c>
    </row>
    <row r="15" spans="1:6">
      <c r="A15" s="731" t="s">
        <v>1374</v>
      </c>
      <c r="B15" s="724" t="s">
        <v>961</v>
      </c>
      <c r="C15" s="728">
        <f>+'Rate DS (As-Filed)'!H36</f>
        <v>519725648</v>
      </c>
      <c r="D15" s="743">
        <f>+'Rate DS (As-Filed)'!J36</f>
        <v>8.6375999999999994E-2</v>
      </c>
      <c r="E15" s="730">
        <f t="shared" si="1"/>
        <v>44891822.571647994</v>
      </c>
    </row>
    <row r="16" spans="1:6">
      <c r="A16" s="731" t="s">
        <v>575</v>
      </c>
      <c r="B16" s="724" t="s">
        <v>961</v>
      </c>
      <c r="C16" s="728">
        <f>+'Rate DS (As-Filed)'!H37</f>
        <v>228571887</v>
      </c>
      <c r="D16" s="743">
        <f>+'Rate DS (As-Filed)'!J37</f>
        <v>7.2988999999999998E-2</v>
      </c>
      <c r="E16" s="730">
        <f t="shared" si="1"/>
        <v>16683233.460243</v>
      </c>
    </row>
    <row r="17" spans="1:5">
      <c r="A17" s="731" t="s">
        <v>1375</v>
      </c>
      <c r="B17" s="724" t="s">
        <v>961</v>
      </c>
      <c r="C17" s="728">
        <f>+'Rate DS (As-Filed)'!H38</f>
        <v>928876</v>
      </c>
      <c r="D17" s="743">
        <f>+'Rate DS (As-Filed)'!J38</f>
        <v>0.35571399999999997</v>
      </c>
      <c r="E17" s="730">
        <f t="shared" si="1"/>
        <v>330414.19746399997</v>
      </c>
    </row>
    <row r="18" spans="1:5">
      <c r="A18" s="731" t="s">
        <v>1376</v>
      </c>
      <c r="B18" s="724" t="s">
        <v>961</v>
      </c>
      <c r="C18" s="728">
        <f>+'Rate DS (As-Filed)'!H39</f>
        <v>66268</v>
      </c>
      <c r="D18" s="743">
        <f>+'Rate DS (As-Filed)'!J39</f>
        <v>0.218386</v>
      </c>
      <c r="E18" s="730">
        <f t="shared" si="1"/>
        <v>14472.003447999999</v>
      </c>
    </row>
    <row r="19" spans="1:5">
      <c r="A19" s="733" t="s">
        <v>849</v>
      </c>
      <c r="C19" s="728"/>
      <c r="D19" s="730"/>
      <c r="E19" s="730"/>
    </row>
    <row r="20" spans="1:5">
      <c r="A20" s="731" t="s">
        <v>1377</v>
      </c>
      <c r="B20" s="724" t="s">
        <v>961</v>
      </c>
      <c r="C20" s="728"/>
      <c r="D20" s="743">
        <f>+'Rate DS (As-Filed)'!J46</f>
        <v>3.4872127999999998E-3</v>
      </c>
      <c r="E20" s="730">
        <f>D20*(SUM(C14:C18))</f>
        <v>3826668.2870750143</v>
      </c>
    </row>
    <row r="21" spans="1:5">
      <c r="A21" s="733" t="s">
        <v>1378</v>
      </c>
      <c r="C21" s="728"/>
      <c r="D21" s="743"/>
      <c r="E21" s="730"/>
    </row>
    <row r="22" spans="1:5">
      <c r="A22" s="731" t="s">
        <v>1144</v>
      </c>
      <c r="B22" s="724" t="s">
        <v>1394</v>
      </c>
      <c r="C22" s="728">
        <f>+'Rate DS RTP (As-Filed)'!F24</f>
        <v>12</v>
      </c>
      <c r="D22" s="729">
        <f>+'Rate DS RTP (As-Filed)'!J24</f>
        <v>183</v>
      </c>
      <c r="E22" s="730">
        <f t="shared" si="1"/>
        <v>2196</v>
      </c>
    </row>
    <row r="23" spans="1:5">
      <c r="A23" s="731" t="s">
        <v>1393</v>
      </c>
      <c r="C23" s="728"/>
      <c r="D23" s="743"/>
      <c r="E23" s="744">
        <f>+'Rate DS RTP (As-Filed)'!R30</f>
        <v>-212</v>
      </c>
    </row>
    <row r="24" spans="1:5">
      <c r="A24" s="731"/>
      <c r="C24" s="728"/>
      <c r="D24" s="729"/>
      <c r="E24" s="730"/>
    </row>
    <row r="25" spans="1:5" ht="16.5" thickBot="1">
      <c r="A25" s="734" t="s">
        <v>1362</v>
      </c>
      <c r="B25" s="735"/>
      <c r="C25" s="735"/>
      <c r="D25" s="736"/>
      <c r="E25" s="737">
        <f>+SUM(E6:E23)</f>
        <v>148107143.60113397</v>
      </c>
    </row>
    <row r="26" spans="1:5" ht="16.5" thickTop="1"/>
    <row r="27" spans="1:5">
      <c r="A27" s="725" t="s">
        <v>1156</v>
      </c>
    </row>
    <row r="28" spans="1:5">
      <c r="A28" s="725"/>
    </row>
    <row r="29" spans="1:5">
      <c r="A29" s="738" t="s">
        <v>1158</v>
      </c>
      <c r="C29" s="728"/>
      <c r="D29" s="729"/>
      <c r="E29" s="741"/>
    </row>
    <row r="30" spans="1:5">
      <c r="A30" s="739" t="s">
        <v>1367</v>
      </c>
      <c r="B30" s="724" t="s">
        <v>1394</v>
      </c>
      <c r="C30" s="728">
        <f t="shared" ref="C30:D32" si="2">+C7</f>
        <v>1545</v>
      </c>
      <c r="D30" s="729">
        <f t="shared" si="2"/>
        <v>5</v>
      </c>
      <c r="E30" s="730">
        <f t="shared" ref="E30:E33" si="3">+C30*D30</f>
        <v>7725</v>
      </c>
    </row>
    <row r="31" spans="1:5">
      <c r="A31" s="739" t="s">
        <v>1368</v>
      </c>
      <c r="B31" s="724" t="s">
        <v>1394</v>
      </c>
      <c r="C31" s="728">
        <f t="shared" si="2"/>
        <v>79682</v>
      </c>
      <c r="D31" s="729">
        <f t="shared" si="2"/>
        <v>15</v>
      </c>
      <c r="E31" s="730">
        <f t="shared" si="3"/>
        <v>1195230</v>
      </c>
    </row>
    <row r="32" spans="1:5">
      <c r="A32" s="739" t="s">
        <v>1369</v>
      </c>
      <c r="B32" s="724" t="s">
        <v>1394</v>
      </c>
      <c r="C32" s="728">
        <f t="shared" si="2"/>
        <v>75323</v>
      </c>
      <c r="D32" s="729">
        <f t="shared" si="2"/>
        <v>30</v>
      </c>
      <c r="E32" s="730">
        <f t="shared" si="3"/>
        <v>2259690</v>
      </c>
    </row>
    <row r="33" spans="1:6">
      <c r="A33" s="739" t="s">
        <v>1379</v>
      </c>
      <c r="B33" s="724" t="s">
        <v>1394</v>
      </c>
      <c r="C33" s="728">
        <f>+C22</f>
        <v>12</v>
      </c>
      <c r="D33" s="729">
        <f>+D22</f>
        <v>183</v>
      </c>
      <c r="E33" s="730">
        <f t="shared" si="3"/>
        <v>2196</v>
      </c>
    </row>
    <row r="34" spans="1:6">
      <c r="A34" s="738" t="s">
        <v>1380</v>
      </c>
      <c r="C34" s="728"/>
      <c r="D34" s="729"/>
      <c r="E34" s="745">
        <f>SUM(E30:E33)</f>
        <v>3464841</v>
      </c>
    </row>
    <row r="35" spans="1:6">
      <c r="C35" s="728"/>
      <c r="D35" s="729"/>
      <c r="E35" s="730"/>
    </row>
    <row r="36" spans="1:6">
      <c r="A36" s="738" t="s">
        <v>1159</v>
      </c>
    </row>
    <row r="37" spans="1:6">
      <c r="A37" s="739" t="s">
        <v>1371</v>
      </c>
      <c r="B37" s="724" t="s">
        <v>1363</v>
      </c>
      <c r="C37" s="728">
        <f>+C11</f>
        <v>1355176</v>
      </c>
      <c r="D37" s="729">
        <f>+D11</f>
        <v>0</v>
      </c>
      <c r="E37" s="730">
        <f>+C37*D37</f>
        <v>0</v>
      </c>
    </row>
    <row r="38" spans="1:6">
      <c r="A38" s="739" t="s">
        <v>1372</v>
      </c>
      <c r="B38" s="724" t="s">
        <v>1363</v>
      </c>
      <c r="C38" s="728">
        <f>+C12</f>
        <v>2641511</v>
      </c>
      <c r="D38" s="729">
        <f>+D12</f>
        <v>12.36</v>
      </c>
      <c r="E38" s="730">
        <f t="shared" ref="E38:E42" si="4">+C38*D38</f>
        <v>32649075.959999997</v>
      </c>
    </row>
    <row r="39" spans="1:6">
      <c r="A39" s="739" t="s">
        <v>1373</v>
      </c>
      <c r="B39" s="724" t="s">
        <v>961</v>
      </c>
      <c r="C39" s="728">
        <f>+C14</f>
        <v>348050244</v>
      </c>
      <c r="D39" s="743">
        <f>+D14-D16</f>
        <v>5.9884999999999994E-2</v>
      </c>
      <c r="E39" s="730">
        <f t="shared" si="4"/>
        <v>20842988.861939996</v>
      </c>
      <c r="F39" s="723" t="s">
        <v>1391</v>
      </c>
    </row>
    <row r="40" spans="1:6">
      <c r="A40" s="739" t="s">
        <v>1374</v>
      </c>
      <c r="B40" s="724" t="s">
        <v>961</v>
      </c>
      <c r="C40" s="728">
        <f>+C15</f>
        <v>519725648</v>
      </c>
      <c r="D40" s="743">
        <f>+D15-D16</f>
        <v>1.3386999999999996E-2</v>
      </c>
      <c r="E40" s="730">
        <f t="shared" si="4"/>
        <v>6957567.2497759983</v>
      </c>
      <c r="F40" s="723" t="s">
        <v>1390</v>
      </c>
    </row>
    <row r="41" spans="1:6">
      <c r="A41" s="739" t="s">
        <v>1375</v>
      </c>
      <c r="B41" s="724" t="s">
        <v>961</v>
      </c>
      <c r="C41" s="728">
        <f>+C17</f>
        <v>928876</v>
      </c>
      <c r="D41" s="743">
        <f>+D17-D16</f>
        <v>0.282725</v>
      </c>
      <c r="E41" s="730">
        <f t="shared" si="4"/>
        <v>262616.46710000001</v>
      </c>
      <c r="F41" s="723" t="s">
        <v>1391</v>
      </c>
    </row>
    <row r="42" spans="1:6">
      <c r="A42" s="739" t="s">
        <v>1376</v>
      </c>
      <c r="B42" s="724" t="s">
        <v>961</v>
      </c>
      <c r="C42" s="728">
        <f>+C18</f>
        <v>66268</v>
      </c>
      <c r="D42" s="743">
        <f>+D18-D16</f>
        <v>0.145397</v>
      </c>
      <c r="E42" s="730">
        <f t="shared" si="4"/>
        <v>9635.1683959999991</v>
      </c>
      <c r="F42" s="723" t="s">
        <v>1391</v>
      </c>
    </row>
    <row r="43" spans="1:6">
      <c r="A43" s="738" t="s">
        <v>1364</v>
      </c>
      <c r="B43" s="740"/>
      <c r="C43" s="738"/>
      <c r="D43" s="738"/>
      <c r="E43" s="745">
        <f>SUM(E37:E42)</f>
        <v>60721883.707211994</v>
      </c>
    </row>
    <row r="45" spans="1:6">
      <c r="A45" s="738" t="s">
        <v>651</v>
      </c>
      <c r="C45" s="728"/>
      <c r="D45" s="732"/>
      <c r="E45" s="730"/>
    </row>
    <row r="46" spans="1:6">
      <c r="A46" s="739" t="s">
        <v>1373</v>
      </c>
      <c r="B46" s="724" t="s">
        <v>961</v>
      </c>
      <c r="C46" s="728">
        <f>+C14</f>
        <v>348050244</v>
      </c>
      <c r="D46" s="732">
        <f>+D16</f>
        <v>7.2988999999999998E-2</v>
      </c>
      <c r="E46" s="730">
        <f>+C46*D46</f>
        <v>25403839.259316001</v>
      </c>
      <c r="F46" s="723" t="s">
        <v>1392</v>
      </c>
    </row>
    <row r="47" spans="1:6">
      <c r="A47" s="739" t="s">
        <v>1374</v>
      </c>
      <c r="B47" s="724" t="s">
        <v>961</v>
      </c>
      <c r="C47" s="728">
        <f>+C15</f>
        <v>519725648</v>
      </c>
      <c r="D47" s="732">
        <f>+D16</f>
        <v>7.2988999999999998E-2</v>
      </c>
      <c r="E47" s="730">
        <f t="shared" ref="E47:E50" si="5">+C47*D47</f>
        <v>37934255.321871996</v>
      </c>
      <c r="F47" s="723" t="s">
        <v>1392</v>
      </c>
    </row>
    <row r="48" spans="1:6">
      <c r="A48" s="739" t="s">
        <v>575</v>
      </c>
      <c r="B48" s="724" t="s">
        <v>961</v>
      </c>
      <c r="C48" s="728">
        <f>+C16</f>
        <v>228571887</v>
      </c>
      <c r="D48" s="732">
        <f>+D16</f>
        <v>7.2988999999999998E-2</v>
      </c>
      <c r="E48" s="730">
        <f t="shared" si="5"/>
        <v>16683233.460243</v>
      </c>
      <c r="F48" s="723" t="s">
        <v>1392</v>
      </c>
    </row>
    <row r="49" spans="1:6">
      <c r="A49" s="739" t="s">
        <v>1375</v>
      </c>
      <c r="B49" s="724" t="s">
        <v>961</v>
      </c>
      <c r="C49" s="728">
        <f>+C17</f>
        <v>928876</v>
      </c>
      <c r="D49" s="732">
        <f>+D16</f>
        <v>7.2988999999999998E-2</v>
      </c>
      <c r="E49" s="730">
        <f t="shared" si="5"/>
        <v>67797.730364000003</v>
      </c>
      <c r="F49" s="723" t="s">
        <v>1392</v>
      </c>
    </row>
    <row r="50" spans="1:6">
      <c r="A50" s="739" t="s">
        <v>1376</v>
      </c>
      <c r="B50" s="724" t="s">
        <v>1381</v>
      </c>
      <c r="C50" s="728">
        <f>+C18</f>
        <v>66268</v>
      </c>
      <c r="D50" s="732">
        <f>+D16</f>
        <v>7.2988999999999998E-2</v>
      </c>
      <c r="E50" s="730">
        <f t="shared" si="5"/>
        <v>4836.8350519999995</v>
      </c>
      <c r="F50" s="723" t="s">
        <v>1392</v>
      </c>
    </row>
    <row r="51" spans="1:6">
      <c r="A51" s="739" t="s">
        <v>1377</v>
      </c>
      <c r="B51" s="724" t="s">
        <v>961</v>
      </c>
      <c r="C51" s="728"/>
      <c r="D51" s="732">
        <f>+D20</f>
        <v>3.4872127999999998E-3</v>
      </c>
      <c r="E51" s="730">
        <f>+D51*SUM(C46:C50)</f>
        <v>3826668.2870750143</v>
      </c>
    </row>
    <row r="52" spans="1:6">
      <c r="A52" s="739" t="s">
        <v>1393</v>
      </c>
      <c r="B52" s="724" t="s">
        <v>961</v>
      </c>
      <c r="C52" s="728">
        <f>+C23</f>
        <v>0</v>
      </c>
      <c r="D52" s="732">
        <f>+D23</f>
        <v>0</v>
      </c>
      <c r="E52" s="746">
        <f>+E23</f>
        <v>-212</v>
      </c>
    </row>
    <row r="53" spans="1:6">
      <c r="A53" s="738" t="s">
        <v>1365</v>
      </c>
      <c r="B53" s="740"/>
      <c r="C53" s="738"/>
      <c r="D53" s="738"/>
      <c r="E53" s="741">
        <f>+SUM(E46:E52)</f>
        <v>83920418.893922001</v>
      </c>
    </row>
    <row r="54" spans="1:6">
      <c r="A54" s="738"/>
      <c r="B54" s="740"/>
      <c r="C54" s="738"/>
      <c r="D54" s="738"/>
      <c r="E54" s="741"/>
    </row>
    <row r="55" spans="1:6" ht="16.5" thickBot="1">
      <c r="A55" s="734" t="s">
        <v>1362</v>
      </c>
      <c r="B55" s="735"/>
      <c r="C55" s="735"/>
      <c r="D55" s="736"/>
      <c r="E55" s="737">
        <f>+E34+E43+E53</f>
        <v>148107143.601134</v>
      </c>
    </row>
    <row r="56" spans="1:6" ht="16.5" thickTop="1"/>
  </sheetData>
  <mergeCells count="3">
    <mergeCell ref="A3:C3"/>
    <mergeCell ref="A2:F2"/>
    <mergeCell ref="A1:F1"/>
  </mergeCells>
  <pageMargins left="0.7" right="0.7" top="0.99916666666666698" bottom="0.75" header="0.3" footer="0.3"/>
  <pageSetup scale="85" fitToHeight="0" orientation="landscape" horizontalDpi="1200" verticalDpi="1200" r:id="rId1"/>
  <headerFooter scaleWithDoc="0">
    <oddHeader>&amp;R&amp;"Times New Roman,Bold"&amp;A
Case No. 2024-00354
Page &amp;P of &amp;N</oddHeader>
  </headerFooter>
  <rowBreaks count="1" manualBreakCount="1">
    <brk id="25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19636-89B3-43DE-A6A0-FD7F1527F77E}">
  <sheetPr>
    <tabColor rgb="FF00B0F0"/>
    <pageSetUpPr fitToPage="1"/>
  </sheetPr>
  <dimension ref="A1:F56"/>
  <sheetViews>
    <sheetView view="pageBreakPreview" zoomScale="60" zoomScaleNormal="100" workbookViewId="0">
      <selection activeCell="F14" sqref="F14"/>
    </sheetView>
  </sheetViews>
  <sheetFormatPr defaultColWidth="6.09765625" defaultRowHeight="15.75"/>
  <cols>
    <col min="1" max="1" width="28.796875" style="723" customWidth="1"/>
    <col min="2" max="2" width="6.3984375" style="724" customWidth="1"/>
    <col min="3" max="3" width="12.59765625" style="723" customWidth="1"/>
    <col min="4" max="4" width="11.3984375" style="723" customWidth="1"/>
    <col min="5" max="5" width="14.296875" style="723" customWidth="1"/>
    <col min="6" max="6" width="39" style="723" customWidth="1"/>
    <col min="7" max="16384" width="6.09765625" style="723"/>
  </cols>
  <sheetData>
    <row r="1" spans="1:6" ht="20.25">
      <c r="A1" s="762" t="s">
        <v>1358</v>
      </c>
      <c r="B1" s="762"/>
      <c r="C1" s="762"/>
      <c r="D1" s="762"/>
      <c r="E1" s="762"/>
      <c r="F1" s="762"/>
    </row>
    <row r="2" spans="1:6" ht="20.25">
      <c r="A2" s="762" t="s">
        <v>1366</v>
      </c>
      <c r="B2" s="762"/>
      <c r="C2" s="762"/>
      <c r="D2" s="762"/>
      <c r="E2" s="762"/>
      <c r="F2" s="762"/>
    </row>
    <row r="3" spans="1:6">
      <c r="A3" s="761"/>
      <c r="B3" s="761"/>
      <c r="C3" s="761"/>
    </row>
    <row r="4" spans="1:6" ht="31.5">
      <c r="A4" s="725" t="s">
        <v>1141</v>
      </c>
      <c r="B4" s="726" t="s">
        <v>1142</v>
      </c>
      <c r="C4" s="742" t="s">
        <v>1370</v>
      </c>
      <c r="D4" s="742" t="s">
        <v>1143</v>
      </c>
      <c r="E4" s="742" t="s">
        <v>1360</v>
      </c>
    </row>
    <row r="5" spans="1:6">
      <c r="A5" s="738"/>
      <c r="B5" s="726"/>
      <c r="C5" s="725"/>
      <c r="D5" s="727"/>
    </row>
    <row r="6" spans="1:6">
      <c r="A6" s="723" t="s">
        <v>1144</v>
      </c>
      <c r="C6" s="728"/>
      <c r="D6" s="729"/>
      <c r="E6" s="730"/>
    </row>
    <row r="7" spans="1:6">
      <c r="A7" s="731" t="s">
        <v>1367</v>
      </c>
      <c r="B7" s="724" t="s">
        <v>1394</v>
      </c>
      <c r="C7" s="728">
        <f>+'Rate DS'!F24</f>
        <v>1545</v>
      </c>
      <c r="D7" s="729">
        <f>+'Rate DS'!J24</f>
        <v>5</v>
      </c>
      <c r="E7" s="730">
        <f t="shared" ref="E7:E9" si="0">+C7*D7</f>
        <v>7725</v>
      </c>
    </row>
    <row r="8" spans="1:6">
      <c r="A8" s="731" t="s">
        <v>1368</v>
      </c>
      <c r="B8" s="724" t="s">
        <v>1394</v>
      </c>
      <c r="C8" s="728">
        <f>+'Rate DS'!F25</f>
        <v>79682</v>
      </c>
      <c r="D8" s="729">
        <f>+'Rate DS'!J25</f>
        <v>15</v>
      </c>
      <c r="E8" s="730">
        <f t="shared" si="0"/>
        <v>1195230</v>
      </c>
    </row>
    <row r="9" spans="1:6">
      <c r="A9" s="731" t="s">
        <v>1369</v>
      </c>
      <c r="B9" s="724" t="s">
        <v>1394</v>
      </c>
      <c r="C9" s="728">
        <f>+'Rate DS'!F26</f>
        <v>75323</v>
      </c>
      <c r="D9" s="729">
        <f>+'Rate DS'!J26</f>
        <v>30</v>
      </c>
      <c r="E9" s="730">
        <f t="shared" si="0"/>
        <v>2259690</v>
      </c>
    </row>
    <row r="10" spans="1:6">
      <c r="A10" s="723" t="s">
        <v>1148</v>
      </c>
      <c r="C10" s="728"/>
      <c r="D10" s="730"/>
      <c r="E10" s="730"/>
    </row>
    <row r="11" spans="1:6">
      <c r="A11" s="731" t="s">
        <v>1371</v>
      </c>
      <c r="B11" s="724" t="s">
        <v>1150</v>
      </c>
      <c r="C11" s="728">
        <f>+'Rate DS'!H30</f>
        <v>1355176</v>
      </c>
      <c r="D11" s="729">
        <f>+PRO_DS_DEM_1</f>
        <v>0</v>
      </c>
      <c r="E11" s="730">
        <f t="shared" ref="E11:E22" si="1">+C11*D11</f>
        <v>0</v>
      </c>
    </row>
    <row r="12" spans="1:6">
      <c r="A12" s="731" t="s">
        <v>1372</v>
      </c>
      <c r="B12" s="724" t="s">
        <v>1150</v>
      </c>
      <c r="C12" s="728">
        <f>+'Rate DS'!H31</f>
        <v>2641511</v>
      </c>
      <c r="D12" s="729">
        <f>+PRO_DS_DEM_3</f>
        <v>15.85</v>
      </c>
      <c r="E12" s="730">
        <f>ROUND(+C12*D12,0)</f>
        <v>41867949</v>
      </c>
    </row>
    <row r="13" spans="1:6">
      <c r="A13" s="723" t="s">
        <v>1152</v>
      </c>
      <c r="B13" s="724" t="s">
        <v>1361</v>
      </c>
      <c r="C13" s="728"/>
      <c r="D13" s="730"/>
      <c r="E13" s="730"/>
    </row>
    <row r="14" spans="1:6">
      <c r="A14" s="731" t="s">
        <v>1373</v>
      </c>
      <c r="B14" s="724" t="s">
        <v>961</v>
      </c>
      <c r="C14" s="728">
        <f>+'Rate DS'!H35</f>
        <v>348050244</v>
      </c>
      <c r="D14" s="743">
        <f>+PRO_DS_KWH_1</f>
        <v>0.12449209873029275</v>
      </c>
      <c r="E14" s="730">
        <f t="shared" si="1"/>
        <v>43329505.339150481</v>
      </c>
    </row>
    <row r="15" spans="1:6">
      <c r="A15" s="731" t="s">
        <v>1374</v>
      </c>
      <c r="B15" s="724" t="s">
        <v>961</v>
      </c>
      <c r="C15" s="728">
        <f>+'Rate DS'!H36</f>
        <v>519725648</v>
      </c>
      <c r="D15" s="743">
        <f>+PRO_DS_KWH_2</f>
        <v>7.7994098730292755E-2</v>
      </c>
      <c r="E15" s="730">
        <f t="shared" si="1"/>
        <v>40535533.502777383</v>
      </c>
    </row>
    <row r="16" spans="1:6">
      <c r="A16" s="731" t="s">
        <v>575</v>
      </c>
      <c r="B16" s="724" t="s">
        <v>961</v>
      </c>
      <c r="C16" s="728">
        <f>+'Rate DS'!H37</f>
        <v>228571887</v>
      </c>
      <c r="D16" s="743">
        <f>+PRO_DS_KWH_3</f>
        <v>6.4607098730292759E-2</v>
      </c>
      <c r="E16" s="730">
        <f t="shared" si="1"/>
        <v>14767366.470378321</v>
      </c>
    </row>
    <row r="17" spans="1:5">
      <c r="A17" s="731" t="s">
        <v>1375</v>
      </c>
      <c r="B17" s="724" t="s">
        <v>961</v>
      </c>
      <c r="C17" s="728">
        <f>+'Rate DS'!H38</f>
        <v>928876</v>
      </c>
      <c r="D17" s="743">
        <f>+'Rate DS'!J38</f>
        <v>0.32539800000000002</v>
      </c>
      <c r="E17" s="730">
        <f t="shared" si="1"/>
        <v>302254.39264800004</v>
      </c>
    </row>
    <row r="18" spans="1:5">
      <c r="A18" s="731" t="s">
        <v>1376</v>
      </c>
      <c r="B18" s="724" t="s">
        <v>961</v>
      </c>
      <c r="C18" s="728">
        <f>+'Rate DS'!H39</f>
        <v>66268</v>
      </c>
      <c r="D18" s="743">
        <f>+'Rate DS'!J39</f>
        <v>0.199765</v>
      </c>
      <c r="E18" s="730">
        <f t="shared" si="1"/>
        <v>13238.02702</v>
      </c>
    </row>
    <row r="19" spans="1:5">
      <c r="A19" s="733" t="s">
        <v>849</v>
      </c>
      <c r="C19" s="728"/>
      <c r="D19" s="730"/>
      <c r="E19" s="730"/>
    </row>
    <row r="20" spans="1:5">
      <c r="A20" s="731" t="s">
        <v>1377</v>
      </c>
      <c r="B20" s="724" t="s">
        <v>961</v>
      </c>
      <c r="C20" s="728"/>
      <c r="D20" s="743">
        <f>+'Rate DS'!J46</f>
        <v>3.4872127999999998E-3</v>
      </c>
      <c r="E20" s="730">
        <f>D20*(SUM(C14:C18))</f>
        <v>3826668.2870750143</v>
      </c>
    </row>
    <row r="21" spans="1:5">
      <c r="A21" s="733" t="s">
        <v>1378</v>
      </c>
      <c r="C21" s="728"/>
      <c r="D21" s="743"/>
      <c r="E21" s="730"/>
    </row>
    <row r="22" spans="1:5">
      <c r="A22" s="731" t="s">
        <v>1144</v>
      </c>
      <c r="B22" s="724" t="s">
        <v>1394</v>
      </c>
      <c r="C22" s="728">
        <f>+'Rate DS RTP'!F24</f>
        <v>12</v>
      </c>
      <c r="D22" s="729">
        <f>+'Rate DS RTP'!J24</f>
        <v>183</v>
      </c>
      <c r="E22" s="730">
        <f t="shared" si="1"/>
        <v>2196</v>
      </c>
    </row>
    <row r="23" spans="1:5">
      <c r="A23" s="731" t="s">
        <v>1393</v>
      </c>
      <c r="C23" s="728"/>
      <c r="D23" s="743"/>
      <c r="E23" s="744">
        <f>+'Rate DS RTP'!R30</f>
        <v>-212</v>
      </c>
    </row>
    <row r="24" spans="1:5">
      <c r="A24" s="731"/>
      <c r="C24" s="728"/>
      <c r="D24" s="729"/>
      <c r="E24" s="730"/>
    </row>
    <row r="25" spans="1:5" ht="16.5" thickBot="1">
      <c r="A25" s="734" t="s">
        <v>1362</v>
      </c>
      <c r="B25" s="735"/>
      <c r="C25" s="735"/>
      <c r="D25" s="736"/>
      <c r="E25" s="737">
        <f>+SUM(E6:E23)</f>
        <v>148107144.01904923</v>
      </c>
    </row>
    <row r="26" spans="1:5" ht="16.5" thickTop="1"/>
    <row r="27" spans="1:5">
      <c r="A27" s="725" t="s">
        <v>1156</v>
      </c>
    </row>
    <row r="28" spans="1:5">
      <c r="A28" s="725"/>
    </row>
    <row r="29" spans="1:5">
      <c r="A29" s="738" t="s">
        <v>1158</v>
      </c>
      <c r="C29" s="728"/>
      <c r="D29" s="729"/>
      <c r="E29" s="741"/>
    </row>
    <row r="30" spans="1:5">
      <c r="A30" s="739" t="s">
        <v>1367</v>
      </c>
      <c r="B30" s="724" t="s">
        <v>1394</v>
      </c>
      <c r="C30" s="728">
        <f t="shared" ref="C30:D32" si="2">+C7</f>
        <v>1545</v>
      </c>
      <c r="D30" s="729">
        <f t="shared" si="2"/>
        <v>5</v>
      </c>
      <c r="E30" s="730">
        <f t="shared" ref="E30:E33" si="3">+C30*D30</f>
        <v>7725</v>
      </c>
    </row>
    <row r="31" spans="1:5">
      <c r="A31" s="739" t="s">
        <v>1368</v>
      </c>
      <c r="B31" s="724" t="s">
        <v>1394</v>
      </c>
      <c r="C31" s="728">
        <f t="shared" si="2"/>
        <v>79682</v>
      </c>
      <c r="D31" s="729">
        <f t="shared" si="2"/>
        <v>15</v>
      </c>
      <c r="E31" s="730">
        <f t="shared" si="3"/>
        <v>1195230</v>
      </c>
    </row>
    <row r="32" spans="1:5">
      <c r="A32" s="739" t="s">
        <v>1369</v>
      </c>
      <c r="B32" s="724" t="s">
        <v>1394</v>
      </c>
      <c r="C32" s="728">
        <f t="shared" si="2"/>
        <v>75323</v>
      </c>
      <c r="D32" s="729">
        <f t="shared" si="2"/>
        <v>30</v>
      </c>
      <c r="E32" s="730">
        <f t="shared" si="3"/>
        <v>2259690</v>
      </c>
    </row>
    <row r="33" spans="1:6">
      <c r="A33" s="739" t="s">
        <v>1379</v>
      </c>
      <c r="B33" s="724" t="s">
        <v>1394</v>
      </c>
      <c r="C33" s="728">
        <f>+C22</f>
        <v>12</v>
      </c>
      <c r="D33" s="729">
        <f>+D22</f>
        <v>183</v>
      </c>
      <c r="E33" s="730">
        <f t="shared" si="3"/>
        <v>2196</v>
      </c>
    </row>
    <row r="34" spans="1:6">
      <c r="A34" s="738" t="s">
        <v>1380</v>
      </c>
      <c r="C34" s="728"/>
      <c r="D34" s="729"/>
      <c r="E34" s="745">
        <f>SUM(E30:E33)</f>
        <v>3464841</v>
      </c>
    </row>
    <row r="35" spans="1:6">
      <c r="C35" s="728"/>
      <c r="D35" s="729"/>
      <c r="E35" s="730"/>
    </row>
    <row r="36" spans="1:6">
      <c r="A36" s="738" t="s">
        <v>1159</v>
      </c>
    </row>
    <row r="37" spans="1:6">
      <c r="A37" s="739" t="s">
        <v>1371</v>
      </c>
      <c r="B37" s="724" t="s">
        <v>1363</v>
      </c>
      <c r="C37" s="728">
        <f>+C11</f>
        <v>1355176</v>
      </c>
      <c r="D37" s="729">
        <f>+D11</f>
        <v>0</v>
      </c>
      <c r="E37" s="730">
        <f>+C37*D37</f>
        <v>0</v>
      </c>
    </row>
    <row r="38" spans="1:6">
      <c r="A38" s="739" t="s">
        <v>1372</v>
      </c>
      <c r="B38" s="724" t="s">
        <v>1363</v>
      </c>
      <c r="C38" s="728">
        <f>+C12</f>
        <v>2641511</v>
      </c>
      <c r="D38" s="729">
        <f>+D12</f>
        <v>15.85</v>
      </c>
      <c r="E38" s="730">
        <f>ROUND(+C38*D38,0)</f>
        <v>41867949</v>
      </c>
    </row>
    <row r="39" spans="1:6">
      <c r="A39" s="739" t="s">
        <v>1373</v>
      </c>
      <c r="B39" s="724" t="s">
        <v>961</v>
      </c>
      <c r="C39" s="728">
        <f>+C14</f>
        <v>348050244</v>
      </c>
      <c r="D39" s="743">
        <f>+D14-D16</f>
        <v>5.9884999999999994E-2</v>
      </c>
      <c r="E39" s="730">
        <f t="shared" ref="E39:E42" si="4">+C39*D39</f>
        <v>20842988.861939996</v>
      </c>
      <c r="F39" s="723" t="s">
        <v>1391</v>
      </c>
    </row>
    <row r="40" spans="1:6">
      <c r="A40" s="739" t="s">
        <v>1374</v>
      </c>
      <c r="B40" s="724" t="s">
        <v>961</v>
      </c>
      <c r="C40" s="728">
        <f>+C15</f>
        <v>519725648</v>
      </c>
      <c r="D40" s="743">
        <f>+D15-D16</f>
        <v>1.3386999999999996E-2</v>
      </c>
      <c r="E40" s="730">
        <f t="shared" si="4"/>
        <v>6957567.2497759983</v>
      </c>
      <c r="F40" s="723" t="s">
        <v>1390</v>
      </c>
    </row>
    <row r="41" spans="1:6">
      <c r="A41" s="739" t="s">
        <v>1375</v>
      </c>
      <c r="B41" s="724" t="s">
        <v>961</v>
      </c>
      <c r="C41" s="728">
        <f>+C17</f>
        <v>928876</v>
      </c>
      <c r="D41" s="743">
        <f>+D17-D16</f>
        <v>0.26079090126970728</v>
      </c>
      <c r="E41" s="730">
        <f t="shared" si="4"/>
        <v>242242.40920780061</v>
      </c>
      <c r="F41" s="723" t="s">
        <v>1391</v>
      </c>
    </row>
    <row r="42" spans="1:6">
      <c r="A42" s="739" t="s">
        <v>1376</v>
      </c>
      <c r="B42" s="724" t="s">
        <v>961</v>
      </c>
      <c r="C42" s="728">
        <f>+C18</f>
        <v>66268</v>
      </c>
      <c r="D42" s="743">
        <f>+D18-D16</f>
        <v>0.13515790126970723</v>
      </c>
      <c r="E42" s="730">
        <f t="shared" si="4"/>
        <v>8956.6438013409588</v>
      </c>
      <c r="F42" s="723" t="s">
        <v>1391</v>
      </c>
    </row>
    <row r="43" spans="1:6">
      <c r="A43" s="738" t="s">
        <v>1364</v>
      </c>
      <c r="B43" s="740"/>
      <c r="C43" s="738"/>
      <c r="D43" s="738"/>
      <c r="E43" s="745">
        <f>SUM(E37:E42)</f>
        <v>69919704.164725155</v>
      </c>
    </row>
    <row r="45" spans="1:6">
      <c r="A45" s="738" t="s">
        <v>651</v>
      </c>
      <c r="C45" s="728"/>
      <c r="D45" s="732"/>
      <c r="E45" s="730"/>
    </row>
    <row r="46" spans="1:6">
      <c r="A46" s="739" t="s">
        <v>1373</v>
      </c>
      <c r="B46" s="724" t="s">
        <v>961</v>
      </c>
      <c r="C46" s="728">
        <f>+C14</f>
        <v>348050244</v>
      </c>
      <c r="D46" s="732">
        <f>+D16</f>
        <v>6.4607098730292759E-2</v>
      </c>
      <c r="E46" s="730">
        <f>+C46*D46</f>
        <v>22486516.477210484</v>
      </c>
      <c r="F46" s="723" t="s">
        <v>1392</v>
      </c>
    </row>
    <row r="47" spans="1:6">
      <c r="A47" s="739" t="s">
        <v>1374</v>
      </c>
      <c r="B47" s="724" t="s">
        <v>961</v>
      </c>
      <c r="C47" s="728">
        <f>+C15</f>
        <v>519725648</v>
      </c>
      <c r="D47" s="732">
        <f>+D16</f>
        <v>6.4607098730292759E-2</v>
      </c>
      <c r="E47" s="730">
        <f t="shared" ref="E47:E50" si="5">+C47*D47</f>
        <v>33577966.253001384</v>
      </c>
      <c r="F47" s="723" t="s">
        <v>1392</v>
      </c>
    </row>
    <row r="48" spans="1:6">
      <c r="A48" s="739" t="s">
        <v>575</v>
      </c>
      <c r="B48" s="724" t="s">
        <v>961</v>
      </c>
      <c r="C48" s="728">
        <f>+C16</f>
        <v>228571887</v>
      </c>
      <c r="D48" s="732">
        <f>+D16</f>
        <v>6.4607098730292759E-2</v>
      </c>
      <c r="E48" s="730">
        <f t="shared" si="5"/>
        <v>14767366.470378321</v>
      </c>
      <c r="F48" s="723" t="s">
        <v>1392</v>
      </c>
    </row>
    <row r="49" spans="1:6">
      <c r="A49" s="739" t="s">
        <v>1375</v>
      </c>
      <c r="B49" s="724" t="s">
        <v>961</v>
      </c>
      <c r="C49" s="728">
        <f>+C17</f>
        <v>928876</v>
      </c>
      <c r="D49" s="732">
        <f>+D16</f>
        <v>6.4607098730292759E-2</v>
      </c>
      <c r="E49" s="730">
        <f t="shared" si="5"/>
        <v>60011.983440199416</v>
      </c>
      <c r="F49" s="723" t="s">
        <v>1392</v>
      </c>
    </row>
    <row r="50" spans="1:6">
      <c r="A50" s="739" t="s">
        <v>1376</v>
      </c>
      <c r="B50" s="724" t="s">
        <v>1381</v>
      </c>
      <c r="C50" s="728">
        <f>+C18</f>
        <v>66268</v>
      </c>
      <c r="D50" s="732">
        <f>+D16</f>
        <v>6.4607098730292759E-2</v>
      </c>
      <c r="E50" s="730">
        <f t="shared" si="5"/>
        <v>4281.3832186590407</v>
      </c>
      <c r="F50" s="723" t="s">
        <v>1392</v>
      </c>
    </row>
    <row r="51" spans="1:6">
      <c r="A51" s="739" t="s">
        <v>1377</v>
      </c>
      <c r="B51" s="724" t="s">
        <v>961</v>
      </c>
      <c r="C51" s="728"/>
      <c r="D51" s="732">
        <f>+D20</f>
        <v>3.4872127999999998E-3</v>
      </c>
      <c r="E51" s="730">
        <f>+D51*SUM(C46:C50)</f>
        <v>3826668.2870750143</v>
      </c>
    </row>
    <row r="52" spans="1:6">
      <c r="A52" s="739" t="s">
        <v>1393</v>
      </c>
      <c r="C52" s="728"/>
      <c r="D52" s="732"/>
      <c r="E52" s="746">
        <f>+E23</f>
        <v>-212</v>
      </c>
    </row>
    <row r="53" spans="1:6">
      <c r="A53" s="738" t="s">
        <v>1365</v>
      </c>
      <c r="B53" s="740"/>
      <c r="C53" s="738"/>
      <c r="D53" s="738"/>
      <c r="E53" s="741">
        <f>+SUM(E46:E52)</f>
        <v>74722598.854324073</v>
      </c>
    </row>
    <row r="54" spans="1:6">
      <c r="A54" s="738"/>
      <c r="B54" s="740"/>
      <c r="C54" s="738"/>
      <c r="D54" s="738"/>
      <c r="E54" s="741"/>
    </row>
    <row r="55" spans="1:6" ht="16.5" thickBot="1">
      <c r="A55" s="734" t="s">
        <v>1362</v>
      </c>
      <c r="B55" s="735"/>
      <c r="C55" s="735"/>
      <c r="D55" s="736"/>
      <c r="E55" s="737">
        <f>+E34+E43+E53</f>
        <v>148107144.01904923</v>
      </c>
    </row>
    <row r="56" spans="1:6" ht="16.5" thickTop="1"/>
  </sheetData>
  <mergeCells count="3">
    <mergeCell ref="A3:C3"/>
    <mergeCell ref="A2:F2"/>
    <mergeCell ref="A1:F1"/>
  </mergeCells>
  <pageMargins left="0.7" right="0.7" top="0.99916666666666698" bottom="0.75" header="0.3" footer="0.3"/>
  <pageSetup scale="81" fitToHeight="0" orientation="landscape" horizontalDpi="1200" verticalDpi="1200" r:id="rId1"/>
  <headerFooter scaleWithDoc="0">
    <oddHeader>&amp;R&amp;"Times New Roman,Bold"&amp;A
Case No. 2024-00354
Page &amp;P of &amp;N</oddHeader>
  </headerFooter>
  <rowBreaks count="1" manualBreakCount="1">
    <brk id="2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EDDCC-19CF-44C2-B6C5-954F1E72E60B}">
  <sheetPr>
    <tabColor rgb="FF00B0F0"/>
    <pageSetUpPr fitToPage="1"/>
  </sheetPr>
  <dimension ref="A1:E27"/>
  <sheetViews>
    <sheetView view="pageBreakPreview" zoomScale="60" zoomScaleNormal="100" workbookViewId="0">
      <selection activeCell="D4" sqref="D4"/>
    </sheetView>
  </sheetViews>
  <sheetFormatPr defaultColWidth="6.3984375" defaultRowHeight="15.75"/>
  <cols>
    <col min="1" max="1" width="12.69921875" style="723" customWidth="1"/>
    <col min="2" max="2" width="12.69921875" style="724" customWidth="1"/>
    <col min="3" max="3" width="13.8984375" style="723" customWidth="1"/>
    <col min="4" max="4" width="14.19921875" style="723" customWidth="1"/>
    <col min="5" max="5" width="12.69921875" style="723" customWidth="1"/>
    <col min="6" max="16384" width="6.3984375" style="723"/>
  </cols>
  <sheetData>
    <row r="1" spans="1:5" ht="20.25">
      <c r="A1" s="762" t="s">
        <v>1382</v>
      </c>
      <c r="B1" s="762"/>
      <c r="C1" s="762"/>
      <c r="D1" s="762"/>
      <c r="E1" s="762"/>
    </row>
    <row r="2" spans="1:5" ht="20.25">
      <c r="A2" s="762" t="s">
        <v>1383</v>
      </c>
      <c r="B2" s="762"/>
      <c r="C2" s="762"/>
      <c r="D2" s="762"/>
      <c r="E2" s="762"/>
    </row>
    <row r="3" spans="1:5" ht="20.25">
      <c r="A3" s="762" t="s">
        <v>1384</v>
      </c>
      <c r="B3" s="762"/>
      <c r="C3" s="762"/>
      <c r="D3" s="762"/>
      <c r="E3" s="762"/>
    </row>
    <row r="4" spans="1:5">
      <c r="A4" s="761"/>
      <c r="B4" s="761"/>
      <c r="C4" s="761"/>
    </row>
    <row r="5" spans="1:5" ht="31.5">
      <c r="A5" s="742" t="s">
        <v>1385</v>
      </c>
      <c r="B5" s="742" t="s">
        <v>1386</v>
      </c>
      <c r="C5" s="742" t="s">
        <v>1389</v>
      </c>
      <c r="D5" s="742" t="s">
        <v>1387</v>
      </c>
      <c r="E5" s="742" t="s">
        <v>1388</v>
      </c>
    </row>
    <row r="6" spans="1:5">
      <c r="A6" s="738"/>
      <c r="B6" s="726"/>
      <c r="C6" s="725"/>
      <c r="D6" s="727"/>
    </row>
    <row r="7" spans="1:5">
      <c r="A7" s="724">
        <f>+'SCH N'!D53</f>
        <v>5</v>
      </c>
      <c r="B7" s="747">
        <f>+'SCH N'!E53</f>
        <v>2000</v>
      </c>
      <c r="C7" s="730">
        <f>+'SCH N'!P53</f>
        <v>279.83000000000004</v>
      </c>
      <c r="D7" s="730">
        <f>+'SCH N'!Q53</f>
        <v>299.13000000000005</v>
      </c>
      <c r="E7" s="748">
        <f>ROUND(D7/C7-1,3)</f>
        <v>6.9000000000000006E-2</v>
      </c>
    </row>
    <row r="8" spans="1:5">
      <c r="A8" s="724">
        <f>+'SCH N'!D54</f>
        <v>10</v>
      </c>
      <c r="B8" s="747">
        <f>+'SCH N'!E54</f>
        <v>4000</v>
      </c>
      <c r="C8" s="730">
        <f>+'SCH N'!P54</f>
        <v>529.46</v>
      </c>
      <c r="D8" s="730">
        <f>+'SCH N'!Q54</f>
        <v>568.11</v>
      </c>
      <c r="E8" s="748">
        <f t="shared" ref="E8:E27" si="0">ROUND(D8/C8-1,3)</f>
        <v>7.2999999999999995E-2</v>
      </c>
    </row>
    <row r="9" spans="1:5">
      <c r="A9" s="724">
        <f>+'SCH N'!D55</f>
        <v>10</v>
      </c>
      <c r="B9" s="747">
        <f>+'SCH N'!E55</f>
        <v>6000</v>
      </c>
      <c r="C9" s="730">
        <f>+'SCH N'!P55</f>
        <v>779.1</v>
      </c>
      <c r="D9" s="730">
        <f>+'SCH N'!Q55</f>
        <v>837.07</v>
      </c>
      <c r="E9" s="748">
        <f t="shared" si="0"/>
        <v>7.3999999999999996E-2</v>
      </c>
    </row>
    <row r="10" spans="1:5">
      <c r="A10" s="724">
        <f>+'SCH N'!D56</f>
        <v>30</v>
      </c>
      <c r="B10" s="747">
        <f>+'SCH N'!E56</f>
        <v>6000</v>
      </c>
      <c r="C10" s="730">
        <f>+'SCH N'!P56</f>
        <v>940.34</v>
      </c>
      <c r="D10" s="730">
        <f>+'SCH N'!Q56</f>
        <v>1076.1200000000001</v>
      </c>
      <c r="E10" s="748">
        <f t="shared" si="0"/>
        <v>0.14399999999999999</v>
      </c>
    </row>
    <row r="11" spans="1:5">
      <c r="A11" s="724">
        <f>+'SCH N'!D57</f>
        <v>30</v>
      </c>
      <c r="B11" s="747">
        <f>+'SCH N'!E57</f>
        <v>9000</v>
      </c>
      <c r="C11" s="730">
        <f>+'SCH N'!P57</f>
        <v>1193.52</v>
      </c>
      <c r="D11" s="730">
        <f>+'SCH N'!Q57</f>
        <v>1339.3200000000002</v>
      </c>
      <c r="E11" s="748">
        <f t="shared" si="0"/>
        <v>0.122</v>
      </c>
    </row>
    <row r="12" spans="1:5">
      <c r="A12" s="724">
        <f>+'SCH N'!D58</f>
        <v>30</v>
      </c>
      <c r="B12" s="747">
        <f>+'SCH N'!E58</f>
        <v>12000</v>
      </c>
      <c r="C12" s="730">
        <f>+'SCH N'!P58</f>
        <v>1446.68</v>
      </c>
      <c r="D12" s="730">
        <f>+'SCH N'!Q58</f>
        <v>1602.52</v>
      </c>
      <c r="E12" s="748">
        <f t="shared" si="0"/>
        <v>0.108</v>
      </c>
    </row>
    <row r="13" spans="1:5">
      <c r="A13" s="724">
        <f>+'SCH N'!D59</f>
        <v>50</v>
      </c>
      <c r="B13" s="747">
        <f>+'SCH N'!E59</f>
        <v>10000</v>
      </c>
      <c r="C13" s="730">
        <f>+'SCH N'!P59</f>
        <v>1492.8899999999999</v>
      </c>
      <c r="D13" s="730">
        <f>+'SCH N'!Q59</f>
        <v>1745.79</v>
      </c>
      <c r="E13" s="748">
        <f t="shared" si="0"/>
        <v>0.16900000000000001</v>
      </c>
    </row>
    <row r="14" spans="1:5">
      <c r="A14" s="724">
        <f>+'SCH N'!D60</f>
        <v>50</v>
      </c>
      <c r="B14" s="747">
        <f>+'SCH N'!E60</f>
        <v>15000</v>
      </c>
      <c r="C14" s="730">
        <f>+'SCH N'!P60</f>
        <v>1914.84</v>
      </c>
      <c r="D14" s="730">
        <f>+'SCH N'!Q60</f>
        <v>2184.4700000000003</v>
      </c>
      <c r="E14" s="748">
        <f t="shared" si="0"/>
        <v>0.14099999999999999</v>
      </c>
    </row>
    <row r="15" spans="1:5">
      <c r="A15" s="724">
        <f>+'SCH N'!D61</f>
        <v>50</v>
      </c>
      <c r="B15" s="747">
        <f>+'SCH N'!E61</f>
        <v>20000</v>
      </c>
      <c r="C15" s="730">
        <f>+'SCH N'!P61</f>
        <v>2336.7699999999995</v>
      </c>
      <c r="D15" s="730">
        <f>+'SCH N'!Q61</f>
        <v>2623.1199999999994</v>
      </c>
      <c r="E15" s="748">
        <f t="shared" si="0"/>
        <v>0.123</v>
      </c>
    </row>
    <row r="16" spans="1:5">
      <c r="A16" s="724">
        <f>+'SCH N'!D62</f>
        <v>75</v>
      </c>
      <c r="B16" s="747">
        <f>+'SCH N'!E62</f>
        <v>15000</v>
      </c>
      <c r="C16" s="730">
        <f>+'SCH N'!P62</f>
        <v>2183.5700000000002</v>
      </c>
      <c r="D16" s="730">
        <f>+'SCH N'!Q62</f>
        <v>2582.88</v>
      </c>
      <c r="E16" s="748">
        <f t="shared" si="0"/>
        <v>0.183</v>
      </c>
    </row>
    <row r="17" spans="1:5">
      <c r="A17" s="724">
        <f>+'SCH N'!D63</f>
        <v>75</v>
      </c>
      <c r="B17" s="747">
        <f>+'SCH N'!E63</f>
        <v>20000</v>
      </c>
      <c r="C17" s="730">
        <f>+'SCH N'!P63</f>
        <v>2605.4999999999995</v>
      </c>
      <c r="D17" s="730">
        <f>+'SCH N'!Q63</f>
        <v>3021.5299999999997</v>
      </c>
      <c r="E17" s="748">
        <f t="shared" si="0"/>
        <v>0.16</v>
      </c>
    </row>
    <row r="18" spans="1:5">
      <c r="A18" s="724">
        <f>+'SCH N'!D64</f>
        <v>75</v>
      </c>
      <c r="B18" s="747">
        <f>+'SCH N'!E64</f>
        <v>30000</v>
      </c>
      <c r="C18" s="730">
        <f>+'SCH N'!P64</f>
        <v>3431.93</v>
      </c>
      <c r="D18" s="730">
        <f>+'SCH N'!Q64</f>
        <v>3878.6799999999994</v>
      </c>
      <c r="E18" s="748">
        <f t="shared" si="0"/>
        <v>0.13</v>
      </c>
    </row>
    <row r="19" spans="1:5">
      <c r="A19" s="724">
        <f>+'SCH N'!D65</f>
        <v>100</v>
      </c>
      <c r="B19" s="747">
        <f>+'SCH N'!E65</f>
        <v>20000</v>
      </c>
      <c r="C19" s="730">
        <f>+'SCH N'!P65</f>
        <v>2874.2399999999993</v>
      </c>
      <c r="D19" s="730">
        <f>+'SCH N'!Q65</f>
        <v>3419.95</v>
      </c>
      <c r="E19" s="748">
        <f t="shared" si="0"/>
        <v>0.19</v>
      </c>
    </row>
    <row r="20" spans="1:5">
      <c r="A20" s="724">
        <f>+'SCH N'!D66</f>
        <v>100</v>
      </c>
      <c r="B20" s="747">
        <f>+'SCH N'!E66</f>
        <v>30000</v>
      </c>
      <c r="C20" s="730">
        <f>+'SCH N'!P66</f>
        <v>3718.13</v>
      </c>
      <c r="D20" s="730">
        <f>+'SCH N'!Q66</f>
        <v>4297.29</v>
      </c>
      <c r="E20" s="748">
        <f t="shared" si="0"/>
        <v>0.156</v>
      </c>
    </row>
    <row r="21" spans="1:5">
      <c r="A21" s="724">
        <f>+'SCH N'!D67</f>
        <v>100</v>
      </c>
      <c r="B21" s="747">
        <f>+'SCH N'!E67</f>
        <v>40000</v>
      </c>
      <c r="C21" s="730">
        <f>+'SCH N'!P67</f>
        <v>4515.4500000000007</v>
      </c>
      <c r="D21" s="730">
        <f>+'SCH N'!Q67</f>
        <v>5120.7700000000004</v>
      </c>
      <c r="E21" s="748">
        <f t="shared" si="0"/>
        <v>0.13400000000000001</v>
      </c>
    </row>
    <row r="22" spans="1:5">
      <c r="A22" s="724">
        <f>+'SCH N'!D68</f>
        <v>300</v>
      </c>
      <c r="B22" s="747">
        <f>+'SCH N'!E68</f>
        <v>60000</v>
      </c>
      <c r="C22" s="730">
        <f>+'SCH N'!P68</f>
        <v>8399.64</v>
      </c>
      <c r="D22" s="730">
        <f>+'SCH N'!Q68</f>
        <v>10116.59</v>
      </c>
      <c r="E22" s="748">
        <f t="shared" si="0"/>
        <v>0.20399999999999999</v>
      </c>
    </row>
    <row r="23" spans="1:5">
      <c r="A23" s="724">
        <f>+'SCH N'!D69</f>
        <v>300</v>
      </c>
      <c r="B23" s="747">
        <f>+'SCH N'!E69</f>
        <v>90000</v>
      </c>
      <c r="C23" s="730">
        <f>+'SCH N'!P69</f>
        <v>10931.29</v>
      </c>
      <c r="D23" s="730">
        <f>+'SCH N'!Q69</f>
        <v>12748.590000000002</v>
      </c>
      <c r="E23" s="748">
        <f t="shared" si="0"/>
        <v>0.16600000000000001</v>
      </c>
    </row>
    <row r="24" spans="1:5">
      <c r="A24" s="724">
        <f>+'SCH N'!D70</f>
        <v>300</v>
      </c>
      <c r="B24" s="747">
        <f>+'SCH N'!E70</f>
        <v>120000</v>
      </c>
      <c r="C24" s="730">
        <f>+'SCH N'!P70</f>
        <v>13183.619999999999</v>
      </c>
      <c r="D24" s="730">
        <f>+'SCH N'!Q70</f>
        <v>15057.56</v>
      </c>
      <c r="E24" s="748">
        <f t="shared" si="0"/>
        <v>0.14199999999999999</v>
      </c>
    </row>
    <row r="25" spans="1:5">
      <c r="A25" s="724">
        <f>+'SCH N'!D71</f>
        <v>500</v>
      </c>
      <c r="B25" s="747">
        <f>+'SCH N'!E71</f>
        <v>100000</v>
      </c>
      <c r="C25" s="730">
        <f>+'SCH N'!P71</f>
        <v>13925.039999999999</v>
      </c>
      <c r="D25" s="730">
        <f>+'SCH N'!Q71</f>
        <v>16813.240000000002</v>
      </c>
      <c r="E25" s="748">
        <f t="shared" si="0"/>
        <v>0.20699999999999999</v>
      </c>
    </row>
    <row r="26" spans="1:5">
      <c r="A26" s="724">
        <f>+'SCH N'!D72</f>
        <v>500</v>
      </c>
      <c r="B26" s="747">
        <f>+'SCH N'!E72</f>
        <v>200000</v>
      </c>
      <c r="C26" s="730">
        <f>+'SCH N'!P72</f>
        <v>21851.78</v>
      </c>
      <c r="D26" s="730">
        <f>+'SCH N'!Q72</f>
        <v>24994.319999999996</v>
      </c>
      <c r="E26" s="748">
        <f t="shared" si="0"/>
        <v>0.14399999999999999</v>
      </c>
    </row>
    <row r="27" spans="1:5">
      <c r="A27" s="724">
        <f>+'SCH N'!D73</f>
        <v>500</v>
      </c>
      <c r="B27" s="747">
        <f>+'SCH N'!E73</f>
        <v>300000</v>
      </c>
      <c r="C27" s="730">
        <f>+'SCH N'!P73</f>
        <v>29126.800000000003</v>
      </c>
      <c r="D27" s="730">
        <f>+'SCH N'!Q73</f>
        <v>32421.650000000005</v>
      </c>
      <c r="E27" s="748">
        <f t="shared" si="0"/>
        <v>0.113</v>
      </c>
    </row>
  </sheetData>
  <mergeCells count="4">
    <mergeCell ref="A1:E1"/>
    <mergeCell ref="A3:E3"/>
    <mergeCell ref="A4:C4"/>
    <mergeCell ref="A2:E2"/>
  </mergeCells>
  <pageMargins left="0.7" right="0.7" top="0.99916666666666665" bottom="0.75" header="0.3" footer="0.3"/>
  <pageSetup orientation="portrait" horizontalDpi="1200" verticalDpi="1200" r:id="rId1"/>
  <headerFooter scaleWithDoc="0">
    <oddHeader xml:space="preserve">&amp;R&amp;"Times New Roman,Bold"&amp;A
Case No. 2024-00354
Page &amp;P of &amp;N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65BB9-6F8D-487D-A6A6-341C3C595838}">
  <sheetPr codeName="Sheet29">
    <tabColor rgb="FF00B050"/>
  </sheetPr>
  <dimension ref="A1:E16"/>
  <sheetViews>
    <sheetView workbookViewId="0">
      <selection activeCell="A4" sqref="A4:E14"/>
    </sheetView>
  </sheetViews>
  <sheetFormatPr defaultColWidth="8.796875" defaultRowHeight="15.75"/>
  <cols>
    <col min="1" max="1" width="25.296875" style="773" customWidth="1"/>
    <col min="2" max="2" width="6.8984375" style="773" customWidth="1"/>
    <col min="3" max="5" width="10.5" style="773" customWidth="1"/>
    <col min="6" max="16383" width="8.796875" style="773"/>
    <col min="16384" max="16384" width="11.3984375" style="773" customWidth="1"/>
  </cols>
  <sheetData>
    <row r="1" spans="1:5" s="773" customFormat="1">
      <c r="A1" s="772" t="s">
        <v>1354</v>
      </c>
      <c r="B1" s="772"/>
      <c r="C1" s="772"/>
    </row>
    <row r="2" spans="1:5" s="773" customFormat="1">
      <c r="A2" s="772" t="s">
        <v>1355</v>
      </c>
      <c r="B2" s="772"/>
      <c r="C2" s="772"/>
    </row>
    <row r="4" spans="1:5" s="773" customFormat="1">
      <c r="A4" s="774" t="s">
        <v>1141</v>
      </c>
      <c r="B4" s="774" t="s">
        <v>1142</v>
      </c>
      <c r="C4" s="774" t="s">
        <v>1395</v>
      </c>
      <c r="D4" s="774" t="s">
        <v>1143</v>
      </c>
      <c r="E4" s="774" t="s">
        <v>1398</v>
      </c>
    </row>
    <row r="5" spans="1:5" s="773" customFormat="1">
      <c r="A5" s="775" t="s">
        <v>1144</v>
      </c>
      <c r="B5" s="776"/>
      <c r="C5" s="776"/>
      <c r="D5" s="776"/>
    </row>
    <row r="6" spans="1:5" s="773" customFormat="1">
      <c r="A6" s="777" t="s">
        <v>1145</v>
      </c>
      <c r="B6" s="776" t="s">
        <v>1146</v>
      </c>
      <c r="C6" s="778">
        <f>+'Rate DS (As-Filed)'!AC81</f>
        <v>15</v>
      </c>
      <c r="D6" s="778">
        <f>+'Rate DS (As-Filed)'!PRO_DS_CST_1</f>
        <v>15</v>
      </c>
      <c r="E6" s="779">
        <f>+D6/C6-1</f>
        <v>0</v>
      </c>
    </row>
    <row r="7" spans="1:5" s="773" customFormat="1">
      <c r="A7" s="777" t="s">
        <v>1147</v>
      </c>
      <c r="B7" s="776" t="s">
        <v>1146</v>
      </c>
      <c r="C7" s="778">
        <f>+'Rate DS (As-Filed)'!AC82</f>
        <v>30</v>
      </c>
      <c r="D7" s="778">
        <f>+'Rate DS (As-Filed)'!PRO_DS_CST_2</f>
        <v>30</v>
      </c>
      <c r="E7" s="779">
        <f t="shared" ref="E7:E14" si="0">+D7/C7-1</f>
        <v>0</v>
      </c>
    </row>
    <row r="8" spans="1:5" s="773" customFormat="1">
      <c r="A8" s="775" t="s">
        <v>1148</v>
      </c>
      <c r="B8" s="776"/>
      <c r="C8" s="776"/>
      <c r="D8" s="776"/>
      <c r="E8" s="779"/>
    </row>
    <row r="9" spans="1:5" s="773" customFormat="1">
      <c r="A9" s="777" t="s">
        <v>1149</v>
      </c>
      <c r="B9" s="776" t="s">
        <v>1150</v>
      </c>
      <c r="C9" s="778">
        <f>+'Rate DS (As-Filed)'!AC86</f>
        <v>0</v>
      </c>
      <c r="D9" s="778">
        <f>+'Rate DS (As-Filed)'!PRO_DS_DEM_1</f>
        <v>0</v>
      </c>
      <c r="E9" s="779">
        <v>0</v>
      </c>
    </row>
    <row r="10" spans="1:5" s="773" customFormat="1">
      <c r="A10" s="777" t="s">
        <v>1151</v>
      </c>
      <c r="B10" s="776" t="s">
        <v>1150</v>
      </c>
      <c r="C10" s="778">
        <f>+'Rate DS (As-Filed)'!AC87</f>
        <v>10.68</v>
      </c>
      <c r="D10" s="778">
        <f>+'Rate DS (As-Filed)'!PRO_DS_DEM_3</f>
        <v>12.36</v>
      </c>
      <c r="E10" s="779">
        <f t="shared" si="0"/>
        <v>0.15730337078651679</v>
      </c>
    </row>
    <row r="11" spans="1:5" s="773" customFormat="1">
      <c r="A11" s="775" t="s">
        <v>1152</v>
      </c>
      <c r="B11" s="776"/>
      <c r="C11" s="776"/>
      <c r="D11" s="776"/>
      <c r="E11" s="779"/>
    </row>
    <row r="12" spans="1:5" s="773" customFormat="1" ht="15.6" customHeight="1">
      <c r="A12" s="777" t="s">
        <v>1153</v>
      </c>
      <c r="B12" s="776" t="s">
        <v>961</v>
      </c>
      <c r="C12" s="780">
        <f>+'Rate DS (As-Filed)'!AC91</f>
        <v>0.114788</v>
      </c>
      <c r="D12" s="780">
        <f>+'Rate DS (As-Filed)'!PRO_DS_KWH_1</f>
        <v>0.13287399999999999</v>
      </c>
      <c r="E12" s="779">
        <f t="shared" si="0"/>
        <v>0.15756002369585653</v>
      </c>
    </row>
    <row r="13" spans="1:5" s="773" customFormat="1" ht="15.6" customHeight="1">
      <c r="A13" s="777" t="s">
        <v>1154</v>
      </c>
      <c r="B13" s="776" t="s">
        <v>961</v>
      </c>
      <c r="C13" s="780">
        <f>+'Rate DS (As-Filed)'!AC92</f>
        <v>7.4619000000000005E-2</v>
      </c>
      <c r="D13" s="780">
        <f>+'Rate DS (As-Filed)'!PRO_DS_KWH_2</f>
        <v>8.6375999999999994E-2</v>
      </c>
      <c r="E13" s="779">
        <f t="shared" si="0"/>
        <v>0.15756040686688366</v>
      </c>
    </row>
    <row r="14" spans="1:5" s="773" customFormat="1" ht="15.6" customHeight="1">
      <c r="A14" s="777" t="s">
        <v>1155</v>
      </c>
      <c r="B14" s="776" t="s">
        <v>961</v>
      </c>
      <c r="C14" s="780">
        <f>+'Rate DS (As-Filed)'!AC93</f>
        <v>6.3056000000000001E-2</v>
      </c>
      <c r="D14" s="780">
        <f>+'Rate DS (As-Filed)'!PRO_DS_KWH_3</f>
        <v>7.2988999999999998E-2</v>
      </c>
      <c r="E14" s="779">
        <f t="shared" si="0"/>
        <v>0.15752664298401409</v>
      </c>
    </row>
    <row r="15" spans="1:5" s="773" customFormat="1" ht="15.6" customHeight="1"/>
    <row r="16" spans="1:5" s="773" customFormat="1" ht="15.6" customHeight="1"/>
  </sheetData>
  <mergeCells count="2">
    <mergeCell ref="A1:C1"/>
    <mergeCell ref="A2:C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0433F-D0EB-4038-9DE7-250890053CE4}">
  <sheetPr codeName="Sheet30">
    <tabColor rgb="FF00B050"/>
  </sheetPr>
  <dimension ref="A1:D11"/>
  <sheetViews>
    <sheetView workbookViewId="0">
      <selection activeCell="D5" sqref="D5:D9"/>
    </sheetView>
  </sheetViews>
  <sheetFormatPr defaultColWidth="8.796875" defaultRowHeight="15.75"/>
  <cols>
    <col min="1" max="1" width="11.09765625" style="773" customWidth="1"/>
    <col min="2" max="4" width="11.59765625" style="773" customWidth="1"/>
    <col min="5" max="16384" width="8.796875" style="773"/>
  </cols>
  <sheetData>
    <row r="1" spans="1:4">
      <c r="A1" s="772" t="s">
        <v>1354</v>
      </c>
      <c r="B1" s="772"/>
      <c r="C1" s="772"/>
      <c r="D1" s="772"/>
    </row>
    <row r="2" spans="1:4">
      <c r="A2" s="772" t="s">
        <v>1356</v>
      </c>
      <c r="B2" s="772"/>
      <c r="C2" s="772"/>
      <c r="D2" s="772"/>
    </row>
    <row r="3" spans="1:4">
      <c r="A3" s="772" t="s">
        <v>1357</v>
      </c>
      <c r="B3" s="772"/>
      <c r="C3" s="772"/>
      <c r="D3" s="772"/>
    </row>
    <row r="5" spans="1:4" ht="31.5">
      <c r="A5" s="781" t="s">
        <v>1156</v>
      </c>
      <c r="B5" s="774" t="s">
        <v>1157</v>
      </c>
      <c r="C5" s="774" t="s">
        <v>846</v>
      </c>
      <c r="D5" s="774" t="s">
        <v>1160</v>
      </c>
    </row>
    <row r="6" spans="1:4">
      <c r="A6" s="775" t="s">
        <v>1158</v>
      </c>
      <c r="B6" s="782">
        <f>+'FR-16(7)(v)-16 DS Classified'!I30</f>
        <v>2844515</v>
      </c>
      <c r="C6" s="782">
        <f>+'Rate DS (As-Filed)'!R27+'Rate DS RTP (As-Filed)'!R25</f>
        <v>3464841</v>
      </c>
      <c r="D6" s="786">
        <f>+C6/B6</f>
        <v>1.2180779500195991</v>
      </c>
    </row>
    <row r="7" spans="1:4">
      <c r="A7" s="775" t="s">
        <v>1159</v>
      </c>
      <c r="B7" s="782">
        <f>+'FR-16(7)(v)-16 DS Classified'!G30</f>
        <v>75281728</v>
      </c>
      <c r="C7" s="782">
        <f>+'Rate DS (As-Filed)'!R31+('Rate DS (As-Filed)'!PRO_DS_KWH_1-'Rate DS (As-Filed)'!PRO_DS_KWH_3)*'Rate DS (As-Filed)'!H35+('Rate DS (As-Filed)'!PRO_DS_KWH_2-'Rate DS (As-Filed)'!PRO_DS_KWH_3)*'Rate DS (As-Filed)'!H36+('Rate DS (As-Filed)'!J38-'Rate DS (As-Filed)'!PRO_DS_KWH_3)*'Rate DS (As-Filed)'!H38+('Rate DS (As-Filed)'!J39-'Rate DS (As-Filed)'!PRO_DS_KWH_3)*'Rate DS (As-Filed)'!H39</f>
        <v>60721883.747212</v>
      </c>
      <c r="D7" s="786">
        <f t="shared" ref="D7:D9" si="0">+C7/B7</f>
        <v>0.8065952437650209</v>
      </c>
    </row>
    <row r="8" spans="1:4">
      <c r="A8" s="775" t="s">
        <v>651</v>
      </c>
      <c r="B8" s="782">
        <f>+'FR-16(7)(v)-16 DS Classified'!H30</f>
        <v>66572665</v>
      </c>
      <c r="C8" s="782">
        <f>+'Rate DS (As-Filed)'!PRO_DS_KWH_3*SUM('Rate DS (As-Filed)'!H35:H39)+'Rate DS (As-Filed)'!R46+'Rate DS RTP (As-Filed)'!R30</f>
        <v>83920418.606847003</v>
      </c>
      <c r="D8" s="786">
        <f t="shared" si="0"/>
        <v>1.2605837336817898</v>
      </c>
    </row>
    <row r="9" spans="1:4">
      <c r="A9" s="783" t="s">
        <v>542</v>
      </c>
      <c r="B9" s="784">
        <f>SUM(B6:B8)</f>
        <v>144698908</v>
      </c>
      <c r="C9" s="784">
        <f>SUM(C6:C8)</f>
        <v>148107143.35405901</v>
      </c>
      <c r="D9" s="787">
        <f t="shared" si="0"/>
        <v>1.0235539811679781</v>
      </c>
    </row>
    <row r="11" spans="1:4">
      <c r="C11" s="785"/>
    </row>
  </sheetData>
  <mergeCells count="3">
    <mergeCell ref="A1:D1"/>
    <mergeCell ref="A2:D2"/>
    <mergeCell ref="A3:D3"/>
  </mergeCells>
  <pageMargins left="0.7" right="0.7" top="0.75" bottom="0.75" header="0.3" footer="0.3"/>
  <pageSetup orientation="portrait" r:id="rId1"/>
  <ignoredErrors>
    <ignoredError sqref="C8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51854-BCA8-45D4-8DF5-D11FF1470D58}">
  <sheetPr codeName="Sheet34">
    <tabColor rgb="FF00B050"/>
  </sheetPr>
  <dimension ref="A1:D14"/>
  <sheetViews>
    <sheetView workbookViewId="0">
      <selection activeCell="A3" sqref="A3:D14"/>
    </sheetView>
  </sheetViews>
  <sheetFormatPr defaultColWidth="8.796875" defaultRowHeight="15.75"/>
  <cols>
    <col min="1" max="1" width="23.09765625" style="773" customWidth="1"/>
    <col min="2" max="2" width="6.8984375" style="773" customWidth="1"/>
    <col min="3" max="4" width="11.3984375" style="773" customWidth="1"/>
    <col min="5" max="16384" width="8.796875" style="773"/>
  </cols>
  <sheetData>
    <row r="1" spans="1:4" s="773" customFormat="1">
      <c r="A1" s="772" t="s">
        <v>1358</v>
      </c>
      <c r="B1" s="772"/>
    </row>
    <row r="2" spans="1:4" s="773" customFormat="1">
      <c r="A2" s="772" t="s">
        <v>1355</v>
      </c>
      <c r="B2" s="772"/>
    </row>
    <row r="3" spans="1:4" s="773" customFormat="1">
      <c r="C3" s="774" t="s">
        <v>1396</v>
      </c>
      <c r="D3" s="774" t="s">
        <v>1397</v>
      </c>
    </row>
    <row r="4" spans="1:4" s="773" customFormat="1">
      <c r="A4" s="774" t="s">
        <v>1141</v>
      </c>
      <c r="B4" s="774" t="s">
        <v>1142</v>
      </c>
      <c r="C4" s="774" t="s">
        <v>1143</v>
      </c>
      <c r="D4" s="774" t="s">
        <v>1143</v>
      </c>
    </row>
    <row r="5" spans="1:4" s="773" customFormat="1">
      <c r="A5" s="775" t="s">
        <v>1144</v>
      </c>
      <c r="B5" s="776"/>
      <c r="C5" s="776"/>
      <c r="D5" s="776"/>
    </row>
    <row r="6" spans="1:4" s="773" customFormat="1">
      <c r="A6" s="777" t="s">
        <v>1145</v>
      </c>
      <c r="B6" s="776" t="s">
        <v>1146</v>
      </c>
      <c r="C6" s="778">
        <f>+'Rate DS (As-Filed)'!PRO_DS_CST_1</f>
        <v>15</v>
      </c>
      <c r="D6" s="778">
        <f>+'Rate DS'!J25</f>
        <v>15</v>
      </c>
    </row>
    <row r="7" spans="1:4" s="773" customFormat="1">
      <c r="A7" s="777" t="s">
        <v>1147</v>
      </c>
      <c r="B7" s="776" t="s">
        <v>1146</v>
      </c>
      <c r="C7" s="778">
        <f>+'Rate DS (As-Filed)'!PRO_DS_CST_2</f>
        <v>30</v>
      </c>
      <c r="D7" s="778">
        <f>+'Rate DS'!J26</f>
        <v>30</v>
      </c>
    </row>
    <row r="8" spans="1:4" s="773" customFormat="1">
      <c r="A8" s="775" t="s">
        <v>1148</v>
      </c>
      <c r="B8" s="776"/>
      <c r="C8" s="776"/>
      <c r="D8" s="776"/>
    </row>
    <row r="9" spans="1:4" s="773" customFormat="1">
      <c r="A9" s="777" t="s">
        <v>1149</v>
      </c>
      <c r="B9" s="776" t="s">
        <v>1150</v>
      </c>
      <c r="C9" s="778">
        <f>+'Rate DS (As-Filed)'!PRO_DS_DEM_1</f>
        <v>0</v>
      </c>
      <c r="D9" s="778">
        <f>+'Rate DS'!J30</f>
        <v>0</v>
      </c>
    </row>
    <row r="10" spans="1:4" s="773" customFormat="1">
      <c r="A10" s="777" t="s">
        <v>1151</v>
      </c>
      <c r="B10" s="776" t="s">
        <v>1150</v>
      </c>
      <c r="C10" s="778">
        <f>+'Rate DS (As-Filed)'!PRO_DS_DEM_3</f>
        <v>12.36</v>
      </c>
      <c r="D10" s="778">
        <f>+'Rate DS'!J31</f>
        <v>15.85</v>
      </c>
    </row>
    <row r="11" spans="1:4" s="773" customFormat="1">
      <c r="A11" s="775" t="s">
        <v>1152</v>
      </c>
      <c r="B11" s="776"/>
      <c r="C11" s="776"/>
      <c r="D11" s="776"/>
    </row>
    <row r="12" spans="1:4" s="773" customFormat="1">
      <c r="A12" s="777" t="s">
        <v>1153</v>
      </c>
      <c r="B12" s="776" t="s">
        <v>961</v>
      </c>
      <c r="C12" s="780">
        <f>+'Rate DS (As-Filed)'!PRO_DS_KWH_1</f>
        <v>0.13287399999999999</v>
      </c>
      <c r="D12" s="780">
        <f>+'Rate DS'!J35</f>
        <v>0.12449209873029275</v>
      </c>
    </row>
    <row r="13" spans="1:4" s="773" customFormat="1">
      <c r="A13" s="777" t="s">
        <v>1154</v>
      </c>
      <c r="B13" s="776" t="s">
        <v>961</v>
      </c>
      <c r="C13" s="780">
        <f>+'Rate DS (As-Filed)'!PRO_DS_KWH_2</f>
        <v>8.6375999999999994E-2</v>
      </c>
      <c r="D13" s="780">
        <f>+'Rate DS'!J36</f>
        <v>7.7994098730292755E-2</v>
      </c>
    </row>
    <row r="14" spans="1:4" s="773" customFormat="1">
      <c r="A14" s="777" t="s">
        <v>1155</v>
      </c>
      <c r="B14" s="776" t="s">
        <v>961</v>
      </c>
      <c r="C14" s="780">
        <f>+'Rate DS (As-Filed)'!PRO_DS_KWH_3</f>
        <v>7.2988999999999998E-2</v>
      </c>
      <c r="D14" s="780">
        <f>+'Rate DS'!J37</f>
        <v>6.4607098730292759E-2</v>
      </c>
    </row>
  </sheetData>
  <mergeCells count="2">
    <mergeCell ref="A1:B1"/>
    <mergeCell ref="A2:B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A556-1D99-4DB7-A97F-C0686168D373}">
  <sheetPr codeName="Sheet35">
    <tabColor rgb="FF00B050"/>
  </sheetPr>
  <dimension ref="A1:D11"/>
  <sheetViews>
    <sheetView workbookViewId="0">
      <selection activeCell="A2" sqref="A2:D2"/>
    </sheetView>
  </sheetViews>
  <sheetFormatPr defaultColWidth="8.796875" defaultRowHeight="15.75"/>
  <cols>
    <col min="1" max="1" width="11.09765625" style="773" customWidth="1"/>
    <col min="2" max="4" width="11.59765625" style="773" customWidth="1"/>
    <col min="5" max="16384" width="8.796875" style="773"/>
  </cols>
  <sheetData>
    <row r="1" spans="1:4">
      <c r="A1" s="772" t="s">
        <v>1358</v>
      </c>
      <c r="B1" s="772"/>
      <c r="C1" s="772"/>
      <c r="D1" s="772"/>
    </row>
    <row r="2" spans="1:4">
      <c r="A2" s="772" t="s">
        <v>1356</v>
      </c>
      <c r="B2" s="772"/>
      <c r="C2" s="772"/>
      <c r="D2" s="772"/>
    </row>
    <row r="3" spans="1:4">
      <c r="A3" s="772" t="s">
        <v>1357</v>
      </c>
      <c r="B3" s="772"/>
      <c r="C3" s="772"/>
      <c r="D3" s="772"/>
    </row>
    <row r="5" spans="1:4" ht="31.5">
      <c r="A5" s="781" t="s">
        <v>1156</v>
      </c>
      <c r="B5" s="774" t="s">
        <v>1157</v>
      </c>
      <c r="C5" s="774" t="s">
        <v>846</v>
      </c>
      <c r="D5" s="774" t="s">
        <v>1160</v>
      </c>
    </row>
    <row r="6" spans="1:4">
      <c r="A6" s="775" t="s">
        <v>1158</v>
      </c>
      <c r="B6" s="782">
        <f>+'FR-16(7)(v)-16 DS Classified'!I30</f>
        <v>2844515</v>
      </c>
      <c r="C6" s="782">
        <f>+'Rate DS'!R27+'Rate DS RTP (As-Filed)'!R25</f>
        <v>3464841</v>
      </c>
      <c r="D6" s="786">
        <f>+C6/B6</f>
        <v>1.2180779500195991</v>
      </c>
    </row>
    <row r="7" spans="1:4">
      <c r="A7" s="775" t="s">
        <v>1159</v>
      </c>
      <c r="B7" s="782">
        <f>+'FR-16(7)(v)-16 DS Classified'!G30</f>
        <v>75281728</v>
      </c>
      <c r="C7" s="782">
        <f>+'Rate DS'!R31+('Rate DS'!J35-'Rate DS'!J37)*'Rate DS'!H35+('Rate DS'!J36-'Rate DS'!J37)*'Rate DS'!H36+('Rate DS'!J38-'Rate DS'!J37)*'Rate DS'!H38+('Rate DS'!J39-'Rate DS'!J37)*'Rate DS'!H39</f>
        <v>69919704.164725155</v>
      </c>
      <c r="D7" s="786">
        <f t="shared" ref="D7:D9" si="0">+C7/B7</f>
        <v>0.92877390068311338</v>
      </c>
    </row>
    <row r="8" spans="1:4">
      <c r="A8" s="775" t="s">
        <v>651</v>
      </c>
      <c r="B8" s="782">
        <f>+'FR-16(7)(v)-16 DS Classified'!H30</f>
        <v>66572665</v>
      </c>
      <c r="C8" s="782">
        <f>+'Rate DS'!J37*SUM('Rate DS'!H35:H39)+'Rate DS'!R46+'Rate DS RTP (As-Filed)'!R30</f>
        <v>74722598.567249045</v>
      </c>
      <c r="D8" s="786">
        <f t="shared" si="0"/>
        <v>1.1224216210549638</v>
      </c>
    </row>
    <row r="9" spans="1:4">
      <c r="A9" s="783" t="s">
        <v>542</v>
      </c>
      <c r="B9" s="784">
        <f>SUM(B6:B8)</f>
        <v>144698908</v>
      </c>
      <c r="C9" s="784">
        <f>SUM(C6:C8)</f>
        <v>148107143.73197418</v>
      </c>
      <c r="D9" s="787">
        <f t="shared" si="0"/>
        <v>1.023553983779713</v>
      </c>
    </row>
    <row r="11" spans="1:4">
      <c r="C11" s="785"/>
    </row>
  </sheetData>
  <mergeCells count="3">
    <mergeCell ref="A1:D1"/>
    <mergeCell ref="A2:D2"/>
    <mergeCell ref="A3:D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B4160-7883-4413-BECD-2103AE2D6638}">
  <sheetPr>
    <tabColor rgb="FF00B050"/>
  </sheetPr>
  <dimension ref="A1:C11"/>
  <sheetViews>
    <sheetView tabSelected="1" workbookViewId="0">
      <selection activeCell="A5" sqref="A5:C9"/>
    </sheetView>
  </sheetViews>
  <sheetFormatPr defaultColWidth="8.796875" defaultRowHeight="15.75"/>
  <cols>
    <col min="1" max="1" width="11.09765625" style="773" customWidth="1"/>
    <col min="2" max="3" width="11.59765625" style="773" customWidth="1"/>
    <col min="4" max="16384" width="8.796875" style="773"/>
  </cols>
  <sheetData>
    <row r="1" spans="1:3">
      <c r="A1" s="772" t="s">
        <v>1399</v>
      </c>
      <c r="B1" s="772"/>
      <c r="C1" s="772"/>
    </row>
    <row r="2" spans="1:3">
      <c r="A2" s="772" t="s">
        <v>1400</v>
      </c>
      <c r="B2" s="772"/>
      <c r="C2" s="772"/>
    </row>
    <row r="3" spans="1:3">
      <c r="A3" s="772" t="s">
        <v>1357</v>
      </c>
      <c r="B3" s="772"/>
      <c r="C3" s="772"/>
    </row>
    <row r="5" spans="1:3" ht="47.25">
      <c r="A5" s="790" t="s">
        <v>1156</v>
      </c>
      <c r="B5" s="789" t="s">
        <v>1401</v>
      </c>
      <c r="C5" s="789" t="s">
        <v>1402</v>
      </c>
    </row>
    <row r="6" spans="1:3">
      <c r="A6" s="775" t="s">
        <v>1158</v>
      </c>
      <c r="B6" s="786">
        <f>+'Table JB-3'!D6</f>
        <v>1.2180779500195991</v>
      </c>
      <c r="C6" s="786">
        <f>+'Table JB-5'!D6</f>
        <v>1.2180779500195991</v>
      </c>
    </row>
    <row r="7" spans="1:3">
      <c r="A7" s="775" t="s">
        <v>1159</v>
      </c>
      <c r="B7" s="786">
        <f>+'Table JB-3'!D7</f>
        <v>0.8065952437650209</v>
      </c>
      <c r="C7" s="786">
        <f>+'Table JB-5'!D7</f>
        <v>0.92877390068311338</v>
      </c>
    </row>
    <row r="8" spans="1:3">
      <c r="A8" s="775" t="s">
        <v>651</v>
      </c>
      <c r="B8" s="786">
        <f>+'Table JB-3'!D8</f>
        <v>1.2605837336817898</v>
      </c>
      <c r="C8" s="786">
        <f>+'Table JB-5'!D8</f>
        <v>1.1224216210549638</v>
      </c>
    </row>
    <row r="9" spans="1:3">
      <c r="A9" s="783" t="s">
        <v>542</v>
      </c>
      <c r="B9" s="787">
        <f>+'Table JB-3'!D9</f>
        <v>1.0235539811679781</v>
      </c>
      <c r="C9" s="787">
        <f>+'Table JB-5'!D9</f>
        <v>1.023553983779713</v>
      </c>
    </row>
    <row r="11" spans="1:3">
      <c r="B11" s="785"/>
    </row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9">
    <tabColor rgb="FF92D050"/>
    <pageSetUpPr fitToPage="1"/>
  </sheetPr>
  <dimension ref="A1:AA247"/>
  <sheetViews>
    <sheetView topLeftCell="A35" zoomScale="70" zoomScaleNormal="70" workbookViewId="0"/>
  </sheetViews>
  <sheetFormatPr defaultColWidth="8.8984375" defaultRowHeight="15"/>
  <cols>
    <col min="1" max="1" width="4.09765625" style="1" customWidth="1"/>
    <col min="2" max="2" width="1" style="1" customWidth="1"/>
    <col min="3" max="3" width="17" style="1" customWidth="1"/>
    <col min="4" max="4" width="8.8984375" style="1"/>
    <col min="5" max="5" width="11.8984375" style="1" customWidth="1"/>
    <col min="6" max="6" width="12.296875" style="1" customWidth="1"/>
    <col min="7" max="7" width="12" style="1" customWidth="1"/>
    <col min="8" max="8" width="12.8984375" style="1" bestFit="1" customWidth="1"/>
    <col min="9" max="9" width="10.59765625" style="1" customWidth="1"/>
    <col min="10" max="10" width="1.69921875" style="1" customWidth="1"/>
    <col min="11" max="11" width="11.296875" style="1" bestFit="1" customWidth="1"/>
    <col min="12" max="12" width="9.69921875" style="1" bestFit="1" customWidth="1"/>
    <col min="13" max="14" width="11.09765625" style="1" customWidth="1"/>
    <col min="15" max="15" width="11.69921875" style="1" customWidth="1"/>
    <col min="16" max="16" width="12.3984375" style="1" bestFit="1" customWidth="1"/>
    <col min="17" max="17" width="17" style="1" bestFit="1" customWidth="1"/>
    <col min="18" max="18" width="9.69921875" style="1" customWidth="1"/>
    <col min="19" max="16384" width="8.8984375" style="1"/>
  </cols>
  <sheetData>
    <row r="1" spans="1:18" ht="15.75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75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 ht="15.75">
      <c r="A3" s="40" t="s">
        <v>171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15.75">
      <c r="A4" s="40" t="str">
        <f>SERVICE</f>
        <v>(ELECTRIC SERVICE)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 ht="15.75">
      <c r="A5" s="42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18" ht="15.75">
      <c r="A6" s="41" t="str">
        <f>DATA_PERIOD</f>
        <v>DATA: ____ BASE PERIOD   __X__FORECASTED PERIOD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O6" s="41"/>
      <c r="P6" s="41"/>
      <c r="Q6" s="42" t="s">
        <v>172</v>
      </c>
      <c r="R6" s="41"/>
    </row>
    <row r="7" spans="1:18" ht="15.75">
      <c r="A7" s="41" t="str">
        <f>TYPE</f>
        <v>TYPE OF FILING: _X_ ORIGINAL   ___UPDATED  ___ REVISED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2" t="s">
        <v>99</v>
      </c>
      <c r="R7" s="41"/>
    </row>
    <row r="8" spans="1:18" ht="15.75">
      <c r="A8" s="42" t="s">
        <v>100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2" t="s">
        <v>3</v>
      </c>
      <c r="R8" s="41"/>
    </row>
    <row r="9" spans="1:18" ht="15.75">
      <c r="A9" s="130" t="str">
        <f>TIME</f>
        <v>12 Months Projected with Riders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 t="str">
        <f>WIT</f>
        <v>B. L. Sailers</v>
      </c>
      <c r="R9" s="41"/>
    </row>
    <row r="10" spans="1:18" ht="15.75" customHeight="1">
      <c r="A10" s="764" t="s">
        <v>426</v>
      </c>
      <c r="B10" s="764"/>
      <c r="C10" s="764"/>
      <c r="D10" s="764"/>
      <c r="E10" s="764"/>
      <c r="F10" s="764"/>
      <c r="G10" s="764"/>
      <c r="H10" s="764"/>
      <c r="I10" s="764"/>
      <c r="J10" s="764"/>
      <c r="K10" s="764"/>
      <c r="L10" s="764"/>
      <c r="M10" s="764"/>
      <c r="N10" s="764"/>
      <c r="O10" s="764"/>
      <c r="P10" s="764"/>
      <c r="Q10" s="764"/>
      <c r="R10" s="764"/>
    </row>
    <row r="11" spans="1:18" ht="15.7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</row>
    <row r="12" spans="1:18" ht="15.7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</row>
    <row r="13" spans="1:18" ht="15.75">
      <c r="A13" s="41"/>
      <c r="B13" s="41"/>
      <c r="C13" s="41"/>
      <c r="D13" s="41"/>
      <c r="E13" s="41"/>
      <c r="F13" s="12" t="s">
        <v>374</v>
      </c>
      <c r="G13" s="12"/>
      <c r="H13" s="12"/>
      <c r="I13" s="12"/>
      <c r="J13" s="40"/>
      <c r="K13" s="763" t="s">
        <v>357</v>
      </c>
      <c r="L13" s="763"/>
      <c r="M13" s="763"/>
      <c r="N13" s="763"/>
      <c r="O13" s="763"/>
      <c r="P13" s="44" t="s">
        <v>11</v>
      </c>
      <c r="Q13" s="44" t="s">
        <v>11</v>
      </c>
      <c r="R13" s="41"/>
    </row>
    <row r="14" spans="1:18" ht="17.100000000000001" customHeight="1">
      <c r="A14" s="41"/>
      <c r="B14" s="41"/>
      <c r="C14" s="41"/>
      <c r="D14" s="44" t="s">
        <v>101</v>
      </c>
      <c r="E14" s="44" t="s">
        <v>101</v>
      </c>
      <c r="F14" s="41"/>
      <c r="G14" s="41"/>
      <c r="H14" s="44" t="s">
        <v>102</v>
      </c>
      <c r="I14" s="44" t="s">
        <v>103</v>
      </c>
      <c r="J14" s="44"/>
      <c r="K14" s="41"/>
      <c r="L14" s="41"/>
      <c r="O14" s="41"/>
      <c r="P14" s="44" t="s">
        <v>8</v>
      </c>
      <c r="Q14" s="44" t="s">
        <v>6</v>
      </c>
      <c r="R14" s="44" t="s">
        <v>103</v>
      </c>
    </row>
    <row r="15" spans="1:18" ht="15.75">
      <c r="A15" s="41"/>
      <c r="B15" s="41"/>
      <c r="C15" s="41"/>
      <c r="D15" s="44" t="s">
        <v>104</v>
      </c>
      <c r="E15" s="44" t="s">
        <v>104</v>
      </c>
      <c r="F15" s="44" t="s">
        <v>8</v>
      </c>
      <c r="G15" s="44" t="s">
        <v>6</v>
      </c>
      <c r="H15" s="44" t="s">
        <v>105</v>
      </c>
      <c r="I15" s="44" t="s">
        <v>105</v>
      </c>
      <c r="J15" s="44"/>
      <c r="K15" s="44" t="s">
        <v>252</v>
      </c>
      <c r="L15" s="44" t="s">
        <v>252</v>
      </c>
      <c r="M15" s="44" t="s">
        <v>252</v>
      </c>
      <c r="N15" s="44" t="s">
        <v>252</v>
      </c>
      <c r="O15" s="44" t="s">
        <v>252</v>
      </c>
      <c r="P15" s="44" t="s">
        <v>106</v>
      </c>
      <c r="Q15" s="44" t="s">
        <v>106</v>
      </c>
      <c r="R15" s="44" t="s">
        <v>105</v>
      </c>
    </row>
    <row r="16" spans="1:18" ht="15.75">
      <c r="A16" s="44" t="s">
        <v>17</v>
      </c>
      <c r="B16" s="41"/>
      <c r="C16" s="42" t="s">
        <v>18</v>
      </c>
      <c r="D16" s="44" t="s">
        <v>108</v>
      </c>
      <c r="E16" s="44" t="s">
        <v>109</v>
      </c>
      <c r="F16" s="60" t="s">
        <v>829</v>
      </c>
      <c r="G16" s="60" t="s">
        <v>829</v>
      </c>
      <c r="H16" s="304" t="s">
        <v>110</v>
      </c>
      <c r="I16" s="304" t="s">
        <v>111</v>
      </c>
      <c r="J16" s="44"/>
      <c r="K16" s="44" t="s">
        <v>359</v>
      </c>
      <c r="L16" s="60" t="s">
        <v>256</v>
      </c>
      <c r="M16" s="44" t="s">
        <v>532</v>
      </c>
      <c r="N16" s="44" t="s">
        <v>1034</v>
      </c>
      <c r="O16" s="60" t="s">
        <v>358</v>
      </c>
      <c r="P16" s="307" t="s">
        <v>1035</v>
      </c>
      <c r="Q16" s="307" t="s">
        <v>1036</v>
      </c>
      <c r="R16" s="307" t="s">
        <v>968</v>
      </c>
    </row>
    <row r="17" spans="1:22" ht="15.75">
      <c r="A17" s="65" t="s">
        <v>22</v>
      </c>
      <c r="B17" s="61"/>
      <c r="C17" s="421" t="s">
        <v>23</v>
      </c>
      <c r="D17" s="301" t="s">
        <v>33</v>
      </c>
      <c r="E17" s="301" t="s">
        <v>34</v>
      </c>
      <c r="F17" s="301" t="s">
        <v>35</v>
      </c>
      <c r="G17" s="301" t="s">
        <v>36</v>
      </c>
      <c r="H17" s="301" t="s">
        <v>37</v>
      </c>
      <c r="I17" s="301" t="s">
        <v>38</v>
      </c>
      <c r="J17" s="301"/>
      <c r="K17" s="301" t="s">
        <v>39</v>
      </c>
      <c r="L17" s="301" t="s">
        <v>40</v>
      </c>
      <c r="M17" s="301" t="s">
        <v>1032</v>
      </c>
      <c r="N17" s="301" t="s">
        <v>1033</v>
      </c>
      <c r="O17" s="300" t="s">
        <v>42</v>
      </c>
      <c r="P17" s="300" t="s">
        <v>43</v>
      </c>
      <c r="Q17" s="300" t="s">
        <v>44</v>
      </c>
      <c r="R17" s="300" t="s">
        <v>45</v>
      </c>
    </row>
    <row r="18" spans="1:22" ht="15.75">
      <c r="A18" s="41"/>
      <c r="B18" s="41"/>
      <c r="C18" s="41"/>
      <c r="D18" s="308" t="s">
        <v>117</v>
      </c>
      <c r="E18" s="308" t="s">
        <v>49</v>
      </c>
      <c r="F18" s="308" t="s">
        <v>50</v>
      </c>
      <c r="G18" s="308" t="s">
        <v>50</v>
      </c>
      <c r="H18" s="308" t="s">
        <v>50</v>
      </c>
      <c r="I18" s="308" t="s">
        <v>51</v>
      </c>
      <c r="J18" s="308"/>
      <c r="K18" s="308" t="s">
        <v>50</v>
      </c>
      <c r="L18" s="308" t="s">
        <v>50</v>
      </c>
      <c r="M18" s="308" t="s">
        <v>50</v>
      </c>
      <c r="N18" s="308" t="s">
        <v>50</v>
      </c>
      <c r="O18" s="308" t="s">
        <v>50</v>
      </c>
      <c r="P18" s="308" t="s">
        <v>50</v>
      </c>
      <c r="Q18" s="308" t="s">
        <v>50</v>
      </c>
      <c r="R18" s="308" t="s">
        <v>51</v>
      </c>
    </row>
    <row r="19" spans="1:22" ht="15.75">
      <c r="A19" s="1">
        <v>1</v>
      </c>
      <c r="C19" s="42" t="s">
        <v>52</v>
      </c>
      <c r="D19" s="44"/>
      <c r="G19" s="7"/>
    </row>
    <row r="20" spans="1:22">
      <c r="A20" s="1">
        <v>2</v>
      </c>
      <c r="D20" s="2" t="s">
        <v>118</v>
      </c>
      <c r="E20" s="3">
        <v>300</v>
      </c>
      <c r="F20" s="5">
        <f t="shared" ref="F20:F26" si="0">ROUND((E20*CUR_RS_ENERGY)+CUR_RS_CUST,2)+DSM_RS_CUST</f>
        <v>46.79</v>
      </c>
      <c r="G20" s="5">
        <f t="shared" ref="G20:G26" si="1">ROUND((E20*PRO_RS_ENERGY)+PRO_RS_CUST,2)+DSM_RS_CUST</f>
        <v>55.33</v>
      </c>
      <c r="H20" s="5">
        <f t="shared" ref="H20:H26" si="2">G20-F20</f>
        <v>8.5399999999999991</v>
      </c>
      <c r="I20" s="4">
        <f t="shared" ref="I20:I26" si="3">ROUND(H20/F20,3)*100</f>
        <v>18.3</v>
      </c>
      <c r="J20" s="4"/>
      <c r="K20" s="5">
        <f t="shared" ref="K20:K26" si="4">ROUND(E20*CUR_FAC,2)</f>
        <v>1.05</v>
      </c>
      <c r="L20" s="5">
        <f t="shared" ref="L20:L26" si="5">ROUND(E20*DSM_RES,2)</f>
        <v>0.41</v>
      </c>
      <c r="M20" s="5">
        <f t="shared" ref="M20:M26" si="6">ROUND((F20+$K20+$L20+$O20)*CUR_ESM,2)</f>
        <v>0.21</v>
      </c>
      <c r="N20" s="5">
        <f t="shared" ref="N20:N26" si="7">ROUND((G20+$K20+$L20+$O20)*PRO_ESM,2)</f>
        <v>0.2</v>
      </c>
      <c r="O20" s="5">
        <f t="shared" ref="O20:O26" si="8">ROUND(E20*RS_PSM,2)</f>
        <v>0.74</v>
      </c>
      <c r="P20" s="5">
        <f>F20+K20+L20+M20+O20</f>
        <v>49.199999999999996</v>
      </c>
      <c r="Q20" s="5">
        <f>G20+K20+L20+N20+O20</f>
        <v>57.73</v>
      </c>
      <c r="R20" s="4">
        <f t="shared" ref="R20:R26" si="9">ROUND((Q20-P20)/P20,3)*100</f>
        <v>17.299999999999997</v>
      </c>
      <c r="U20" s="5"/>
      <c r="V20" s="5"/>
    </row>
    <row r="21" spans="1:22">
      <c r="A21" s="1">
        <v>3</v>
      </c>
      <c r="D21" s="2" t="s">
        <v>118</v>
      </c>
      <c r="E21" s="3">
        <v>400</v>
      </c>
      <c r="F21" s="5">
        <f t="shared" si="0"/>
        <v>57.959999999999994</v>
      </c>
      <c r="G21" s="5">
        <f t="shared" si="1"/>
        <v>68.34</v>
      </c>
      <c r="H21" s="5">
        <f t="shared" si="2"/>
        <v>10.38000000000001</v>
      </c>
      <c r="I21" s="4">
        <f t="shared" si="3"/>
        <v>17.899999999999999</v>
      </c>
      <c r="J21" s="4"/>
      <c r="K21" s="5">
        <f t="shared" si="4"/>
        <v>1.39</v>
      </c>
      <c r="L21" s="5">
        <f t="shared" si="5"/>
        <v>0.54</v>
      </c>
      <c r="M21" s="5">
        <f t="shared" si="6"/>
        <v>0.26</v>
      </c>
      <c r="N21" s="5">
        <f t="shared" si="7"/>
        <v>0.25</v>
      </c>
      <c r="O21" s="5">
        <f t="shared" si="8"/>
        <v>0.99</v>
      </c>
      <c r="P21" s="5">
        <f t="shared" ref="P21:P26" si="10">F21+K21+L21+M21+O21</f>
        <v>61.139999999999993</v>
      </c>
      <c r="Q21" s="5">
        <f t="shared" ref="Q21:Q26" si="11">G21+K21+L21+N21+O21</f>
        <v>71.510000000000005</v>
      </c>
      <c r="R21" s="4">
        <f t="shared" si="9"/>
        <v>17</v>
      </c>
    </row>
    <row r="22" spans="1:22">
      <c r="A22" s="1">
        <v>4</v>
      </c>
      <c r="D22" s="2" t="s">
        <v>118</v>
      </c>
      <c r="E22" s="3">
        <v>500</v>
      </c>
      <c r="F22" s="5">
        <f t="shared" si="0"/>
        <v>69.11999999999999</v>
      </c>
      <c r="G22" s="5">
        <f t="shared" si="1"/>
        <v>81.36</v>
      </c>
      <c r="H22" s="5">
        <f t="shared" si="2"/>
        <v>12.240000000000009</v>
      </c>
      <c r="I22" s="4">
        <f t="shared" si="3"/>
        <v>17.7</v>
      </c>
      <c r="J22" s="4"/>
      <c r="K22" s="5">
        <f t="shared" si="4"/>
        <v>1.74</v>
      </c>
      <c r="L22" s="5">
        <f t="shared" si="5"/>
        <v>0.68</v>
      </c>
      <c r="M22" s="5">
        <f t="shared" si="6"/>
        <v>0.31</v>
      </c>
      <c r="N22" s="5">
        <f t="shared" si="7"/>
        <v>0.3</v>
      </c>
      <c r="O22" s="5">
        <f t="shared" si="8"/>
        <v>1.24</v>
      </c>
      <c r="P22" s="5">
        <f t="shared" si="10"/>
        <v>73.089999999999989</v>
      </c>
      <c r="Q22" s="5">
        <f t="shared" si="11"/>
        <v>85.32</v>
      </c>
      <c r="R22" s="4">
        <f t="shared" si="9"/>
        <v>16.7</v>
      </c>
    </row>
    <row r="23" spans="1:22">
      <c r="A23" s="1">
        <v>5</v>
      </c>
      <c r="D23" s="2" t="s">
        <v>118</v>
      </c>
      <c r="E23" s="3">
        <v>800</v>
      </c>
      <c r="F23" s="5">
        <f t="shared" si="0"/>
        <v>102.61</v>
      </c>
      <c r="G23" s="5">
        <f t="shared" si="1"/>
        <v>120.39</v>
      </c>
      <c r="H23" s="5">
        <f t="shared" si="2"/>
        <v>17.78</v>
      </c>
      <c r="I23" s="4">
        <f t="shared" si="3"/>
        <v>17.299999999999997</v>
      </c>
      <c r="J23" s="4"/>
      <c r="K23" s="5">
        <f t="shared" si="4"/>
        <v>2.79</v>
      </c>
      <c r="L23" s="5">
        <f t="shared" si="5"/>
        <v>1.08</v>
      </c>
      <c r="M23" s="5">
        <f t="shared" si="6"/>
        <v>0.46</v>
      </c>
      <c r="N23" s="5">
        <f t="shared" si="7"/>
        <v>0.45</v>
      </c>
      <c r="O23" s="5">
        <f t="shared" si="8"/>
        <v>1.98</v>
      </c>
      <c r="P23" s="5">
        <f t="shared" si="10"/>
        <v>108.92</v>
      </c>
      <c r="Q23" s="5">
        <f t="shared" si="11"/>
        <v>126.69000000000001</v>
      </c>
      <c r="R23" s="4">
        <f t="shared" si="9"/>
        <v>16.3</v>
      </c>
    </row>
    <row r="24" spans="1:22">
      <c r="A24" s="1">
        <v>6</v>
      </c>
      <c r="D24" s="2" t="s">
        <v>118</v>
      </c>
      <c r="E24" s="3">
        <v>1000</v>
      </c>
      <c r="F24" s="5">
        <f t="shared" si="0"/>
        <v>124.94</v>
      </c>
      <c r="G24" s="5">
        <f t="shared" si="1"/>
        <v>146.41000000000003</v>
      </c>
      <c r="H24" s="5">
        <f t="shared" si="2"/>
        <v>21.470000000000027</v>
      </c>
      <c r="I24" s="4">
        <f t="shared" si="3"/>
        <v>17.2</v>
      </c>
      <c r="J24" s="4"/>
      <c r="K24" s="5">
        <f t="shared" si="4"/>
        <v>3.49</v>
      </c>
      <c r="L24" s="5">
        <f t="shared" si="5"/>
        <v>1.35</v>
      </c>
      <c r="M24" s="5">
        <f t="shared" si="6"/>
        <v>0.56000000000000005</v>
      </c>
      <c r="N24" s="5">
        <f t="shared" si="7"/>
        <v>0.54</v>
      </c>
      <c r="O24" s="5">
        <f t="shared" si="8"/>
        <v>2.48</v>
      </c>
      <c r="P24" s="5">
        <f t="shared" si="10"/>
        <v>132.82</v>
      </c>
      <c r="Q24" s="5">
        <f t="shared" si="11"/>
        <v>154.27000000000001</v>
      </c>
      <c r="R24" s="4">
        <f t="shared" si="9"/>
        <v>16.100000000000001</v>
      </c>
      <c r="S24" s="5">
        <f>Q24-P24</f>
        <v>21.450000000000017</v>
      </c>
    </row>
    <row r="25" spans="1:22">
      <c r="A25" s="1">
        <v>7</v>
      </c>
      <c r="D25" s="2" t="s">
        <v>118</v>
      </c>
      <c r="E25" s="3">
        <v>1500</v>
      </c>
      <c r="F25" s="5">
        <f t="shared" si="0"/>
        <v>180.76000000000002</v>
      </c>
      <c r="G25" s="5">
        <f t="shared" si="1"/>
        <v>211.47</v>
      </c>
      <c r="H25" s="5">
        <f t="shared" si="2"/>
        <v>30.70999999999998</v>
      </c>
      <c r="I25" s="4">
        <f t="shared" si="3"/>
        <v>17</v>
      </c>
      <c r="J25" s="4"/>
      <c r="K25" s="5">
        <f t="shared" si="4"/>
        <v>5.23</v>
      </c>
      <c r="L25" s="5">
        <f t="shared" si="5"/>
        <v>2.0299999999999998</v>
      </c>
      <c r="M25" s="5">
        <f t="shared" si="6"/>
        <v>0.81</v>
      </c>
      <c r="N25" s="5">
        <f t="shared" si="7"/>
        <v>0.79</v>
      </c>
      <c r="O25" s="5">
        <f t="shared" si="8"/>
        <v>3.71</v>
      </c>
      <c r="P25" s="5">
        <f t="shared" si="10"/>
        <v>192.54000000000002</v>
      </c>
      <c r="Q25" s="5">
        <f t="shared" si="11"/>
        <v>223.23</v>
      </c>
      <c r="R25" s="4">
        <f t="shared" si="9"/>
        <v>15.9</v>
      </c>
    </row>
    <row r="26" spans="1:22">
      <c r="A26" s="1">
        <v>8</v>
      </c>
      <c r="D26" s="2" t="s">
        <v>118</v>
      </c>
      <c r="E26" s="3">
        <v>2000</v>
      </c>
      <c r="F26" s="5">
        <f t="shared" si="0"/>
        <v>236.58</v>
      </c>
      <c r="G26" s="5">
        <f t="shared" si="1"/>
        <v>276.52000000000004</v>
      </c>
      <c r="H26" s="5">
        <f t="shared" si="2"/>
        <v>39.940000000000026</v>
      </c>
      <c r="I26" s="4">
        <f t="shared" si="3"/>
        <v>16.900000000000002</v>
      </c>
      <c r="J26" s="4"/>
      <c r="K26" s="5">
        <f t="shared" si="4"/>
        <v>6.97</v>
      </c>
      <c r="L26" s="5">
        <f t="shared" si="5"/>
        <v>2.7</v>
      </c>
      <c r="M26" s="5">
        <f t="shared" si="6"/>
        <v>1.06</v>
      </c>
      <c r="N26" s="5">
        <f t="shared" si="7"/>
        <v>1.03</v>
      </c>
      <c r="O26" s="5">
        <f t="shared" si="8"/>
        <v>4.95</v>
      </c>
      <c r="P26" s="5">
        <f t="shared" si="10"/>
        <v>252.26</v>
      </c>
      <c r="Q26" s="5">
        <f t="shared" si="11"/>
        <v>292.17</v>
      </c>
      <c r="R26" s="4">
        <f t="shared" si="9"/>
        <v>15.8</v>
      </c>
    </row>
    <row r="27" spans="1:22">
      <c r="G27" s="7"/>
      <c r="H27" s="5"/>
      <c r="I27" s="4"/>
      <c r="J27" s="4"/>
      <c r="K27" s="5"/>
      <c r="L27" s="5"/>
      <c r="M27" s="5"/>
      <c r="N27" s="5"/>
      <c r="O27" s="5"/>
      <c r="P27" s="5"/>
      <c r="Q27" s="5"/>
      <c r="R27" s="4"/>
    </row>
    <row r="28" spans="1:22" ht="15.75">
      <c r="C28" s="42" t="str">
        <f>"(1) REFLECTS DSM HEA RIDER  OF "&amp;TEXT(DSM_RS_CUST,"$0.00;($0.00)")&amp;" PER BILL."</f>
        <v>(1) REFLECTS DSM HEA RIDER  OF $0.30 PER BILL.</v>
      </c>
      <c r="D28" s="2"/>
      <c r="E28" s="3"/>
      <c r="F28" s="5"/>
      <c r="G28" s="5"/>
      <c r="H28" s="5"/>
      <c r="I28" s="4"/>
      <c r="J28" s="4"/>
      <c r="K28" s="5"/>
      <c r="L28" s="5"/>
      <c r="M28" s="5"/>
      <c r="N28" s="5"/>
      <c r="O28" s="5"/>
      <c r="P28" s="5"/>
      <c r="Q28" s="5"/>
      <c r="R28" s="4"/>
    </row>
    <row r="29" spans="1:22" ht="15.75">
      <c r="C29" s="42" t="str">
        <f>"(2) REFLECTS FUEL ADJUSTMENT CLAUSE (FAC) OF "&amp;TEXT(CUR_FAC,"$0.000000;($0.000000)")&amp;" PER KWH."</f>
        <v>(2) REFLECTS FUEL ADJUSTMENT CLAUSE (FAC) OF $0.003487 PER KWH.</v>
      </c>
      <c r="G29" s="7"/>
      <c r="H29" s="5"/>
      <c r="I29" s="4"/>
      <c r="J29" s="4"/>
      <c r="K29" s="5"/>
      <c r="L29" s="5"/>
      <c r="M29" s="5"/>
      <c r="N29" s="5"/>
      <c r="O29" s="5"/>
      <c r="P29" s="7"/>
      <c r="Q29" s="7"/>
      <c r="R29" s="4"/>
    </row>
    <row r="30" spans="1:22" ht="15.75">
      <c r="C30" s="42" t="str">
        <f>"(3) RIDER DSMR "&amp;TEXT(DSM_RES,"$0.000000")&amp;"  PER KWH."</f>
        <v>(3) RIDER DSMR $0.001352  PER KWH.</v>
      </c>
      <c r="H30" s="5"/>
      <c r="K30" s="5"/>
      <c r="L30" s="5"/>
      <c r="M30" s="5"/>
      <c r="N30" s="5"/>
      <c r="O30" s="5"/>
    </row>
    <row r="31" spans="1:22" ht="15.75">
      <c r="C31" s="42" t="str">
        <f>"(4) RIDER ESM "&amp;TEXT(CUR_ESM,"#0.00%")&amp;"  OF TOTAL CURRENT BILL."</f>
        <v>(4) RIDER ESM 0.42%  OF TOTAL CURRENT BILL.</v>
      </c>
      <c r="H31" s="5"/>
      <c r="K31" s="5"/>
      <c r="L31" s="5"/>
      <c r="M31" s="5"/>
      <c r="N31" s="5"/>
      <c r="O31" s="5"/>
    </row>
    <row r="32" spans="1:22" ht="15.75">
      <c r="C32" s="42" t="str">
        <f>"(5) RIDER PSM "&amp;TEXT(RS_PSM,"$0.000000;($0.000000)")&amp;"  PER KWH."</f>
        <v>(5) RIDER PSM $0.002475  PER KWH.</v>
      </c>
      <c r="H32" s="5"/>
      <c r="K32" s="5"/>
      <c r="L32" s="5"/>
      <c r="M32" s="5"/>
      <c r="N32" s="5"/>
      <c r="O32" s="5"/>
    </row>
    <row r="33" spans="1:18" ht="15.75">
      <c r="C33" s="42" t="str">
        <f>"(6) REFLECTS FUEL COST RECOVERY INCLUDED IN BASE RATES OF "&amp;TEXT(CUR_BASE_FUEL,"$0.000000;($0.000000)")&amp;"  PER KWH."</f>
        <v>(6) REFLECTS FUEL COST RECOVERY INCLUDED IN BASE RATES OF $0.033780  PER KWH.</v>
      </c>
      <c r="H33" s="5"/>
      <c r="K33" s="5"/>
      <c r="L33" s="5"/>
      <c r="M33" s="5"/>
      <c r="N33" s="5"/>
      <c r="O33" s="5"/>
    </row>
    <row r="34" spans="1:18" ht="15.75">
      <c r="C34" s="42" t="str">
        <f>"(7) RIDER ESM "&amp;TEXT(PRO_ESM,"#0.00%")&amp;"  OF TOTAL PROPOSED BILL."</f>
        <v>(7) RIDER ESM 0.35%  OF TOTAL PROPOSED BILL.</v>
      </c>
      <c r="H34" s="5"/>
      <c r="K34" s="5"/>
      <c r="L34" s="5"/>
      <c r="M34" s="5"/>
      <c r="N34" s="5"/>
      <c r="O34" s="5"/>
    </row>
    <row r="35" spans="1:18" ht="15.75">
      <c r="A35" s="40" t="str">
        <f>NAME</f>
        <v>DUKE ENERGY KENTUCKY, INC.</v>
      </c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</row>
    <row r="36" spans="1:18" ht="15.75">
      <c r="A36" s="40" t="str">
        <f>CASE_NO</f>
        <v>CASE NO.   2024-00354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</row>
    <row r="37" spans="1:18" ht="15.75">
      <c r="A37" s="40" t="s">
        <v>171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</row>
    <row r="38" spans="1:18" ht="15.75">
      <c r="A38" s="40" t="str">
        <f>SERVICE</f>
        <v>(ELECTRIC SERVICE)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</row>
    <row r="39" spans="1:18" ht="15.75">
      <c r="A39" s="42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</row>
    <row r="40" spans="1:18" ht="15.75">
      <c r="A40" s="41" t="str">
        <f>DATA_PERIOD</f>
        <v>DATA: ____ BASE PERIOD   __X__FORECASTED PERIOD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2" t="s">
        <v>172</v>
      </c>
      <c r="R40" s="41"/>
    </row>
    <row r="41" spans="1:18" ht="15.75">
      <c r="A41" s="41" t="str">
        <f>TYPE</f>
        <v>TYPE OF FILING: _X_ ORIGINAL   ___UPDATED  ___ REVISED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2" t="s">
        <v>120</v>
      </c>
      <c r="R41" s="41"/>
    </row>
    <row r="42" spans="1:18" ht="15.75">
      <c r="A42" s="42" t="s">
        <v>100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2" t="s">
        <v>3</v>
      </c>
      <c r="R42" s="41"/>
    </row>
    <row r="43" spans="1:18" ht="15.75">
      <c r="A43" s="130" t="str">
        <f>TIME</f>
        <v>12 Months Projected with Riders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 t="str">
        <f>WIT</f>
        <v>B. L. Sailers</v>
      </c>
      <c r="R43" s="41"/>
    </row>
    <row r="44" spans="1:18">
      <c r="A44" s="764" t="s">
        <v>426</v>
      </c>
      <c r="B44" s="764"/>
      <c r="C44" s="764"/>
      <c r="D44" s="764"/>
      <c r="E44" s="764"/>
      <c r="F44" s="764"/>
      <c r="G44" s="764"/>
      <c r="H44" s="764"/>
      <c r="I44" s="764"/>
      <c r="J44" s="764"/>
      <c r="K44" s="764"/>
      <c r="L44" s="764"/>
      <c r="M44" s="764"/>
      <c r="N44" s="764"/>
      <c r="O44" s="764"/>
      <c r="P44" s="764"/>
      <c r="Q44" s="764"/>
      <c r="R44" s="764"/>
    </row>
    <row r="45" spans="1:18" ht="15.7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</row>
    <row r="46" spans="1:18" ht="15.75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</row>
    <row r="47" spans="1:18" ht="15.75">
      <c r="A47" s="41"/>
      <c r="B47" s="41"/>
      <c r="C47" s="41"/>
      <c r="D47" s="41"/>
      <c r="E47" s="41"/>
      <c r="F47" s="12" t="s">
        <v>374</v>
      </c>
      <c r="G47" s="12"/>
      <c r="H47" s="12"/>
      <c r="I47" s="12"/>
      <c r="J47" s="40"/>
      <c r="K47" s="763" t="s">
        <v>357</v>
      </c>
      <c r="L47" s="763"/>
      <c r="M47" s="763"/>
      <c r="N47" s="763"/>
      <c r="O47" s="763"/>
      <c r="P47" s="44" t="s">
        <v>11</v>
      </c>
      <c r="Q47" s="44" t="s">
        <v>11</v>
      </c>
      <c r="R47" s="41"/>
    </row>
    <row r="48" spans="1:18" ht="17.100000000000001" customHeight="1">
      <c r="A48" s="41"/>
      <c r="B48" s="41"/>
      <c r="C48" s="41"/>
      <c r="D48" s="44" t="s">
        <v>101</v>
      </c>
      <c r="E48" s="44" t="s">
        <v>101</v>
      </c>
      <c r="F48" s="41"/>
      <c r="G48" s="41"/>
      <c r="H48" s="44" t="s">
        <v>102</v>
      </c>
      <c r="I48" s="44" t="s">
        <v>103</v>
      </c>
      <c r="J48" s="44"/>
      <c r="K48" s="41"/>
      <c r="L48" s="41"/>
      <c r="O48" s="41"/>
      <c r="P48" s="44" t="s">
        <v>8</v>
      </c>
      <c r="Q48" s="44" t="s">
        <v>6</v>
      </c>
      <c r="R48" s="44" t="s">
        <v>103</v>
      </c>
    </row>
    <row r="49" spans="1:21" ht="15.75">
      <c r="A49" s="41"/>
      <c r="B49" s="41"/>
      <c r="C49" s="41"/>
      <c r="D49" s="44" t="s">
        <v>104</v>
      </c>
      <c r="E49" s="44" t="s">
        <v>104</v>
      </c>
      <c r="F49" s="44" t="s">
        <v>8</v>
      </c>
      <c r="G49" s="44" t="s">
        <v>6</v>
      </c>
      <c r="H49" s="44" t="s">
        <v>105</v>
      </c>
      <c r="I49" s="44" t="s">
        <v>105</v>
      </c>
      <c r="J49" s="44"/>
      <c r="K49" s="44" t="s">
        <v>252</v>
      </c>
      <c r="L49" s="44" t="s">
        <v>252</v>
      </c>
      <c r="M49" s="44" t="s">
        <v>252</v>
      </c>
      <c r="N49" s="44" t="s">
        <v>252</v>
      </c>
      <c r="O49" s="44" t="s">
        <v>252</v>
      </c>
      <c r="P49" s="44" t="s">
        <v>106</v>
      </c>
      <c r="Q49" s="44" t="s">
        <v>106</v>
      </c>
      <c r="R49" s="44" t="s">
        <v>105</v>
      </c>
    </row>
    <row r="50" spans="1:21" ht="15.75">
      <c r="A50" s="44" t="s">
        <v>17</v>
      </c>
      <c r="B50" s="41"/>
      <c r="C50" s="42" t="s">
        <v>18</v>
      </c>
      <c r="D50" s="44" t="s">
        <v>108</v>
      </c>
      <c r="E50" s="44" t="s">
        <v>109</v>
      </c>
      <c r="F50" s="60" t="s">
        <v>1040</v>
      </c>
      <c r="G50" s="60" t="s">
        <v>1040</v>
      </c>
      <c r="H50" s="304" t="s">
        <v>110</v>
      </c>
      <c r="I50" s="304" t="s">
        <v>111</v>
      </c>
      <c r="J50" s="44"/>
      <c r="K50" s="44" t="s">
        <v>355</v>
      </c>
      <c r="L50" s="60" t="s">
        <v>255</v>
      </c>
      <c r="M50" s="60" t="s">
        <v>534</v>
      </c>
      <c r="N50" s="44" t="s">
        <v>1037</v>
      </c>
      <c r="O50" s="60" t="s">
        <v>831</v>
      </c>
      <c r="P50" s="307" t="s">
        <v>1035</v>
      </c>
      <c r="Q50" s="307" t="s">
        <v>1036</v>
      </c>
      <c r="R50" s="307" t="s">
        <v>968</v>
      </c>
    </row>
    <row r="51" spans="1:21" ht="15.75">
      <c r="A51" s="65" t="s">
        <v>22</v>
      </c>
      <c r="B51" s="61"/>
      <c r="C51" s="421" t="s">
        <v>23</v>
      </c>
      <c r="D51" s="301" t="s">
        <v>33</v>
      </c>
      <c r="E51" s="301" t="s">
        <v>34</v>
      </c>
      <c r="F51" s="301" t="s">
        <v>35</v>
      </c>
      <c r="G51" s="301" t="s">
        <v>36</v>
      </c>
      <c r="H51" s="301" t="s">
        <v>37</v>
      </c>
      <c r="I51" s="301" t="s">
        <v>38</v>
      </c>
      <c r="J51" s="301"/>
      <c r="K51" s="301" t="s">
        <v>39</v>
      </c>
      <c r="L51" s="301" t="s">
        <v>40</v>
      </c>
      <c r="M51" s="301" t="s">
        <v>1032</v>
      </c>
      <c r="N51" s="301" t="s">
        <v>1033</v>
      </c>
      <c r="O51" s="300" t="s">
        <v>42</v>
      </c>
      <c r="P51" s="300" t="s">
        <v>43</v>
      </c>
      <c r="Q51" s="300" t="s">
        <v>44</v>
      </c>
      <c r="R51" s="300" t="s">
        <v>45</v>
      </c>
    </row>
    <row r="52" spans="1:21" ht="15.75">
      <c r="A52" s="41"/>
      <c r="B52" s="41"/>
      <c r="C52" s="41"/>
      <c r="D52" s="308" t="s">
        <v>117</v>
      </c>
      <c r="E52" s="308" t="s">
        <v>49</v>
      </c>
      <c r="F52" s="308" t="s">
        <v>50</v>
      </c>
      <c r="G52" s="308" t="s">
        <v>50</v>
      </c>
      <c r="H52" s="308" t="s">
        <v>50</v>
      </c>
      <c r="I52" s="308" t="s">
        <v>51</v>
      </c>
      <c r="J52" s="308"/>
      <c r="K52" s="308" t="s">
        <v>50</v>
      </c>
      <c r="L52" s="308" t="s">
        <v>50</v>
      </c>
      <c r="M52" s="308" t="s">
        <v>50</v>
      </c>
      <c r="N52" s="308" t="s">
        <v>50</v>
      </c>
      <c r="O52" s="308" t="s">
        <v>50</v>
      </c>
      <c r="P52" s="308" t="s">
        <v>50</v>
      </c>
      <c r="Q52" s="308" t="s">
        <v>50</v>
      </c>
      <c r="R52" s="308" t="s">
        <v>51</v>
      </c>
    </row>
    <row r="53" spans="1:21" ht="15.75">
      <c r="A53" s="1">
        <v>1</v>
      </c>
      <c r="C53" s="42" t="s">
        <v>91</v>
      </c>
      <c r="D53" s="1">
        <v>5</v>
      </c>
      <c r="E53" s="3">
        <v>2000</v>
      </c>
      <c r="F53" s="5">
        <f>'BILL CALC'!I21</f>
        <v>259.58000000000004</v>
      </c>
      <c r="G53" s="5">
        <f>'BILL CALC'!R21</f>
        <v>278.98</v>
      </c>
      <c r="H53" s="5">
        <f t="shared" ref="H53:H73" si="12">G53-F53</f>
        <v>19.399999999999977</v>
      </c>
      <c r="I53" s="6">
        <f t="shared" ref="I53:I73" si="13">ROUND(H53/F53,3)*100</f>
        <v>7.5</v>
      </c>
      <c r="J53" s="6"/>
      <c r="K53" s="5">
        <f t="shared" ref="K53:K73" si="14">ROUND(E53*CUR_FAC,2)</f>
        <v>6.97</v>
      </c>
      <c r="L53" s="5">
        <f t="shared" ref="L53:L73" si="15">ROUND(E53*DSM_DIST,2)</f>
        <v>7.01</v>
      </c>
      <c r="M53" s="5">
        <f t="shared" ref="M53:M73" si="16">ROUND((F53+$L53+$O53-PRO_BASE_FUEL*$E53)*CUR_ESM_NonRes,2)</f>
        <v>1.32</v>
      </c>
      <c r="N53" s="5">
        <f t="shared" ref="N53:N73" si="17">ROUND((G53+$L53+$O53-PRO_BASE_FUEL*$E53)*PRO_ESM_NONRES,2)</f>
        <v>1.22</v>
      </c>
      <c r="O53" s="5">
        <f t="shared" ref="O53:O73" si="18">ROUND(E53*RS_PSM,2)</f>
        <v>4.95</v>
      </c>
      <c r="P53" s="5">
        <f>F53+K53+L53+M53+O53</f>
        <v>279.83000000000004</v>
      </c>
      <c r="Q53" s="5">
        <f>G53+K53+L53+N53+O53</f>
        <v>299.13000000000005</v>
      </c>
      <c r="R53" s="4">
        <f>ROUND((Q53-P53)/P53,3)*100</f>
        <v>6.9</v>
      </c>
      <c r="T53" s="1" t="s">
        <v>1352</v>
      </c>
      <c r="U53" s="4">
        <f>MAX(R53:R73)</f>
        <v>20.7</v>
      </c>
    </row>
    <row r="54" spans="1:21">
      <c r="A54" s="1">
        <v>2</v>
      </c>
      <c r="D54" s="1">
        <v>10</v>
      </c>
      <c r="E54" s="3">
        <v>4000</v>
      </c>
      <c r="F54" s="5">
        <f>'BILL CALC'!I22</f>
        <v>489.15</v>
      </c>
      <c r="G54" s="5">
        <f>'BILL CALC'!R22</f>
        <v>527.97</v>
      </c>
      <c r="H54" s="5">
        <f t="shared" si="12"/>
        <v>38.82000000000005</v>
      </c>
      <c r="I54" s="6">
        <f t="shared" si="13"/>
        <v>7.9</v>
      </c>
      <c r="J54" s="6"/>
      <c r="K54" s="5">
        <f t="shared" si="14"/>
        <v>13.95</v>
      </c>
      <c r="L54" s="5">
        <f t="shared" si="15"/>
        <v>14.01</v>
      </c>
      <c r="M54" s="5">
        <f t="shared" si="16"/>
        <v>2.4500000000000002</v>
      </c>
      <c r="N54" s="5">
        <f t="shared" si="17"/>
        <v>2.2799999999999998</v>
      </c>
      <c r="O54" s="5">
        <f t="shared" si="18"/>
        <v>9.9</v>
      </c>
      <c r="P54" s="5">
        <f t="shared" ref="P54:P73" si="19">F54+K54+L54+M54+O54</f>
        <v>529.46</v>
      </c>
      <c r="Q54" s="5">
        <f t="shared" ref="Q54:Q73" si="20">G54+K54+L54+N54+O54</f>
        <v>568.11</v>
      </c>
      <c r="R54" s="4">
        <f>ROUND((Q54-P54)/P54,3)*100</f>
        <v>7.3</v>
      </c>
      <c r="T54" s="1" t="s">
        <v>1353</v>
      </c>
      <c r="U54" s="4">
        <f>MIN(R53:R73)</f>
        <v>6.9</v>
      </c>
    </row>
    <row r="55" spans="1:21">
      <c r="A55" s="1">
        <v>3</v>
      </c>
      <c r="D55" s="1">
        <v>10</v>
      </c>
      <c r="E55" s="3">
        <v>6000</v>
      </c>
      <c r="F55" s="5">
        <f>'BILL CALC'!I23</f>
        <v>718.73</v>
      </c>
      <c r="G55" s="5">
        <f>'BILL CALC'!R23</f>
        <v>776.95</v>
      </c>
      <c r="H55" s="5">
        <f t="shared" si="12"/>
        <v>58.220000000000027</v>
      </c>
      <c r="I55" s="6">
        <f t="shared" si="13"/>
        <v>8.1</v>
      </c>
      <c r="J55" s="6"/>
      <c r="K55" s="5">
        <f t="shared" si="14"/>
        <v>20.92</v>
      </c>
      <c r="L55" s="5">
        <f t="shared" si="15"/>
        <v>21.02</v>
      </c>
      <c r="M55" s="5">
        <f t="shared" si="16"/>
        <v>3.58</v>
      </c>
      <c r="N55" s="5">
        <f t="shared" si="17"/>
        <v>3.33</v>
      </c>
      <c r="O55" s="5">
        <f t="shared" si="18"/>
        <v>14.85</v>
      </c>
      <c r="P55" s="5">
        <f t="shared" si="19"/>
        <v>779.1</v>
      </c>
      <c r="Q55" s="5">
        <f t="shared" si="20"/>
        <v>837.07</v>
      </c>
      <c r="R55" s="6">
        <f t="shared" ref="R55:R73" si="21">ROUND((Q55-P55)/P55,3)*100</f>
        <v>7.3999999999999995</v>
      </c>
    </row>
    <row r="56" spans="1:21">
      <c r="A56" s="1">
        <v>4</v>
      </c>
      <c r="D56" s="1">
        <v>30</v>
      </c>
      <c r="E56" s="3">
        <v>6000</v>
      </c>
      <c r="F56" s="5">
        <f>'BILL CALC'!I24</f>
        <v>878.93000000000006</v>
      </c>
      <c r="G56" s="5">
        <f>'BILL CALC'!R24</f>
        <v>1014.7</v>
      </c>
      <c r="H56" s="5">
        <f t="shared" si="12"/>
        <v>135.76999999999998</v>
      </c>
      <c r="I56" s="6">
        <f t="shared" si="13"/>
        <v>15.4</v>
      </c>
      <c r="J56" s="6"/>
      <c r="K56" s="5">
        <f t="shared" si="14"/>
        <v>20.92</v>
      </c>
      <c r="L56" s="5">
        <f t="shared" si="15"/>
        <v>21.02</v>
      </c>
      <c r="M56" s="5">
        <f t="shared" si="16"/>
        <v>4.62</v>
      </c>
      <c r="N56" s="5">
        <f t="shared" si="17"/>
        <v>4.63</v>
      </c>
      <c r="O56" s="5">
        <f t="shared" si="18"/>
        <v>14.85</v>
      </c>
      <c r="P56" s="5">
        <f t="shared" si="19"/>
        <v>940.34</v>
      </c>
      <c r="Q56" s="5">
        <f t="shared" si="20"/>
        <v>1076.1200000000001</v>
      </c>
      <c r="R56" s="6">
        <f t="shared" si="21"/>
        <v>14.399999999999999</v>
      </c>
    </row>
    <row r="57" spans="1:21">
      <c r="A57" s="1">
        <v>5</v>
      </c>
      <c r="D57" s="1">
        <v>30</v>
      </c>
      <c r="E57" s="3">
        <v>9000</v>
      </c>
      <c r="F57" s="5">
        <f>'BILL CALC'!I25</f>
        <v>1102.79</v>
      </c>
      <c r="G57" s="5">
        <f>'BILL CALC'!R25</f>
        <v>1248.68</v>
      </c>
      <c r="H57" s="5">
        <f t="shared" si="12"/>
        <v>145.8900000000001</v>
      </c>
      <c r="I57" s="6">
        <f t="shared" si="13"/>
        <v>13.200000000000001</v>
      </c>
      <c r="J57" s="6"/>
      <c r="K57" s="5">
        <f t="shared" si="14"/>
        <v>31.38</v>
      </c>
      <c r="L57" s="5">
        <f t="shared" si="15"/>
        <v>31.53</v>
      </c>
      <c r="M57" s="5">
        <f t="shared" si="16"/>
        <v>5.54</v>
      </c>
      <c r="N57" s="5">
        <f t="shared" si="17"/>
        <v>5.45</v>
      </c>
      <c r="O57" s="5">
        <f t="shared" si="18"/>
        <v>22.28</v>
      </c>
      <c r="P57" s="5">
        <f t="shared" si="19"/>
        <v>1193.52</v>
      </c>
      <c r="Q57" s="5">
        <f t="shared" si="20"/>
        <v>1339.3200000000002</v>
      </c>
      <c r="R57" s="6">
        <f t="shared" si="21"/>
        <v>12.2</v>
      </c>
    </row>
    <row r="58" spans="1:21">
      <c r="A58" s="1">
        <v>6</v>
      </c>
      <c r="D58" s="1">
        <v>30</v>
      </c>
      <c r="E58" s="3">
        <v>12000</v>
      </c>
      <c r="F58" s="5">
        <f>'BILL CALC'!I26</f>
        <v>1326.64</v>
      </c>
      <c r="G58" s="5">
        <f>'BILL CALC'!R26</f>
        <v>1482.66</v>
      </c>
      <c r="H58" s="5">
        <f t="shared" si="12"/>
        <v>156.01999999999998</v>
      </c>
      <c r="I58" s="6">
        <f t="shared" si="13"/>
        <v>11.799999999999999</v>
      </c>
      <c r="J58" s="6"/>
      <c r="K58" s="5">
        <f t="shared" si="14"/>
        <v>41.85</v>
      </c>
      <c r="L58" s="5">
        <f t="shared" si="15"/>
        <v>42.04</v>
      </c>
      <c r="M58" s="5">
        <f t="shared" si="16"/>
        <v>6.45</v>
      </c>
      <c r="N58" s="5">
        <f t="shared" si="17"/>
        <v>6.27</v>
      </c>
      <c r="O58" s="5">
        <f t="shared" si="18"/>
        <v>29.7</v>
      </c>
      <c r="P58" s="5">
        <f t="shared" si="19"/>
        <v>1446.68</v>
      </c>
      <c r="Q58" s="5">
        <f t="shared" si="20"/>
        <v>1602.52</v>
      </c>
      <c r="R58" s="6">
        <f t="shared" si="21"/>
        <v>10.8</v>
      </c>
    </row>
    <row r="59" spans="1:21">
      <c r="A59" s="1">
        <v>7</v>
      </c>
      <c r="D59" s="1">
        <v>50</v>
      </c>
      <c r="E59" s="3">
        <v>10000</v>
      </c>
      <c r="F59" s="5">
        <f>'BILL CALC'!I27</f>
        <v>1391.01</v>
      </c>
      <c r="G59" s="5">
        <f>'BILL CALC'!R27</f>
        <v>1643.68</v>
      </c>
      <c r="H59" s="5">
        <f t="shared" si="12"/>
        <v>252.67000000000007</v>
      </c>
      <c r="I59" s="6">
        <f t="shared" si="13"/>
        <v>18.2</v>
      </c>
      <c r="J59" s="6"/>
      <c r="K59" s="5">
        <f t="shared" si="14"/>
        <v>34.869999999999997</v>
      </c>
      <c r="L59" s="5">
        <f t="shared" si="15"/>
        <v>35.03</v>
      </c>
      <c r="M59" s="5">
        <f t="shared" si="16"/>
        <v>7.23</v>
      </c>
      <c r="N59" s="5">
        <f t="shared" si="17"/>
        <v>7.46</v>
      </c>
      <c r="O59" s="5">
        <f t="shared" si="18"/>
        <v>24.75</v>
      </c>
      <c r="P59" s="5">
        <f t="shared" si="19"/>
        <v>1492.8899999999999</v>
      </c>
      <c r="Q59" s="5">
        <f t="shared" si="20"/>
        <v>1745.79</v>
      </c>
      <c r="R59" s="6">
        <f t="shared" si="21"/>
        <v>16.900000000000002</v>
      </c>
    </row>
    <row r="60" spans="1:21">
      <c r="A60" s="1">
        <v>8</v>
      </c>
      <c r="D60" s="1">
        <v>50</v>
      </c>
      <c r="E60" s="3">
        <v>15000</v>
      </c>
      <c r="F60" s="5">
        <f>'BILL CALC'!I28</f>
        <v>1764.1</v>
      </c>
      <c r="G60" s="5">
        <f>'BILL CALC'!R28</f>
        <v>2033.65</v>
      </c>
      <c r="H60" s="5">
        <f t="shared" si="12"/>
        <v>269.55000000000018</v>
      </c>
      <c r="I60" s="6">
        <f t="shared" si="13"/>
        <v>15.299999999999999</v>
      </c>
      <c r="J60" s="6"/>
      <c r="K60" s="5">
        <f t="shared" si="14"/>
        <v>52.31</v>
      </c>
      <c r="L60" s="5">
        <f t="shared" si="15"/>
        <v>52.55</v>
      </c>
      <c r="M60" s="5">
        <f t="shared" si="16"/>
        <v>8.75</v>
      </c>
      <c r="N60" s="5">
        <f t="shared" si="17"/>
        <v>8.83</v>
      </c>
      <c r="O60" s="5">
        <f t="shared" si="18"/>
        <v>37.130000000000003</v>
      </c>
      <c r="P60" s="5">
        <f t="shared" si="19"/>
        <v>1914.84</v>
      </c>
      <c r="Q60" s="5">
        <f t="shared" si="20"/>
        <v>2184.4700000000003</v>
      </c>
      <c r="R60" s="6">
        <f t="shared" si="21"/>
        <v>14.099999999999998</v>
      </c>
    </row>
    <row r="61" spans="1:21">
      <c r="A61" s="1">
        <v>9</v>
      </c>
      <c r="D61" s="1">
        <v>50</v>
      </c>
      <c r="E61" s="3">
        <v>20000</v>
      </c>
      <c r="F61" s="5">
        <f>'BILL CALC'!I29</f>
        <v>2137.1999999999998</v>
      </c>
      <c r="G61" s="5">
        <f>'BILL CALC'!R29</f>
        <v>2423.62</v>
      </c>
      <c r="H61" s="5">
        <f t="shared" si="12"/>
        <v>286.42000000000007</v>
      </c>
      <c r="I61" s="6">
        <f t="shared" si="13"/>
        <v>13.4</v>
      </c>
      <c r="J61" s="6"/>
      <c r="K61" s="5">
        <f t="shared" si="14"/>
        <v>69.739999999999995</v>
      </c>
      <c r="L61" s="5">
        <f t="shared" si="15"/>
        <v>70.06</v>
      </c>
      <c r="M61" s="5">
        <f t="shared" si="16"/>
        <v>10.27</v>
      </c>
      <c r="N61" s="5">
        <f t="shared" si="17"/>
        <v>10.199999999999999</v>
      </c>
      <c r="O61" s="5">
        <f t="shared" si="18"/>
        <v>49.5</v>
      </c>
      <c r="P61" s="5">
        <f t="shared" si="19"/>
        <v>2336.7699999999995</v>
      </c>
      <c r="Q61" s="5">
        <f t="shared" si="20"/>
        <v>2623.1199999999994</v>
      </c>
      <c r="R61" s="6">
        <f t="shared" si="21"/>
        <v>12.3</v>
      </c>
    </row>
    <row r="62" spans="1:21">
      <c r="A62" s="1">
        <v>10</v>
      </c>
      <c r="D62" s="1">
        <v>75</v>
      </c>
      <c r="E62" s="3">
        <v>15000</v>
      </c>
      <c r="F62" s="5">
        <f>'BILL CALC'!I30</f>
        <v>2031.1</v>
      </c>
      <c r="G62" s="5">
        <f>'BILL CALC'!R30</f>
        <v>2429.9</v>
      </c>
      <c r="H62" s="5">
        <f t="shared" si="12"/>
        <v>398.80000000000018</v>
      </c>
      <c r="I62" s="6">
        <f t="shared" si="13"/>
        <v>19.600000000000001</v>
      </c>
      <c r="J62" s="6"/>
      <c r="K62" s="5">
        <f t="shared" si="14"/>
        <v>52.31</v>
      </c>
      <c r="L62" s="5">
        <f t="shared" si="15"/>
        <v>52.55</v>
      </c>
      <c r="M62" s="5">
        <f t="shared" si="16"/>
        <v>10.48</v>
      </c>
      <c r="N62" s="5">
        <f t="shared" si="17"/>
        <v>10.99</v>
      </c>
      <c r="O62" s="5">
        <f t="shared" si="18"/>
        <v>37.130000000000003</v>
      </c>
      <c r="P62" s="5">
        <f t="shared" si="19"/>
        <v>2183.5700000000002</v>
      </c>
      <c r="Q62" s="5">
        <f t="shared" si="20"/>
        <v>2582.88</v>
      </c>
      <c r="R62" s="6">
        <f t="shared" si="21"/>
        <v>18.3</v>
      </c>
    </row>
    <row r="63" spans="1:21">
      <c r="A63" s="1">
        <v>11</v>
      </c>
      <c r="D63" s="1">
        <v>75</v>
      </c>
      <c r="E63" s="3">
        <v>20000</v>
      </c>
      <c r="F63" s="5">
        <f>'BILL CALC'!I31</f>
        <v>2404.1999999999998</v>
      </c>
      <c r="G63" s="5">
        <f>'BILL CALC'!R31</f>
        <v>2819.87</v>
      </c>
      <c r="H63" s="5">
        <f t="shared" si="12"/>
        <v>415.67000000000007</v>
      </c>
      <c r="I63" s="6">
        <f t="shared" si="13"/>
        <v>17.299999999999997</v>
      </c>
      <c r="J63" s="6"/>
      <c r="K63" s="5">
        <f t="shared" si="14"/>
        <v>69.739999999999995</v>
      </c>
      <c r="L63" s="5">
        <f t="shared" si="15"/>
        <v>70.06</v>
      </c>
      <c r="M63" s="5">
        <f t="shared" si="16"/>
        <v>12</v>
      </c>
      <c r="N63" s="5">
        <f t="shared" si="17"/>
        <v>12.36</v>
      </c>
      <c r="O63" s="5">
        <f t="shared" si="18"/>
        <v>49.5</v>
      </c>
      <c r="P63" s="5">
        <f t="shared" si="19"/>
        <v>2605.4999999999995</v>
      </c>
      <c r="Q63" s="5">
        <f t="shared" si="20"/>
        <v>3021.5299999999997</v>
      </c>
      <c r="R63" s="6">
        <f t="shared" si="21"/>
        <v>16</v>
      </c>
    </row>
    <row r="64" spans="1:21">
      <c r="A64" s="1">
        <v>12</v>
      </c>
      <c r="D64" s="1">
        <v>75</v>
      </c>
      <c r="E64" s="3">
        <v>30000</v>
      </c>
      <c r="F64" s="5">
        <f>'BILL CALC'!I32</f>
        <v>3133.04</v>
      </c>
      <c r="G64" s="5">
        <f>'BILL CALC'!R32</f>
        <v>3579.7299999999996</v>
      </c>
      <c r="H64" s="5">
        <f t="shared" si="12"/>
        <v>446.6899999999996</v>
      </c>
      <c r="I64" s="6">
        <f t="shared" si="13"/>
        <v>14.299999999999999</v>
      </c>
      <c r="J64" s="6"/>
      <c r="K64" s="5">
        <f t="shared" si="14"/>
        <v>104.62</v>
      </c>
      <c r="L64" s="5">
        <f t="shared" si="15"/>
        <v>105.09</v>
      </c>
      <c r="M64" s="5">
        <f t="shared" si="16"/>
        <v>14.93</v>
      </c>
      <c r="N64" s="5">
        <f t="shared" si="17"/>
        <v>14.99</v>
      </c>
      <c r="O64" s="5">
        <f t="shared" si="18"/>
        <v>74.25</v>
      </c>
      <c r="P64" s="5">
        <f t="shared" si="19"/>
        <v>3431.93</v>
      </c>
      <c r="Q64" s="5">
        <f t="shared" si="20"/>
        <v>3878.6799999999994</v>
      </c>
      <c r="R64" s="6">
        <f t="shared" si="21"/>
        <v>13</v>
      </c>
    </row>
    <row r="65" spans="1:18">
      <c r="A65" s="1">
        <v>13</v>
      </c>
      <c r="D65" s="1">
        <v>100</v>
      </c>
      <c r="E65" s="3">
        <v>20000</v>
      </c>
      <c r="F65" s="5">
        <f>'BILL CALC'!I33</f>
        <v>2671.2</v>
      </c>
      <c r="G65" s="5">
        <f>'BILL CALC'!R33</f>
        <v>3216.12</v>
      </c>
      <c r="H65" s="5">
        <f t="shared" si="12"/>
        <v>544.92000000000007</v>
      </c>
      <c r="I65" s="6">
        <f t="shared" si="13"/>
        <v>20.399999999999999</v>
      </c>
      <c r="J65" s="6"/>
      <c r="K65" s="5">
        <f t="shared" si="14"/>
        <v>69.739999999999995</v>
      </c>
      <c r="L65" s="5">
        <f t="shared" si="15"/>
        <v>70.06</v>
      </c>
      <c r="M65" s="5">
        <f t="shared" si="16"/>
        <v>13.74</v>
      </c>
      <c r="N65" s="5">
        <f t="shared" si="17"/>
        <v>14.53</v>
      </c>
      <c r="O65" s="5">
        <f t="shared" si="18"/>
        <v>49.5</v>
      </c>
      <c r="P65" s="5">
        <f t="shared" si="19"/>
        <v>2874.2399999999993</v>
      </c>
      <c r="Q65" s="5">
        <f t="shared" si="20"/>
        <v>3419.95</v>
      </c>
      <c r="R65" s="6">
        <f t="shared" si="21"/>
        <v>19</v>
      </c>
    </row>
    <row r="66" spans="1:18">
      <c r="A66" s="1">
        <v>14</v>
      </c>
      <c r="D66" s="1">
        <v>100</v>
      </c>
      <c r="E66" s="3">
        <v>30000</v>
      </c>
      <c r="F66" s="5">
        <f>'BILL CALC'!I34</f>
        <v>3417.39</v>
      </c>
      <c r="G66" s="5">
        <f>'BILL CALC'!R34</f>
        <v>3996.0599999999995</v>
      </c>
      <c r="H66" s="5">
        <f t="shared" si="12"/>
        <v>578.66999999999962</v>
      </c>
      <c r="I66" s="6">
        <f t="shared" si="13"/>
        <v>16.900000000000002</v>
      </c>
      <c r="J66" s="6"/>
      <c r="K66" s="5">
        <f t="shared" si="14"/>
        <v>104.62</v>
      </c>
      <c r="L66" s="5">
        <f t="shared" si="15"/>
        <v>105.09</v>
      </c>
      <c r="M66" s="5">
        <f t="shared" si="16"/>
        <v>16.78</v>
      </c>
      <c r="N66" s="5">
        <f t="shared" si="17"/>
        <v>17.27</v>
      </c>
      <c r="O66" s="5">
        <f t="shared" si="18"/>
        <v>74.25</v>
      </c>
      <c r="P66" s="5">
        <f t="shared" si="19"/>
        <v>3718.13</v>
      </c>
      <c r="Q66" s="5">
        <f t="shared" si="20"/>
        <v>4297.29</v>
      </c>
      <c r="R66" s="6">
        <f t="shared" si="21"/>
        <v>15.6</v>
      </c>
    </row>
    <row r="67" spans="1:18">
      <c r="A67" s="1">
        <v>15</v>
      </c>
      <c r="D67" s="1">
        <v>100</v>
      </c>
      <c r="E67" s="3">
        <v>40000</v>
      </c>
      <c r="F67" s="5">
        <f>'BILL CALC'!I35</f>
        <v>4117.3200000000006</v>
      </c>
      <c r="G67" s="5">
        <f>'BILL CALC'!R35</f>
        <v>4722.4500000000007</v>
      </c>
      <c r="H67" s="5">
        <f t="shared" si="12"/>
        <v>605.13000000000011</v>
      </c>
      <c r="I67" s="6">
        <f t="shared" si="13"/>
        <v>14.7</v>
      </c>
      <c r="J67" s="6"/>
      <c r="K67" s="5">
        <f t="shared" si="14"/>
        <v>139.49</v>
      </c>
      <c r="L67" s="5">
        <f t="shared" si="15"/>
        <v>140.12</v>
      </c>
      <c r="M67" s="5">
        <f t="shared" si="16"/>
        <v>19.52</v>
      </c>
      <c r="N67" s="5">
        <f t="shared" si="17"/>
        <v>19.71</v>
      </c>
      <c r="O67" s="5">
        <f t="shared" si="18"/>
        <v>99</v>
      </c>
      <c r="P67" s="5">
        <f t="shared" si="19"/>
        <v>4515.4500000000007</v>
      </c>
      <c r="Q67" s="5">
        <f t="shared" si="20"/>
        <v>5120.7700000000004</v>
      </c>
      <c r="R67" s="6">
        <f t="shared" si="21"/>
        <v>13.4</v>
      </c>
    </row>
    <row r="68" spans="1:18">
      <c r="A68" s="1">
        <v>16</v>
      </c>
      <c r="D68" s="1">
        <v>300</v>
      </c>
      <c r="E68" s="3">
        <v>60000</v>
      </c>
      <c r="F68" s="5">
        <f>'BILL CALC'!I36</f>
        <v>7791.96</v>
      </c>
      <c r="G68" s="5">
        <f>'BILL CALC'!R36</f>
        <v>9505.880000000001</v>
      </c>
      <c r="H68" s="5">
        <f t="shared" si="12"/>
        <v>1713.920000000001</v>
      </c>
      <c r="I68" s="6">
        <f t="shared" si="13"/>
        <v>22</v>
      </c>
      <c r="J68" s="6"/>
      <c r="K68" s="5">
        <f t="shared" si="14"/>
        <v>209.23</v>
      </c>
      <c r="L68" s="5">
        <f t="shared" si="15"/>
        <v>210.18</v>
      </c>
      <c r="M68" s="5">
        <f t="shared" si="16"/>
        <v>39.770000000000003</v>
      </c>
      <c r="N68" s="5">
        <f t="shared" si="17"/>
        <v>42.8</v>
      </c>
      <c r="O68" s="5">
        <f t="shared" si="18"/>
        <v>148.5</v>
      </c>
      <c r="P68" s="5">
        <f t="shared" si="19"/>
        <v>8399.64</v>
      </c>
      <c r="Q68" s="5">
        <f t="shared" si="20"/>
        <v>10116.59</v>
      </c>
      <c r="R68" s="6">
        <f t="shared" si="21"/>
        <v>20.399999999999999</v>
      </c>
    </row>
    <row r="69" spans="1:18">
      <c r="A69" s="1">
        <v>17</v>
      </c>
      <c r="D69" s="1">
        <v>300</v>
      </c>
      <c r="E69" s="3">
        <v>90000</v>
      </c>
      <c r="F69" s="5">
        <f>'BILL CALC'!I37</f>
        <v>10030.530000000001</v>
      </c>
      <c r="G69" s="5">
        <f>'BILL CALC'!R37</f>
        <v>11845.7</v>
      </c>
      <c r="H69" s="5">
        <f t="shared" si="12"/>
        <v>1815.17</v>
      </c>
      <c r="I69" s="6">
        <f t="shared" si="13"/>
        <v>18.099999999999998</v>
      </c>
      <c r="J69" s="6"/>
      <c r="K69" s="5">
        <f t="shared" si="14"/>
        <v>313.85000000000002</v>
      </c>
      <c r="L69" s="5">
        <f t="shared" si="15"/>
        <v>315.27</v>
      </c>
      <c r="M69" s="5">
        <f t="shared" si="16"/>
        <v>48.89</v>
      </c>
      <c r="N69" s="5">
        <f t="shared" si="17"/>
        <v>51.02</v>
      </c>
      <c r="O69" s="5">
        <f t="shared" si="18"/>
        <v>222.75</v>
      </c>
      <c r="P69" s="5">
        <f t="shared" si="19"/>
        <v>10931.29</v>
      </c>
      <c r="Q69" s="5">
        <f t="shared" si="20"/>
        <v>12748.590000000002</v>
      </c>
      <c r="R69" s="6">
        <f t="shared" si="21"/>
        <v>16.600000000000001</v>
      </c>
    </row>
    <row r="70" spans="1:18">
      <c r="A70" s="1">
        <v>18</v>
      </c>
      <c r="D70" s="1">
        <v>300</v>
      </c>
      <c r="E70" s="3">
        <v>120000</v>
      </c>
      <c r="F70" s="5">
        <f>'BILL CALC'!I38</f>
        <v>11991.58</v>
      </c>
      <c r="G70" s="5">
        <f>'BILL CALC'!R38</f>
        <v>13864.24</v>
      </c>
      <c r="H70" s="5">
        <f t="shared" si="12"/>
        <v>1872.6599999999999</v>
      </c>
      <c r="I70" s="6">
        <f t="shared" si="13"/>
        <v>15.6</v>
      </c>
      <c r="J70" s="6"/>
      <c r="K70" s="5">
        <f t="shared" si="14"/>
        <v>418.47</v>
      </c>
      <c r="L70" s="5">
        <f t="shared" si="15"/>
        <v>420.36</v>
      </c>
      <c r="M70" s="5">
        <f t="shared" si="16"/>
        <v>56.21</v>
      </c>
      <c r="N70" s="5">
        <f t="shared" si="17"/>
        <v>57.49</v>
      </c>
      <c r="O70" s="5">
        <f t="shared" si="18"/>
        <v>297</v>
      </c>
      <c r="P70" s="5">
        <f t="shared" si="19"/>
        <v>13183.619999999999</v>
      </c>
      <c r="Q70" s="5">
        <f t="shared" si="20"/>
        <v>15057.56</v>
      </c>
      <c r="R70" s="6">
        <f t="shared" si="21"/>
        <v>14.2</v>
      </c>
    </row>
    <row r="71" spans="1:18">
      <c r="A71" s="1">
        <v>19</v>
      </c>
      <c r="D71" s="1">
        <v>500</v>
      </c>
      <c r="E71" s="3">
        <v>100000</v>
      </c>
      <c r="F71" s="5">
        <f>'BILL CALC'!I39</f>
        <v>12912.720000000001</v>
      </c>
      <c r="G71" s="5">
        <f>'BILL CALC'!R39</f>
        <v>15795.650000000001</v>
      </c>
      <c r="H71" s="5">
        <f t="shared" si="12"/>
        <v>2882.9300000000003</v>
      </c>
      <c r="I71" s="6">
        <f t="shared" si="13"/>
        <v>22.3</v>
      </c>
      <c r="J71" s="6"/>
      <c r="K71" s="5">
        <f t="shared" si="14"/>
        <v>348.72</v>
      </c>
      <c r="L71" s="5">
        <f t="shared" si="15"/>
        <v>350.3</v>
      </c>
      <c r="M71" s="5">
        <f t="shared" si="16"/>
        <v>65.8</v>
      </c>
      <c r="N71" s="5">
        <f t="shared" si="17"/>
        <v>71.069999999999993</v>
      </c>
      <c r="O71" s="5">
        <f t="shared" si="18"/>
        <v>247.5</v>
      </c>
      <c r="P71" s="5">
        <f t="shared" si="19"/>
        <v>13925.039999999999</v>
      </c>
      <c r="Q71" s="5">
        <f t="shared" si="20"/>
        <v>16813.240000000002</v>
      </c>
      <c r="R71" s="6">
        <f t="shared" si="21"/>
        <v>20.7</v>
      </c>
    </row>
    <row r="72" spans="1:18">
      <c r="A72" s="1">
        <v>20</v>
      </c>
      <c r="D72" s="1">
        <v>500</v>
      </c>
      <c r="E72" s="3">
        <v>200000</v>
      </c>
      <c r="F72" s="5">
        <f>'BILL CALC'!I40</f>
        <v>19865.84</v>
      </c>
      <c r="G72" s="5">
        <f>'BILL CALC'!R40</f>
        <v>23006.02</v>
      </c>
      <c r="H72" s="5">
        <f t="shared" si="12"/>
        <v>3140.1800000000003</v>
      </c>
      <c r="I72" s="6">
        <f t="shared" si="13"/>
        <v>15.8</v>
      </c>
      <c r="J72" s="6"/>
      <c r="K72" s="5">
        <f t="shared" si="14"/>
        <v>697.44</v>
      </c>
      <c r="L72" s="5">
        <f t="shared" si="15"/>
        <v>700.6</v>
      </c>
      <c r="M72" s="5">
        <f t="shared" si="16"/>
        <v>92.9</v>
      </c>
      <c r="N72" s="5">
        <f t="shared" si="17"/>
        <v>95.26</v>
      </c>
      <c r="O72" s="5">
        <f t="shared" si="18"/>
        <v>495</v>
      </c>
      <c r="P72" s="5">
        <f t="shared" si="19"/>
        <v>21851.78</v>
      </c>
      <c r="Q72" s="5">
        <f t="shared" si="20"/>
        <v>24994.319999999996</v>
      </c>
      <c r="R72" s="6">
        <f t="shared" si="21"/>
        <v>14.399999999999999</v>
      </c>
    </row>
    <row r="73" spans="1:18">
      <c r="A73" s="1">
        <v>21</v>
      </c>
      <c r="D73" s="1">
        <v>500</v>
      </c>
      <c r="E73" s="3">
        <v>300000</v>
      </c>
      <c r="F73" s="5">
        <f>'BILL CALC'!I41</f>
        <v>26171.440000000002</v>
      </c>
      <c r="G73" s="5">
        <f>'BILL CALC'!R41</f>
        <v>29466.730000000003</v>
      </c>
      <c r="H73" s="5">
        <f t="shared" si="12"/>
        <v>3295.2900000000009</v>
      </c>
      <c r="I73" s="6">
        <f t="shared" si="13"/>
        <v>12.6</v>
      </c>
      <c r="J73" s="6"/>
      <c r="K73" s="5">
        <f t="shared" si="14"/>
        <v>1046.1600000000001</v>
      </c>
      <c r="L73" s="5">
        <f t="shared" si="15"/>
        <v>1050.9000000000001</v>
      </c>
      <c r="M73" s="5">
        <f t="shared" si="16"/>
        <v>115.8</v>
      </c>
      <c r="N73" s="5">
        <f t="shared" si="17"/>
        <v>115.36</v>
      </c>
      <c r="O73" s="5">
        <f t="shared" si="18"/>
        <v>742.5</v>
      </c>
      <c r="P73" s="5">
        <f t="shared" si="19"/>
        <v>29126.800000000003</v>
      </c>
      <c r="Q73" s="5">
        <f t="shared" si="20"/>
        <v>32421.650000000005</v>
      </c>
      <c r="R73" s="6">
        <f t="shared" si="21"/>
        <v>11.3</v>
      </c>
    </row>
    <row r="74" spans="1:18">
      <c r="E74" s="3"/>
      <c r="F74" s="5"/>
      <c r="G74" s="5"/>
      <c r="H74" s="5"/>
      <c r="I74" s="6"/>
      <c r="J74" s="6"/>
      <c r="K74" s="5"/>
      <c r="L74" s="5"/>
      <c r="M74" s="5"/>
      <c r="N74" s="5"/>
      <c r="O74" s="5"/>
      <c r="P74" s="5"/>
      <c r="Q74" s="5"/>
      <c r="R74" s="6"/>
    </row>
    <row r="75" spans="1:18" ht="15.75">
      <c r="A75" s="1">
        <v>22</v>
      </c>
      <c r="C75" s="42" t="s">
        <v>94</v>
      </c>
      <c r="D75" s="44" t="s">
        <v>119</v>
      </c>
      <c r="E75" s="3"/>
      <c r="F75" s="5"/>
      <c r="G75" s="5"/>
      <c r="H75" s="5"/>
      <c r="I75" s="6"/>
      <c r="J75" s="6"/>
      <c r="K75" s="5"/>
      <c r="L75" s="5"/>
      <c r="M75" s="5"/>
      <c r="N75" s="5"/>
      <c r="O75" s="5"/>
      <c r="P75" s="5"/>
      <c r="Q75" s="5"/>
      <c r="R75" s="6"/>
    </row>
    <row r="76" spans="1:18">
      <c r="A76" s="1">
        <v>23</v>
      </c>
      <c r="D76" s="2" t="s">
        <v>118</v>
      </c>
      <c r="E76" s="3">
        <v>9400</v>
      </c>
      <c r="F76" s="5">
        <f>ROUND(($E76*CUR_EH_KWH_1)+CUR_EH_CST_2,2)</f>
        <v>881.98</v>
      </c>
      <c r="G76" s="5">
        <f>ROUND($E76*PRO_EH_KWH_1+PRO_EH_CST_2,2)</f>
        <v>1015.44</v>
      </c>
      <c r="H76" s="5">
        <f>G76-F76</f>
        <v>133.46000000000004</v>
      </c>
      <c r="I76" s="6">
        <f>ROUND(H76/F76,3)*100</f>
        <v>15.1</v>
      </c>
      <c r="J76" s="6"/>
      <c r="K76" s="5">
        <f>ROUND(E76*CUR_FAC,2)</f>
        <v>32.78</v>
      </c>
      <c r="L76" s="5">
        <f>ROUND(E76*DSM_DIST,2)</f>
        <v>32.93</v>
      </c>
      <c r="M76" s="5">
        <f>ROUND((F76+$L76+$O76-PRO_BASE_FUEL*$E76)*CUR_ESM_NonRes,2)</f>
        <v>4.03</v>
      </c>
      <c r="N76" s="5">
        <f>ROUND((G76+$L76+$O76-PRO_BASE_FUEL*$E76)*PRO_ESM_NONRES,2)</f>
        <v>4.12</v>
      </c>
      <c r="O76" s="5">
        <f>ROUND(E76*RS_PSM,2)</f>
        <v>23.27</v>
      </c>
      <c r="P76" s="5">
        <f>F76+K76+L76+M76+O76</f>
        <v>974.9899999999999</v>
      </c>
      <c r="Q76" s="5">
        <f>G76+K76+L76+N76+O76</f>
        <v>1108.54</v>
      </c>
      <c r="R76" s="6">
        <f>ROUND((Q76-P76)/P76,3)*100</f>
        <v>13.700000000000001</v>
      </c>
    </row>
    <row r="77" spans="1:18">
      <c r="A77" s="1">
        <v>24</v>
      </c>
      <c r="D77" s="2" t="s">
        <v>118</v>
      </c>
      <c r="E77" s="3">
        <v>23600</v>
      </c>
      <c r="F77" s="5">
        <f>ROUND($E77*CUR_EH_KWH_1+CUR_EH_CST_2,2)</f>
        <v>2169.0100000000002</v>
      </c>
      <c r="G77" s="5">
        <f>ROUND($E77*PRO_EH_KWH_1+PRO_EH_CST_2,2)</f>
        <v>2504.08</v>
      </c>
      <c r="H77" s="5">
        <f>G77-F77</f>
        <v>335.06999999999971</v>
      </c>
      <c r="I77" s="6">
        <f>ROUND(H77/F77,3)*100</f>
        <v>15.4</v>
      </c>
      <c r="J77" s="6"/>
      <c r="K77" s="5">
        <f>ROUND(E77*CUR_FAC,2)</f>
        <v>82.3</v>
      </c>
      <c r="L77" s="5">
        <f>ROUND(E77*DSM_DIST,2)</f>
        <v>82.67</v>
      </c>
      <c r="M77" s="5">
        <f>ROUND((F77+$L77+$O77-PRO_BASE_FUEL*$E77)*CUR_ESM_NonRes,2)</f>
        <v>9.82</v>
      </c>
      <c r="N77" s="5">
        <f>ROUND((G77+$L77+$O77-PRO_BASE_FUEL*$E77)*PRO_ESM_NONRES,2)</f>
        <v>10.09</v>
      </c>
      <c r="O77" s="5">
        <f>ROUND(E77*RS_PSM,2)</f>
        <v>58.41</v>
      </c>
      <c r="P77" s="5">
        <f>F77+K77+L77+M77+O77</f>
        <v>2402.2100000000005</v>
      </c>
      <c r="Q77" s="5">
        <f>G77+K77+L77+N77+O77</f>
        <v>2737.55</v>
      </c>
      <c r="R77" s="6">
        <f>ROUND((Q77-P77)/P77,3)*100</f>
        <v>14.000000000000002</v>
      </c>
    </row>
    <row r="78" spans="1:18">
      <c r="A78" s="1">
        <v>25</v>
      </c>
      <c r="D78" s="2" t="s">
        <v>118</v>
      </c>
      <c r="E78" s="3">
        <v>37800</v>
      </c>
      <c r="F78" s="5">
        <f>ROUND($E78*CUR_EH_KWH_1+CUR_EH_CST_2,2)</f>
        <v>3456.04</v>
      </c>
      <c r="G78" s="5">
        <f>ROUND($E78*PRO_EH_KWH_1+PRO_EH_CST_2,2)</f>
        <v>3992.73</v>
      </c>
      <c r="H78" s="5">
        <f>G78-F78</f>
        <v>536.69000000000005</v>
      </c>
      <c r="I78" s="6">
        <f>ROUND(H78/F78,3)*100</f>
        <v>15.5</v>
      </c>
      <c r="J78" s="6"/>
      <c r="K78" s="5">
        <f>ROUND(E78*CUR_FAC,2)</f>
        <v>131.82</v>
      </c>
      <c r="L78" s="5">
        <f>ROUND(E78*DSM_DIST,2)</f>
        <v>132.41</v>
      </c>
      <c r="M78" s="5">
        <f>ROUND((F78+$L78+$O78-PRO_BASE_FUEL*$E78)*CUR_ESM_NonRes,2)</f>
        <v>15.62</v>
      </c>
      <c r="N78" s="5">
        <f>ROUND((G78+$L78+$O78-PRO_BASE_FUEL*$E78)*PRO_ESM_NONRES,2)</f>
        <v>16.059999999999999</v>
      </c>
      <c r="O78" s="5">
        <f>ROUND(E78*RS_PSM,2)</f>
        <v>93.56</v>
      </c>
      <c r="P78" s="5">
        <f>F78+K78+L78+M78+O78</f>
        <v>3829.45</v>
      </c>
      <c r="Q78" s="5">
        <f>G78+K78+L78+N78+O78</f>
        <v>4366.5800000000008</v>
      </c>
      <c r="R78" s="6">
        <f>ROUND((Q78-P78)/P78,3)*100</f>
        <v>14.000000000000002</v>
      </c>
    </row>
    <row r="79" spans="1:18">
      <c r="F79" s="5"/>
      <c r="G79" s="5"/>
      <c r="H79" s="5"/>
      <c r="I79" s="6"/>
      <c r="J79" s="6"/>
      <c r="K79" s="5"/>
      <c r="L79" s="5"/>
      <c r="M79" s="5"/>
      <c r="N79" s="5"/>
      <c r="O79" s="5"/>
      <c r="P79" s="5"/>
      <c r="Q79" s="5"/>
      <c r="R79" s="6"/>
    </row>
    <row r="80" spans="1:18" ht="15.75">
      <c r="C80" s="42" t="str">
        <f>"(1) REFLECTS FUEL ADJUSTMENT COMPONENT (FAC) OF "&amp;TEXT(CUR_FAC,"$0.000000;($0.000000)")&amp;" PER KWH."</f>
        <v>(1) REFLECTS FUEL ADJUSTMENT COMPONENT (FAC) OF $0.003487 PER KWH.</v>
      </c>
      <c r="K80" s="42"/>
    </row>
    <row r="81" spans="1:18" ht="15.75">
      <c r="C81" s="42" t="str">
        <f>"(2) RIDER DSMR "&amp;TEXT(DSM_DIST,"$0.000000;($0.000000)")&amp;" PER KWH."</f>
        <v>(2) RIDER DSMR $0.003503 PER KWH.</v>
      </c>
      <c r="H81" s="5"/>
      <c r="I81" s="6"/>
      <c r="J81" s="6"/>
      <c r="K81" s="5"/>
      <c r="L81" s="5"/>
      <c r="M81" s="5"/>
      <c r="N81" s="5"/>
      <c r="O81" s="5"/>
      <c r="P81" s="5"/>
      <c r="Q81" s="5"/>
      <c r="R81" s="6"/>
    </row>
    <row r="82" spans="1:18" ht="15.75">
      <c r="A82" s="422"/>
      <c r="C82" s="42" t="str">
        <f>"(3) RIDER ESM "&amp;TEXT(CUR_ESM_NonRes,"#0.00%")&amp;"  OF TOTAL CURRENT BILL."</f>
        <v>(3) RIDER ESM 0.65%  OF TOTAL CURRENT BILL.</v>
      </c>
      <c r="H82" s="5"/>
      <c r="K82" s="5"/>
      <c r="L82" s="5"/>
      <c r="M82" s="5"/>
      <c r="N82" s="5"/>
      <c r="O82" s="5"/>
    </row>
    <row r="83" spans="1:18" ht="15.75">
      <c r="A83" s="422"/>
      <c r="C83" s="42" t="str">
        <f>"(4) RIDER PSM  "&amp;TEXT(RS_PSM,"$0.000000;($0.000000)")&amp;" PER KWH."</f>
        <v>(4) RIDER PSM  $0.002475 PER KWH.</v>
      </c>
      <c r="H83" s="5"/>
      <c r="K83" s="5"/>
      <c r="L83" s="5"/>
      <c r="M83" s="5"/>
      <c r="N83" s="5"/>
      <c r="O83" s="5"/>
    </row>
    <row r="84" spans="1:18" ht="15.75">
      <c r="A84" s="422"/>
      <c r="C84" s="42" t="str">
        <f>"(5) REFLECTS FUEL COST RECOVERY INCLUDED IN BASE RATES OF "&amp;TEXT(CUR_BASE_FUEL,"$0.000000;($0.000000)")&amp;"  PER KWH."</f>
        <v>(5) REFLECTS FUEL COST RECOVERY INCLUDED IN BASE RATES OF $0.033780  PER KWH.</v>
      </c>
      <c r="H84" s="5"/>
      <c r="K84" s="5"/>
      <c r="L84" s="5"/>
      <c r="M84" s="5"/>
      <c r="N84" s="5"/>
      <c r="O84" s="5"/>
    </row>
    <row r="85" spans="1:18" ht="15.75">
      <c r="A85" s="422"/>
      <c r="C85" s="42" t="str">
        <f>"(6) RIDER ESM "&amp;TEXT(PRO_ESM_NONRES,"#0.00%")&amp;"  OF TOTAL PROPOSED BILL."</f>
        <v>(6) RIDER ESM 0.55%  OF TOTAL PROPOSED BILL.</v>
      </c>
      <c r="H85" s="5"/>
      <c r="K85" s="5"/>
      <c r="L85" s="5"/>
      <c r="M85" s="5"/>
      <c r="N85" s="5"/>
      <c r="O85" s="5"/>
    </row>
    <row r="86" spans="1:18" ht="15.75">
      <c r="A86" s="422"/>
      <c r="C86" s="42" t="s">
        <v>1039</v>
      </c>
      <c r="H86" s="5"/>
      <c r="K86" s="5"/>
      <c r="L86" s="5"/>
      <c r="M86" s="5"/>
      <c r="N86" s="5"/>
      <c r="O86" s="5"/>
    </row>
    <row r="87" spans="1:18" ht="15.75">
      <c r="A87" s="40" t="str">
        <f>NAME</f>
        <v>DUKE ENERGY KENTUCKY, INC.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</row>
    <row r="88" spans="1:18" ht="15.75">
      <c r="A88" s="40" t="str">
        <f>CASE_NO</f>
        <v>CASE NO.   2024-00354</v>
      </c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</row>
    <row r="89" spans="1:18" ht="15.75">
      <c r="A89" s="40" t="s">
        <v>171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</row>
    <row r="90" spans="1:18" ht="15.75">
      <c r="A90" s="40" t="str">
        <f>SERVICE</f>
        <v>(ELECTRIC SERVICE)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</row>
    <row r="91" spans="1:18" ht="15.75">
      <c r="A91" s="42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</row>
    <row r="92" spans="1:18" ht="15.75">
      <c r="A92" s="41" t="str">
        <f>DATA_PERIOD</f>
        <v>DATA: ____ BASE PERIOD   __X__FORECASTED PERIOD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2" t="s">
        <v>172</v>
      </c>
      <c r="R92" s="41"/>
    </row>
    <row r="93" spans="1:18" ht="15.75">
      <c r="A93" s="41" t="str">
        <f>TYPE</f>
        <v>TYPE OF FILING: _X_ ORIGINAL   ___UPDATED  ___ REVISED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2" t="s">
        <v>126</v>
      </c>
      <c r="R93" s="41"/>
    </row>
    <row r="94" spans="1:18" ht="15.75">
      <c r="A94" s="42" t="s">
        <v>100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2" t="s">
        <v>3</v>
      </c>
      <c r="R94" s="41"/>
    </row>
    <row r="95" spans="1:18" ht="15.75">
      <c r="A95" s="130" t="str">
        <f>TIME</f>
        <v>12 Months Projected with Riders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 t="str">
        <f>WIT</f>
        <v>B. L. Sailers</v>
      </c>
      <c r="R95" s="41"/>
    </row>
    <row r="96" spans="1:18">
      <c r="A96" s="764" t="s">
        <v>426</v>
      </c>
      <c r="B96" s="764"/>
      <c r="C96" s="764"/>
      <c r="D96" s="764"/>
      <c r="E96" s="764"/>
      <c r="F96" s="764"/>
      <c r="G96" s="764"/>
      <c r="H96" s="764"/>
      <c r="I96" s="764"/>
      <c r="J96" s="764"/>
      <c r="K96" s="764"/>
      <c r="L96" s="764"/>
      <c r="M96" s="764"/>
      <c r="N96" s="764"/>
      <c r="O96" s="764"/>
      <c r="P96" s="764"/>
      <c r="Q96" s="764"/>
      <c r="R96" s="764"/>
    </row>
    <row r="97" spans="1:25" ht="15.7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</row>
    <row r="98" spans="1:25" ht="15.75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</row>
    <row r="99" spans="1:25" ht="15.75">
      <c r="A99" s="41"/>
      <c r="B99" s="41"/>
      <c r="C99" s="41"/>
      <c r="D99" s="41"/>
      <c r="E99" s="41"/>
      <c r="F99" s="12" t="s">
        <v>374</v>
      </c>
      <c r="G99" s="12"/>
      <c r="H99" s="12"/>
      <c r="I99" s="12"/>
      <c r="J99" s="40"/>
      <c r="K99" s="763" t="s">
        <v>357</v>
      </c>
      <c r="L99" s="763"/>
      <c r="M99" s="763"/>
      <c r="N99" s="763"/>
      <c r="O99" s="763"/>
      <c r="P99" s="44" t="s">
        <v>11</v>
      </c>
      <c r="Q99" s="44" t="s">
        <v>11</v>
      </c>
      <c r="R99" s="41"/>
    </row>
    <row r="100" spans="1:25" ht="17.100000000000001" customHeight="1">
      <c r="A100" s="41"/>
      <c r="B100" s="41"/>
      <c r="C100" s="41"/>
      <c r="D100" s="44" t="s">
        <v>101</v>
      </c>
      <c r="E100" s="44" t="s">
        <v>101</v>
      </c>
      <c r="F100" s="41"/>
      <c r="G100" s="41"/>
      <c r="H100" s="44" t="s">
        <v>102</v>
      </c>
      <c r="I100" s="44" t="s">
        <v>103</v>
      </c>
      <c r="J100" s="44"/>
      <c r="K100" s="41"/>
      <c r="L100" s="41"/>
      <c r="O100" s="41"/>
      <c r="P100" s="44" t="s">
        <v>8</v>
      </c>
      <c r="Q100" s="44" t="s">
        <v>6</v>
      </c>
      <c r="R100" s="44" t="s">
        <v>103</v>
      </c>
    </row>
    <row r="101" spans="1:25" ht="15.75">
      <c r="A101" s="41"/>
      <c r="B101" s="41"/>
      <c r="C101" s="41"/>
      <c r="D101" s="44" t="s">
        <v>104</v>
      </c>
      <c r="E101" s="44" t="s">
        <v>104</v>
      </c>
      <c r="F101" s="44" t="s">
        <v>8</v>
      </c>
      <c r="G101" s="44" t="s">
        <v>6</v>
      </c>
      <c r="H101" s="44" t="s">
        <v>105</v>
      </c>
      <c r="I101" s="44" t="s">
        <v>105</v>
      </c>
      <c r="J101" s="44"/>
      <c r="K101" s="44" t="s">
        <v>252</v>
      </c>
      <c r="L101" s="44" t="s">
        <v>252</v>
      </c>
      <c r="M101" s="44" t="s">
        <v>252</v>
      </c>
      <c r="N101" s="44" t="s">
        <v>252</v>
      </c>
      <c r="O101" s="44" t="s">
        <v>252</v>
      </c>
      <c r="P101" s="44" t="s">
        <v>106</v>
      </c>
      <c r="Q101" s="44" t="s">
        <v>106</v>
      </c>
      <c r="R101" s="44" t="s">
        <v>105</v>
      </c>
    </row>
    <row r="102" spans="1:25" ht="15.75">
      <c r="A102" s="44" t="s">
        <v>17</v>
      </c>
      <c r="B102" s="41"/>
      <c r="C102" s="42" t="s">
        <v>18</v>
      </c>
      <c r="D102" s="44" t="s">
        <v>108</v>
      </c>
      <c r="E102" s="60" t="s">
        <v>109</v>
      </c>
      <c r="F102" s="60" t="s">
        <v>832</v>
      </c>
      <c r="G102" s="60" t="s">
        <v>832</v>
      </c>
      <c r="H102" s="304" t="s">
        <v>110</v>
      </c>
      <c r="I102" s="304" t="s">
        <v>111</v>
      </c>
      <c r="J102" s="44"/>
      <c r="K102" s="44" t="s">
        <v>355</v>
      </c>
      <c r="L102" s="60" t="s">
        <v>255</v>
      </c>
      <c r="M102" s="60" t="s">
        <v>534</v>
      </c>
      <c r="N102" s="44" t="s">
        <v>1034</v>
      </c>
      <c r="O102" s="60" t="s">
        <v>831</v>
      </c>
      <c r="P102" s="307" t="s">
        <v>1035</v>
      </c>
      <c r="Q102" s="307" t="s">
        <v>1036</v>
      </c>
      <c r="R102" s="307" t="s">
        <v>968</v>
      </c>
    </row>
    <row r="103" spans="1:25" ht="15.75">
      <c r="A103" s="65" t="s">
        <v>22</v>
      </c>
      <c r="B103" s="61"/>
      <c r="C103" s="421" t="s">
        <v>23</v>
      </c>
      <c r="D103" s="424" t="s">
        <v>33</v>
      </c>
      <c r="E103" s="424" t="s">
        <v>34</v>
      </c>
      <c r="F103" s="424" t="s">
        <v>35</v>
      </c>
      <c r="G103" s="424" t="s">
        <v>36</v>
      </c>
      <c r="H103" s="424" t="s">
        <v>37</v>
      </c>
      <c r="I103" s="424" t="s">
        <v>38</v>
      </c>
      <c r="J103" s="424"/>
      <c r="K103" s="424" t="s">
        <v>39</v>
      </c>
      <c r="L103" s="424" t="s">
        <v>40</v>
      </c>
      <c r="M103" s="301" t="s">
        <v>1032</v>
      </c>
      <c r="N103" s="301" t="s">
        <v>1033</v>
      </c>
      <c r="O103" s="300" t="s">
        <v>42</v>
      </c>
      <c r="P103" s="300" t="s">
        <v>43</v>
      </c>
      <c r="Q103" s="300" t="s">
        <v>44</v>
      </c>
      <c r="R103" s="300" t="s">
        <v>45</v>
      </c>
      <c r="V103" s="1" t="s">
        <v>525</v>
      </c>
      <c r="X103" s="1" t="s">
        <v>526</v>
      </c>
    </row>
    <row r="104" spans="1:25" ht="15.75">
      <c r="A104" s="41"/>
      <c r="B104" s="41"/>
      <c r="C104" s="41"/>
      <c r="D104" s="308" t="s">
        <v>117</v>
      </c>
      <c r="E104" s="308" t="s">
        <v>49</v>
      </c>
      <c r="F104" s="308" t="s">
        <v>50</v>
      </c>
      <c r="G104" s="308" t="s">
        <v>50</v>
      </c>
      <c r="H104" s="308" t="s">
        <v>50</v>
      </c>
      <c r="I104" s="308" t="s">
        <v>51</v>
      </c>
      <c r="J104" s="308"/>
      <c r="K104" s="308" t="s">
        <v>50</v>
      </c>
      <c r="L104" s="308" t="s">
        <v>50</v>
      </c>
      <c r="M104" s="308" t="s">
        <v>50</v>
      </c>
      <c r="N104" s="308" t="s">
        <v>50</v>
      </c>
      <c r="O104" s="308" t="s">
        <v>50</v>
      </c>
      <c r="P104" s="308" t="s">
        <v>50</v>
      </c>
      <c r="Q104" s="308" t="s">
        <v>50</v>
      </c>
      <c r="R104" s="308" t="s">
        <v>51</v>
      </c>
      <c r="V104" s="1" t="s">
        <v>174</v>
      </c>
      <c r="W104" s="1" t="s">
        <v>175</v>
      </c>
      <c r="X104" s="1" t="s">
        <v>174</v>
      </c>
      <c r="Y104" s="1" t="s">
        <v>175</v>
      </c>
    </row>
    <row r="105" spans="1:25" ht="15.75">
      <c r="A105" s="1">
        <v>1</v>
      </c>
      <c r="C105" s="42" t="s">
        <v>127</v>
      </c>
      <c r="D105" s="3">
        <v>500</v>
      </c>
      <c r="E105" s="3">
        <v>144000</v>
      </c>
      <c r="F105" s="5">
        <f>ROUND($E105*$V$105*CUR_DT_SUM_E_ON,2)+ROUND($E105*(1-$V$105)*CUR_DT_SUM_E_OFF,2)+ROUND($D105*INPUT!$C$82,2)+ROUND($D105*$X$105*CUR_DT_SEC_DEMON,2)+ROUND($D105*(1-$X$105)*CUR_DT_SEC_DEMOFF,2)+CUR_DT_SEC_CST3</f>
        <v>17754.48</v>
      </c>
      <c r="G105" s="423">
        <f>ROUND($E105*$V$105*PRO_DT_SUM_E_ON,2)+ROUND($E105*(1-$V$105)*PRO_DT_SUM_E_OFF,2)+ROUND($D105*'Rate DT-Sec'!$J$30,2)+ROUND($D105*$X$105*PRO_DT_SUM_PEAK,2)+ROUND($D105*(1-$X$105)*PRO_DT_SUM_PK_OFF,2)+PRO_DT_SEC_CST3</f>
        <v>20607.7</v>
      </c>
      <c r="H105" s="5">
        <f t="shared" ref="H105:H114" si="22">G105-F105</f>
        <v>2853.2200000000012</v>
      </c>
      <c r="I105" s="6">
        <f t="shared" ref="I105:I114" si="23">ROUND(H105/F105,3)*100</f>
        <v>16.100000000000001</v>
      </c>
      <c r="J105" s="6"/>
      <c r="K105" s="5">
        <f t="shared" ref="K105:K114" si="24">ROUND(E105*CUR_FAC,2)</f>
        <v>502.16</v>
      </c>
      <c r="L105" s="5">
        <f t="shared" ref="L105:L114" si="25">ROUND(E105*DSM_DIST,2)</f>
        <v>504.43</v>
      </c>
      <c r="M105" s="5">
        <f t="shared" ref="M105:M114" si="26">ROUND((F105+$L105+$O105-PRO_BASE_FUEL*$E105)*CUR_ESM_NonRes,2)</f>
        <v>89.3</v>
      </c>
      <c r="N105" s="5">
        <f t="shared" ref="N105:N114" si="27">ROUND((G105+$L105+$O105-PRO_BASE_FUEL*$E105)*PRO_ESM_NONRES,2)</f>
        <v>90.67</v>
      </c>
      <c r="O105" s="5">
        <f t="shared" ref="O105:O114" si="28">ROUND(E105*RS_PSM,2)</f>
        <v>356.4</v>
      </c>
      <c r="P105" s="5">
        <f t="shared" ref="P105:P114" si="29">F105+K105+L105+M105+O105</f>
        <v>19206.77</v>
      </c>
      <c r="Q105" s="5">
        <f>G105+K105+L105+N105+O105</f>
        <v>22061.360000000001</v>
      </c>
      <c r="R105" s="4">
        <f>ROUND((Q105-P105)/P105,3)*100</f>
        <v>14.899999999999999</v>
      </c>
      <c r="V105" s="1">
        <f>'Rate DT-Sec'!H34/'Rate DT-Sec'!H36</f>
        <v>0.29418430907301557</v>
      </c>
      <c r="W105" s="1">
        <f>'Rate DT-Sec'!H51/'Rate DT-Sec'!H53</f>
        <v>0.28508780485466656</v>
      </c>
      <c r="X105" s="1">
        <f>'Rate DT-Sec'!H28/'Rate DT-Sec'!H31</f>
        <v>0.98798507222301468</v>
      </c>
      <c r="Y105" s="1">
        <f>'Rate DT-Sec'!H45/'Rate DT-Sec'!H48</f>
        <v>0.98087519115990918</v>
      </c>
    </row>
    <row r="106" spans="1:25">
      <c r="A106" s="1">
        <v>2</v>
      </c>
      <c r="D106" s="3">
        <v>500</v>
      </c>
      <c r="E106" s="3">
        <v>288000</v>
      </c>
      <c r="F106" s="5">
        <f>ROUND($E106*$V$105*CUR_DT_SUM_E_ON,2)+ROUND($E106*(1-$V$105)*CUR_DT_SUM_E_OFF,2)+ROUND($D106*INPUT!$C$82,2)+ROUND($D106*$X$105*CUR_DT_SEC_DEMON,2)+ROUND($D106*(1-$X$105)*CUR_DT_SEC_DEMOFF,2)+CUR_DT_SEC_CST3</f>
        <v>25072.390000000003</v>
      </c>
      <c r="G106" s="5">
        <f>ROUND($E106*$V$105*PRO_DT_SUM_E_ON,2)+ROUND($E106*(1-$V$105)*PRO_DT_SUM_E_OFF,2)+ROUND($D106*'Rate DT-Sec'!$J$30,2)+ROUND($D106*$X$105*PRO_DT_SUM_PEAK,2)+ROUND($D106*(1-$X$105)*PRO_DT_SUM_PK_OFF,2)+PRO_DT_SEC_CST3</f>
        <v>28928.89</v>
      </c>
      <c r="H106" s="5">
        <f t="shared" si="22"/>
        <v>3856.4999999999964</v>
      </c>
      <c r="I106" s="6">
        <f t="shared" si="23"/>
        <v>15.4</v>
      </c>
      <c r="J106" s="6"/>
      <c r="K106" s="5">
        <f t="shared" si="24"/>
        <v>1004.32</v>
      </c>
      <c r="L106" s="5">
        <f t="shared" si="25"/>
        <v>1008.86</v>
      </c>
      <c r="M106" s="5">
        <f t="shared" si="26"/>
        <v>110.83</v>
      </c>
      <c r="N106" s="5">
        <f t="shared" si="27"/>
        <v>114.25</v>
      </c>
      <c r="O106" s="5">
        <f t="shared" si="28"/>
        <v>712.8</v>
      </c>
      <c r="P106" s="5">
        <f t="shared" si="29"/>
        <v>27909.200000000004</v>
      </c>
      <c r="Q106" s="5">
        <f t="shared" ref="Q106:Q114" si="30">G106+K106+L106+N106+O106</f>
        <v>31769.119999999999</v>
      </c>
      <c r="R106" s="6">
        <f t="shared" ref="R106:R114" si="31">ROUND((Q106-P106)/P106,3)*100</f>
        <v>13.8</v>
      </c>
    </row>
    <row r="107" spans="1:25">
      <c r="A107" s="1">
        <v>3</v>
      </c>
      <c r="D107" s="3">
        <v>800</v>
      </c>
      <c r="E107" s="3">
        <v>230400</v>
      </c>
      <c r="F107" s="5">
        <f>ROUND($E107*$V$105*CUR_DT_SUM_E_ON,2)+ROUND($E107*(1-$V$105)*CUR_DT_SUM_E_OFF,2)+ROUND($D107*INPUT!$C$82,2)+ROUND($D107*$X$105*CUR_DT_SEC_DEMON,2)+ROUND($D107*(1-$X$105)*CUR_DT_SEC_DEMOFF,2)+CUR_DT_SEC_CST3</f>
        <v>28330.969999999998</v>
      </c>
      <c r="G107" s="5">
        <f>ROUND($E107*$V$105*PRO_DT_SUM_E_ON,2)+ROUND($E107*(1-$V$105)*PRO_DT_SUM_E_OFF,2)+ROUND($D107*'Rate DT-Sec'!$J$30,2)+ROUND($D107*$X$105*PRO_DT_SUM_PEAK,2)+ROUND($D107*(1-$X$105)*PRO_DT_SUM_PK_OFF,2)+PRO_DT_SEC_CST3</f>
        <v>32895.51</v>
      </c>
      <c r="H107" s="5">
        <f t="shared" si="22"/>
        <v>4564.5400000000045</v>
      </c>
      <c r="I107" s="6">
        <f t="shared" si="23"/>
        <v>16.100000000000001</v>
      </c>
      <c r="J107" s="6"/>
      <c r="K107" s="5">
        <f t="shared" si="24"/>
        <v>803.45</v>
      </c>
      <c r="L107" s="5">
        <f t="shared" si="25"/>
        <v>807.09</v>
      </c>
      <c r="M107" s="5">
        <f t="shared" si="26"/>
        <v>142.38999999999999</v>
      </c>
      <c r="N107" s="5">
        <f t="shared" si="27"/>
        <v>144.65</v>
      </c>
      <c r="O107" s="5">
        <f t="shared" si="28"/>
        <v>570.24</v>
      </c>
      <c r="P107" s="5">
        <f t="shared" si="29"/>
        <v>30654.14</v>
      </c>
      <c r="Q107" s="5">
        <f t="shared" si="30"/>
        <v>35220.939999999995</v>
      </c>
      <c r="R107" s="6">
        <f t="shared" si="31"/>
        <v>14.899999999999999</v>
      </c>
    </row>
    <row r="108" spans="1:25">
      <c r="A108" s="1">
        <v>4</v>
      </c>
      <c r="D108" s="3">
        <v>800</v>
      </c>
      <c r="E108" s="3">
        <v>460800</v>
      </c>
      <c r="F108" s="5">
        <f>ROUND($E108*$V$105*CUR_DT_SUM_E_ON,2)+ROUND($E108*(1-$V$105)*CUR_DT_SUM_E_OFF,2)+ROUND($D108*INPUT!$C$82,2)+ROUND($D108*$X$105*CUR_DT_SEC_DEMON,2)+ROUND($D108*(1-$X$105)*CUR_DT_SEC_DEMOFF,2)+CUR_DT_SEC_CST3</f>
        <v>40039.630000000005</v>
      </c>
      <c r="G108" s="5">
        <f>ROUND($E108*$V$105*PRO_DT_SUM_E_ON,2)+ROUND($E108*(1-$V$105)*PRO_DT_SUM_E_OFF,2)+ROUND($D108*'Rate DT-Sec'!$J$30,2)+ROUND($D108*$X$105*PRO_DT_SUM_PEAK,2)+ROUND($D108*(1-$X$105)*PRO_DT_SUM_PK_OFF,2)+PRO_DT_SEC_CST3</f>
        <v>46209.42</v>
      </c>
      <c r="H108" s="5">
        <f t="shared" si="22"/>
        <v>6169.7899999999936</v>
      </c>
      <c r="I108" s="6">
        <f t="shared" si="23"/>
        <v>15.4</v>
      </c>
      <c r="J108" s="6"/>
      <c r="K108" s="5">
        <f t="shared" si="24"/>
        <v>1606.91</v>
      </c>
      <c r="L108" s="5">
        <f t="shared" si="25"/>
        <v>1614.18</v>
      </c>
      <c r="M108" s="5">
        <f t="shared" si="26"/>
        <v>176.83</v>
      </c>
      <c r="N108" s="5">
        <f t="shared" si="27"/>
        <v>182.37</v>
      </c>
      <c r="O108" s="5">
        <f t="shared" si="28"/>
        <v>1140.48</v>
      </c>
      <c r="P108" s="5">
        <f t="shared" si="29"/>
        <v>44578.030000000013</v>
      </c>
      <c r="Q108" s="5">
        <f t="shared" si="30"/>
        <v>50753.360000000008</v>
      </c>
      <c r="R108" s="6">
        <f t="shared" si="31"/>
        <v>13.900000000000002</v>
      </c>
    </row>
    <row r="109" spans="1:25">
      <c r="A109" s="1">
        <v>5</v>
      </c>
      <c r="D109" s="3">
        <v>1000</v>
      </c>
      <c r="E109" s="3">
        <v>288000</v>
      </c>
      <c r="F109" s="5">
        <f>ROUND($E109*$V$105*CUR_DT_SUM_E_ON,2)+ROUND($E109*(1-$V$105)*CUR_DT_SUM_E_OFF,2)+ROUND($D109*INPUT!$C$82,2)+ROUND($D109*$X$105*CUR_DT_SEC_DEMON,2)+ROUND($D109*(1-$X$105)*CUR_DT_SEC_DEMOFF,2)+CUR_DT_SEC_CST3</f>
        <v>35381.950000000004</v>
      </c>
      <c r="G109" s="5">
        <f>ROUND($E109*$V$105*PRO_DT_SUM_E_ON,2)+ROUND($E109*(1-$V$105)*PRO_DT_SUM_E_OFF,2)+ROUND($D109*'Rate DT-Sec'!$J$30,2)+ROUND($D109*$X$105*PRO_DT_SUM_PEAK,2)+ROUND($D109*(1-$X$105)*PRO_DT_SUM_PK_OFF,2)+PRO_DT_SEC_CST3</f>
        <v>41087.39</v>
      </c>
      <c r="H109" s="5">
        <f t="shared" si="22"/>
        <v>5705.4399999999951</v>
      </c>
      <c r="I109" s="6">
        <f t="shared" si="23"/>
        <v>16.100000000000001</v>
      </c>
      <c r="J109" s="6"/>
      <c r="K109" s="5">
        <f t="shared" si="24"/>
        <v>1004.32</v>
      </c>
      <c r="L109" s="5">
        <f t="shared" si="25"/>
        <v>1008.86</v>
      </c>
      <c r="M109" s="5">
        <f t="shared" si="26"/>
        <v>177.78</v>
      </c>
      <c r="N109" s="5">
        <f t="shared" si="27"/>
        <v>180.64</v>
      </c>
      <c r="O109" s="5">
        <f t="shared" si="28"/>
        <v>712.8</v>
      </c>
      <c r="P109" s="5">
        <f t="shared" si="29"/>
        <v>38285.710000000006</v>
      </c>
      <c r="Q109" s="5">
        <f t="shared" si="30"/>
        <v>43994.01</v>
      </c>
      <c r="R109" s="6">
        <f t="shared" si="31"/>
        <v>14.899999999999999</v>
      </c>
    </row>
    <row r="110" spans="1:25">
      <c r="A110" s="1">
        <v>6</v>
      </c>
      <c r="D110" s="3">
        <v>1000</v>
      </c>
      <c r="E110" s="3">
        <v>576000</v>
      </c>
      <c r="F110" s="5">
        <f>ROUND($E110*$V$105*CUR_DT_SUM_E_ON,2)+ROUND($E110*(1-$V$105)*CUR_DT_SUM_E_OFF,2)+ROUND($D110*INPUT!$C$82,2)+ROUND($D110*$X$105*CUR_DT_SEC_DEMON,2)+ROUND($D110*(1-$X$105)*CUR_DT_SEC_DEMOFF,2)+CUR_DT_SEC_CST3</f>
        <v>50017.780000000006</v>
      </c>
      <c r="G110" s="5">
        <f>ROUND($E110*$V$105*PRO_DT_SUM_E_ON,2)+ROUND($E110*(1-$V$105)*PRO_DT_SUM_E_OFF,2)+ROUND($D110*'Rate DT-Sec'!$J$30,2)+ROUND($D110*$X$105*PRO_DT_SUM_PEAK,2)+ROUND($D110*(1-$X$105)*PRO_DT_SUM_PK_OFF,2)+PRO_DT_SEC_CST3</f>
        <v>57729.77</v>
      </c>
      <c r="H110" s="5">
        <f t="shared" si="22"/>
        <v>7711.9899999999907</v>
      </c>
      <c r="I110" s="6">
        <f t="shared" si="23"/>
        <v>15.4</v>
      </c>
      <c r="J110" s="6"/>
      <c r="K110" s="5">
        <f t="shared" si="24"/>
        <v>2008.63</v>
      </c>
      <c r="L110" s="5">
        <f t="shared" si="25"/>
        <v>2017.73</v>
      </c>
      <c r="M110" s="5">
        <f t="shared" si="26"/>
        <v>220.83</v>
      </c>
      <c r="N110" s="5">
        <f t="shared" si="27"/>
        <v>227.79</v>
      </c>
      <c r="O110" s="5">
        <f t="shared" si="28"/>
        <v>1425.6</v>
      </c>
      <c r="P110" s="5">
        <f t="shared" si="29"/>
        <v>55690.570000000007</v>
      </c>
      <c r="Q110" s="5">
        <f t="shared" si="30"/>
        <v>63409.52</v>
      </c>
      <c r="R110" s="6">
        <f t="shared" si="31"/>
        <v>13.900000000000002</v>
      </c>
    </row>
    <row r="111" spans="1:25">
      <c r="A111" s="1">
        <v>7</v>
      </c>
      <c r="D111" s="3">
        <v>1200</v>
      </c>
      <c r="E111" s="3">
        <v>345600</v>
      </c>
      <c r="F111" s="5">
        <f>ROUND($E111*$V$105*CUR_DT_SUM_E_ON,2)+ROUND($E111*(1-$V$105)*CUR_DT_SUM_E_OFF,2)+ROUND($D111*INPUT!$C$82,2)+ROUND($D111*$X$105*CUR_DT_SEC_DEMON,2)+ROUND($D111*(1-$X$105)*CUR_DT_SEC_DEMOFF,2)+CUR_DT_SEC_CST3</f>
        <v>42432.93</v>
      </c>
      <c r="G111" s="5">
        <f>ROUND($E111*$V$105*PRO_DT_SUM_E_ON,2)+ROUND($E111*(1-$V$105)*PRO_DT_SUM_E_OFF,2)+ROUND($D111*'Rate DT-Sec'!$J$30,2)+ROUND($D111*$X$105*PRO_DT_SUM_PEAK,2)+ROUND($D111*(1-$X$105)*PRO_DT_SUM_PK_OFF,2)+PRO_DT_SEC_CST3</f>
        <v>49279.28</v>
      </c>
      <c r="H111" s="5">
        <f t="shared" si="22"/>
        <v>6846.3499999999985</v>
      </c>
      <c r="I111" s="6">
        <f t="shared" si="23"/>
        <v>16.100000000000001</v>
      </c>
      <c r="J111" s="6"/>
      <c r="K111" s="5">
        <f t="shared" si="24"/>
        <v>1205.18</v>
      </c>
      <c r="L111" s="5">
        <f t="shared" si="25"/>
        <v>1210.6400000000001</v>
      </c>
      <c r="M111" s="5">
        <f t="shared" si="26"/>
        <v>213.17</v>
      </c>
      <c r="N111" s="5">
        <f t="shared" si="27"/>
        <v>216.63</v>
      </c>
      <c r="O111" s="5">
        <f t="shared" si="28"/>
        <v>855.36</v>
      </c>
      <c r="P111" s="5">
        <f t="shared" si="29"/>
        <v>45917.279999999999</v>
      </c>
      <c r="Q111" s="5">
        <f t="shared" si="30"/>
        <v>52767.09</v>
      </c>
      <c r="R111" s="6">
        <f t="shared" si="31"/>
        <v>14.899999999999999</v>
      </c>
    </row>
    <row r="112" spans="1:25">
      <c r="A112" s="1">
        <v>8</v>
      </c>
      <c r="D112" s="3">
        <v>1200</v>
      </c>
      <c r="E112" s="3">
        <v>691200</v>
      </c>
      <c r="F112" s="5">
        <f>ROUND($E112*$V$105*CUR_DT_SUM_E_ON,2)+ROUND($E112*(1-$V$105)*CUR_DT_SUM_E_OFF,2)+ROUND($D112*INPUT!$C$82,2)+ROUND($D112*$X$105*CUR_DT_SEC_DEMON,2)+ROUND($D112*(1-$X$105)*CUR_DT_SEC_DEMOFF,2)+CUR_DT_SEC_CST3</f>
        <v>59995.94</v>
      </c>
      <c r="G112" s="5">
        <f>ROUND($E112*$V$105*PRO_DT_SUM_E_ON,2)+ROUND($E112*(1-$V$105)*PRO_DT_SUM_E_OFF,2)+ROUND($D112*'Rate DT-Sec'!$J$30,2)+ROUND($D112*$X$105*PRO_DT_SUM_PEAK,2)+ROUND($D112*(1-$X$105)*PRO_DT_SUM_PK_OFF,2)+PRO_DT_SEC_CST3</f>
        <v>69250.140000000014</v>
      </c>
      <c r="H112" s="5">
        <f t="shared" si="22"/>
        <v>9254.2000000000116</v>
      </c>
      <c r="I112" s="6">
        <f t="shared" si="23"/>
        <v>15.4</v>
      </c>
      <c r="J112" s="6"/>
      <c r="K112" s="5">
        <f t="shared" si="24"/>
        <v>2410.36</v>
      </c>
      <c r="L112" s="5">
        <f t="shared" si="25"/>
        <v>2421.27</v>
      </c>
      <c r="M112" s="5">
        <f t="shared" si="26"/>
        <v>264.83</v>
      </c>
      <c r="N112" s="5">
        <f t="shared" si="27"/>
        <v>273.20999999999998</v>
      </c>
      <c r="O112" s="5">
        <f t="shared" si="28"/>
        <v>1710.72</v>
      </c>
      <c r="P112" s="5">
        <f t="shared" si="29"/>
        <v>66803.12</v>
      </c>
      <c r="Q112" s="5">
        <f t="shared" si="30"/>
        <v>76065.700000000026</v>
      </c>
      <c r="R112" s="6">
        <f t="shared" si="31"/>
        <v>13.900000000000002</v>
      </c>
    </row>
    <row r="113" spans="1:18">
      <c r="A113" s="1">
        <v>9</v>
      </c>
      <c r="D113" s="3">
        <v>1500</v>
      </c>
      <c r="E113" s="3">
        <v>432000</v>
      </c>
      <c r="F113" s="5">
        <f>ROUND($E113*$V$105*CUR_DT_SUM_E_ON,2)+ROUND($E113*(1-$V$105)*CUR_DT_SUM_E_OFF,2)+ROUND($D113*INPUT!$C$82,2)+ROUND($D113*$X$105*CUR_DT_SEC_DEMON,2)+ROUND($D113*(1-$X$105)*CUR_DT_SEC_DEMOFF,2)+CUR_DT_SEC_CST3</f>
        <v>53009.42</v>
      </c>
      <c r="G113" s="5">
        <f>ROUND($E113*$V$105*PRO_DT_SUM_E_ON,2)+ROUND($E113*(1-$V$105)*PRO_DT_SUM_E_OFF,2)+ROUND($D113*'Rate DT-Sec'!$J$30,2)+ROUND($D113*$X$105*PRO_DT_SUM_PEAK,2)+ROUND($D113*(1-$X$105)*PRO_DT_SUM_PK_OFF,2)+PRO_DT_SEC_CST3</f>
        <v>61567.09</v>
      </c>
      <c r="H113" s="5">
        <f t="shared" si="22"/>
        <v>8557.6699999999983</v>
      </c>
      <c r="I113" s="6">
        <f t="shared" si="23"/>
        <v>16.100000000000001</v>
      </c>
      <c r="J113" s="6"/>
      <c r="K113" s="5">
        <f t="shared" si="24"/>
        <v>1506.48</v>
      </c>
      <c r="L113" s="5">
        <f t="shared" si="25"/>
        <v>1513.3</v>
      </c>
      <c r="M113" s="5">
        <f t="shared" si="26"/>
        <v>266.25</v>
      </c>
      <c r="N113" s="5">
        <f t="shared" si="27"/>
        <v>270.61</v>
      </c>
      <c r="O113" s="5">
        <f t="shared" si="28"/>
        <v>1069.2</v>
      </c>
      <c r="P113" s="5">
        <f t="shared" si="29"/>
        <v>57364.65</v>
      </c>
      <c r="Q113" s="5">
        <f t="shared" si="30"/>
        <v>65926.680000000008</v>
      </c>
      <c r="R113" s="6">
        <f t="shared" si="31"/>
        <v>14.899999999999999</v>
      </c>
    </row>
    <row r="114" spans="1:18">
      <c r="A114" s="1">
        <v>10</v>
      </c>
      <c r="D114" s="3">
        <v>1500</v>
      </c>
      <c r="E114" s="3">
        <v>864000</v>
      </c>
      <c r="F114" s="5">
        <f>ROUND($E114*$V$105*CUR_DT_SUM_E_ON,2)+ROUND($E114*(1-$V$105)*CUR_DT_SUM_E_OFF,2)+ROUND($D114*INPUT!$C$82,2)+ROUND($D114*$X$105*CUR_DT_SEC_DEMON,2)+ROUND($D114*(1-$X$105)*CUR_DT_SEC_DEMOFF,2)+CUR_DT_SEC_CST3</f>
        <v>74963.17</v>
      </c>
      <c r="G114" s="5">
        <f>ROUND($E114*$V$105*PRO_DT_SUM_E_ON,2)+ROUND($E114*(1-$V$105)*PRO_DT_SUM_E_OFF,2)+ROUND($D114*'Rate DT-Sec'!$J$30,2)+ROUND($D114*$X$105*PRO_DT_SUM_PEAK,2)+ROUND($D114*(1-$X$105)*PRO_DT_SUM_PK_OFF,2)+PRO_DT_SEC_CST3</f>
        <v>86530.67</v>
      </c>
      <c r="H114" s="5">
        <f t="shared" si="22"/>
        <v>11567.5</v>
      </c>
      <c r="I114" s="6">
        <f t="shared" si="23"/>
        <v>15.4</v>
      </c>
      <c r="J114" s="6"/>
      <c r="K114" s="5">
        <f t="shared" si="24"/>
        <v>3012.95</v>
      </c>
      <c r="L114" s="5">
        <f t="shared" si="25"/>
        <v>3026.59</v>
      </c>
      <c r="M114" s="5">
        <f t="shared" si="26"/>
        <v>330.83</v>
      </c>
      <c r="N114" s="5">
        <f t="shared" si="27"/>
        <v>341.34</v>
      </c>
      <c r="O114" s="5">
        <f t="shared" si="28"/>
        <v>2138.4</v>
      </c>
      <c r="P114" s="5">
        <f t="shared" si="29"/>
        <v>83471.939999999988</v>
      </c>
      <c r="Q114" s="5">
        <f t="shared" si="30"/>
        <v>95049.949999999983</v>
      </c>
      <c r="R114" s="6">
        <f t="shared" si="31"/>
        <v>13.900000000000002</v>
      </c>
    </row>
    <row r="115" spans="1:18">
      <c r="D115" s="3"/>
      <c r="E115" s="3"/>
      <c r="K115" s="5"/>
      <c r="L115" s="5"/>
      <c r="M115" s="5"/>
      <c r="N115" s="5"/>
      <c r="O115" s="5"/>
      <c r="P115" s="5"/>
      <c r="Q115" s="5"/>
    </row>
    <row r="116" spans="1:18" ht="15.75">
      <c r="A116" s="1">
        <v>11</v>
      </c>
      <c r="C116" s="42" t="s">
        <v>128</v>
      </c>
      <c r="D116" s="3">
        <v>500</v>
      </c>
      <c r="E116" s="3">
        <v>144000</v>
      </c>
      <c r="F116" s="5">
        <f>ROUND($E116*$W$105*CUR_DT_WIN_E_ON,2)+ROUND($E116*(1-$W$105)*CUR_DT_SUM_E_OFF,2)+ROUND($D116*INPUT!$C$82,2)+ROUND($D116*$Y$105*CUR_DT_WIN_PEAK_ON,2)+ROUND($D116*(1-$Y$105)*CUR_DT_WIN_PK_OFF,2)+CUR_DT_SEC_CST3</f>
        <v>17221.93</v>
      </c>
      <c r="G116" s="5">
        <f>ROUND($E116*$W$105*PRO_DT_WIN_E_ON,2)+ROUND($E116*(1-$W$105)*PRO_DT_WIN_E_OFF,2)+ROUND($D116*'Rate DT-Sec'!$J$47,2)+ROUND($D116*$Y$105*PRO_DT_WIN_PEAK,2)+ROUND($D116*(1-$Y$105)*PRO_DT_WIN_PK_OFF,2)+PRO_DT_SEC_CST3</f>
        <v>20001.32</v>
      </c>
      <c r="H116" s="5">
        <f t="shared" ref="H116:H125" si="32">G116-F116</f>
        <v>2779.3899999999994</v>
      </c>
      <c r="I116" s="6">
        <f t="shared" ref="I116:I125" si="33">ROUND(H116/F116,3)*100</f>
        <v>16.100000000000001</v>
      </c>
      <c r="J116" s="6"/>
      <c r="K116" s="5">
        <f t="shared" ref="K116:K125" si="34">ROUND(E116*CUR_FAC,2)</f>
        <v>502.16</v>
      </c>
      <c r="L116" s="5">
        <f t="shared" ref="L116:L125" si="35">ROUND(E116*DSM_DIST,2)</f>
        <v>504.43</v>
      </c>
      <c r="M116" s="5">
        <f t="shared" ref="M116:M125" si="36">ROUND((F116+$L116+$O116-PRO_BASE_FUEL*$E116)*CUR_ESM_NonRes,2)</f>
        <v>85.84</v>
      </c>
      <c r="N116" s="5">
        <f t="shared" ref="N116:N125" si="37">ROUND((G116+$L116+$O116-PRO_BASE_FUEL*$E116)*PRO_ESM_NONRES,2)</f>
        <v>87.36</v>
      </c>
      <c r="O116" s="5">
        <f t="shared" ref="O116:O125" si="38">ROUND(E116*RS_PSM,2)</f>
        <v>356.4</v>
      </c>
      <c r="P116" s="5">
        <f>F116+K116+L116+M116+O116</f>
        <v>18670.760000000002</v>
      </c>
      <c r="Q116" s="5">
        <f>G116+K116+L116+N116+O116</f>
        <v>21451.670000000002</v>
      </c>
      <c r="R116" s="6">
        <f t="shared" ref="R116:R125" si="39">ROUND((Q116-P116)/P116,3)*100</f>
        <v>14.899999999999999</v>
      </c>
    </row>
    <row r="117" spans="1:18">
      <c r="A117" s="1">
        <v>12</v>
      </c>
      <c r="D117" s="3">
        <v>500</v>
      </c>
      <c r="E117" s="3">
        <v>288000</v>
      </c>
      <c r="F117" s="5">
        <f>ROUND($E117*$W$105*CUR_DT_WIN_E_ON,2)+ROUND($E117*(1-$W$105)*CUR_DT_SUM_E_OFF,2)+ROUND($D117*INPUT!$C$82,2)+ROUND($D117*$Y$105*CUR_DT_WIN_PEAK_ON,2)+ROUND($D117*(1-$Y$105)*CUR_DT_WIN_PK_OFF,2)+CUR_DT_SEC_CST3</f>
        <v>24442.34</v>
      </c>
      <c r="G117" s="5">
        <f>ROUND($E117*$W$105*PRO_DT_WIN_E_ON,2)+ROUND($E117*(1-$W$105)*PRO_DT_WIN_E_OFF,2)+ROUND($D117*'Rate DT-Sec'!$J$47,2)+ROUND($D117*$Y$105*PRO_DT_WIN_PEAK,2)+ROUND($D117*(1-$Y$105)*PRO_DT_WIN_PK_OFF,2)+PRO_DT_SEC_CST3</f>
        <v>28211.690000000002</v>
      </c>
      <c r="H117" s="5">
        <f t="shared" si="32"/>
        <v>3769.3500000000022</v>
      </c>
      <c r="I117" s="6">
        <f t="shared" si="33"/>
        <v>15.4</v>
      </c>
      <c r="J117" s="6"/>
      <c r="K117" s="5">
        <f t="shared" si="34"/>
        <v>1004.32</v>
      </c>
      <c r="L117" s="5">
        <f t="shared" si="35"/>
        <v>1008.86</v>
      </c>
      <c r="M117" s="5">
        <f t="shared" si="36"/>
        <v>106.73</v>
      </c>
      <c r="N117" s="5">
        <f t="shared" si="37"/>
        <v>110.33</v>
      </c>
      <c r="O117" s="5">
        <f t="shared" si="38"/>
        <v>712.8</v>
      </c>
      <c r="P117" s="5">
        <f t="shared" ref="P117:P125" si="40">F117+K117+L117+M117+O117</f>
        <v>27275.05</v>
      </c>
      <c r="Q117" s="5">
        <f t="shared" ref="Q117:Q125" si="41">G117+K117+L117+N117+O117</f>
        <v>31048.000000000004</v>
      </c>
      <c r="R117" s="6">
        <f t="shared" si="39"/>
        <v>13.8</v>
      </c>
    </row>
    <row r="118" spans="1:18">
      <c r="A118" s="1">
        <v>13</v>
      </c>
      <c r="D118" s="3">
        <v>800</v>
      </c>
      <c r="E118" s="3">
        <v>230400</v>
      </c>
      <c r="F118" s="5">
        <f>ROUND($E118*$W$105*CUR_DT_WIN_E_ON,2)+ROUND($E118*(1-$W$105)*CUR_DT_SUM_E_OFF,2)+ROUND($D118*INPUT!$C$82,2)+ROUND($D118*$Y$105*CUR_DT_WIN_PEAK_ON,2)+ROUND($D118*(1-$Y$105)*CUR_DT_WIN_PK_OFF,2)+CUR_DT_SEC_CST3</f>
        <v>27478.899999999998</v>
      </c>
      <c r="G118" s="5">
        <f>ROUND($E118*$W$105*PRO_DT_WIN_E_ON,2)+ROUND($E118*(1-$W$105)*PRO_DT_WIN_E_OFF,2)+ROUND($D118*'Rate DT-Sec'!$J$47,2)+ROUND($D118*$Y$105*PRO_DT_WIN_PEAK,2)+ROUND($D118*(1-$Y$105)*PRO_DT_WIN_PK_OFF,2)+PRO_DT_SEC_CST3</f>
        <v>31925.32</v>
      </c>
      <c r="H118" s="5">
        <f t="shared" si="32"/>
        <v>4446.4200000000019</v>
      </c>
      <c r="I118" s="6">
        <f t="shared" si="33"/>
        <v>16.2</v>
      </c>
      <c r="J118" s="6"/>
      <c r="K118" s="5">
        <f t="shared" si="34"/>
        <v>803.45</v>
      </c>
      <c r="L118" s="5">
        <f t="shared" si="35"/>
        <v>807.09</v>
      </c>
      <c r="M118" s="5">
        <f t="shared" si="36"/>
        <v>136.85</v>
      </c>
      <c r="N118" s="5">
        <f t="shared" si="37"/>
        <v>139.35</v>
      </c>
      <c r="O118" s="5">
        <f t="shared" si="38"/>
        <v>570.24</v>
      </c>
      <c r="P118" s="5">
        <f t="shared" si="40"/>
        <v>29796.53</v>
      </c>
      <c r="Q118" s="5">
        <f t="shared" si="41"/>
        <v>34245.449999999997</v>
      </c>
      <c r="R118" s="6">
        <f t="shared" si="39"/>
        <v>14.899999999999999</v>
      </c>
    </row>
    <row r="119" spans="1:18">
      <c r="A119" s="1">
        <v>14</v>
      </c>
      <c r="D119" s="3">
        <v>800</v>
      </c>
      <c r="E119" s="3">
        <v>460800</v>
      </c>
      <c r="F119" s="5">
        <f>ROUND($E119*$W$105*CUR_DT_WIN_E_ON,2)+ROUND($E119*(1-$W$105)*CUR_DT_SUM_E_OFF,2)+ROUND($D119*INPUT!$C$82,2)+ROUND($D119*$Y$105*CUR_DT_WIN_PEAK_ON,2)+ROUND($D119*(1-$Y$105)*CUR_DT_WIN_PK_OFF,2)+CUR_DT_SEC_CST3</f>
        <v>39031.56</v>
      </c>
      <c r="G119" s="5">
        <f>ROUND($E119*$W$105*PRO_DT_WIN_E_ON,2)+ROUND($E119*(1-$W$105)*PRO_DT_WIN_E_OFF,2)+ROUND($D119*'Rate DT-Sec'!$J$47,2)+ROUND($D119*$Y$105*PRO_DT_WIN_PEAK,2)+ROUND($D119*(1-$Y$105)*PRO_DT_WIN_PK_OFF,2)+PRO_DT_SEC_CST3</f>
        <v>45061.899999999994</v>
      </c>
      <c r="H119" s="5">
        <f t="shared" si="32"/>
        <v>6030.3399999999965</v>
      </c>
      <c r="I119" s="6">
        <f t="shared" si="33"/>
        <v>15.4</v>
      </c>
      <c r="J119" s="6"/>
      <c r="K119" s="5">
        <f t="shared" si="34"/>
        <v>1606.91</v>
      </c>
      <c r="L119" s="5">
        <f t="shared" si="35"/>
        <v>1614.18</v>
      </c>
      <c r="M119" s="5">
        <f t="shared" si="36"/>
        <v>170.28</v>
      </c>
      <c r="N119" s="5">
        <f t="shared" si="37"/>
        <v>176.11</v>
      </c>
      <c r="O119" s="5">
        <f t="shared" si="38"/>
        <v>1140.48</v>
      </c>
      <c r="P119" s="5">
        <f t="shared" si="40"/>
        <v>43563.41</v>
      </c>
      <c r="Q119" s="5">
        <f t="shared" si="41"/>
        <v>49599.58</v>
      </c>
      <c r="R119" s="6">
        <f t="shared" si="39"/>
        <v>13.900000000000002</v>
      </c>
    </row>
    <row r="120" spans="1:18">
      <c r="A120" s="1">
        <v>15</v>
      </c>
      <c r="D120" s="3">
        <v>1000</v>
      </c>
      <c r="E120" s="3">
        <v>288000</v>
      </c>
      <c r="F120" s="5">
        <f>ROUND($E120*$W$105*CUR_DT_WIN_E_ON,2)+ROUND($E120*(1-$W$105)*CUR_DT_SUM_E_OFF,2)+ROUND($D120*INPUT!$C$82,2)+ROUND($D120*$Y$105*CUR_DT_WIN_PEAK_ON,2)+ROUND($D120*(1-$Y$105)*CUR_DT_WIN_PK_OFF,2)+CUR_DT_SEC_CST3</f>
        <v>34316.85</v>
      </c>
      <c r="G120" s="5">
        <f>ROUND($E120*$W$105*PRO_DT_WIN_E_ON,2)+ROUND($E120*(1-$W$105)*PRO_DT_WIN_E_OFF,2)+ROUND($D120*'Rate DT-Sec'!$J$47,2)+ROUND($D120*$Y$105*PRO_DT_WIN_PEAK,2)+ROUND($D120*(1-$Y$105)*PRO_DT_WIN_PK_OFF,2)+PRO_DT_SEC_CST3</f>
        <v>39874.660000000003</v>
      </c>
      <c r="H120" s="5">
        <f t="shared" si="32"/>
        <v>5557.8100000000049</v>
      </c>
      <c r="I120" s="6">
        <f t="shared" si="33"/>
        <v>16.2</v>
      </c>
      <c r="J120" s="6"/>
      <c r="K120" s="5">
        <f t="shared" si="34"/>
        <v>1004.32</v>
      </c>
      <c r="L120" s="5">
        <f t="shared" si="35"/>
        <v>1008.86</v>
      </c>
      <c r="M120" s="5">
        <f t="shared" si="36"/>
        <v>170.86</v>
      </c>
      <c r="N120" s="5">
        <f t="shared" si="37"/>
        <v>174.02</v>
      </c>
      <c r="O120" s="5">
        <f t="shared" si="38"/>
        <v>712.8</v>
      </c>
      <c r="P120" s="5">
        <f t="shared" si="40"/>
        <v>37213.69</v>
      </c>
      <c r="Q120" s="5">
        <f t="shared" si="41"/>
        <v>42774.66</v>
      </c>
      <c r="R120" s="6">
        <f t="shared" si="39"/>
        <v>14.899999999999999</v>
      </c>
    </row>
    <row r="121" spans="1:18">
      <c r="A121" s="1">
        <v>16</v>
      </c>
      <c r="D121" s="3">
        <v>1000</v>
      </c>
      <c r="E121" s="3">
        <v>576000</v>
      </c>
      <c r="F121" s="5">
        <f>ROUND($E121*$W$105*CUR_DT_WIN_E_ON,2)+ROUND($E121*(1-$W$105)*CUR_DT_SUM_E_OFF,2)+ROUND($D121*INPUT!$C$82,2)+ROUND($D121*$Y$105*CUR_DT_WIN_PEAK_ON,2)+ROUND($D121*(1-$Y$105)*CUR_DT_WIN_PK_OFF,2)+CUR_DT_SEC_CST3</f>
        <v>48757.689999999995</v>
      </c>
      <c r="G121" s="5">
        <f>ROUND($E121*$W$105*PRO_DT_WIN_E_ON,2)+ROUND($E121*(1-$W$105)*PRO_DT_WIN_E_OFF,2)+ROUND($D121*'Rate DT-Sec'!$J$47,2)+ROUND($D121*$Y$105*PRO_DT_WIN_PEAK,2)+ROUND($D121*(1-$Y$105)*PRO_DT_WIN_PK_OFF,2)+PRO_DT_SEC_CST3</f>
        <v>56295.380000000005</v>
      </c>
      <c r="H121" s="5">
        <f t="shared" si="32"/>
        <v>7537.6900000000096</v>
      </c>
      <c r="I121" s="6">
        <f t="shared" si="33"/>
        <v>15.5</v>
      </c>
      <c r="J121" s="6"/>
      <c r="K121" s="5">
        <f t="shared" si="34"/>
        <v>2008.63</v>
      </c>
      <c r="L121" s="5">
        <f t="shared" si="35"/>
        <v>2017.73</v>
      </c>
      <c r="M121" s="5">
        <f t="shared" si="36"/>
        <v>212.64</v>
      </c>
      <c r="N121" s="5">
        <f t="shared" si="37"/>
        <v>219.96</v>
      </c>
      <c r="O121" s="5">
        <f t="shared" si="38"/>
        <v>1425.6</v>
      </c>
      <c r="P121" s="5">
        <f t="shared" si="40"/>
        <v>54422.289999999994</v>
      </c>
      <c r="Q121" s="5">
        <f t="shared" si="41"/>
        <v>61967.3</v>
      </c>
      <c r="R121" s="6">
        <f t="shared" si="39"/>
        <v>13.900000000000002</v>
      </c>
    </row>
    <row r="122" spans="1:18">
      <c r="A122" s="1">
        <v>17</v>
      </c>
      <c r="D122" s="3">
        <v>1200</v>
      </c>
      <c r="E122" s="3">
        <v>345600</v>
      </c>
      <c r="F122" s="5">
        <f>ROUND($E122*$W$105*CUR_DT_WIN_E_ON,2)+ROUND($E122*(1-$W$105)*CUR_DT_SUM_E_OFF,2)+ROUND($D122*INPUT!$C$82,2)+ROUND($D122*$Y$105*CUR_DT_WIN_PEAK_ON,2)+ROUND($D122*(1-$Y$105)*CUR_DT_WIN_PK_OFF,2)+CUR_DT_SEC_CST3</f>
        <v>41154.83</v>
      </c>
      <c r="G122" s="5">
        <f>ROUND($E122*$W$105*PRO_DT_WIN_E_ON,2)+ROUND($E122*(1-$W$105)*PRO_DT_WIN_E_OFF,2)+ROUND($D122*'Rate DT-Sec'!$J$47,2)+ROUND($D122*$Y$105*PRO_DT_WIN_PEAK,2)+ROUND($D122*(1-$Y$105)*PRO_DT_WIN_PK_OFF,2)+PRO_DT_SEC_CST3</f>
        <v>47823.99</v>
      </c>
      <c r="H122" s="5">
        <f t="shared" si="32"/>
        <v>6669.1599999999962</v>
      </c>
      <c r="I122" s="6">
        <f t="shared" si="33"/>
        <v>16.2</v>
      </c>
      <c r="J122" s="6"/>
      <c r="K122" s="5">
        <f t="shared" si="34"/>
        <v>1205.18</v>
      </c>
      <c r="L122" s="5">
        <f t="shared" si="35"/>
        <v>1210.6400000000001</v>
      </c>
      <c r="M122" s="5">
        <f t="shared" si="36"/>
        <v>204.87</v>
      </c>
      <c r="N122" s="5">
        <f t="shared" si="37"/>
        <v>208.68</v>
      </c>
      <c r="O122" s="5">
        <f t="shared" si="38"/>
        <v>855.36</v>
      </c>
      <c r="P122" s="5">
        <f t="shared" si="40"/>
        <v>44630.880000000005</v>
      </c>
      <c r="Q122" s="5">
        <f t="shared" si="41"/>
        <v>51303.85</v>
      </c>
      <c r="R122" s="6">
        <f t="shared" si="39"/>
        <v>15</v>
      </c>
    </row>
    <row r="123" spans="1:18">
      <c r="A123" s="1">
        <v>18</v>
      </c>
      <c r="D123" s="3">
        <v>1200</v>
      </c>
      <c r="E123" s="3">
        <v>691200</v>
      </c>
      <c r="F123" s="5">
        <f>ROUND($E123*$W$105*CUR_DT_WIN_E_ON,2)+ROUND($E123*(1-$W$105)*CUR_DT_SUM_E_OFF,2)+ROUND($D123*INPUT!$C$82,2)+ROUND($D123*$Y$105*CUR_DT_WIN_PEAK_ON,2)+ROUND($D123*(1-$Y$105)*CUR_DT_WIN_PK_OFF,2)+CUR_DT_SEC_CST3</f>
        <v>58483.82</v>
      </c>
      <c r="G123" s="5">
        <f>ROUND($E123*$W$105*PRO_DT_WIN_E_ON,2)+ROUND($E123*(1-$W$105)*PRO_DT_WIN_E_OFF,2)+ROUND($D123*'Rate DT-Sec'!$J$47,2)+ROUND($D123*$Y$105*PRO_DT_WIN_PEAK,2)+ROUND($D123*(1-$Y$105)*PRO_DT_WIN_PK_OFF,2)+PRO_DT_SEC_CST3</f>
        <v>67528.84</v>
      </c>
      <c r="H123" s="5">
        <f t="shared" si="32"/>
        <v>9045.0199999999968</v>
      </c>
      <c r="I123" s="6">
        <f t="shared" si="33"/>
        <v>15.5</v>
      </c>
      <c r="J123" s="6"/>
      <c r="K123" s="5">
        <f t="shared" si="34"/>
        <v>2410.36</v>
      </c>
      <c r="L123" s="5">
        <f t="shared" si="35"/>
        <v>2421.27</v>
      </c>
      <c r="M123" s="5">
        <f t="shared" si="36"/>
        <v>255.01</v>
      </c>
      <c r="N123" s="5">
        <f t="shared" si="37"/>
        <v>263.81</v>
      </c>
      <c r="O123" s="5">
        <f t="shared" si="38"/>
        <v>1710.72</v>
      </c>
      <c r="P123" s="5">
        <f t="shared" si="40"/>
        <v>65281.18</v>
      </c>
      <c r="Q123" s="5">
        <f t="shared" si="41"/>
        <v>74335</v>
      </c>
      <c r="R123" s="6">
        <f t="shared" si="39"/>
        <v>13.900000000000002</v>
      </c>
    </row>
    <row r="124" spans="1:18">
      <c r="A124" s="1">
        <v>19</v>
      </c>
      <c r="D124" s="3">
        <v>1500</v>
      </c>
      <c r="E124" s="3">
        <v>432000</v>
      </c>
      <c r="F124" s="5">
        <f>ROUND($E124*$W$105*CUR_DT_WIN_E_ON,2)+ROUND($E124*(1-$W$105)*CUR_DT_SUM_E_OFF,2)+ROUND($D124*INPUT!$C$82,2)+ROUND($D124*$Y$105*CUR_DT_WIN_PEAK_ON,2)+ROUND($D124*(1-$Y$105)*CUR_DT_WIN_PK_OFF,2)+CUR_DT_SEC_CST3</f>
        <v>51411.79</v>
      </c>
      <c r="G124" s="5">
        <f>ROUND($E124*$W$105*PRO_DT_WIN_E_ON,2)+ROUND($E124*(1-$W$105)*PRO_DT_WIN_E_OFF,2)+ROUND($D124*'Rate DT-Sec'!$J$47,2)+ROUND($D124*$Y$105*PRO_DT_WIN_PEAK,2)+ROUND($D124*(1-$Y$105)*PRO_DT_WIN_PK_OFF,2)+PRO_DT_SEC_CST3</f>
        <v>59747.979999999996</v>
      </c>
      <c r="H124" s="5">
        <f t="shared" si="32"/>
        <v>8336.1899999999951</v>
      </c>
      <c r="I124" s="6">
        <f t="shared" si="33"/>
        <v>16.2</v>
      </c>
      <c r="J124" s="6"/>
      <c r="K124" s="5">
        <f t="shared" si="34"/>
        <v>1506.48</v>
      </c>
      <c r="L124" s="5">
        <f t="shared" si="35"/>
        <v>1513.3</v>
      </c>
      <c r="M124" s="5">
        <f t="shared" si="36"/>
        <v>255.88</v>
      </c>
      <c r="N124" s="5">
        <f t="shared" si="37"/>
        <v>260.68</v>
      </c>
      <c r="O124" s="5">
        <f t="shared" si="38"/>
        <v>1069.2</v>
      </c>
      <c r="P124" s="5">
        <f t="shared" si="40"/>
        <v>55756.65</v>
      </c>
      <c r="Q124" s="5">
        <f t="shared" si="41"/>
        <v>64097.64</v>
      </c>
      <c r="R124" s="6">
        <f t="shared" si="39"/>
        <v>15</v>
      </c>
    </row>
    <row r="125" spans="1:18">
      <c r="A125" s="1">
        <v>20</v>
      </c>
      <c r="D125" s="3">
        <v>1500</v>
      </c>
      <c r="E125" s="3">
        <v>864000</v>
      </c>
      <c r="F125" s="5">
        <f>ROUND($E125*$W$105*CUR_DT_WIN_E_ON,2)+ROUND($E125*(1-$W$105)*CUR_DT_SUM_E_OFF,2)+ROUND($D125*INPUT!$C$82,2)+ROUND($D125*$Y$105*CUR_DT_WIN_PEAK_ON,2)+ROUND($D125*(1-$Y$105)*CUR_DT_WIN_PK_OFF,2)+CUR_DT_SEC_CST3</f>
        <v>73073.03</v>
      </c>
      <c r="G125" s="5">
        <f>ROUND($E125*$W$105*PRO_DT_WIN_E_ON,2)+ROUND($E125*(1-$W$105)*PRO_DT_WIN_E_OFF,2)+ROUND($D125*'Rate DT-Sec'!$J$47,2)+ROUND($D125*$Y$105*PRO_DT_WIN_PEAK,2)+ROUND($D125*(1-$Y$105)*PRO_DT_WIN_PK_OFF,2)+PRO_DT_SEC_CST3</f>
        <v>84379.05</v>
      </c>
      <c r="H125" s="5">
        <f t="shared" si="32"/>
        <v>11306.020000000004</v>
      </c>
      <c r="I125" s="6">
        <f t="shared" si="33"/>
        <v>15.5</v>
      </c>
      <c r="J125" s="6"/>
      <c r="K125" s="5">
        <f t="shared" si="34"/>
        <v>3012.95</v>
      </c>
      <c r="L125" s="5">
        <f t="shared" si="35"/>
        <v>3026.59</v>
      </c>
      <c r="M125" s="5">
        <f t="shared" si="36"/>
        <v>318.55</v>
      </c>
      <c r="N125" s="5">
        <f t="shared" si="37"/>
        <v>329.59</v>
      </c>
      <c r="O125" s="5">
        <f t="shared" si="38"/>
        <v>2138.4</v>
      </c>
      <c r="P125" s="5">
        <f t="shared" si="40"/>
        <v>81569.51999999999</v>
      </c>
      <c r="Q125" s="5">
        <f t="shared" si="41"/>
        <v>92886.579999999987</v>
      </c>
      <c r="R125" s="6">
        <f t="shared" si="39"/>
        <v>13.900000000000002</v>
      </c>
    </row>
    <row r="127" spans="1:18" ht="15.75">
      <c r="C127" s="42" t="str">
        <f>"(1) REFLECTS FUEL ADJUSTMENT COMPONENT (FAC) OF "&amp;TEXT(CUR_FAC,"$0.000000;($0.000000)")&amp;" PER KWH."</f>
        <v>(1) REFLECTS FUEL ADJUSTMENT COMPONENT (FAC) OF $0.003487 PER KWH.</v>
      </c>
    </row>
    <row r="128" spans="1:18" ht="15.75">
      <c r="C128" s="42" t="str">
        <f>"(2) RIDER DSMR "&amp;TEXT(DSM_DIST,"$0.000000;($0.000000)")&amp;" PER KWH."</f>
        <v>(2) RIDER DSMR $0.003503 PER KWH.</v>
      </c>
    </row>
    <row r="129" spans="1:18" ht="15.75">
      <c r="A129" s="422"/>
      <c r="C129" s="42" t="str">
        <f>"(3) RIDER ESM "&amp;TEXT(CUR_ESM_NonRes,"#0.00%")&amp;"  OF TOTAL CURRENT BILL."</f>
        <v>(3) RIDER ESM 0.65%  OF TOTAL CURRENT BILL.</v>
      </c>
    </row>
    <row r="130" spans="1:18" ht="15.75">
      <c r="A130" s="422"/>
      <c r="C130" s="42" t="str">
        <f>"(4) RIDER PSM "&amp;TEXT(RS_PSM,"$0.000000;($0.000000)")&amp;"  PER KWH."</f>
        <v>(4) RIDER PSM $0.002475  PER KWH.</v>
      </c>
    </row>
    <row r="131" spans="1:18" ht="15.75">
      <c r="A131" s="422"/>
      <c r="C131" s="42" t="str">
        <f>"(5) REFLECTS FUEL COST RECOVERY INCLUDED IN BASE RATES OF "&amp;TEXT(CUR_BASE_FUEL,"$0.000000;($0.000000)")&amp;"  PER KWH AND THREE PHASE SECONDARY SERVICE."</f>
        <v>(5) REFLECTS FUEL COST RECOVERY INCLUDED IN BASE RATES OF $0.033780  PER KWH AND THREE PHASE SECONDARY SERVICE.</v>
      </c>
    </row>
    <row r="132" spans="1:18" ht="15.75">
      <c r="A132" s="422"/>
      <c r="C132" s="42" t="str">
        <f>"(6) DEMAND AND ENERGY VALUES REPRESENT THE SUM OF ON AND OFF PEAK.  FOR BILL CALCULATION, VALUES ARE SPLIT USING THE RATIO OF VALUES IN SCHEDULE M-2.3."</f>
        <v>(6) DEMAND AND ENERGY VALUES REPRESENT THE SUM OF ON AND OFF PEAK.  FOR BILL CALCULATION, VALUES ARE SPLIT USING THE RATIO OF VALUES IN SCHEDULE M-2.3.</v>
      </c>
    </row>
    <row r="133" spans="1:18" ht="15.75">
      <c r="A133" s="422"/>
      <c r="C133" s="42" t="str">
        <f>"(7) RIDER ESM "&amp;TEXT(PRO_ESM_NONRES,"#0.00%")&amp;"  OF TOTAL PROPOSED BILL."</f>
        <v>(7) RIDER ESM 0.55%  OF TOTAL PROPOSED BILL.</v>
      </c>
    </row>
    <row r="134" spans="1:18" ht="15.75">
      <c r="A134" s="40" t="str">
        <f>NAME</f>
        <v>DUKE ENERGY KENTUCKY, INC.</v>
      </c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</row>
    <row r="135" spans="1:18" ht="15.75">
      <c r="A135" s="40" t="str">
        <f>CASE_NO</f>
        <v>CASE NO.   2024-00354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</row>
    <row r="136" spans="1:18" ht="15.75">
      <c r="A136" s="40" t="s">
        <v>171</v>
      </c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</row>
    <row r="137" spans="1:18" ht="15.75">
      <c r="A137" s="40" t="str">
        <f>SERVICE</f>
        <v>(ELECTRIC SERVICE)</v>
      </c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</row>
    <row r="138" spans="1:18" ht="15.75">
      <c r="A138" s="42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</row>
    <row r="139" spans="1:18" ht="15.75">
      <c r="A139" s="41" t="str">
        <f>DATA_PERIOD</f>
        <v>DATA: ____ BASE PERIOD   __X__FORECASTED PERIOD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2" t="s">
        <v>172</v>
      </c>
      <c r="R139" s="41"/>
    </row>
    <row r="140" spans="1:18" ht="15.75">
      <c r="A140" s="41" t="str">
        <f>TYPE</f>
        <v>TYPE OF FILING: _X_ ORIGINAL   ___UPDATED  ___ REVISED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2" t="s">
        <v>180</v>
      </c>
      <c r="R140" s="41"/>
    </row>
    <row r="141" spans="1:18" ht="15.75">
      <c r="A141" s="42" t="s">
        <v>100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2" t="s">
        <v>3</v>
      </c>
      <c r="R141" s="41"/>
    </row>
    <row r="142" spans="1:18" ht="16.5" customHeight="1">
      <c r="A142" s="130" t="str">
        <f>TIME</f>
        <v>12 Months Projected with Riders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 t="str">
        <f>WIT</f>
        <v>B. L. Sailers</v>
      </c>
      <c r="R142" s="41"/>
    </row>
    <row r="143" spans="1:18">
      <c r="A143" s="764" t="s">
        <v>426</v>
      </c>
      <c r="B143" s="764"/>
      <c r="C143" s="764"/>
      <c r="D143" s="764"/>
      <c r="E143" s="764"/>
      <c r="F143" s="764"/>
      <c r="G143" s="764"/>
      <c r="H143" s="764"/>
      <c r="I143" s="764"/>
      <c r="J143" s="764"/>
      <c r="K143" s="764"/>
      <c r="L143" s="764"/>
      <c r="M143" s="764"/>
      <c r="N143" s="764"/>
      <c r="O143" s="764"/>
      <c r="P143" s="764"/>
      <c r="Q143" s="764"/>
      <c r="R143" s="764"/>
    </row>
    <row r="144" spans="1:18" ht="15.7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</row>
    <row r="145" spans="1:18" ht="15.7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</row>
    <row r="146" spans="1:18" ht="15.75">
      <c r="A146" s="41"/>
      <c r="B146" s="41"/>
      <c r="C146" s="41"/>
      <c r="D146" s="41"/>
      <c r="E146" s="41"/>
      <c r="F146" s="12" t="s">
        <v>374</v>
      </c>
      <c r="G146" s="12"/>
      <c r="H146" s="12"/>
      <c r="I146" s="12"/>
      <c r="J146" s="40"/>
      <c r="K146" s="763" t="s">
        <v>357</v>
      </c>
      <c r="L146" s="763"/>
      <c r="M146" s="763"/>
      <c r="N146" s="763"/>
      <c r="O146" s="763"/>
      <c r="P146" s="44" t="s">
        <v>11</v>
      </c>
      <c r="Q146" s="44" t="s">
        <v>11</v>
      </c>
      <c r="R146" s="41"/>
    </row>
    <row r="147" spans="1:18" ht="17.100000000000001" customHeight="1">
      <c r="A147" s="41"/>
      <c r="B147" s="41"/>
      <c r="C147" s="41"/>
      <c r="D147" s="44" t="s">
        <v>101</v>
      </c>
      <c r="E147" s="44" t="s">
        <v>101</v>
      </c>
      <c r="F147" s="41"/>
      <c r="G147" s="41"/>
      <c r="H147" s="44" t="s">
        <v>102</v>
      </c>
      <c r="I147" s="44" t="s">
        <v>103</v>
      </c>
      <c r="J147" s="44"/>
      <c r="K147" s="41"/>
      <c r="L147" s="41"/>
      <c r="O147" s="41"/>
      <c r="P147" s="44" t="s">
        <v>8</v>
      </c>
      <c r="Q147" s="44" t="s">
        <v>6</v>
      </c>
      <c r="R147" s="44" t="s">
        <v>103</v>
      </c>
    </row>
    <row r="148" spans="1:18" ht="15.75">
      <c r="A148" s="41"/>
      <c r="B148" s="41"/>
      <c r="C148" s="41"/>
      <c r="D148" s="44" t="s">
        <v>104</v>
      </c>
      <c r="E148" s="44" t="s">
        <v>104</v>
      </c>
      <c r="F148" s="44" t="s">
        <v>8</v>
      </c>
      <c r="G148" s="44" t="s">
        <v>6</v>
      </c>
      <c r="H148" s="44" t="s">
        <v>105</v>
      </c>
      <c r="I148" s="44" t="s">
        <v>105</v>
      </c>
      <c r="J148" s="44"/>
      <c r="K148" s="44" t="s">
        <v>252</v>
      </c>
      <c r="L148" s="44" t="s">
        <v>252</v>
      </c>
      <c r="M148" s="44" t="s">
        <v>252</v>
      </c>
      <c r="N148" s="44" t="s">
        <v>252</v>
      </c>
      <c r="O148" s="44" t="s">
        <v>252</v>
      </c>
      <c r="P148" s="44" t="s">
        <v>106</v>
      </c>
      <c r="Q148" s="44" t="s">
        <v>106</v>
      </c>
      <c r="R148" s="44" t="s">
        <v>105</v>
      </c>
    </row>
    <row r="149" spans="1:18" ht="15.75">
      <c r="A149" s="44" t="s">
        <v>17</v>
      </c>
      <c r="B149" s="41"/>
      <c r="C149" s="42" t="s">
        <v>18</v>
      </c>
      <c r="D149" s="44" t="s">
        <v>108</v>
      </c>
      <c r="E149" s="44" t="s">
        <v>109</v>
      </c>
      <c r="F149" s="60" t="s">
        <v>830</v>
      </c>
      <c r="G149" s="60" t="s">
        <v>830</v>
      </c>
      <c r="H149" s="304" t="s">
        <v>110</v>
      </c>
      <c r="I149" s="304" t="s">
        <v>111</v>
      </c>
      <c r="J149" s="44"/>
      <c r="K149" s="44" t="s">
        <v>355</v>
      </c>
      <c r="L149" s="60" t="s">
        <v>255</v>
      </c>
      <c r="M149" s="60" t="s">
        <v>534</v>
      </c>
      <c r="N149" s="60" t="s">
        <v>1037</v>
      </c>
      <c r="O149" s="60" t="s">
        <v>831</v>
      </c>
      <c r="P149" s="307" t="s">
        <v>1035</v>
      </c>
      <c r="Q149" s="307" t="s">
        <v>1036</v>
      </c>
      <c r="R149" s="307" t="s">
        <v>968</v>
      </c>
    </row>
    <row r="150" spans="1:18" ht="15.75">
      <c r="A150" s="65" t="s">
        <v>22</v>
      </c>
      <c r="B150" s="61"/>
      <c r="C150" s="421" t="s">
        <v>23</v>
      </c>
      <c r="D150" s="424" t="s">
        <v>33</v>
      </c>
      <c r="E150" s="424" t="s">
        <v>34</v>
      </c>
      <c r="F150" s="424" t="s">
        <v>35</v>
      </c>
      <c r="G150" s="424" t="s">
        <v>36</v>
      </c>
      <c r="H150" s="424" t="s">
        <v>37</v>
      </c>
      <c r="I150" s="424" t="s">
        <v>38</v>
      </c>
      <c r="J150" s="424"/>
      <c r="K150" s="424" t="s">
        <v>39</v>
      </c>
      <c r="L150" s="424" t="s">
        <v>40</v>
      </c>
      <c r="M150" s="301" t="s">
        <v>1032</v>
      </c>
      <c r="N150" s="301" t="s">
        <v>1033</v>
      </c>
      <c r="O150" s="300" t="s">
        <v>42</v>
      </c>
      <c r="P150" s="300" t="s">
        <v>43</v>
      </c>
      <c r="Q150" s="300" t="s">
        <v>44</v>
      </c>
      <c r="R150" s="300" t="s">
        <v>45</v>
      </c>
    </row>
    <row r="151" spans="1:18" ht="15.75">
      <c r="A151" s="41"/>
      <c r="B151" s="41"/>
      <c r="C151" s="41"/>
      <c r="D151" s="308" t="s">
        <v>117</v>
      </c>
      <c r="E151" s="308" t="s">
        <v>49</v>
      </c>
      <c r="F151" s="308" t="s">
        <v>50</v>
      </c>
      <c r="G151" s="308" t="s">
        <v>50</v>
      </c>
      <c r="H151" s="308" t="s">
        <v>50</v>
      </c>
      <c r="I151" s="308" t="s">
        <v>51</v>
      </c>
      <c r="J151" s="308"/>
      <c r="K151" s="308" t="s">
        <v>50</v>
      </c>
      <c r="L151" s="308" t="s">
        <v>50</v>
      </c>
      <c r="M151" s="308" t="s">
        <v>50</v>
      </c>
      <c r="N151" s="308" t="s">
        <v>50</v>
      </c>
      <c r="O151" s="308" t="s">
        <v>50</v>
      </c>
      <c r="P151" s="308" t="s">
        <v>50</v>
      </c>
      <c r="Q151" s="308" t="s">
        <v>50</v>
      </c>
      <c r="R151" s="308" t="s">
        <v>51</v>
      </c>
    </row>
    <row r="152" spans="1:18" ht="15.75">
      <c r="A152" s="1">
        <v>1</v>
      </c>
      <c r="C152" s="42" t="s">
        <v>92</v>
      </c>
      <c r="D152" s="1">
        <v>100</v>
      </c>
      <c r="E152" s="3">
        <v>14400</v>
      </c>
      <c r="F152" s="5">
        <f t="shared" ref="F152:F175" si="42">IF($E152&gt;($D152*300),((($D152*300)*CUR_DP_KWH1)+(($E152-($D152*300))*CUR_DP_KWH2)+($D152*CUR_DP_DEMAND)+CUR_DP_CST),(($E152*CUR_DP_KWH1)+($D152*CUR_DP_DEMAND)+CUR_DP_CST))</f>
        <v>2097.4928</v>
      </c>
      <c r="G152" s="5">
        <f t="shared" ref="G152:G175" si="43">IF($E152&gt;($D152*300),((($D152*300)*PRO_DP_KWH1)+(($E152-($D152*300))*PRO_DP_KWH2)+($D152*PRO_DP_DEMAND)+PRO_DP_CST),(($E152*PRO_DP_KWH1)+($D152*PRO_DP_DEMAND)+PRO_DP_CST))</f>
        <v>2231.6336000000001</v>
      </c>
      <c r="H152" s="5">
        <f t="shared" ref="H152:H175" si="44">G152-F152</f>
        <v>134.14080000000013</v>
      </c>
      <c r="I152" s="6">
        <f t="shared" ref="I152:I175" si="45">ROUND(H152/F152,3)*100</f>
        <v>6.4</v>
      </c>
      <c r="J152" s="5"/>
      <c r="K152" s="5">
        <f t="shared" ref="K152:K175" si="46">ROUND(E152*CUR_FAC,2)</f>
        <v>50.22</v>
      </c>
      <c r="L152" s="5">
        <f t="shared" ref="L152:L175" si="47">ROUND(E152*DSM_DIST,2)</f>
        <v>50.44</v>
      </c>
      <c r="M152" s="5">
        <f t="shared" ref="M152:M175" si="48">ROUND((F152+$L152+$O152-PRO_BASE_FUEL*$E152)*CUR_ESM_NonRes,2)</f>
        <v>11.02</v>
      </c>
      <c r="N152" s="5">
        <f t="shared" ref="N152:N175" si="49">ROUND((G152+$L152+$O152-PRO_BASE_FUEL*$E152)*PRO_ESM_NONRES,2)</f>
        <v>10</v>
      </c>
      <c r="O152" s="5">
        <f t="shared" ref="O152:O175" si="50">ROUND(E152*RS_PSM,2)</f>
        <v>35.64</v>
      </c>
      <c r="P152" s="5">
        <f t="shared" ref="P152:P175" si="51">F152+K152+L152+M152+O152</f>
        <v>2244.8127999999997</v>
      </c>
      <c r="Q152" s="5">
        <f>G152+K152+L152+N152+O152</f>
        <v>2377.9335999999998</v>
      </c>
      <c r="R152" s="4">
        <f>ROUND((Q152-P152)/P152,3)*100</f>
        <v>5.8999999999999995</v>
      </c>
    </row>
    <row r="153" spans="1:18">
      <c r="A153" s="1">
        <v>2</v>
      </c>
      <c r="D153" s="1">
        <v>100</v>
      </c>
      <c r="E153" s="3">
        <v>28800</v>
      </c>
      <c r="F153" s="5">
        <f t="shared" si="42"/>
        <v>3127.9856</v>
      </c>
      <c r="G153" s="5">
        <f t="shared" si="43"/>
        <v>3330.2672000000002</v>
      </c>
      <c r="H153" s="5">
        <f t="shared" si="44"/>
        <v>202.28160000000025</v>
      </c>
      <c r="I153" s="6">
        <f t="shared" si="45"/>
        <v>6.5</v>
      </c>
      <c r="J153" s="5"/>
      <c r="K153" s="5">
        <f t="shared" si="46"/>
        <v>100.43</v>
      </c>
      <c r="L153" s="5">
        <f t="shared" si="47"/>
        <v>100.89</v>
      </c>
      <c r="M153" s="5">
        <f t="shared" si="48"/>
        <v>15.11</v>
      </c>
      <c r="N153" s="5">
        <f t="shared" si="49"/>
        <v>13.81</v>
      </c>
      <c r="O153" s="5">
        <f t="shared" si="50"/>
        <v>71.28</v>
      </c>
      <c r="P153" s="5">
        <f t="shared" si="51"/>
        <v>3415.6956</v>
      </c>
      <c r="Q153" s="5">
        <f t="shared" ref="Q153:Q175" si="52">G153+K153+L153+N153+O153</f>
        <v>3616.6772000000001</v>
      </c>
      <c r="R153" s="4">
        <f t="shared" ref="R153:R175" si="53">ROUND((Q153-P153)/P153,3)*100</f>
        <v>5.8999999999999995</v>
      </c>
    </row>
    <row r="154" spans="1:18">
      <c r="A154" s="1">
        <v>3</v>
      </c>
      <c r="D154" s="1">
        <v>100</v>
      </c>
      <c r="E154" s="3">
        <v>43200</v>
      </c>
      <c r="F154" s="5">
        <f t="shared" si="42"/>
        <v>4033.1576</v>
      </c>
      <c r="G154" s="5">
        <f t="shared" si="43"/>
        <v>4294.4984000000004</v>
      </c>
      <c r="H154" s="5">
        <f t="shared" si="44"/>
        <v>261.3408000000004</v>
      </c>
      <c r="I154" s="6">
        <f t="shared" si="45"/>
        <v>6.5</v>
      </c>
      <c r="J154" s="5"/>
      <c r="K154" s="5">
        <f t="shared" si="46"/>
        <v>150.65</v>
      </c>
      <c r="L154" s="5">
        <f t="shared" si="47"/>
        <v>151.33000000000001</v>
      </c>
      <c r="M154" s="5">
        <f t="shared" si="48"/>
        <v>18.39</v>
      </c>
      <c r="N154" s="5">
        <f t="shared" si="49"/>
        <v>16.89</v>
      </c>
      <c r="O154" s="5">
        <f t="shared" si="50"/>
        <v>106.92</v>
      </c>
      <c r="P154" s="5">
        <f t="shared" si="51"/>
        <v>4460.4476000000004</v>
      </c>
      <c r="Q154" s="5">
        <f t="shared" si="52"/>
        <v>4720.2884000000004</v>
      </c>
      <c r="R154" s="4">
        <f t="shared" si="53"/>
        <v>5.8000000000000007</v>
      </c>
    </row>
    <row r="155" spans="1:18">
      <c r="A155" s="1">
        <v>4</v>
      </c>
      <c r="D155" s="1">
        <v>200</v>
      </c>
      <c r="E155" s="3">
        <v>28800</v>
      </c>
      <c r="F155" s="5">
        <f t="shared" si="42"/>
        <v>4077.9856</v>
      </c>
      <c r="G155" s="5">
        <f t="shared" si="43"/>
        <v>4343.2672000000002</v>
      </c>
      <c r="H155" s="5">
        <f t="shared" si="44"/>
        <v>265.28160000000025</v>
      </c>
      <c r="I155" s="6">
        <f t="shared" si="45"/>
        <v>6.5</v>
      </c>
      <c r="J155" s="5"/>
      <c r="K155" s="5">
        <f t="shared" si="46"/>
        <v>100.43</v>
      </c>
      <c r="L155" s="5">
        <f t="shared" si="47"/>
        <v>100.89</v>
      </c>
      <c r="M155" s="5">
        <f t="shared" si="48"/>
        <v>21.28</v>
      </c>
      <c r="N155" s="5">
        <f t="shared" si="49"/>
        <v>19.34</v>
      </c>
      <c r="O155" s="5">
        <f t="shared" si="50"/>
        <v>71.28</v>
      </c>
      <c r="P155" s="5">
        <f t="shared" si="51"/>
        <v>4371.8656000000001</v>
      </c>
      <c r="Q155" s="5">
        <f t="shared" si="52"/>
        <v>4635.2072000000007</v>
      </c>
      <c r="R155" s="4">
        <f t="shared" si="53"/>
        <v>6</v>
      </c>
    </row>
    <row r="156" spans="1:18">
      <c r="A156" s="1">
        <v>5</v>
      </c>
      <c r="D156" s="1">
        <v>200</v>
      </c>
      <c r="E156" s="3">
        <v>57600</v>
      </c>
      <c r="F156" s="5">
        <f t="shared" si="42"/>
        <v>6138.9712</v>
      </c>
      <c r="G156" s="5">
        <f t="shared" si="43"/>
        <v>6540.5344000000005</v>
      </c>
      <c r="H156" s="5">
        <f t="shared" si="44"/>
        <v>401.56320000000051</v>
      </c>
      <c r="I156" s="6">
        <f t="shared" si="45"/>
        <v>6.5</v>
      </c>
      <c r="J156" s="5"/>
      <c r="K156" s="5">
        <f t="shared" si="46"/>
        <v>200.86</v>
      </c>
      <c r="L156" s="5">
        <f t="shared" si="47"/>
        <v>201.77</v>
      </c>
      <c r="M156" s="5">
        <f t="shared" si="48"/>
        <v>29.47</v>
      </c>
      <c r="N156" s="5">
        <f t="shared" si="49"/>
        <v>26.97</v>
      </c>
      <c r="O156" s="5">
        <f t="shared" si="50"/>
        <v>142.56</v>
      </c>
      <c r="P156" s="5">
        <f t="shared" si="51"/>
        <v>6713.6312000000007</v>
      </c>
      <c r="Q156" s="5">
        <f t="shared" si="52"/>
        <v>7112.6944000000012</v>
      </c>
      <c r="R156" s="4">
        <f t="shared" si="53"/>
        <v>5.8999999999999995</v>
      </c>
    </row>
    <row r="157" spans="1:18">
      <c r="A157" s="1">
        <v>6</v>
      </c>
      <c r="D157" s="1">
        <v>200</v>
      </c>
      <c r="E157" s="3">
        <v>86400</v>
      </c>
      <c r="F157" s="5">
        <f t="shared" si="42"/>
        <v>7949.3152</v>
      </c>
      <c r="G157" s="5">
        <f t="shared" si="43"/>
        <v>8468.9968000000008</v>
      </c>
      <c r="H157" s="5">
        <f t="shared" si="44"/>
        <v>519.6816000000008</v>
      </c>
      <c r="I157" s="6">
        <f t="shared" si="45"/>
        <v>6.5</v>
      </c>
      <c r="J157" s="5"/>
      <c r="K157" s="5">
        <f t="shared" si="46"/>
        <v>301.3</v>
      </c>
      <c r="L157" s="5">
        <f t="shared" si="47"/>
        <v>302.66000000000003</v>
      </c>
      <c r="M157" s="5">
        <f t="shared" si="48"/>
        <v>36.020000000000003</v>
      </c>
      <c r="N157" s="5">
        <f t="shared" si="49"/>
        <v>33.130000000000003</v>
      </c>
      <c r="O157" s="5">
        <f t="shared" si="50"/>
        <v>213.84</v>
      </c>
      <c r="P157" s="5">
        <f t="shared" si="51"/>
        <v>8803.1352000000006</v>
      </c>
      <c r="Q157" s="5">
        <f t="shared" si="52"/>
        <v>9319.9267999999993</v>
      </c>
      <c r="R157" s="4">
        <f t="shared" si="53"/>
        <v>5.8999999999999995</v>
      </c>
    </row>
    <row r="158" spans="1:18">
      <c r="A158" s="1">
        <v>7</v>
      </c>
      <c r="D158" s="1">
        <v>300</v>
      </c>
      <c r="E158" s="3">
        <v>43200</v>
      </c>
      <c r="F158" s="5">
        <f t="shared" si="42"/>
        <v>6058.4784</v>
      </c>
      <c r="G158" s="5">
        <f t="shared" si="43"/>
        <v>6454.9008000000003</v>
      </c>
      <c r="H158" s="5">
        <f t="shared" si="44"/>
        <v>396.42240000000038</v>
      </c>
      <c r="I158" s="6">
        <f t="shared" si="45"/>
        <v>6.5</v>
      </c>
      <c r="J158" s="5"/>
      <c r="K158" s="5">
        <f t="shared" si="46"/>
        <v>150.65</v>
      </c>
      <c r="L158" s="5">
        <f t="shared" si="47"/>
        <v>151.33000000000001</v>
      </c>
      <c r="M158" s="5">
        <f t="shared" si="48"/>
        <v>31.54</v>
      </c>
      <c r="N158" s="5">
        <f t="shared" si="49"/>
        <v>28.69</v>
      </c>
      <c r="O158" s="5">
        <f t="shared" si="50"/>
        <v>106.92</v>
      </c>
      <c r="P158" s="5">
        <f t="shared" si="51"/>
        <v>6498.9183999999996</v>
      </c>
      <c r="Q158" s="5">
        <f t="shared" si="52"/>
        <v>6892.4907999999996</v>
      </c>
      <c r="R158" s="4">
        <f t="shared" si="53"/>
        <v>6.1</v>
      </c>
    </row>
    <row r="159" spans="1:18">
      <c r="A159" s="1">
        <v>8</v>
      </c>
      <c r="D159" s="1">
        <v>300</v>
      </c>
      <c r="E159" s="3">
        <v>86400</v>
      </c>
      <c r="F159" s="5">
        <f t="shared" si="42"/>
        <v>9149.9567999999999</v>
      </c>
      <c r="G159" s="5">
        <f t="shared" si="43"/>
        <v>9750.8016000000007</v>
      </c>
      <c r="H159" s="5">
        <f t="shared" si="44"/>
        <v>600.84480000000076</v>
      </c>
      <c r="I159" s="6">
        <f t="shared" si="45"/>
        <v>6.6000000000000005</v>
      </c>
      <c r="J159" s="5"/>
      <c r="K159" s="5">
        <f t="shared" si="46"/>
        <v>301.3</v>
      </c>
      <c r="L159" s="5">
        <f t="shared" si="47"/>
        <v>302.66000000000003</v>
      </c>
      <c r="M159" s="5">
        <f t="shared" si="48"/>
        <v>43.82</v>
      </c>
      <c r="N159" s="5">
        <f t="shared" si="49"/>
        <v>40.130000000000003</v>
      </c>
      <c r="O159" s="5">
        <f t="shared" si="50"/>
        <v>213.84</v>
      </c>
      <c r="P159" s="5">
        <f t="shared" si="51"/>
        <v>10011.576799999999</v>
      </c>
      <c r="Q159" s="5">
        <f t="shared" si="52"/>
        <v>10608.731599999999</v>
      </c>
      <c r="R159" s="4">
        <f t="shared" si="53"/>
        <v>6</v>
      </c>
    </row>
    <row r="160" spans="1:18">
      <c r="A160" s="1">
        <v>9</v>
      </c>
      <c r="D160" s="1">
        <v>300</v>
      </c>
      <c r="E160" s="3">
        <v>129600</v>
      </c>
      <c r="F160" s="5">
        <f t="shared" si="42"/>
        <v>11865.4728</v>
      </c>
      <c r="G160" s="5">
        <f t="shared" si="43"/>
        <v>12643.495199999999</v>
      </c>
      <c r="H160" s="5">
        <f t="shared" si="44"/>
        <v>778.02239999999983</v>
      </c>
      <c r="I160" s="6">
        <f t="shared" si="45"/>
        <v>6.6000000000000005</v>
      </c>
      <c r="J160" s="5"/>
      <c r="K160" s="5">
        <f t="shared" si="46"/>
        <v>451.94</v>
      </c>
      <c r="L160" s="5">
        <f t="shared" si="47"/>
        <v>453.99</v>
      </c>
      <c r="M160" s="5">
        <f t="shared" si="48"/>
        <v>53.66</v>
      </c>
      <c r="N160" s="5">
        <f t="shared" si="49"/>
        <v>49.37</v>
      </c>
      <c r="O160" s="5">
        <f t="shared" si="50"/>
        <v>320.76</v>
      </c>
      <c r="P160" s="5">
        <f t="shared" si="51"/>
        <v>13145.8228</v>
      </c>
      <c r="Q160" s="5">
        <f t="shared" si="52"/>
        <v>13919.555200000001</v>
      </c>
      <c r="R160" s="4">
        <f t="shared" si="53"/>
        <v>5.8999999999999995</v>
      </c>
    </row>
    <row r="161" spans="1:18">
      <c r="A161" s="1">
        <v>10</v>
      </c>
      <c r="D161" s="1">
        <v>500</v>
      </c>
      <c r="E161" s="3">
        <v>72000</v>
      </c>
      <c r="F161" s="5">
        <f t="shared" si="42"/>
        <v>10019.464</v>
      </c>
      <c r="G161" s="5">
        <f t="shared" si="43"/>
        <v>10678.168</v>
      </c>
      <c r="H161" s="5">
        <f t="shared" si="44"/>
        <v>658.70399999999972</v>
      </c>
      <c r="I161" s="6">
        <f t="shared" si="45"/>
        <v>6.6000000000000005</v>
      </c>
      <c r="J161" s="5"/>
      <c r="K161" s="5">
        <f t="shared" si="46"/>
        <v>251.08</v>
      </c>
      <c r="L161" s="5">
        <f t="shared" si="47"/>
        <v>252.22</v>
      </c>
      <c r="M161" s="5">
        <f t="shared" si="48"/>
        <v>52.07</v>
      </c>
      <c r="N161" s="5">
        <f t="shared" si="49"/>
        <v>47.38</v>
      </c>
      <c r="O161" s="5">
        <f t="shared" si="50"/>
        <v>178.2</v>
      </c>
      <c r="P161" s="5">
        <f t="shared" si="51"/>
        <v>10753.034</v>
      </c>
      <c r="Q161" s="5">
        <f t="shared" si="52"/>
        <v>11407.047999999999</v>
      </c>
      <c r="R161" s="4">
        <f t="shared" si="53"/>
        <v>6.1</v>
      </c>
    </row>
    <row r="162" spans="1:18">
      <c r="A162" s="1">
        <v>11</v>
      </c>
      <c r="D162" s="1">
        <v>500</v>
      </c>
      <c r="E162" s="3">
        <v>144000</v>
      </c>
      <c r="F162" s="5">
        <f t="shared" si="42"/>
        <v>15171.928</v>
      </c>
      <c r="G162" s="5">
        <f t="shared" si="43"/>
        <v>16171.335999999999</v>
      </c>
      <c r="H162" s="5">
        <f t="shared" si="44"/>
        <v>999.40799999999945</v>
      </c>
      <c r="I162" s="6">
        <f t="shared" si="45"/>
        <v>6.6000000000000005</v>
      </c>
      <c r="J162" s="5"/>
      <c r="K162" s="5">
        <f t="shared" si="46"/>
        <v>502.16</v>
      </c>
      <c r="L162" s="5">
        <f t="shared" si="47"/>
        <v>504.43</v>
      </c>
      <c r="M162" s="5">
        <f t="shared" si="48"/>
        <v>72.53</v>
      </c>
      <c r="N162" s="5">
        <f t="shared" si="49"/>
        <v>66.44</v>
      </c>
      <c r="O162" s="5">
        <f t="shared" si="50"/>
        <v>356.4</v>
      </c>
      <c r="P162" s="5">
        <f t="shared" si="51"/>
        <v>16607.448</v>
      </c>
      <c r="Q162" s="5">
        <f t="shared" si="52"/>
        <v>17600.766</v>
      </c>
      <c r="R162" s="4">
        <f t="shared" si="53"/>
        <v>6</v>
      </c>
    </row>
    <row r="163" spans="1:18">
      <c r="A163" s="1">
        <v>12</v>
      </c>
      <c r="D163" s="1">
        <v>500</v>
      </c>
      <c r="E163" s="3">
        <v>216000</v>
      </c>
      <c r="F163" s="5">
        <f t="shared" si="42"/>
        <v>19697.788</v>
      </c>
      <c r="G163" s="5">
        <f t="shared" si="43"/>
        <v>20992.491999999998</v>
      </c>
      <c r="H163" s="5">
        <f t="shared" si="44"/>
        <v>1294.7039999999979</v>
      </c>
      <c r="I163" s="6">
        <f t="shared" si="45"/>
        <v>6.6000000000000005</v>
      </c>
      <c r="J163" s="5"/>
      <c r="K163" s="5">
        <f t="shared" si="46"/>
        <v>753.24</v>
      </c>
      <c r="L163" s="5">
        <f t="shared" si="47"/>
        <v>756.65</v>
      </c>
      <c r="M163" s="5">
        <f t="shared" si="48"/>
        <v>88.92</v>
      </c>
      <c r="N163" s="5">
        <f t="shared" si="49"/>
        <v>81.84</v>
      </c>
      <c r="O163" s="5">
        <f t="shared" si="50"/>
        <v>534.6</v>
      </c>
      <c r="P163" s="5">
        <f t="shared" si="51"/>
        <v>21831.198</v>
      </c>
      <c r="Q163" s="5">
        <f t="shared" si="52"/>
        <v>23118.822</v>
      </c>
      <c r="R163" s="4">
        <f t="shared" si="53"/>
        <v>5.8999999999999995</v>
      </c>
    </row>
    <row r="164" spans="1:18">
      <c r="A164" s="1">
        <v>13</v>
      </c>
      <c r="D164" s="1">
        <v>800</v>
      </c>
      <c r="E164" s="3">
        <v>115200</v>
      </c>
      <c r="F164" s="5">
        <f t="shared" si="42"/>
        <v>15960.9424</v>
      </c>
      <c r="G164" s="5">
        <f t="shared" si="43"/>
        <v>17013.068800000001</v>
      </c>
      <c r="H164" s="5">
        <f t="shared" si="44"/>
        <v>1052.126400000001</v>
      </c>
      <c r="I164" s="6">
        <f t="shared" si="45"/>
        <v>6.6000000000000005</v>
      </c>
      <c r="J164" s="5"/>
      <c r="K164" s="5">
        <f t="shared" si="46"/>
        <v>401.73</v>
      </c>
      <c r="L164" s="5">
        <f t="shared" si="47"/>
        <v>403.55</v>
      </c>
      <c r="M164" s="5">
        <f t="shared" si="48"/>
        <v>82.85</v>
      </c>
      <c r="N164" s="5">
        <f t="shared" si="49"/>
        <v>75.41</v>
      </c>
      <c r="O164" s="5">
        <f t="shared" si="50"/>
        <v>285.12</v>
      </c>
      <c r="P164" s="5">
        <f t="shared" si="51"/>
        <v>17134.192399999996</v>
      </c>
      <c r="Q164" s="5">
        <f t="shared" si="52"/>
        <v>18178.878799999999</v>
      </c>
      <c r="R164" s="4">
        <f t="shared" si="53"/>
        <v>6.1</v>
      </c>
    </row>
    <row r="165" spans="1:18">
      <c r="A165" s="1">
        <v>14</v>
      </c>
      <c r="D165" s="1">
        <v>800</v>
      </c>
      <c r="E165" s="3">
        <v>230400</v>
      </c>
      <c r="F165" s="5">
        <f t="shared" si="42"/>
        <v>24204.8848</v>
      </c>
      <c r="G165" s="5">
        <f t="shared" si="43"/>
        <v>25802.137600000002</v>
      </c>
      <c r="H165" s="5">
        <f t="shared" si="44"/>
        <v>1597.252800000002</v>
      </c>
      <c r="I165" s="6">
        <f t="shared" si="45"/>
        <v>6.6000000000000005</v>
      </c>
      <c r="J165" s="5"/>
      <c r="K165" s="5">
        <f t="shared" si="46"/>
        <v>803.45</v>
      </c>
      <c r="L165" s="5">
        <f t="shared" si="47"/>
        <v>807.09</v>
      </c>
      <c r="M165" s="5">
        <f t="shared" si="48"/>
        <v>115.59</v>
      </c>
      <c r="N165" s="5">
        <f t="shared" si="49"/>
        <v>105.92</v>
      </c>
      <c r="O165" s="5">
        <f t="shared" si="50"/>
        <v>570.24</v>
      </c>
      <c r="P165" s="5">
        <f t="shared" si="51"/>
        <v>26501.254800000002</v>
      </c>
      <c r="Q165" s="5">
        <f t="shared" si="52"/>
        <v>28088.837600000003</v>
      </c>
      <c r="R165" s="4">
        <f t="shared" si="53"/>
        <v>6</v>
      </c>
    </row>
    <row r="166" spans="1:18">
      <c r="A166" s="1">
        <v>15</v>
      </c>
      <c r="D166" s="1">
        <v>800</v>
      </c>
      <c r="E166" s="3">
        <v>345600</v>
      </c>
      <c r="F166" s="5">
        <f t="shared" si="42"/>
        <v>31446.2608</v>
      </c>
      <c r="G166" s="5">
        <f t="shared" si="43"/>
        <v>33515.987200000003</v>
      </c>
      <c r="H166" s="5">
        <f t="shared" si="44"/>
        <v>2069.7264000000032</v>
      </c>
      <c r="I166" s="6">
        <f t="shared" si="45"/>
        <v>6.6000000000000005</v>
      </c>
      <c r="J166" s="5"/>
      <c r="K166" s="5">
        <f t="shared" si="46"/>
        <v>1205.18</v>
      </c>
      <c r="L166" s="5">
        <f t="shared" si="47"/>
        <v>1210.6400000000001</v>
      </c>
      <c r="M166" s="5">
        <f t="shared" si="48"/>
        <v>141.82</v>
      </c>
      <c r="N166" s="5">
        <f t="shared" si="49"/>
        <v>130.55000000000001</v>
      </c>
      <c r="O166" s="5">
        <f t="shared" si="50"/>
        <v>855.36</v>
      </c>
      <c r="P166" s="5">
        <f t="shared" si="51"/>
        <v>34859.260800000004</v>
      </c>
      <c r="Q166" s="5">
        <f t="shared" si="52"/>
        <v>36917.717200000006</v>
      </c>
      <c r="R166" s="4">
        <f t="shared" si="53"/>
        <v>5.8999999999999995</v>
      </c>
    </row>
    <row r="167" spans="1:18">
      <c r="A167" s="1">
        <v>16</v>
      </c>
      <c r="D167" s="1">
        <v>1000</v>
      </c>
      <c r="E167" s="3">
        <v>144000</v>
      </c>
      <c r="F167" s="5">
        <f t="shared" si="42"/>
        <v>19921.928</v>
      </c>
      <c r="G167" s="5">
        <f t="shared" si="43"/>
        <v>21236.335999999999</v>
      </c>
      <c r="H167" s="5">
        <f t="shared" si="44"/>
        <v>1314.4079999999994</v>
      </c>
      <c r="I167" s="6">
        <f t="shared" si="45"/>
        <v>6.6000000000000005</v>
      </c>
      <c r="J167" s="5"/>
      <c r="K167" s="5">
        <f t="shared" si="46"/>
        <v>502.16</v>
      </c>
      <c r="L167" s="5">
        <f t="shared" si="47"/>
        <v>504.43</v>
      </c>
      <c r="M167" s="5">
        <f t="shared" si="48"/>
        <v>103.38</v>
      </c>
      <c r="N167" s="5">
        <f t="shared" si="49"/>
        <v>94.1</v>
      </c>
      <c r="O167" s="5">
        <f t="shared" si="50"/>
        <v>356.4</v>
      </c>
      <c r="P167" s="5">
        <f t="shared" si="51"/>
        <v>21388.298000000003</v>
      </c>
      <c r="Q167" s="5">
        <f t="shared" si="52"/>
        <v>22693.425999999999</v>
      </c>
      <c r="R167" s="4">
        <f t="shared" si="53"/>
        <v>6.1</v>
      </c>
    </row>
    <row r="168" spans="1:18">
      <c r="A168" s="1">
        <v>17</v>
      </c>
      <c r="D168" s="1">
        <v>1000</v>
      </c>
      <c r="E168" s="3">
        <v>288000</v>
      </c>
      <c r="F168" s="5">
        <f t="shared" si="42"/>
        <v>30226.856</v>
      </c>
      <c r="G168" s="5">
        <f t="shared" si="43"/>
        <v>32222.671999999999</v>
      </c>
      <c r="H168" s="5">
        <f t="shared" si="44"/>
        <v>1995.8159999999989</v>
      </c>
      <c r="I168" s="6">
        <f t="shared" si="45"/>
        <v>6.6000000000000005</v>
      </c>
      <c r="J168" s="5"/>
      <c r="K168" s="5">
        <f t="shared" si="46"/>
        <v>1004.32</v>
      </c>
      <c r="L168" s="5">
        <f t="shared" si="47"/>
        <v>1008.86</v>
      </c>
      <c r="M168" s="5">
        <f t="shared" si="48"/>
        <v>144.30000000000001</v>
      </c>
      <c r="N168" s="5">
        <f t="shared" si="49"/>
        <v>132.22999999999999</v>
      </c>
      <c r="O168" s="5">
        <f t="shared" si="50"/>
        <v>712.8</v>
      </c>
      <c r="P168" s="5">
        <f t="shared" si="51"/>
        <v>33097.135999999999</v>
      </c>
      <c r="Q168" s="5">
        <f t="shared" si="52"/>
        <v>35080.882000000005</v>
      </c>
      <c r="R168" s="4">
        <f t="shared" si="53"/>
        <v>6</v>
      </c>
    </row>
    <row r="169" spans="1:18">
      <c r="A169" s="1">
        <v>18</v>
      </c>
      <c r="D169" s="1">
        <v>1000</v>
      </c>
      <c r="E169" s="3">
        <v>432000</v>
      </c>
      <c r="F169" s="5">
        <f t="shared" si="42"/>
        <v>39278.576000000001</v>
      </c>
      <c r="G169" s="5">
        <f t="shared" si="43"/>
        <v>41864.983999999997</v>
      </c>
      <c r="H169" s="5">
        <f t="shared" si="44"/>
        <v>2586.4079999999958</v>
      </c>
      <c r="I169" s="6">
        <f t="shared" si="45"/>
        <v>6.6000000000000005</v>
      </c>
      <c r="J169" s="5"/>
      <c r="K169" s="5">
        <f t="shared" si="46"/>
        <v>1506.48</v>
      </c>
      <c r="L169" s="5">
        <f t="shared" si="47"/>
        <v>1513.3</v>
      </c>
      <c r="M169" s="5">
        <f t="shared" si="48"/>
        <v>177.08</v>
      </c>
      <c r="N169" s="5">
        <f t="shared" si="49"/>
        <v>163.02000000000001</v>
      </c>
      <c r="O169" s="5">
        <f t="shared" si="50"/>
        <v>1069.2</v>
      </c>
      <c r="P169" s="5">
        <f t="shared" si="51"/>
        <v>43544.636000000006</v>
      </c>
      <c r="Q169" s="5">
        <f t="shared" si="52"/>
        <v>46116.983999999997</v>
      </c>
      <c r="R169" s="4">
        <f t="shared" si="53"/>
        <v>5.8999999999999995</v>
      </c>
    </row>
    <row r="170" spans="1:18">
      <c r="A170" s="1">
        <v>19</v>
      </c>
      <c r="D170" s="1">
        <v>1500</v>
      </c>
      <c r="E170" s="3">
        <v>216000</v>
      </c>
      <c r="F170" s="5">
        <f t="shared" si="42"/>
        <v>29824.392</v>
      </c>
      <c r="G170" s="5">
        <f t="shared" si="43"/>
        <v>31794.504000000001</v>
      </c>
      <c r="H170" s="5">
        <f t="shared" si="44"/>
        <v>1970.112000000001</v>
      </c>
      <c r="I170" s="6">
        <f t="shared" si="45"/>
        <v>6.6000000000000005</v>
      </c>
      <c r="J170" s="5"/>
      <c r="K170" s="5">
        <f t="shared" si="46"/>
        <v>753.24</v>
      </c>
      <c r="L170" s="5">
        <f t="shared" si="47"/>
        <v>756.65</v>
      </c>
      <c r="M170" s="5">
        <f t="shared" si="48"/>
        <v>154.69</v>
      </c>
      <c r="N170" s="5">
        <f t="shared" si="49"/>
        <v>140.83000000000001</v>
      </c>
      <c r="O170" s="5">
        <f t="shared" si="50"/>
        <v>534.6</v>
      </c>
      <c r="P170" s="5">
        <f t="shared" si="51"/>
        <v>32023.572</v>
      </c>
      <c r="Q170" s="5">
        <f t="shared" si="52"/>
        <v>33979.824000000001</v>
      </c>
      <c r="R170" s="4">
        <f t="shared" si="53"/>
        <v>6.1</v>
      </c>
    </row>
    <row r="171" spans="1:18">
      <c r="A171" s="1">
        <v>20</v>
      </c>
      <c r="D171" s="1">
        <v>1500</v>
      </c>
      <c r="E171" s="3">
        <v>432000</v>
      </c>
      <c r="F171" s="5">
        <f t="shared" si="42"/>
        <v>45281.784</v>
      </c>
      <c r="G171" s="5">
        <f t="shared" si="43"/>
        <v>48274.008000000002</v>
      </c>
      <c r="H171" s="5">
        <f t="shared" si="44"/>
        <v>2992.224000000002</v>
      </c>
      <c r="I171" s="6">
        <f t="shared" si="45"/>
        <v>6.6000000000000005</v>
      </c>
      <c r="J171" s="5"/>
      <c r="K171" s="5">
        <f t="shared" si="46"/>
        <v>1506.48</v>
      </c>
      <c r="L171" s="5">
        <f t="shared" si="47"/>
        <v>1513.3</v>
      </c>
      <c r="M171" s="5">
        <f t="shared" si="48"/>
        <v>216.07</v>
      </c>
      <c r="N171" s="5">
        <f t="shared" si="49"/>
        <v>198.02</v>
      </c>
      <c r="O171" s="5">
        <f t="shared" si="50"/>
        <v>1069.2</v>
      </c>
      <c r="P171" s="5">
        <f t="shared" si="51"/>
        <v>49586.834000000003</v>
      </c>
      <c r="Q171" s="5">
        <f t="shared" si="52"/>
        <v>52561.008000000002</v>
      </c>
      <c r="R171" s="4">
        <f t="shared" si="53"/>
        <v>6</v>
      </c>
    </row>
    <row r="172" spans="1:18">
      <c r="A172" s="1">
        <v>21</v>
      </c>
      <c r="D172" s="1">
        <v>1500</v>
      </c>
      <c r="E172" s="3">
        <v>648000</v>
      </c>
      <c r="F172" s="5">
        <f t="shared" si="42"/>
        <v>58859.364000000001</v>
      </c>
      <c r="G172" s="5">
        <f t="shared" si="43"/>
        <v>62737.476000000002</v>
      </c>
      <c r="H172" s="5">
        <f t="shared" si="44"/>
        <v>3878.112000000001</v>
      </c>
      <c r="I172" s="6">
        <f t="shared" si="45"/>
        <v>6.6000000000000005</v>
      </c>
      <c r="J172" s="5"/>
      <c r="K172" s="5">
        <f t="shared" si="46"/>
        <v>2259.71</v>
      </c>
      <c r="L172" s="5">
        <f t="shared" si="47"/>
        <v>2269.94</v>
      </c>
      <c r="M172" s="5">
        <f t="shared" si="48"/>
        <v>265.25</v>
      </c>
      <c r="N172" s="5">
        <f t="shared" si="49"/>
        <v>244.21</v>
      </c>
      <c r="O172" s="5">
        <f t="shared" si="50"/>
        <v>1603.8</v>
      </c>
      <c r="P172" s="5">
        <f t="shared" si="51"/>
        <v>65258.064000000006</v>
      </c>
      <c r="Q172" s="5">
        <f t="shared" si="52"/>
        <v>69115.136000000013</v>
      </c>
      <c r="R172" s="4">
        <f t="shared" si="53"/>
        <v>5.8999999999999995</v>
      </c>
    </row>
    <row r="173" spans="1:18">
      <c r="A173" s="1">
        <v>22</v>
      </c>
      <c r="D173" s="1">
        <v>3000</v>
      </c>
      <c r="E173" s="3">
        <v>432000</v>
      </c>
      <c r="F173" s="5">
        <f t="shared" si="42"/>
        <v>59531.784</v>
      </c>
      <c r="G173" s="5">
        <f t="shared" si="43"/>
        <v>63469.008000000002</v>
      </c>
      <c r="H173" s="5">
        <f t="shared" si="44"/>
        <v>3937.224000000002</v>
      </c>
      <c r="I173" s="6">
        <f t="shared" si="45"/>
        <v>6.6000000000000005</v>
      </c>
      <c r="J173" s="5"/>
      <c r="K173" s="5">
        <f t="shared" si="46"/>
        <v>1506.48</v>
      </c>
      <c r="L173" s="5">
        <f t="shared" si="47"/>
        <v>1513.3</v>
      </c>
      <c r="M173" s="5">
        <f t="shared" si="48"/>
        <v>308.61</v>
      </c>
      <c r="N173" s="5">
        <f t="shared" si="49"/>
        <v>281</v>
      </c>
      <c r="O173" s="5">
        <f t="shared" si="50"/>
        <v>1069.2</v>
      </c>
      <c r="P173" s="5">
        <f t="shared" si="51"/>
        <v>63929.374000000003</v>
      </c>
      <c r="Q173" s="5">
        <f t="shared" si="52"/>
        <v>67838.987999999998</v>
      </c>
      <c r="R173" s="4">
        <f t="shared" si="53"/>
        <v>6.1</v>
      </c>
    </row>
    <row r="174" spans="1:18">
      <c r="A174" s="1">
        <v>23</v>
      </c>
      <c r="D174" s="1">
        <v>3000</v>
      </c>
      <c r="E174" s="3">
        <v>864000</v>
      </c>
      <c r="F174" s="5">
        <f t="shared" si="42"/>
        <v>90446.567999999999</v>
      </c>
      <c r="G174" s="5">
        <f t="shared" si="43"/>
        <v>96428.016000000003</v>
      </c>
      <c r="H174" s="5">
        <f t="shared" si="44"/>
        <v>5981.448000000004</v>
      </c>
      <c r="I174" s="6">
        <f t="shared" si="45"/>
        <v>6.6000000000000005</v>
      </c>
      <c r="J174" s="5"/>
      <c r="K174" s="5">
        <f t="shared" si="46"/>
        <v>3012.95</v>
      </c>
      <c r="L174" s="5">
        <f t="shared" si="47"/>
        <v>3026.59</v>
      </c>
      <c r="M174" s="5">
        <f t="shared" si="48"/>
        <v>431.38</v>
      </c>
      <c r="N174" s="5">
        <f t="shared" si="49"/>
        <v>395.39</v>
      </c>
      <c r="O174" s="5">
        <f t="shared" si="50"/>
        <v>2138.4</v>
      </c>
      <c r="P174" s="5">
        <f t="shared" si="51"/>
        <v>99055.887999999992</v>
      </c>
      <c r="Q174" s="5">
        <f t="shared" si="52"/>
        <v>105001.34599999999</v>
      </c>
      <c r="R174" s="4">
        <f t="shared" si="53"/>
        <v>6</v>
      </c>
    </row>
    <row r="175" spans="1:18">
      <c r="A175" s="1">
        <v>24</v>
      </c>
      <c r="D175" s="1">
        <v>3000</v>
      </c>
      <c r="E175" s="3">
        <v>1296000</v>
      </c>
      <c r="F175" s="5">
        <f t="shared" si="42"/>
        <v>117601.728</v>
      </c>
      <c r="G175" s="5">
        <f t="shared" si="43"/>
        <v>125354.952</v>
      </c>
      <c r="H175" s="5">
        <f t="shared" si="44"/>
        <v>7753.224000000002</v>
      </c>
      <c r="I175" s="6">
        <f t="shared" si="45"/>
        <v>6.6000000000000005</v>
      </c>
      <c r="J175" s="5"/>
      <c r="K175" s="5">
        <f t="shared" si="46"/>
        <v>4519.43</v>
      </c>
      <c r="L175" s="5">
        <f t="shared" si="47"/>
        <v>4539.8900000000003</v>
      </c>
      <c r="M175" s="5">
        <f t="shared" si="48"/>
        <v>529.73</v>
      </c>
      <c r="N175" s="5">
        <f t="shared" si="49"/>
        <v>487.76</v>
      </c>
      <c r="O175" s="5">
        <f t="shared" si="50"/>
        <v>3207.6</v>
      </c>
      <c r="P175" s="5">
        <f t="shared" si="51"/>
        <v>130398.378</v>
      </c>
      <c r="Q175" s="5">
        <f t="shared" si="52"/>
        <v>138109.63200000004</v>
      </c>
      <c r="R175" s="4">
        <f t="shared" si="53"/>
        <v>5.8999999999999995</v>
      </c>
    </row>
    <row r="176" spans="1:18">
      <c r="A176" s="422" t="s">
        <v>173</v>
      </c>
    </row>
    <row r="177" spans="1:18">
      <c r="H177" s="5"/>
      <c r="I177" s="6"/>
      <c r="J177" s="6"/>
      <c r="K177" s="5"/>
      <c r="L177" s="5"/>
      <c r="M177" s="5"/>
      <c r="N177" s="5"/>
      <c r="O177" s="5"/>
      <c r="P177" s="5"/>
      <c r="Q177" s="5"/>
      <c r="R177" s="6"/>
    </row>
    <row r="178" spans="1:18" ht="15.75">
      <c r="C178" s="42" t="str">
        <f>"(1) REFLECTS FUEL ADJUSTMENT COMPONENT (FAC) OF "&amp;TEXT(CUR_FAC,"$0.000000;($0.000000)")&amp;" PER KWH."</f>
        <v>(1) REFLECTS FUEL ADJUSTMENT COMPONENT (FAC) OF $0.003487 PER KWH.</v>
      </c>
      <c r="H178" s="5"/>
      <c r="I178" s="6"/>
      <c r="J178" s="6"/>
      <c r="K178" s="5"/>
      <c r="L178" s="5"/>
      <c r="M178" s="5"/>
      <c r="N178" s="5"/>
      <c r="O178" s="5"/>
      <c r="P178" s="5"/>
      <c r="Q178" s="5"/>
      <c r="R178" s="6"/>
    </row>
    <row r="179" spans="1:18" ht="15.75">
      <c r="A179" s="422" t="s">
        <v>173</v>
      </c>
      <c r="C179" s="42" t="str">
        <f>"(2) RIDER DSMR "&amp;TEXT(DSM_DIST,"$0.000000;($0.000000)")&amp;" PER KWH."</f>
        <v>(2) RIDER DSMR $0.003503 PER KWH.</v>
      </c>
      <c r="H179" s="5"/>
      <c r="K179" s="5"/>
      <c r="L179" s="5"/>
      <c r="M179" s="5"/>
      <c r="N179" s="5"/>
      <c r="O179" s="5"/>
    </row>
    <row r="180" spans="1:18" ht="15.75">
      <c r="A180" s="422"/>
      <c r="C180" s="42" t="str">
        <f>"(3) RIDER ESM "&amp;TEXT(CUR_ESM_NonRes,"#0.00%")&amp;"  OF TOTAL CURRENT BILL."</f>
        <v>(3) RIDER ESM 0.65%  OF TOTAL CURRENT BILL.</v>
      </c>
      <c r="H180" s="5"/>
      <c r="K180" s="5"/>
      <c r="L180" s="5"/>
      <c r="M180" s="5"/>
      <c r="N180" s="5"/>
      <c r="O180" s="5"/>
    </row>
    <row r="181" spans="1:18" ht="15.75">
      <c r="A181" s="422"/>
      <c r="C181" s="42" t="str">
        <f>"(4) RIDER PSM "&amp;TEXT(RS_PSM,"$0.000000;($0.000000)")&amp;"  PER KWH."</f>
        <v>(4) RIDER PSM $0.002475  PER KWH.</v>
      </c>
      <c r="H181" s="5"/>
      <c r="K181" s="5"/>
      <c r="L181" s="5"/>
      <c r="M181" s="5"/>
      <c r="N181" s="5"/>
      <c r="O181" s="5"/>
    </row>
    <row r="182" spans="1:18" ht="15.75">
      <c r="C182" s="42" t="str">
        <f>"(5) REFLECTS FUEL COST RECOVERY INCLUDED IN BASE RATES OF "&amp;TEXT(CUR_BASE_FUEL,"$0.000000;($0.000000)")&amp;"  PER KWH."</f>
        <v>(5) REFLECTS FUEL COST RECOVERY INCLUDED IN BASE RATES OF $0.033780  PER KWH.</v>
      </c>
    </row>
    <row r="183" spans="1:18" ht="15.75">
      <c r="C183" s="42" t="str">
        <f>"(6) RIDER ESM "&amp;TEXT(PRO_ESM_NONRES,"#0.00%")&amp;"  OF TOTAL CURRENT BILL."</f>
        <v>(6) RIDER ESM 0.55%  OF TOTAL CURRENT BILL.</v>
      </c>
    </row>
    <row r="184" spans="1:18" ht="15.75">
      <c r="A184" s="40" t="str">
        <f>NAME</f>
        <v>DUKE ENERGY KENTUCKY, INC.</v>
      </c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</row>
    <row r="185" spans="1:18" ht="15.75">
      <c r="A185" s="40" t="str">
        <f>CASE_NO</f>
        <v>CASE NO.   2024-00354</v>
      </c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</row>
    <row r="186" spans="1:18" ht="15.75">
      <c r="A186" s="40" t="s">
        <v>171</v>
      </c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</row>
    <row r="187" spans="1:18" ht="15.75">
      <c r="A187" s="40" t="str">
        <f>SERVICE</f>
        <v>(ELECTRIC SERVICE)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</row>
    <row r="188" spans="1:18" ht="15.75">
      <c r="A188" s="42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</row>
    <row r="189" spans="1:18" ht="15.75">
      <c r="A189" s="41" t="str">
        <f>DATA_PERIOD</f>
        <v>DATA: ____ BASE PERIOD   __X__FORECASTED PERIOD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2" t="s">
        <v>172</v>
      </c>
      <c r="R189" s="41"/>
    </row>
    <row r="190" spans="1:18" ht="15.75">
      <c r="A190" s="41" t="str">
        <f>TYPE</f>
        <v>TYPE OF FILING: _X_ ORIGINAL   ___UPDATED  ___ REVISED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2" t="s">
        <v>123</v>
      </c>
      <c r="R190" s="41"/>
    </row>
    <row r="191" spans="1:18" ht="15.75">
      <c r="A191" s="42" t="s">
        <v>100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2" t="s">
        <v>3</v>
      </c>
      <c r="R191" s="41"/>
    </row>
    <row r="192" spans="1:18" ht="15.75">
      <c r="A192" s="130" t="str">
        <f>TIME</f>
        <v>12 Months Projected with Riders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 t="str">
        <f>WIT</f>
        <v>B. L. Sailers</v>
      </c>
      <c r="R192" s="41"/>
    </row>
    <row r="193" spans="1:27">
      <c r="A193" s="764" t="s">
        <v>426</v>
      </c>
      <c r="B193" s="764"/>
      <c r="C193" s="764"/>
      <c r="D193" s="764"/>
      <c r="E193" s="764"/>
      <c r="F193" s="764"/>
      <c r="G193" s="764"/>
      <c r="H193" s="764"/>
      <c r="I193" s="764"/>
      <c r="J193" s="764"/>
      <c r="K193" s="764"/>
      <c r="L193" s="764"/>
      <c r="M193" s="764"/>
      <c r="N193" s="764"/>
      <c r="O193" s="764"/>
      <c r="P193" s="764"/>
      <c r="Q193" s="764"/>
      <c r="R193" s="764"/>
    </row>
    <row r="194" spans="1:27" ht="15.7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</row>
    <row r="195" spans="1:27" ht="15.7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</row>
    <row r="196" spans="1:27" ht="15.75">
      <c r="A196" s="41"/>
      <c r="B196" s="41"/>
      <c r="C196" s="41"/>
      <c r="D196" s="41"/>
      <c r="E196" s="41"/>
      <c r="F196" s="12" t="s">
        <v>374</v>
      </c>
      <c r="G196" s="12"/>
      <c r="H196" s="12"/>
      <c r="I196" s="12"/>
      <c r="J196" s="40"/>
      <c r="K196" s="763" t="s">
        <v>357</v>
      </c>
      <c r="L196" s="763"/>
      <c r="M196" s="763"/>
      <c r="N196" s="763"/>
      <c r="O196" s="763"/>
      <c r="P196" s="44" t="s">
        <v>11</v>
      </c>
      <c r="Q196" s="44" t="s">
        <v>11</v>
      </c>
      <c r="R196" s="41"/>
    </row>
    <row r="197" spans="1:27" ht="17.100000000000001" customHeight="1">
      <c r="A197" s="41"/>
      <c r="B197" s="41"/>
      <c r="C197" s="41"/>
      <c r="D197" s="44" t="s">
        <v>101</v>
      </c>
      <c r="E197" s="44" t="s">
        <v>101</v>
      </c>
      <c r="F197" s="41"/>
      <c r="G197" s="41"/>
      <c r="H197" s="44" t="s">
        <v>102</v>
      </c>
      <c r="I197" s="44" t="s">
        <v>103</v>
      </c>
      <c r="J197" s="44"/>
      <c r="K197" s="41"/>
      <c r="L197" s="41"/>
      <c r="O197" s="41"/>
      <c r="P197" s="44" t="s">
        <v>8</v>
      </c>
      <c r="Q197" s="44" t="s">
        <v>6</v>
      </c>
      <c r="R197" s="44" t="s">
        <v>103</v>
      </c>
    </row>
    <row r="198" spans="1:27" ht="15.75">
      <c r="A198" s="41"/>
      <c r="B198" s="41"/>
      <c r="C198" s="41"/>
      <c r="D198" s="44" t="s">
        <v>104</v>
      </c>
      <c r="E198" s="44" t="s">
        <v>104</v>
      </c>
      <c r="F198" s="44" t="s">
        <v>8</v>
      </c>
      <c r="G198" s="44" t="s">
        <v>6</v>
      </c>
      <c r="H198" s="44" t="s">
        <v>105</v>
      </c>
      <c r="I198" s="44" t="s">
        <v>105</v>
      </c>
      <c r="J198" s="44"/>
      <c r="K198" s="44" t="s">
        <v>252</v>
      </c>
      <c r="L198" s="44" t="s">
        <v>252</v>
      </c>
      <c r="M198" s="44" t="s">
        <v>252</v>
      </c>
      <c r="N198" s="44" t="s">
        <v>252</v>
      </c>
      <c r="O198" s="44" t="s">
        <v>252</v>
      </c>
      <c r="P198" s="44" t="s">
        <v>106</v>
      </c>
      <c r="Q198" s="44" t="s">
        <v>106</v>
      </c>
      <c r="R198" s="44" t="s">
        <v>105</v>
      </c>
    </row>
    <row r="199" spans="1:27" ht="15.75">
      <c r="A199" s="44" t="s">
        <v>17</v>
      </c>
      <c r="B199" s="41"/>
      <c r="C199" s="42" t="s">
        <v>18</v>
      </c>
      <c r="D199" s="44" t="s">
        <v>108</v>
      </c>
      <c r="E199" s="44" t="s">
        <v>109</v>
      </c>
      <c r="F199" s="60" t="s">
        <v>832</v>
      </c>
      <c r="G199" s="60" t="s">
        <v>832</v>
      </c>
      <c r="H199" s="304" t="s">
        <v>110</v>
      </c>
      <c r="I199" s="304" t="s">
        <v>111</v>
      </c>
      <c r="J199" s="44"/>
      <c r="K199" s="44" t="s">
        <v>355</v>
      </c>
      <c r="L199" s="60" t="s">
        <v>255</v>
      </c>
      <c r="M199" s="60" t="s">
        <v>534</v>
      </c>
      <c r="N199" s="60" t="s">
        <v>1034</v>
      </c>
      <c r="O199" s="60" t="s">
        <v>831</v>
      </c>
      <c r="P199" s="307" t="s">
        <v>1035</v>
      </c>
      <c r="Q199" s="307" t="s">
        <v>1036</v>
      </c>
      <c r="R199" s="307" t="s">
        <v>968</v>
      </c>
    </row>
    <row r="200" spans="1:27" ht="15.75">
      <c r="A200" s="65" t="s">
        <v>22</v>
      </c>
      <c r="B200" s="61"/>
      <c r="C200" s="421" t="s">
        <v>23</v>
      </c>
      <c r="D200" s="424" t="s">
        <v>33</v>
      </c>
      <c r="E200" s="424" t="s">
        <v>34</v>
      </c>
      <c r="F200" s="424" t="s">
        <v>35</v>
      </c>
      <c r="G200" s="424" t="s">
        <v>36</v>
      </c>
      <c r="H200" s="424" t="s">
        <v>37</v>
      </c>
      <c r="I200" s="424" t="s">
        <v>38</v>
      </c>
      <c r="J200" s="424"/>
      <c r="K200" s="424" t="s">
        <v>39</v>
      </c>
      <c r="L200" s="424" t="s">
        <v>40</v>
      </c>
      <c r="M200" s="301" t="s">
        <v>1032</v>
      </c>
      <c r="N200" s="301" t="s">
        <v>1033</v>
      </c>
      <c r="O200" s="300" t="s">
        <v>42</v>
      </c>
      <c r="P200" s="300" t="s">
        <v>43</v>
      </c>
      <c r="Q200" s="300" t="s">
        <v>44</v>
      </c>
      <c r="R200" s="300" t="s">
        <v>45</v>
      </c>
      <c r="X200" s="1" t="s">
        <v>526</v>
      </c>
      <c r="Z200" s="1" t="s">
        <v>525</v>
      </c>
    </row>
    <row r="201" spans="1:27" ht="15.75">
      <c r="A201" s="41"/>
      <c r="B201" s="41"/>
      <c r="C201" s="41"/>
      <c r="D201" s="308" t="s">
        <v>117</v>
      </c>
      <c r="E201" s="308" t="s">
        <v>49</v>
      </c>
      <c r="F201" s="308" t="s">
        <v>50</v>
      </c>
      <c r="G201" s="308" t="s">
        <v>50</v>
      </c>
      <c r="H201" s="308" t="s">
        <v>50</v>
      </c>
      <c r="I201" s="308" t="s">
        <v>51</v>
      </c>
      <c r="J201" s="308"/>
      <c r="K201" s="308" t="s">
        <v>50</v>
      </c>
      <c r="L201" s="308" t="s">
        <v>50</v>
      </c>
      <c r="M201" s="308" t="s">
        <v>50</v>
      </c>
      <c r="N201" s="308" t="s">
        <v>50</v>
      </c>
      <c r="O201" s="308" t="s">
        <v>50</v>
      </c>
      <c r="P201" s="308" t="s">
        <v>50</v>
      </c>
      <c r="Q201" s="308" t="s">
        <v>50</v>
      </c>
      <c r="R201" s="308" t="s">
        <v>51</v>
      </c>
      <c r="X201" s="1" t="s">
        <v>174</v>
      </c>
      <c r="Y201" s="1" t="s">
        <v>175</v>
      </c>
      <c r="Z201" s="1" t="s">
        <v>174</v>
      </c>
      <c r="AA201" s="1" t="s">
        <v>175</v>
      </c>
    </row>
    <row r="202" spans="1:27" ht="15.75">
      <c r="A202" s="1">
        <v>1</v>
      </c>
      <c r="C202" s="42" t="s">
        <v>124</v>
      </c>
      <c r="D202" s="3">
        <v>1000</v>
      </c>
      <c r="E202" s="3">
        <v>200000</v>
      </c>
      <c r="F202" s="5">
        <f t="shared" ref="F202:F219" si="54">ROUND($E202*$Z$202*CUR_SUM_TT_ON_KWH,2)+ROUND($E202*(1-$Z$202)*CUR_TT_OFF,2)+ROUND($D202*$X$202*CUR_TT_SUM_PEAK,2)+ROUND($D202*(1-$X$202)*CUR_TT_SUM_PK_OFF,2)+CUR_TT_SUM_CST</f>
        <v>21593.42</v>
      </c>
      <c r="G202" s="5">
        <f t="shared" ref="G202:G219" si="55">ROUND($E202*$Z$202*PRO_SUM_TT_ON_KWH,2)+ROUND($E202*(1-$Z$202)*PRO_TT_OFF,2)+ROUND($D202*$X$202*PRO_TT_SUM_PEAK,2)+ROUND($D202*(1-$X$202)*PRO_TT_SUM_PK_OFF,2)+PRO_TT_SUM_CST</f>
        <v>23433.11</v>
      </c>
      <c r="H202" s="5">
        <f t="shared" ref="H202:H219" si="56">G202-F202</f>
        <v>1839.6900000000023</v>
      </c>
      <c r="I202" s="6">
        <f t="shared" ref="I202:I219" si="57">ROUND(H202/F202,3)*100</f>
        <v>8.5</v>
      </c>
      <c r="J202" s="6"/>
      <c r="K202" s="5">
        <f t="shared" ref="K202:K219" si="58">ROUND(E202*CUR_FAC,2)</f>
        <v>697.44</v>
      </c>
      <c r="L202" s="5">
        <f t="shared" ref="L202:L219" si="59">ROUND(E202*DSM_TRANS,2)</f>
        <v>102.8</v>
      </c>
      <c r="M202" s="5">
        <f t="shared" ref="M202:M219" si="60">ROUND((F202+$L202+$O202-PRO_BASE_FUEL*$E202)*CUR_ESM_NonRes,2)</f>
        <v>100.24</v>
      </c>
      <c r="N202" s="5">
        <f t="shared" ref="N202:N219" si="61">ROUND((G202+$L202+$O202-PRO_BASE_FUEL*$E202)*PRO_ESM_NONRES,2)</f>
        <v>94.33</v>
      </c>
      <c r="O202" s="5">
        <f t="shared" ref="O202:O219" si="62">ROUND(E202*RS_PSM,2)</f>
        <v>495</v>
      </c>
      <c r="P202" s="5">
        <f t="shared" ref="P202:P219" si="63">F202+K202+L202+M202+O202</f>
        <v>22988.899999999998</v>
      </c>
      <c r="Q202" s="5">
        <f>G202+K202+L202+N202+O202</f>
        <v>24822.68</v>
      </c>
      <c r="R202" s="4">
        <f>ROUND((Q202-P202)/P202,3)*100</f>
        <v>8</v>
      </c>
      <c r="X202" s="1">
        <f>'Rate TT'!H24/'Rate TT'!H26</f>
        <v>0.95974068998750128</v>
      </c>
      <c r="Y202" s="1">
        <f>'Rate TT'!H38/'Rate TT'!H40</f>
        <v>0.96802534764475623</v>
      </c>
      <c r="Z202" s="1">
        <f>'Rate TT'!H29/'Rate TT'!H31</f>
        <v>0.26336918014082528</v>
      </c>
      <c r="AA202" s="1">
        <f>'Rate TT'!H43/'Rate TT'!H45</f>
        <v>0.26508265653791752</v>
      </c>
    </row>
    <row r="203" spans="1:27">
      <c r="A203" s="1">
        <v>2</v>
      </c>
      <c r="D203" s="3">
        <v>1000</v>
      </c>
      <c r="E203" s="3">
        <v>400000</v>
      </c>
      <c r="F203" s="5">
        <f t="shared" si="54"/>
        <v>33598.11</v>
      </c>
      <c r="G203" s="5">
        <f t="shared" si="55"/>
        <v>36485.67</v>
      </c>
      <c r="H203" s="5">
        <f t="shared" si="56"/>
        <v>2887.5599999999977</v>
      </c>
      <c r="I203" s="6">
        <f t="shared" si="57"/>
        <v>8.6</v>
      </c>
      <c r="J203" s="6"/>
      <c r="K203" s="5">
        <f t="shared" si="58"/>
        <v>1394.89</v>
      </c>
      <c r="L203" s="5">
        <f t="shared" si="59"/>
        <v>205.6</v>
      </c>
      <c r="M203" s="5">
        <f t="shared" si="60"/>
        <v>138.21</v>
      </c>
      <c r="N203" s="5">
        <f t="shared" si="61"/>
        <v>131.97999999999999</v>
      </c>
      <c r="O203" s="5">
        <f t="shared" si="62"/>
        <v>990</v>
      </c>
      <c r="P203" s="5">
        <f t="shared" si="63"/>
        <v>36326.81</v>
      </c>
      <c r="Q203" s="5">
        <f t="shared" ref="Q203:Q219" si="64">G203+K203+L203+N203+O203</f>
        <v>39208.14</v>
      </c>
      <c r="R203" s="6">
        <f t="shared" ref="R203:R219" si="65">ROUND((Q203-P203)/P203,3)*100</f>
        <v>7.9</v>
      </c>
    </row>
    <row r="204" spans="1:27">
      <c r="A204" s="1">
        <v>3</v>
      </c>
      <c r="D204" s="3">
        <v>2500</v>
      </c>
      <c r="E204" s="3">
        <v>500000</v>
      </c>
      <c r="F204" s="5">
        <f t="shared" si="54"/>
        <v>53233.560000000005</v>
      </c>
      <c r="G204" s="5">
        <f t="shared" si="55"/>
        <v>57832.78</v>
      </c>
      <c r="H204" s="5">
        <f t="shared" si="56"/>
        <v>4599.2199999999939</v>
      </c>
      <c r="I204" s="6">
        <f t="shared" si="57"/>
        <v>8.6</v>
      </c>
      <c r="J204" s="6"/>
      <c r="K204" s="5">
        <f t="shared" si="58"/>
        <v>1743.61</v>
      </c>
      <c r="L204" s="5">
        <f t="shared" si="59"/>
        <v>257</v>
      </c>
      <c r="M204" s="5">
        <f t="shared" si="60"/>
        <v>245.73</v>
      </c>
      <c r="N204" s="5">
        <f t="shared" si="61"/>
        <v>231.73</v>
      </c>
      <c r="O204" s="5">
        <f t="shared" si="62"/>
        <v>1237.5</v>
      </c>
      <c r="P204" s="5">
        <f t="shared" si="63"/>
        <v>56717.400000000009</v>
      </c>
      <c r="Q204" s="5">
        <f t="shared" si="64"/>
        <v>61302.62</v>
      </c>
      <c r="R204" s="6">
        <f t="shared" si="65"/>
        <v>8.1</v>
      </c>
    </row>
    <row r="205" spans="1:27">
      <c r="A205" s="1">
        <v>4</v>
      </c>
      <c r="D205" s="3">
        <v>2500</v>
      </c>
      <c r="E205" s="3">
        <v>1000000</v>
      </c>
      <c r="F205" s="5">
        <f t="shared" si="54"/>
        <v>83245.279999999999</v>
      </c>
      <c r="G205" s="5">
        <f t="shared" si="55"/>
        <v>90464.17</v>
      </c>
      <c r="H205" s="5">
        <f t="shared" si="56"/>
        <v>7218.8899999999994</v>
      </c>
      <c r="I205" s="6">
        <f t="shared" si="57"/>
        <v>8.6999999999999993</v>
      </c>
      <c r="J205" s="6"/>
      <c r="K205" s="5">
        <f t="shared" si="58"/>
        <v>3487.21</v>
      </c>
      <c r="L205" s="5">
        <f t="shared" si="59"/>
        <v>514</v>
      </c>
      <c r="M205" s="5">
        <f t="shared" si="60"/>
        <v>340.65</v>
      </c>
      <c r="N205" s="5">
        <f t="shared" si="61"/>
        <v>325.85000000000002</v>
      </c>
      <c r="O205" s="5">
        <f t="shared" si="62"/>
        <v>2475</v>
      </c>
      <c r="P205" s="5">
        <f t="shared" si="63"/>
        <v>90062.14</v>
      </c>
      <c r="Q205" s="5">
        <f t="shared" si="64"/>
        <v>97266.23000000001</v>
      </c>
      <c r="R205" s="6">
        <f t="shared" si="65"/>
        <v>8</v>
      </c>
    </row>
    <row r="206" spans="1:27">
      <c r="A206" s="1">
        <v>5</v>
      </c>
      <c r="D206" s="3">
        <v>5000</v>
      </c>
      <c r="E206" s="3">
        <v>1000000</v>
      </c>
      <c r="F206" s="5">
        <f t="shared" si="54"/>
        <v>105967.1</v>
      </c>
      <c r="G206" s="5">
        <f t="shared" si="55"/>
        <v>115165.55</v>
      </c>
      <c r="H206" s="5">
        <f t="shared" si="56"/>
        <v>9198.4499999999971</v>
      </c>
      <c r="I206" s="6">
        <f t="shared" si="57"/>
        <v>8.6999999999999993</v>
      </c>
      <c r="J206" s="6"/>
      <c r="K206" s="5">
        <f t="shared" si="58"/>
        <v>3487.21</v>
      </c>
      <c r="L206" s="5">
        <f t="shared" si="59"/>
        <v>514</v>
      </c>
      <c r="M206" s="5">
        <f t="shared" si="60"/>
        <v>488.21</v>
      </c>
      <c r="N206" s="5">
        <f t="shared" si="61"/>
        <v>460.74</v>
      </c>
      <c r="O206" s="5">
        <f t="shared" si="62"/>
        <v>2475</v>
      </c>
      <c r="P206" s="5">
        <f t="shared" si="63"/>
        <v>112931.52000000002</v>
      </c>
      <c r="Q206" s="5">
        <f t="shared" si="64"/>
        <v>122102.50000000001</v>
      </c>
      <c r="R206" s="6">
        <f t="shared" si="65"/>
        <v>8.1</v>
      </c>
    </row>
    <row r="207" spans="1:27">
      <c r="A207" s="1">
        <v>6</v>
      </c>
      <c r="D207" s="3">
        <v>5000</v>
      </c>
      <c r="E207" s="3">
        <v>2000000</v>
      </c>
      <c r="F207" s="5">
        <f t="shared" si="54"/>
        <v>165990.55000000002</v>
      </c>
      <c r="G207" s="5">
        <f t="shared" si="55"/>
        <v>180428.35</v>
      </c>
      <c r="H207" s="5">
        <f t="shared" si="56"/>
        <v>14437.799999999988</v>
      </c>
      <c r="I207" s="6">
        <f t="shared" si="57"/>
        <v>8.6999999999999993</v>
      </c>
      <c r="J207" s="6"/>
      <c r="K207" s="5">
        <f t="shared" si="58"/>
        <v>6974.43</v>
      </c>
      <c r="L207" s="5">
        <f t="shared" si="59"/>
        <v>1028</v>
      </c>
      <c r="M207" s="5">
        <f t="shared" si="60"/>
        <v>678.05</v>
      </c>
      <c r="N207" s="5">
        <f t="shared" si="61"/>
        <v>648.97</v>
      </c>
      <c r="O207" s="5">
        <f t="shared" si="62"/>
        <v>4950</v>
      </c>
      <c r="P207" s="5">
        <f t="shared" si="63"/>
        <v>179621.03</v>
      </c>
      <c r="Q207" s="5">
        <f t="shared" si="64"/>
        <v>194029.75</v>
      </c>
      <c r="R207" s="6">
        <f t="shared" si="65"/>
        <v>8</v>
      </c>
    </row>
    <row r="208" spans="1:27">
      <c r="A208" s="1">
        <v>7</v>
      </c>
      <c r="D208" s="3">
        <v>10000</v>
      </c>
      <c r="E208" s="3">
        <v>2000000</v>
      </c>
      <c r="F208" s="5">
        <f t="shared" si="54"/>
        <v>211434.21</v>
      </c>
      <c r="G208" s="5">
        <f t="shared" si="55"/>
        <v>229831.09</v>
      </c>
      <c r="H208" s="5">
        <f t="shared" si="56"/>
        <v>18396.880000000005</v>
      </c>
      <c r="I208" s="6">
        <f t="shared" si="57"/>
        <v>8.6999999999999993</v>
      </c>
      <c r="J208" s="6"/>
      <c r="K208" s="5">
        <f t="shared" si="58"/>
        <v>6974.43</v>
      </c>
      <c r="L208" s="5">
        <f t="shared" si="59"/>
        <v>1028</v>
      </c>
      <c r="M208" s="5">
        <f t="shared" si="60"/>
        <v>973.16</v>
      </c>
      <c r="N208" s="5">
        <f t="shared" si="61"/>
        <v>918.74</v>
      </c>
      <c r="O208" s="5">
        <f t="shared" si="62"/>
        <v>4950</v>
      </c>
      <c r="P208" s="5">
        <f t="shared" si="63"/>
        <v>225359.8</v>
      </c>
      <c r="Q208" s="5">
        <f t="shared" si="64"/>
        <v>243702.25999999998</v>
      </c>
      <c r="R208" s="6">
        <f t="shared" si="65"/>
        <v>8.1</v>
      </c>
    </row>
    <row r="209" spans="1:18">
      <c r="A209" s="1">
        <v>8</v>
      </c>
      <c r="D209" s="3">
        <v>10000</v>
      </c>
      <c r="E209" s="3">
        <v>4000000</v>
      </c>
      <c r="F209" s="5">
        <f t="shared" si="54"/>
        <v>331481.12000000005</v>
      </c>
      <c r="G209" s="5">
        <f t="shared" si="55"/>
        <v>360356.69000000006</v>
      </c>
      <c r="H209" s="5">
        <f t="shared" si="56"/>
        <v>28875.570000000007</v>
      </c>
      <c r="I209" s="6">
        <f t="shared" si="57"/>
        <v>8.6999999999999993</v>
      </c>
      <c r="J209" s="6"/>
      <c r="K209" s="5">
        <f t="shared" si="58"/>
        <v>13948.85</v>
      </c>
      <c r="L209" s="5">
        <f t="shared" si="59"/>
        <v>2056</v>
      </c>
      <c r="M209" s="5">
        <f t="shared" si="60"/>
        <v>1352.84</v>
      </c>
      <c r="N209" s="5">
        <f t="shared" si="61"/>
        <v>1295.22</v>
      </c>
      <c r="O209" s="5">
        <f t="shared" si="62"/>
        <v>9900</v>
      </c>
      <c r="P209" s="5">
        <f t="shared" si="63"/>
        <v>358738.81000000006</v>
      </c>
      <c r="Q209" s="5">
        <f t="shared" si="64"/>
        <v>387556.76</v>
      </c>
      <c r="R209" s="6">
        <f t="shared" si="65"/>
        <v>8</v>
      </c>
    </row>
    <row r="210" spans="1:18">
      <c r="A210" s="1">
        <v>9</v>
      </c>
      <c r="D210" s="3">
        <v>10000</v>
      </c>
      <c r="E210" s="3">
        <v>6000000</v>
      </c>
      <c r="F210" s="5">
        <f t="shared" si="54"/>
        <v>451528.02000000008</v>
      </c>
      <c r="G210" s="5">
        <f t="shared" si="55"/>
        <v>490882.29000000004</v>
      </c>
      <c r="H210" s="5">
        <f t="shared" si="56"/>
        <v>39354.26999999996</v>
      </c>
      <c r="I210" s="6">
        <f t="shared" si="57"/>
        <v>8.6999999999999993</v>
      </c>
      <c r="J210" s="6"/>
      <c r="K210" s="5">
        <f t="shared" si="58"/>
        <v>20923.28</v>
      </c>
      <c r="L210" s="5">
        <f t="shared" si="59"/>
        <v>3084</v>
      </c>
      <c r="M210" s="5">
        <f t="shared" si="60"/>
        <v>1732.53</v>
      </c>
      <c r="N210" s="5">
        <f t="shared" si="61"/>
        <v>1671.69</v>
      </c>
      <c r="O210" s="5">
        <f t="shared" si="62"/>
        <v>14850</v>
      </c>
      <c r="P210" s="5">
        <f t="shared" si="63"/>
        <v>492117.83000000007</v>
      </c>
      <c r="Q210" s="5">
        <f t="shared" si="64"/>
        <v>531411.26</v>
      </c>
      <c r="R210" s="6">
        <f t="shared" si="65"/>
        <v>8</v>
      </c>
    </row>
    <row r="211" spans="1:18">
      <c r="A211" s="1">
        <v>10</v>
      </c>
      <c r="D211" s="3">
        <v>20000</v>
      </c>
      <c r="E211" s="3">
        <v>4000000</v>
      </c>
      <c r="F211" s="5">
        <f t="shared" si="54"/>
        <v>422368.43</v>
      </c>
      <c r="G211" s="5">
        <f t="shared" si="55"/>
        <v>459162.19</v>
      </c>
      <c r="H211" s="5">
        <f t="shared" si="56"/>
        <v>36793.760000000009</v>
      </c>
      <c r="I211" s="6">
        <f t="shared" si="57"/>
        <v>8.6999999999999993</v>
      </c>
      <c r="J211" s="6"/>
      <c r="K211" s="5">
        <f t="shared" si="58"/>
        <v>13948.85</v>
      </c>
      <c r="L211" s="5">
        <f t="shared" si="59"/>
        <v>2056</v>
      </c>
      <c r="M211" s="5">
        <f t="shared" si="60"/>
        <v>1943.08</v>
      </c>
      <c r="N211" s="5">
        <f t="shared" si="61"/>
        <v>1834.75</v>
      </c>
      <c r="O211" s="5">
        <f t="shared" si="62"/>
        <v>9900</v>
      </c>
      <c r="P211" s="5">
        <f t="shared" si="63"/>
        <v>450216.36</v>
      </c>
      <c r="Q211" s="5">
        <f t="shared" si="64"/>
        <v>486901.79</v>
      </c>
      <c r="R211" s="6">
        <f t="shared" si="65"/>
        <v>8.1</v>
      </c>
    </row>
    <row r="212" spans="1:18">
      <c r="A212" s="1">
        <v>11</v>
      </c>
      <c r="D212" s="3">
        <v>20000</v>
      </c>
      <c r="E212" s="3">
        <v>8000000</v>
      </c>
      <c r="F212" s="5">
        <f t="shared" si="54"/>
        <v>662462.2300000001</v>
      </c>
      <c r="G212" s="5">
        <f t="shared" si="55"/>
        <v>720213.39000000013</v>
      </c>
      <c r="H212" s="5">
        <f t="shared" si="56"/>
        <v>57751.160000000033</v>
      </c>
      <c r="I212" s="6">
        <f t="shared" si="57"/>
        <v>8.6999999999999993</v>
      </c>
      <c r="J212" s="6"/>
      <c r="K212" s="5">
        <f t="shared" si="58"/>
        <v>27897.7</v>
      </c>
      <c r="L212" s="5">
        <f t="shared" si="59"/>
        <v>4112</v>
      </c>
      <c r="M212" s="5">
        <f t="shared" si="60"/>
        <v>2702.44</v>
      </c>
      <c r="N212" s="5">
        <f t="shared" si="61"/>
        <v>2587.6999999999998</v>
      </c>
      <c r="O212" s="5">
        <f t="shared" si="62"/>
        <v>19800</v>
      </c>
      <c r="P212" s="5">
        <f t="shared" si="63"/>
        <v>716974.37</v>
      </c>
      <c r="Q212" s="5">
        <f t="shared" si="64"/>
        <v>774610.79</v>
      </c>
      <c r="R212" s="6">
        <f t="shared" si="65"/>
        <v>8</v>
      </c>
    </row>
    <row r="213" spans="1:18">
      <c r="A213" s="1">
        <v>12</v>
      </c>
      <c r="D213" s="3">
        <v>20000</v>
      </c>
      <c r="E213" s="3">
        <v>12000000</v>
      </c>
      <c r="F213" s="5">
        <f t="shared" si="54"/>
        <v>902556.03000000014</v>
      </c>
      <c r="G213" s="5">
        <f t="shared" si="55"/>
        <v>981264.59000000008</v>
      </c>
      <c r="H213" s="5">
        <f t="shared" si="56"/>
        <v>78708.559999999939</v>
      </c>
      <c r="I213" s="6">
        <f t="shared" si="57"/>
        <v>8.6999999999999993</v>
      </c>
      <c r="J213" s="6"/>
      <c r="K213" s="5">
        <f t="shared" si="58"/>
        <v>41846.550000000003</v>
      </c>
      <c r="L213" s="5">
        <f t="shared" si="59"/>
        <v>6168</v>
      </c>
      <c r="M213" s="5">
        <f t="shared" si="60"/>
        <v>3461.8</v>
      </c>
      <c r="N213" s="5">
        <f t="shared" si="61"/>
        <v>3340.65</v>
      </c>
      <c r="O213" s="5">
        <f t="shared" si="62"/>
        <v>29700</v>
      </c>
      <c r="P213" s="5">
        <f t="shared" si="63"/>
        <v>983732.38000000024</v>
      </c>
      <c r="Q213" s="5">
        <f t="shared" si="64"/>
        <v>1062319.79</v>
      </c>
      <c r="R213" s="6">
        <f t="shared" si="65"/>
        <v>8</v>
      </c>
    </row>
    <row r="214" spans="1:18">
      <c r="A214" s="1">
        <v>13</v>
      </c>
      <c r="D214" s="3">
        <v>40000</v>
      </c>
      <c r="E214" s="3">
        <v>16000000</v>
      </c>
      <c r="F214" s="5">
        <f t="shared" si="54"/>
        <v>1324424.4500000002</v>
      </c>
      <c r="G214" s="5">
        <f t="shared" si="55"/>
        <v>1439926.77</v>
      </c>
      <c r="H214" s="5">
        <f t="shared" si="56"/>
        <v>115502.31999999983</v>
      </c>
      <c r="I214" s="6">
        <f t="shared" si="57"/>
        <v>8.6999999999999993</v>
      </c>
      <c r="J214" s="6"/>
      <c r="K214" s="5">
        <f t="shared" si="58"/>
        <v>55795.4</v>
      </c>
      <c r="L214" s="5">
        <f t="shared" si="59"/>
        <v>8224</v>
      </c>
      <c r="M214" s="5">
        <f t="shared" si="60"/>
        <v>5401.64</v>
      </c>
      <c r="N214" s="5">
        <f t="shared" si="61"/>
        <v>5172.68</v>
      </c>
      <c r="O214" s="5">
        <f t="shared" si="62"/>
        <v>39600</v>
      </c>
      <c r="P214" s="5">
        <f t="shared" si="63"/>
        <v>1433445.49</v>
      </c>
      <c r="Q214" s="5">
        <f t="shared" si="64"/>
        <v>1548718.8499999999</v>
      </c>
      <c r="R214" s="6">
        <f t="shared" si="65"/>
        <v>8</v>
      </c>
    </row>
    <row r="215" spans="1:18">
      <c r="A215" s="1">
        <v>14</v>
      </c>
      <c r="D215" s="3">
        <v>40000</v>
      </c>
      <c r="E215" s="3">
        <v>24000000</v>
      </c>
      <c r="F215" s="5">
        <f t="shared" si="54"/>
        <v>1804612.06</v>
      </c>
      <c r="G215" s="5">
        <f t="shared" si="55"/>
        <v>1962029.1700000004</v>
      </c>
      <c r="H215" s="5">
        <f t="shared" si="56"/>
        <v>157417.11000000034</v>
      </c>
      <c r="I215" s="6">
        <f t="shared" si="57"/>
        <v>8.6999999999999993</v>
      </c>
      <c r="J215" s="6"/>
      <c r="K215" s="5">
        <f t="shared" si="58"/>
        <v>83693.11</v>
      </c>
      <c r="L215" s="5">
        <f t="shared" si="59"/>
        <v>12336</v>
      </c>
      <c r="M215" s="5">
        <f t="shared" si="60"/>
        <v>6920.36</v>
      </c>
      <c r="N215" s="5">
        <f t="shared" si="61"/>
        <v>6678.57</v>
      </c>
      <c r="O215" s="5">
        <f t="shared" si="62"/>
        <v>59400</v>
      </c>
      <c r="P215" s="5">
        <f t="shared" si="63"/>
        <v>1966961.5300000003</v>
      </c>
      <c r="Q215" s="5">
        <f t="shared" si="64"/>
        <v>2124136.8500000006</v>
      </c>
      <c r="R215" s="6">
        <f t="shared" si="65"/>
        <v>8</v>
      </c>
    </row>
    <row r="216" spans="1:18">
      <c r="A216" s="1">
        <v>15</v>
      </c>
      <c r="D216" s="3">
        <v>80000</v>
      </c>
      <c r="E216" s="3">
        <v>32000000</v>
      </c>
      <c r="F216" s="5">
        <f t="shared" si="54"/>
        <v>2648348.9</v>
      </c>
      <c r="G216" s="5">
        <f t="shared" si="55"/>
        <v>2879353.5399999996</v>
      </c>
      <c r="H216" s="5">
        <f t="shared" si="56"/>
        <v>231004.63999999966</v>
      </c>
      <c r="I216" s="6">
        <f t="shared" si="57"/>
        <v>8.6999999999999993</v>
      </c>
      <c r="J216" s="6"/>
      <c r="K216" s="5">
        <f t="shared" si="58"/>
        <v>111590.81</v>
      </c>
      <c r="L216" s="5">
        <f t="shared" si="59"/>
        <v>16448</v>
      </c>
      <c r="M216" s="5">
        <f t="shared" si="60"/>
        <v>10800.03</v>
      </c>
      <c r="N216" s="5">
        <f t="shared" si="61"/>
        <v>10342.620000000001</v>
      </c>
      <c r="O216" s="5">
        <f t="shared" si="62"/>
        <v>79200</v>
      </c>
      <c r="P216" s="5">
        <f t="shared" si="63"/>
        <v>2866387.7399999998</v>
      </c>
      <c r="Q216" s="5">
        <f t="shared" si="64"/>
        <v>3096934.9699999997</v>
      </c>
      <c r="R216" s="6">
        <f t="shared" si="65"/>
        <v>8</v>
      </c>
    </row>
    <row r="217" spans="1:18">
      <c r="A217" s="1">
        <v>16</v>
      </c>
      <c r="D217" s="3">
        <v>80000</v>
      </c>
      <c r="E217" s="3">
        <v>48000000</v>
      </c>
      <c r="F217" s="5">
        <f t="shared" si="54"/>
        <v>3608724.12</v>
      </c>
      <c r="G217" s="5">
        <f t="shared" si="55"/>
        <v>3923558.35</v>
      </c>
      <c r="H217" s="5">
        <f t="shared" si="56"/>
        <v>314834.23</v>
      </c>
      <c r="I217" s="6">
        <f t="shared" si="57"/>
        <v>8.6999999999999993</v>
      </c>
      <c r="J217" s="6"/>
      <c r="K217" s="5">
        <f t="shared" si="58"/>
        <v>167386.21</v>
      </c>
      <c r="L217" s="5">
        <f t="shared" si="59"/>
        <v>24672</v>
      </c>
      <c r="M217" s="5">
        <f t="shared" si="60"/>
        <v>13837.47</v>
      </c>
      <c r="N217" s="5">
        <f t="shared" si="61"/>
        <v>13354.41</v>
      </c>
      <c r="O217" s="5">
        <f t="shared" si="62"/>
        <v>118800</v>
      </c>
      <c r="P217" s="5">
        <f t="shared" si="63"/>
        <v>3933419.8000000003</v>
      </c>
      <c r="Q217" s="5">
        <f t="shared" si="64"/>
        <v>4247770.9700000007</v>
      </c>
      <c r="R217" s="6">
        <f t="shared" si="65"/>
        <v>8</v>
      </c>
    </row>
    <row r="218" spans="1:18">
      <c r="A218" s="1">
        <v>17</v>
      </c>
      <c r="D218" s="3">
        <v>160000</v>
      </c>
      <c r="E218" s="3">
        <v>64000000</v>
      </c>
      <c r="F218" s="5">
        <f t="shared" si="54"/>
        <v>5296197.79</v>
      </c>
      <c r="G218" s="5">
        <f t="shared" si="55"/>
        <v>5758207.0899999999</v>
      </c>
      <c r="H218" s="5">
        <f t="shared" si="56"/>
        <v>462009.29999999981</v>
      </c>
      <c r="I218" s="6">
        <f t="shared" si="57"/>
        <v>8.6999999999999993</v>
      </c>
      <c r="J218" s="6"/>
      <c r="K218" s="5">
        <f t="shared" si="58"/>
        <v>223181.62</v>
      </c>
      <c r="L218" s="5">
        <f t="shared" si="59"/>
        <v>32896</v>
      </c>
      <c r="M218" s="5">
        <f t="shared" si="60"/>
        <v>21596.81</v>
      </c>
      <c r="N218" s="5">
        <f t="shared" si="61"/>
        <v>20682.509999999998</v>
      </c>
      <c r="O218" s="5">
        <f t="shared" si="62"/>
        <v>158400</v>
      </c>
      <c r="P218" s="5">
        <f t="shared" si="63"/>
        <v>5732272.2199999997</v>
      </c>
      <c r="Q218" s="5">
        <f t="shared" si="64"/>
        <v>6193367.2199999997</v>
      </c>
      <c r="R218" s="6">
        <f t="shared" si="65"/>
        <v>8</v>
      </c>
    </row>
    <row r="219" spans="1:18">
      <c r="A219" s="1">
        <v>18</v>
      </c>
      <c r="D219" s="3">
        <v>160000</v>
      </c>
      <c r="E219" s="3">
        <v>96000000</v>
      </c>
      <c r="F219" s="5">
        <f t="shared" si="54"/>
        <v>7216948.2300000004</v>
      </c>
      <c r="G219" s="5">
        <f t="shared" si="55"/>
        <v>7846616.7000000002</v>
      </c>
      <c r="H219" s="5">
        <f t="shared" si="56"/>
        <v>629668.46999999974</v>
      </c>
      <c r="I219" s="6">
        <f t="shared" si="57"/>
        <v>8.6999999999999993</v>
      </c>
      <c r="J219" s="6"/>
      <c r="K219" s="5">
        <f t="shared" si="58"/>
        <v>334772.43</v>
      </c>
      <c r="L219" s="5">
        <f t="shared" si="59"/>
        <v>49344</v>
      </c>
      <c r="M219" s="5">
        <f t="shared" si="60"/>
        <v>27671.7</v>
      </c>
      <c r="N219" s="5">
        <f t="shared" si="61"/>
        <v>26706.1</v>
      </c>
      <c r="O219" s="5">
        <f t="shared" si="62"/>
        <v>237600</v>
      </c>
      <c r="P219" s="5">
        <f t="shared" si="63"/>
        <v>7866336.3600000003</v>
      </c>
      <c r="Q219" s="5">
        <f t="shared" si="64"/>
        <v>8495039.2300000004</v>
      </c>
      <c r="R219" s="6">
        <f t="shared" si="65"/>
        <v>8</v>
      </c>
    </row>
    <row r="220" spans="1:18">
      <c r="H220" s="5"/>
      <c r="K220" s="5"/>
      <c r="L220" s="5"/>
      <c r="M220" s="5"/>
      <c r="N220" s="5"/>
      <c r="O220" s="5"/>
      <c r="P220" s="5"/>
      <c r="Q220" s="5"/>
    </row>
    <row r="221" spans="1:18" ht="15.75">
      <c r="A221" s="1">
        <v>19</v>
      </c>
      <c r="C221" s="42" t="s">
        <v>125</v>
      </c>
      <c r="D221" s="3">
        <v>1000</v>
      </c>
      <c r="E221" s="3">
        <v>200000</v>
      </c>
      <c r="F221" s="5">
        <f t="shared" ref="F221:F238" si="66">ROUND($E221*$AA$202*CUR_WIN_TT_ON_KWH,2)+ROUND($E221*(1-$AA$202)*CUR_TT_OFF,2)+ROUND($D221*$Y$202*CUR_TT_WIN_PEAK,2)+ROUND($D221*(1-$Y$202)*CUR_TT_WIN_PK_OFF,2)+CUR_TT_WIN_CST</f>
        <v>19889.54</v>
      </c>
      <c r="G221" s="5">
        <f t="shared" ref="G221:G238" si="67">ROUND($E221*$AA$202*PRO_WIN_TT_ON_KWH,2)+ROUND($E221*(1-$AA$202)*PRO_TT_OFF,2)+ROUND($D221*$Y$202*PRO_TT_WIN_PEAK,2)+ROUND($D221*(1-$Y$202)*PRO_TT_WIN_PK_OFF,2)+PRO_TT_WIN_CST</f>
        <v>21578.100000000002</v>
      </c>
      <c r="H221" s="5">
        <f t="shared" ref="H221:H238" si="68">G221-F221</f>
        <v>1688.5600000000013</v>
      </c>
      <c r="I221" s="6">
        <f t="shared" ref="I221:I238" si="69">ROUND(H221/F221,3)*100</f>
        <v>8.5</v>
      </c>
      <c r="J221" s="6"/>
      <c r="K221" s="5">
        <f t="shared" ref="K221:K238" si="70">ROUND(E221*CUR_FAC,2)</f>
        <v>697.44</v>
      </c>
      <c r="L221" s="5">
        <f t="shared" ref="L221:L238" si="71">ROUND(E221*DSM_TRANS,2)</f>
        <v>102.8</v>
      </c>
      <c r="M221" s="5">
        <f t="shared" ref="M221:M238" si="72">ROUND((F221+$L221+$O221-PRO_BASE_FUEL*$E221)*CUR_ESM_NonRes,2)</f>
        <v>89.17</v>
      </c>
      <c r="N221" s="5">
        <f t="shared" ref="N221:N238" si="73">ROUND((G221+$L221+$O221-PRO_BASE_FUEL*$E221)*PRO_ESM_NONRES,2)</f>
        <v>84.2</v>
      </c>
      <c r="O221" s="5">
        <f t="shared" ref="O221:O238" si="74">ROUND(E221*RS_PSM,2)</f>
        <v>495</v>
      </c>
      <c r="P221" s="5">
        <f t="shared" ref="P221:P238" si="75">F221+K221+L221+M221+O221</f>
        <v>21273.949999999997</v>
      </c>
      <c r="Q221" s="5">
        <f>G221+K221+L221+N221+O221</f>
        <v>22957.54</v>
      </c>
      <c r="R221" s="6">
        <f t="shared" ref="R221:R238" si="76">ROUND((Q221-P221)/P221,3)*100</f>
        <v>7.9</v>
      </c>
    </row>
    <row r="222" spans="1:18">
      <c r="A222" s="1">
        <v>20</v>
      </c>
      <c r="D222" s="3">
        <v>1000</v>
      </c>
      <c r="E222" s="3">
        <v>400000</v>
      </c>
      <c r="F222" s="5">
        <f t="shared" si="66"/>
        <v>31760.2</v>
      </c>
      <c r="G222" s="5">
        <f t="shared" si="67"/>
        <v>34484.899999999994</v>
      </c>
      <c r="H222" s="5">
        <f t="shared" si="68"/>
        <v>2724.6999999999935</v>
      </c>
      <c r="I222" s="6">
        <f t="shared" si="69"/>
        <v>8.6</v>
      </c>
      <c r="J222" s="6"/>
      <c r="K222" s="5">
        <f t="shared" si="70"/>
        <v>1394.89</v>
      </c>
      <c r="L222" s="5">
        <f t="shared" si="71"/>
        <v>205.6</v>
      </c>
      <c r="M222" s="5">
        <f t="shared" si="72"/>
        <v>126.27</v>
      </c>
      <c r="N222" s="5">
        <f t="shared" si="73"/>
        <v>121.05</v>
      </c>
      <c r="O222" s="5">
        <f t="shared" si="74"/>
        <v>990</v>
      </c>
      <c r="P222" s="5">
        <f t="shared" si="75"/>
        <v>34476.959999999999</v>
      </c>
      <c r="Q222" s="5">
        <f t="shared" ref="Q222:Q238" si="77">G222+K222+L222+N222+O222</f>
        <v>37196.439999999995</v>
      </c>
      <c r="R222" s="6">
        <f t="shared" si="76"/>
        <v>7.9</v>
      </c>
    </row>
    <row r="223" spans="1:18">
      <c r="A223" s="1">
        <v>21</v>
      </c>
      <c r="D223" s="3">
        <v>2500</v>
      </c>
      <c r="E223" s="3">
        <v>500000</v>
      </c>
      <c r="F223" s="5">
        <f t="shared" si="66"/>
        <v>48973.85</v>
      </c>
      <c r="G223" s="5">
        <f t="shared" si="67"/>
        <v>53195.240000000005</v>
      </c>
      <c r="H223" s="5">
        <f t="shared" si="68"/>
        <v>4221.3900000000067</v>
      </c>
      <c r="I223" s="6">
        <f t="shared" si="69"/>
        <v>8.6</v>
      </c>
      <c r="J223" s="6"/>
      <c r="K223" s="5">
        <f t="shared" si="70"/>
        <v>1743.61</v>
      </c>
      <c r="L223" s="5">
        <f t="shared" si="71"/>
        <v>257</v>
      </c>
      <c r="M223" s="5">
        <f t="shared" si="72"/>
        <v>218.06</v>
      </c>
      <c r="N223" s="5">
        <f t="shared" si="73"/>
        <v>206.41</v>
      </c>
      <c r="O223" s="5">
        <f t="shared" si="74"/>
        <v>1237.5</v>
      </c>
      <c r="P223" s="5">
        <f t="shared" si="75"/>
        <v>52430.02</v>
      </c>
      <c r="Q223" s="5">
        <f t="shared" si="77"/>
        <v>56639.760000000009</v>
      </c>
      <c r="R223" s="6">
        <f t="shared" si="76"/>
        <v>8</v>
      </c>
    </row>
    <row r="224" spans="1:18">
      <c r="A224" s="1">
        <v>22</v>
      </c>
      <c r="D224" s="3">
        <v>2500</v>
      </c>
      <c r="E224" s="3">
        <v>1000000</v>
      </c>
      <c r="F224" s="5">
        <f t="shared" si="66"/>
        <v>78650.5</v>
      </c>
      <c r="G224" s="5">
        <f t="shared" si="67"/>
        <v>85462.26999999999</v>
      </c>
      <c r="H224" s="5">
        <f t="shared" si="68"/>
        <v>6811.7699999999895</v>
      </c>
      <c r="I224" s="6">
        <f t="shared" si="69"/>
        <v>8.6999999999999993</v>
      </c>
      <c r="J224" s="6"/>
      <c r="K224" s="5">
        <f t="shared" si="70"/>
        <v>3487.21</v>
      </c>
      <c r="L224" s="5">
        <f t="shared" si="71"/>
        <v>514</v>
      </c>
      <c r="M224" s="5">
        <f t="shared" si="72"/>
        <v>310.81</v>
      </c>
      <c r="N224" s="5">
        <f t="shared" si="73"/>
        <v>298.54000000000002</v>
      </c>
      <c r="O224" s="5">
        <f t="shared" si="74"/>
        <v>2475</v>
      </c>
      <c r="P224" s="5">
        <f t="shared" si="75"/>
        <v>85437.52</v>
      </c>
      <c r="Q224" s="5">
        <f t="shared" si="77"/>
        <v>92237.01999999999</v>
      </c>
      <c r="R224" s="6">
        <f t="shared" si="76"/>
        <v>8</v>
      </c>
    </row>
    <row r="225" spans="1:18">
      <c r="A225" s="1">
        <v>23</v>
      </c>
      <c r="D225" s="3">
        <v>5000</v>
      </c>
      <c r="E225" s="3">
        <v>1000000</v>
      </c>
      <c r="F225" s="5">
        <f t="shared" si="66"/>
        <v>97447.7</v>
      </c>
      <c r="G225" s="5">
        <f t="shared" si="67"/>
        <v>105890.50000000001</v>
      </c>
      <c r="H225" s="5">
        <f t="shared" si="68"/>
        <v>8442.8000000000175</v>
      </c>
      <c r="I225" s="6">
        <f t="shared" si="69"/>
        <v>8.6999999999999993</v>
      </c>
      <c r="J225" s="6"/>
      <c r="K225" s="5">
        <f t="shared" si="70"/>
        <v>3487.21</v>
      </c>
      <c r="L225" s="5">
        <f t="shared" si="71"/>
        <v>514</v>
      </c>
      <c r="M225" s="5">
        <f t="shared" si="72"/>
        <v>432.88</v>
      </c>
      <c r="N225" s="5">
        <f t="shared" si="73"/>
        <v>410.09</v>
      </c>
      <c r="O225" s="5">
        <f t="shared" si="74"/>
        <v>2475</v>
      </c>
      <c r="P225" s="5">
        <f t="shared" si="75"/>
        <v>104356.79000000001</v>
      </c>
      <c r="Q225" s="5">
        <f t="shared" si="77"/>
        <v>112776.80000000002</v>
      </c>
      <c r="R225" s="6">
        <f t="shared" si="76"/>
        <v>8.1</v>
      </c>
    </row>
    <row r="226" spans="1:18">
      <c r="A226" s="1">
        <v>24</v>
      </c>
      <c r="D226" s="3">
        <v>5000</v>
      </c>
      <c r="E226" s="3">
        <v>2000000</v>
      </c>
      <c r="F226" s="5">
        <f t="shared" si="66"/>
        <v>156801.00999999998</v>
      </c>
      <c r="G226" s="5">
        <f t="shared" si="67"/>
        <v>170424.52</v>
      </c>
      <c r="H226" s="5">
        <f t="shared" si="68"/>
        <v>13623.510000000009</v>
      </c>
      <c r="I226" s="6">
        <f t="shared" si="69"/>
        <v>8.6999999999999993</v>
      </c>
      <c r="J226" s="6"/>
      <c r="K226" s="5">
        <f t="shared" si="70"/>
        <v>6974.43</v>
      </c>
      <c r="L226" s="5">
        <f t="shared" si="71"/>
        <v>1028</v>
      </c>
      <c r="M226" s="5">
        <f t="shared" si="72"/>
        <v>618.37</v>
      </c>
      <c r="N226" s="5">
        <f t="shared" si="73"/>
        <v>594.35</v>
      </c>
      <c r="O226" s="5">
        <f t="shared" si="74"/>
        <v>4950</v>
      </c>
      <c r="P226" s="5">
        <f t="shared" si="75"/>
        <v>170371.80999999997</v>
      </c>
      <c r="Q226" s="5">
        <f t="shared" si="77"/>
        <v>183971.3</v>
      </c>
      <c r="R226" s="6">
        <f t="shared" si="76"/>
        <v>8</v>
      </c>
    </row>
    <row r="227" spans="1:18">
      <c r="A227" s="1">
        <v>25</v>
      </c>
      <c r="D227" s="3">
        <v>10000</v>
      </c>
      <c r="E227" s="3">
        <v>2000000</v>
      </c>
      <c r="F227" s="5">
        <f t="shared" si="66"/>
        <v>194395.40999999997</v>
      </c>
      <c r="G227" s="5">
        <f t="shared" si="67"/>
        <v>211281</v>
      </c>
      <c r="H227" s="5">
        <f t="shared" si="68"/>
        <v>16885.590000000026</v>
      </c>
      <c r="I227" s="6">
        <f t="shared" si="69"/>
        <v>8.6999999999999993</v>
      </c>
      <c r="J227" s="6"/>
      <c r="K227" s="5">
        <f t="shared" si="70"/>
        <v>6974.43</v>
      </c>
      <c r="L227" s="5">
        <f t="shared" si="71"/>
        <v>1028</v>
      </c>
      <c r="M227" s="5">
        <f t="shared" si="72"/>
        <v>862.51</v>
      </c>
      <c r="N227" s="5">
        <f t="shared" si="73"/>
        <v>817.45</v>
      </c>
      <c r="O227" s="5">
        <f t="shared" si="74"/>
        <v>4950</v>
      </c>
      <c r="P227" s="5">
        <f t="shared" si="75"/>
        <v>208210.34999999998</v>
      </c>
      <c r="Q227" s="5">
        <f t="shared" si="77"/>
        <v>225050.88</v>
      </c>
      <c r="R227" s="6">
        <f t="shared" si="76"/>
        <v>8.1</v>
      </c>
    </row>
    <row r="228" spans="1:18">
      <c r="A228" s="1">
        <v>26</v>
      </c>
      <c r="D228" s="3">
        <v>10000</v>
      </c>
      <c r="E228" s="3">
        <v>4000000</v>
      </c>
      <c r="F228" s="5">
        <f t="shared" si="66"/>
        <v>313102.02999999997</v>
      </c>
      <c r="G228" s="5">
        <f t="shared" si="67"/>
        <v>340349.07</v>
      </c>
      <c r="H228" s="5">
        <f t="shared" si="68"/>
        <v>27247.040000000037</v>
      </c>
      <c r="I228" s="6">
        <f t="shared" si="69"/>
        <v>8.6999999999999993</v>
      </c>
      <c r="J228" s="6"/>
      <c r="K228" s="5">
        <f t="shared" si="70"/>
        <v>13948.85</v>
      </c>
      <c r="L228" s="5">
        <f t="shared" si="71"/>
        <v>2056</v>
      </c>
      <c r="M228" s="5">
        <f t="shared" si="72"/>
        <v>1233.49</v>
      </c>
      <c r="N228" s="5">
        <f t="shared" si="73"/>
        <v>1185.96</v>
      </c>
      <c r="O228" s="5">
        <f t="shared" si="74"/>
        <v>9900</v>
      </c>
      <c r="P228" s="5">
        <f t="shared" si="75"/>
        <v>340240.36999999994</v>
      </c>
      <c r="Q228" s="5">
        <f t="shared" si="77"/>
        <v>367439.88</v>
      </c>
      <c r="R228" s="6">
        <f t="shared" si="76"/>
        <v>8</v>
      </c>
    </row>
    <row r="229" spans="1:18">
      <c r="A229" s="1">
        <v>27</v>
      </c>
      <c r="D229" s="3">
        <v>10000</v>
      </c>
      <c r="E229" s="3">
        <v>6000000</v>
      </c>
      <c r="F229" s="5">
        <f t="shared" si="66"/>
        <v>431808.63</v>
      </c>
      <c r="G229" s="5">
        <f t="shared" si="67"/>
        <v>469417.13</v>
      </c>
      <c r="H229" s="5">
        <f t="shared" si="68"/>
        <v>37608.5</v>
      </c>
      <c r="I229" s="6">
        <f t="shared" si="69"/>
        <v>8.6999999999999993</v>
      </c>
      <c r="J229" s="6"/>
      <c r="K229" s="5">
        <f t="shared" si="70"/>
        <v>20923.28</v>
      </c>
      <c r="L229" s="5">
        <f t="shared" si="71"/>
        <v>3084</v>
      </c>
      <c r="M229" s="5">
        <f t="shared" si="72"/>
        <v>1604.46</v>
      </c>
      <c r="N229" s="5">
        <f t="shared" si="73"/>
        <v>1554.48</v>
      </c>
      <c r="O229" s="5">
        <f t="shared" si="74"/>
        <v>14850</v>
      </c>
      <c r="P229" s="5">
        <f t="shared" si="75"/>
        <v>472270.37000000005</v>
      </c>
      <c r="Q229" s="5">
        <f t="shared" si="77"/>
        <v>509828.89</v>
      </c>
      <c r="R229" s="6">
        <f t="shared" si="76"/>
        <v>8</v>
      </c>
    </row>
    <row r="230" spans="1:18">
      <c r="A230" s="1">
        <v>28</v>
      </c>
      <c r="D230" s="3">
        <v>20000</v>
      </c>
      <c r="E230" s="3">
        <v>4000000</v>
      </c>
      <c r="F230" s="5">
        <f t="shared" si="66"/>
        <v>388290.81999999995</v>
      </c>
      <c r="G230" s="5">
        <f t="shared" si="67"/>
        <v>422061.99000000005</v>
      </c>
      <c r="H230" s="5">
        <f t="shared" si="68"/>
        <v>33771.1700000001</v>
      </c>
      <c r="I230" s="6">
        <f t="shared" si="69"/>
        <v>8.6999999999999993</v>
      </c>
      <c r="J230" s="6"/>
      <c r="K230" s="5">
        <f t="shared" si="70"/>
        <v>13948.85</v>
      </c>
      <c r="L230" s="5">
        <f t="shared" si="71"/>
        <v>2056</v>
      </c>
      <c r="M230" s="5">
        <f t="shared" si="72"/>
        <v>1721.78</v>
      </c>
      <c r="N230" s="5">
        <f t="shared" si="73"/>
        <v>1632.17</v>
      </c>
      <c r="O230" s="5">
        <f t="shared" si="74"/>
        <v>9900</v>
      </c>
      <c r="P230" s="5">
        <f t="shared" si="75"/>
        <v>415917.44999999995</v>
      </c>
      <c r="Q230" s="5">
        <f t="shared" si="77"/>
        <v>449599.01</v>
      </c>
      <c r="R230" s="6">
        <f t="shared" si="76"/>
        <v>8.1</v>
      </c>
    </row>
    <row r="231" spans="1:18">
      <c r="A231" s="1">
        <v>29</v>
      </c>
      <c r="D231" s="3">
        <v>20000</v>
      </c>
      <c r="E231" s="3">
        <v>8000000</v>
      </c>
      <c r="F231" s="5">
        <f t="shared" si="66"/>
        <v>625704.04</v>
      </c>
      <c r="G231" s="5">
        <f t="shared" si="67"/>
        <v>680198.12</v>
      </c>
      <c r="H231" s="5">
        <f t="shared" si="68"/>
        <v>54494.079999999958</v>
      </c>
      <c r="I231" s="6">
        <f t="shared" si="69"/>
        <v>8.6999999999999993</v>
      </c>
      <c r="J231" s="6"/>
      <c r="K231" s="5">
        <f t="shared" si="70"/>
        <v>27897.7</v>
      </c>
      <c r="L231" s="5">
        <f t="shared" si="71"/>
        <v>4112</v>
      </c>
      <c r="M231" s="5">
        <f t="shared" si="72"/>
        <v>2463.73</v>
      </c>
      <c r="N231" s="5">
        <f t="shared" si="73"/>
        <v>2369.1999999999998</v>
      </c>
      <c r="O231" s="5">
        <f t="shared" si="74"/>
        <v>19800</v>
      </c>
      <c r="P231" s="5">
        <f t="shared" si="75"/>
        <v>679977.47</v>
      </c>
      <c r="Q231" s="5">
        <f t="shared" si="77"/>
        <v>734377.0199999999</v>
      </c>
      <c r="R231" s="6">
        <f t="shared" si="76"/>
        <v>8</v>
      </c>
    </row>
    <row r="232" spans="1:18">
      <c r="A232" s="1">
        <v>30</v>
      </c>
      <c r="D232" s="3">
        <v>20000</v>
      </c>
      <c r="E232" s="3">
        <v>12000000</v>
      </c>
      <c r="F232" s="5">
        <f t="shared" si="66"/>
        <v>863117.27</v>
      </c>
      <c r="G232" s="5">
        <f t="shared" si="67"/>
        <v>938334.25</v>
      </c>
      <c r="H232" s="5">
        <f t="shared" si="68"/>
        <v>75216.979999999981</v>
      </c>
      <c r="I232" s="6">
        <f t="shared" si="69"/>
        <v>8.6999999999999993</v>
      </c>
      <c r="J232" s="6"/>
      <c r="K232" s="5">
        <f t="shared" si="70"/>
        <v>41846.550000000003</v>
      </c>
      <c r="L232" s="5">
        <f t="shared" si="71"/>
        <v>6168</v>
      </c>
      <c r="M232" s="5">
        <f t="shared" si="72"/>
        <v>3205.68</v>
      </c>
      <c r="N232" s="5">
        <f t="shared" si="73"/>
        <v>3106.23</v>
      </c>
      <c r="O232" s="5">
        <f t="shared" si="74"/>
        <v>29700</v>
      </c>
      <c r="P232" s="5">
        <f t="shared" si="75"/>
        <v>944037.50000000012</v>
      </c>
      <c r="Q232" s="5">
        <f t="shared" si="77"/>
        <v>1019155.03</v>
      </c>
      <c r="R232" s="6">
        <f t="shared" si="76"/>
        <v>8</v>
      </c>
    </row>
    <row r="233" spans="1:18">
      <c r="A233" s="1">
        <v>31</v>
      </c>
      <c r="D233" s="3">
        <v>40000</v>
      </c>
      <c r="E233" s="3">
        <v>16000000</v>
      </c>
      <c r="F233" s="5">
        <f t="shared" si="66"/>
        <v>1250908.0899999999</v>
      </c>
      <c r="G233" s="5">
        <f t="shared" si="67"/>
        <v>1359896.26</v>
      </c>
      <c r="H233" s="5">
        <f t="shared" si="68"/>
        <v>108988.17000000016</v>
      </c>
      <c r="I233" s="6">
        <f t="shared" si="69"/>
        <v>8.6999999999999993</v>
      </c>
      <c r="J233" s="6"/>
      <c r="K233" s="5">
        <f t="shared" si="70"/>
        <v>55795.4</v>
      </c>
      <c r="L233" s="5">
        <f t="shared" si="71"/>
        <v>8224</v>
      </c>
      <c r="M233" s="5">
        <f t="shared" si="72"/>
        <v>4924.21</v>
      </c>
      <c r="N233" s="5">
        <f t="shared" si="73"/>
        <v>4735.66</v>
      </c>
      <c r="O233" s="5">
        <f t="shared" si="74"/>
        <v>39600</v>
      </c>
      <c r="P233" s="5">
        <f t="shared" si="75"/>
        <v>1359451.6999999997</v>
      </c>
      <c r="Q233" s="5">
        <f t="shared" si="77"/>
        <v>1468251.3199999998</v>
      </c>
      <c r="R233" s="6">
        <f t="shared" si="76"/>
        <v>8</v>
      </c>
    </row>
    <row r="234" spans="1:18">
      <c r="A234" s="1">
        <v>32</v>
      </c>
      <c r="D234" s="3">
        <v>40000</v>
      </c>
      <c r="E234" s="3">
        <v>24000000</v>
      </c>
      <c r="F234" s="5">
        <f t="shared" si="66"/>
        <v>1725734.54</v>
      </c>
      <c r="G234" s="5">
        <f t="shared" si="67"/>
        <v>1876168.52</v>
      </c>
      <c r="H234" s="5">
        <f t="shared" si="68"/>
        <v>150433.97999999998</v>
      </c>
      <c r="I234" s="6">
        <f t="shared" si="69"/>
        <v>8.6999999999999993</v>
      </c>
      <c r="J234" s="6"/>
      <c r="K234" s="5">
        <f t="shared" si="70"/>
        <v>83693.11</v>
      </c>
      <c r="L234" s="5">
        <f t="shared" si="71"/>
        <v>12336</v>
      </c>
      <c r="M234" s="5">
        <f t="shared" si="72"/>
        <v>6408.12</v>
      </c>
      <c r="N234" s="5">
        <f t="shared" si="73"/>
        <v>6209.72</v>
      </c>
      <c r="O234" s="5">
        <f t="shared" si="74"/>
        <v>59400</v>
      </c>
      <c r="P234" s="5">
        <f t="shared" si="75"/>
        <v>1887571.7700000003</v>
      </c>
      <c r="Q234" s="5">
        <f t="shared" si="77"/>
        <v>2037807.35</v>
      </c>
      <c r="R234" s="6">
        <f t="shared" si="76"/>
        <v>8</v>
      </c>
    </row>
    <row r="235" spans="1:18">
      <c r="A235" s="1">
        <v>33</v>
      </c>
      <c r="D235" s="3">
        <v>80000</v>
      </c>
      <c r="E235" s="3">
        <v>32000000</v>
      </c>
      <c r="F235" s="5">
        <f t="shared" si="66"/>
        <v>2501316.1599999997</v>
      </c>
      <c r="G235" s="5">
        <f t="shared" si="67"/>
        <v>2719292.51</v>
      </c>
      <c r="H235" s="5">
        <f t="shared" si="68"/>
        <v>217976.35000000009</v>
      </c>
      <c r="I235" s="6">
        <f t="shared" si="69"/>
        <v>8.6999999999999993</v>
      </c>
      <c r="J235" s="6"/>
      <c r="K235" s="5">
        <f t="shared" si="70"/>
        <v>111590.81</v>
      </c>
      <c r="L235" s="5">
        <f t="shared" si="71"/>
        <v>16448</v>
      </c>
      <c r="M235" s="5">
        <f t="shared" si="72"/>
        <v>9845.17</v>
      </c>
      <c r="N235" s="5">
        <f t="shared" si="73"/>
        <v>9468.59</v>
      </c>
      <c r="O235" s="5">
        <f t="shared" si="74"/>
        <v>79200</v>
      </c>
      <c r="P235" s="5">
        <f t="shared" si="75"/>
        <v>2718400.1399999997</v>
      </c>
      <c r="Q235" s="5">
        <f t="shared" si="77"/>
        <v>2935999.9099999997</v>
      </c>
      <c r="R235" s="6">
        <f t="shared" si="76"/>
        <v>8</v>
      </c>
    </row>
    <row r="236" spans="1:18">
      <c r="A236" s="1">
        <v>34</v>
      </c>
      <c r="D236" s="3">
        <v>80000</v>
      </c>
      <c r="E236" s="3">
        <v>48000000</v>
      </c>
      <c r="F236" s="5">
        <f t="shared" si="66"/>
        <v>3450969.06</v>
      </c>
      <c r="G236" s="5">
        <f t="shared" si="67"/>
        <v>3751837.0399999996</v>
      </c>
      <c r="H236" s="5">
        <f t="shared" si="68"/>
        <v>300867.97999999952</v>
      </c>
      <c r="I236" s="6">
        <f t="shared" si="69"/>
        <v>8.6999999999999993</v>
      </c>
      <c r="J236" s="6"/>
      <c r="K236" s="5">
        <f t="shared" si="70"/>
        <v>167386.21</v>
      </c>
      <c r="L236" s="5">
        <f t="shared" si="71"/>
        <v>24672</v>
      </c>
      <c r="M236" s="5">
        <f t="shared" si="72"/>
        <v>12812.99</v>
      </c>
      <c r="N236" s="5">
        <f t="shared" si="73"/>
        <v>12416.71</v>
      </c>
      <c r="O236" s="5">
        <f t="shared" si="74"/>
        <v>118800</v>
      </c>
      <c r="P236" s="5">
        <f t="shared" si="75"/>
        <v>3774640.2600000002</v>
      </c>
      <c r="Q236" s="5">
        <f t="shared" si="77"/>
        <v>4075111.9599999995</v>
      </c>
      <c r="R236" s="6">
        <f t="shared" si="76"/>
        <v>8</v>
      </c>
    </row>
    <row r="237" spans="1:18">
      <c r="A237" s="1">
        <v>35</v>
      </c>
      <c r="D237" s="3">
        <v>160000</v>
      </c>
      <c r="E237" s="3">
        <v>64000000</v>
      </c>
      <c r="F237" s="5">
        <f t="shared" si="66"/>
        <v>5002132.32</v>
      </c>
      <c r="G237" s="5">
        <f t="shared" si="67"/>
        <v>5438085.0200000005</v>
      </c>
      <c r="H237" s="5">
        <f t="shared" si="68"/>
        <v>435952.70000000019</v>
      </c>
      <c r="I237" s="6">
        <f t="shared" si="69"/>
        <v>8.6999999999999993</v>
      </c>
      <c r="J237" s="6"/>
      <c r="K237" s="5">
        <f t="shared" si="70"/>
        <v>223181.62</v>
      </c>
      <c r="L237" s="5">
        <f t="shared" si="71"/>
        <v>32896</v>
      </c>
      <c r="M237" s="5">
        <f t="shared" si="72"/>
        <v>19687.099999999999</v>
      </c>
      <c r="N237" s="5">
        <f t="shared" si="73"/>
        <v>18934.45</v>
      </c>
      <c r="O237" s="5">
        <f t="shared" si="74"/>
        <v>158400</v>
      </c>
      <c r="P237" s="5">
        <f t="shared" si="75"/>
        <v>5436297.04</v>
      </c>
      <c r="Q237" s="5">
        <f t="shared" si="77"/>
        <v>5871497.0900000008</v>
      </c>
      <c r="R237" s="6">
        <f t="shared" si="76"/>
        <v>8</v>
      </c>
    </row>
    <row r="238" spans="1:18">
      <c r="A238" s="1">
        <v>36</v>
      </c>
      <c r="D238" s="3">
        <v>160000</v>
      </c>
      <c r="E238" s="3">
        <v>96000000</v>
      </c>
      <c r="F238" s="5">
        <f t="shared" si="66"/>
        <v>6901438.1299999999</v>
      </c>
      <c r="G238" s="5">
        <f t="shared" si="67"/>
        <v>7503174.0599999996</v>
      </c>
      <c r="H238" s="5">
        <f t="shared" si="68"/>
        <v>601735.9299999997</v>
      </c>
      <c r="I238" s="6">
        <f t="shared" si="69"/>
        <v>8.6999999999999993</v>
      </c>
      <c r="J238" s="6"/>
      <c r="K238" s="5">
        <f t="shared" si="70"/>
        <v>334772.43</v>
      </c>
      <c r="L238" s="5">
        <f t="shared" si="71"/>
        <v>49344</v>
      </c>
      <c r="M238" s="5">
        <f t="shared" si="72"/>
        <v>25622.73</v>
      </c>
      <c r="N238" s="5">
        <f t="shared" si="73"/>
        <v>24830.69</v>
      </c>
      <c r="O238" s="5">
        <f t="shared" si="74"/>
        <v>237600</v>
      </c>
      <c r="P238" s="5">
        <f t="shared" si="75"/>
        <v>7548777.29</v>
      </c>
      <c r="Q238" s="5">
        <f t="shared" si="77"/>
        <v>8149721.1799999997</v>
      </c>
      <c r="R238" s="6">
        <f t="shared" si="76"/>
        <v>8</v>
      </c>
    </row>
    <row r="239" spans="1:18">
      <c r="K239" s="5"/>
      <c r="L239" s="5"/>
      <c r="M239" s="5"/>
      <c r="N239" s="5"/>
      <c r="O239" s="5"/>
    </row>
    <row r="240" spans="1:18" ht="15.75">
      <c r="C240" s="42" t="str">
        <f>"(1) REFLECTS FUEL ADJUSTMENT COMPONENT (FAC) OF "&amp;TEXT(CUR_FAC,"$0.000000;($0.000000)")&amp;" PER KWH."</f>
        <v>(1) REFLECTS FUEL ADJUSTMENT COMPONENT (FAC) OF $0.003487 PER KWH.</v>
      </c>
      <c r="K240" s="5"/>
      <c r="L240" s="5"/>
      <c r="M240" s="5"/>
      <c r="N240" s="5"/>
      <c r="O240" s="5"/>
    </row>
    <row r="241" spans="3:3" ht="15.75">
      <c r="C241" s="42" t="str">
        <f>"(2) RIDER DSMR "&amp;TEXT(DSM_TRANS,"$0.000000;($0.000000)")&amp;" PER KWH."</f>
        <v>(2) RIDER DSMR $0.000514 PER KWH.</v>
      </c>
    </row>
    <row r="242" spans="3:3" ht="15.75">
      <c r="C242" s="42" t="str">
        <f>"(3) RIDER ESM "&amp;TEXT(CUR_ESM_NonRes,"#0.00%")&amp;"  OF TOTAL CURRENT BILL."</f>
        <v>(3) RIDER ESM 0.65%  OF TOTAL CURRENT BILL.</v>
      </c>
    </row>
    <row r="243" spans="3:3" ht="15.75">
      <c r="C243" s="42" t="str">
        <f>"(4) RIDER PSM "&amp;TEXT(RS_PSM,"$0.000000;($0.000000)")&amp;"  PER KWH."</f>
        <v>(4) RIDER PSM $0.002475  PER KWH.</v>
      </c>
    </row>
    <row r="244" spans="3:3" ht="15.75">
      <c r="C244" s="42" t="str">
        <f>"(5) REFLECTS FUEL COST RECOVERY INCLUDED IN BASE RATES OF "&amp;TEXT(CUR_BASE_FUEL,"$0.000000;($0.000000)")&amp;"  PER KWH."</f>
        <v>(5) REFLECTS FUEL COST RECOVERY INCLUDED IN BASE RATES OF $0.033780  PER KWH.</v>
      </c>
    </row>
    <row r="245" spans="3:3" ht="15.75">
      <c r="C245" s="42" t="str">
        <f>"(6) DEMAND VALUE REPRESENTS THE SUM OF ON AND OFF PEAK.  FOR BILL CALCULATION, VALUE IS SPLIT USING THE RATIO OF VALUES IN SCHEDULE M-2.3."</f>
        <v>(6) DEMAND VALUE REPRESENTS THE SUM OF ON AND OFF PEAK.  FOR BILL CALCULATION, VALUE IS SPLIT USING THE RATIO OF VALUES IN SCHEDULE M-2.3.</v>
      </c>
    </row>
    <row r="246" spans="3:3" ht="15.75">
      <c r="C246" s="42" t="str">
        <f>"(7) RIDER ESM "&amp;TEXT(PRO_ESM_NONRES,"#0.00%")&amp;"  OF TOTAL CURRENT BILL."</f>
        <v>(7) RIDER ESM 0.55%  OF TOTAL CURRENT BILL.</v>
      </c>
    </row>
    <row r="247" spans="3:3" ht="15.75">
      <c r="C247" s="48"/>
    </row>
  </sheetData>
  <customSheetViews>
    <customSheetView guid="{F562D92E-120C-4AE9-9663-89E64D41DC53}" scale="75" fitToPage="1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"/>
      <headerFooter alignWithMargins="0"/>
    </customSheetView>
    <customSheetView guid="{35F19056-2E6F-4935-B863-78836FE990BF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2"/>
      <headerFooter alignWithMargins="0"/>
    </customSheetView>
    <customSheetView guid="{18BDED73-BFA0-442E-87EC-CED86EE4CF94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3"/>
      <headerFooter alignWithMargins="0"/>
    </customSheetView>
    <customSheetView guid="{0BC1F393-8A13-47D5-BC6C-0C99615B5AB9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4"/>
      <headerFooter alignWithMargins="0"/>
    </customSheetView>
    <customSheetView guid="{6B3D5C27-2FDE-4561-9575-1E98BFB869D0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5"/>
      <headerFooter alignWithMargins="0"/>
    </customSheetView>
    <customSheetView guid="{8FB94551-8874-4095-B8FB-5316E0D2FD2C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6"/>
      <headerFooter alignWithMargins="0"/>
    </customSheetView>
    <customSheetView guid="{8FC77C99-DBF7-40B8-99B8-01B75826CDCB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7"/>
      <headerFooter alignWithMargins="0"/>
    </customSheetView>
    <customSheetView guid="{2EA35095-1ADC-4CC7-8C3C-B487D65FA247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8"/>
      <headerFooter alignWithMargins="0"/>
    </customSheetView>
    <customSheetView guid="{2431C9E5-7CC2-4B8D-99C3-962247B1DBF5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9"/>
      <headerFooter alignWithMargins="0"/>
    </customSheetView>
    <customSheetView guid="{4BC93440-BA85-4935-A8C9-66DC6AE5DE5E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10"/>
      <headerFooter alignWithMargins="0"/>
    </customSheetView>
    <customSheetView guid="{0C49E549-011E-46F4-A82E-2CC8951A9C1E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1"/>
      <headerFooter alignWithMargins="0"/>
    </customSheetView>
    <customSheetView guid="{195DF303-1BBD-4236-94B5-47432850B006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2"/>
      <headerFooter alignWithMargins="0"/>
    </customSheetView>
  </customSheetViews>
  <mergeCells count="10">
    <mergeCell ref="K196:O196"/>
    <mergeCell ref="K13:O13"/>
    <mergeCell ref="K47:O47"/>
    <mergeCell ref="K99:O99"/>
    <mergeCell ref="A10:R10"/>
    <mergeCell ref="A44:R44"/>
    <mergeCell ref="A96:R96"/>
    <mergeCell ref="A143:R143"/>
    <mergeCell ref="A193:R193"/>
    <mergeCell ref="K146:O146"/>
  </mergeCells>
  <phoneticPr fontId="12" type="noConversion"/>
  <pageMargins left="0.5" right="0.5" top="1" bottom="1" header="0.5" footer="0.5"/>
  <pageSetup scale="45" orientation="landscape" verticalDpi="300" r:id="rId13"/>
  <headerFooter alignWithMargins="0"/>
  <rowBreaks count="2" manualBreakCount="2">
    <brk id="34" max="16383" man="1"/>
    <brk id="8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7FADB-D5E0-47BE-B2CB-94F5F2F794F1}">
  <sheetPr codeName="Sheet33">
    <tabColor rgb="FF0066CC"/>
    <pageSetUpPr fitToPage="1"/>
  </sheetPr>
  <dimension ref="A1:AA247"/>
  <sheetViews>
    <sheetView workbookViewId="0"/>
  </sheetViews>
  <sheetFormatPr defaultColWidth="8.8984375" defaultRowHeight="15"/>
  <cols>
    <col min="1" max="1" width="4.09765625" style="468" customWidth="1"/>
    <col min="2" max="2" width="1" style="468" customWidth="1"/>
    <col min="3" max="3" width="17" style="468" customWidth="1"/>
    <col min="4" max="4" width="8.8984375" style="468"/>
    <col min="5" max="5" width="11.8984375" style="468" customWidth="1"/>
    <col min="6" max="6" width="12.296875" style="468" customWidth="1"/>
    <col min="7" max="7" width="12" style="468" customWidth="1"/>
    <col min="8" max="8" width="12.8984375" style="468" bestFit="1" customWidth="1"/>
    <col min="9" max="9" width="10.59765625" style="468" customWidth="1"/>
    <col min="10" max="10" width="1.69921875" style="468" customWidth="1"/>
    <col min="11" max="11" width="11.296875" style="468" bestFit="1" customWidth="1"/>
    <col min="12" max="12" width="9.69921875" style="468" bestFit="1" customWidth="1"/>
    <col min="13" max="14" width="11.09765625" style="468" customWidth="1"/>
    <col min="15" max="15" width="11.69921875" style="468" customWidth="1"/>
    <col min="16" max="16" width="12.3984375" style="468" bestFit="1" customWidth="1"/>
    <col min="17" max="17" width="17" style="468" bestFit="1" customWidth="1"/>
    <col min="18" max="18" width="9.69921875" style="468" customWidth="1"/>
    <col min="19" max="16384" width="8.8984375" style="468"/>
  </cols>
  <sheetData>
    <row r="1" spans="1:18" ht="15.75">
      <c r="A1" s="452" t="s">
        <v>479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</row>
    <row r="2" spans="1:18" ht="15.75">
      <c r="A2" s="452" t="s">
        <v>1132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</row>
    <row r="3" spans="1:18" ht="15.75">
      <c r="A3" s="452" t="s">
        <v>171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</row>
    <row r="4" spans="1:18" ht="15.75">
      <c r="A4" s="452" t="s">
        <v>2</v>
      </c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</row>
    <row r="5" spans="1:18" ht="15.75">
      <c r="A5" s="455"/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</row>
    <row r="6" spans="1:18" ht="15.75">
      <c r="A6" s="453" t="s">
        <v>539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O6" s="453"/>
      <c r="P6" s="453"/>
      <c r="Q6" s="455" t="s">
        <v>172</v>
      </c>
      <c r="R6" s="453"/>
    </row>
    <row r="7" spans="1:18" ht="15.75">
      <c r="A7" s="453" t="s">
        <v>333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5" t="s">
        <v>99</v>
      </c>
      <c r="R7" s="453"/>
    </row>
    <row r="8" spans="1:18" ht="15.75">
      <c r="A8" s="455" t="s">
        <v>100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5" t="s">
        <v>3</v>
      </c>
      <c r="R8" s="453"/>
    </row>
    <row r="9" spans="1:18" ht="15.75">
      <c r="A9" s="465" t="s">
        <v>1135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 t="s">
        <v>970</v>
      </c>
      <c r="R9" s="453"/>
    </row>
    <row r="10" spans="1:18" ht="15.75" customHeight="1">
      <c r="A10" s="765" t="s">
        <v>426</v>
      </c>
      <c r="B10" s="765"/>
      <c r="C10" s="765"/>
      <c r="D10" s="765"/>
      <c r="E10" s="765"/>
      <c r="F10" s="765"/>
      <c r="G10" s="765"/>
      <c r="H10" s="765"/>
      <c r="I10" s="765"/>
      <c r="J10" s="765"/>
      <c r="K10" s="765"/>
      <c r="L10" s="765"/>
      <c r="M10" s="765"/>
      <c r="N10" s="765"/>
      <c r="O10" s="765"/>
      <c r="P10" s="765"/>
      <c r="Q10" s="765"/>
      <c r="R10" s="765"/>
    </row>
    <row r="11" spans="1:18" ht="15.75">
      <c r="A11" s="459"/>
      <c r="B11" s="459"/>
      <c r="C11" s="459"/>
      <c r="D11" s="459"/>
      <c r="E11" s="459"/>
      <c r="F11" s="459"/>
      <c r="G11" s="459"/>
      <c r="H11" s="459"/>
      <c r="I11" s="459"/>
      <c r="J11" s="459"/>
      <c r="K11" s="459"/>
      <c r="L11" s="459"/>
      <c r="M11" s="459"/>
      <c r="N11" s="459"/>
      <c r="O11" s="459"/>
      <c r="P11" s="459"/>
      <c r="Q11" s="459"/>
      <c r="R11" s="459"/>
    </row>
    <row r="12" spans="1:18" ht="15.75">
      <c r="A12" s="453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</row>
    <row r="13" spans="1:18" ht="15.75">
      <c r="A13" s="453"/>
      <c r="B13" s="453"/>
      <c r="C13" s="453"/>
      <c r="D13" s="453"/>
      <c r="E13" s="453"/>
      <c r="F13" s="711" t="s">
        <v>374</v>
      </c>
      <c r="G13" s="711"/>
      <c r="H13" s="711"/>
      <c r="I13" s="711"/>
      <c r="J13" s="452"/>
      <c r="K13" s="766" t="s">
        <v>357</v>
      </c>
      <c r="L13" s="766"/>
      <c r="M13" s="766"/>
      <c r="N13" s="766"/>
      <c r="O13" s="766"/>
      <c r="P13" s="462" t="s">
        <v>11</v>
      </c>
      <c r="Q13" s="462" t="s">
        <v>11</v>
      </c>
      <c r="R13" s="453"/>
    </row>
    <row r="14" spans="1:18" ht="17.100000000000001" customHeight="1">
      <c r="A14" s="453"/>
      <c r="B14" s="453"/>
      <c r="C14" s="453"/>
      <c r="D14" s="462" t="s">
        <v>101</v>
      </c>
      <c r="E14" s="462" t="s">
        <v>101</v>
      </c>
      <c r="F14" s="453"/>
      <c r="G14" s="453"/>
      <c r="H14" s="462" t="s">
        <v>102</v>
      </c>
      <c r="I14" s="462" t="s">
        <v>103</v>
      </c>
      <c r="J14" s="462"/>
      <c r="K14" s="453"/>
      <c r="L14" s="453"/>
      <c r="O14" s="453"/>
      <c r="P14" s="462" t="s">
        <v>8</v>
      </c>
      <c r="Q14" s="462" t="s">
        <v>6</v>
      </c>
      <c r="R14" s="462" t="s">
        <v>103</v>
      </c>
    </row>
    <row r="15" spans="1:18" ht="15.75">
      <c r="A15" s="453"/>
      <c r="B15" s="453"/>
      <c r="C15" s="453"/>
      <c r="D15" s="462" t="s">
        <v>104</v>
      </c>
      <c r="E15" s="462" t="s">
        <v>104</v>
      </c>
      <c r="F15" s="462" t="s">
        <v>8</v>
      </c>
      <c r="G15" s="462" t="s">
        <v>6</v>
      </c>
      <c r="H15" s="462" t="s">
        <v>105</v>
      </c>
      <c r="I15" s="462" t="s">
        <v>105</v>
      </c>
      <c r="J15" s="462"/>
      <c r="K15" s="462" t="s">
        <v>252</v>
      </c>
      <c r="L15" s="462" t="s">
        <v>252</v>
      </c>
      <c r="M15" s="462" t="s">
        <v>252</v>
      </c>
      <c r="N15" s="462" t="s">
        <v>252</v>
      </c>
      <c r="O15" s="462" t="s">
        <v>252</v>
      </c>
      <c r="P15" s="462" t="s">
        <v>106</v>
      </c>
      <c r="Q15" s="462" t="s">
        <v>106</v>
      </c>
      <c r="R15" s="462" t="s">
        <v>105</v>
      </c>
    </row>
    <row r="16" spans="1:18" ht="15.75">
      <c r="A16" s="462" t="s">
        <v>17</v>
      </c>
      <c r="B16" s="453"/>
      <c r="C16" s="455" t="s">
        <v>18</v>
      </c>
      <c r="D16" s="462" t="s">
        <v>108</v>
      </c>
      <c r="E16" s="462" t="s">
        <v>109</v>
      </c>
      <c r="F16" s="544" t="s">
        <v>829</v>
      </c>
      <c r="G16" s="544" t="s">
        <v>829</v>
      </c>
      <c r="H16" s="464" t="s">
        <v>110</v>
      </c>
      <c r="I16" s="464" t="s">
        <v>111</v>
      </c>
      <c r="J16" s="462"/>
      <c r="K16" s="462" t="s">
        <v>359</v>
      </c>
      <c r="L16" s="544" t="s">
        <v>256</v>
      </c>
      <c r="M16" s="462" t="s">
        <v>532</v>
      </c>
      <c r="N16" s="462" t="s">
        <v>1034</v>
      </c>
      <c r="O16" s="544" t="s">
        <v>358</v>
      </c>
      <c r="P16" s="713" t="s">
        <v>1035</v>
      </c>
      <c r="Q16" s="713" t="s">
        <v>1036</v>
      </c>
      <c r="R16" s="713" t="s">
        <v>968</v>
      </c>
    </row>
    <row r="17" spans="1:22" ht="15.75">
      <c r="A17" s="712" t="s">
        <v>22</v>
      </c>
      <c r="B17" s="714"/>
      <c r="C17" s="715" t="s">
        <v>23</v>
      </c>
      <c r="D17" s="716" t="s">
        <v>33</v>
      </c>
      <c r="E17" s="716" t="s">
        <v>34</v>
      </c>
      <c r="F17" s="716" t="s">
        <v>35</v>
      </c>
      <c r="G17" s="716" t="s">
        <v>36</v>
      </c>
      <c r="H17" s="716" t="s">
        <v>37</v>
      </c>
      <c r="I17" s="716" t="s">
        <v>38</v>
      </c>
      <c r="J17" s="716"/>
      <c r="K17" s="716" t="s">
        <v>39</v>
      </c>
      <c r="L17" s="716" t="s">
        <v>40</v>
      </c>
      <c r="M17" s="716" t="s">
        <v>1032</v>
      </c>
      <c r="N17" s="716" t="s">
        <v>1033</v>
      </c>
      <c r="O17" s="717" t="s">
        <v>42</v>
      </c>
      <c r="P17" s="717" t="s">
        <v>43</v>
      </c>
      <c r="Q17" s="717" t="s">
        <v>44</v>
      </c>
      <c r="R17" s="717" t="s">
        <v>45</v>
      </c>
    </row>
    <row r="18" spans="1:22" ht="15.75">
      <c r="A18" s="453"/>
      <c r="B18" s="453"/>
      <c r="C18" s="453"/>
      <c r="D18" s="467" t="s">
        <v>117</v>
      </c>
      <c r="E18" s="467" t="s">
        <v>49</v>
      </c>
      <c r="F18" s="467" t="s">
        <v>50</v>
      </c>
      <c r="G18" s="467" t="s">
        <v>50</v>
      </c>
      <c r="H18" s="467" t="s">
        <v>50</v>
      </c>
      <c r="I18" s="467" t="s">
        <v>51</v>
      </c>
      <c r="J18" s="467"/>
      <c r="K18" s="467" t="s">
        <v>50</v>
      </c>
      <c r="L18" s="467" t="s">
        <v>50</v>
      </c>
      <c r="M18" s="467" t="s">
        <v>50</v>
      </c>
      <c r="N18" s="467" t="s">
        <v>50</v>
      </c>
      <c r="O18" s="467" t="s">
        <v>50</v>
      </c>
      <c r="P18" s="467" t="s">
        <v>50</v>
      </c>
      <c r="Q18" s="467" t="s">
        <v>50</v>
      </c>
      <c r="R18" s="467" t="s">
        <v>51</v>
      </c>
    </row>
    <row r="19" spans="1:22" ht="15.75">
      <c r="A19" s="468">
        <v>1</v>
      </c>
      <c r="C19" s="455" t="s">
        <v>52</v>
      </c>
      <c r="D19" s="462"/>
      <c r="G19" s="488"/>
    </row>
    <row r="20" spans="1:22">
      <c r="A20" s="468">
        <v>2</v>
      </c>
      <c r="D20" s="718" t="s">
        <v>118</v>
      </c>
      <c r="E20" s="474">
        <v>300</v>
      </c>
      <c r="F20" s="719">
        <v>46.79</v>
      </c>
      <c r="G20" s="719">
        <v>55.33</v>
      </c>
      <c r="H20" s="719">
        <v>8.5399999999999991</v>
      </c>
      <c r="I20" s="475">
        <v>18.3</v>
      </c>
      <c r="J20" s="475"/>
      <c r="K20" s="719">
        <v>1.05</v>
      </c>
      <c r="L20" s="719">
        <v>0.41</v>
      </c>
      <c r="M20" s="719">
        <v>0.21</v>
      </c>
      <c r="N20" s="719">
        <v>0.2</v>
      </c>
      <c r="O20" s="719">
        <v>0.74</v>
      </c>
      <c r="P20" s="719">
        <v>49.199999999999996</v>
      </c>
      <c r="Q20" s="719">
        <v>57.73</v>
      </c>
      <c r="R20" s="475">
        <v>17.299999999999997</v>
      </c>
      <c r="U20" s="719"/>
      <c r="V20" s="719"/>
    </row>
    <row r="21" spans="1:22">
      <c r="A21" s="468">
        <v>3</v>
      </c>
      <c r="D21" s="718" t="s">
        <v>118</v>
      </c>
      <c r="E21" s="474">
        <v>400</v>
      </c>
      <c r="F21" s="719">
        <v>57.959999999999994</v>
      </c>
      <c r="G21" s="719">
        <v>68.34</v>
      </c>
      <c r="H21" s="719">
        <v>10.38000000000001</v>
      </c>
      <c r="I21" s="475">
        <v>17.899999999999999</v>
      </c>
      <c r="J21" s="475"/>
      <c r="K21" s="719">
        <v>1.39</v>
      </c>
      <c r="L21" s="719">
        <v>0.54</v>
      </c>
      <c r="M21" s="719">
        <v>0.26</v>
      </c>
      <c r="N21" s="719">
        <v>0.25</v>
      </c>
      <c r="O21" s="719">
        <v>0.99</v>
      </c>
      <c r="P21" s="719">
        <v>61.139999999999993</v>
      </c>
      <c r="Q21" s="719">
        <v>71.510000000000005</v>
      </c>
      <c r="R21" s="475">
        <v>17</v>
      </c>
    </row>
    <row r="22" spans="1:22">
      <c r="A22" s="468">
        <v>4</v>
      </c>
      <c r="D22" s="718" t="s">
        <v>118</v>
      </c>
      <c r="E22" s="474">
        <v>500</v>
      </c>
      <c r="F22" s="719">
        <v>69.11999999999999</v>
      </c>
      <c r="G22" s="719">
        <v>81.36</v>
      </c>
      <c r="H22" s="719">
        <v>12.240000000000009</v>
      </c>
      <c r="I22" s="475">
        <v>17.7</v>
      </c>
      <c r="J22" s="475"/>
      <c r="K22" s="719">
        <v>1.74</v>
      </c>
      <c r="L22" s="719">
        <v>0.68</v>
      </c>
      <c r="M22" s="719">
        <v>0.31</v>
      </c>
      <c r="N22" s="719">
        <v>0.3</v>
      </c>
      <c r="O22" s="719">
        <v>1.24</v>
      </c>
      <c r="P22" s="719">
        <v>73.089999999999989</v>
      </c>
      <c r="Q22" s="719">
        <v>85.32</v>
      </c>
      <c r="R22" s="475">
        <v>16.7</v>
      </c>
    </row>
    <row r="23" spans="1:22">
      <c r="A23" s="468">
        <v>5</v>
      </c>
      <c r="D23" s="718" t="s">
        <v>118</v>
      </c>
      <c r="E23" s="474">
        <v>800</v>
      </c>
      <c r="F23" s="719">
        <v>102.61</v>
      </c>
      <c r="G23" s="719">
        <v>120.39</v>
      </c>
      <c r="H23" s="719">
        <v>17.78</v>
      </c>
      <c r="I23" s="475">
        <v>17.299999999999997</v>
      </c>
      <c r="J23" s="475"/>
      <c r="K23" s="719">
        <v>2.79</v>
      </c>
      <c r="L23" s="719">
        <v>1.08</v>
      </c>
      <c r="M23" s="719">
        <v>0.46</v>
      </c>
      <c r="N23" s="719">
        <v>0.45</v>
      </c>
      <c r="O23" s="719">
        <v>1.98</v>
      </c>
      <c r="P23" s="719">
        <v>108.92</v>
      </c>
      <c r="Q23" s="719">
        <v>126.69000000000001</v>
      </c>
      <c r="R23" s="475">
        <v>16.3</v>
      </c>
    </row>
    <row r="24" spans="1:22">
      <c r="A24" s="468">
        <v>6</v>
      </c>
      <c r="D24" s="718" t="s">
        <v>118</v>
      </c>
      <c r="E24" s="474">
        <v>1000</v>
      </c>
      <c r="F24" s="719">
        <v>124.94</v>
      </c>
      <c r="G24" s="719">
        <v>146.41000000000003</v>
      </c>
      <c r="H24" s="719">
        <v>21.470000000000027</v>
      </c>
      <c r="I24" s="475">
        <v>17.2</v>
      </c>
      <c r="J24" s="475"/>
      <c r="K24" s="719">
        <v>3.49</v>
      </c>
      <c r="L24" s="719">
        <v>1.35</v>
      </c>
      <c r="M24" s="719">
        <v>0.56000000000000005</v>
      </c>
      <c r="N24" s="719">
        <v>0.54</v>
      </c>
      <c r="O24" s="719">
        <v>2.48</v>
      </c>
      <c r="P24" s="719">
        <v>132.82</v>
      </c>
      <c r="Q24" s="719">
        <v>154.27000000000001</v>
      </c>
      <c r="R24" s="475">
        <v>16.100000000000001</v>
      </c>
      <c r="S24" s="719">
        <v>21.450000000000017</v>
      </c>
    </row>
    <row r="25" spans="1:22">
      <c r="A25" s="468">
        <v>7</v>
      </c>
      <c r="D25" s="718" t="s">
        <v>118</v>
      </c>
      <c r="E25" s="474">
        <v>1500</v>
      </c>
      <c r="F25" s="719">
        <v>180.76000000000002</v>
      </c>
      <c r="G25" s="719">
        <v>211.47</v>
      </c>
      <c r="H25" s="719">
        <v>30.70999999999998</v>
      </c>
      <c r="I25" s="475">
        <v>17</v>
      </c>
      <c r="J25" s="475"/>
      <c r="K25" s="719">
        <v>5.23</v>
      </c>
      <c r="L25" s="719">
        <v>2.0299999999999998</v>
      </c>
      <c r="M25" s="719">
        <v>0.81</v>
      </c>
      <c r="N25" s="719">
        <v>0.79</v>
      </c>
      <c r="O25" s="719">
        <v>3.71</v>
      </c>
      <c r="P25" s="719">
        <v>192.54000000000002</v>
      </c>
      <c r="Q25" s="719">
        <v>223.23</v>
      </c>
      <c r="R25" s="475">
        <v>15.9</v>
      </c>
    </row>
    <row r="26" spans="1:22">
      <c r="A26" s="468">
        <v>8</v>
      </c>
      <c r="D26" s="718" t="s">
        <v>118</v>
      </c>
      <c r="E26" s="474">
        <v>2000</v>
      </c>
      <c r="F26" s="719">
        <v>236.58</v>
      </c>
      <c r="G26" s="719">
        <v>276.52000000000004</v>
      </c>
      <c r="H26" s="719">
        <v>39.940000000000026</v>
      </c>
      <c r="I26" s="475">
        <v>16.900000000000002</v>
      </c>
      <c r="J26" s="475"/>
      <c r="K26" s="719">
        <v>6.97</v>
      </c>
      <c r="L26" s="719">
        <v>2.7</v>
      </c>
      <c r="M26" s="719">
        <v>1.06</v>
      </c>
      <c r="N26" s="719">
        <v>1.03</v>
      </c>
      <c r="O26" s="719">
        <v>4.95</v>
      </c>
      <c r="P26" s="719">
        <v>252.26</v>
      </c>
      <c r="Q26" s="719">
        <v>292.17</v>
      </c>
      <c r="R26" s="475">
        <v>15.8</v>
      </c>
    </row>
    <row r="27" spans="1:22">
      <c r="G27" s="488"/>
      <c r="H27" s="719"/>
      <c r="I27" s="475"/>
      <c r="J27" s="475"/>
      <c r="K27" s="719"/>
      <c r="L27" s="719"/>
      <c r="M27" s="719"/>
      <c r="N27" s="719"/>
      <c r="O27" s="719"/>
      <c r="P27" s="719"/>
      <c r="Q27" s="719"/>
      <c r="R27" s="475"/>
    </row>
    <row r="28" spans="1:22" ht="15.75">
      <c r="C28" s="455" t="s">
        <v>1331</v>
      </c>
      <c r="D28" s="718"/>
      <c r="E28" s="474"/>
      <c r="F28" s="719"/>
      <c r="G28" s="719"/>
      <c r="H28" s="719"/>
      <c r="I28" s="475"/>
      <c r="J28" s="475"/>
      <c r="K28" s="719"/>
      <c r="L28" s="719"/>
      <c r="M28" s="719"/>
      <c r="N28" s="719"/>
      <c r="O28" s="719"/>
      <c r="P28" s="719"/>
      <c r="Q28" s="719"/>
      <c r="R28" s="475"/>
    </row>
    <row r="29" spans="1:22" ht="15.75">
      <c r="C29" s="455" t="s">
        <v>1332</v>
      </c>
      <c r="G29" s="488"/>
      <c r="H29" s="719"/>
      <c r="I29" s="475"/>
      <c r="J29" s="475"/>
      <c r="K29" s="719"/>
      <c r="L29" s="719"/>
      <c r="M29" s="719"/>
      <c r="N29" s="719"/>
      <c r="O29" s="719"/>
      <c r="P29" s="488"/>
      <c r="Q29" s="488"/>
      <c r="R29" s="475"/>
    </row>
    <row r="30" spans="1:22" ht="15.75">
      <c r="C30" s="455" t="s">
        <v>1333</v>
      </c>
      <c r="H30" s="719"/>
      <c r="K30" s="719"/>
      <c r="L30" s="719"/>
      <c r="M30" s="719"/>
      <c r="N30" s="719"/>
      <c r="O30" s="719"/>
    </row>
    <row r="31" spans="1:22" ht="15.75">
      <c r="C31" s="455" t="s">
        <v>1334</v>
      </c>
      <c r="H31" s="719"/>
      <c r="K31" s="719"/>
      <c r="L31" s="719"/>
      <c r="M31" s="719"/>
      <c r="N31" s="719"/>
      <c r="O31" s="719"/>
    </row>
    <row r="32" spans="1:22" ht="15.75">
      <c r="C32" s="455" t="s">
        <v>1335</v>
      </c>
      <c r="H32" s="719"/>
      <c r="K32" s="719"/>
      <c r="L32" s="719"/>
      <c r="M32" s="719"/>
      <c r="N32" s="719"/>
      <c r="O32" s="719"/>
    </row>
    <row r="33" spans="1:18" ht="15.75">
      <c r="C33" s="455" t="s">
        <v>1336</v>
      </c>
      <c r="H33" s="719"/>
      <c r="K33" s="719"/>
      <c r="L33" s="719"/>
      <c r="M33" s="719"/>
      <c r="N33" s="719"/>
      <c r="O33" s="719"/>
    </row>
    <row r="34" spans="1:18" ht="15.75">
      <c r="C34" s="455" t="s">
        <v>1337</v>
      </c>
      <c r="H34" s="719"/>
      <c r="K34" s="719"/>
      <c r="L34" s="719"/>
      <c r="M34" s="719"/>
      <c r="N34" s="719"/>
      <c r="O34" s="719"/>
    </row>
    <row r="35" spans="1:18" ht="15.75">
      <c r="A35" s="452" t="s">
        <v>479</v>
      </c>
      <c r="B35" s="452"/>
      <c r="C35" s="452"/>
      <c r="D35" s="452"/>
      <c r="E35" s="452"/>
      <c r="F35" s="452"/>
      <c r="G35" s="452"/>
      <c r="H35" s="452"/>
      <c r="I35" s="452"/>
      <c r="J35" s="452"/>
      <c r="K35" s="452"/>
      <c r="L35" s="452"/>
      <c r="M35" s="452"/>
      <c r="N35" s="452"/>
      <c r="O35" s="452"/>
      <c r="P35" s="452"/>
      <c r="Q35" s="452"/>
      <c r="R35" s="452"/>
    </row>
    <row r="36" spans="1:18" ht="15.75">
      <c r="A36" s="452" t="s">
        <v>1132</v>
      </c>
      <c r="B36" s="452"/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2"/>
      <c r="O36" s="452"/>
      <c r="P36" s="452"/>
      <c r="Q36" s="452"/>
      <c r="R36" s="452"/>
    </row>
    <row r="37" spans="1:18" ht="15.75">
      <c r="A37" s="452" t="s">
        <v>171</v>
      </c>
      <c r="B37" s="452"/>
      <c r="C37" s="452"/>
      <c r="D37" s="452"/>
      <c r="E37" s="452"/>
      <c r="F37" s="452"/>
      <c r="G37" s="452"/>
      <c r="H37" s="452"/>
      <c r="I37" s="452"/>
      <c r="J37" s="452"/>
      <c r="K37" s="452"/>
      <c r="L37" s="452"/>
      <c r="M37" s="452"/>
      <c r="N37" s="452"/>
      <c r="O37" s="452"/>
      <c r="P37" s="452"/>
      <c r="Q37" s="452"/>
      <c r="R37" s="452"/>
    </row>
    <row r="38" spans="1:18" ht="15.75">
      <c r="A38" s="452" t="s">
        <v>2</v>
      </c>
      <c r="B38" s="452"/>
      <c r="C38" s="452"/>
      <c r="D38" s="452"/>
      <c r="E38" s="452"/>
      <c r="F38" s="452"/>
      <c r="G38" s="452"/>
      <c r="H38" s="452"/>
      <c r="I38" s="452"/>
      <c r="J38" s="452"/>
      <c r="K38" s="452"/>
      <c r="L38" s="452"/>
      <c r="M38" s="452"/>
      <c r="N38" s="452"/>
      <c r="O38" s="452"/>
      <c r="P38" s="452"/>
      <c r="Q38" s="452"/>
      <c r="R38" s="452"/>
    </row>
    <row r="39" spans="1:18" ht="15.75">
      <c r="A39" s="455"/>
      <c r="B39" s="453"/>
      <c r="C39" s="453"/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</row>
    <row r="40" spans="1:18" ht="15.75">
      <c r="A40" s="453" t="s">
        <v>539</v>
      </c>
      <c r="B40" s="453"/>
      <c r="C40" s="453"/>
      <c r="D40" s="45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5" t="s">
        <v>172</v>
      </c>
      <c r="R40" s="453"/>
    </row>
    <row r="41" spans="1:18" ht="15.75">
      <c r="A41" s="453" t="s">
        <v>333</v>
      </c>
      <c r="B41" s="453"/>
      <c r="C41" s="453"/>
      <c r="D41" s="453"/>
      <c r="E41" s="453"/>
      <c r="F41" s="453"/>
      <c r="G41" s="453"/>
      <c r="H41" s="453"/>
      <c r="I41" s="453"/>
      <c r="J41" s="453"/>
      <c r="K41" s="453"/>
      <c r="L41" s="453"/>
      <c r="M41" s="453"/>
      <c r="N41" s="453"/>
      <c r="O41" s="453"/>
      <c r="P41" s="453"/>
      <c r="Q41" s="455" t="s">
        <v>120</v>
      </c>
      <c r="R41" s="453"/>
    </row>
    <row r="42" spans="1:18" ht="15.75">
      <c r="A42" s="455" t="s">
        <v>100</v>
      </c>
      <c r="B42" s="453"/>
      <c r="C42" s="453"/>
      <c r="D42" s="453"/>
      <c r="E42" s="453"/>
      <c r="F42" s="453"/>
      <c r="G42" s="453"/>
      <c r="H42" s="453"/>
      <c r="I42" s="453"/>
      <c r="J42" s="453"/>
      <c r="K42" s="453"/>
      <c r="L42" s="453"/>
      <c r="M42" s="453"/>
      <c r="N42" s="453"/>
      <c r="O42" s="453"/>
      <c r="P42" s="453"/>
      <c r="Q42" s="455" t="s">
        <v>3</v>
      </c>
      <c r="R42" s="453"/>
    </row>
    <row r="43" spans="1:18" ht="15.75">
      <c r="A43" s="465" t="s">
        <v>1135</v>
      </c>
      <c r="B43" s="453"/>
      <c r="C43" s="453"/>
      <c r="D43" s="453"/>
      <c r="E43" s="453"/>
      <c r="F43" s="453"/>
      <c r="G43" s="453"/>
      <c r="H43" s="453"/>
      <c r="I43" s="453"/>
      <c r="J43" s="453"/>
      <c r="K43" s="453"/>
      <c r="L43" s="453"/>
      <c r="M43" s="453"/>
      <c r="N43" s="453"/>
      <c r="O43" s="453"/>
      <c r="P43" s="453"/>
      <c r="Q43" s="453" t="s">
        <v>970</v>
      </c>
      <c r="R43" s="453"/>
    </row>
    <row r="44" spans="1:18">
      <c r="A44" s="765" t="s">
        <v>426</v>
      </c>
      <c r="B44" s="765"/>
      <c r="C44" s="765"/>
      <c r="D44" s="765"/>
      <c r="E44" s="765"/>
      <c r="F44" s="765"/>
      <c r="G44" s="765"/>
      <c r="H44" s="765"/>
      <c r="I44" s="765"/>
      <c r="J44" s="765"/>
      <c r="K44" s="765"/>
      <c r="L44" s="765"/>
      <c r="M44" s="765"/>
      <c r="N44" s="765"/>
      <c r="O44" s="765"/>
      <c r="P44" s="765"/>
      <c r="Q44" s="765"/>
      <c r="R44" s="765"/>
    </row>
    <row r="45" spans="1:18" ht="15.75">
      <c r="A45" s="459"/>
      <c r="B45" s="459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</row>
    <row r="46" spans="1:18" ht="15.75">
      <c r="A46" s="453"/>
      <c r="B46" s="453"/>
      <c r="C46" s="453"/>
      <c r="D46" s="453"/>
      <c r="E46" s="453"/>
      <c r="F46" s="453"/>
      <c r="G46" s="453"/>
      <c r="H46" s="453"/>
      <c r="I46" s="453"/>
      <c r="J46" s="453"/>
      <c r="K46" s="453"/>
      <c r="L46" s="453"/>
      <c r="M46" s="453"/>
      <c r="N46" s="453"/>
      <c r="O46" s="453"/>
      <c r="P46" s="453"/>
      <c r="Q46" s="453"/>
      <c r="R46" s="453"/>
    </row>
    <row r="47" spans="1:18" ht="15.75">
      <c r="A47" s="453"/>
      <c r="B47" s="453"/>
      <c r="C47" s="453"/>
      <c r="D47" s="453"/>
      <c r="E47" s="453"/>
      <c r="F47" s="711" t="s">
        <v>374</v>
      </c>
      <c r="G47" s="711"/>
      <c r="H47" s="711"/>
      <c r="I47" s="711"/>
      <c r="J47" s="452"/>
      <c r="K47" s="766" t="s">
        <v>357</v>
      </c>
      <c r="L47" s="766"/>
      <c r="M47" s="766"/>
      <c r="N47" s="766"/>
      <c r="O47" s="766"/>
      <c r="P47" s="462" t="s">
        <v>11</v>
      </c>
      <c r="Q47" s="462" t="s">
        <v>11</v>
      </c>
      <c r="R47" s="453"/>
    </row>
    <row r="48" spans="1:18" ht="17.100000000000001" customHeight="1">
      <c r="A48" s="453"/>
      <c r="B48" s="453"/>
      <c r="C48" s="453"/>
      <c r="D48" s="462" t="s">
        <v>101</v>
      </c>
      <c r="E48" s="462" t="s">
        <v>101</v>
      </c>
      <c r="F48" s="453"/>
      <c r="G48" s="453"/>
      <c r="H48" s="462" t="s">
        <v>102</v>
      </c>
      <c r="I48" s="462" t="s">
        <v>103</v>
      </c>
      <c r="J48" s="462"/>
      <c r="K48" s="453"/>
      <c r="L48" s="453"/>
      <c r="O48" s="453"/>
      <c r="P48" s="462" t="s">
        <v>8</v>
      </c>
      <c r="Q48" s="462" t="s">
        <v>6</v>
      </c>
      <c r="R48" s="462" t="s">
        <v>103</v>
      </c>
    </row>
    <row r="49" spans="1:21" ht="15.75">
      <c r="A49" s="453"/>
      <c r="B49" s="453"/>
      <c r="C49" s="453"/>
      <c r="D49" s="462" t="s">
        <v>104</v>
      </c>
      <c r="E49" s="462" t="s">
        <v>104</v>
      </c>
      <c r="F49" s="462" t="s">
        <v>8</v>
      </c>
      <c r="G49" s="462" t="s">
        <v>6</v>
      </c>
      <c r="H49" s="462" t="s">
        <v>105</v>
      </c>
      <c r="I49" s="462" t="s">
        <v>105</v>
      </c>
      <c r="J49" s="462"/>
      <c r="K49" s="462" t="s">
        <v>252</v>
      </c>
      <c r="L49" s="462" t="s">
        <v>252</v>
      </c>
      <c r="M49" s="462" t="s">
        <v>252</v>
      </c>
      <c r="N49" s="462" t="s">
        <v>252</v>
      </c>
      <c r="O49" s="462" t="s">
        <v>252</v>
      </c>
      <c r="P49" s="462" t="s">
        <v>106</v>
      </c>
      <c r="Q49" s="462" t="s">
        <v>106</v>
      </c>
      <c r="R49" s="462" t="s">
        <v>105</v>
      </c>
    </row>
    <row r="50" spans="1:21" ht="15.75">
      <c r="A50" s="462" t="s">
        <v>17</v>
      </c>
      <c r="B50" s="453"/>
      <c r="C50" s="455" t="s">
        <v>18</v>
      </c>
      <c r="D50" s="462" t="s">
        <v>108</v>
      </c>
      <c r="E50" s="462" t="s">
        <v>109</v>
      </c>
      <c r="F50" s="544" t="s">
        <v>1040</v>
      </c>
      <c r="G50" s="544" t="s">
        <v>1040</v>
      </c>
      <c r="H50" s="464" t="s">
        <v>110</v>
      </c>
      <c r="I50" s="464" t="s">
        <v>111</v>
      </c>
      <c r="J50" s="462"/>
      <c r="K50" s="462" t="s">
        <v>355</v>
      </c>
      <c r="L50" s="544" t="s">
        <v>255</v>
      </c>
      <c r="M50" s="544" t="s">
        <v>534</v>
      </c>
      <c r="N50" s="462" t="s">
        <v>1037</v>
      </c>
      <c r="O50" s="544" t="s">
        <v>831</v>
      </c>
      <c r="P50" s="713" t="s">
        <v>1035</v>
      </c>
      <c r="Q50" s="713" t="s">
        <v>1036</v>
      </c>
      <c r="R50" s="713" t="s">
        <v>968</v>
      </c>
    </row>
    <row r="51" spans="1:21" ht="15.75">
      <c r="A51" s="712" t="s">
        <v>22</v>
      </c>
      <c r="B51" s="714"/>
      <c r="C51" s="715" t="s">
        <v>23</v>
      </c>
      <c r="D51" s="716" t="s">
        <v>33</v>
      </c>
      <c r="E51" s="716" t="s">
        <v>34</v>
      </c>
      <c r="F51" s="716" t="s">
        <v>35</v>
      </c>
      <c r="G51" s="716" t="s">
        <v>36</v>
      </c>
      <c r="H51" s="716" t="s">
        <v>37</v>
      </c>
      <c r="I51" s="716" t="s">
        <v>38</v>
      </c>
      <c r="J51" s="716"/>
      <c r="K51" s="716" t="s">
        <v>39</v>
      </c>
      <c r="L51" s="716" t="s">
        <v>40</v>
      </c>
      <c r="M51" s="716" t="s">
        <v>1032</v>
      </c>
      <c r="N51" s="716" t="s">
        <v>1033</v>
      </c>
      <c r="O51" s="717" t="s">
        <v>42</v>
      </c>
      <c r="P51" s="717" t="s">
        <v>43</v>
      </c>
      <c r="Q51" s="717" t="s">
        <v>44</v>
      </c>
      <c r="R51" s="717" t="s">
        <v>45</v>
      </c>
    </row>
    <row r="52" spans="1:21" ht="15.75">
      <c r="A52" s="453"/>
      <c r="B52" s="453"/>
      <c r="C52" s="453"/>
      <c r="D52" s="467" t="s">
        <v>117</v>
      </c>
      <c r="E52" s="467" t="s">
        <v>49</v>
      </c>
      <c r="F52" s="467" t="s">
        <v>50</v>
      </c>
      <c r="G52" s="467" t="s">
        <v>50</v>
      </c>
      <c r="H52" s="467" t="s">
        <v>50</v>
      </c>
      <c r="I52" s="467" t="s">
        <v>51</v>
      </c>
      <c r="J52" s="467"/>
      <c r="K52" s="467" t="s">
        <v>50</v>
      </c>
      <c r="L52" s="467" t="s">
        <v>50</v>
      </c>
      <c r="M52" s="467" t="s">
        <v>50</v>
      </c>
      <c r="N52" s="467" t="s">
        <v>50</v>
      </c>
      <c r="O52" s="467" t="s">
        <v>50</v>
      </c>
      <c r="P52" s="467" t="s">
        <v>50</v>
      </c>
      <c r="Q52" s="467" t="s">
        <v>50</v>
      </c>
      <c r="R52" s="467" t="s">
        <v>51</v>
      </c>
    </row>
    <row r="53" spans="1:21" ht="15.75">
      <c r="A53" s="468">
        <v>1</v>
      </c>
      <c r="C53" s="455" t="s">
        <v>91</v>
      </c>
      <c r="D53" s="468">
        <v>5</v>
      </c>
      <c r="E53" s="474">
        <v>2000</v>
      </c>
      <c r="F53" s="719">
        <v>259.58000000000004</v>
      </c>
      <c r="G53" s="719">
        <v>295.75</v>
      </c>
      <c r="H53" s="719">
        <v>36.169999999999959</v>
      </c>
      <c r="I53" s="511">
        <v>13.900000000000002</v>
      </c>
      <c r="J53" s="511"/>
      <c r="K53" s="719">
        <v>6.97</v>
      </c>
      <c r="L53" s="719">
        <v>7.01</v>
      </c>
      <c r="M53" s="719">
        <v>1.32</v>
      </c>
      <c r="N53" s="719">
        <v>1.31</v>
      </c>
      <c r="O53" s="719">
        <v>4.95</v>
      </c>
      <c r="P53" s="719">
        <v>279.83000000000004</v>
      </c>
      <c r="Q53" s="719">
        <v>315.99</v>
      </c>
      <c r="R53" s="475">
        <v>12.9</v>
      </c>
      <c r="T53" s="1" t="s">
        <v>1352</v>
      </c>
      <c r="U53" s="4">
        <f>MAX(R53:R73)</f>
        <v>14.6</v>
      </c>
    </row>
    <row r="54" spans="1:21">
      <c r="A54" s="468">
        <v>2</v>
      </c>
      <c r="D54" s="468">
        <v>10</v>
      </c>
      <c r="E54" s="474">
        <v>4000</v>
      </c>
      <c r="F54" s="719">
        <v>489.15</v>
      </c>
      <c r="G54" s="719">
        <v>561.5</v>
      </c>
      <c r="H54" s="719">
        <v>72.350000000000023</v>
      </c>
      <c r="I54" s="511">
        <v>14.799999999999999</v>
      </c>
      <c r="J54" s="511"/>
      <c r="K54" s="719">
        <v>13.95</v>
      </c>
      <c r="L54" s="719">
        <v>14.01</v>
      </c>
      <c r="M54" s="719">
        <v>2.4500000000000002</v>
      </c>
      <c r="N54" s="719">
        <v>2.46</v>
      </c>
      <c r="O54" s="719">
        <v>9.9</v>
      </c>
      <c r="P54" s="719">
        <v>529.46</v>
      </c>
      <c r="Q54" s="719">
        <v>601.82000000000005</v>
      </c>
      <c r="R54" s="475">
        <v>13.700000000000001</v>
      </c>
      <c r="T54" s="1" t="s">
        <v>1353</v>
      </c>
      <c r="U54" s="4">
        <f>MIN(R53:R73)</f>
        <v>12.9</v>
      </c>
    </row>
    <row r="55" spans="1:21">
      <c r="A55" s="468">
        <v>3</v>
      </c>
      <c r="D55" s="468">
        <v>10</v>
      </c>
      <c r="E55" s="474">
        <v>6000</v>
      </c>
      <c r="F55" s="719">
        <v>718.73</v>
      </c>
      <c r="G55" s="719">
        <v>827.24</v>
      </c>
      <c r="H55" s="719">
        <v>108.50999999999999</v>
      </c>
      <c r="I55" s="511">
        <v>15.1</v>
      </c>
      <c r="J55" s="511"/>
      <c r="K55" s="719">
        <v>20.92</v>
      </c>
      <c r="L55" s="719">
        <v>21.02</v>
      </c>
      <c r="M55" s="719">
        <v>3.58</v>
      </c>
      <c r="N55" s="719">
        <v>3.61</v>
      </c>
      <c r="O55" s="719">
        <v>14.85</v>
      </c>
      <c r="P55" s="719">
        <v>779.1</v>
      </c>
      <c r="Q55" s="719">
        <v>887.64</v>
      </c>
      <c r="R55" s="511">
        <v>13.900000000000002</v>
      </c>
    </row>
    <row r="56" spans="1:21">
      <c r="A56" s="468">
        <v>4</v>
      </c>
      <c r="D56" s="468">
        <v>30</v>
      </c>
      <c r="E56" s="474">
        <v>6000</v>
      </c>
      <c r="F56" s="719">
        <v>878.93000000000006</v>
      </c>
      <c r="G56" s="719">
        <v>1012.64</v>
      </c>
      <c r="H56" s="719">
        <v>133.70999999999992</v>
      </c>
      <c r="I56" s="511">
        <v>15.2</v>
      </c>
      <c r="J56" s="511"/>
      <c r="K56" s="719">
        <v>20.92</v>
      </c>
      <c r="L56" s="719">
        <v>21.02</v>
      </c>
      <c r="M56" s="719">
        <v>4.62</v>
      </c>
      <c r="N56" s="719">
        <v>4.62</v>
      </c>
      <c r="O56" s="719">
        <v>14.85</v>
      </c>
      <c r="P56" s="719">
        <v>940.34</v>
      </c>
      <c r="Q56" s="719">
        <v>1074.0499999999997</v>
      </c>
      <c r="R56" s="511">
        <v>14.2</v>
      </c>
    </row>
    <row r="57" spans="1:21">
      <c r="A57" s="468">
        <v>5</v>
      </c>
      <c r="D57" s="468">
        <v>30</v>
      </c>
      <c r="E57" s="474">
        <v>9000</v>
      </c>
      <c r="F57" s="719">
        <v>1102.79</v>
      </c>
      <c r="G57" s="719">
        <v>1271.77</v>
      </c>
      <c r="H57" s="719">
        <v>168.98000000000002</v>
      </c>
      <c r="I57" s="511">
        <v>15.299999999999999</v>
      </c>
      <c r="J57" s="511"/>
      <c r="K57" s="719">
        <v>31.38</v>
      </c>
      <c r="L57" s="719">
        <v>31.53</v>
      </c>
      <c r="M57" s="719">
        <v>5.54</v>
      </c>
      <c r="N57" s="719">
        <v>5.58</v>
      </c>
      <c r="O57" s="719">
        <v>22.28</v>
      </c>
      <c r="P57" s="719">
        <v>1193.52</v>
      </c>
      <c r="Q57" s="719">
        <v>1362.54</v>
      </c>
      <c r="R57" s="511">
        <v>14.2</v>
      </c>
    </row>
    <row r="58" spans="1:21">
      <c r="A58" s="468">
        <v>6</v>
      </c>
      <c r="D58" s="468">
        <v>30</v>
      </c>
      <c r="E58" s="474">
        <v>12000</v>
      </c>
      <c r="F58" s="719">
        <v>1326.64</v>
      </c>
      <c r="G58" s="719">
        <v>1530.9</v>
      </c>
      <c r="H58" s="719">
        <v>204.26</v>
      </c>
      <c r="I58" s="511">
        <v>15.4</v>
      </c>
      <c r="J58" s="511"/>
      <c r="K58" s="719">
        <v>41.85</v>
      </c>
      <c r="L58" s="719">
        <v>42.04</v>
      </c>
      <c r="M58" s="719">
        <v>6.45</v>
      </c>
      <c r="N58" s="719">
        <v>6.54</v>
      </c>
      <c r="O58" s="719">
        <v>29.7</v>
      </c>
      <c r="P58" s="719">
        <v>1446.68</v>
      </c>
      <c r="Q58" s="719">
        <v>1651.03</v>
      </c>
      <c r="R58" s="511">
        <v>14.099999999999998</v>
      </c>
    </row>
    <row r="59" spans="1:21">
      <c r="A59" s="468">
        <v>7</v>
      </c>
      <c r="D59" s="468">
        <v>50</v>
      </c>
      <c r="E59" s="474">
        <v>10000</v>
      </c>
      <c r="F59" s="719">
        <v>1391.01</v>
      </c>
      <c r="G59" s="719">
        <v>1605.3400000000001</v>
      </c>
      <c r="H59" s="719">
        <v>214.33000000000015</v>
      </c>
      <c r="I59" s="511">
        <v>15.4</v>
      </c>
      <c r="J59" s="511"/>
      <c r="K59" s="719">
        <v>34.869999999999997</v>
      </c>
      <c r="L59" s="719">
        <v>35.03</v>
      </c>
      <c r="M59" s="719">
        <v>7.23</v>
      </c>
      <c r="N59" s="719">
        <v>7.25</v>
      </c>
      <c r="O59" s="719">
        <v>24.75</v>
      </c>
      <c r="P59" s="719">
        <v>1492.8899999999999</v>
      </c>
      <c r="Q59" s="719">
        <v>1707.24</v>
      </c>
      <c r="R59" s="511">
        <v>14.399999999999999</v>
      </c>
    </row>
    <row r="60" spans="1:21">
      <c r="A60" s="468">
        <v>8</v>
      </c>
      <c r="D60" s="468">
        <v>50</v>
      </c>
      <c r="E60" s="474">
        <v>15000</v>
      </c>
      <c r="F60" s="719">
        <v>1764.1</v>
      </c>
      <c r="G60" s="719">
        <v>2037.2200000000003</v>
      </c>
      <c r="H60" s="719">
        <v>273.12000000000035</v>
      </c>
      <c r="I60" s="511">
        <v>15.5</v>
      </c>
      <c r="J60" s="511"/>
      <c r="K60" s="719">
        <v>52.31</v>
      </c>
      <c r="L60" s="719">
        <v>52.55</v>
      </c>
      <c r="M60" s="719">
        <v>8.75</v>
      </c>
      <c r="N60" s="719">
        <v>8.85</v>
      </c>
      <c r="O60" s="719">
        <v>37.130000000000003</v>
      </c>
      <c r="P60" s="719">
        <v>1914.84</v>
      </c>
      <c r="Q60" s="719">
        <v>2188.0600000000004</v>
      </c>
      <c r="R60" s="511">
        <v>14.299999999999999</v>
      </c>
    </row>
    <row r="61" spans="1:21">
      <c r="A61" s="468">
        <v>9</v>
      </c>
      <c r="D61" s="468">
        <v>50</v>
      </c>
      <c r="E61" s="474">
        <v>20000</v>
      </c>
      <c r="F61" s="719">
        <v>2137.1999999999998</v>
      </c>
      <c r="G61" s="719">
        <v>2469.1000000000004</v>
      </c>
      <c r="H61" s="719">
        <v>331.90000000000055</v>
      </c>
      <c r="I61" s="511">
        <v>15.5</v>
      </c>
      <c r="J61" s="511"/>
      <c r="K61" s="719">
        <v>69.739999999999995</v>
      </c>
      <c r="L61" s="719">
        <v>70.06</v>
      </c>
      <c r="M61" s="719">
        <v>10.27</v>
      </c>
      <c r="N61" s="719">
        <v>10.45</v>
      </c>
      <c r="O61" s="719">
        <v>49.5</v>
      </c>
      <c r="P61" s="719">
        <v>2336.7699999999995</v>
      </c>
      <c r="Q61" s="719">
        <v>2668.85</v>
      </c>
      <c r="R61" s="511">
        <v>14.2</v>
      </c>
    </row>
    <row r="62" spans="1:21">
      <c r="A62" s="468">
        <v>10</v>
      </c>
      <c r="D62" s="468">
        <v>75</v>
      </c>
      <c r="E62" s="474">
        <v>15000</v>
      </c>
      <c r="F62" s="719">
        <v>2031.1</v>
      </c>
      <c r="G62" s="719">
        <v>2346.2200000000003</v>
      </c>
      <c r="H62" s="719">
        <v>315.12000000000035</v>
      </c>
      <c r="I62" s="511">
        <v>15.5</v>
      </c>
      <c r="J62" s="511"/>
      <c r="K62" s="719">
        <v>52.31</v>
      </c>
      <c r="L62" s="719">
        <v>52.55</v>
      </c>
      <c r="M62" s="719">
        <v>10.48</v>
      </c>
      <c r="N62" s="719">
        <v>10.53</v>
      </c>
      <c r="O62" s="719">
        <v>37.130000000000003</v>
      </c>
      <c r="P62" s="719">
        <v>2183.5700000000002</v>
      </c>
      <c r="Q62" s="719">
        <v>2498.7400000000007</v>
      </c>
      <c r="R62" s="511">
        <v>14.399999999999999</v>
      </c>
    </row>
    <row r="63" spans="1:21">
      <c r="A63" s="468">
        <v>11</v>
      </c>
      <c r="D63" s="468">
        <v>75</v>
      </c>
      <c r="E63" s="474">
        <v>20000</v>
      </c>
      <c r="F63" s="719">
        <v>2404.1999999999998</v>
      </c>
      <c r="G63" s="719">
        <v>2778.1000000000004</v>
      </c>
      <c r="H63" s="719">
        <v>373.90000000000055</v>
      </c>
      <c r="I63" s="511">
        <v>15.6</v>
      </c>
      <c r="J63" s="511"/>
      <c r="K63" s="719">
        <v>69.739999999999995</v>
      </c>
      <c r="L63" s="719">
        <v>70.06</v>
      </c>
      <c r="M63" s="719">
        <v>12</v>
      </c>
      <c r="N63" s="719">
        <v>12.13</v>
      </c>
      <c r="O63" s="719">
        <v>49.5</v>
      </c>
      <c r="P63" s="719">
        <v>2605.4999999999995</v>
      </c>
      <c r="Q63" s="719">
        <v>2979.53</v>
      </c>
      <c r="R63" s="511">
        <v>14.399999999999999</v>
      </c>
    </row>
    <row r="64" spans="1:21">
      <c r="A64" s="468">
        <v>12</v>
      </c>
      <c r="D64" s="468">
        <v>75</v>
      </c>
      <c r="E64" s="474">
        <v>30000</v>
      </c>
      <c r="F64" s="719">
        <v>3133.04</v>
      </c>
      <c r="G64" s="719">
        <v>3621.78</v>
      </c>
      <c r="H64" s="719">
        <v>488.74000000000024</v>
      </c>
      <c r="I64" s="511">
        <v>15.6</v>
      </c>
      <c r="J64" s="511"/>
      <c r="K64" s="719">
        <v>104.62</v>
      </c>
      <c r="L64" s="719">
        <v>105.09</v>
      </c>
      <c r="M64" s="719">
        <v>14.93</v>
      </c>
      <c r="N64" s="719">
        <v>15.22</v>
      </c>
      <c r="O64" s="719">
        <v>74.25</v>
      </c>
      <c r="P64" s="719">
        <v>3431.93</v>
      </c>
      <c r="Q64" s="719">
        <v>3920.96</v>
      </c>
      <c r="R64" s="511">
        <v>14.2</v>
      </c>
    </row>
    <row r="65" spans="1:18">
      <c r="A65" s="468">
        <v>13</v>
      </c>
      <c r="D65" s="468">
        <v>100</v>
      </c>
      <c r="E65" s="474">
        <v>20000</v>
      </c>
      <c r="F65" s="719">
        <v>2671.2</v>
      </c>
      <c r="G65" s="719">
        <v>3087.1</v>
      </c>
      <c r="H65" s="719">
        <v>415.90000000000009</v>
      </c>
      <c r="I65" s="511">
        <v>15.6</v>
      </c>
      <c r="J65" s="511"/>
      <c r="K65" s="719">
        <v>69.739999999999995</v>
      </c>
      <c r="L65" s="719">
        <v>70.06</v>
      </c>
      <c r="M65" s="719">
        <v>13.74</v>
      </c>
      <c r="N65" s="719">
        <v>13.82</v>
      </c>
      <c r="O65" s="719">
        <v>49.5</v>
      </c>
      <c r="P65" s="719">
        <v>2874.2399999999993</v>
      </c>
      <c r="Q65" s="719">
        <v>3290.22</v>
      </c>
      <c r="R65" s="511">
        <v>14.499999999999998</v>
      </c>
    </row>
    <row r="66" spans="1:18">
      <c r="A66" s="468">
        <v>14</v>
      </c>
      <c r="D66" s="468">
        <v>100</v>
      </c>
      <c r="E66" s="474">
        <v>30000</v>
      </c>
      <c r="F66" s="719">
        <v>3417.39</v>
      </c>
      <c r="G66" s="719">
        <v>3950.8599999999997</v>
      </c>
      <c r="H66" s="719">
        <v>533.4699999999998</v>
      </c>
      <c r="I66" s="511">
        <v>15.6</v>
      </c>
      <c r="J66" s="511"/>
      <c r="K66" s="719">
        <v>104.62</v>
      </c>
      <c r="L66" s="719">
        <v>105.09</v>
      </c>
      <c r="M66" s="719">
        <v>16.78</v>
      </c>
      <c r="N66" s="719">
        <v>17.02</v>
      </c>
      <c r="O66" s="719">
        <v>74.25</v>
      </c>
      <c r="P66" s="719">
        <v>3718.13</v>
      </c>
      <c r="Q66" s="719">
        <v>4251.84</v>
      </c>
      <c r="R66" s="511">
        <v>14.399999999999999</v>
      </c>
    </row>
    <row r="67" spans="1:18">
      <c r="A67" s="468">
        <v>15</v>
      </c>
      <c r="D67" s="468">
        <v>100</v>
      </c>
      <c r="E67" s="474">
        <v>40000</v>
      </c>
      <c r="F67" s="719">
        <v>4117.3200000000006</v>
      </c>
      <c r="G67" s="719">
        <v>4761.08</v>
      </c>
      <c r="H67" s="719">
        <v>643.75999999999931</v>
      </c>
      <c r="I67" s="511">
        <v>15.6</v>
      </c>
      <c r="J67" s="511"/>
      <c r="K67" s="719">
        <v>139.49</v>
      </c>
      <c r="L67" s="719">
        <v>140.12</v>
      </c>
      <c r="M67" s="719">
        <v>19.52</v>
      </c>
      <c r="N67" s="719">
        <v>19.93</v>
      </c>
      <c r="O67" s="719">
        <v>99</v>
      </c>
      <c r="P67" s="719">
        <v>4515.4500000000007</v>
      </c>
      <c r="Q67" s="719">
        <v>5159.62</v>
      </c>
      <c r="R67" s="511">
        <v>14.299999999999999</v>
      </c>
    </row>
    <row r="68" spans="1:18">
      <c r="A68" s="468">
        <v>16</v>
      </c>
      <c r="D68" s="468">
        <v>300</v>
      </c>
      <c r="E68" s="474">
        <v>60000</v>
      </c>
      <c r="F68" s="719">
        <v>7791.96</v>
      </c>
      <c r="G68" s="719">
        <v>9014.14</v>
      </c>
      <c r="H68" s="719">
        <v>1222.1799999999994</v>
      </c>
      <c r="I68" s="511">
        <v>15.7</v>
      </c>
      <c r="J68" s="511"/>
      <c r="K68" s="719">
        <v>209.23</v>
      </c>
      <c r="L68" s="719">
        <v>210.18</v>
      </c>
      <c r="M68" s="719">
        <v>39.770000000000003</v>
      </c>
      <c r="N68" s="719">
        <v>40.11</v>
      </c>
      <c r="O68" s="719">
        <v>148.5</v>
      </c>
      <c r="P68" s="719">
        <v>8399.64</v>
      </c>
      <c r="Q68" s="719">
        <v>9622.16</v>
      </c>
      <c r="R68" s="511">
        <v>14.6</v>
      </c>
    </row>
    <row r="69" spans="1:18">
      <c r="A69" s="468">
        <v>17</v>
      </c>
      <c r="D69" s="468">
        <v>300</v>
      </c>
      <c r="E69" s="474">
        <v>90000</v>
      </c>
      <c r="F69" s="719">
        <v>10030.530000000001</v>
      </c>
      <c r="G69" s="719">
        <v>11605.42</v>
      </c>
      <c r="H69" s="719">
        <v>1574.8899999999994</v>
      </c>
      <c r="I69" s="511">
        <v>15.7</v>
      </c>
      <c r="J69" s="511"/>
      <c r="K69" s="719">
        <v>313.85000000000002</v>
      </c>
      <c r="L69" s="719">
        <v>315.27</v>
      </c>
      <c r="M69" s="719">
        <v>48.89</v>
      </c>
      <c r="N69" s="719">
        <v>49.71</v>
      </c>
      <c r="O69" s="719">
        <v>222.75</v>
      </c>
      <c r="P69" s="719">
        <v>10931.29</v>
      </c>
      <c r="Q69" s="719">
        <v>12507</v>
      </c>
      <c r="R69" s="511">
        <v>14.399999999999999</v>
      </c>
    </row>
    <row r="70" spans="1:18">
      <c r="A70" s="468">
        <v>18</v>
      </c>
      <c r="D70" s="468">
        <v>300</v>
      </c>
      <c r="E70" s="474">
        <v>120000</v>
      </c>
      <c r="F70" s="719">
        <v>11991.58</v>
      </c>
      <c r="G70" s="719">
        <v>13875.42</v>
      </c>
      <c r="H70" s="719">
        <v>1883.8400000000001</v>
      </c>
      <c r="I70" s="511">
        <v>15.7</v>
      </c>
      <c r="J70" s="511"/>
      <c r="K70" s="719">
        <v>418.47</v>
      </c>
      <c r="L70" s="719">
        <v>420.36</v>
      </c>
      <c r="M70" s="719">
        <v>56.21</v>
      </c>
      <c r="N70" s="719">
        <v>57.55</v>
      </c>
      <c r="O70" s="719">
        <v>297</v>
      </c>
      <c r="P70" s="719">
        <v>13183.619999999999</v>
      </c>
      <c r="Q70" s="719">
        <v>15068.8</v>
      </c>
      <c r="R70" s="511">
        <v>14.299999999999999</v>
      </c>
    </row>
    <row r="71" spans="1:18">
      <c r="A71" s="468">
        <v>19</v>
      </c>
      <c r="D71" s="468">
        <v>500</v>
      </c>
      <c r="E71" s="474">
        <v>100000</v>
      </c>
      <c r="F71" s="719">
        <v>12912.720000000001</v>
      </c>
      <c r="G71" s="719">
        <v>14941.18</v>
      </c>
      <c r="H71" s="719">
        <v>2028.4599999999991</v>
      </c>
      <c r="I71" s="511">
        <v>15.7</v>
      </c>
      <c r="J71" s="511"/>
      <c r="K71" s="719">
        <v>348.72</v>
      </c>
      <c r="L71" s="719">
        <v>350.3</v>
      </c>
      <c r="M71" s="719">
        <v>65.8</v>
      </c>
      <c r="N71" s="719">
        <v>66.41</v>
      </c>
      <c r="O71" s="719">
        <v>247.5</v>
      </c>
      <c r="P71" s="719">
        <v>13925.039999999999</v>
      </c>
      <c r="Q71" s="719">
        <v>15954.109999999999</v>
      </c>
      <c r="R71" s="511">
        <v>14.6</v>
      </c>
    </row>
    <row r="72" spans="1:18">
      <c r="A72" s="468">
        <v>20</v>
      </c>
      <c r="D72" s="468">
        <v>500</v>
      </c>
      <c r="E72" s="474">
        <v>200000</v>
      </c>
      <c r="F72" s="719">
        <v>19865.84</v>
      </c>
      <c r="G72" s="719">
        <v>22989.759999999998</v>
      </c>
      <c r="H72" s="719">
        <v>3123.9199999999983</v>
      </c>
      <c r="I72" s="511">
        <v>15.7</v>
      </c>
      <c r="J72" s="511"/>
      <c r="K72" s="719">
        <v>697.44</v>
      </c>
      <c r="L72" s="719">
        <v>700.6</v>
      </c>
      <c r="M72" s="719">
        <v>92.9</v>
      </c>
      <c r="N72" s="719">
        <v>95.17</v>
      </c>
      <c r="O72" s="719">
        <v>495</v>
      </c>
      <c r="P72" s="719">
        <v>21851.78</v>
      </c>
      <c r="Q72" s="719">
        <v>24977.969999999994</v>
      </c>
      <c r="R72" s="511">
        <v>14.299999999999999</v>
      </c>
    </row>
    <row r="73" spans="1:18">
      <c r="A73" s="468">
        <v>21</v>
      </c>
      <c r="D73" s="468">
        <v>500</v>
      </c>
      <c r="E73" s="474">
        <v>300000</v>
      </c>
      <c r="F73" s="719">
        <v>26171.440000000002</v>
      </c>
      <c r="G73" s="719">
        <v>30288.659999999996</v>
      </c>
      <c r="H73" s="719">
        <v>4117.2199999999939</v>
      </c>
      <c r="I73" s="511">
        <v>15.7</v>
      </c>
      <c r="J73" s="511"/>
      <c r="K73" s="719">
        <v>1046.1600000000001</v>
      </c>
      <c r="L73" s="719">
        <v>1050.9000000000001</v>
      </c>
      <c r="M73" s="719">
        <v>115.8</v>
      </c>
      <c r="N73" s="719">
        <v>119.85</v>
      </c>
      <c r="O73" s="719">
        <v>742.5</v>
      </c>
      <c r="P73" s="719">
        <v>29126.800000000003</v>
      </c>
      <c r="Q73" s="719">
        <v>33248.069999999992</v>
      </c>
      <c r="R73" s="511">
        <v>14.099999999999998</v>
      </c>
    </row>
    <row r="74" spans="1:18">
      <c r="E74" s="474"/>
      <c r="F74" s="719"/>
      <c r="G74" s="719"/>
      <c r="H74" s="719"/>
      <c r="I74" s="511"/>
      <c r="J74" s="511"/>
      <c r="K74" s="719"/>
      <c r="L74" s="719"/>
      <c r="M74" s="719"/>
      <c r="N74" s="719"/>
      <c r="O74" s="719"/>
      <c r="P74" s="719"/>
      <c r="Q74" s="719"/>
      <c r="R74" s="511"/>
    </row>
    <row r="75" spans="1:18" ht="15.75">
      <c r="A75" s="468">
        <v>22</v>
      </c>
      <c r="C75" s="455" t="s">
        <v>94</v>
      </c>
      <c r="D75" s="462" t="s">
        <v>119</v>
      </c>
      <c r="E75" s="474"/>
      <c r="F75" s="719"/>
      <c r="G75" s="719"/>
      <c r="H75" s="719"/>
      <c r="I75" s="511"/>
      <c r="J75" s="511"/>
      <c r="K75" s="719"/>
      <c r="L75" s="719"/>
      <c r="M75" s="719"/>
      <c r="N75" s="719"/>
      <c r="O75" s="719"/>
      <c r="P75" s="719"/>
      <c r="Q75" s="719"/>
      <c r="R75" s="511"/>
    </row>
    <row r="76" spans="1:18">
      <c r="A76" s="468">
        <v>23</v>
      </c>
      <c r="D76" s="718" t="s">
        <v>118</v>
      </c>
      <c r="E76" s="474">
        <v>9400</v>
      </c>
      <c r="F76" s="719">
        <v>881.98</v>
      </c>
      <c r="G76" s="719">
        <v>1015.44</v>
      </c>
      <c r="H76" s="719">
        <v>133.46000000000004</v>
      </c>
      <c r="I76" s="511">
        <v>15.1</v>
      </c>
      <c r="J76" s="511"/>
      <c r="K76" s="719">
        <v>32.78</v>
      </c>
      <c r="L76" s="719">
        <v>32.93</v>
      </c>
      <c r="M76" s="719">
        <v>4.03</v>
      </c>
      <c r="N76" s="719">
        <v>4.12</v>
      </c>
      <c r="O76" s="719">
        <v>23.27</v>
      </c>
      <c r="P76" s="719">
        <v>974.9899999999999</v>
      </c>
      <c r="Q76" s="719">
        <v>1108.54</v>
      </c>
      <c r="R76" s="511">
        <v>13.700000000000001</v>
      </c>
    </row>
    <row r="77" spans="1:18">
      <c r="A77" s="468">
        <v>24</v>
      </c>
      <c r="D77" s="718" t="s">
        <v>118</v>
      </c>
      <c r="E77" s="474">
        <v>23600</v>
      </c>
      <c r="F77" s="719">
        <v>2169.0100000000002</v>
      </c>
      <c r="G77" s="719">
        <v>2504.08</v>
      </c>
      <c r="H77" s="719">
        <v>335.06999999999971</v>
      </c>
      <c r="I77" s="511">
        <v>15.4</v>
      </c>
      <c r="J77" s="511"/>
      <c r="K77" s="719">
        <v>82.3</v>
      </c>
      <c r="L77" s="719">
        <v>82.67</v>
      </c>
      <c r="M77" s="719">
        <v>9.82</v>
      </c>
      <c r="N77" s="719">
        <v>10.09</v>
      </c>
      <c r="O77" s="719">
        <v>58.41</v>
      </c>
      <c r="P77" s="719">
        <v>2402.2100000000005</v>
      </c>
      <c r="Q77" s="719">
        <v>2737.55</v>
      </c>
      <c r="R77" s="511">
        <v>14.000000000000002</v>
      </c>
    </row>
    <row r="78" spans="1:18">
      <c r="A78" s="468">
        <v>25</v>
      </c>
      <c r="D78" s="718" t="s">
        <v>118</v>
      </c>
      <c r="E78" s="474">
        <v>37800</v>
      </c>
      <c r="F78" s="719">
        <v>3456.04</v>
      </c>
      <c r="G78" s="719">
        <v>3992.73</v>
      </c>
      <c r="H78" s="719">
        <v>536.69000000000005</v>
      </c>
      <c r="I78" s="511">
        <v>15.5</v>
      </c>
      <c r="J78" s="511"/>
      <c r="K78" s="719">
        <v>131.82</v>
      </c>
      <c r="L78" s="719">
        <v>132.41</v>
      </c>
      <c r="M78" s="719">
        <v>15.62</v>
      </c>
      <c r="N78" s="719">
        <v>16.059999999999999</v>
      </c>
      <c r="O78" s="719">
        <v>93.56</v>
      </c>
      <c r="P78" s="719">
        <v>3829.45</v>
      </c>
      <c r="Q78" s="719">
        <v>4366.5800000000008</v>
      </c>
      <c r="R78" s="511">
        <v>14.000000000000002</v>
      </c>
    </row>
    <row r="79" spans="1:18">
      <c r="F79" s="719"/>
      <c r="G79" s="719"/>
      <c r="H79" s="719"/>
      <c r="I79" s="511"/>
      <c r="J79" s="511"/>
      <c r="K79" s="719"/>
      <c r="L79" s="719"/>
      <c r="M79" s="719"/>
      <c r="N79" s="719"/>
      <c r="O79" s="719"/>
      <c r="P79" s="719"/>
      <c r="Q79" s="719"/>
      <c r="R79" s="511"/>
    </row>
    <row r="80" spans="1:18" ht="15.75">
      <c r="C80" s="455" t="s">
        <v>1338</v>
      </c>
      <c r="K80" s="455"/>
    </row>
    <row r="81" spans="1:18" ht="15.75">
      <c r="C81" s="455" t="s">
        <v>1339</v>
      </c>
      <c r="H81" s="719"/>
      <c r="I81" s="511"/>
      <c r="J81" s="511"/>
      <c r="K81" s="719"/>
      <c r="L81" s="719"/>
      <c r="M81" s="719"/>
      <c r="N81" s="719"/>
      <c r="O81" s="719"/>
      <c r="P81" s="719"/>
      <c r="Q81" s="719"/>
      <c r="R81" s="511"/>
    </row>
    <row r="82" spans="1:18" ht="15.75">
      <c r="A82" s="720"/>
      <c r="C82" s="455" t="s">
        <v>1340</v>
      </c>
      <c r="H82" s="719"/>
      <c r="K82" s="719"/>
      <c r="L82" s="719"/>
      <c r="M82" s="719"/>
      <c r="N82" s="719"/>
      <c r="O82" s="719"/>
    </row>
    <row r="83" spans="1:18" ht="15.75">
      <c r="A83" s="720"/>
      <c r="C83" s="455" t="s">
        <v>1341</v>
      </c>
      <c r="H83" s="719"/>
      <c r="K83" s="719"/>
      <c r="L83" s="719"/>
      <c r="M83" s="719"/>
      <c r="N83" s="719"/>
      <c r="O83" s="719"/>
    </row>
    <row r="84" spans="1:18" ht="15.75">
      <c r="A84" s="720"/>
      <c r="C84" s="455" t="s">
        <v>1342</v>
      </c>
      <c r="H84" s="719"/>
      <c r="K84" s="719"/>
      <c r="L84" s="719"/>
      <c r="M84" s="719"/>
      <c r="N84" s="719"/>
      <c r="O84" s="719"/>
    </row>
    <row r="85" spans="1:18" ht="15.75">
      <c r="A85" s="720"/>
      <c r="C85" s="455" t="s">
        <v>1343</v>
      </c>
      <c r="H85" s="719"/>
      <c r="K85" s="719"/>
      <c r="L85" s="719"/>
      <c r="M85" s="719"/>
      <c r="N85" s="719"/>
      <c r="O85" s="719"/>
    </row>
    <row r="86" spans="1:18" ht="15.75">
      <c r="A86" s="720"/>
      <c r="C86" s="455" t="s">
        <v>1039</v>
      </c>
      <c r="H86" s="719"/>
      <c r="K86" s="719"/>
      <c r="L86" s="719"/>
      <c r="M86" s="719"/>
      <c r="N86" s="719"/>
      <c r="O86" s="719"/>
    </row>
    <row r="87" spans="1:18" ht="15.75">
      <c r="A87" s="452" t="s">
        <v>479</v>
      </c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</row>
    <row r="88" spans="1:18" ht="15.75">
      <c r="A88" s="452" t="s">
        <v>1132</v>
      </c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</row>
    <row r="89" spans="1:18" ht="15.75">
      <c r="A89" s="452" t="s">
        <v>171</v>
      </c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</row>
    <row r="90" spans="1:18" ht="15.75">
      <c r="A90" s="452" t="s">
        <v>2</v>
      </c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</row>
    <row r="91" spans="1:18" ht="15.75">
      <c r="A91" s="455"/>
      <c r="B91" s="453"/>
      <c r="C91" s="453"/>
      <c r="D91" s="453"/>
      <c r="E91" s="453"/>
      <c r="F91" s="453"/>
      <c r="G91" s="453"/>
      <c r="H91" s="453"/>
      <c r="I91" s="453"/>
      <c r="J91" s="453"/>
      <c r="K91" s="453"/>
      <c r="L91" s="453"/>
      <c r="M91" s="453"/>
      <c r="N91" s="453"/>
      <c r="O91" s="453"/>
      <c r="P91" s="453"/>
      <c r="Q91" s="453"/>
      <c r="R91" s="453"/>
    </row>
    <row r="92" spans="1:18" ht="15.75">
      <c r="A92" s="453" t="s">
        <v>539</v>
      </c>
      <c r="B92" s="453"/>
      <c r="C92" s="453"/>
      <c r="D92" s="453"/>
      <c r="E92" s="453"/>
      <c r="F92" s="453"/>
      <c r="G92" s="453"/>
      <c r="H92" s="453"/>
      <c r="I92" s="453"/>
      <c r="J92" s="453"/>
      <c r="K92" s="453"/>
      <c r="L92" s="453"/>
      <c r="M92" s="453"/>
      <c r="N92" s="453"/>
      <c r="O92" s="453"/>
      <c r="P92" s="453"/>
      <c r="Q92" s="455" t="s">
        <v>172</v>
      </c>
      <c r="R92" s="453"/>
    </row>
    <row r="93" spans="1:18" ht="15.75">
      <c r="A93" s="453" t="s">
        <v>333</v>
      </c>
      <c r="B93" s="453"/>
      <c r="C93" s="453"/>
      <c r="D93" s="453"/>
      <c r="E93" s="453"/>
      <c r="F93" s="453"/>
      <c r="G93" s="453"/>
      <c r="H93" s="453"/>
      <c r="I93" s="453"/>
      <c r="J93" s="453"/>
      <c r="K93" s="453"/>
      <c r="L93" s="453"/>
      <c r="M93" s="453"/>
      <c r="N93" s="453"/>
      <c r="O93" s="453"/>
      <c r="P93" s="453"/>
      <c r="Q93" s="455" t="s">
        <v>126</v>
      </c>
      <c r="R93" s="453"/>
    </row>
    <row r="94" spans="1:18" ht="15.75">
      <c r="A94" s="455" t="s">
        <v>100</v>
      </c>
      <c r="B94" s="453"/>
      <c r="C94" s="453"/>
      <c r="D94" s="453"/>
      <c r="E94" s="453"/>
      <c r="F94" s="453"/>
      <c r="G94" s="453"/>
      <c r="H94" s="453"/>
      <c r="I94" s="453"/>
      <c r="J94" s="453"/>
      <c r="K94" s="453"/>
      <c r="L94" s="453"/>
      <c r="M94" s="453"/>
      <c r="N94" s="453"/>
      <c r="O94" s="453"/>
      <c r="P94" s="453"/>
      <c r="Q94" s="455" t="s">
        <v>3</v>
      </c>
      <c r="R94" s="453"/>
    </row>
    <row r="95" spans="1:18" ht="15.75">
      <c r="A95" s="465" t="s">
        <v>1135</v>
      </c>
      <c r="B95" s="453"/>
      <c r="C95" s="453"/>
      <c r="D95" s="453"/>
      <c r="E95" s="453"/>
      <c r="F95" s="453"/>
      <c r="G95" s="453"/>
      <c r="H95" s="453"/>
      <c r="I95" s="453"/>
      <c r="J95" s="453"/>
      <c r="K95" s="453"/>
      <c r="L95" s="453"/>
      <c r="M95" s="453"/>
      <c r="N95" s="453"/>
      <c r="O95" s="453"/>
      <c r="P95" s="453"/>
      <c r="Q95" s="453" t="s">
        <v>970</v>
      </c>
      <c r="R95" s="453"/>
    </row>
    <row r="96" spans="1:18">
      <c r="A96" s="765" t="s">
        <v>426</v>
      </c>
      <c r="B96" s="765"/>
      <c r="C96" s="765"/>
      <c r="D96" s="765"/>
      <c r="E96" s="765"/>
      <c r="F96" s="765"/>
      <c r="G96" s="765"/>
      <c r="H96" s="765"/>
      <c r="I96" s="765"/>
      <c r="J96" s="765"/>
      <c r="K96" s="765"/>
      <c r="L96" s="765"/>
      <c r="M96" s="765"/>
      <c r="N96" s="765"/>
      <c r="O96" s="765"/>
      <c r="P96" s="765"/>
      <c r="Q96" s="765"/>
      <c r="R96" s="765"/>
    </row>
    <row r="97" spans="1:25" ht="15.75">
      <c r="A97" s="459"/>
      <c r="B97" s="459"/>
      <c r="C97" s="459"/>
      <c r="D97" s="459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</row>
    <row r="98" spans="1:25" ht="15.75">
      <c r="A98" s="453"/>
      <c r="B98" s="453"/>
      <c r="C98" s="453"/>
      <c r="D98" s="453"/>
      <c r="E98" s="453"/>
      <c r="F98" s="453"/>
      <c r="G98" s="453"/>
      <c r="H98" s="453"/>
      <c r="I98" s="453"/>
      <c r="J98" s="453"/>
      <c r="K98" s="453"/>
      <c r="L98" s="453"/>
      <c r="M98" s="453"/>
      <c r="N98" s="453"/>
      <c r="O98" s="453"/>
      <c r="P98" s="453"/>
      <c r="Q98" s="453"/>
      <c r="R98" s="453"/>
    </row>
    <row r="99" spans="1:25" ht="15.75">
      <c r="A99" s="453"/>
      <c r="B99" s="453"/>
      <c r="C99" s="453"/>
      <c r="D99" s="453"/>
      <c r="E99" s="453"/>
      <c r="F99" s="711" t="s">
        <v>374</v>
      </c>
      <c r="G99" s="711"/>
      <c r="H99" s="711"/>
      <c r="I99" s="711"/>
      <c r="J99" s="452"/>
      <c r="K99" s="766" t="s">
        <v>357</v>
      </c>
      <c r="L99" s="766"/>
      <c r="M99" s="766"/>
      <c r="N99" s="766"/>
      <c r="O99" s="766"/>
      <c r="P99" s="462" t="s">
        <v>11</v>
      </c>
      <c r="Q99" s="462" t="s">
        <v>11</v>
      </c>
      <c r="R99" s="453"/>
    </row>
    <row r="100" spans="1:25" ht="17.100000000000001" customHeight="1">
      <c r="A100" s="453"/>
      <c r="B100" s="453"/>
      <c r="C100" s="453"/>
      <c r="D100" s="462" t="s">
        <v>101</v>
      </c>
      <c r="E100" s="462" t="s">
        <v>101</v>
      </c>
      <c r="F100" s="453"/>
      <c r="G100" s="453"/>
      <c r="H100" s="462" t="s">
        <v>102</v>
      </c>
      <c r="I100" s="462" t="s">
        <v>103</v>
      </c>
      <c r="J100" s="462"/>
      <c r="K100" s="453"/>
      <c r="L100" s="453"/>
      <c r="O100" s="453"/>
      <c r="P100" s="462" t="s">
        <v>8</v>
      </c>
      <c r="Q100" s="462" t="s">
        <v>6</v>
      </c>
      <c r="R100" s="462" t="s">
        <v>103</v>
      </c>
    </row>
    <row r="101" spans="1:25" ht="15.75">
      <c r="A101" s="453"/>
      <c r="B101" s="453"/>
      <c r="C101" s="453"/>
      <c r="D101" s="462" t="s">
        <v>104</v>
      </c>
      <c r="E101" s="462" t="s">
        <v>104</v>
      </c>
      <c r="F101" s="462" t="s">
        <v>8</v>
      </c>
      <c r="G101" s="462" t="s">
        <v>6</v>
      </c>
      <c r="H101" s="462" t="s">
        <v>105</v>
      </c>
      <c r="I101" s="462" t="s">
        <v>105</v>
      </c>
      <c r="J101" s="462"/>
      <c r="K101" s="462" t="s">
        <v>252</v>
      </c>
      <c r="L101" s="462" t="s">
        <v>252</v>
      </c>
      <c r="M101" s="462" t="s">
        <v>252</v>
      </c>
      <c r="N101" s="462" t="s">
        <v>252</v>
      </c>
      <c r="O101" s="462" t="s">
        <v>252</v>
      </c>
      <c r="P101" s="462" t="s">
        <v>106</v>
      </c>
      <c r="Q101" s="462" t="s">
        <v>106</v>
      </c>
      <c r="R101" s="462" t="s">
        <v>105</v>
      </c>
    </row>
    <row r="102" spans="1:25" ht="15.75">
      <c r="A102" s="462" t="s">
        <v>17</v>
      </c>
      <c r="B102" s="453"/>
      <c r="C102" s="455" t="s">
        <v>18</v>
      </c>
      <c r="D102" s="462" t="s">
        <v>108</v>
      </c>
      <c r="E102" s="544" t="s">
        <v>109</v>
      </c>
      <c r="F102" s="544" t="s">
        <v>832</v>
      </c>
      <c r="G102" s="544" t="s">
        <v>832</v>
      </c>
      <c r="H102" s="464" t="s">
        <v>110</v>
      </c>
      <c r="I102" s="464" t="s">
        <v>111</v>
      </c>
      <c r="J102" s="462"/>
      <c r="K102" s="462" t="s">
        <v>355</v>
      </c>
      <c r="L102" s="544" t="s">
        <v>255</v>
      </c>
      <c r="M102" s="544" t="s">
        <v>534</v>
      </c>
      <c r="N102" s="462" t="s">
        <v>1034</v>
      </c>
      <c r="O102" s="544" t="s">
        <v>831</v>
      </c>
      <c r="P102" s="713" t="s">
        <v>1035</v>
      </c>
      <c r="Q102" s="713" t="s">
        <v>1036</v>
      </c>
      <c r="R102" s="713" t="s">
        <v>968</v>
      </c>
    </row>
    <row r="103" spans="1:25" ht="15.75">
      <c r="A103" s="712" t="s">
        <v>22</v>
      </c>
      <c r="B103" s="714"/>
      <c r="C103" s="715" t="s">
        <v>23</v>
      </c>
      <c r="D103" s="721" t="s">
        <v>33</v>
      </c>
      <c r="E103" s="721" t="s">
        <v>34</v>
      </c>
      <c r="F103" s="721" t="s">
        <v>35</v>
      </c>
      <c r="G103" s="721" t="s">
        <v>36</v>
      </c>
      <c r="H103" s="721" t="s">
        <v>37</v>
      </c>
      <c r="I103" s="721" t="s">
        <v>38</v>
      </c>
      <c r="J103" s="721"/>
      <c r="K103" s="721" t="s">
        <v>39</v>
      </c>
      <c r="L103" s="721" t="s">
        <v>40</v>
      </c>
      <c r="M103" s="716" t="s">
        <v>1032</v>
      </c>
      <c r="N103" s="716" t="s">
        <v>1033</v>
      </c>
      <c r="O103" s="717" t="s">
        <v>42</v>
      </c>
      <c r="P103" s="717" t="s">
        <v>43</v>
      </c>
      <c r="Q103" s="717" t="s">
        <v>44</v>
      </c>
      <c r="R103" s="717" t="s">
        <v>45</v>
      </c>
      <c r="V103" s="468" t="s">
        <v>525</v>
      </c>
      <c r="X103" s="468" t="s">
        <v>526</v>
      </c>
    </row>
    <row r="104" spans="1:25" ht="15.75">
      <c r="A104" s="453"/>
      <c r="B104" s="453"/>
      <c r="C104" s="453"/>
      <c r="D104" s="467" t="s">
        <v>117</v>
      </c>
      <c r="E104" s="467" t="s">
        <v>49</v>
      </c>
      <c r="F104" s="467" t="s">
        <v>50</v>
      </c>
      <c r="G104" s="467" t="s">
        <v>50</v>
      </c>
      <c r="H104" s="467" t="s">
        <v>50</v>
      </c>
      <c r="I104" s="467" t="s">
        <v>51</v>
      </c>
      <c r="J104" s="467"/>
      <c r="K104" s="467" t="s">
        <v>50</v>
      </c>
      <c r="L104" s="467" t="s">
        <v>50</v>
      </c>
      <c r="M104" s="467" t="s">
        <v>50</v>
      </c>
      <c r="N104" s="467" t="s">
        <v>50</v>
      </c>
      <c r="O104" s="467" t="s">
        <v>50</v>
      </c>
      <c r="P104" s="467" t="s">
        <v>50</v>
      </c>
      <c r="Q104" s="467" t="s">
        <v>50</v>
      </c>
      <c r="R104" s="467" t="s">
        <v>51</v>
      </c>
      <c r="V104" s="468" t="s">
        <v>174</v>
      </c>
      <c r="W104" s="468" t="s">
        <v>175</v>
      </c>
      <c r="X104" s="468" t="s">
        <v>174</v>
      </c>
      <c r="Y104" s="468" t="s">
        <v>175</v>
      </c>
    </row>
    <row r="105" spans="1:25" ht="15.75">
      <c r="A105" s="468">
        <v>1</v>
      </c>
      <c r="C105" s="455" t="s">
        <v>127</v>
      </c>
      <c r="D105" s="474">
        <v>500</v>
      </c>
      <c r="E105" s="474">
        <v>144000</v>
      </c>
      <c r="F105" s="719">
        <v>17754.48</v>
      </c>
      <c r="G105" s="722">
        <v>20607.7</v>
      </c>
      <c r="H105" s="719">
        <v>2853.2200000000012</v>
      </c>
      <c r="I105" s="511">
        <v>16.100000000000001</v>
      </c>
      <c r="J105" s="511"/>
      <c r="K105" s="719">
        <v>502.16</v>
      </c>
      <c r="L105" s="719">
        <v>504.43</v>
      </c>
      <c r="M105" s="719">
        <v>89.3</v>
      </c>
      <c r="N105" s="719">
        <v>90.67</v>
      </c>
      <c r="O105" s="719">
        <v>356.4</v>
      </c>
      <c r="P105" s="719">
        <v>19206.77</v>
      </c>
      <c r="Q105" s="719">
        <v>22061.360000000001</v>
      </c>
      <c r="R105" s="475">
        <v>14.899999999999999</v>
      </c>
      <c r="V105" s="468">
        <v>0.29418430907301557</v>
      </c>
      <c r="W105" s="468">
        <v>0.28508780485466656</v>
      </c>
      <c r="X105" s="468">
        <v>0.98798507222301468</v>
      </c>
      <c r="Y105" s="468">
        <v>0.98087519115990918</v>
      </c>
    </row>
    <row r="106" spans="1:25">
      <c r="A106" s="468">
        <v>2</v>
      </c>
      <c r="D106" s="474">
        <v>500</v>
      </c>
      <c r="E106" s="474">
        <v>288000</v>
      </c>
      <c r="F106" s="719">
        <v>25072.390000000003</v>
      </c>
      <c r="G106" s="719">
        <v>28928.89</v>
      </c>
      <c r="H106" s="719">
        <v>3856.4999999999964</v>
      </c>
      <c r="I106" s="511">
        <v>15.4</v>
      </c>
      <c r="J106" s="511"/>
      <c r="K106" s="719">
        <v>1004.32</v>
      </c>
      <c r="L106" s="719">
        <v>1008.86</v>
      </c>
      <c r="M106" s="719">
        <v>110.83</v>
      </c>
      <c r="N106" s="719">
        <v>114.25</v>
      </c>
      <c r="O106" s="719">
        <v>712.8</v>
      </c>
      <c r="P106" s="719">
        <v>27909.200000000004</v>
      </c>
      <c r="Q106" s="719">
        <v>31769.119999999999</v>
      </c>
      <c r="R106" s="511">
        <v>13.8</v>
      </c>
    </row>
    <row r="107" spans="1:25">
      <c r="A107" s="468">
        <v>3</v>
      </c>
      <c r="D107" s="474">
        <v>800</v>
      </c>
      <c r="E107" s="474">
        <v>230400</v>
      </c>
      <c r="F107" s="719">
        <v>28330.969999999998</v>
      </c>
      <c r="G107" s="719">
        <v>32895.51</v>
      </c>
      <c r="H107" s="719">
        <v>4564.5400000000045</v>
      </c>
      <c r="I107" s="511">
        <v>16.100000000000001</v>
      </c>
      <c r="J107" s="511"/>
      <c r="K107" s="719">
        <v>803.45</v>
      </c>
      <c r="L107" s="719">
        <v>807.09</v>
      </c>
      <c r="M107" s="719">
        <v>142.38999999999999</v>
      </c>
      <c r="N107" s="719">
        <v>144.65</v>
      </c>
      <c r="O107" s="719">
        <v>570.24</v>
      </c>
      <c r="P107" s="719">
        <v>30654.14</v>
      </c>
      <c r="Q107" s="719">
        <v>35220.939999999995</v>
      </c>
      <c r="R107" s="511">
        <v>14.899999999999999</v>
      </c>
    </row>
    <row r="108" spans="1:25">
      <c r="A108" s="468">
        <v>4</v>
      </c>
      <c r="D108" s="474">
        <v>800</v>
      </c>
      <c r="E108" s="474">
        <v>460800</v>
      </c>
      <c r="F108" s="719">
        <v>40039.630000000005</v>
      </c>
      <c r="G108" s="719">
        <v>46209.42</v>
      </c>
      <c r="H108" s="719">
        <v>6169.7899999999936</v>
      </c>
      <c r="I108" s="511">
        <v>15.4</v>
      </c>
      <c r="J108" s="511"/>
      <c r="K108" s="719">
        <v>1606.91</v>
      </c>
      <c r="L108" s="719">
        <v>1614.18</v>
      </c>
      <c r="M108" s="719">
        <v>176.83</v>
      </c>
      <c r="N108" s="719">
        <v>182.37</v>
      </c>
      <c r="O108" s="719">
        <v>1140.48</v>
      </c>
      <c r="P108" s="719">
        <v>44578.030000000013</v>
      </c>
      <c r="Q108" s="719">
        <v>50753.360000000008</v>
      </c>
      <c r="R108" s="511">
        <v>13.900000000000002</v>
      </c>
    </row>
    <row r="109" spans="1:25">
      <c r="A109" s="468">
        <v>5</v>
      </c>
      <c r="D109" s="474">
        <v>1000</v>
      </c>
      <c r="E109" s="474">
        <v>288000</v>
      </c>
      <c r="F109" s="719">
        <v>35381.950000000004</v>
      </c>
      <c r="G109" s="719">
        <v>41087.39</v>
      </c>
      <c r="H109" s="719">
        <v>5705.4399999999951</v>
      </c>
      <c r="I109" s="511">
        <v>16.100000000000001</v>
      </c>
      <c r="J109" s="511"/>
      <c r="K109" s="719">
        <v>1004.32</v>
      </c>
      <c r="L109" s="719">
        <v>1008.86</v>
      </c>
      <c r="M109" s="719">
        <v>177.78</v>
      </c>
      <c r="N109" s="719">
        <v>180.64</v>
      </c>
      <c r="O109" s="719">
        <v>712.8</v>
      </c>
      <c r="P109" s="719">
        <v>38285.710000000006</v>
      </c>
      <c r="Q109" s="719">
        <v>43994.01</v>
      </c>
      <c r="R109" s="511">
        <v>14.899999999999999</v>
      </c>
    </row>
    <row r="110" spans="1:25">
      <c r="A110" s="468">
        <v>6</v>
      </c>
      <c r="D110" s="474">
        <v>1000</v>
      </c>
      <c r="E110" s="474">
        <v>576000</v>
      </c>
      <c r="F110" s="719">
        <v>50017.780000000006</v>
      </c>
      <c r="G110" s="719">
        <v>57729.77</v>
      </c>
      <c r="H110" s="719">
        <v>7711.9899999999907</v>
      </c>
      <c r="I110" s="511">
        <v>15.4</v>
      </c>
      <c r="J110" s="511"/>
      <c r="K110" s="719">
        <v>2008.63</v>
      </c>
      <c r="L110" s="719">
        <v>2017.73</v>
      </c>
      <c r="M110" s="719">
        <v>220.83</v>
      </c>
      <c r="N110" s="719">
        <v>227.79</v>
      </c>
      <c r="O110" s="719">
        <v>1425.6</v>
      </c>
      <c r="P110" s="719">
        <v>55690.570000000007</v>
      </c>
      <c r="Q110" s="719">
        <v>63409.52</v>
      </c>
      <c r="R110" s="511">
        <v>13.900000000000002</v>
      </c>
    </row>
    <row r="111" spans="1:25">
      <c r="A111" s="468">
        <v>7</v>
      </c>
      <c r="D111" s="474">
        <v>1200</v>
      </c>
      <c r="E111" s="474">
        <v>345600</v>
      </c>
      <c r="F111" s="719">
        <v>42432.93</v>
      </c>
      <c r="G111" s="719">
        <v>49279.28</v>
      </c>
      <c r="H111" s="719">
        <v>6846.3499999999985</v>
      </c>
      <c r="I111" s="511">
        <v>16.100000000000001</v>
      </c>
      <c r="J111" s="511"/>
      <c r="K111" s="719">
        <v>1205.18</v>
      </c>
      <c r="L111" s="719">
        <v>1210.6400000000001</v>
      </c>
      <c r="M111" s="719">
        <v>213.17</v>
      </c>
      <c r="N111" s="719">
        <v>216.63</v>
      </c>
      <c r="O111" s="719">
        <v>855.36</v>
      </c>
      <c r="P111" s="719">
        <v>45917.279999999999</v>
      </c>
      <c r="Q111" s="719">
        <v>52767.09</v>
      </c>
      <c r="R111" s="511">
        <v>14.899999999999999</v>
      </c>
    </row>
    <row r="112" spans="1:25">
      <c r="A112" s="468">
        <v>8</v>
      </c>
      <c r="D112" s="474">
        <v>1200</v>
      </c>
      <c r="E112" s="474">
        <v>691200</v>
      </c>
      <c r="F112" s="719">
        <v>59995.94</v>
      </c>
      <c r="G112" s="719">
        <v>69250.140000000014</v>
      </c>
      <c r="H112" s="719">
        <v>9254.2000000000116</v>
      </c>
      <c r="I112" s="511">
        <v>15.4</v>
      </c>
      <c r="J112" s="511"/>
      <c r="K112" s="719">
        <v>2410.36</v>
      </c>
      <c r="L112" s="719">
        <v>2421.27</v>
      </c>
      <c r="M112" s="719">
        <v>264.83</v>
      </c>
      <c r="N112" s="719">
        <v>273.20999999999998</v>
      </c>
      <c r="O112" s="719">
        <v>1710.72</v>
      </c>
      <c r="P112" s="719">
        <v>66803.12</v>
      </c>
      <c r="Q112" s="719">
        <v>76065.700000000026</v>
      </c>
      <c r="R112" s="511">
        <v>13.900000000000002</v>
      </c>
    </row>
    <row r="113" spans="1:18">
      <c r="A113" s="468">
        <v>9</v>
      </c>
      <c r="D113" s="474">
        <v>1500</v>
      </c>
      <c r="E113" s="474">
        <v>432000</v>
      </c>
      <c r="F113" s="719">
        <v>53009.42</v>
      </c>
      <c r="G113" s="719">
        <v>61567.09</v>
      </c>
      <c r="H113" s="719">
        <v>8557.6699999999983</v>
      </c>
      <c r="I113" s="511">
        <v>16.100000000000001</v>
      </c>
      <c r="J113" s="511"/>
      <c r="K113" s="719">
        <v>1506.48</v>
      </c>
      <c r="L113" s="719">
        <v>1513.3</v>
      </c>
      <c r="M113" s="719">
        <v>266.25</v>
      </c>
      <c r="N113" s="719">
        <v>270.61</v>
      </c>
      <c r="O113" s="719">
        <v>1069.2</v>
      </c>
      <c r="P113" s="719">
        <v>57364.65</v>
      </c>
      <c r="Q113" s="719">
        <v>65926.680000000008</v>
      </c>
      <c r="R113" s="511">
        <v>14.899999999999999</v>
      </c>
    </row>
    <row r="114" spans="1:18">
      <c r="A114" s="468">
        <v>10</v>
      </c>
      <c r="D114" s="474">
        <v>1500</v>
      </c>
      <c r="E114" s="474">
        <v>864000</v>
      </c>
      <c r="F114" s="719">
        <v>74963.17</v>
      </c>
      <c r="G114" s="719">
        <v>86530.67</v>
      </c>
      <c r="H114" s="719">
        <v>11567.5</v>
      </c>
      <c r="I114" s="511">
        <v>15.4</v>
      </c>
      <c r="J114" s="511"/>
      <c r="K114" s="719">
        <v>3012.95</v>
      </c>
      <c r="L114" s="719">
        <v>3026.59</v>
      </c>
      <c r="M114" s="719">
        <v>330.83</v>
      </c>
      <c r="N114" s="719">
        <v>341.34</v>
      </c>
      <c r="O114" s="719">
        <v>2138.4</v>
      </c>
      <c r="P114" s="719">
        <v>83471.939999999988</v>
      </c>
      <c r="Q114" s="719">
        <v>95049.949999999983</v>
      </c>
      <c r="R114" s="511">
        <v>13.900000000000002</v>
      </c>
    </row>
    <row r="115" spans="1:18">
      <c r="D115" s="474"/>
      <c r="E115" s="474"/>
      <c r="K115" s="719"/>
      <c r="L115" s="719"/>
      <c r="M115" s="719"/>
      <c r="N115" s="719"/>
      <c r="O115" s="719"/>
      <c r="P115" s="719"/>
      <c r="Q115" s="719"/>
    </row>
    <row r="116" spans="1:18" ht="15.75">
      <c r="A116" s="468">
        <v>11</v>
      </c>
      <c r="C116" s="455" t="s">
        <v>128</v>
      </c>
      <c r="D116" s="474">
        <v>500</v>
      </c>
      <c r="E116" s="474">
        <v>144000</v>
      </c>
      <c r="F116" s="719">
        <v>17221.93</v>
      </c>
      <c r="G116" s="719">
        <v>20001.32</v>
      </c>
      <c r="H116" s="719">
        <v>2779.3899999999994</v>
      </c>
      <c r="I116" s="511">
        <v>16.100000000000001</v>
      </c>
      <c r="J116" s="511"/>
      <c r="K116" s="719">
        <v>502.16</v>
      </c>
      <c r="L116" s="719">
        <v>504.43</v>
      </c>
      <c r="M116" s="719">
        <v>85.84</v>
      </c>
      <c r="N116" s="719">
        <v>87.36</v>
      </c>
      <c r="O116" s="719">
        <v>356.4</v>
      </c>
      <c r="P116" s="719">
        <v>18670.760000000002</v>
      </c>
      <c r="Q116" s="719">
        <v>21451.670000000002</v>
      </c>
      <c r="R116" s="511">
        <v>14.899999999999999</v>
      </c>
    </row>
    <row r="117" spans="1:18">
      <c r="A117" s="468">
        <v>12</v>
      </c>
      <c r="D117" s="474">
        <v>500</v>
      </c>
      <c r="E117" s="474">
        <v>288000</v>
      </c>
      <c r="F117" s="719">
        <v>24442.34</v>
      </c>
      <c r="G117" s="719">
        <v>28211.690000000002</v>
      </c>
      <c r="H117" s="719">
        <v>3769.3500000000022</v>
      </c>
      <c r="I117" s="511">
        <v>15.4</v>
      </c>
      <c r="J117" s="511"/>
      <c r="K117" s="719">
        <v>1004.32</v>
      </c>
      <c r="L117" s="719">
        <v>1008.86</v>
      </c>
      <c r="M117" s="719">
        <v>106.73</v>
      </c>
      <c r="N117" s="719">
        <v>110.33</v>
      </c>
      <c r="O117" s="719">
        <v>712.8</v>
      </c>
      <c r="P117" s="719">
        <v>27275.05</v>
      </c>
      <c r="Q117" s="719">
        <v>31048.000000000004</v>
      </c>
      <c r="R117" s="511">
        <v>13.8</v>
      </c>
    </row>
    <row r="118" spans="1:18">
      <c r="A118" s="468">
        <v>13</v>
      </c>
      <c r="D118" s="474">
        <v>800</v>
      </c>
      <c r="E118" s="474">
        <v>230400</v>
      </c>
      <c r="F118" s="719">
        <v>27478.899999999998</v>
      </c>
      <c r="G118" s="719">
        <v>31925.32</v>
      </c>
      <c r="H118" s="719">
        <v>4446.4200000000019</v>
      </c>
      <c r="I118" s="511">
        <v>16.2</v>
      </c>
      <c r="J118" s="511"/>
      <c r="K118" s="719">
        <v>803.45</v>
      </c>
      <c r="L118" s="719">
        <v>807.09</v>
      </c>
      <c r="M118" s="719">
        <v>136.85</v>
      </c>
      <c r="N118" s="719">
        <v>139.35</v>
      </c>
      <c r="O118" s="719">
        <v>570.24</v>
      </c>
      <c r="P118" s="719">
        <v>29796.53</v>
      </c>
      <c r="Q118" s="719">
        <v>34245.449999999997</v>
      </c>
      <c r="R118" s="511">
        <v>14.899999999999999</v>
      </c>
    </row>
    <row r="119" spans="1:18">
      <c r="A119" s="468">
        <v>14</v>
      </c>
      <c r="D119" s="474">
        <v>800</v>
      </c>
      <c r="E119" s="474">
        <v>460800</v>
      </c>
      <c r="F119" s="719">
        <v>39031.56</v>
      </c>
      <c r="G119" s="719">
        <v>45061.899999999994</v>
      </c>
      <c r="H119" s="719">
        <v>6030.3399999999965</v>
      </c>
      <c r="I119" s="511">
        <v>15.4</v>
      </c>
      <c r="J119" s="511"/>
      <c r="K119" s="719">
        <v>1606.91</v>
      </c>
      <c r="L119" s="719">
        <v>1614.18</v>
      </c>
      <c r="M119" s="719">
        <v>170.28</v>
      </c>
      <c r="N119" s="719">
        <v>176.11</v>
      </c>
      <c r="O119" s="719">
        <v>1140.48</v>
      </c>
      <c r="P119" s="719">
        <v>43563.41</v>
      </c>
      <c r="Q119" s="719">
        <v>49599.58</v>
      </c>
      <c r="R119" s="511">
        <v>13.900000000000002</v>
      </c>
    </row>
    <row r="120" spans="1:18">
      <c r="A120" s="468">
        <v>15</v>
      </c>
      <c r="D120" s="474">
        <v>1000</v>
      </c>
      <c r="E120" s="474">
        <v>288000</v>
      </c>
      <c r="F120" s="719">
        <v>34316.85</v>
      </c>
      <c r="G120" s="719">
        <v>39874.660000000003</v>
      </c>
      <c r="H120" s="719">
        <v>5557.8100000000049</v>
      </c>
      <c r="I120" s="511">
        <v>16.2</v>
      </c>
      <c r="J120" s="511"/>
      <c r="K120" s="719">
        <v>1004.32</v>
      </c>
      <c r="L120" s="719">
        <v>1008.86</v>
      </c>
      <c r="M120" s="719">
        <v>170.86</v>
      </c>
      <c r="N120" s="719">
        <v>174.02</v>
      </c>
      <c r="O120" s="719">
        <v>712.8</v>
      </c>
      <c r="P120" s="719">
        <v>37213.69</v>
      </c>
      <c r="Q120" s="719">
        <v>42774.66</v>
      </c>
      <c r="R120" s="511">
        <v>14.899999999999999</v>
      </c>
    </row>
    <row r="121" spans="1:18">
      <c r="A121" s="468">
        <v>16</v>
      </c>
      <c r="D121" s="474">
        <v>1000</v>
      </c>
      <c r="E121" s="474">
        <v>576000</v>
      </c>
      <c r="F121" s="719">
        <v>48757.689999999995</v>
      </c>
      <c r="G121" s="719">
        <v>56295.380000000005</v>
      </c>
      <c r="H121" s="719">
        <v>7537.6900000000096</v>
      </c>
      <c r="I121" s="511">
        <v>15.5</v>
      </c>
      <c r="J121" s="511"/>
      <c r="K121" s="719">
        <v>2008.63</v>
      </c>
      <c r="L121" s="719">
        <v>2017.73</v>
      </c>
      <c r="M121" s="719">
        <v>212.64</v>
      </c>
      <c r="N121" s="719">
        <v>219.96</v>
      </c>
      <c r="O121" s="719">
        <v>1425.6</v>
      </c>
      <c r="P121" s="719">
        <v>54422.289999999994</v>
      </c>
      <c r="Q121" s="719">
        <v>61967.3</v>
      </c>
      <c r="R121" s="511">
        <v>13.900000000000002</v>
      </c>
    </row>
    <row r="122" spans="1:18">
      <c r="A122" s="468">
        <v>17</v>
      </c>
      <c r="D122" s="474">
        <v>1200</v>
      </c>
      <c r="E122" s="474">
        <v>345600</v>
      </c>
      <c r="F122" s="719">
        <v>41154.83</v>
      </c>
      <c r="G122" s="719">
        <v>47823.99</v>
      </c>
      <c r="H122" s="719">
        <v>6669.1599999999962</v>
      </c>
      <c r="I122" s="511">
        <v>16.2</v>
      </c>
      <c r="J122" s="511"/>
      <c r="K122" s="719">
        <v>1205.18</v>
      </c>
      <c r="L122" s="719">
        <v>1210.6400000000001</v>
      </c>
      <c r="M122" s="719">
        <v>204.87</v>
      </c>
      <c r="N122" s="719">
        <v>208.68</v>
      </c>
      <c r="O122" s="719">
        <v>855.36</v>
      </c>
      <c r="P122" s="719">
        <v>44630.880000000005</v>
      </c>
      <c r="Q122" s="719">
        <v>51303.85</v>
      </c>
      <c r="R122" s="511">
        <v>15</v>
      </c>
    </row>
    <row r="123" spans="1:18">
      <c r="A123" s="468">
        <v>18</v>
      </c>
      <c r="D123" s="474">
        <v>1200</v>
      </c>
      <c r="E123" s="474">
        <v>691200</v>
      </c>
      <c r="F123" s="719">
        <v>58483.82</v>
      </c>
      <c r="G123" s="719">
        <v>67528.84</v>
      </c>
      <c r="H123" s="719">
        <v>9045.0199999999968</v>
      </c>
      <c r="I123" s="511">
        <v>15.5</v>
      </c>
      <c r="J123" s="511"/>
      <c r="K123" s="719">
        <v>2410.36</v>
      </c>
      <c r="L123" s="719">
        <v>2421.27</v>
      </c>
      <c r="M123" s="719">
        <v>255.01</v>
      </c>
      <c r="N123" s="719">
        <v>263.81</v>
      </c>
      <c r="O123" s="719">
        <v>1710.72</v>
      </c>
      <c r="P123" s="719">
        <v>65281.18</v>
      </c>
      <c r="Q123" s="719">
        <v>74335</v>
      </c>
      <c r="R123" s="511">
        <v>13.900000000000002</v>
      </c>
    </row>
    <row r="124" spans="1:18">
      <c r="A124" s="468">
        <v>19</v>
      </c>
      <c r="D124" s="474">
        <v>1500</v>
      </c>
      <c r="E124" s="474">
        <v>432000</v>
      </c>
      <c r="F124" s="719">
        <v>51411.79</v>
      </c>
      <c r="G124" s="719">
        <v>59747.979999999996</v>
      </c>
      <c r="H124" s="719">
        <v>8336.1899999999951</v>
      </c>
      <c r="I124" s="511">
        <v>16.2</v>
      </c>
      <c r="J124" s="511"/>
      <c r="K124" s="719">
        <v>1506.48</v>
      </c>
      <c r="L124" s="719">
        <v>1513.3</v>
      </c>
      <c r="M124" s="719">
        <v>255.88</v>
      </c>
      <c r="N124" s="719">
        <v>260.68</v>
      </c>
      <c r="O124" s="719">
        <v>1069.2</v>
      </c>
      <c r="P124" s="719">
        <v>55756.65</v>
      </c>
      <c r="Q124" s="719">
        <v>64097.64</v>
      </c>
      <c r="R124" s="511">
        <v>15</v>
      </c>
    </row>
    <row r="125" spans="1:18">
      <c r="A125" s="468">
        <v>20</v>
      </c>
      <c r="D125" s="474">
        <v>1500</v>
      </c>
      <c r="E125" s="474">
        <v>864000</v>
      </c>
      <c r="F125" s="719">
        <v>73073.03</v>
      </c>
      <c r="G125" s="719">
        <v>84379.05</v>
      </c>
      <c r="H125" s="719">
        <v>11306.020000000004</v>
      </c>
      <c r="I125" s="511">
        <v>15.5</v>
      </c>
      <c r="J125" s="511"/>
      <c r="K125" s="719">
        <v>3012.95</v>
      </c>
      <c r="L125" s="719">
        <v>3026.59</v>
      </c>
      <c r="M125" s="719">
        <v>318.55</v>
      </c>
      <c r="N125" s="719">
        <v>329.59</v>
      </c>
      <c r="O125" s="719">
        <v>2138.4</v>
      </c>
      <c r="P125" s="719">
        <v>81569.51999999999</v>
      </c>
      <c r="Q125" s="719">
        <v>92886.579999999987</v>
      </c>
      <c r="R125" s="511">
        <v>13.900000000000002</v>
      </c>
    </row>
    <row r="127" spans="1:18" ht="15.75">
      <c r="C127" s="455" t="s">
        <v>1338</v>
      </c>
    </row>
    <row r="128" spans="1:18" ht="15.75">
      <c r="C128" s="455" t="s">
        <v>1339</v>
      </c>
    </row>
    <row r="129" spans="1:18" ht="15.75">
      <c r="A129" s="720"/>
      <c r="C129" s="455" t="s">
        <v>1340</v>
      </c>
    </row>
    <row r="130" spans="1:18" ht="15.75">
      <c r="A130" s="720"/>
      <c r="C130" s="455" t="s">
        <v>1344</v>
      </c>
    </row>
    <row r="131" spans="1:18" ht="15.75">
      <c r="A131" s="720"/>
      <c r="C131" s="455" t="s">
        <v>1345</v>
      </c>
    </row>
    <row r="132" spans="1:18" ht="15.75">
      <c r="A132" s="720"/>
      <c r="C132" s="455" t="s">
        <v>1346</v>
      </c>
    </row>
    <row r="133" spans="1:18" ht="15.75">
      <c r="A133" s="720"/>
      <c r="C133" s="455" t="s">
        <v>1347</v>
      </c>
    </row>
    <row r="134" spans="1:18" ht="15.75">
      <c r="A134" s="452" t="s">
        <v>479</v>
      </c>
      <c r="B134" s="452"/>
      <c r="C134" s="452"/>
      <c r="D134" s="452"/>
      <c r="E134" s="452"/>
      <c r="F134" s="452"/>
      <c r="G134" s="452"/>
      <c r="H134" s="452"/>
      <c r="I134" s="452"/>
      <c r="J134" s="452"/>
      <c r="K134" s="452"/>
      <c r="L134" s="452"/>
      <c r="M134" s="452"/>
      <c r="N134" s="452"/>
      <c r="O134" s="452"/>
      <c r="P134" s="452"/>
      <c r="Q134" s="452"/>
      <c r="R134" s="452"/>
    </row>
    <row r="135" spans="1:18" ht="15.75">
      <c r="A135" s="452" t="s">
        <v>1132</v>
      </c>
      <c r="B135" s="452"/>
      <c r="C135" s="452"/>
      <c r="D135" s="452"/>
      <c r="E135" s="452"/>
      <c r="F135" s="452"/>
      <c r="G135" s="452"/>
      <c r="H135" s="452"/>
      <c r="I135" s="452"/>
      <c r="J135" s="452"/>
      <c r="K135" s="452"/>
      <c r="L135" s="452"/>
      <c r="M135" s="452"/>
      <c r="N135" s="452"/>
      <c r="O135" s="452"/>
      <c r="P135" s="452"/>
      <c r="Q135" s="452"/>
      <c r="R135" s="452"/>
    </row>
    <row r="136" spans="1:18" ht="15.75">
      <c r="A136" s="452" t="s">
        <v>171</v>
      </c>
      <c r="B136" s="452"/>
      <c r="C136" s="452"/>
      <c r="D136" s="452"/>
      <c r="E136" s="452"/>
      <c r="F136" s="452"/>
      <c r="G136" s="452"/>
      <c r="H136" s="452"/>
      <c r="I136" s="452"/>
      <c r="J136" s="452"/>
      <c r="K136" s="452"/>
      <c r="L136" s="452"/>
      <c r="M136" s="452"/>
      <c r="N136" s="452"/>
      <c r="O136" s="452"/>
      <c r="P136" s="452"/>
      <c r="Q136" s="452"/>
      <c r="R136" s="452"/>
    </row>
    <row r="137" spans="1:18" ht="15.75">
      <c r="A137" s="452" t="s">
        <v>2</v>
      </c>
      <c r="B137" s="452"/>
      <c r="C137" s="452"/>
      <c r="D137" s="452"/>
      <c r="E137" s="452"/>
      <c r="F137" s="452"/>
      <c r="G137" s="452"/>
      <c r="H137" s="452"/>
      <c r="I137" s="452"/>
      <c r="J137" s="452"/>
      <c r="K137" s="452"/>
      <c r="L137" s="452"/>
      <c r="M137" s="452"/>
      <c r="N137" s="452"/>
      <c r="O137" s="452"/>
      <c r="P137" s="452"/>
      <c r="Q137" s="452"/>
      <c r="R137" s="452"/>
    </row>
    <row r="138" spans="1:18" ht="15.75">
      <c r="A138" s="455"/>
      <c r="B138" s="453"/>
      <c r="C138" s="453"/>
      <c r="D138" s="453"/>
      <c r="E138" s="453"/>
      <c r="F138" s="453"/>
      <c r="G138" s="453"/>
      <c r="H138" s="453"/>
      <c r="I138" s="453"/>
      <c r="J138" s="453"/>
      <c r="K138" s="453"/>
      <c r="L138" s="453"/>
      <c r="M138" s="453"/>
      <c r="N138" s="453"/>
      <c r="O138" s="453"/>
      <c r="P138" s="453"/>
      <c r="Q138" s="453"/>
      <c r="R138" s="453"/>
    </row>
    <row r="139" spans="1:18" ht="15.75">
      <c r="A139" s="453" t="s">
        <v>539</v>
      </c>
      <c r="B139" s="453"/>
      <c r="C139" s="453"/>
      <c r="D139" s="453"/>
      <c r="E139" s="453"/>
      <c r="F139" s="453"/>
      <c r="G139" s="453"/>
      <c r="H139" s="453"/>
      <c r="I139" s="453"/>
      <c r="J139" s="453"/>
      <c r="K139" s="453"/>
      <c r="L139" s="453"/>
      <c r="M139" s="453"/>
      <c r="N139" s="453"/>
      <c r="O139" s="453"/>
      <c r="P139" s="453"/>
      <c r="Q139" s="455" t="s">
        <v>172</v>
      </c>
      <c r="R139" s="453"/>
    </row>
    <row r="140" spans="1:18" ht="15.75">
      <c r="A140" s="453" t="s">
        <v>333</v>
      </c>
      <c r="B140" s="453"/>
      <c r="C140" s="453"/>
      <c r="D140" s="453"/>
      <c r="E140" s="453"/>
      <c r="F140" s="453"/>
      <c r="G140" s="453"/>
      <c r="H140" s="453"/>
      <c r="I140" s="453"/>
      <c r="J140" s="453"/>
      <c r="K140" s="453"/>
      <c r="L140" s="453"/>
      <c r="M140" s="453"/>
      <c r="N140" s="453"/>
      <c r="O140" s="453"/>
      <c r="P140" s="453"/>
      <c r="Q140" s="455" t="s">
        <v>180</v>
      </c>
      <c r="R140" s="453"/>
    </row>
    <row r="141" spans="1:18" ht="15.75">
      <c r="A141" s="455" t="s">
        <v>100</v>
      </c>
      <c r="B141" s="453"/>
      <c r="C141" s="453"/>
      <c r="D141" s="453"/>
      <c r="E141" s="453"/>
      <c r="F141" s="453"/>
      <c r="G141" s="453"/>
      <c r="H141" s="453"/>
      <c r="I141" s="453"/>
      <c r="J141" s="453"/>
      <c r="K141" s="453"/>
      <c r="L141" s="453"/>
      <c r="M141" s="453"/>
      <c r="N141" s="453"/>
      <c r="O141" s="453"/>
      <c r="P141" s="453"/>
      <c r="Q141" s="455" t="s">
        <v>3</v>
      </c>
      <c r="R141" s="453"/>
    </row>
    <row r="142" spans="1:18" ht="16.5" customHeight="1">
      <c r="A142" s="465" t="s">
        <v>1135</v>
      </c>
      <c r="B142" s="453"/>
      <c r="C142" s="453"/>
      <c r="D142" s="453"/>
      <c r="E142" s="453"/>
      <c r="F142" s="453"/>
      <c r="G142" s="453"/>
      <c r="H142" s="453"/>
      <c r="I142" s="453"/>
      <c r="J142" s="453"/>
      <c r="K142" s="453"/>
      <c r="L142" s="453"/>
      <c r="M142" s="453"/>
      <c r="N142" s="453"/>
      <c r="O142" s="453"/>
      <c r="P142" s="453"/>
      <c r="Q142" s="453" t="s">
        <v>970</v>
      </c>
      <c r="R142" s="453"/>
    </row>
    <row r="143" spans="1:18">
      <c r="A143" s="765" t="s">
        <v>426</v>
      </c>
      <c r="B143" s="765"/>
      <c r="C143" s="765"/>
      <c r="D143" s="765"/>
      <c r="E143" s="765"/>
      <c r="F143" s="765"/>
      <c r="G143" s="765"/>
      <c r="H143" s="765"/>
      <c r="I143" s="765"/>
      <c r="J143" s="765"/>
      <c r="K143" s="765"/>
      <c r="L143" s="765"/>
      <c r="M143" s="765"/>
      <c r="N143" s="765"/>
      <c r="O143" s="765"/>
      <c r="P143" s="765"/>
      <c r="Q143" s="765"/>
      <c r="R143" s="765"/>
    </row>
    <row r="144" spans="1:18" ht="15.75">
      <c r="A144" s="459"/>
      <c r="B144" s="459"/>
      <c r="C144" s="459"/>
      <c r="D144" s="459"/>
      <c r="E144" s="459"/>
      <c r="F144" s="459"/>
      <c r="G144" s="459"/>
      <c r="H144" s="459"/>
      <c r="I144" s="459"/>
      <c r="J144" s="459"/>
      <c r="K144" s="459"/>
      <c r="L144" s="459"/>
      <c r="M144" s="459"/>
      <c r="N144" s="459"/>
      <c r="O144" s="459"/>
      <c r="P144" s="459"/>
      <c r="Q144" s="459"/>
      <c r="R144" s="459"/>
    </row>
    <row r="145" spans="1:18" ht="15.75">
      <c r="A145" s="453"/>
      <c r="B145" s="453"/>
      <c r="C145" s="453"/>
      <c r="D145" s="453"/>
      <c r="E145" s="453"/>
      <c r="F145" s="453"/>
      <c r="G145" s="453"/>
      <c r="H145" s="453"/>
      <c r="I145" s="453"/>
      <c r="J145" s="453"/>
      <c r="K145" s="453"/>
      <c r="L145" s="453"/>
      <c r="M145" s="453"/>
      <c r="N145" s="453"/>
      <c r="O145" s="453"/>
      <c r="P145" s="453"/>
      <c r="Q145" s="453"/>
      <c r="R145" s="453"/>
    </row>
    <row r="146" spans="1:18" ht="15.75">
      <c r="A146" s="453"/>
      <c r="B146" s="453"/>
      <c r="C146" s="453"/>
      <c r="D146" s="453"/>
      <c r="E146" s="453"/>
      <c r="F146" s="711" t="s">
        <v>374</v>
      </c>
      <c r="G146" s="711"/>
      <c r="H146" s="711"/>
      <c r="I146" s="711"/>
      <c r="J146" s="452"/>
      <c r="K146" s="766" t="s">
        <v>357</v>
      </c>
      <c r="L146" s="766"/>
      <c r="M146" s="766"/>
      <c r="N146" s="766"/>
      <c r="O146" s="766"/>
      <c r="P146" s="462" t="s">
        <v>11</v>
      </c>
      <c r="Q146" s="462" t="s">
        <v>11</v>
      </c>
      <c r="R146" s="453"/>
    </row>
    <row r="147" spans="1:18" ht="17.100000000000001" customHeight="1">
      <c r="A147" s="453"/>
      <c r="B147" s="453"/>
      <c r="C147" s="453"/>
      <c r="D147" s="462" t="s">
        <v>101</v>
      </c>
      <c r="E147" s="462" t="s">
        <v>101</v>
      </c>
      <c r="F147" s="453"/>
      <c r="G147" s="453"/>
      <c r="H147" s="462" t="s">
        <v>102</v>
      </c>
      <c r="I147" s="462" t="s">
        <v>103</v>
      </c>
      <c r="J147" s="462"/>
      <c r="K147" s="453"/>
      <c r="L147" s="453"/>
      <c r="O147" s="453"/>
      <c r="P147" s="462" t="s">
        <v>8</v>
      </c>
      <c r="Q147" s="462" t="s">
        <v>6</v>
      </c>
      <c r="R147" s="462" t="s">
        <v>103</v>
      </c>
    </row>
    <row r="148" spans="1:18" ht="15.75">
      <c r="A148" s="453"/>
      <c r="B148" s="453"/>
      <c r="C148" s="453"/>
      <c r="D148" s="462" t="s">
        <v>104</v>
      </c>
      <c r="E148" s="462" t="s">
        <v>104</v>
      </c>
      <c r="F148" s="462" t="s">
        <v>8</v>
      </c>
      <c r="G148" s="462" t="s">
        <v>6</v>
      </c>
      <c r="H148" s="462" t="s">
        <v>105</v>
      </c>
      <c r="I148" s="462" t="s">
        <v>105</v>
      </c>
      <c r="J148" s="462"/>
      <c r="K148" s="462" t="s">
        <v>252</v>
      </c>
      <c r="L148" s="462" t="s">
        <v>252</v>
      </c>
      <c r="M148" s="462" t="s">
        <v>252</v>
      </c>
      <c r="N148" s="462" t="s">
        <v>252</v>
      </c>
      <c r="O148" s="462" t="s">
        <v>252</v>
      </c>
      <c r="P148" s="462" t="s">
        <v>106</v>
      </c>
      <c r="Q148" s="462" t="s">
        <v>106</v>
      </c>
      <c r="R148" s="462" t="s">
        <v>105</v>
      </c>
    </row>
    <row r="149" spans="1:18" ht="15.75">
      <c r="A149" s="462" t="s">
        <v>17</v>
      </c>
      <c r="B149" s="453"/>
      <c r="C149" s="455" t="s">
        <v>18</v>
      </c>
      <c r="D149" s="462" t="s">
        <v>108</v>
      </c>
      <c r="E149" s="462" t="s">
        <v>109</v>
      </c>
      <c r="F149" s="544" t="s">
        <v>830</v>
      </c>
      <c r="G149" s="544" t="s">
        <v>830</v>
      </c>
      <c r="H149" s="464" t="s">
        <v>110</v>
      </c>
      <c r="I149" s="464" t="s">
        <v>111</v>
      </c>
      <c r="J149" s="462"/>
      <c r="K149" s="462" t="s">
        <v>355</v>
      </c>
      <c r="L149" s="544" t="s">
        <v>255</v>
      </c>
      <c r="M149" s="544" t="s">
        <v>534</v>
      </c>
      <c r="N149" s="544" t="s">
        <v>1037</v>
      </c>
      <c r="O149" s="544" t="s">
        <v>831</v>
      </c>
      <c r="P149" s="713" t="s">
        <v>1035</v>
      </c>
      <c r="Q149" s="713" t="s">
        <v>1036</v>
      </c>
      <c r="R149" s="713" t="s">
        <v>968</v>
      </c>
    </row>
    <row r="150" spans="1:18" ht="15.75">
      <c r="A150" s="712" t="s">
        <v>22</v>
      </c>
      <c r="B150" s="714"/>
      <c r="C150" s="715" t="s">
        <v>23</v>
      </c>
      <c r="D150" s="721" t="s">
        <v>33</v>
      </c>
      <c r="E150" s="721" t="s">
        <v>34</v>
      </c>
      <c r="F150" s="721" t="s">
        <v>35</v>
      </c>
      <c r="G150" s="721" t="s">
        <v>36</v>
      </c>
      <c r="H150" s="721" t="s">
        <v>37</v>
      </c>
      <c r="I150" s="721" t="s">
        <v>38</v>
      </c>
      <c r="J150" s="721"/>
      <c r="K150" s="721" t="s">
        <v>39</v>
      </c>
      <c r="L150" s="721" t="s">
        <v>40</v>
      </c>
      <c r="M150" s="716" t="s">
        <v>1032</v>
      </c>
      <c r="N150" s="716" t="s">
        <v>1033</v>
      </c>
      <c r="O150" s="717" t="s">
        <v>42</v>
      </c>
      <c r="P150" s="717" t="s">
        <v>43</v>
      </c>
      <c r="Q150" s="717" t="s">
        <v>44</v>
      </c>
      <c r="R150" s="717" t="s">
        <v>45</v>
      </c>
    </row>
    <row r="151" spans="1:18" ht="15.75">
      <c r="A151" s="453"/>
      <c r="B151" s="453"/>
      <c r="C151" s="453"/>
      <c r="D151" s="467" t="s">
        <v>117</v>
      </c>
      <c r="E151" s="467" t="s">
        <v>49</v>
      </c>
      <c r="F151" s="467" t="s">
        <v>50</v>
      </c>
      <c r="G151" s="467" t="s">
        <v>50</v>
      </c>
      <c r="H151" s="467" t="s">
        <v>50</v>
      </c>
      <c r="I151" s="467" t="s">
        <v>51</v>
      </c>
      <c r="J151" s="467"/>
      <c r="K151" s="467" t="s">
        <v>50</v>
      </c>
      <c r="L151" s="467" t="s">
        <v>50</v>
      </c>
      <c r="M151" s="467" t="s">
        <v>50</v>
      </c>
      <c r="N151" s="467" t="s">
        <v>50</v>
      </c>
      <c r="O151" s="467" t="s">
        <v>50</v>
      </c>
      <c r="P151" s="467" t="s">
        <v>50</v>
      </c>
      <c r="Q151" s="467" t="s">
        <v>50</v>
      </c>
      <c r="R151" s="467" t="s">
        <v>51</v>
      </c>
    </row>
    <row r="152" spans="1:18" ht="15.75">
      <c r="A152" s="468">
        <v>1</v>
      </c>
      <c r="C152" s="455" t="s">
        <v>92</v>
      </c>
      <c r="D152" s="468">
        <v>100</v>
      </c>
      <c r="E152" s="474">
        <v>14400</v>
      </c>
      <c r="F152" s="719">
        <v>2097.4928</v>
      </c>
      <c r="G152" s="719">
        <v>2231.6336000000001</v>
      </c>
      <c r="H152" s="719">
        <v>134.14080000000013</v>
      </c>
      <c r="I152" s="511">
        <v>6.4</v>
      </c>
      <c r="J152" s="719"/>
      <c r="K152" s="719">
        <v>50.22</v>
      </c>
      <c r="L152" s="719">
        <v>50.44</v>
      </c>
      <c r="M152" s="719">
        <v>11.02</v>
      </c>
      <c r="N152" s="719">
        <v>10</v>
      </c>
      <c r="O152" s="719">
        <v>35.64</v>
      </c>
      <c r="P152" s="719">
        <v>2244.8127999999997</v>
      </c>
      <c r="Q152" s="719">
        <v>2377.9335999999998</v>
      </c>
      <c r="R152" s="475">
        <v>5.8999999999999995</v>
      </c>
    </row>
    <row r="153" spans="1:18">
      <c r="A153" s="468">
        <v>2</v>
      </c>
      <c r="D153" s="468">
        <v>100</v>
      </c>
      <c r="E153" s="474">
        <v>28800</v>
      </c>
      <c r="F153" s="719">
        <v>3127.9856</v>
      </c>
      <c r="G153" s="719">
        <v>3330.2672000000002</v>
      </c>
      <c r="H153" s="719">
        <v>202.28160000000025</v>
      </c>
      <c r="I153" s="511">
        <v>6.5</v>
      </c>
      <c r="J153" s="719"/>
      <c r="K153" s="719">
        <v>100.43</v>
      </c>
      <c r="L153" s="719">
        <v>100.89</v>
      </c>
      <c r="M153" s="719">
        <v>15.11</v>
      </c>
      <c r="N153" s="719">
        <v>13.81</v>
      </c>
      <c r="O153" s="719">
        <v>71.28</v>
      </c>
      <c r="P153" s="719">
        <v>3415.6956</v>
      </c>
      <c r="Q153" s="719">
        <v>3616.6772000000001</v>
      </c>
      <c r="R153" s="475">
        <v>5.8999999999999995</v>
      </c>
    </row>
    <row r="154" spans="1:18">
      <c r="A154" s="468">
        <v>3</v>
      </c>
      <c r="D154" s="468">
        <v>100</v>
      </c>
      <c r="E154" s="474">
        <v>43200</v>
      </c>
      <c r="F154" s="719">
        <v>4033.1576</v>
      </c>
      <c r="G154" s="719">
        <v>4294.4984000000004</v>
      </c>
      <c r="H154" s="719">
        <v>261.3408000000004</v>
      </c>
      <c r="I154" s="511">
        <v>6.5</v>
      </c>
      <c r="J154" s="719"/>
      <c r="K154" s="719">
        <v>150.65</v>
      </c>
      <c r="L154" s="719">
        <v>151.33000000000001</v>
      </c>
      <c r="M154" s="719">
        <v>18.39</v>
      </c>
      <c r="N154" s="719">
        <v>16.89</v>
      </c>
      <c r="O154" s="719">
        <v>106.92</v>
      </c>
      <c r="P154" s="719">
        <v>4460.4476000000004</v>
      </c>
      <c r="Q154" s="719">
        <v>4720.2884000000004</v>
      </c>
      <c r="R154" s="475">
        <v>5.8000000000000007</v>
      </c>
    </row>
    <row r="155" spans="1:18">
      <c r="A155" s="468">
        <v>4</v>
      </c>
      <c r="D155" s="468">
        <v>200</v>
      </c>
      <c r="E155" s="474">
        <v>28800</v>
      </c>
      <c r="F155" s="719">
        <v>4077.9856</v>
      </c>
      <c r="G155" s="719">
        <v>4343.2672000000002</v>
      </c>
      <c r="H155" s="719">
        <v>265.28160000000025</v>
      </c>
      <c r="I155" s="511">
        <v>6.5</v>
      </c>
      <c r="J155" s="719"/>
      <c r="K155" s="719">
        <v>100.43</v>
      </c>
      <c r="L155" s="719">
        <v>100.89</v>
      </c>
      <c r="M155" s="719">
        <v>21.28</v>
      </c>
      <c r="N155" s="719">
        <v>19.34</v>
      </c>
      <c r="O155" s="719">
        <v>71.28</v>
      </c>
      <c r="P155" s="719">
        <v>4371.8656000000001</v>
      </c>
      <c r="Q155" s="719">
        <v>4635.2072000000007</v>
      </c>
      <c r="R155" s="475">
        <v>6</v>
      </c>
    </row>
    <row r="156" spans="1:18">
      <c r="A156" s="468">
        <v>5</v>
      </c>
      <c r="D156" s="468">
        <v>200</v>
      </c>
      <c r="E156" s="474">
        <v>57600</v>
      </c>
      <c r="F156" s="719">
        <v>6138.9712</v>
      </c>
      <c r="G156" s="719">
        <v>6540.5344000000005</v>
      </c>
      <c r="H156" s="719">
        <v>401.56320000000051</v>
      </c>
      <c r="I156" s="511">
        <v>6.5</v>
      </c>
      <c r="J156" s="719"/>
      <c r="K156" s="719">
        <v>200.86</v>
      </c>
      <c r="L156" s="719">
        <v>201.77</v>
      </c>
      <c r="M156" s="719">
        <v>29.47</v>
      </c>
      <c r="N156" s="719">
        <v>26.97</v>
      </c>
      <c r="O156" s="719">
        <v>142.56</v>
      </c>
      <c r="P156" s="719">
        <v>6713.6312000000007</v>
      </c>
      <c r="Q156" s="719">
        <v>7112.6944000000012</v>
      </c>
      <c r="R156" s="475">
        <v>5.8999999999999995</v>
      </c>
    </row>
    <row r="157" spans="1:18">
      <c r="A157" s="468">
        <v>6</v>
      </c>
      <c r="D157" s="468">
        <v>200</v>
      </c>
      <c r="E157" s="474">
        <v>86400</v>
      </c>
      <c r="F157" s="719">
        <v>7949.3152</v>
      </c>
      <c r="G157" s="719">
        <v>8468.9968000000008</v>
      </c>
      <c r="H157" s="719">
        <v>519.6816000000008</v>
      </c>
      <c r="I157" s="511">
        <v>6.5</v>
      </c>
      <c r="J157" s="719"/>
      <c r="K157" s="719">
        <v>301.3</v>
      </c>
      <c r="L157" s="719">
        <v>302.66000000000003</v>
      </c>
      <c r="M157" s="719">
        <v>36.020000000000003</v>
      </c>
      <c r="N157" s="719">
        <v>33.130000000000003</v>
      </c>
      <c r="O157" s="719">
        <v>213.84</v>
      </c>
      <c r="P157" s="719">
        <v>8803.1352000000006</v>
      </c>
      <c r="Q157" s="719">
        <v>9319.9267999999993</v>
      </c>
      <c r="R157" s="475">
        <v>5.8999999999999995</v>
      </c>
    </row>
    <row r="158" spans="1:18">
      <c r="A158" s="468">
        <v>7</v>
      </c>
      <c r="D158" s="468">
        <v>300</v>
      </c>
      <c r="E158" s="474">
        <v>43200</v>
      </c>
      <c r="F158" s="719">
        <v>6058.4784</v>
      </c>
      <c r="G158" s="719">
        <v>6454.9008000000003</v>
      </c>
      <c r="H158" s="719">
        <v>396.42240000000038</v>
      </c>
      <c r="I158" s="511">
        <v>6.5</v>
      </c>
      <c r="J158" s="719"/>
      <c r="K158" s="719">
        <v>150.65</v>
      </c>
      <c r="L158" s="719">
        <v>151.33000000000001</v>
      </c>
      <c r="M158" s="719">
        <v>31.54</v>
      </c>
      <c r="N158" s="719">
        <v>28.69</v>
      </c>
      <c r="O158" s="719">
        <v>106.92</v>
      </c>
      <c r="P158" s="719">
        <v>6498.9183999999996</v>
      </c>
      <c r="Q158" s="719">
        <v>6892.4907999999996</v>
      </c>
      <c r="R158" s="475">
        <v>6.1</v>
      </c>
    </row>
    <row r="159" spans="1:18">
      <c r="A159" s="468">
        <v>8</v>
      </c>
      <c r="D159" s="468">
        <v>300</v>
      </c>
      <c r="E159" s="474">
        <v>86400</v>
      </c>
      <c r="F159" s="719">
        <v>9149.9567999999999</v>
      </c>
      <c r="G159" s="719">
        <v>9750.8016000000007</v>
      </c>
      <c r="H159" s="719">
        <v>600.84480000000076</v>
      </c>
      <c r="I159" s="511">
        <v>6.6000000000000005</v>
      </c>
      <c r="J159" s="719"/>
      <c r="K159" s="719">
        <v>301.3</v>
      </c>
      <c r="L159" s="719">
        <v>302.66000000000003</v>
      </c>
      <c r="M159" s="719">
        <v>43.82</v>
      </c>
      <c r="N159" s="719">
        <v>40.130000000000003</v>
      </c>
      <c r="O159" s="719">
        <v>213.84</v>
      </c>
      <c r="P159" s="719">
        <v>10011.576799999999</v>
      </c>
      <c r="Q159" s="719">
        <v>10608.731599999999</v>
      </c>
      <c r="R159" s="475">
        <v>6</v>
      </c>
    </row>
    <row r="160" spans="1:18">
      <c r="A160" s="468">
        <v>9</v>
      </c>
      <c r="D160" s="468">
        <v>300</v>
      </c>
      <c r="E160" s="474">
        <v>129600</v>
      </c>
      <c r="F160" s="719">
        <v>11865.4728</v>
      </c>
      <c r="G160" s="719">
        <v>12643.495199999999</v>
      </c>
      <c r="H160" s="719">
        <v>778.02239999999983</v>
      </c>
      <c r="I160" s="511">
        <v>6.6000000000000005</v>
      </c>
      <c r="J160" s="719"/>
      <c r="K160" s="719">
        <v>451.94</v>
      </c>
      <c r="L160" s="719">
        <v>453.99</v>
      </c>
      <c r="M160" s="719">
        <v>53.66</v>
      </c>
      <c r="N160" s="719">
        <v>49.37</v>
      </c>
      <c r="O160" s="719">
        <v>320.76</v>
      </c>
      <c r="P160" s="719">
        <v>13145.8228</v>
      </c>
      <c r="Q160" s="719">
        <v>13919.555200000001</v>
      </c>
      <c r="R160" s="475">
        <v>5.8999999999999995</v>
      </c>
    </row>
    <row r="161" spans="1:18">
      <c r="A161" s="468">
        <v>10</v>
      </c>
      <c r="D161" s="468">
        <v>500</v>
      </c>
      <c r="E161" s="474">
        <v>72000</v>
      </c>
      <c r="F161" s="719">
        <v>10019.464</v>
      </c>
      <c r="G161" s="719">
        <v>10678.168</v>
      </c>
      <c r="H161" s="719">
        <v>658.70399999999972</v>
      </c>
      <c r="I161" s="511">
        <v>6.6000000000000005</v>
      </c>
      <c r="J161" s="719"/>
      <c r="K161" s="719">
        <v>251.08</v>
      </c>
      <c r="L161" s="719">
        <v>252.22</v>
      </c>
      <c r="M161" s="719">
        <v>52.07</v>
      </c>
      <c r="N161" s="719">
        <v>47.38</v>
      </c>
      <c r="O161" s="719">
        <v>178.2</v>
      </c>
      <c r="P161" s="719">
        <v>10753.034</v>
      </c>
      <c r="Q161" s="719">
        <v>11407.047999999999</v>
      </c>
      <c r="R161" s="475">
        <v>6.1</v>
      </c>
    </row>
    <row r="162" spans="1:18">
      <c r="A162" s="468">
        <v>11</v>
      </c>
      <c r="D162" s="468">
        <v>500</v>
      </c>
      <c r="E162" s="474">
        <v>144000</v>
      </c>
      <c r="F162" s="719">
        <v>15171.928</v>
      </c>
      <c r="G162" s="719">
        <v>16171.335999999999</v>
      </c>
      <c r="H162" s="719">
        <v>999.40799999999945</v>
      </c>
      <c r="I162" s="511">
        <v>6.6000000000000005</v>
      </c>
      <c r="J162" s="719"/>
      <c r="K162" s="719">
        <v>502.16</v>
      </c>
      <c r="L162" s="719">
        <v>504.43</v>
      </c>
      <c r="M162" s="719">
        <v>72.53</v>
      </c>
      <c r="N162" s="719">
        <v>66.44</v>
      </c>
      <c r="O162" s="719">
        <v>356.4</v>
      </c>
      <c r="P162" s="719">
        <v>16607.448</v>
      </c>
      <c r="Q162" s="719">
        <v>17600.766</v>
      </c>
      <c r="R162" s="475">
        <v>6</v>
      </c>
    </row>
    <row r="163" spans="1:18">
      <c r="A163" s="468">
        <v>12</v>
      </c>
      <c r="D163" s="468">
        <v>500</v>
      </c>
      <c r="E163" s="474">
        <v>216000</v>
      </c>
      <c r="F163" s="719">
        <v>19697.788</v>
      </c>
      <c r="G163" s="719">
        <v>20992.491999999998</v>
      </c>
      <c r="H163" s="719">
        <v>1294.7039999999979</v>
      </c>
      <c r="I163" s="511">
        <v>6.6000000000000005</v>
      </c>
      <c r="J163" s="719"/>
      <c r="K163" s="719">
        <v>753.24</v>
      </c>
      <c r="L163" s="719">
        <v>756.65</v>
      </c>
      <c r="M163" s="719">
        <v>88.92</v>
      </c>
      <c r="N163" s="719">
        <v>81.84</v>
      </c>
      <c r="O163" s="719">
        <v>534.6</v>
      </c>
      <c r="P163" s="719">
        <v>21831.198</v>
      </c>
      <c r="Q163" s="719">
        <v>23118.822</v>
      </c>
      <c r="R163" s="475">
        <v>5.8999999999999995</v>
      </c>
    </row>
    <row r="164" spans="1:18">
      <c r="A164" s="468">
        <v>13</v>
      </c>
      <c r="D164" s="468">
        <v>800</v>
      </c>
      <c r="E164" s="474">
        <v>115200</v>
      </c>
      <c r="F164" s="719">
        <v>15960.9424</v>
      </c>
      <c r="G164" s="719">
        <v>17013.068800000001</v>
      </c>
      <c r="H164" s="719">
        <v>1052.126400000001</v>
      </c>
      <c r="I164" s="511">
        <v>6.6000000000000005</v>
      </c>
      <c r="J164" s="719"/>
      <c r="K164" s="719">
        <v>401.73</v>
      </c>
      <c r="L164" s="719">
        <v>403.55</v>
      </c>
      <c r="M164" s="719">
        <v>82.85</v>
      </c>
      <c r="N164" s="719">
        <v>75.41</v>
      </c>
      <c r="O164" s="719">
        <v>285.12</v>
      </c>
      <c r="P164" s="719">
        <v>17134.192399999996</v>
      </c>
      <c r="Q164" s="719">
        <v>18178.878799999999</v>
      </c>
      <c r="R164" s="475">
        <v>6.1</v>
      </c>
    </row>
    <row r="165" spans="1:18">
      <c r="A165" s="468">
        <v>14</v>
      </c>
      <c r="D165" s="468">
        <v>800</v>
      </c>
      <c r="E165" s="474">
        <v>230400</v>
      </c>
      <c r="F165" s="719">
        <v>24204.8848</v>
      </c>
      <c r="G165" s="719">
        <v>25802.137600000002</v>
      </c>
      <c r="H165" s="719">
        <v>1597.252800000002</v>
      </c>
      <c r="I165" s="511">
        <v>6.6000000000000005</v>
      </c>
      <c r="J165" s="719"/>
      <c r="K165" s="719">
        <v>803.45</v>
      </c>
      <c r="L165" s="719">
        <v>807.09</v>
      </c>
      <c r="M165" s="719">
        <v>115.59</v>
      </c>
      <c r="N165" s="719">
        <v>105.92</v>
      </c>
      <c r="O165" s="719">
        <v>570.24</v>
      </c>
      <c r="P165" s="719">
        <v>26501.254800000002</v>
      </c>
      <c r="Q165" s="719">
        <v>28088.837600000003</v>
      </c>
      <c r="R165" s="475">
        <v>6</v>
      </c>
    </row>
    <row r="166" spans="1:18">
      <c r="A166" s="468">
        <v>15</v>
      </c>
      <c r="D166" s="468">
        <v>800</v>
      </c>
      <c r="E166" s="474">
        <v>345600</v>
      </c>
      <c r="F166" s="719">
        <v>31446.2608</v>
      </c>
      <c r="G166" s="719">
        <v>33515.987200000003</v>
      </c>
      <c r="H166" s="719">
        <v>2069.7264000000032</v>
      </c>
      <c r="I166" s="511">
        <v>6.6000000000000005</v>
      </c>
      <c r="J166" s="719"/>
      <c r="K166" s="719">
        <v>1205.18</v>
      </c>
      <c r="L166" s="719">
        <v>1210.6400000000001</v>
      </c>
      <c r="M166" s="719">
        <v>141.82</v>
      </c>
      <c r="N166" s="719">
        <v>130.55000000000001</v>
      </c>
      <c r="O166" s="719">
        <v>855.36</v>
      </c>
      <c r="P166" s="719">
        <v>34859.260800000004</v>
      </c>
      <c r="Q166" s="719">
        <v>36917.717200000006</v>
      </c>
      <c r="R166" s="475">
        <v>5.8999999999999995</v>
      </c>
    </row>
    <row r="167" spans="1:18">
      <c r="A167" s="468">
        <v>16</v>
      </c>
      <c r="D167" s="468">
        <v>1000</v>
      </c>
      <c r="E167" s="474">
        <v>144000</v>
      </c>
      <c r="F167" s="719">
        <v>19921.928</v>
      </c>
      <c r="G167" s="719">
        <v>21236.335999999999</v>
      </c>
      <c r="H167" s="719">
        <v>1314.4079999999994</v>
      </c>
      <c r="I167" s="511">
        <v>6.6000000000000005</v>
      </c>
      <c r="J167" s="719"/>
      <c r="K167" s="719">
        <v>502.16</v>
      </c>
      <c r="L167" s="719">
        <v>504.43</v>
      </c>
      <c r="M167" s="719">
        <v>103.38</v>
      </c>
      <c r="N167" s="719">
        <v>94.1</v>
      </c>
      <c r="O167" s="719">
        <v>356.4</v>
      </c>
      <c r="P167" s="719">
        <v>21388.298000000003</v>
      </c>
      <c r="Q167" s="719">
        <v>22693.425999999999</v>
      </c>
      <c r="R167" s="475">
        <v>6.1</v>
      </c>
    </row>
    <row r="168" spans="1:18">
      <c r="A168" s="468">
        <v>17</v>
      </c>
      <c r="D168" s="468">
        <v>1000</v>
      </c>
      <c r="E168" s="474">
        <v>288000</v>
      </c>
      <c r="F168" s="719">
        <v>30226.856</v>
      </c>
      <c r="G168" s="719">
        <v>32222.671999999999</v>
      </c>
      <c r="H168" s="719">
        <v>1995.8159999999989</v>
      </c>
      <c r="I168" s="511">
        <v>6.6000000000000005</v>
      </c>
      <c r="J168" s="719"/>
      <c r="K168" s="719">
        <v>1004.32</v>
      </c>
      <c r="L168" s="719">
        <v>1008.86</v>
      </c>
      <c r="M168" s="719">
        <v>144.30000000000001</v>
      </c>
      <c r="N168" s="719">
        <v>132.22999999999999</v>
      </c>
      <c r="O168" s="719">
        <v>712.8</v>
      </c>
      <c r="P168" s="719">
        <v>33097.135999999999</v>
      </c>
      <c r="Q168" s="719">
        <v>35080.882000000005</v>
      </c>
      <c r="R168" s="475">
        <v>6</v>
      </c>
    </row>
    <row r="169" spans="1:18">
      <c r="A169" s="468">
        <v>18</v>
      </c>
      <c r="D169" s="468">
        <v>1000</v>
      </c>
      <c r="E169" s="474">
        <v>432000</v>
      </c>
      <c r="F169" s="719">
        <v>39278.576000000001</v>
      </c>
      <c r="G169" s="719">
        <v>41864.983999999997</v>
      </c>
      <c r="H169" s="719">
        <v>2586.4079999999958</v>
      </c>
      <c r="I169" s="511">
        <v>6.6000000000000005</v>
      </c>
      <c r="J169" s="719"/>
      <c r="K169" s="719">
        <v>1506.48</v>
      </c>
      <c r="L169" s="719">
        <v>1513.3</v>
      </c>
      <c r="M169" s="719">
        <v>177.08</v>
      </c>
      <c r="N169" s="719">
        <v>163.02000000000001</v>
      </c>
      <c r="O169" s="719">
        <v>1069.2</v>
      </c>
      <c r="P169" s="719">
        <v>43544.636000000006</v>
      </c>
      <c r="Q169" s="719">
        <v>46116.983999999997</v>
      </c>
      <c r="R169" s="475">
        <v>5.8999999999999995</v>
      </c>
    </row>
    <row r="170" spans="1:18">
      <c r="A170" s="468">
        <v>19</v>
      </c>
      <c r="D170" s="468">
        <v>1500</v>
      </c>
      <c r="E170" s="474">
        <v>216000</v>
      </c>
      <c r="F170" s="719">
        <v>29824.392</v>
      </c>
      <c r="G170" s="719">
        <v>31794.504000000001</v>
      </c>
      <c r="H170" s="719">
        <v>1970.112000000001</v>
      </c>
      <c r="I170" s="511">
        <v>6.6000000000000005</v>
      </c>
      <c r="J170" s="719"/>
      <c r="K170" s="719">
        <v>753.24</v>
      </c>
      <c r="L170" s="719">
        <v>756.65</v>
      </c>
      <c r="M170" s="719">
        <v>154.69</v>
      </c>
      <c r="N170" s="719">
        <v>140.83000000000001</v>
      </c>
      <c r="O170" s="719">
        <v>534.6</v>
      </c>
      <c r="P170" s="719">
        <v>32023.572</v>
      </c>
      <c r="Q170" s="719">
        <v>33979.824000000001</v>
      </c>
      <c r="R170" s="475">
        <v>6.1</v>
      </c>
    </row>
    <row r="171" spans="1:18">
      <c r="A171" s="468">
        <v>20</v>
      </c>
      <c r="D171" s="468">
        <v>1500</v>
      </c>
      <c r="E171" s="474">
        <v>432000</v>
      </c>
      <c r="F171" s="719">
        <v>45281.784</v>
      </c>
      <c r="G171" s="719">
        <v>48274.008000000002</v>
      </c>
      <c r="H171" s="719">
        <v>2992.224000000002</v>
      </c>
      <c r="I171" s="511">
        <v>6.6000000000000005</v>
      </c>
      <c r="J171" s="719"/>
      <c r="K171" s="719">
        <v>1506.48</v>
      </c>
      <c r="L171" s="719">
        <v>1513.3</v>
      </c>
      <c r="M171" s="719">
        <v>216.07</v>
      </c>
      <c r="N171" s="719">
        <v>198.02</v>
      </c>
      <c r="O171" s="719">
        <v>1069.2</v>
      </c>
      <c r="P171" s="719">
        <v>49586.834000000003</v>
      </c>
      <c r="Q171" s="719">
        <v>52561.008000000002</v>
      </c>
      <c r="R171" s="475">
        <v>6</v>
      </c>
    </row>
    <row r="172" spans="1:18">
      <c r="A172" s="468">
        <v>21</v>
      </c>
      <c r="D172" s="468">
        <v>1500</v>
      </c>
      <c r="E172" s="474">
        <v>648000</v>
      </c>
      <c r="F172" s="719">
        <v>58859.364000000001</v>
      </c>
      <c r="G172" s="719">
        <v>62737.476000000002</v>
      </c>
      <c r="H172" s="719">
        <v>3878.112000000001</v>
      </c>
      <c r="I172" s="511">
        <v>6.6000000000000005</v>
      </c>
      <c r="J172" s="719"/>
      <c r="K172" s="719">
        <v>2259.71</v>
      </c>
      <c r="L172" s="719">
        <v>2269.94</v>
      </c>
      <c r="M172" s="719">
        <v>265.25</v>
      </c>
      <c r="N172" s="719">
        <v>244.21</v>
      </c>
      <c r="O172" s="719">
        <v>1603.8</v>
      </c>
      <c r="P172" s="719">
        <v>65258.064000000006</v>
      </c>
      <c r="Q172" s="719">
        <v>69115.136000000013</v>
      </c>
      <c r="R172" s="475">
        <v>5.8999999999999995</v>
      </c>
    </row>
    <row r="173" spans="1:18">
      <c r="A173" s="468">
        <v>22</v>
      </c>
      <c r="D173" s="468">
        <v>3000</v>
      </c>
      <c r="E173" s="474">
        <v>432000</v>
      </c>
      <c r="F173" s="719">
        <v>59531.784</v>
      </c>
      <c r="G173" s="719">
        <v>63469.008000000002</v>
      </c>
      <c r="H173" s="719">
        <v>3937.224000000002</v>
      </c>
      <c r="I173" s="511">
        <v>6.6000000000000005</v>
      </c>
      <c r="J173" s="719"/>
      <c r="K173" s="719">
        <v>1506.48</v>
      </c>
      <c r="L173" s="719">
        <v>1513.3</v>
      </c>
      <c r="M173" s="719">
        <v>308.61</v>
      </c>
      <c r="N173" s="719">
        <v>281</v>
      </c>
      <c r="O173" s="719">
        <v>1069.2</v>
      </c>
      <c r="P173" s="719">
        <v>63929.374000000003</v>
      </c>
      <c r="Q173" s="719">
        <v>67838.987999999998</v>
      </c>
      <c r="R173" s="475">
        <v>6.1</v>
      </c>
    </row>
    <row r="174" spans="1:18">
      <c r="A174" s="468">
        <v>23</v>
      </c>
      <c r="D174" s="468">
        <v>3000</v>
      </c>
      <c r="E174" s="474">
        <v>864000</v>
      </c>
      <c r="F174" s="719">
        <v>90446.567999999999</v>
      </c>
      <c r="G174" s="719">
        <v>96428.016000000003</v>
      </c>
      <c r="H174" s="719">
        <v>5981.448000000004</v>
      </c>
      <c r="I174" s="511">
        <v>6.6000000000000005</v>
      </c>
      <c r="J174" s="719"/>
      <c r="K174" s="719">
        <v>3012.95</v>
      </c>
      <c r="L174" s="719">
        <v>3026.59</v>
      </c>
      <c r="M174" s="719">
        <v>431.38</v>
      </c>
      <c r="N174" s="719">
        <v>395.39</v>
      </c>
      <c r="O174" s="719">
        <v>2138.4</v>
      </c>
      <c r="P174" s="719">
        <v>99055.887999999992</v>
      </c>
      <c r="Q174" s="719">
        <v>105001.34599999999</v>
      </c>
      <c r="R174" s="475">
        <v>6</v>
      </c>
    </row>
    <row r="175" spans="1:18">
      <c r="A175" s="468">
        <v>24</v>
      </c>
      <c r="D175" s="468">
        <v>3000</v>
      </c>
      <c r="E175" s="474">
        <v>1296000</v>
      </c>
      <c r="F175" s="719">
        <v>117601.728</v>
      </c>
      <c r="G175" s="719">
        <v>125354.952</v>
      </c>
      <c r="H175" s="719">
        <v>7753.224000000002</v>
      </c>
      <c r="I175" s="511">
        <v>6.6000000000000005</v>
      </c>
      <c r="J175" s="719"/>
      <c r="K175" s="719">
        <v>4519.43</v>
      </c>
      <c r="L175" s="719">
        <v>4539.8900000000003</v>
      </c>
      <c r="M175" s="719">
        <v>529.73</v>
      </c>
      <c r="N175" s="719">
        <v>487.76</v>
      </c>
      <c r="O175" s="719">
        <v>3207.6</v>
      </c>
      <c r="P175" s="719">
        <v>130398.378</v>
      </c>
      <c r="Q175" s="719">
        <v>138109.63200000004</v>
      </c>
      <c r="R175" s="475">
        <v>5.8999999999999995</v>
      </c>
    </row>
    <row r="176" spans="1:18">
      <c r="A176" s="720" t="s">
        <v>173</v>
      </c>
    </row>
    <row r="177" spans="1:18">
      <c r="H177" s="719"/>
      <c r="I177" s="511"/>
      <c r="J177" s="511"/>
      <c r="K177" s="719"/>
      <c r="L177" s="719"/>
      <c r="M177" s="719"/>
      <c r="N177" s="719"/>
      <c r="O177" s="719"/>
      <c r="P177" s="719"/>
      <c r="Q177" s="719"/>
      <c r="R177" s="511"/>
    </row>
    <row r="178" spans="1:18" ht="15.75">
      <c r="C178" s="455" t="s">
        <v>1338</v>
      </c>
      <c r="H178" s="719"/>
      <c r="I178" s="511"/>
      <c r="J178" s="511"/>
      <c r="K178" s="719"/>
      <c r="L178" s="719"/>
      <c r="M178" s="719"/>
      <c r="N178" s="719"/>
      <c r="O178" s="719"/>
      <c r="P178" s="719"/>
      <c r="Q178" s="719"/>
      <c r="R178" s="511"/>
    </row>
    <row r="179" spans="1:18" ht="15.75">
      <c r="A179" s="720" t="s">
        <v>173</v>
      </c>
      <c r="C179" s="455" t="s">
        <v>1339</v>
      </c>
      <c r="H179" s="719"/>
      <c r="K179" s="719"/>
      <c r="L179" s="719"/>
      <c r="M179" s="719"/>
      <c r="N179" s="719"/>
      <c r="O179" s="719"/>
    </row>
    <row r="180" spans="1:18" ht="15.75">
      <c r="A180" s="720"/>
      <c r="C180" s="455" t="s">
        <v>1340</v>
      </c>
      <c r="H180" s="719"/>
      <c r="K180" s="719"/>
      <c r="L180" s="719"/>
      <c r="M180" s="719"/>
      <c r="N180" s="719"/>
      <c r="O180" s="719"/>
    </row>
    <row r="181" spans="1:18" ht="15.75">
      <c r="A181" s="720"/>
      <c r="C181" s="455" t="s">
        <v>1344</v>
      </c>
      <c r="H181" s="719"/>
      <c r="K181" s="719"/>
      <c r="L181" s="719"/>
      <c r="M181" s="719"/>
      <c r="N181" s="719"/>
      <c r="O181" s="719"/>
    </row>
    <row r="182" spans="1:18" ht="15.75">
      <c r="C182" s="455" t="s">
        <v>1342</v>
      </c>
    </row>
    <row r="183" spans="1:18" ht="15.75">
      <c r="C183" s="455" t="s">
        <v>1348</v>
      </c>
    </row>
    <row r="184" spans="1:18" ht="15.75">
      <c r="A184" s="452" t="s">
        <v>479</v>
      </c>
      <c r="B184" s="452"/>
      <c r="C184" s="452"/>
      <c r="D184" s="452"/>
      <c r="E184" s="452"/>
      <c r="F184" s="452"/>
      <c r="G184" s="452"/>
      <c r="H184" s="452"/>
      <c r="I184" s="452"/>
      <c r="J184" s="452"/>
      <c r="K184" s="452"/>
      <c r="L184" s="452"/>
      <c r="M184" s="452"/>
      <c r="N184" s="452"/>
      <c r="O184" s="452"/>
      <c r="P184" s="452"/>
      <c r="Q184" s="452"/>
      <c r="R184" s="452"/>
    </row>
    <row r="185" spans="1:18" ht="15.75">
      <c r="A185" s="452" t="s">
        <v>1132</v>
      </c>
      <c r="B185" s="452"/>
      <c r="C185" s="452"/>
      <c r="D185" s="452"/>
      <c r="E185" s="452"/>
      <c r="F185" s="452"/>
      <c r="G185" s="452"/>
      <c r="H185" s="452"/>
      <c r="I185" s="452"/>
      <c r="J185" s="452"/>
      <c r="K185" s="452"/>
      <c r="L185" s="452"/>
      <c r="M185" s="452"/>
      <c r="N185" s="452"/>
      <c r="O185" s="452"/>
      <c r="P185" s="452"/>
      <c r="Q185" s="452"/>
      <c r="R185" s="452"/>
    </row>
    <row r="186" spans="1:18" ht="15.75">
      <c r="A186" s="452" t="s">
        <v>171</v>
      </c>
      <c r="B186" s="452"/>
      <c r="C186" s="452"/>
      <c r="D186" s="452"/>
      <c r="E186" s="452"/>
      <c r="F186" s="452"/>
      <c r="G186" s="452"/>
      <c r="H186" s="452"/>
      <c r="I186" s="452"/>
      <c r="J186" s="452"/>
      <c r="K186" s="452"/>
      <c r="L186" s="452"/>
      <c r="M186" s="452"/>
      <c r="N186" s="452"/>
      <c r="O186" s="452"/>
      <c r="P186" s="452"/>
      <c r="Q186" s="452"/>
      <c r="R186" s="452"/>
    </row>
    <row r="187" spans="1:18" ht="15.75">
      <c r="A187" s="452" t="s">
        <v>2</v>
      </c>
      <c r="B187" s="452"/>
      <c r="C187" s="452"/>
      <c r="D187" s="452"/>
      <c r="E187" s="452"/>
      <c r="F187" s="452"/>
      <c r="G187" s="452"/>
      <c r="H187" s="452"/>
      <c r="I187" s="452"/>
      <c r="J187" s="452"/>
      <c r="K187" s="452"/>
      <c r="L187" s="452"/>
      <c r="M187" s="452"/>
      <c r="N187" s="452"/>
      <c r="O187" s="452"/>
      <c r="P187" s="452"/>
      <c r="Q187" s="452"/>
      <c r="R187" s="452"/>
    </row>
    <row r="188" spans="1:18" ht="15.75">
      <c r="A188" s="455"/>
      <c r="B188" s="453"/>
      <c r="C188" s="453"/>
      <c r="D188" s="453"/>
      <c r="E188" s="453"/>
      <c r="F188" s="453"/>
      <c r="G188" s="453"/>
      <c r="H188" s="453"/>
      <c r="I188" s="453"/>
      <c r="J188" s="453"/>
      <c r="K188" s="453"/>
      <c r="L188" s="453"/>
      <c r="M188" s="453"/>
      <c r="N188" s="453"/>
      <c r="O188" s="453"/>
      <c r="P188" s="453"/>
      <c r="Q188" s="453"/>
      <c r="R188" s="453"/>
    </row>
    <row r="189" spans="1:18" ht="15.75">
      <c r="A189" s="453" t="s">
        <v>539</v>
      </c>
      <c r="B189" s="453"/>
      <c r="C189" s="453"/>
      <c r="D189" s="453"/>
      <c r="E189" s="453"/>
      <c r="F189" s="453"/>
      <c r="G189" s="453"/>
      <c r="H189" s="453"/>
      <c r="I189" s="453"/>
      <c r="J189" s="453"/>
      <c r="K189" s="453"/>
      <c r="L189" s="453"/>
      <c r="M189" s="453"/>
      <c r="N189" s="453"/>
      <c r="O189" s="453"/>
      <c r="P189" s="453"/>
      <c r="Q189" s="455" t="s">
        <v>172</v>
      </c>
      <c r="R189" s="453"/>
    </row>
    <row r="190" spans="1:18" ht="15.75">
      <c r="A190" s="453" t="s">
        <v>333</v>
      </c>
      <c r="B190" s="453"/>
      <c r="C190" s="453"/>
      <c r="D190" s="453"/>
      <c r="E190" s="453"/>
      <c r="F190" s="453"/>
      <c r="G190" s="453"/>
      <c r="H190" s="453"/>
      <c r="I190" s="453"/>
      <c r="J190" s="453"/>
      <c r="K190" s="453"/>
      <c r="L190" s="453"/>
      <c r="M190" s="453"/>
      <c r="N190" s="453"/>
      <c r="O190" s="453"/>
      <c r="P190" s="453"/>
      <c r="Q190" s="455" t="s">
        <v>123</v>
      </c>
      <c r="R190" s="453"/>
    </row>
    <row r="191" spans="1:18" ht="15.75">
      <c r="A191" s="455" t="s">
        <v>100</v>
      </c>
      <c r="B191" s="453"/>
      <c r="C191" s="453"/>
      <c r="D191" s="453"/>
      <c r="E191" s="453"/>
      <c r="F191" s="453"/>
      <c r="G191" s="453"/>
      <c r="H191" s="453"/>
      <c r="I191" s="453"/>
      <c r="J191" s="453"/>
      <c r="K191" s="453"/>
      <c r="L191" s="453"/>
      <c r="M191" s="453"/>
      <c r="N191" s="453"/>
      <c r="O191" s="453"/>
      <c r="P191" s="453"/>
      <c r="Q191" s="455" t="s">
        <v>3</v>
      </c>
      <c r="R191" s="453"/>
    </row>
    <row r="192" spans="1:18" ht="15.75">
      <c r="A192" s="465" t="s">
        <v>1135</v>
      </c>
      <c r="B192" s="453"/>
      <c r="C192" s="453"/>
      <c r="D192" s="453"/>
      <c r="E192" s="453"/>
      <c r="F192" s="453"/>
      <c r="G192" s="453"/>
      <c r="H192" s="453"/>
      <c r="I192" s="453"/>
      <c r="J192" s="453"/>
      <c r="K192" s="453"/>
      <c r="L192" s="453"/>
      <c r="M192" s="453"/>
      <c r="N192" s="453"/>
      <c r="O192" s="453"/>
      <c r="P192" s="453"/>
      <c r="Q192" s="453" t="s">
        <v>970</v>
      </c>
      <c r="R192" s="453"/>
    </row>
    <row r="193" spans="1:27">
      <c r="A193" s="765" t="s">
        <v>426</v>
      </c>
      <c r="B193" s="765"/>
      <c r="C193" s="765"/>
      <c r="D193" s="765"/>
      <c r="E193" s="765"/>
      <c r="F193" s="765"/>
      <c r="G193" s="765"/>
      <c r="H193" s="765"/>
      <c r="I193" s="765"/>
      <c r="J193" s="765"/>
      <c r="K193" s="765"/>
      <c r="L193" s="765"/>
      <c r="M193" s="765"/>
      <c r="N193" s="765"/>
      <c r="O193" s="765"/>
      <c r="P193" s="765"/>
      <c r="Q193" s="765"/>
      <c r="R193" s="765"/>
    </row>
    <row r="194" spans="1:27" ht="15.75">
      <c r="A194" s="459"/>
      <c r="B194" s="459"/>
      <c r="C194" s="459"/>
      <c r="D194" s="459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459"/>
      <c r="R194" s="459"/>
    </row>
    <row r="195" spans="1:27" ht="15.75">
      <c r="A195" s="453"/>
      <c r="B195" s="453"/>
      <c r="C195" s="453"/>
      <c r="D195" s="453"/>
      <c r="E195" s="453"/>
      <c r="F195" s="453"/>
      <c r="G195" s="453"/>
      <c r="H195" s="453"/>
      <c r="I195" s="453"/>
      <c r="J195" s="453"/>
      <c r="K195" s="453"/>
      <c r="L195" s="453"/>
      <c r="M195" s="453"/>
      <c r="N195" s="453"/>
      <c r="O195" s="453"/>
      <c r="P195" s="453"/>
      <c r="Q195" s="453"/>
      <c r="R195" s="453"/>
    </row>
    <row r="196" spans="1:27" ht="15.75">
      <c r="A196" s="453"/>
      <c r="B196" s="453"/>
      <c r="C196" s="453"/>
      <c r="D196" s="453"/>
      <c r="E196" s="453"/>
      <c r="F196" s="711" t="s">
        <v>374</v>
      </c>
      <c r="G196" s="711"/>
      <c r="H196" s="711"/>
      <c r="I196" s="711"/>
      <c r="J196" s="452"/>
      <c r="K196" s="766" t="s">
        <v>357</v>
      </c>
      <c r="L196" s="766"/>
      <c r="M196" s="766"/>
      <c r="N196" s="766"/>
      <c r="O196" s="766"/>
      <c r="P196" s="462" t="s">
        <v>11</v>
      </c>
      <c r="Q196" s="462" t="s">
        <v>11</v>
      </c>
      <c r="R196" s="453"/>
    </row>
    <row r="197" spans="1:27" ht="17.100000000000001" customHeight="1">
      <c r="A197" s="453"/>
      <c r="B197" s="453"/>
      <c r="C197" s="453"/>
      <c r="D197" s="462" t="s">
        <v>101</v>
      </c>
      <c r="E197" s="462" t="s">
        <v>101</v>
      </c>
      <c r="F197" s="453"/>
      <c r="G197" s="453"/>
      <c r="H197" s="462" t="s">
        <v>102</v>
      </c>
      <c r="I197" s="462" t="s">
        <v>103</v>
      </c>
      <c r="J197" s="462"/>
      <c r="K197" s="453"/>
      <c r="L197" s="453"/>
      <c r="O197" s="453"/>
      <c r="P197" s="462" t="s">
        <v>8</v>
      </c>
      <c r="Q197" s="462" t="s">
        <v>6</v>
      </c>
      <c r="R197" s="462" t="s">
        <v>103</v>
      </c>
    </row>
    <row r="198" spans="1:27" ht="15.75">
      <c r="A198" s="453"/>
      <c r="B198" s="453"/>
      <c r="C198" s="453"/>
      <c r="D198" s="462" t="s">
        <v>104</v>
      </c>
      <c r="E198" s="462" t="s">
        <v>104</v>
      </c>
      <c r="F198" s="462" t="s">
        <v>8</v>
      </c>
      <c r="G198" s="462" t="s">
        <v>6</v>
      </c>
      <c r="H198" s="462" t="s">
        <v>105</v>
      </c>
      <c r="I198" s="462" t="s">
        <v>105</v>
      </c>
      <c r="J198" s="462"/>
      <c r="K198" s="462" t="s">
        <v>252</v>
      </c>
      <c r="L198" s="462" t="s">
        <v>252</v>
      </c>
      <c r="M198" s="462" t="s">
        <v>252</v>
      </c>
      <c r="N198" s="462" t="s">
        <v>252</v>
      </c>
      <c r="O198" s="462" t="s">
        <v>252</v>
      </c>
      <c r="P198" s="462" t="s">
        <v>106</v>
      </c>
      <c r="Q198" s="462" t="s">
        <v>106</v>
      </c>
      <c r="R198" s="462" t="s">
        <v>105</v>
      </c>
    </row>
    <row r="199" spans="1:27" ht="15.75">
      <c r="A199" s="462" t="s">
        <v>17</v>
      </c>
      <c r="B199" s="453"/>
      <c r="C199" s="455" t="s">
        <v>18</v>
      </c>
      <c r="D199" s="462" t="s">
        <v>108</v>
      </c>
      <c r="E199" s="462" t="s">
        <v>109</v>
      </c>
      <c r="F199" s="544" t="s">
        <v>832</v>
      </c>
      <c r="G199" s="544" t="s">
        <v>832</v>
      </c>
      <c r="H199" s="464" t="s">
        <v>110</v>
      </c>
      <c r="I199" s="464" t="s">
        <v>111</v>
      </c>
      <c r="J199" s="462"/>
      <c r="K199" s="462" t="s">
        <v>355</v>
      </c>
      <c r="L199" s="544" t="s">
        <v>255</v>
      </c>
      <c r="M199" s="544" t="s">
        <v>534</v>
      </c>
      <c r="N199" s="544" t="s">
        <v>1034</v>
      </c>
      <c r="O199" s="544" t="s">
        <v>831</v>
      </c>
      <c r="P199" s="713" t="s">
        <v>1035</v>
      </c>
      <c r="Q199" s="713" t="s">
        <v>1036</v>
      </c>
      <c r="R199" s="713" t="s">
        <v>968</v>
      </c>
    </row>
    <row r="200" spans="1:27" ht="15.75">
      <c r="A200" s="712" t="s">
        <v>22</v>
      </c>
      <c r="B200" s="714"/>
      <c r="C200" s="715" t="s">
        <v>23</v>
      </c>
      <c r="D200" s="721" t="s">
        <v>33</v>
      </c>
      <c r="E200" s="721" t="s">
        <v>34</v>
      </c>
      <c r="F200" s="721" t="s">
        <v>35</v>
      </c>
      <c r="G200" s="721" t="s">
        <v>36</v>
      </c>
      <c r="H200" s="721" t="s">
        <v>37</v>
      </c>
      <c r="I200" s="721" t="s">
        <v>38</v>
      </c>
      <c r="J200" s="721"/>
      <c r="K200" s="721" t="s">
        <v>39</v>
      </c>
      <c r="L200" s="721" t="s">
        <v>40</v>
      </c>
      <c r="M200" s="716" t="s">
        <v>1032</v>
      </c>
      <c r="N200" s="716" t="s">
        <v>1033</v>
      </c>
      <c r="O200" s="717" t="s">
        <v>42</v>
      </c>
      <c r="P200" s="717" t="s">
        <v>43</v>
      </c>
      <c r="Q200" s="717" t="s">
        <v>44</v>
      </c>
      <c r="R200" s="717" t="s">
        <v>45</v>
      </c>
      <c r="X200" s="468" t="s">
        <v>526</v>
      </c>
      <c r="Z200" s="468" t="s">
        <v>525</v>
      </c>
    </row>
    <row r="201" spans="1:27" ht="15.75">
      <c r="A201" s="453"/>
      <c r="B201" s="453"/>
      <c r="C201" s="453"/>
      <c r="D201" s="467" t="s">
        <v>117</v>
      </c>
      <c r="E201" s="467" t="s">
        <v>49</v>
      </c>
      <c r="F201" s="467" t="s">
        <v>50</v>
      </c>
      <c r="G201" s="467" t="s">
        <v>50</v>
      </c>
      <c r="H201" s="467" t="s">
        <v>50</v>
      </c>
      <c r="I201" s="467" t="s">
        <v>51</v>
      </c>
      <c r="J201" s="467"/>
      <c r="K201" s="467" t="s">
        <v>50</v>
      </c>
      <c r="L201" s="467" t="s">
        <v>50</v>
      </c>
      <c r="M201" s="467" t="s">
        <v>50</v>
      </c>
      <c r="N201" s="467" t="s">
        <v>50</v>
      </c>
      <c r="O201" s="467" t="s">
        <v>50</v>
      </c>
      <c r="P201" s="467" t="s">
        <v>50</v>
      </c>
      <c r="Q201" s="467" t="s">
        <v>50</v>
      </c>
      <c r="R201" s="467" t="s">
        <v>51</v>
      </c>
      <c r="X201" s="468" t="s">
        <v>174</v>
      </c>
      <c r="Y201" s="468" t="s">
        <v>175</v>
      </c>
      <c r="Z201" s="468" t="s">
        <v>174</v>
      </c>
      <c r="AA201" s="468" t="s">
        <v>175</v>
      </c>
    </row>
    <row r="202" spans="1:27" ht="15.75">
      <c r="A202" s="468">
        <v>1</v>
      </c>
      <c r="C202" s="455" t="s">
        <v>124</v>
      </c>
      <c r="D202" s="474">
        <v>1000</v>
      </c>
      <c r="E202" s="474">
        <v>200000</v>
      </c>
      <c r="F202" s="719">
        <v>21593.42</v>
      </c>
      <c r="G202" s="719">
        <v>23433.11</v>
      </c>
      <c r="H202" s="719">
        <v>1839.6900000000023</v>
      </c>
      <c r="I202" s="511">
        <v>8.5</v>
      </c>
      <c r="J202" s="511"/>
      <c r="K202" s="719">
        <v>697.44</v>
      </c>
      <c r="L202" s="719">
        <v>102.8</v>
      </c>
      <c r="M202" s="719">
        <v>100.24</v>
      </c>
      <c r="N202" s="719">
        <v>94.33</v>
      </c>
      <c r="O202" s="719">
        <v>495</v>
      </c>
      <c r="P202" s="719">
        <v>22988.899999999998</v>
      </c>
      <c r="Q202" s="719">
        <v>24822.68</v>
      </c>
      <c r="R202" s="475">
        <v>8</v>
      </c>
      <c r="X202" s="468">
        <v>0.95974068998750128</v>
      </c>
      <c r="Y202" s="468">
        <v>0.96802534764475623</v>
      </c>
      <c r="Z202" s="468">
        <v>0.26336918014082528</v>
      </c>
      <c r="AA202" s="468">
        <v>0.26508265653791752</v>
      </c>
    </row>
    <row r="203" spans="1:27">
      <c r="A203" s="468">
        <v>2</v>
      </c>
      <c r="D203" s="474">
        <v>1000</v>
      </c>
      <c r="E203" s="474">
        <v>400000</v>
      </c>
      <c r="F203" s="719">
        <v>33598.11</v>
      </c>
      <c r="G203" s="719">
        <v>36485.67</v>
      </c>
      <c r="H203" s="719">
        <v>2887.5599999999977</v>
      </c>
      <c r="I203" s="511">
        <v>8.6</v>
      </c>
      <c r="J203" s="511"/>
      <c r="K203" s="719">
        <v>1394.89</v>
      </c>
      <c r="L203" s="719">
        <v>205.6</v>
      </c>
      <c r="M203" s="719">
        <v>138.21</v>
      </c>
      <c r="N203" s="719">
        <v>131.97999999999999</v>
      </c>
      <c r="O203" s="719">
        <v>990</v>
      </c>
      <c r="P203" s="719">
        <v>36326.81</v>
      </c>
      <c r="Q203" s="719">
        <v>39208.14</v>
      </c>
      <c r="R203" s="511">
        <v>7.9</v>
      </c>
    </row>
    <row r="204" spans="1:27">
      <c r="A204" s="468">
        <v>3</v>
      </c>
      <c r="D204" s="474">
        <v>2500</v>
      </c>
      <c r="E204" s="474">
        <v>500000</v>
      </c>
      <c r="F204" s="719">
        <v>53233.560000000005</v>
      </c>
      <c r="G204" s="719">
        <v>57832.78</v>
      </c>
      <c r="H204" s="719">
        <v>4599.2199999999939</v>
      </c>
      <c r="I204" s="511">
        <v>8.6</v>
      </c>
      <c r="J204" s="511"/>
      <c r="K204" s="719">
        <v>1743.61</v>
      </c>
      <c r="L204" s="719">
        <v>257</v>
      </c>
      <c r="M204" s="719">
        <v>245.73</v>
      </c>
      <c r="N204" s="719">
        <v>231.73</v>
      </c>
      <c r="O204" s="719">
        <v>1237.5</v>
      </c>
      <c r="P204" s="719">
        <v>56717.400000000009</v>
      </c>
      <c r="Q204" s="719">
        <v>61302.62</v>
      </c>
      <c r="R204" s="511">
        <v>8.1</v>
      </c>
    </row>
    <row r="205" spans="1:27">
      <c r="A205" s="468">
        <v>4</v>
      </c>
      <c r="D205" s="474">
        <v>2500</v>
      </c>
      <c r="E205" s="474">
        <v>1000000</v>
      </c>
      <c r="F205" s="719">
        <v>83245.279999999999</v>
      </c>
      <c r="G205" s="719">
        <v>90464.17</v>
      </c>
      <c r="H205" s="719">
        <v>7218.8899999999994</v>
      </c>
      <c r="I205" s="511">
        <v>8.6999999999999993</v>
      </c>
      <c r="J205" s="511"/>
      <c r="K205" s="719">
        <v>3487.21</v>
      </c>
      <c r="L205" s="719">
        <v>514</v>
      </c>
      <c r="M205" s="719">
        <v>340.65</v>
      </c>
      <c r="N205" s="719">
        <v>325.85000000000002</v>
      </c>
      <c r="O205" s="719">
        <v>2475</v>
      </c>
      <c r="P205" s="719">
        <v>90062.14</v>
      </c>
      <c r="Q205" s="719">
        <v>97266.23000000001</v>
      </c>
      <c r="R205" s="511">
        <v>8</v>
      </c>
    </row>
    <row r="206" spans="1:27">
      <c r="A206" s="468">
        <v>5</v>
      </c>
      <c r="D206" s="474">
        <v>5000</v>
      </c>
      <c r="E206" s="474">
        <v>1000000</v>
      </c>
      <c r="F206" s="719">
        <v>105967.1</v>
      </c>
      <c r="G206" s="719">
        <v>115165.55</v>
      </c>
      <c r="H206" s="719">
        <v>9198.4499999999971</v>
      </c>
      <c r="I206" s="511">
        <v>8.6999999999999993</v>
      </c>
      <c r="J206" s="511"/>
      <c r="K206" s="719">
        <v>3487.21</v>
      </c>
      <c r="L206" s="719">
        <v>514</v>
      </c>
      <c r="M206" s="719">
        <v>488.21</v>
      </c>
      <c r="N206" s="719">
        <v>460.74</v>
      </c>
      <c r="O206" s="719">
        <v>2475</v>
      </c>
      <c r="P206" s="719">
        <v>112931.52000000002</v>
      </c>
      <c r="Q206" s="719">
        <v>122102.50000000001</v>
      </c>
      <c r="R206" s="511">
        <v>8.1</v>
      </c>
    </row>
    <row r="207" spans="1:27">
      <c r="A207" s="468">
        <v>6</v>
      </c>
      <c r="D207" s="474">
        <v>5000</v>
      </c>
      <c r="E207" s="474">
        <v>2000000</v>
      </c>
      <c r="F207" s="719">
        <v>165990.55000000002</v>
      </c>
      <c r="G207" s="719">
        <v>180428.35</v>
      </c>
      <c r="H207" s="719">
        <v>14437.799999999988</v>
      </c>
      <c r="I207" s="511">
        <v>8.6999999999999993</v>
      </c>
      <c r="J207" s="511"/>
      <c r="K207" s="719">
        <v>6974.43</v>
      </c>
      <c r="L207" s="719">
        <v>1028</v>
      </c>
      <c r="M207" s="719">
        <v>678.05</v>
      </c>
      <c r="N207" s="719">
        <v>648.97</v>
      </c>
      <c r="O207" s="719">
        <v>4950</v>
      </c>
      <c r="P207" s="719">
        <v>179621.03</v>
      </c>
      <c r="Q207" s="719">
        <v>194029.75</v>
      </c>
      <c r="R207" s="511">
        <v>8</v>
      </c>
    </row>
    <row r="208" spans="1:27">
      <c r="A208" s="468">
        <v>7</v>
      </c>
      <c r="D208" s="474">
        <v>10000</v>
      </c>
      <c r="E208" s="474">
        <v>2000000</v>
      </c>
      <c r="F208" s="719">
        <v>211434.21</v>
      </c>
      <c r="G208" s="719">
        <v>229831.09</v>
      </c>
      <c r="H208" s="719">
        <v>18396.880000000005</v>
      </c>
      <c r="I208" s="511">
        <v>8.6999999999999993</v>
      </c>
      <c r="J208" s="511"/>
      <c r="K208" s="719">
        <v>6974.43</v>
      </c>
      <c r="L208" s="719">
        <v>1028</v>
      </c>
      <c r="M208" s="719">
        <v>973.16</v>
      </c>
      <c r="N208" s="719">
        <v>918.74</v>
      </c>
      <c r="O208" s="719">
        <v>4950</v>
      </c>
      <c r="P208" s="719">
        <v>225359.8</v>
      </c>
      <c r="Q208" s="719">
        <v>243702.25999999998</v>
      </c>
      <c r="R208" s="511">
        <v>8.1</v>
      </c>
    </row>
    <row r="209" spans="1:18">
      <c r="A209" s="468">
        <v>8</v>
      </c>
      <c r="D209" s="474">
        <v>10000</v>
      </c>
      <c r="E209" s="474">
        <v>4000000</v>
      </c>
      <c r="F209" s="719">
        <v>331481.12000000005</v>
      </c>
      <c r="G209" s="719">
        <v>360356.69000000006</v>
      </c>
      <c r="H209" s="719">
        <v>28875.570000000007</v>
      </c>
      <c r="I209" s="511">
        <v>8.6999999999999993</v>
      </c>
      <c r="J209" s="511"/>
      <c r="K209" s="719">
        <v>13948.85</v>
      </c>
      <c r="L209" s="719">
        <v>2056</v>
      </c>
      <c r="M209" s="719">
        <v>1352.84</v>
      </c>
      <c r="N209" s="719">
        <v>1295.22</v>
      </c>
      <c r="O209" s="719">
        <v>9900</v>
      </c>
      <c r="P209" s="719">
        <v>358738.81000000006</v>
      </c>
      <c r="Q209" s="719">
        <v>387556.76</v>
      </c>
      <c r="R209" s="511">
        <v>8</v>
      </c>
    </row>
    <row r="210" spans="1:18">
      <c r="A210" s="468">
        <v>9</v>
      </c>
      <c r="D210" s="474">
        <v>10000</v>
      </c>
      <c r="E210" s="474">
        <v>6000000</v>
      </c>
      <c r="F210" s="719">
        <v>451528.02000000008</v>
      </c>
      <c r="G210" s="719">
        <v>490882.29000000004</v>
      </c>
      <c r="H210" s="719">
        <v>39354.26999999996</v>
      </c>
      <c r="I210" s="511">
        <v>8.6999999999999993</v>
      </c>
      <c r="J210" s="511"/>
      <c r="K210" s="719">
        <v>20923.28</v>
      </c>
      <c r="L210" s="719">
        <v>3084</v>
      </c>
      <c r="M210" s="719">
        <v>1732.53</v>
      </c>
      <c r="N210" s="719">
        <v>1671.69</v>
      </c>
      <c r="O210" s="719">
        <v>14850</v>
      </c>
      <c r="P210" s="719">
        <v>492117.83000000007</v>
      </c>
      <c r="Q210" s="719">
        <v>531411.26</v>
      </c>
      <c r="R210" s="511">
        <v>8</v>
      </c>
    </row>
    <row r="211" spans="1:18">
      <c r="A211" s="468">
        <v>10</v>
      </c>
      <c r="D211" s="474">
        <v>20000</v>
      </c>
      <c r="E211" s="474">
        <v>4000000</v>
      </c>
      <c r="F211" s="719">
        <v>422368.43</v>
      </c>
      <c r="G211" s="719">
        <v>459162.19</v>
      </c>
      <c r="H211" s="719">
        <v>36793.760000000009</v>
      </c>
      <c r="I211" s="511">
        <v>8.6999999999999993</v>
      </c>
      <c r="J211" s="511"/>
      <c r="K211" s="719">
        <v>13948.85</v>
      </c>
      <c r="L211" s="719">
        <v>2056</v>
      </c>
      <c r="M211" s="719">
        <v>1943.08</v>
      </c>
      <c r="N211" s="719">
        <v>1834.75</v>
      </c>
      <c r="O211" s="719">
        <v>9900</v>
      </c>
      <c r="P211" s="719">
        <v>450216.36</v>
      </c>
      <c r="Q211" s="719">
        <v>486901.79</v>
      </c>
      <c r="R211" s="511">
        <v>8.1</v>
      </c>
    </row>
    <row r="212" spans="1:18">
      <c r="A212" s="468">
        <v>11</v>
      </c>
      <c r="D212" s="474">
        <v>20000</v>
      </c>
      <c r="E212" s="474">
        <v>8000000</v>
      </c>
      <c r="F212" s="719">
        <v>662462.2300000001</v>
      </c>
      <c r="G212" s="719">
        <v>720213.39000000013</v>
      </c>
      <c r="H212" s="719">
        <v>57751.160000000033</v>
      </c>
      <c r="I212" s="511">
        <v>8.6999999999999993</v>
      </c>
      <c r="J212" s="511"/>
      <c r="K212" s="719">
        <v>27897.7</v>
      </c>
      <c r="L212" s="719">
        <v>4112</v>
      </c>
      <c r="M212" s="719">
        <v>2702.44</v>
      </c>
      <c r="N212" s="719">
        <v>2587.6999999999998</v>
      </c>
      <c r="O212" s="719">
        <v>19800</v>
      </c>
      <c r="P212" s="719">
        <v>716974.37</v>
      </c>
      <c r="Q212" s="719">
        <v>774610.79</v>
      </c>
      <c r="R212" s="511">
        <v>8</v>
      </c>
    </row>
    <row r="213" spans="1:18">
      <c r="A213" s="468">
        <v>12</v>
      </c>
      <c r="D213" s="474">
        <v>20000</v>
      </c>
      <c r="E213" s="474">
        <v>12000000</v>
      </c>
      <c r="F213" s="719">
        <v>902556.03000000014</v>
      </c>
      <c r="G213" s="719">
        <v>981264.59000000008</v>
      </c>
      <c r="H213" s="719">
        <v>78708.559999999939</v>
      </c>
      <c r="I213" s="511">
        <v>8.6999999999999993</v>
      </c>
      <c r="J213" s="511"/>
      <c r="K213" s="719">
        <v>41846.550000000003</v>
      </c>
      <c r="L213" s="719">
        <v>6168</v>
      </c>
      <c r="M213" s="719">
        <v>3461.8</v>
      </c>
      <c r="N213" s="719">
        <v>3340.65</v>
      </c>
      <c r="O213" s="719">
        <v>29700</v>
      </c>
      <c r="P213" s="719">
        <v>983732.38000000024</v>
      </c>
      <c r="Q213" s="719">
        <v>1062319.79</v>
      </c>
      <c r="R213" s="511">
        <v>8</v>
      </c>
    </row>
    <row r="214" spans="1:18">
      <c r="A214" s="468">
        <v>13</v>
      </c>
      <c r="D214" s="474">
        <v>40000</v>
      </c>
      <c r="E214" s="474">
        <v>16000000</v>
      </c>
      <c r="F214" s="719">
        <v>1324424.4500000002</v>
      </c>
      <c r="G214" s="719">
        <v>1439926.77</v>
      </c>
      <c r="H214" s="719">
        <v>115502.31999999983</v>
      </c>
      <c r="I214" s="511">
        <v>8.6999999999999993</v>
      </c>
      <c r="J214" s="511"/>
      <c r="K214" s="719">
        <v>55795.4</v>
      </c>
      <c r="L214" s="719">
        <v>8224</v>
      </c>
      <c r="M214" s="719">
        <v>5401.64</v>
      </c>
      <c r="N214" s="719">
        <v>5172.68</v>
      </c>
      <c r="O214" s="719">
        <v>39600</v>
      </c>
      <c r="P214" s="719">
        <v>1433445.49</v>
      </c>
      <c r="Q214" s="719">
        <v>1548718.8499999999</v>
      </c>
      <c r="R214" s="511">
        <v>8</v>
      </c>
    </row>
    <row r="215" spans="1:18">
      <c r="A215" s="468">
        <v>14</v>
      </c>
      <c r="D215" s="474">
        <v>40000</v>
      </c>
      <c r="E215" s="474">
        <v>24000000</v>
      </c>
      <c r="F215" s="719">
        <v>1804612.06</v>
      </c>
      <c r="G215" s="719">
        <v>1962029.1700000004</v>
      </c>
      <c r="H215" s="719">
        <v>157417.11000000034</v>
      </c>
      <c r="I215" s="511">
        <v>8.6999999999999993</v>
      </c>
      <c r="J215" s="511"/>
      <c r="K215" s="719">
        <v>83693.11</v>
      </c>
      <c r="L215" s="719">
        <v>12336</v>
      </c>
      <c r="M215" s="719">
        <v>6920.36</v>
      </c>
      <c r="N215" s="719">
        <v>6678.57</v>
      </c>
      <c r="O215" s="719">
        <v>59400</v>
      </c>
      <c r="P215" s="719">
        <v>1966961.5300000003</v>
      </c>
      <c r="Q215" s="719">
        <v>2124136.8500000006</v>
      </c>
      <c r="R215" s="511">
        <v>8</v>
      </c>
    </row>
    <row r="216" spans="1:18">
      <c r="A216" s="468">
        <v>15</v>
      </c>
      <c r="D216" s="474">
        <v>80000</v>
      </c>
      <c r="E216" s="474">
        <v>32000000</v>
      </c>
      <c r="F216" s="719">
        <v>2648348.9</v>
      </c>
      <c r="G216" s="719">
        <v>2879353.5399999996</v>
      </c>
      <c r="H216" s="719">
        <v>231004.63999999966</v>
      </c>
      <c r="I216" s="511">
        <v>8.6999999999999993</v>
      </c>
      <c r="J216" s="511"/>
      <c r="K216" s="719">
        <v>111590.81</v>
      </c>
      <c r="L216" s="719">
        <v>16448</v>
      </c>
      <c r="M216" s="719">
        <v>10800.03</v>
      </c>
      <c r="N216" s="719">
        <v>10342.620000000001</v>
      </c>
      <c r="O216" s="719">
        <v>79200</v>
      </c>
      <c r="P216" s="719">
        <v>2866387.7399999998</v>
      </c>
      <c r="Q216" s="719">
        <v>3096934.9699999997</v>
      </c>
      <c r="R216" s="511">
        <v>8</v>
      </c>
    </row>
    <row r="217" spans="1:18">
      <c r="A217" s="468">
        <v>16</v>
      </c>
      <c r="D217" s="474">
        <v>80000</v>
      </c>
      <c r="E217" s="474">
        <v>48000000</v>
      </c>
      <c r="F217" s="719">
        <v>3608724.12</v>
      </c>
      <c r="G217" s="719">
        <v>3923558.35</v>
      </c>
      <c r="H217" s="719">
        <v>314834.23</v>
      </c>
      <c r="I217" s="511">
        <v>8.6999999999999993</v>
      </c>
      <c r="J217" s="511"/>
      <c r="K217" s="719">
        <v>167386.21</v>
      </c>
      <c r="L217" s="719">
        <v>24672</v>
      </c>
      <c r="M217" s="719">
        <v>13837.47</v>
      </c>
      <c r="N217" s="719">
        <v>13354.41</v>
      </c>
      <c r="O217" s="719">
        <v>118800</v>
      </c>
      <c r="P217" s="719">
        <v>3933419.8000000003</v>
      </c>
      <c r="Q217" s="719">
        <v>4247770.9700000007</v>
      </c>
      <c r="R217" s="511">
        <v>8</v>
      </c>
    </row>
    <row r="218" spans="1:18">
      <c r="A218" s="468">
        <v>17</v>
      </c>
      <c r="D218" s="474">
        <v>160000</v>
      </c>
      <c r="E218" s="474">
        <v>64000000</v>
      </c>
      <c r="F218" s="719">
        <v>5296197.79</v>
      </c>
      <c r="G218" s="719">
        <v>5758207.0899999999</v>
      </c>
      <c r="H218" s="719">
        <v>462009.29999999981</v>
      </c>
      <c r="I218" s="511">
        <v>8.6999999999999993</v>
      </c>
      <c r="J218" s="511"/>
      <c r="K218" s="719">
        <v>223181.62</v>
      </c>
      <c r="L218" s="719">
        <v>32896</v>
      </c>
      <c r="M218" s="719">
        <v>21596.81</v>
      </c>
      <c r="N218" s="719">
        <v>20682.509999999998</v>
      </c>
      <c r="O218" s="719">
        <v>158400</v>
      </c>
      <c r="P218" s="719">
        <v>5732272.2199999997</v>
      </c>
      <c r="Q218" s="719">
        <v>6193367.2199999997</v>
      </c>
      <c r="R218" s="511">
        <v>8</v>
      </c>
    </row>
    <row r="219" spans="1:18">
      <c r="A219" s="468">
        <v>18</v>
      </c>
      <c r="D219" s="474">
        <v>160000</v>
      </c>
      <c r="E219" s="474">
        <v>96000000</v>
      </c>
      <c r="F219" s="719">
        <v>7216948.2300000004</v>
      </c>
      <c r="G219" s="719">
        <v>7846616.7000000002</v>
      </c>
      <c r="H219" s="719">
        <v>629668.46999999974</v>
      </c>
      <c r="I219" s="511">
        <v>8.6999999999999993</v>
      </c>
      <c r="J219" s="511"/>
      <c r="K219" s="719">
        <v>334772.43</v>
      </c>
      <c r="L219" s="719">
        <v>49344</v>
      </c>
      <c r="M219" s="719">
        <v>27671.7</v>
      </c>
      <c r="N219" s="719">
        <v>26706.1</v>
      </c>
      <c r="O219" s="719">
        <v>237600</v>
      </c>
      <c r="P219" s="719">
        <v>7866336.3600000003</v>
      </c>
      <c r="Q219" s="719">
        <v>8495039.2300000004</v>
      </c>
      <c r="R219" s="511">
        <v>8</v>
      </c>
    </row>
    <row r="220" spans="1:18">
      <c r="H220" s="719"/>
      <c r="K220" s="719"/>
      <c r="L220" s="719"/>
      <c r="M220" s="719"/>
      <c r="N220" s="719"/>
      <c r="O220" s="719"/>
      <c r="P220" s="719"/>
      <c r="Q220" s="719"/>
    </row>
    <row r="221" spans="1:18" ht="15.75">
      <c r="A221" s="468">
        <v>19</v>
      </c>
      <c r="C221" s="455" t="s">
        <v>125</v>
      </c>
      <c r="D221" s="474">
        <v>1000</v>
      </c>
      <c r="E221" s="474">
        <v>200000</v>
      </c>
      <c r="F221" s="719">
        <v>19889.54</v>
      </c>
      <c r="G221" s="719">
        <v>21578.100000000002</v>
      </c>
      <c r="H221" s="719">
        <v>1688.5600000000013</v>
      </c>
      <c r="I221" s="511">
        <v>8.5</v>
      </c>
      <c r="J221" s="511"/>
      <c r="K221" s="719">
        <v>697.44</v>
      </c>
      <c r="L221" s="719">
        <v>102.8</v>
      </c>
      <c r="M221" s="719">
        <v>89.17</v>
      </c>
      <c r="N221" s="719">
        <v>84.2</v>
      </c>
      <c r="O221" s="719">
        <v>495</v>
      </c>
      <c r="P221" s="719">
        <v>21273.949999999997</v>
      </c>
      <c r="Q221" s="719">
        <v>22957.54</v>
      </c>
      <c r="R221" s="511">
        <v>7.9</v>
      </c>
    </row>
    <row r="222" spans="1:18">
      <c r="A222" s="468">
        <v>20</v>
      </c>
      <c r="D222" s="474">
        <v>1000</v>
      </c>
      <c r="E222" s="474">
        <v>400000</v>
      </c>
      <c r="F222" s="719">
        <v>31760.2</v>
      </c>
      <c r="G222" s="719">
        <v>34484.899999999994</v>
      </c>
      <c r="H222" s="719">
        <v>2724.6999999999935</v>
      </c>
      <c r="I222" s="511">
        <v>8.6</v>
      </c>
      <c r="J222" s="511"/>
      <c r="K222" s="719">
        <v>1394.89</v>
      </c>
      <c r="L222" s="719">
        <v>205.6</v>
      </c>
      <c r="M222" s="719">
        <v>126.27</v>
      </c>
      <c r="N222" s="719">
        <v>121.05</v>
      </c>
      <c r="O222" s="719">
        <v>990</v>
      </c>
      <c r="P222" s="719">
        <v>34476.959999999999</v>
      </c>
      <c r="Q222" s="719">
        <v>37196.439999999995</v>
      </c>
      <c r="R222" s="511">
        <v>7.9</v>
      </c>
    </row>
    <row r="223" spans="1:18">
      <c r="A223" s="468">
        <v>21</v>
      </c>
      <c r="D223" s="474">
        <v>2500</v>
      </c>
      <c r="E223" s="474">
        <v>500000</v>
      </c>
      <c r="F223" s="719">
        <v>48973.85</v>
      </c>
      <c r="G223" s="719">
        <v>53195.240000000005</v>
      </c>
      <c r="H223" s="719">
        <v>4221.3900000000067</v>
      </c>
      <c r="I223" s="511">
        <v>8.6</v>
      </c>
      <c r="J223" s="511"/>
      <c r="K223" s="719">
        <v>1743.61</v>
      </c>
      <c r="L223" s="719">
        <v>257</v>
      </c>
      <c r="M223" s="719">
        <v>218.06</v>
      </c>
      <c r="N223" s="719">
        <v>206.41</v>
      </c>
      <c r="O223" s="719">
        <v>1237.5</v>
      </c>
      <c r="P223" s="719">
        <v>52430.02</v>
      </c>
      <c r="Q223" s="719">
        <v>56639.760000000009</v>
      </c>
      <c r="R223" s="511">
        <v>8</v>
      </c>
    </row>
    <row r="224" spans="1:18">
      <c r="A224" s="468">
        <v>22</v>
      </c>
      <c r="D224" s="474">
        <v>2500</v>
      </c>
      <c r="E224" s="474">
        <v>1000000</v>
      </c>
      <c r="F224" s="719">
        <v>78650.5</v>
      </c>
      <c r="G224" s="719">
        <v>85462.26999999999</v>
      </c>
      <c r="H224" s="719">
        <v>6811.7699999999895</v>
      </c>
      <c r="I224" s="511">
        <v>8.6999999999999993</v>
      </c>
      <c r="J224" s="511"/>
      <c r="K224" s="719">
        <v>3487.21</v>
      </c>
      <c r="L224" s="719">
        <v>514</v>
      </c>
      <c r="M224" s="719">
        <v>310.81</v>
      </c>
      <c r="N224" s="719">
        <v>298.54000000000002</v>
      </c>
      <c r="O224" s="719">
        <v>2475</v>
      </c>
      <c r="P224" s="719">
        <v>85437.52</v>
      </c>
      <c r="Q224" s="719">
        <v>92237.01999999999</v>
      </c>
      <c r="R224" s="511">
        <v>8</v>
      </c>
    </row>
    <row r="225" spans="1:18">
      <c r="A225" s="468">
        <v>23</v>
      </c>
      <c r="D225" s="474">
        <v>5000</v>
      </c>
      <c r="E225" s="474">
        <v>1000000</v>
      </c>
      <c r="F225" s="719">
        <v>97447.7</v>
      </c>
      <c r="G225" s="719">
        <v>105890.50000000001</v>
      </c>
      <c r="H225" s="719">
        <v>8442.8000000000175</v>
      </c>
      <c r="I225" s="511">
        <v>8.6999999999999993</v>
      </c>
      <c r="J225" s="511"/>
      <c r="K225" s="719">
        <v>3487.21</v>
      </c>
      <c r="L225" s="719">
        <v>514</v>
      </c>
      <c r="M225" s="719">
        <v>432.88</v>
      </c>
      <c r="N225" s="719">
        <v>410.09</v>
      </c>
      <c r="O225" s="719">
        <v>2475</v>
      </c>
      <c r="P225" s="719">
        <v>104356.79000000001</v>
      </c>
      <c r="Q225" s="719">
        <v>112776.80000000002</v>
      </c>
      <c r="R225" s="511">
        <v>8.1</v>
      </c>
    </row>
    <row r="226" spans="1:18">
      <c r="A226" s="468">
        <v>24</v>
      </c>
      <c r="D226" s="474">
        <v>5000</v>
      </c>
      <c r="E226" s="474">
        <v>2000000</v>
      </c>
      <c r="F226" s="719">
        <v>156801.00999999998</v>
      </c>
      <c r="G226" s="719">
        <v>170424.52</v>
      </c>
      <c r="H226" s="719">
        <v>13623.510000000009</v>
      </c>
      <c r="I226" s="511">
        <v>8.6999999999999993</v>
      </c>
      <c r="J226" s="511"/>
      <c r="K226" s="719">
        <v>6974.43</v>
      </c>
      <c r="L226" s="719">
        <v>1028</v>
      </c>
      <c r="M226" s="719">
        <v>618.37</v>
      </c>
      <c r="N226" s="719">
        <v>594.35</v>
      </c>
      <c r="O226" s="719">
        <v>4950</v>
      </c>
      <c r="P226" s="719">
        <v>170371.80999999997</v>
      </c>
      <c r="Q226" s="719">
        <v>183971.3</v>
      </c>
      <c r="R226" s="511">
        <v>8</v>
      </c>
    </row>
    <row r="227" spans="1:18">
      <c r="A227" s="468">
        <v>25</v>
      </c>
      <c r="D227" s="474">
        <v>10000</v>
      </c>
      <c r="E227" s="474">
        <v>2000000</v>
      </c>
      <c r="F227" s="719">
        <v>194395.40999999997</v>
      </c>
      <c r="G227" s="719">
        <v>211281</v>
      </c>
      <c r="H227" s="719">
        <v>16885.590000000026</v>
      </c>
      <c r="I227" s="511">
        <v>8.6999999999999993</v>
      </c>
      <c r="J227" s="511"/>
      <c r="K227" s="719">
        <v>6974.43</v>
      </c>
      <c r="L227" s="719">
        <v>1028</v>
      </c>
      <c r="M227" s="719">
        <v>862.51</v>
      </c>
      <c r="N227" s="719">
        <v>817.45</v>
      </c>
      <c r="O227" s="719">
        <v>4950</v>
      </c>
      <c r="P227" s="719">
        <v>208210.34999999998</v>
      </c>
      <c r="Q227" s="719">
        <v>225050.88</v>
      </c>
      <c r="R227" s="511">
        <v>8.1</v>
      </c>
    </row>
    <row r="228" spans="1:18">
      <c r="A228" s="468">
        <v>26</v>
      </c>
      <c r="D228" s="474">
        <v>10000</v>
      </c>
      <c r="E228" s="474">
        <v>4000000</v>
      </c>
      <c r="F228" s="719">
        <v>313102.02999999997</v>
      </c>
      <c r="G228" s="719">
        <v>340349.07</v>
      </c>
      <c r="H228" s="719">
        <v>27247.040000000037</v>
      </c>
      <c r="I228" s="511">
        <v>8.6999999999999993</v>
      </c>
      <c r="J228" s="511"/>
      <c r="K228" s="719">
        <v>13948.85</v>
      </c>
      <c r="L228" s="719">
        <v>2056</v>
      </c>
      <c r="M228" s="719">
        <v>1233.49</v>
      </c>
      <c r="N228" s="719">
        <v>1185.96</v>
      </c>
      <c r="O228" s="719">
        <v>9900</v>
      </c>
      <c r="P228" s="719">
        <v>340240.36999999994</v>
      </c>
      <c r="Q228" s="719">
        <v>367439.88</v>
      </c>
      <c r="R228" s="511">
        <v>8</v>
      </c>
    </row>
    <row r="229" spans="1:18">
      <c r="A229" s="468">
        <v>27</v>
      </c>
      <c r="D229" s="474">
        <v>10000</v>
      </c>
      <c r="E229" s="474">
        <v>6000000</v>
      </c>
      <c r="F229" s="719">
        <v>431808.63</v>
      </c>
      <c r="G229" s="719">
        <v>469417.13</v>
      </c>
      <c r="H229" s="719">
        <v>37608.5</v>
      </c>
      <c r="I229" s="511">
        <v>8.6999999999999993</v>
      </c>
      <c r="J229" s="511"/>
      <c r="K229" s="719">
        <v>20923.28</v>
      </c>
      <c r="L229" s="719">
        <v>3084</v>
      </c>
      <c r="M229" s="719">
        <v>1604.46</v>
      </c>
      <c r="N229" s="719">
        <v>1554.48</v>
      </c>
      <c r="O229" s="719">
        <v>14850</v>
      </c>
      <c r="P229" s="719">
        <v>472270.37000000005</v>
      </c>
      <c r="Q229" s="719">
        <v>509828.89</v>
      </c>
      <c r="R229" s="511">
        <v>8</v>
      </c>
    </row>
    <row r="230" spans="1:18">
      <c r="A230" s="468">
        <v>28</v>
      </c>
      <c r="D230" s="474">
        <v>20000</v>
      </c>
      <c r="E230" s="474">
        <v>4000000</v>
      </c>
      <c r="F230" s="719">
        <v>388290.81999999995</v>
      </c>
      <c r="G230" s="719">
        <v>422061.99000000005</v>
      </c>
      <c r="H230" s="719">
        <v>33771.1700000001</v>
      </c>
      <c r="I230" s="511">
        <v>8.6999999999999993</v>
      </c>
      <c r="J230" s="511"/>
      <c r="K230" s="719">
        <v>13948.85</v>
      </c>
      <c r="L230" s="719">
        <v>2056</v>
      </c>
      <c r="M230" s="719">
        <v>1721.78</v>
      </c>
      <c r="N230" s="719">
        <v>1632.17</v>
      </c>
      <c r="O230" s="719">
        <v>9900</v>
      </c>
      <c r="P230" s="719">
        <v>415917.44999999995</v>
      </c>
      <c r="Q230" s="719">
        <v>449599.01</v>
      </c>
      <c r="R230" s="511">
        <v>8.1</v>
      </c>
    </row>
    <row r="231" spans="1:18">
      <c r="A231" s="468">
        <v>29</v>
      </c>
      <c r="D231" s="474">
        <v>20000</v>
      </c>
      <c r="E231" s="474">
        <v>8000000</v>
      </c>
      <c r="F231" s="719">
        <v>625704.04</v>
      </c>
      <c r="G231" s="719">
        <v>680198.12</v>
      </c>
      <c r="H231" s="719">
        <v>54494.079999999958</v>
      </c>
      <c r="I231" s="511">
        <v>8.6999999999999993</v>
      </c>
      <c r="J231" s="511"/>
      <c r="K231" s="719">
        <v>27897.7</v>
      </c>
      <c r="L231" s="719">
        <v>4112</v>
      </c>
      <c r="M231" s="719">
        <v>2463.73</v>
      </c>
      <c r="N231" s="719">
        <v>2369.1999999999998</v>
      </c>
      <c r="O231" s="719">
        <v>19800</v>
      </c>
      <c r="P231" s="719">
        <v>679977.47</v>
      </c>
      <c r="Q231" s="719">
        <v>734377.0199999999</v>
      </c>
      <c r="R231" s="511">
        <v>8</v>
      </c>
    </row>
    <row r="232" spans="1:18">
      <c r="A232" s="468">
        <v>30</v>
      </c>
      <c r="D232" s="474">
        <v>20000</v>
      </c>
      <c r="E232" s="474">
        <v>12000000</v>
      </c>
      <c r="F232" s="719">
        <v>863117.27</v>
      </c>
      <c r="G232" s="719">
        <v>938334.25</v>
      </c>
      <c r="H232" s="719">
        <v>75216.979999999981</v>
      </c>
      <c r="I232" s="511">
        <v>8.6999999999999993</v>
      </c>
      <c r="J232" s="511"/>
      <c r="K232" s="719">
        <v>41846.550000000003</v>
      </c>
      <c r="L232" s="719">
        <v>6168</v>
      </c>
      <c r="M232" s="719">
        <v>3205.68</v>
      </c>
      <c r="N232" s="719">
        <v>3106.23</v>
      </c>
      <c r="O232" s="719">
        <v>29700</v>
      </c>
      <c r="P232" s="719">
        <v>944037.50000000012</v>
      </c>
      <c r="Q232" s="719">
        <v>1019155.03</v>
      </c>
      <c r="R232" s="511">
        <v>8</v>
      </c>
    </row>
    <row r="233" spans="1:18">
      <c r="A233" s="468">
        <v>31</v>
      </c>
      <c r="D233" s="474">
        <v>40000</v>
      </c>
      <c r="E233" s="474">
        <v>16000000</v>
      </c>
      <c r="F233" s="719">
        <v>1250908.0899999999</v>
      </c>
      <c r="G233" s="719">
        <v>1359896.26</v>
      </c>
      <c r="H233" s="719">
        <v>108988.17000000016</v>
      </c>
      <c r="I233" s="511">
        <v>8.6999999999999993</v>
      </c>
      <c r="J233" s="511"/>
      <c r="K233" s="719">
        <v>55795.4</v>
      </c>
      <c r="L233" s="719">
        <v>8224</v>
      </c>
      <c r="M233" s="719">
        <v>4924.21</v>
      </c>
      <c r="N233" s="719">
        <v>4735.66</v>
      </c>
      <c r="O233" s="719">
        <v>39600</v>
      </c>
      <c r="P233" s="719">
        <v>1359451.6999999997</v>
      </c>
      <c r="Q233" s="719">
        <v>1468251.3199999998</v>
      </c>
      <c r="R233" s="511">
        <v>8</v>
      </c>
    </row>
    <row r="234" spans="1:18">
      <c r="A234" s="468">
        <v>32</v>
      </c>
      <c r="D234" s="474">
        <v>40000</v>
      </c>
      <c r="E234" s="474">
        <v>24000000</v>
      </c>
      <c r="F234" s="719">
        <v>1725734.54</v>
      </c>
      <c r="G234" s="719">
        <v>1876168.52</v>
      </c>
      <c r="H234" s="719">
        <v>150433.97999999998</v>
      </c>
      <c r="I234" s="511">
        <v>8.6999999999999993</v>
      </c>
      <c r="J234" s="511"/>
      <c r="K234" s="719">
        <v>83693.11</v>
      </c>
      <c r="L234" s="719">
        <v>12336</v>
      </c>
      <c r="M234" s="719">
        <v>6408.12</v>
      </c>
      <c r="N234" s="719">
        <v>6209.72</v>
      </c>
      <c r="O234" s="719">
        <v>59400</v>
      </c>
      <c r="P234" s="719">
        <v>1887571.7700000003</v>
      </c>
      <c r="Q234" s="719">
        <v>2037807.35</v>
      </c>
      <c r="R234" s="511">
        <v>8</v>
      </c>
    </row>
    <row r="235" spans="1:18">
      <c r="A235" s="468">
        <v>33</v>
      </c>
      <c r="D235" s="474">
        <v>80000</v>
      </c>
      <c r="E235" s="474">
        <v>32000000</v>
      </c>
      <c r="F235" s="719">
        <v>2501316.1599999997</v>
      </c>
      <c r="G235" s="719">
        <v>2719292.51</v>
      </c>
      <c r="H235" s="719">
        <v>217976.35000000009</v>
      </c>
      <c r="I235" s="511">
        <v>8.6999999999999993</v>
      </c>
      <c r="J235" s="511"/>
      <c r="K235" s="719">
        <v>111590.81</v>
      </c>
      <c r="L235" s="719">
        <v>16448</v>
      </c>
      <c r="M235" s="719">
        <v>9845.17</v>
      </c>
      <c r="N235" s="719">
        <v>9468.59</v>
      </c>
      <c r="O235" s="719">
        <v>79200</v>
      </c>
      <c r="P235" s="719">
        <v>2718400.1399999997</v>
      </c>
      <c r="Q235" s="719">
        <v>2935999.9099999997</v>
      </c>
      <c r="R235" s="511">
        <v>8</v>
      </c>
    </row>
    <row r="236" spans="1:18">
      <c r="A236" s="468">
        <v>34</v>
      </c>
      <c r="D236" s="474">
        <v>80000</v>
      </c>
      <c r="E236" s="474">
        <v>48000000</v>
      </c>
      <c r="F236" s="719">
        <v>3450969.06</v>
      </c>
      <c r="G236" s="719">
        <v>3751837.0399999996</v>
      </c>
      <c r="H236" s="719">
        <v>300867.97999999952</v>
      </c>
      <c r="I236" s="511">
        <v>8.6999999999999993</v>
      </c>
      <c r="J236" s="511"/>
      <c r="K236" s="719">
        <v>167386.21</v>
      </c>
      <c r="L236" s="719">
        <v>24672</v>
      </c>
      <c r="M236" s="719">
        <v>12812.99</v>
      </c>
      <c r="N236" s="719">
        <v>12416.71</v>
      </c>
      <c r="O236" s="719">
        <v>118800</v>
      </c>
      <c r="P236" s="719">
        <v>3774640.2600000002</v>
      </c>
      <c r="Q236" s="719">
        <v>4075111.9599999995</v>
      </c>
      <c r="R236" s="511">
        <v>8</v>
      </c>
    </row>
    <row r="237" spans="1:18">
      <c r="A237" s="468">
        <v>35</v>
      </c>
      <c r="D237" s="474">
        <v>160000</v>
      </c>
      <c r="E237" s="474">
        <v>64000000</v>
      </c>
      <c r="F237" s="719">
        <v>5002132.32</v>
      </c>
      <c r="G237" s="719">
        <v>5438085.0200000005</v>
      </c>
      <c r="H237" s="719">
        <v>435952.70000000019</v>
      </c>
      <c r="I237" s="511">
        <v>8.6999999999999993</v>
      </c>
      <c r="J237" s="511"/>
      <c r="K237" s="719">
        <v>223181.62</v>
      </c>
      <c r="L237" s="719">
        <v>32896</v>
      </c>
      <c r="M237" s="719">
        <v>19687.099999999999</v>
      </c>
      <c r="N237" s="719">
        <v>18934.45</v>
      </c>
      <c r="O237" s="719">
        <v>158400</v>
      </c>
      <c r="P237" s="719">
        <v>5436297.04</v>
      </c>
      <c r="Q237" s="719">
        <v>5871497.0900000008</v>
      </c>
      <c r="R237" s="511">
        <v>8</v>
      </c>
    </row>
    <row r="238" spans="1:18">
      <c r="A238" s="468">
        <v>36</v>
      </c>
      <c r="D238" s="474">
        <v>160000</v>
      </c>
      <c r="E238" s="474">
        <v>96000000</v>
      </c>
      <c r="F238" s="719">
        <v>6901438.1299999999</v>
      </c>
      <c r="G238" s="719">
        <v>7503174.0599999996</v>
      </c>
      <c r="H238" s="719">
        <v>601735.9299999997</v>
      </c>
      <c r="I238" s="511">
        <v>8.6999999999999993</v>
      </c>
      <c r="J238" s="511"/>
      <c r="K238" s="719">
        <v>334772.43</v>
      </c>
      <c r="L238" s="719">
        <v>49344</v>
      </c>
      <c r="M238" s="719">
        <v>25622.73</v>
      </c>
      <c r="N238" s="719">
        <v>24830.69</v>
      </c>
      <c r="O238" s="719">
        <v>237600</v>
      </c>
      <c r="P238" s="719">
        <v>7548777.29</v>
      </c>
      <c r="Q238" s="719">
        <v>8149721.1799999997</v>
      </c>
      <c r="R238" s="511">
        <v>8</v>
      </c>
    </row>
    <row r="239" spans="1:18">
      <c r="K239" s="719"/>
      <c r="L239" s="719"/>
      <c r="M239" s="719"/>
      <c r="N239" s="719"/>
      <c r="O239" s="719"/>
    </row>
    <row r="240" spans="1:18" ht="15.75">
      <c r="C240" s="455" t="s">
        <v>1338</v>
      </c>
      <c r="K240" s="719"/>
      <c r="L240" s="719"/>
      <c r="M240" s="719"/>
      <c r="N240" s="719"/>
      <c r="O240" s="719"/>
    </row>
    <row r="241" spans="3:3" ht="15.75">
      <c r="C241" s="455" t="s">
        <v>1349</v>
      </c>
    </row>
    <row r="242" spans="3:3" ht="15.75">
      <c r="C242" s="455" t="s">
        <v>1340</v>
      </c>
    </row>
    <row r="243" spans="3:3" ht="15.75">
      <c r="C243" s="455" t="s">
        <v>1344</v>
      </c>
    </row>
    <row r="244" spans="3:3" ht="15.75">
      <c r="C244" s="455" t="s">
        <v>1342</v>
      </c>
    </row>
    <row r="245" spans="3:3" ht="15.75">
      <c r="C245" s="455" t="s">
        <v>1350</v>
      </c>
    </row>
    <row r="246" spans="3:3" ht="15.75">
      <c r="C246" s="455" t="s">
        <v>1351</v>
      </c>
    </row>
    <row r="247" spans="3:3" ht="15.75">
      <c r="C247" s="457"/>
    </row>
  </sheetData>
  <mergeCells count="10">
    <mergeCell ref="A143:R143"/>
    <mergeCell ref="K146:O146"/>
    <mergeCell ref="A193:R193"/>
    <mergeCell ref="K196:O196"/>
    <mergeCell ref="A10:R10"/>
    <mergeCell ref="K13:O13"/>
    <mergeCell ref="A44:R44"/>
    <mergeCell ref="K47:O47"/>
    <mergeCell ref="A96:R96"/>
    <mergeCell ref="K99:O99"/>
  </mergeCells>
  <pageMargins left="0.5" right="0.5" top="1" bottom="1" header="0.5" footer="0.5"/>
  <pageSetup scale="45" orientation="landscape" verticalDpi="300" r:id="rId1"/>
  <headerFooter alignWithMargins="0"/>
  <rowBreaks count="2" manualBreakCount="2">
    <brk id="34" max="16383" man="1"/>
    <brk id="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W30"/>
  <sheetViews>
    <sheetView workbookViewId="0"/>
  </sheetViews>
  <sheetFormatPr defaultRowHeight="16.5"/>
  <cols>
    <col min="1" max="1" width="1.69921875" customWidth="1"/>
    <col min="2" max="2" width="9.8984375" customWidth="1"/>
    <col min="3" max="3" width="1.69921875" customWidth="1"/>
    <col min="4" max="4" width="11" customWidth="1"/>
    <col min="5" max="5" width="1.69921875" customWidth="1"/>
    <col min="6" max="6" width="11" customWidth="1"/>
    <col min="7" max="7" width="1.69921875" customWidth="1"/>
    <col min="8" max="8" width="11" customWidth="1"/>
    <col min="9" max="9" width="1.69921875" customWidth="1"/>
    <col min="10" max="10" width="11" customWidth="1"/>
    <col min="11" max="11" width="8.69921875" customWidth="1"/>
    <col min="12" max="12" width="9.3984375" customWidth="1"/>
    <col min="13" max="13" width="1.69921875" customWidth="1"/>
    <col min="14" max="14" width="11" customWidth="1"/>
    <col min="15" max="15" width="1.69921875" customWidth="1"/>
    <col min="16" max="16" width="11" customWidth="1"/>
    <col min="17" max="17" width="1.69921875" customWidth="1"/>
    <col min="18" max="18" width="11" customWidth="1"/>
    <col min="19" max="19" width="1.69921875" customWidth="1"/>
    <col min="20" max="20" width="11" customWidth="1"/>
  </cols>
  <sheetData>
    <row r="1" spans="1:23" ht="25.5" customHeight="1">
      <c r="A1" s="18"/>
      <c r="B1" s="758" t="str">
        <f>+INPUT!A1</f>
        <v>TEST PERIOD WITH RIDERS</v>
      </c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758"/>
      <c r="O1" s="758"/>
      <c r="P1" s="758"/>
      <c r="Q1" s="758"/>
      <c r="R1" s="758"/>
      <c r="S1" s="758"/>
      <c r="T1" s="758"/>
      <c r="U1" s="18"/>
      <c r="V1" s="18"/>
      <c r="W1" s="18"/>
    </row>
    <row r="2" spans="1:23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ht="17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ht="43.5" customHeight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17.25" thickBot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 ht="24" customHeight="1" thickBot="1">
      <c r="A6" s="18"/>
      <c r="B6" s="755" t="s">
        <v>427</v>
      </c>
      <c r="C6" s="756"/>
      <c r="D6" s="756"/>
      <c r="E6" s="756"/>
      <c r="F6" s="756"/>
      <c r="G6" s="756"/>
      <c r="H6" s="756"/>
      <c r="I6" s="756"/>
      <c r="J6" s="757"/>
      <c r="K6" s="18"/>
      <c r="L6" s="755" t="s">
        <v>428</v>
      </c>
      <c r="M6" s="756"/>
      <c r="N6" s="756"/>
      <c r="O6" s="756"/>
      <c r="P6" s="756"/>
      <c r="Q6" s="756"/>
      <c r="R6" s="756"/>
      <c r="S6" s="756"/>
      <c r="T6" s="757"/>
      <c r="U6" s="18"/>
      <c r="V6" s="18"/>
      <c r="W6" s="18"/>
    </row>
    <row r="7" spans="1:23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 ht="39.950000000000003" customHeigh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1:23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23" ht="39.950000000000003" customHeight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23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23" ht="39.950000000000003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23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3" ht="39.950000000000003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9.950000000000003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ht="39.950000000000003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ht="39.950000000000003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</sheetData>
  <customSheetViews>
    <customSheetView guid="{F562D92E-120C-4AE9-9663-89E64D41DC53}">
      <pageMargins left="0.75" right="0.75" top="1" bottom="1" header="0.5" footer="0.5"/>
      <pageSetup orientation="portrait" horizontalDpi="300" verticalDpi="300" r:id="rId1"/>
      <headerFooter alignWithMargins="0"/>
    </customSheetView>
    <customSheetView guid="{35F19056-2E6F-4935-B863-78836FE990BF}" showPageBreaks="1" showRuler="0">
      <pageMargins left="0.75" right="0.75" top="1" bottom="1" header="0.5" footer="0.5"/>
      <pageSetup orientation="portrait" horizontalDpi="300" verticalDpi="300" r:id="rId2"/>
      <headerFooter alignWithMargins="0"/>
    </customSheetView>
    <customSheetView guid="{18BDED73-BFA0-442E-87EC-CED86EE4CF94}" showRuler="0">
      <pageMargins left="0.75" right="0.75" top="1" bottom="1" header="0.5" footer="0.5"/>
      <pageSetup orientation="portrait" horizontalDpi="300" verticalDpi="300" r:id="rId3"/>
      <headerFooter alignWithMargins="0"/>
    </customSheetView>
    <customSheetView guid="{0BC1F393-8A13-47D5-BC6C-0C99615B5AB9}" showRuler="0">
      <pageMargins left="0.75" right="0.75" top="1" bottom="1" header="0.5" footer="0.5"/>
      <pageSetup orientation="portrait" horizontalDpi="300" verticalDpi="300" r:id="rId4"/>
      <headerFooter alignWithMargins="0"/>
    </customSheetView>
    <customSheetView guid="{6B3D5C27-2FDE-4561-9575-1E98BFB869D0}" showRuler="0">
      <selection activeCell="B26" sqref="B26"/>
      <pageMargins left="0.75" right="0.75" top="1" bottom="1" header="0.5" footer="0.5"/>
      <pageSetup orientation="portrait" horizontalDpi="300" verticalDpi="300" r:id="rId5"/>
      <headerFooter alignWithMargins="0"/>
    </customSheetView>
    <customSheetView guid="{8FB94551-8874-4095-B8FB-5316E0D2FD2C}" showRuler="0">
      <pageMargins left="0.75" right="0.75" top="1" bottom="1" header="0.5" footer="0.5"/>
      <pageSetup orientation="portrait" horizontalDpi="300" verticalDpi="300" r:id="rId6"/>
      <headerFooter alignWithMargins="0"/>
    </customSheetView>
    <customSheetView guid="{8FC77C99-DBF7-40B8-99B8-01B75826CDCB}" showRuler="0">
      <pageMargins left="0.75" right="0.75" top="1" bottom="1" header="0.5" footer="0.5"/>
      <pageSetup orientation="portrait" horizontalDpi="300" verticalDpi="300" r:id="rId7"/>
      <headerFooter alignWithMargins="0"/>
    </customSheetView>
    <customSheetView guid="{2EA35095-1ADC-4CC7-8C3C-B487D65FA247}" showRuler="0">
      <pageMargins left="0.75" right="0.75" top="1" bottom="1" header="0.5" footer="0.5"/>
      <pageSetup orientation="portrait" horizontalDpi="300" verticalDpi="300" r:id="rId8"/>
      <headerFooter alignWithMargins="0"/>
    </customSheetView>
    <customSheetView guid="{2431C9E5-7CC2-4B8D-99C3-962247B1DBF5}" showRuler="0">
      <pageMargins left="0.75" right="0.75" top="1" bottom="1" header="0.5" footer="0.5"/>
      <pageSetup orientation="portrait" horizontalDpi="300" verticalDpi="300" r:id="rId9"/>
      <headerFooter alignWithMargins="0"/>
    </customSheetView>
    <customSheetView guid="{4BC93440-BA85-4935-A8C9-66DC6AE5DE5E}" showRuler="0">
      <selection activeCell="B26" sqref="B26"/>
      <pageMargins left="0.75" right="0.75" top="1" bottom="1" header="0.5" footer="0.5"/>
      <pageSetup orientation="portrait" horizontalDpi="300" verticalDpi="300" r:id="rId10"/>
      <headerFooter alignWithMargins="0"/>
    </customSheetView>
    <customSheetView guid="{0C49E549-011E-46F4-A82E-2CC8951A9C1E}" showRuler="0">
      <selection activeCell="C25" sqref="C25"/>
      <pageMargins left="0.75" right="0.75" top="1" bottom="1" header="0.5" footer="0.5"/>
      <pageSetup orientation="portrait" horizontalDpi="300" verticalDpi="300" r:id="rId11"/>
      <headerFooter alignWithMargins="0"/>
    </customSheetView>
    <customSheetView guid="{195DF303-1BBD-4236-94B5-47432850B006}" showRuler="0">
      <pageMargins left="0.75" right="0.75" top="1" bottom="1" header="0.5" footer="0.5"/>
      <pageSetup orientation="portrait" horizontalDpi="300" verticalDpi="300" r:id="rId12"/>
      <headerFooter alignWithMargins="0"/>
    </customSheetView>
  </customSheetViews>
  <mergeCells count="3">
    <mergeCell ref="B6:J6"/>
    <mergeCell ref="L6:T6"/>
    <mergeCell ref="B1:T1"/>
  </mergeCells>
  <phoneticPr fontId="12" type="noConversion"/>
  <pageMargins left="0.75" right="0.75" top="1" bottom="1" header="0.5" footer="0.5"/>
  <pageSetup orientation="portrait" horizontalDpi="300" verticalDpi="300" r:id="rId13"/>
  <headerFooter alignWithMargins="0"/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16" name="Button 1">
              <controlPr defaultSize="0" print="0" autoFill="0" autoPict="0" macro="[0]!Module1.PRINT_SCH_M">
                <anchor moveWithCells="1" sizeWithCells="1">
                  <from>
                    <xdr:col>1</xdr:col>
                    <xdr:colOff>9525</xdr:colOff>
                    <xdr:row>3</xdr:row>
                    <xdr:rowOff>19050</xdr:rowOff>
                  </from>
                  <to>
                    <xdr:col>7</xdr:col>
                    <xdr:colOff>9525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17" name="Button 2">
              <controlPr defaultSize="0" print="0" autoFill="0" autoPict="0" macro="[0]!Module1.PRINT_SCH_N">
                <anchor moveWithCells="1" sizeWithCells="1">
                  <from>
                    <xdr:col>15</xdr:col>
                    <xdr:colOff>9525</xdr:colOff>
                    <xdr:row>3</xdr:row>
                    <xdr:rowOff>0</xdr:rowOff>
                  </from>
                  <to>
                    <xdr:col>20</xdr:col>
                    <xdr:colOff>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8" name="Button 3">
              <controlPr defaultSize="0" print="0" autoFill="0" autoPict="0" macro="[0]!PRINT_SCH_M_2_2">
                <anchor moveWithCells="1" siz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9" name="Button 4">
              <controlPr defaultSize="0" print="0" autoFill="0" autoPict="0" macro="[0]!PRINT_SCH_M_2_2_SUMMARY">
                <anchor moveWithCells="1" sizeWithCells="1">
                  <from>
                    <xdr:col>0</xdr:col>
                    <xdr:colOff>752475</xdr:colOff>
                    <xdr:row>9</xdr:row>
                    <xdr:rowOff>9525</xdr:rowOff>
                  </from>
                  <to>
                    <xdr:col>2</xdr:col>
                    <xdr:colOff>9525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20" name="Button 5">
              <controlPr defaultSize="0" print="0" autoFill="0" autoPict="0" macro="[0]!PRINT_SCH_M_2_2_DETAIL">
                <anchor moveWithCells="1" siz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21" name="Button 6">
              <controlPr defaultSize="0" print="0" autoFill="0" autoPict="0" macro="[0]!PRINT_SCH_M_2_2_RESCURR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22" name="Button 7">
              <controlPr defaultSize="0" print="0" autoFill="0" autoPict="0" macro="[0]!PRINT_SCH_M_2_2_DSCURR">
                <anchor moveWithCells="1" sizeWithCells="1">
                  <from>
                    <xdr:col>3</xdr:col>
                    <xdr:colOff>0</xdr:colOff>
                    <xdr:row>8</xdr:row>
                    <xdr:rowOff>180975</xdr:rowOff>
                  </from>
                  <to>
                    <xdr:col>3</xdr:col>
                    <xdr:colOff>1085850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23" name="Button 8">
              <controlPr defaultSize="0" print="0" autoFill="0" autoPict="0" macro="[0]!PRINT_SCH_M_2_2_DTCURR_PRI">
                <anchor moveWithCells="1" sizeWithCells="1">
                  <from>
                    <xdr:col>3</xdr:col>
                    <xdr:colOff>0</xdr:colOff>
                    <xdr:row>11</xdr:row>
                    <xdr:rowOff>9525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24" name="Button 9">
              <controlPr defaultSize="0" print="0" autoFill="0" autoPict="0" macro="[0]!PRINT_SCH_M_2_2_DPCURR">
                <anchor moveWithCells="1" sizeWithCells="1">
                  <from>
                    <xdr:col>5</xdr:col>
                    <xdr:colOff>0</xdr:colOff>
                    <xdr:row>9</xdr:row>
                    <xdr:rowOff>9525</xdr:rowOff>
                  </from>
                  <to>
                    <xdr:col>5</xdr:col>
                    <xdr:colOff>1085850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25" name="Button 10">
              <controlPr defaultSize="0" print="0" autoFill="0" autoPict="0" macro="[0]!PRINT_SCH_M_2_2_GSFLCURR">
                <anchor moveWithCells="1" sizeWithCells="1">
                  <from>
                    <xdr:col>5</xdr:col>
                    <xdr:colOff>0</xdr:colOff>
                    <xdr:row>6</xdr:row>
                    <xdr:rowOff>190500</xdr:rowOff>
                  </from>
                  <to>
                    <xdr:col>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26" name="Button 11">
              <controlPr defaultSize="0" print="0" autoFill="0" autoPict="0" macro="[0]!PRINT_SCH_M_2_2_EHCURR">
                <anchor moveWithCells="1" sizeWithCells="1">
                  <from>
                    <xdr:col>3</xdr:col>
                    <xdr:colOff>0</xdr:colOff>
                    <xdr:row>14</xdr:row>
                    <xdr:rowOff>180975</xdr:rowOff>
                  </from>
                  <to>
                    <xdr:col>4</xdr:col>
                    <xdr:colOff>9525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27" name="Button 12">
              <controlPr defaultSize="0" print="0" autoFill="0" autoPict="0" macro="[0]!PRINT_SCH_M_2_2_TTCURR">
                <anchor moveWithCells="1" sizeWithCells="1">
                  <from>
                    <xdr:col>4</xdr:col>
                    <xdr:colOff>1076325</xdr:colOff>
                    <xdr:row>10</xdr:row>
                    <xdr:rowOff>180975</xdr:rowOff>
                  </from>
                  <to>
                    <xdr:col>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8" name="Button 13">
              <controlPr defaultSize="0" print="0" autoFill="0" autoPict="0" macro="[0]!PRINT_SCH_M_2_2_SLCURR">
                <anchor moveWithCells="1" sizeWithCells="1">
                  <from>
                    <xdr:col>7</xdr:col>
                    <xdr:colOff>0</xdr:colOff>
                    <xdr:row>9</xdr:row>
                    <xdr:rowOff>9525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9" name="Button 14">
              <controlPr defaultSize="0" print="0" autoFill="0" autoPict="0" macro="[0]!PRINT_SCH_M_2_2_SECURR">
                <anchor moveWithCells="1" sizeWithCells="1">
                  <from>
                    <xdr:col>9</xdr:col>
                    <xdr:colOff>19050</xdr:colOff>
                    <xdr:row>9</xdr:row>
                    <xdr:rowOff>9525</xdr:rowOff>
                  </from>
                  <to>
                    <xdr:col>10</xdr:col>
                    <xdr:colOff>9525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30" name="Button 15">
              <controlPr defaultSize="0" print="0" autoFill="0" autoPict="0" macro="[0]!PRINT_SCH_M_2_2_TLCURR">
                <anchor moveWithCells="1" sizeWithCells="1">
                  <from>
                    <xdr:col>7</xdr:col>
                    <xdr:colOff>0</xdr:colOff>
                    <xdr:row>11</xdr:row>
                    <xdr:rowOff>9525</xdr:rowOff>
                  </from>
                  <to>
                    <xdr:col>8</xdr:col>
                    <xdr:colOff>0</xdr:colOff>
                    <xdr:row>11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31" name="Button 17">
              <controlPr defaultSize="0" print="0" autoFill="0" autoPict="0" macro="[0]!PRINT_SCH_M_2_2_NSUCURR">
                <anchor moveWithCells="1" sizeWithCells="1">
                  <from>
                    <xdr:col>7</xdr:col>
                    <xdr:colOff>19050</xdr:colOff>
                    <xdr:row>15</xdr:row>
                    <xdr:rowOff>0</xdr:rowOff>
                  </from>
                  <to>
                    <xdr:col>8</xdr:col>
                    <xdr:colOff>19050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32" name="Button 19">
              <controlPr defaultSize="0" print="0" autoFill="0" autoPict="0" macro="[0]!PRINT_SCH_M_2_3">
                <anchor moveWithCells="1" siz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12</xdr:col>
                    <xdr:colOff>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33" name="Button 20">
              <controlPr defaultSize="0" print="0" autoFill="0" autoPict="0" macro="[0]!PRINT_SCH_M_2_3_SUMMARY">
                <anchor moveWithCells="1" sizeWithCells="1">
                  <from>
                    <xdr:col>10</xdr:col>
                    <xdr:colOff>742950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34" name="Button 21">
              <controlPr defaultSize="0" print="0" autoFill="0" autoPict="0" macro="[0]!PRINT_SCH_M_2_3_DETAIL">
                <anchor moveWithCells="1" sizeWithCells="1">
                  <from>
                    <xdr:col>11</xdr:col>
                    <xdr:colOff>0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35" name="Button 22">
              <controlPr defaultSize="0" print="0" autoFill="0" autoPict="0" macro="[0]!PRINT_SCH_M_2_3_RESPROP">
                <anchor moveWithCells="1" sizeWithCells="1">
                  <from>
                    <xdr:col>13</xdr:col>
                    <xdr:colOff>0</xdr:colOff>
                    <xdr:row>7</xdr:row>
                    <xdr:rowOff>9525</xdr:rowOff>
                  </from>
                  <to>
                    <xdr:col>14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6" name="Button 23">
              <controlPr defaultSize="0" print="0" autoFill="0" autoPict="0" macro="[0]!PRINT_SCH_M_2_3_DSPROP">
                <anchor moveWithCells="1" sizeWithCells="1">
                  <from>
                    <xdr:col>12</xdr:col>
                    <xdr:colOff>161925</xdr:colOff>
                    <xdr:row>8</xdr:row>
                    <xdr:rowOff>180975</xdr:rowOff>
                  </from>
                  <to>
                    <xdr:col>13</xdr:col>
                    <xdr:colOff>1085850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7" name="Button 24">
              <controlPr defaultSize="0" print="0" autoFill="0" autoPict="0" macro="[0]!PRINT_SCH_M_2_3_DTPROP_PRI">
                <anchor moveWithCells="1" sizeWithCells="1">
                  <from>
                    <xdr:col>12</xdr:col>
                    <xdr:colOff>161925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8" name="Button 25">
              <controlPr defaultSize="0" print="0" autoFill="0" autoPict="0" macro="[0]!PRINT_SCH_M_2_3_DPPROP">
                <anchor moveWithCells="1" sizeWithCells="1">
                  <from>
                    <xdr:col>15</xdr:col>
                    <xdr:colOff>0</xdr:colOff>
                    <xdr:row>9</xdr:row>
                    <xdr:rowOff>9525</xdr:rowOff>
                  </from>
                  <to>
                    <xdr:col>15</xdr:col>
                    <xdr:colOff>1085850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9" name="Button 26">
              <controlPr defaultSize="0" print="0" autoFill="0" autoPict="0" macro="[0]!PRINT_SCH_M_2_3_GSFLPROP">
                <anchor moveWithCells="1" sizeWithCells="1">
                  <from>
                    <xdr:col>15</xdr:col>
                    <xdr:colOff>0</xdr:colOff>
                    <xdr:row>7</xdr:row>
                    <xdr:rowOff>9525</xdr:rowOff>
                  </from>
                  <to>
                    <xdr:col>15</xdr:col>
                    <xdr:colOff>1085850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40" name="Button 27">
              <controlPr defaultSize="0" print="0" autoFill="0" autoPict="0" macro="[0]!PRINT_SCH_M_2_3_EHPROP">
                <anchor moveWithCells="1" siz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13</xdr:col>
                    <xdr:colOff>1085850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41" name="Button 28">
              <controlPr defaultSize="0" print="0" autoFill="0" autoPict="0" macro="[0]!PRINT_SCH_M_2_3_TTPROP">
                <anchor moveWithCells="1" sizeWithCells="1">
                  <from>
                    <xdr:col>15</xdr:col>
                    <xdr:colOff>9525</xdr:colOff>
                    <xdr:row>11</xdr:row>
                    <xdr:rowOff>9525</xdr:rowOff>
                  </from>
                  <to>
                    <xdr:col>15</xdr:col>
                    <xdr:colOff>1085850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42" name="Button 29">
              <controlPr defaultSize="0" print="0" autoFill="0" autoPict="0" macro="[0]!PRINT_SCH_M_2_3_SLPROP">
                <anchor moveWithCells="1" sizeWithCells="1">
                  <from>
                    <xdr:col>17</xdr:col>
                    <xdr:colOff>0</xdr:colOff>
                    <xdr:row>9</xdr:row>
                    <xdr:rowOff>9525</xdr:rowOff>
                  </from>
                  <to>
                    <xdr:col>18</xdr:col>
                    <xdr:colOff>19050</xdr:colOff>
                    <xdr:row>9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43" name="Button 30">
              <controlPr defaultSize="0" print="0" autoFill="0" autoPict="0" macro="[0]!PRINT_SCH_M_2_3_SEPROP">
                <anchor moveWithCells="1" sizeWithCells="1">
                  <from>
                    <xdr:col>19</xdr:col>
                    <xdr:colOff>28575</xdr:colOff>
                    <xdr:row>8</xdr:row>
                    <xdr:rowOff>152400</xdr:rowOff>
                  </from>
                  <to>
                    <xdr:col>20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44" name="Button 31">
              <controlPr defaultSize="0" print="0" autoFill="0" autoPict="0" macro="[0]!PRINT_SCH_M_2_3_TLPROP">
                <anchor moveWithCells="1" sizeWithCells="1">
                  <from>
                    <xdr:col>17</xdr:col>
                    <xdr:colOff>9525</xdr:colOff>
                    <xdr:row>11</xdr:row>
                    <xdr:rowOff>9525</xdr:rowOff>
                  </from>
                  <to>
                    <xdr:col>18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5" name="Button 33">
              <controlPr defaultSize="0" print="0" autoFill="0" autoPict="0" macro="[0]!PRINT_SCH_M_2_3_NSUPROP">
                <anchor moveWithCells="1" sizeWithCells="1">
                  <from>
                    <xdr:col>17</xdr:col>
                    <xdr:colOff>38100</xdr:colOff>
                    <xdr:row>15</xdr:row>
                    <xdr:rowOff>9525</xdr:rowOff>
                  </from>
                  <to>
                    <xdr:col>18</xdr:col>
                    <xdr:colOff>38100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6" name="Button 35">
              <controlPr defaultSize="0" print="0" autoFill="0" autoPict="0" macro="[0]!PRINT_SCH_M_2_1">
                <anchor moveWithCells="1" sizeWithCells="1">
                  <from>
                    <xdr:col>8</xdr:col>
                    <xdr:colOff>0</xdr:colOff>
                    <xdr:row>2</xdr:row>
                    <xdr:rowOff>209550</xdr:rowOff>
                  </from>
                  <to>
                    <xdr:col>13</xdr:col>
                    <xdr:colOff>9525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7" name="Button 36">
              <controlPr defaultSize="0" print="0" autoFill="0" autoPict="0" macro="[0]!PRINT_SCH_M_2_2_SCCURR">
                <anchor moveWithCells="1" sizeWithCells="1">
                  <from>
                    <xdr:col>9</xdr:col>
                    <xdr:colOff>9525</xdr:colOff>
                    <xdr:row>7</xdr:row>
                    <xdr:rowOff>9525</xdr:rowOff>
                  </from>
                  <to>
                    <xdr:col>10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8" name="Button 37">
              <controlPr defaultSize="0" print="0" autoFill="0" autoPict="0" macro="[0]!PRINT_SCH_M_2_3_SCPROP">
                <anchor moveWithCells="1" sizeWithCells="1">
                  <from>
                    <xdr:col>19</xdr:col>
                    <xdr:colOff>9525</xdr:colOff>
                    <xdr:row>7</xdr:row>
                    <xdr:rowOff>9525</xdr:rowOff>
                  </from>
                  <to>
                    <xdr:col>20</xdr:col>
                    <xdr:colOff>9525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9" name="Button 38">
              <controlPr defaultSize="0" print="0" autoFill="0" autoPict="0" macro="[0]!PRINT_RTP_CURRENT">
                <anchor moveWithCells="1" sizeWithCells="1">
                  <from>
                    <xdr:col>0</xdr:col>
                    <xdr:colOff>742950</xdr:colOff>
                    <xdr:row>13</xdr:row>
                    <xdr:rowOff>9525</xdr:rowOff>
                  </from>
                  <to>
                    <xdr:col>2</xdr:col>
                    <xdr:colOff>9525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50" name="Button 39">
              <controlPr defaultSize="0" print="0" autoFill="0" autoPict="0" macro="[0]!PRINT_RTP_DETAIL">
                <anchor moveWithCells="1" sizeWithCells="1">
                  <from>
                    <xdr:col>11</xdr:col>
                    <xdr:colOff>0</xdr:colOff>
                    <xdr:row>13</xdr:row>
                    <xdr:rowOff>19050</xdr:rowOff>
                  </from>
                  <to>
                    <xdr:col>12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51" name="Button 40">
              <controlPr defaultSize="0" print="0" autoFill="0" autoPict="0" macro="[0]!PRINT_SCH_M_2_3_DTPROP_SEC">
                <anchor moveWithCells="1" sizeWithCells="1">
                  <from>
                    <xdr:col>13</xdr:col>
                    <xdr:colOff>9525</xdr:colOff>
                    <xdr:row>13</xdr:row>
                    <xdr:rowOff>0</xdr:rowOff>
                  </from>
                  <to>
                    <xdr:col>14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52" name="Button 41">
              <controlPr defaultSize="0" print="0" autoFill="0" autoPict="0" macro="[0]!PRINT_SCH_M_2_2_DTCURR_SEC">
                <anchor moveWithCells="1" sizeWithCells="1">
                  <from>
                    <xdr:col>2</xdr:col>
                    <xdr:colOff>1085850</xdr:colOff>
                    <xdr:row>12</xdr:row>
                    <xdr:rowOff>180975</xdr:rowOff>
                  </from>
                  <to>
                    <xdr:col>4</xdr:col>
                    <xdr:colOff>9525</xdr:colOff>
                    <xdr:row>13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53" name="Button 43">
              <controlPr defaultSize="0" print="0" autoFill="0" autoPict="0" macro="[0]!PRINT_SCH_M_2_3_UOLSPROP">
                <anchor moveWithCells="1" sizeWithCells="1">
                  <from>
                    <xdr:col>17</xdr:col>
                    <xdr:colOff>19050</xdr:colOff>
                    <xdr:row>13</xdr:row>
                    <xdr:rowOff>9525</xdr:rowOff>
                  </from>
                  <to>
                    <xdr:col>18</xdr:col>
                    <xdr:colOff>19050</xdr:colOff>
                    <xdr:row>13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54" name="Button 46">
              <controlPr defaultSize="0" print="0" autoFill="0" autoPict="0" macro="[0]!PRINT_SCH_M_2_2_UOLSCURR">
                <anchor moveWithCells="1" sizeWithCells="1">
                  <from>
                    <xdr:col>7</xdr:col>
                    <xdr:colOff>9525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5" name="Button 47">
              <controlPr defaultSize="0" print="0" autoFill="0" autoPict="0" macro="[0]!PRINT_SCH_M_2_2_DTRTP_P_CURR">
                <anchor moveWithCells="1" sizeWithCells="1">
                  <from>
                    <xdr:col>4</xdr:col>
                    <xdr:colOff>1085850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6" name="Button 48">
              <controlPr defaultSize="0" print="0" autoFill="0" autoPict="0" macro="[0]!PRINT_SCH_M_2_2_DTRTP_S_CURR">
                <anchor moveWithCells="1" sizeWithCells="1">
                  <from>
                    <xdr:col>5</xdr:col>
                    <xdr:colOff>9525</xdr:colOff>
                    <xdr:row>15</xdr:row>
                    <xdr:rowOff>0</xdr:rowOff>
                  </from>
                  <to>
                    <xdr:col>6</xdr:col>
                    <xdr:colOff>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7" name="Button 49">
              <controlPr defaultSize="0" print="0" autoFill="0" autoPict="0" macro="[0]!PRINT_SCH_M_2_2_DSRTP_CURR">
                <anchor moveWithCells="1" sizeWithCells="1">
                  <from>
                    <xdr:col>7</xdr:col>
                    <xdr:colOff>9525</xdr:colOff>
                    <xdr:row>7</xdr:row>
                    <xdr:rowOff>9525</xdr:rowOff>
                  </from>
                  <to>
                    <xdr:col>8</xdr:col>
                    <xdr:colOff>9525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8" name="Button 51">
              <controlPr defaultSize="0" print="0" autoFill="0" autoPict="0" macro="[0]!PRINT_SCH_M_2_3_DTRTP_P_PROP">
                <anchor moveWithCells="1" sizeWithCells="1">
                  <from>
                    <xdr:col>14</xdr:col>
                    <xdr:colOff>171450</xdr:colOff>
                    <xdr:row>13</xdr:row>
                    <xdr:rowOff>9525</xdr:rowOff>
                  </from>
                  <to>
                    <xdr:col>15</xdr:col>
                    <xdr:colOff>1085850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9" name="Button 52">
              <controlPr defaultSize="0" print="0" autoFill="0" autoPict="0" macro="[0]!PRINT_SCH_M_2_3_DTRTP_S_PROP">
                <anchor moveWithCells="1" sizeWithCells="1">
                  <from>
                    <xdr:col>14</xdr:col>
                    <xdr:colOff>152400</xdr:colOff>
                    <xdr:row>15</xdr:row>
                    <xdr:rowOff>9525</xdr:rowOff>
                  </from>
                  <to>
                    <xdr:col>16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60" name="Button 53">
              <controlPr defaultSize="0" print="0" autoFill="0" autoPict="0" macro="[0]!PRINT_SCH_M_2_3_DSRTP_PROP">
                <anchor moveWithCells="1" sizeWithCells="1">
                  <from>
                    <xdr:col>16</xdr:col>
                    <xdr:colOff>1076325</xdr:colOff>
                    <xdr:row>7</xdr:row>
                    <xdr:rowOff>9525</xdr:rowOff>
                  </from>
                  <to>
                    <xdr:col>18</xdr:col>
                    <xdr:colOff>9525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61" name="Button 54">
              <controlPr defaultSize="0" print="0" autoFill="0" autoPict="0" macro="[0]!PRINT_SCH_M_2_2_LEDCURR">
                <anchor moveWithCells="1" sizeWithCells="1">
                  <from>
                    <xdr:col>9</xdr:col>
                    <xdr:colOff>19050</xdr:colOff>
                    <xdr:row>11</xdr:row>
                    <xdr:rowOff>9525</xdr:rowOff>
                  </from>
                  <to>
                    <xdr:col>10</xdr:col>
                    <xdr:colOff>9525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62" name="Button 56">
              <controlPr defaultSize="0" print="0" autoFill="0" autoPict="0" macro="[0]!PRINT_SCH_M_2_3_LEDPROP">
                <anchor moveWithCells="1" sizeWithCells="1">
                  <from>
                    <xdr:col>19</xdr:col>
                    <xdr:colOff>19050</xdr:colOff>
                    <xdr:row>11</xdr:row>
                    <xdr:rowOff>9525</xdr:rowOff>
                  </from>
                  <to>
                    <xdr:col>20</xdr:col>
                    <xdr:colOff>9525</xdr:colOff>
                    <xdr:row>12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M69" transitionEvaluation="1" transitionEntry="1" codeName="Sheet7">
    <tabColor rgb="FF92D050"/>
    <pageSetUpPr fitToPage="1"/>
  </sheetPr>
  <dimension ref="A1:BX1140"/>
  <sheetViews>
    <sheetView topLeftCell="M69" zoomScale="70" zoomScaleNormal="70" workbookViewId="0">
      <selection activeCell="AQ108" sqref="AQ108"/>
    </sheetView>
  </sheetViews>
  <sheetFormatPr defaultColWidth="9.69921875" defaultRowHeight="15.75"/>
  <cols>
    <col min="1" max="1" width="4" style="41" customWidth="1"/>
    <col min="2" max="2" width="0.69921875" style="41" customWidth="1"/>
    <col min="3" max="3" width="6.69921875" style="41" customWidth="1"/>
    <col min="4" max="4" width="37.69921875" style="41" customWidth="1"/>
    <col min="5" max="5" width="0.39843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0.6992187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6" style="41" customWidth="1"/>
    <col min="19" max="19" width="8.69921875" style="41" customWidth="1"/>
    <col min="20" max="20" width="5.3984375" style="41" customWidth="1"/>
    <col min="21" max="21" width="7.59765625" style="41" customWidth="1"/>
    <col min="22" max="22" width="4.59765625" style="41" customWidth="1"/>
    <col min="23" max="23" width="39.8984375" style="41" customWidth="1"/>
    <col min="24" max="24" width="0.3984375" style="41" customWidth="1"/>
    <col min="25" max="25" width="9.69921875" style="41" customWidth="1"/>
    <col min="26" max="26" width="0.69921875" style="41" customWidth="1"/>
    <col min="27" max="27" width="14.296875" style="41" customWidth="1"/>
    <col min="28" max="28" width="0.69921875" style="41" customWidth="1"/>
    <col min="29" max="29" width="11.3984375" style="41" customWidth="1"/>
    <col min="30" max="30" width="0.5976562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8984375" style="41" customWidth="1"/>
    <col min="37" max="37" width="14.59765625" style="99" customWidth="1"/>
    <col min="38" max="38" width="0.6992187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3 OF "&amp;TEXT(Page_Num_2.3,"00")</f>
        <v>PAGE 3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>
      <c r="A10" s="133" t="str">
        <f>INPUT!B5</f>
        <v xml:space="preserve"> </v>
      </c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1038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>
      <c r="H19" s="309" t="s">
        <v>196</v>
      </c>
      <c r="I19" s="308"/>
      <c r="J19" s="309" t="s">
        <v>331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A20" s="41">
        <v>1</v>
      </c>
      <c r="C20" s="133" t="s">
        <v>91</v>
      </c>
      <c r="D20" s="133" t="s">
        <v>131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>
      <c r="A21" s="41">
        <v>2</v>
      </c>
      <c r="C21" s="130"/>
      <c r="D21" s="133" t="s">
        <v>132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>
      <c r="A23" s="41">
        <v>3</v>
      </c>
      <c r="C23" s="133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>
      <c r="A24" s="41">
        <v>4</v>
      </c>
      <c r="C24" s="48" t="s">
        <v>353</v>
      </c>
      <c r="F24" s="45">
        <f>'[10]Forecast BILLS'!$D$71</f>
        <v>1545</v>
      </c>
      <c r="G24" s="1"/>
      <c r="H24" s="1"/>
      <c r="I24" s="1"/>
      <c r="J24" s="53">
        <f>INPUT!D63</f>
        <v>5</v>
      </c>
      <c r="K24" s="1"/>
      <c r="L24" s="3">
        <f>ROUND(F24*J24,0)</f>
        <v>7725</v>
      </c>
      <c r="M24" s="3"/>
      <c r="N24" s="4">
        <f>ROUND((L24/L$50)*100,1)</f>
        <v>0</v>
      </c>
      <c r="O24" s="4"/>
      <c r="P24" s="3"/>
      <c r="Q24" s="1"/>
      <c r="R24" s="3">
        <f>L24+P24</f>
        <v>7725</v>
      </c>
      <c r="S24" s="45"/>
      <c r="T24" s="42"/>
      <c r="V24" s="45"/>
      <c r="Y24" s="45"/>
      <c r="Z24" s="316"/>
      <c r="AA24" s="45"/>
      <c r="AB24" s="45"/>
      <c r="AC24" s="46"/>
      <c r="AD24" s="46"/>
      <c r="AE24" s="45"/>
      <c r="AF24" s="45"/>
      <c r="AH24" s="46"/>
      <c r="AI24" s="45"/>
      <c r="AJ24" s="45"/>
      <c r="AL24" s="45"/>
      <c r="AM24" s="46"/>
      <c r="AN24" s="46"/>
    </row>
    <row r="25" spans="1:40">
      <c r="A25" s="41">
        <v>5</v>
      </c>
      <c r="C25" s="42" t="s">
        <v>134</v>
      </c>
      <c r="F25" s="164">
        <f>'[10]Forecast BILLS'!$I$71</f>
        <v>79682</v>
      </c>
      <c r="G25" s="1"/>
      <c r="H25" s="68"/>
      <c r="I25" s="68"/>
      <c r="J25" s="316">
        <f>INPUT!D48</f>
        <v>15</v>
      </c>
      <c r="K25" s="76"/>
      <c r="L25" s="3">
        <f>ROUND(F25*J25,0)</f>
        <v>1195230</v>
      </c>
      <c r="M25" s="3"/>
      <c r="N25" s="4">
        <f>ROUND((L25/L$50)*100,1)</f>
        <v>0.8</v>
      </c>
      <c r="O25" s="4"/>
      <c r="P25" s="3"/>
      <c r="Q25" s="1"/>
      <c r="R25" s="3">
        <f>L25+P25</f>
        <v>1195230</v>
      </c>
      <c r="S25" s="45"/>
      <c r="V25" s="50"/>
      <c r="Y25" s="45"/>
      <c r="Z25" s="164"/>
      <c r="AA25" s="45"/>
      <c r="AB25" s="45"/>
      <c r="AC25" s="46"/>
      <c r="AD25" s="46"/>
      <c r="AE25" s="45"/>
      <c r="AF25" s="45"/>
      <c r="AI25" s="45"/>
      <c r="AJ25" s="45"/>
      <c r="AL25" s="45"/>
    </row>
    <row r="26" spans="1:40">
      <c r="A26" s="41">
        <v>6</v>
      </c>
      <c r="C26" s="42" t="s">
        <v>135</v>
      </c>
      <c r="F26" s="164">
        <f>'[10]Forecast BILLS'!$C$71+'[10]Forecast BILLS'!$G$71</f>
        <v>75323</v>
      </c>
      <c r="G26" s="1"/>
      <c r="H26" s="68"/>
      <c r="I26" s="68"/>
      <c r="J26" s="316">
        <f>INPUT!D49</f>
        <v>30</v>
      </c>
      <c r="K26" s="76"/>
      <c r="L26" s="3">
        <f>ROUND(F26*J26,0)</f>
        <v>2259690</v>
      </c>
      <c r="M26" s="3"/>
      <c r="N26" s="4">
        <f>ROUND((L26/L$50)*100,1)</f>
        <v>1.5</v>
      </c>
      <c r="O26" s="4"/>
      <c r="P26" s="3"/>
      <c r="Q26" s="1"/>
      <c r="R26" s="3">
        <f>L26+P26</f>
        <v>2259690</v>
      </c>
      <c r="S26" s="45"/>
      <c r="V26" s="45"/>
      <c r="Y26" s="45"/>
      <c r="Z26" s="164"/>
      <c r="AA26" s="45"/>
      <c r="AB26" s="45"/>
      <c r="AC26" s="46"/>
      <c r="AD26" s="46"/>
      <c r="AE26" s="45"/>
      <c r="AF26" s="45"/>
      <c r="AI26" s="45"/>
      <c r="AJ26" s="45"/>
      <c r="AL26" s="45"/>
    </row>
    <row r="27" spans="1:40" ht="20.100000000000001" customHeight="1">
      <c r="A27" s="41">
        <v>7</v>
      </c>
      <c r="C27" s="133" t="s">
        <v>136</v>
      </c>
      <c r="F27" s="72">
        <f>SUM(F25:F26)</f>
        <v>155005</v>
      </c>
      <c r="G27" s="1"/>
      <c r="H27" s="3"/>
      <c r="I27" s="3"/>
      <c r="J27" s="314"/>
      <c r="K27" s="314"/>
      <c r="L27" s="72">
        <f>SUM(L24:L26)</f>
        <v>3462645</v>
      </c>
      <c r="M27" s="3"/>
      <c r="N27" s="74">
        <f>ROUND((L27/L$50)*100,1)</f>
        <v>2.2999999999999998</v>
      </c>
      <c r="O27" s="4"/>
      <c r="P27" s="72"/>
      <c r="Q27" s="3"/>
      <c r="R27" s="72">
        <f>SUM(R24:R26)</f>
        <v>3462645</v>
      </c>
      <c r="S27" s="45"/>
      <c r="T27" s="42"/>
      <c r="V27" s="45"/>
      <c r="Y27" s="45"/>
      <c r="Z27" s="325"/>
      <c r="AA27" s="45"/>
      <c r="AB27" s="45"/>
      <c r="AC27" s="46"/>
      <c r="AD27" s="46"/>
      <c r="AE27" s="45"/>
      <c r="AF27" s="45"/>
      <c r="AH27" s="46"/>
      <c r="AI27" s="45"/>
      <c r="AJ27" s="45"/>
      <c r="AL27" s="45"/>
      <c r="AM27" s="46"/>
      <c r="AN27" s="46"/>
    </row>
    <row r="28" spans="1:40">
      <c r="F28" s="3"/>
      <c r="G28" s="1"/>
      <c r="H28" s="3"/>
      <c r="I28" s="3"/>
      <c r="J28" s="314"/>
      <c r="K28" s="314"/>
      <c r="L28" s="3"/>
      <c r="M28" s="3"/>
      <c r="N28" s="4"/>
      <c r="O28" s="4"/>
      <c r="P28" s="3"/>
      <c r="Q28" s="3"/>
      <c r="R28" s="3"/>
      <c r="S28" s="45"/>
      <c r="T28" s="42"/>
      <c r="V28" s="45"/>
      <c r="Y28" s="45"/>
      <c r="Z28" s="326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>
      <c r="A29" s="41">
        <v>8</v>
      </c>
      <c r="C29" s="133" t="s">
        <v>63</v>
      </c>
      <c r="F29" s="3"/>
      <c r="G29" s="1"/>
      <c r="H29" s="3"/>
      <c r="I29" s="3"/>
      <c r="J29" s="314"/>
      <c r="K29" s="314"/>
      <c r="L29" s="3"/>
      <c r="M29" s="3"/>
      <c r="N29" s="4"/>
      <c r="O29" s="4"/>
      <c r="P29" s="3"/>
      <c r="Q29" s="3"/>
      <c r="R29" s="3"/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>
      <c r="A30" s="41">
        <v>9</v>
      </c>
      <c r="C30" s="42" t="s">
        <v>137</v>
      </c>
      <c r="F30" s="68"/>
      <c r="G30" s="1"/>
      <c r="H30" s="164">
        <f>'[10]Forecast KW'!$B$71</f>
        <v>1355176</v>
      </c>
      <c r="I30" s="68"/>
      <c r="J30" s="316">
        <f>INPUT!D55</f>
        <v>0</v>
      </c>
      <c r="K30" s="76"/>
      <c r="L30" s="3">
        <f>ROUND(H30*J30,0)</f>
        <v>0</v>
      </c>
      <c r="M30" s="3"/>
      <c r="N30" s="4">
        <f>ROUND((L30/L$50)*100,1)</f>
        <v>0</v>
      </c>
      <c r="O30" s="4"/>
      <c r="P30" s="3"/>
      <c r="Q30" s="3"/>
      <c r="R30" s="3">
        <f>L30+P30</f>
        <v>0</v>
      </c>
      <c r="S30" s="45"/>
      <c r="T30" s="42"/>
      <c r="V30" s="164"/>
      <c r="Y30" s="164"/>
      <c r="Z30" s="326"/>
      <c r="AA30" s="45"/>
      <c r="AB30" s="45"/>
      <c r="AC30" s="46"/>
      <c r="AD30" s="46"/>
      <c r="AE30" s="45"/>
      <c r="AF30" s="45"/>
      <c r="AI30" s="45"/>
      <c r="AJ30" s="45"/>
      <c r="AL30" s="45"/>
      <c r="AM30" s="46"/>
      <c r="AN30" s="46"/>
    </row>
    <row r="31" spans="1:40">
      <c r="A31" s="41">
        <v>10</v>
      </c>
      <c r="C31" s="42" t="s">
        <v>138</v>
      </c>
      <c r="F31" s="68"/>
      <c r="G31" s="1"/>
      <c r="H31" s="164">
        <f>'[10]Forecast KW'!$C$71</f>
        <v>2641511</v>
      </c>
      <c r="I31" s="68"/>
      <c r="J31" s="709">
        <v>15.85</v>
      </c>
      <c r="K31" s="76"/>
      <c r="L31" s="3">
        <f>ROUND((H31+W31)*J31,0)</f>
        <v>41867949</v>
      </c>
      <c r="M31" s="3"/>
      <c r="N31" s="4">
        <f>ROUND((L31/L$50)*100,1)</f>
        <v>27.6</v>
      </c>
      <c r="O31" s="4"/>
      <c r="P31" s="3"/>
      <c r="Q31" s="3"/>
      <c r="R31" s="3">
        <f>L31+P31</f>
        <v>41867949</v>
      </c>
      <c r="S31" s="45"/>
      <c r="V31" s="164"/>
      <c r="W31" s="285"/>
      <c r="Y31" s="164"/>
      <c r="Z31" s="326"/>
      <c r="AA31" s="45"/>
      <c r="AB31" s="45"/>
      <c r="AC31" s="46"/>
      <c r="AD31" s="46"/>
      <c r="AE31" s="45"/>
      <c r="AF31" s="45"/>
      <c r="AI31" s="45"/>
      <c r="AJ31" s="45"/>
      <c r="AL31" s="45"/>
      <c r="AM31" s="46"/>
      <c r="AN31" s="46"/>
    </row>
    <row r="32" spans="1:40" ht="20.100000000000001" customHeight="1">
      <c r="A32" s="41">
        <v>11</v>
      </c>
      <c r="C32" s="133" t="s">
        <v>66</v>
      </c>
      <c r="F32" s="3"/>
      <c r="G32" s="1"/>
      <c r="H32" s="72">
        <f>SUM(H30:H31)</f>
        <v>3996687</v>
      </c>
      <c r="I32" s="3"/>
      <c r="J32" s="314"/>
      <c r="K32" s="314"/>
      <c r="L32" s="72">
        <f>SUM(L30:L31)</f>
        <v>41867949</v>
      </c>
      <c r="M32" s="3"/>
      <c r="N32" s="74">
        <f>ROUND((L32/L$50)*100,1)</f>
        <v>27.6</v>
      </c>
      <c r="O32" s="4"/>
      <c r="P32" s="72"/>
      <c r="Q32" s="3"/>
      <c r="R32" s="72">
        <f>SUM(R30:R31)</f>
        <v>41867949</v>
      </c>
      <c r="S32" s="45"/>
      <c r="U32" s="768" t="e">
        <f>1-U40</f>
        <v>#DIV/0!</v>
      </c>
      <c r="V32" s="50"/>
      <c r="W32" s="41">
        <f>1-W40</f>
        <v>0.29732413069477992</v>
      </c>
      <c r="Y32" s="164"/>
      <c r="Z32" s="326"/>
      <c r="AA32" s="45"/>
      <c r="AB32" s="45"/>
      <c r="AC32" s="46"/>
      <c r="AD32" s="46"/>
      <c r="AE32" s="45"/>
      <c r="AF32" s="45"/>
      <c r="AH32" s="46"/>
      <c r="AI32" s="45"/>
      <c r="AJ32" s="45"/>
      <c r="AL32" s="45"/>
      <c r="AM32" s="46"/>
      <c r="AN32" s="46"/>
    </row>
    <row r="33" spans="1:40">
      <c r="C33" s="42"/>
      <c r="F33" s="3"/>
      <c r="G33" s="1"/>
      <c r="H33" s="3"/>
      <c r="I33" s="3"/>
      <c r="J33" s="314"/>
      <c r="K33" s="314"/>
      <c r="L33" s="3"/>
      <c r="M33" s="3"/>
      <c r="N33" s="4"/>
      <c r="O33" s="4"/>
      <c r="P33" s="3"/>
      <c r="Q33" s="3"/>
      <c r="R33" s="3"/>
      <c r="S33" s="45"/>
      <c r="U33" s="768"/>
      <c r="V33" s="50"/>
      <c r="Y33" s="164"/>
      <c r="Z33" s="326"/>
      <c r="AA33" s="45"/>
      <c r="AB33" s="45"/>
      <c r="AC33" s="46"/>
      <c r="AD33" s="46"/>
      <c r="AE33" s="45"/>
      <c r="AF33" s="45"/>
      <c r="AH33" s="46"/>
      <c r="AI33" s="45"/>
      <c r="AJ33" s="45"/>
      <c r="AL33" s="45"/>
      <c r="AM33" s="46"/>
      <c r="AN33" s="46"/>
    </row>
    <row r="34" spans="1:40" ht="16.5" thickBot="1">
      <c r="A34" s="41">
        <v>12</v>
      </c>
      <c r="C34" s="310" t="s">
        <v>371</v>
      </c>
      <c r="F34" s="3"/>
      <c r="G34" s="1"/>
      <c r="H34" s="3"/>
      <c r="I34" s="3"/>
      <c r="J34" s="7"/>
      <c r="K34" s="7"/>
      <c r="L34" s="3"/>
      <c r="M34" s="3"/>
      <c r="N34" s="4"/>
      <c r="O34" s="4"/>
      <c r="P34" s="3"/>
      <c r="Q34" s="3"/>
      <c r="R34" s="3"/>
      <c r="S34" s="45"/>
      <c r="T34" s="42"/>
      <c r="U34" s="768"/>
      <c r="V34" s="164"/>
      <c r="Y34" s="45"/>
      <c r="Z34" s="325"/>
      <c r="AA34" s="45"/>
      <c r="AB34" s="45"/>
      <c r="AC34" s="46"/>
      <c r="AD34" s="46"/>
      <c r="AE34" s="45"/>
      <c r="AF34" s="45"/>
      <c r="AH34" s="46"/>
      <c r="AI34" s="45"/>
      <c r="AJ34" s="45"/>
      <c r="AL34" s="45"/>
      <c r="AM34" s="46"/>
      <c r="AN34" s="46"/>
    </row>
    <row r="35" spans="1:40">
      <c r="A35" s="41">
        <v>13</v>
      </c>
      <c r="C35" s="42" t="s">
        <v>139</v>
      </c>
      <c r="F35" s="68"/>
      <c r="G35" s="1"/>
      <c r="H35" s="164">
        <f>'[10]Forecast KWH'!$B$70</f>
        <v>348050244</v>
      </c>
      <c r="I35" s="68"/>
      <c r="J35" s="323">
        <f>J37+'Rate DS (As-Filed)'!S35</f>
        <v>0.12449209873029275</v>
      </c>
      <c r="K35" s="319"/>
      <c r="L35" s="3">
        <f>ROUND(H35*J35,0)-P35</f>
        <v>43329505</v>
      </c>
      <c r="M35" s="3"/>
      <c r="N35" s="4">
        <f t="shared" ref="N35:N41" si="0">ROUND((L35/L$50)*100,1)</f>
        <v>28.6</v>
      </c>
      <c r="O35" s="4"/>
      <c r="P35" s="68"/>
      <c r="Q35" s="68"/>
      <c r="R35" s="3">
        <f>L35+P35</f>
        <v>43329505</v>
      </c>
      <c r="S35" s="45"/>
      <c r="T35" s="42"/>
      <c r="U35" s="769">
        <f>P35/SUM($AO$91:$AO$95)</f>
        <v>0</v>
      </c>
      <c r="V35" s="164"/>
      <c r="W35" s="172">
        <f>R35/SUM($AO$91:$AO$95)</f>
        <v>0.4636940382295221</v>
      </c>
      <c r="Y35" s="45"/>
      <c r="Z35" s="325"/>
      <c r="AA35" s="45"/>
      <c r="AB35" s="45"/>
      <c r="AC35" s="46"/>
      <c r="AD35" s="46"/>
      <c r="AE35" s="45"/>
      <c r="AF35" s="45"/>
      <c r="AH35" s="46"/>
      <c r="AI35" s="45"/>
      <c r="AJ35" s="45"/>
      <c r="AL35" s="45"/>
      <c r="AM35" s="46"/>
      <c r="AN35" s="46"/>
    </row>
    <row r="36" spans="1:40">
      <c r="A36" s="41">
        <v>14</v>
      </c>
      <c r="C36" s="42" t="s">
        <v>140</v>
      </c>
      <c r="F36" s="68"/>
      <c r="G36" s="1"/>
      <c r="H36" s="164">
        <f>'[10]Forecast KWH'!$I$70</f>
        <v>519725648</v>
      </c>
      <c r="I36" s="68"/>
      <c r="J36" s="323">
        <f>J37+'Rate DS (As-Filed)'!S36</f>
        <v>7.7994098730292755E-2</v>
      </c>
      <c r="K36" s="319"/>
      <c r="L36" s="3">
        <f>ROUND(H36*J36,0)-P36</f>
        <v>40535534</v>
      </c>
      <c r="M36" s="3"/>
      <c r="N36" s="4">
        <f t="shared" si="0"/>
        <v>26.8</v>
      </c>
      <c r="O36" s="4"/>
      <c r="P36" s="68"/>
      <c r="Q36" s="68"/>
      <c r="R36" s="3">
        <f>L36+P36</f>
        <v>40535534</v>
      </c>
      <c r="S36" s="45"/>
      <c r="U36" s="770">
        <f>P36/SUM($AO$91:$AO$95)</f>
        <v>0</v>
      </c>
      <c r="V36" s="50"/>
      <c r="W36" s="173">
        <f>R36/SUM($AO$91:$AO$95)</f>
        <v>0.43379414217287027</v>
      </c>
      <c r="Y36" s="50"/>
      <c r="Z36" s="326"/>
      <c r="AA36" s="50"/>
      <c r="AB36" s="50"/>
      <c r="AC36" s="50"/>
      <c r="AD36" s="50"/>
      <c r="AE36" s="50"/>
      <c r="AF36" s="50"/>
      <c r="AI36" s="50"/>
      <c r="AJ36" s="50"/>
      <c r="AK36" s="111"/>
      <c r="AL36" s="50"/>
      <c r="AM36" s="46"/>
      <c r="AN36" s="46"/>
    </row>
    <row r="37" spans="1:40">
      <c r="A37" s="41">
        <v>15</v>
      </c>
      <c r="C37" s="42" t="s">
        <v>141</v>
      </c>
      <c r="F37" s="68"/>
      <c r="G37" s="1"/>
      <c r="H37" s="164">
        <f>'[10]Forecast KWH'!$D$70</f>
        <v>228571887</v>
      </c>
      <c r="I37" s="68"/>
      <c r="J37" s="708">
        <v>6.4607098730292759E-2</v>
      </c>
      <c r="K37" s="319"/>
      <c r="L37" s="3">
        <f>ROUND(H37*J37,0)-P37</f>
        <v>14767366</v>
      </c>
      <c r="M37" s="3"/>
      <c r="N37" s="4">
        <f t="shared" si="0"/>
        <v>9.8000000000000007</v>
      </c>
      <c r="O37" s="4"/>
      <c r="P37" s="68"/>
      <c r="Q37" s="68"/>
      <c r="R37" s="3">
        <f>L37+P37</f>
        <v>14767366</v>
      </c>
      <c r="S37" s="45"/>
      <c r="T37" s="42"/>
      <c r="U37" s="770">
        <f>P37/SUM($AO$91:$AO$95)</f>
        <v>0</v>
      </c>
      <c r="V37" s="45"/>
      <c r="W37" s="173">
        <f>R37/SUM($AO$91:$AO$95)</f>
        <v>0.15803410573357218</v>
      </c>
      <c r="Y37" s="45"/>
      <c r="Z37" s="326"/>
      <c r="AA37" s="45"/>
      <c r="AB37" s="45"/>
      <c r="AC37" s="46"/>
      <c r="AD37" s="46"/>
      <c r="AE37" s="45"/>
      <c r="AF37" s="45"/>
      <c r="AH37" s="46"/>
      <c r="AI37" s="45"/>
      <c r="AJ37" s="45"/>
      <c r="AL37" s="45"/>
      <c r="AM37" s="46"/>
      <c r="AN37" s="46"/>
    </row>
    <row r="38" spans="1:40">
      <c r="A38" s="41">
        <v>16</v>
      </c>
      <c r="C38" s="42" t="s">
        <v>360</v>
      </c>
      <c r="F38" s="1"/>
      <c r="G38" s="1"/>
      <c r="H38" s="164">
        <f>'[10]Forecast KWH'!$F$70</f>
        <v>928876</v>
      </c>
      <c r="I38" s="68"/>
      <c r="J38" s="323">
        <f>INPUT!D58</f>
        <v>0.32539800000000002</v>
      </c>
      <c r="K38" s="319"/>
      <c r="L38" s="3">
        <f>ROUND(H38*J38,0)-P38</f>
        <v>302254</v>
      </c>
      <c r="M38" s="3"/>
      <c r="N38" s="4">
        <f t="shared" si="0"/>
        <v>0.2</v>
      </c>
      <c r="O38" s="4"/>
      <c r="P38" s="68"/>
      <c r="Q38" s="68"/>
      <c r="R38" s="3">
        <f>L38+P38</f>
        <v>302254</v>
      </c>
      <c r="S38" s="45"/>
      <c r="U38" s="770">
        <f>P38/SUM($AO$91:$AO$95)</f>
        <v>0</v>
      </c>
      <c r="V38" s="50"/>
      <c r="W38" s="173">
        <f>R38/SUM($AO$91:$AO$95)</f>
        <v>3.2345944831593614E-3</v>
      </c>
      <c r="Y38" s="50"/>
      <c r="Z38" s="326"/>
      <c r="AA38" s="50"/>
      <c r="AB38" s="50"/>
      <c r="AC38" s="50"/>
      <c r="AD38" s="50"/>
      <c r="AE38" s="50"/>
      <c r="AF38" s="50"/>
      <c r="AI38" s="50"/>
      <c r="AJ38" s="50"/>
      <c r="AK38" s="111"/>
      <c r="AL38" s="50"/>
      <c r="AM38" s="46"/>
      <c r="AN38" s="46"/>
    </row>
    <row r="39" spans="1:40" ht="16.5" thickBot="1">
      <c r="A39" s="41">
        <v>17</v>
      </c>
      <c r="C39" s="42" t="s">
        <v>361</v>
      </c>
      <c r="F39" s="1"/>
      <c r="G39" s="1"/>
      <c r="H39" s="164">
        <f>'[10]Forecast KWH'!$E$70</f>
        <v>66268</v>
      </c>
      <c r="I39" s="68"/>
      <c r="J39" s="323">
        <f>INPUT!D59</f>
        <v>0.199765</v>
      </c>
      <c r="K39" s="319"/>
      <c r="L39" s="3">
        <f>ROUND(H39*J39,0)-P39</f>
        <v>13238</v>
      </c>
      <c r="M39" s="3"/>
      <c r="N39" s="4">
        <f t="shared" si="0"/>
        <v>0</v>
      </c>
      <c r="O39" s="4"/>
      <c r="P39" s="69"/>
      <c r="Q39" s="68"/>
      <c r="R39" s="3">
        <f>L39+P39</f>
        <v>13238</v>
      </c>
      <c r="S39" s="45"/>
      <c r="T39" s="42"/>
      <c r="U39" s="771">
        <f>P39/SUM($AO$91:$AO$95)</f>
        <v>0</v>
      </c>
      <c r="W39" s="174">
        <f>R39/SUM($AO$91:$AO$95)</f>
        <v>1.4166747757867102E-4</v>
      </c>
      <c r="Z39" s="326"/>
      <c r="AA39" s="45"/>
      <c r="AB39" s="45"/>
      <c r="AC39" s="46"/>
      <c r="AD39" s="46"/>
      <c r="AE39" s="45"/>
      <c r="AF39" s="45"/>
      <c r="AH39" s="46"/>
      <c r="AI39" s="45"/>
      <c r="AJ39" s="45"/>
      <c r="AL39" s="45"/>
      <c r="AM39" s="46"/>
      <c r="AN39" s="46"/>
    </row>
    <row r="40" spans="1:40" ht="21.75" customHeight="1">
      <c r="A40" s="41">
        <v>18</v>
      </c>
      <c r="C40" s="133" t="s">
        <v>142</v>
      </c>
      <c r="F40" s="66"/>
      <c r="G40" s="1"/>
      <c r="H40" s="72">
        <f>SUM(H35:H39)</f>
        <v>1097342923</v>
      </c>
      <c r="I40" s="3"/>
      <c r="J40" s="154"/>
      <c r="K40" s="7"/>
      <c r="L40" s="72">
        <f>SUM(L35:L39)</f>
        <v>98947897</v>
      </c>
      <c r="M40" s="3"/>
      <c r="N40" s="74">
        <f t="shared" si="0"/>
        <v>65.3</v>
      </c>
      <c r="O40" s="4"/>
      <c r="P40" s="72"/>
      <c r="Q40" s="3"/>
      <c r="R40" s="72">
        <f>SUM(R35:R39)</f>
        <v>98947897</v>
      </c>
      <c r="S40" s="45"/>
      <c r="U40" s="768" t="e">
        <f>P40/(P40+P32)</f>
        <v>#DIV/0!</v>
      </c>
      <c r="V40" s="50"/>
      <c r="W40" s="41">
        <f>R40/(R40+R32)</f>
        <v>0.70267586930522008</v>
      </c>
      <c r="Y40" s="50"/>
      <c r="Z40" s="326"/>
      <c r="AA40" s="50"/>
      <c r="AB40" s="50"/>
      <c r="AC40" s="50"/>
      <c r="AD40" s="50"/>
      <c r="AE40" s="50"/>
      <c r="AF40" s="50"/>
      <c r="AI40" s="50"/>
      <c r="AJ40" s="50"/>
      <c r="AK40" s="111"/>
      <c r="AL40" s="50"/>
    </row>
    <row r="41" spans="1:40" ht="21.75" customHeight="1">
      <c r="A41" s="41">
        <v>19</v>
      </c>
      <c r="C41" s="133" t="s">
        <v>437</v>
      </c>
      <c r="F41" s="66">
        <f>F27</f>
        <v>155005</v>
      </c>
      <c r="G41" s="1"/>
      <c r="H41" s="72">
        <f>H40</f>
        <v>1097342923</v>
      </c>
      <c r="I41" s="3"/>
      <c r="J41" s="154"/>
      <c r="K41" s="7"/>
      <c r="L41" s="72">
        <f>L27+L32+L40</f>
        <v>144278491</v>
      </c>
      <c r="M41" s="3"/>
      <c r="N41" s="74">
        <f t="shared" si="0"/>
        <v>95.3</v>
      </c>
      <c r="O41" s="4"/>
      <c r="P41" s="72"/>
      <c r="Q41" s="3"/>
      <c r="R41" s="72">
        <f>R27+R32+R40</f>
        <v>144278491</v>
      </c>
      <c r="S41" s="45"/>
      <c r="V41" s="50"/>
      <c r="Y41" s="50"/>
      <c r="Z41" s="326"/>
      <c r="AA41" s="50"/>
      <c r="AB41" s="50"/>
      <c r="AC41" s="50"/>
      <c r="AD41" s="50"/>
      <c r="AE41" s="50"/>
      <c r="AF41" s="50"/>
      <c r="AI41" s="50"/>
      <c r="AJ41" s="50"/>
      <c r="AK41" s="111"/>
      <c r="AL41" s="50"/>
    </row>
    <row r="42" spans="1:40" ht="15.75" customHeight="1">
      <c r="C42" s="133"/>
      <c r="F42" s="3"/>
      <c r="G42" s="1"/>
      <c r="H42" s="3"/>
      <c r="I42" s="3"/>
      <c r="J42" s="154"/>
      <c r="K42" s="7"/>
      <c r="L42" s="3"/>
      <c r="M42" s="3"/>
      <c r="N42" s="4"/>
      <c r="O42" s="4"/>
      <c r="P42" s="3"/>
      <c r="Q42" s="3"/>
      <c r="R42" s="710">
        <f>R41-'Rate DS (As-Filed)'!R41</f>
        <v>0</v>
      </c>
      <c r="S42" s="710" t="s">
        <v>1330</v>
      </c>
      <c r="V42" s="50"/>
      <c r="Y42" s="50"/>
      <c r="Z42" s="326"/>
      <c r="AA42" s="50"/>
      <c r="AB42" s="50"/>
      <c r="AC42" s="50"/>
      <c r="AD42" s="50"/>
      <c r="AE42" s="50"/>
      <c r="AF42" s="50"/>
      <c r="AI42" s="50"/>
      <c r="AJ42" s="50"/>
      <c r="AK42" s="111"/>
      <c r="AL42" s="50"/>
    </row>
    <row r="43" spans="1:40" ht="15.75" customHeight="1">
      <c r="A43" s="41">
        <v>20</v>
      </c>
      <c r="C43" s="133" t="s">
        <v>430</v>
      </c>
      <c r="F43" s="3"/>
      <c r="G43" s="1"/>
      <c r="H43" s="3"/>
      <c r="I43" s="3"/>
      <c r="J43" s="154"/>
      <c r="K43" s="7"/>
      <c r="L43" s="3"/>
      <c r="M43" s="3"/>
      <c r="N43" s="4"/>
      <c r="O43" s="4"/>
      <c r="P43" s="3"/>
      <c r="Q43" s="3"/>
      <c r="R43" s="3"/>
      <c r="S43" s="45"/>
      <c r="V43" s="50"/>
      <c r="Y43" s="50"/>
      <c r="Z43" s="326"/>
      <c r="AA43" s="50"/>
      <c r="AB43" s="50"/>
      <c r="AC43" s="50"/>
      <c r="AD43" s="50"/>
      <c r="AE43" s="50"/>
      <c r="AF43" s="50"/>
      <c r="AI43" s="50"/>
      <c r="AJ43" s="50"/>
      <c r="AK43" s="111"/>
      <c r="AL43" s="50"/>
    </row>
    <row r="44" spans="1:40" ht="15.75" customHeight="1">
      <c r="A44" s="41">
        <v>21</v>
      </c>
      <c r="C44" s="128" t="str">
        <f>DSMR_Name</f>
        <v>DEMAND SIDE MANAGEMENT RIDER (DSMR)</v>
      </c>
      <c r="F44" s="3"/>
      <c r="G44" s="1"/>
      <c r="H44" s="3"/>
      <c r="I44" s="3"/>
      <c r="J44" s="327">
        <f>PRO_DSM_DIST</f>
        <v>3.503E-3</v>
      </c>
      <c r="K44" s="7"/>
      <c r="L44" s="3">
        <f>ROUND($H$41*J44,0)</f>
        <v>3843992</v>
      </c>
      <c r="M44" s="3"/>
      <c r="N44" s="103">
        <f>ROUND((L44/L$50)*100,1)</f>
        <v>2.5</v>
      </c>
      <c r="O44" s="4"/>
      <c r="P44" s="3"/>
      <c r="Q44" s="3"/>
      <c r="R44" s="3">
        <f>L44+P44</f>
        <v>3843992</v>
      </c>
      <c r="S44" s="45"/>
      <c r="V44" s="50"/>
      <c r="Y44" s="50"/>
      <c r="Z44" s="326"/>
      <c r="AA44" s="50"/>
      <c r="AB44" s="50"/>
      <c r="AC44" s="50"/>
      <c r="AD44" s="50"/>
      <c r="AE44" s="50"/>
      <c r="AF44" s="50"/>
      <c r="AI44" s="50"/>
      <c r="AJ44" s="50"/>
      <c r="AK44" s="111"/>
      <c r="AL44" s="50"/>
    </row>
    <row r="45" spans="1:40" ht="15.75" customHeight="1">
      <c r="A45" s="41">
        <v>22</v>
      </c>
      <c r="C45" s="128" t="str">
        <f>ESM_Name</f>
        <v>ENVIRONMENTAL SURCHARGE MECHANISM RIDER (ESM)</v>
      </c>
      <c r="F45" s="3"/>
      <c r="G45" s="1"/>
      <c r="H45" s="3"/>
      <c r="I45" s="3"/>
      <c r="J45" s="321">
        <f>PRO_ESM_NONRES</f>
        <v>5.4606095773317587E-3</v>
      </c>
      <c r="K45" s="7"/>
      <c r="L45" s="3">
        <f>ROUND((R41-(PRO_BASE_FUEL*H41)+R44+R47)*J45,0)</f>
        <v>621254</v>
      </c>
      <c r="M45" s="3"/>
      <c r="N45" s="103">
        <f>ROUND((L45/L$50)*100,1)</f>
        <v>0.4</v>
      </c>
      <c r="O45" s="4"/>
      <c r="P45" s="3"/>
      <c r="Q45" s="3"/>
      <c r="R45" s="3">
        <f>L45+P45</f>
        <v>621254</v>
      </c>
      <c r="S45" s="45"/>
      <c r="V45" s="50"/>
      <c r="Y45" s="50"/>
      <c r="Z45" s="326"/>
      <c r="AA45" s="50"/>
      <c r="AB45" s="50"/>
      <c r="AC45" s="50"/>
      <c r="AD45" s="50"/>
      <c r="AE45" s="50"/>
      <c r="AF45" s="50"/>
      <c r="AI45" s="50"/>
      <c r="AJ45" s="50"/>
      <c r="AK45" s="111"/>
      <c r="AL45" s="50"/>
    </row>
    <row r="46" spans="1:40" ht="15.75" customHeight="1">
      <c r="A46" s="41">
        <v>23</v>
      </c>
      <c r="C46" s="128" t="str">
        <f>FAC_Name</f>
        <v>FUEL ADJUSTMENT CLAUSE (FAC)</v>
      </c>
      <c r="F46" s="3"/>
      <c r="G46" s="1"/>
      <c r="H46" s="3"/>
      <c r="I46" s="3"/>
      <c r="J46" s="327">
        <f>PRO_FAC</f>
        <v>3.4872127999999998E-3</v>
      </c>
      <c r="K46" s="7"/>
      <c r="L46" s="3"/>
      <c r="M46" s="3"/>
      <c r="N46" s="103"/>
      <c r="O46" s="4"/>
      <c r="P46" s="3">
        <f>ROUND(H40*J46,0)</f>
        <v>3826668</v>
      </c>
      <c r="Q46" s="3"/>
      <c r="R46" s="3">
        <f>L46+P46</f>
        <v>3826668</v>
      </c>
      <c r="S46" s="45"/>
      <c r="V46" s="50"/>
      <c r="Y46" s="50"/>
      <c r="Z46" s="326"/>
      <c r="AA46" s="50"/>
      <c r="AB46" s="50"/>
      <c r="AC46" s="50"/>
      <c r="AD46" s="50"/>
      <c r="AE46" s="50"/>
      <c r="AF46" s="50"/>
      <c r="AI46" s="50"/>
      <c r="AJ46" s="50"/>
      <c r="AK46" s="111"/>
      <c r="AL46" s="50"/>
    </row>
    <row r="47" spans="1:40" ht="15.75" customHeight="1">
      <c r="A47" s="41">
        <v>24</v>
      </c>
      <c r="C47" s="128" t="str">
        <f>PSM_Name</f>
        <v>PROFIT SHARING MECHANISM (PSM)</v>
      </c>
      <c r="F47" s="3"/>
      <c r="G47" s="1"/>
      <c r="H47" s="3"/>
      <c r="I47" s="3"/>
      <c r="J47" s="327">
        <f>PRO_PSM</f>
        <v>2.4750000000000002E-3</v>
      </c>
      <c r="K47" s="7"/>
      <c r="L47" s="66">
        <f>ROUND(H41*J47,0)</f>
        <v>2715924</v>
      </c>
      <c r="M47" s="3"/>
      <c r="N47" s="104">
        <f>ROUND((L47/L$50)*100,1)</f>
        <v>1.8</v>
      </c>
      <c r="O47" s="4"/>
      <c r="P47" s="66"/>
      <c r="Q47" s="3"/>
      <c r="R47" s="66">
        <f>L47+P47</f>
        <v>2715924</v>
      </c>
      <c r="S47" s="45"/>
      <c r="V47" s="50"/>
      <c r="Y47" s="50"/>
      <c r="Z47" s="326"/>
      <c r="AA47" s="50"/>
      <c r="AB47" s="50"/>
      <c r="AC47" s="50"/>
      <c r="AD47" s="50"/>
      <c r="AE47" s="50"/>
      <c r="AF47" s="50"/>
      <c r="AI47" s="50"/>
      <c r="AJ47" s="50"/>
      <c r="AK47" s="111"/>
      <c r="AL47" s="50"/>
    </row>
    <row r="48" spans="1:40" ht="18" customHeight="1">
      <c r="A48" s="41">
        <v>25</v>
      </c>
      <c r="C48" s="133" t="s">
        <v>435</v>
      </c>
      <c r="F48" s="66"/>
      <c r="G48" s="1"/>
      <c r="H48" s="66"/>
      <c r="I48" s="3"/>
      <c r="J48" s="7"/>
      <c r="K48" s="7"/>
      <c r="L48" s="72">
        <f>SUM(L44:L47)</f>
        <v>7181170</v>
      </c>
      <c r="M48" s="3"/>
      <c r="N48" s="105">
        <f>ROUND((L48/L$50)*100,1)</f>
        <v>4.7</v>
      </c>
      <c r="O48" s="4"/>
      <c r="P48" s="72">
        <f>SUM(P44:P47)</f>
        <v>3826668</v>
      </c>
      <c r="Q48" s="3"/>
      <c r="R48" s="72">
        <f>SUM(R44:R47)</f>
        <v>11007838</v>
      </c>
      <c r="S48" s="45"/>
      <c r="V48" s="50"/>
      <c r="Y48" s="50"/>
      <c r="Z48" s="326"/>
      <c r="AA48" s="50"/>
      <c r="AB48" s="50"/>
      <c r="AC48" s="50"/>
      <c r="AD48" s="50"/>
      <c r="AE48" s="50"/>
      <c r="AF48" s="50"/>
      <c r="AI48" s="50"/>
      <c r="AJ48" s="50"/>
      <c r="AK48" s="111"/>
      <c r="AL48" s="50"/>
    </row>
    <row r="49" spans="1:43">
      <c r="C49" s="42"/>
      <c r="F49" s="3"/>
      <c r="G49" s="1"/>
      <c r="H49" s="3"/>
      <c r="I49" s="3"/>
      <c r="J49" s="7"/>
      <c r="K49" s="7"/>
      <c r="L49" s="3"/>
      <c r="M49" s="3"/>
      <c r="N49" s="4"/>
      <c r="O49" s="4"/>
      <c r="P49" s="3"/>
      <c r="Q49" s="3"/>
      <c r="R49" s="3"/>
      <c r="S49" s="45"/>
      <c r="V49" s="50"/>
      <c r="Y49" s="50"/>
      <c r="Z49" s="326"/>
      <c r="AA49" s="50"/>
      <c r="AB49" s="50"/>
      <c r="AC49" s="50"/>
      <c r="AD49" s="50"/>
      <c r="AE49" s="50"/>
      <c r="AF49" s="50"/>
      <c r="AI49" s="50"/>
      <c r="AJ49" s="50"/>
      <c r="AK49" s="111"/>
      <c r="AL49" s="50"/>
    </row>
    <row r="50" spans="1:43" ht="20.100000000000001" customHeight="1" thickBot="1">
      <c r="A50" s="41">
        <v>26</v>
      </c>
      <c r="C50" s="310" t="s">
        <v>438</v>
      </c>
      <c r="F50" s="67">
        <f>F41</f>
        <v>155005</v>
      </c>
      <c r="G50" s="1"/>
      <c r="H50" s="67">
        <f>H41</f>
        <v>1097342923</v>
      </c>
      <c r="I50" s="3"/>
      <c r="J50" s="7"/>
      <c r="K50" s="7"/>
      <c r="L50" s="67">
        <f>L41+L48</f>
        <v>151459661</v>
      </c>
      <c r="M50" s="3"/>
      <c r="N50" s="73">
        <v>100</v>
      </c>
      <c r="O50" s="4"/>
      <c r="P50" s="67">
        <f>P41+P48</f>
        <v>3826668</v>
      </c>
      <c r="Q50" s="3"/>
      <c r="R50" s="67">
        <f>R41+R48</f>
        <v>155286329</v>
      </c>
      <c r="S50" s="45"/>
      <c r="AA50" s="45"/>
      <c r="AB50" s="45"/>
      <c r="AC50" s="45"/>
      <c r="AD50" s="45"/>
      <c r="AI50" s="45"/>
      <c r="AJ50" s="45"/>
      <c r="AL50" s="45"/>
    </row>
    <row r="51" spans="1:43" ht="15.2" customHeight="1" thickTop="1">
      <c r="F51" s="3"/>
      <c r="G51" s="1"/>
      <c r="H51" s="3"/>
      <c r="I51" s="3"/>
      <c r="J51" s="7"/>
      <c r="K51" s="7"/>
      <c r="L51" s="3"/>
      <c r="M51" s="3"/>
      <c r="N51" s="3"/>
      <c r="O51" s="3"/>
      <c r="P51" s="3"/>
      <c r="Q51" s="3"/>
      <c r="R51" s="788">
        <f>R50/AO106</f>
        <v>1.140811790858403</v>
      </c>
    </row>
    <row r="52" spans="1:43">
      <c r="C52" s="140" t="s">
        <v>59</v>
      </c>
      <c r="F52" s="45"/>
      <c r="H52" s="45"/>
      <c r="I52" s="45"/>
      <c r="J52" s="47"/>
      <c r="K52" s="47"/>
      <c r="L52" s="45"/>
      <c r="M52" s="45"/>
      <c r="N52" s="45"/>
      <c r="O52" s="45"/>
      <c r="P52" s="45"/>
      <c r="Q52" s="45"/>
      <c r="R52" s="45"/>
      <c r="Y52" s="42"/>
    </row>
    <row r="53" spans="1:43">
      <c r="A53" s="42"/>
      <c r="C53" s="140" t="str">
        <f>"(2) REFLECTS FUEL COMPONENT OF "&amp;TEXT(PRO_FAC,"$0.000000;($0.000000)")&amp;"  PER KWH."</f>
        <v>(2) REFLECTS FUEL COMPONENT OF $0.003487  PER KWH.</v>
      </c>
      <c r="F53" s="45"/>
      <c r="H53" s="45"/>
      <c r="I53" s="45"/>
      <c r="J53" s="47"/>
      <c r="K53" s="47"/>
      <c r="L53" s="45"/>
      <c r="M53" s="45"/>
      <c r="N53" s="45"/>
      <c r="O53" s="45"/>
      <c r="P53" s="45"/>
      <c r="Q53" s="45"/>
      <c r="R53" s="45"/>
    </row>
    <row r="54" spans="1:43">
      <c r="C54" s="140" t="str">
        <f>"(3) REFLECTS FUEL COST RECOVERY INCLUDED IN BASE RATES OF "&amp;TEXT(PRO_BASE_FUEL,"$0.000000;($0.000000)")&amp;"  PER KWH."</f>
        <v>(3) REFLECTS FUEL COST RECOVERY INCLUDED IN BASE RATES OF $0.033780  PER KWH.</v>
      </c>
      <c r="L54" s="42"/>
      <c r="M54" s="42"/>
      <c r="AA54" s="42"/>
      <c r="AB54" s="42"/>
    </row>
    <row r="55" spans="1:43">
      <c r="C55" s="140" t="str">
        <f>"(4) REFLECTS REVENUE ADDED FOR RIDER LM PROVISION"</f>
        <v>(4) REFLECTS REVENUE ADDED FOR RIDER LM PROVISION</v>
      </c>
      <c r="L55" s="42"/>
      <c r="M55" s="42"/>
      <c r="AA55" s="42"/>
      <c r="AB55" s="42"/>
    </row>
    <row r="56" spans="1:43">
      <c r="R56" s="42"/>
      <c r="AK56" s="110"/>
      <c r="AL56" s="42"/>
    </row>
    <row r="57" spans="1:43">
      <c r="F57" s="159"/>
      <c r="H57" s="45"/>
      <c r="R57" s="42"/>
      <c r="T57" s="40" t="str">
        <f>NAME</f>
        <v>DUKE ENERGY KENTUCKY, INC.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00"/>
      <c r="AH57" s="40"/>
      <c r="AI57" s="40"/>
      <c r="AJ57" s="40"/>
      <c r="AK57" s="100"/>
      <c r="AL57" s="40"/>
      <c r="AM57" s="40"/>
      <c r="AN57" s="40"/>
      <c r="AO57" s="40"/>
      <c r="AP57" s="40"/>
      <c r="AQ57" s="100"/>
    </row>
    <row r="58" spans="1:43">
      <c r="R58" s="42"/>
      <c r="T58" s="40" t="str">
        <f>CASE_NO</f>
        <v>CASE NO.   2024-00354</v>
      </c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00"/>
      <c r="AH58" s="40"/>
      <c r="AI58" s="40"/>
      <c r="AJ58" s="40"/>
      <c r="AK58" s="100"/>
      <c r="AL58" s="40"/>
      <c r="AM58" s="40"/>
      <c r="AN58" s="40"/>
      <c r="AO58" s="40"/>
      <c r="AP58" s="40"/>
      <c r="AQ58" s="100"/>
    </row>
    <row r="59" spans="1:43">
      <c r="A59" s="42"/>
      <c r="H59" s="45"/>
      <c r="R59" s="42"/>
      <c r="T59" s="40" t="str">
        <f>TITLE</f>
        <v>ANNUALIZED TEST YEAR REVENUES AT PROPOSED VS. MOST CURRENT RATES</v>
      </c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100"/>
      <c r="AH59" s="40"/>
      <c r="AI59" s="40"/>
      <c r="AJ59" s="40"/>
      <c r="AK59" s="100"/>
      <c r="AL59" s="40"/>
      <c r="AM59" s="40"/>
      <c r="AN59" s="40"/>
      <c r="AO59" s="40"/>
      <c r="AP59" s="40"/>
      <c r="AQ59" s="100"/>
    </row>
    <row r="60" spans="1:43">
      <c r="L60" s="42"/>
      <c r="M60" s="42"/>
      <c r="T60" s="40" t="str">
        <f>DATE</f>
        <v>FOR THE TWELVE MONTHS ENDED June 30, 2026</v>
      </c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100"/>
      <c r="AH60" s="40"/>
      <c r="AI60" s="40"/>
      <c r="AJ60" s="40"/>
      <c r="AK60" s="100"/>
      <c r="AL60" s="40"/>
      <c r="AM60" s="40"/>
      <c r="AN60" s="40"/>
      <c r="AO60" s="40"/>
      <c r="AP60" s="40"/>
      <c r="AQ60" s="100"/>
    </row>
    <row r="61" spans="1:43">
      <c r="A61" s="49"/>
      <c r="B61" s="49"/>
      <c r="C61" s="49"/>
      <c r="D61" s="49"/>
      <c r="E61" s="49"/>
      <c r="F61" s="160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T61" s="40" t="str">
        <f>SERVICE</f>
        <v>(ELECTRIC SERVICE)</v>
      </c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100"/>
      <c r="AH61" s="40"/>
      <c r="AI61" s="40"/>
      <c r="AJ61" s="40"/>
      <c r="AK61" s="100"/>
      <c r="AL61" s="40"/>
      <c r="AM61" s="40"/>
      <c r="AN61" s="40"/>
      <c r="AO61" s="40"/>
      <c r="AP61" s="40"/>
      <c r="AQ61" s="100"/>
    </row>
    <row r="62" spans="1:43">
      <c r="L62" s="44"/>
      <c r="M62" s="44"/>
      <c r="N62" s="44"/>
      <c r="O62" s="44"/>
      <c r="R62" s="44"/>
      <c r="T62" s="41" t="str">
        <f>DATA_PERIOD</f>
        <v>DATA: ____ BASE PERIOD   __X__FORECASTED PERIOD</v>
      </c>
      <c r="AO62" s="42" t="s">
        <v>157</v>
      </c>
      <c r="AP62" s="42"/>
    </row>
    <row r="63" spans="1:43">
      <c r="L63" s="44"/>
      <c r="M63" s="44"/>
      <c r="N63" s="44"/>
      <c r="O63" s="44"/>
      <c r="R63" s="44"/>
      <c r="T63" s="41" t="str">
        <f>TYPE</f>
        <v>TYPE OF FILING: _X_ ORIGINAL   ___UPDATED  ___ REVISED</v>
      </c>
      <c r="AO63" s="48" t="str">
        <f>"PAGE 3 OF "&amp;TEXT(Page_Num_2.2,"00")</f>
        <v>PAGE 3 OF 24</v>
      </c>
      <c r="AP63" s="42"/>
    </row>
    <row r="64" spans="1:43">
      <c r="A64" s="44"/>
      <c r="C64" s="44"/>
      <c r="D64" s="44"/>
      <c r="E64" s="44"/>
      <c r="F64" s="44"/>
      <c r="J64" s="44"/>
      <c r="K64" s="44"/>
      <c r="L64" s="44"/>
      <c r="M64" s="44"/>
      <c r="N64" s="44"/>
      <c r="O64" s="44"/>
      <c r="P64" s="44"/>
      <c r="Q64" s="44"/>
      <c r="R64" s="44"/>
      <c r="T64" s="42" t="s">
        <v>170</v>
      </c>
      <c r="AO64" s="42" t="s">
        <v>3</v>
      </c>
      <c r="AP64" s="42"/>
    </row>
    <row r="65" spans="1:43">
      <c r="A65" s="44"/>
      <c r="C65" s="44"/>
      <c r="D65" s="44"/>
      <c r="E65" s="44"/>
      <c r="F65" s="44"/>
      <c r="J65" s="44"/>
      <c r="K65" s="44"/>
      <c r="L65" s="44"/>
      <c r="M65" s="44"/>
      <c r="N65" s="44"/>
      <c r="O65" s="44"/>
      <c r="P65" s="44"/>
      <c r="Q65" s="44"/>
      <c r="R65" s="44"/>
      <c r="T65" s="133" t="str">
        <f>TIME</f>
        <v>12 Months Projected with Riders</v>
      </c>
      <c r="AO65" s="41" t="str">
        <f>WIT</f>
        <v>B. L. Sailers</v>
      </c>
    </row>
    <row r="66" spans="1:43">
      <c r="A66" s="44"/>
      <c r="C66" s="44"/>
      <c r="D66" s="44"/>
      <c r="E66" s="44"/>
      <c r="F66" s="44"/>
      <c r="J66" s="44"/>
      <c r="K66" s="44"/>
      <c r="L66" s="44"/>
      <c r="M66" s="44"/>
      <c r="N66" s="44"/>
      <c r="O66" s="44"/>
      <c r="P66" s="44"/>
      <c r="Q66" s="44"/>
      <c r="R66" s="44"/>
      <c r="T66" s="133" t="str">
        <f>INPUT!B5</f>
        <v xml:space="preserve"> </v>
      </c>
    </row>
    <row r="67" spans="1:43">
      <c r="A67" s="44"/>
      <c r="C67" s="44"/>
      <c r="D67" s="44"/>
      <c r="E67" s="44"/>
      <c r="F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T67" s="40" t="s">
        <v>130</v>
      </c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100"/>
      <c r="AH67" s="40"/>
      <c r="AI67" s="40"/>
      <c r="AJ67" s="40"/>
      <c r="AK67" s="100"/>
      <c r="AL67" s="40"/>
      <c r="AM67" s="40"/>
      <c r="AN67" s="40"/>
      <c r="AO67" s="40"/>
      <c r="AP67" s="40"/>
      <c r="AQ67" s="100"/>
    </row>
    <row r="68" spans="1:43">
      <c r="C68" s="44"/>
      <c r="D68" s="44"/>
      <c r="E68" s="44"/>
      <c r="F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101"/>
      <c r="AH68" s="43"/>
      <c r="AI68" s="43"/>
      <c r="AJ68" s="43"/>
      <c r="AK68" s="101"/>
      <c r="AL68" s="43"/>
      <c r="AM68" s="43"/>
      <c r="AN68" s="43"/>
      <c r="AO68" s="43"/>
      <c r="AP68" s="43"/>
      <c r="AQ68" s="101"/>
    </row>
    <row r="69" spans="1:43" ht="18" customHeight="1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AE69" s="44" t="s">
        <v>8</v>
      </c>
      <c r="AF69" s="44"/>
      <c r="AG69" s="102" t="s">
        <v>7</v>
      </c>
      <c r="AH69" s="44"/>
      <c r="AI69" s="44" t="s">
        <v>9</v>
      </c>
      <c r="AJ69" s="44"/>
      <c r="AK69" s="102" t="s">
        <v>10</v>
      </c>
      <c r="AL69" s="44"/>
      <c r="AO69" s="44" t="s">
        <v>8</v>
      </c>
      <c r="AP69" s="44"/>
      <c r="AQ69" s="102" t="s">
        <v>11</v>
      </c>
    </row>
    <row r="70" spans="1:43"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AC70" s="44" t="s">
        <v>14</v>
      </c>
      <c r="AD70" s="44"/>
      <c r="AE70" s="44" t="s">
        <v>12</v>
      </c>
      <c r="AF70" s="44"/>
      <c r="AG70" s="102" t="s">
        <v>13</v>
      </c>
      <c r="AH70" s="44"/>
      <c r="AI70" s="44" t="s">
        <v>15</v>
      </c>
      <c r="AJ70" s="44"/>
      <c r="AK70" s="102" t="s">
        <v>16</v>
      </c>
      <c r="AL70" s="44"/>
      <c r="AO70" s="44" t="s">
        <v>11</v>
      </c>
      <c r="AP70" s="44"/>
      <c r="AQ70" s="102" t="s">
        <v>9</v>
      </c>
    </row>
    <row r="71" spans="1:43">
      <c r="C71" s="42"/>
      <c r="D71" s="42"/>
      <c r="E71" s="42"/>
      <c r="T71" s="44" t="s">
        <v>17</v>
      </c>
      <c r="V71" s="44" t="s">
        <v>18</v>
      </c>
      <c r="W71" s="44" t="s">
        <v>19</v>
      </c>
      <c r="X71" s="44"/>
      <c r="Y71" s="44" t="s">
        <v>20</v>
      </c>
      <c r="AC71" s="44" t="s">
        <v>8</v>
      </c>
      <c r="AD71" s="44"/>
      <c r="AE71" s="44" t="s">
        <v>841</v>
      </c>
      <c r="AF71" s="44"/>
      <c r="AG71" s="102" t="s">
        <v>841</v>
      </c>
      <c r="AH71" s="44"/>
      <c r="AI71" s="44" t="s">
        <v>964</v>
      </c>
      <c r="AJ71" s="44"/>
      <c r="AK71" s="102" t="s">
        <v>964</v>
      </c>
      <c r="AL71" s="44"/>
      <c r="AM71" s="44" t="s">
        <v>841</v>
      </c>
      <c r="AN71" s="44"/>
      <c r="AO71" s="44" t="s">
        <v>9</v>
      </c>
      <c r="AP71" s="44"/>
      <c r="AQ71" s="102" t="s">
        <v>21</v>
      </c>
    </row>
    <row r="72" spans="1:43">
      <c r="D72" s="42"/>
      <c r="E72" s="42"/>
      <c r="T72" s="44" t="s">
        <v>22</v>
      </c>
      <c r="V72" s="44" t="s">
        <v>23</v>
      </c>
      <c r="W72" s="44" t="s">
        <v>24</v>
      </c>
      <c r="X72" s="44"/>
      <c r="Y72" s="44" t="s">
        <v>25</v>
      </c>
      <c r="AA72" s="44" t="s">
        <v>26</v>
      </c>
      <c r="AB72" s="44"/>
      <c r="AC72" s="44" t="s">
        <v>27</v>
      </c>
      <c r="AD72" s="44"/>
      <c r="AE72" s="44" t="s">
        <v>9</v>
      </c>
      <c r="AF72" s="44"/>
      <c r="AG72" s="102" t="s">
        <v>9</v>
      </c>
      <c r="AH72" s="44"/>
      <c r="AI72" s="304" t="s">
        <v>29</v>
      </c>
      <c r="AJ72" s="304"/>
      <c r="AK72" s="311" t="s">
        <v>30</v>
      </c>
      <c r="AL72" s="44"/>
      <c r="AM72" s="44" t="s">
        <v>323</v>
      </c>
      <c r="AN72" s="44"/>
      <c r="AO72" s="304" t="s">
        <v>31</v>
      </c>
      <c r="AP72" s="304"/>
      <c r="AQ72" s="311" t="s">
        <v>32</v>
      </c>
    </row>
    <row r="73" spans="1:43">
      <c r="V73" s="304" t="s">
        <v>33</v>
      </c>
      <c r="W73" s="304" t="s">
        <v>34</v>
      </c>
      <c r="X73" s="304"/>
      <c r="Y73" s="304" t="s">
        <v>35</v>
      </c>
      <c r="Z73" s="130"/>
      <c r="AA73" s="304" t="s">
        <v>36</v>
      </c>
      <c r="AB73" s="304"/>
      <c r="AC73" s="304" t="s">
        <v>42</v>
      </c>
      <c r="AD73" s="304"/>
      <c r="AE73" s="304" t="s">
        <v>43</v>
      </c>
      <c r="AF73" s="304"/>
      <c r="AG73" s="311" t="s">
        <v>44</v>
      </c>
      <c r="AH73" s="304"/>
      <c r="AI73" s="304" t="s">
        <v>45</v>
      </c>
      <c r="AJ73" s="304"/>
      <c r="AK73" s="311" t="s">
        <v>46</v>
      </c>
      <c r="AL73" s="304"/>
      <c r="AM73" s="304" t="s">
        <v>40</v>
      </c>
      <c r="AN73" s="304"/>
      <c r="AO73" s="304" t="s">
        <v>47</v>
      </c>
      <c r="AP73" s="304"/>
      <c r="AQ73" s="311" t="s">
        <v>48</v>
      </c>
    </row>
    <row r="74" spans="1:43">
      <c r="C74" s="42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101"/>
      <c r="AH74" s="43"/>
      <c r="AI74" s="43"/>
      <c r="AJ74" s="43"/>
      <c r="AK74" s="101"/>
      <c r="AL74" s="43"/>
      <c r="AM74" s="43"/>
      <c r="AN74" s="43"/>
      <c r="AO74" s="43"/>
      <c r="AP74" s="43"/>
      <c r="AQ74" s="101"/>
    </row>
    <row r="75" spans="1:43" ht="17.100000000000001" customHeight="1">
      <c r="C75" s="42"/>
      <c r="F75" s="164"/>
      <c r="H75" s="164"/>
      <c r="I75" s="164"/>
      <c r="J75" s="316"/>
      <c r="K75" s="316"/>
      <c r="L75" s="45"/>
      <c r="M75" s="45"/>
      <c r="N75" s="46"/>
      <c r="O75" s="46"/>
      <c r="R75" s="45"/>
      <c r="AA75" s="309" t="s">
        <v>196</v>
      </c>
      <c r="AB75" s="308"/>
      <c r="AC75" s="309" t="s">
        <v>331</v>
      </c>
      <c r="AD75" s="308"/>
      <c r="AE75" s="308" t="s">
        <v>50</v>
      </c>
      <c r="AF75" s="308"/>
      <c r="AG75" s="312" t="s">
        <v>51</v>
      </c>
      <c r="AH75" s="308"/>
      <c r="AI75" s="308" t="s">
        <v>50</v>
      </c>
      <c r="AJ75" s="308"/>
      <c r="AK75" s="312" t="s">
        <v>51</v>
      </c>
      <c r="AL75" s="308"/>
      <c r="AM75" s="308" t="s">
        <v>50</v>
      </c>
      <c r="AN75" s="308"/>
      <c r="AO75" s="308" t="s">
        <v>50</v>
      </c>
      <c r="AP75" s="308"/>
      <c r="AQ75" s="312" t="s">
        <v>51</v>
      </c>
    </row>
    <row r="76" spans="1:43">
      <c r="C76" s="42"/>
      <c r="F76" s="164"/>
      <c r="H76" s="164"/>
      <c r="I76" s="164"/>
      <c r="J76" s="316"/>
      <c r="K76" s="316"/>
      <c r="L76" s="45"/>
      <c r="M76" s="45"/>
      <c r="N76" s="46"/>
      <c r="O76" s="46"/>
      <c r="R76" s="45"/>
      <c r="T76" s="41">
        <f>A20</f>
        <v>1</v>
      </c>
      <c r="V76" s="133" t="s">
        <v>91</v>
      </c>
      <c r="W76" s="133" t="s">
        <v>143</v>
      </c>
      <c r="X76" s="42"/>
      <c r="Y76" s="1"/>
      <c r="Z76" s="1"/>
      <c r="AA76" s="324"/>
      <c r="AB76" s="324"/>
      <c r="AC76" s="309" t="s">
        <v>328</v>
      </c>
      <c r="AD76" s="324"/>
      <c r="AE76" s="324"/>
      <c r="AF76" s="324"/>
      <c r="AG76" s="328"/>
      <c r="AH76" s="324"/>
      <c r="AI76" s="324"/>
      <c r="AJ76" s="324"/>
      <c r="AK76" s="328"/>
      <c r="AL76" s="324"/>
      <c r="AM76" s="324"/>
      <c r="AN76" s="324"/>
      <c r="AO76" s="324"/>
      <c r="AP76" s="324"/>
      <c r="AQ76" s="328"/>
    </row>
    <row r="77" spans="1:43">
      <c r="F77" s="50"/>
      <c r="H77" s="45"/>
      <c r="I77" s="45"/>
      <c r="J77" s="326"/>
      <c r="K77" s="326"/>
      <c r="L77" s="50"/>
      <c r="M77" s="50"/>
      <c r="N77" s="50"/>
      <c r="O77" s="50"/>
      <c r="P77" s="50"/>
      <c r="Q77" s="50"/>
      <c r="R77" s="50"/>
      <c r="T77" s="41">
        <f>A21</f>
        <v>2</v>
      </c>
      <c r="V77" s="130"/>
      <c r="W77" s="133" t="s">
        <v>132</v>
      </c>
      <c r="X77" s="42"/>
      <c r="Y77" s="1"/>
      <c r="Z77" s="1"/>
      <c r="AA77" s="1"/>
      <c r="AB77" s="1"/>
      <c r="AC77" s="1"/>
      <c r="AD77" s="1"/>
      <c r="AE77" s="1"/>
      <c r="AF77" s="1"/>
      <c r="AG77" s="103"/>
      <c r="AH77" s="1"/>
      <c r="AI77" s="1"/>
      <c r="AJ77" s="1"/>
      <c r="AK77" s="103"/>
      <c r="AL77" s="1"/>
      <c r="AM77" s="1"/>
      <c r="AN77" s="1"/>
      <c r="AO77" s="1"/>
      <c r="AP77" s="1"/>
      <c r="AQ77" s="103"/>
    </row>
    <row r="78" spans="1:43">
      <c r="C78" s="42"/>
      <c r="F78" s="45"/>
      <c r="H78" s="45"/>
      <c r="I78" s="45"/>
      <c r="J78" s="326"/>
      <c r="K78" s="326"/>
      <c r="L78" s="45"/>
      <c r="M78" s="45"/>
      <c r="N78" s="46"/>
      <c r="O78" s="46"/>
      <c r="P78" s="45"/>
      <c r="Q78" s="45"/>
      <c r="R78" s="45"/>
      <c r="Y78" s="1"/>
      <c r="Z78" s="1"/>
      <c r="AA78" s="1"/>
      <c r="AB78" s="1"/>
      <c r="AC78" s="1"/>
      <c r="AD78" s="1"/>
      <c r="AE78" s="1"/>
      <c r="AF78" s="1"/>
      <c r="AG78" s="103"/>
      <c r="AH78" s="1"/>
      <c r="AI78" s="1"/>
      <c r="AJ78" s="1"/>
      <c r="AK78" s="103"/>
      <c r="AL78" s="1"/>
      <c r="AM78" s="1"/>
      <c r="AN78" s="1"/>
      <c r="AO78" s="1"/>
      <c r="AP78" s="1"/>
      <c r="AQ78" s="103"/>
    </row>
    <row r="79" spans="1:43">
      <c r="F79" s="50"/>
      <c r="H79" s="45"/>
      <c r="I79" s="45"/>
      <c r="J79" s="326"/>
      <c r="K79" s="326"/>
      <c r="L79" s="50"/>
      <c r="M79" s="50"/>
      <c r="N79" s="50"/>
      <c r="O79" s="50"/>
      <c r="P79" s="50"/>
      <c r="Q79" s="50"/>
      <c r="R79" s="50"/>
      <c r="T79" s="41">
        <f>A23</f>
        <v>3</v>
      </c>
      <c r="V79" s="133" t="s">
        <v>133</v>
      </c>
      <c r="Y79" s="1"/>
      <c r="Z79" s="1"/>
      <c r="AA79" s="1"/>
      <c r="AB79" s="1"/>
      <c r="AC79" s="1"/>
      <c r="AD79" s="1"/>
      <c r="AE79" s="1"/>
      <c r="AF79" s="1"/>
      <c r="AG79" s="103"/>
      <c r="AH79" s="1"/>
      <c r="AI79" s="1"/>
      <c r="AJ79" s="1"/>
      <c r="AK79" s="103"/>
      <c r="AL79" s="1"/>
      <c r="AM79" s="1"/>
      <c r="AN79" s="1"/>
      <c r="AO79" s="1"/>
      <c r="AP79" s="1"/>
      <c r="AQ79" s="103"/>
    </row>
    <row r="80" spans="1:43">
      <c r="F80" s="50"/>
      <c r="H80" s="45"/>
      <c r="I80" s="45"/>
      <c r="J80" s="326"/>
      <c r="K80" s="326"/>
      <c r="L80" s="50"/>
      <c r="M80" s="50"/>
      <c r="N80" s="50"/>
      <c r="O80" s="50"/>
      <c r="P80" s="50"/>
      <c r="Q80" s="50"/>
      <c r="R80" s="50"/>
      <c r="T80" s="41">
        <f>A24</f>
        <v>4</v>
      </c>
      <c r="V80" s="48" t="s">
        <v>353</v>
      </c>
      <c r="Y80" s="3">
        <f>F24</f>
        <v>1545</v>
      </c>
      <c r="Z80" s="1"/>
      <c r="AA80" s="1"/>
      <c r="AB80" s="1"/>
      <c r="AC80" s="316">
        <f>INPUT!C63</f>
        <v>5</v>
      </c>
      <c r="AD80" s="1"/>
      <c r="AE80" s="3">
        <f>ROUND(Y80*AC80,0)</f>
        <v>7725</v>
      </c>
      <c r="AF80" s="3"/>
      <c r="AG80" s="103">
        <f>ROUND((AE80/AE$106)*100,1)</f>
        <v>0</v>
      </c>
      <c r="AH80" s="4"/>
      <c r="AI80" s="3">
        <f>L24-AE80</f>
        <v>0</v>
      </c>
      <c r="AJ80" s="3"/>
      <c r="AK80" s="103">
        <f>ROUND((AI80/AE80)*100,1)</f>
        <v>0</v>
      </c>
      <c r="AL80" s="6"/>
      <c r="AM80" s="3"/>
      <c r="AN80" s="1"/>
      <c r="AO80" s="3">
        <f>AE80+AM80</f>
        <v>7725</v>
      </c>
      <c r="AP80" s="3"/>
      <c r="AQ80" s="113">
        <f>IF(AO80=0,"0.0 ",ROUND((AI80/AO80)*100,1))</f>
        <v>0</v>
      </c>
    </row>
    <row r="81" spans="3:76">
      <c r="F81" s="45"/>
      <c r="H81" s="45"/>
      <c r="I81" s="45"/>
      <c r="J81" s="326"/>
      <c r="K81" s="326"/>
      <c r="L81" s="45"/>
      <c r="M81" s="45"/>
      <c r="N81" s="46"/>
      <c r="O81" s="46"/>
      <c r="P81" s="45"/>
      <c r="Q81" s="45"/>
      <c r="R81" s="45"/>
      <c r="T81" s="41">
        <f>A25</f>
        <v>5</v>
      </c>
      <c r="V81" s="42" t="s">
        <v>134</v>
      </c>
      <c r="Y81" s="3">
        <f>F25</f>
        <v>79682</v>
      </c>
      <c r="Z81" s="1"/>
      <c r="AA81" s="68"/>
      <c r="AB81" s="68"/>
      <c r="AC81" s="316">
        <f>INPUT!C48</f>
        <v>15</v>
      </c>
      <c r="AD81" s="76"/>
      <c r="AE81" s="3">
        <f>ROUND(Y81*AC81,0)</f>
        <v>1195230</v>
      </c>
      <c r="AF81" s="3"/>
      <c r="AG81" s="103">
        <f>ROUND((AE81/AE$106)*100,1)</f>
        <v>0.9</v>
      </c>
      <c r="AH81" s="4"/>
      <c r="AI81" s="3">
        <f>L25-AE81</f>
        <v>0</v>
      </c>
      <c r="AJ81" s="3"/>
      <c r="AK81" s="103">
        <f>ROUND((AI81/AE81)*100,1)</f>
        <v>0</v>
      </c>
      <c r="AL81" s="6"/>
      <c r="AM81" s="3"/>
      <c r="AN81" s="1"/>
      <c r="AO81" s="3">
        <f>AE81+AM81</f>
        <v>1195230</v>
      </c>
      <c r="AP81" s="3"/>
      <c r="AQ81" s="113">
        <f>IF(AO81=0,"0.0 ",ROUND((AI81/AO81)*100,1))</f>
        <v>0</v>
      </c>
      <c r="BX81" s="329"/>
    </row>
    <row r="82" spans="3:76">
      <c r="C82" s="42"/>
      <c r="F82" s="45"/>
      <c r="H82" s="45"/>
      <c r="I82" s="45"/>
      <c r="J82" s="326"/>
      <c r="K82" s="326"/>
      <c r="L82" s="45"/>
      <c r="M82" s="45"/>
      <c r="N82" s="46"/>
      <c r="O82" s="46"/>
      <c r="P82" s="45"/>
      <c r="Q82" s="45"/>
      <c r="R82" s="45"/>
      <c r="T82" s="41">
        <f>A26</f>
        <v>6</v>
      </c>
      <c r="V82" s="42" t="s">
        <v>135</v>
      </c>
      <c r="Y82" s="3">
        <f>F26</f>
        <v>75323</v>
      </c>
      <c r="Z82" s="1"/>
      <c r="AA82" s="68"/>
      <c r="AB82" s="68"/>
      <c r="AC82" s="316">
        <f>INPUT!C49</f>
        <v>30</v>
      </c>
      <c r="AD82" s="76"/>
      <c r="AE82" s="3">
        <f>ROUND(Y82*AC82,0)</f>
        <v>2259690</v>
      </c>
      <c r="AF82" s="3"/>
      <c r="AG82" s="104">
        <f>ROUND((AE82/AE$106)*100,1)</f>
        <v>1.7</v>
      </c>
      <c r="AH82" s="4"/>
      <c r="AI82" s="3">
        <f>L26-AE82</f>
        <v>0</v>
      </c>
      <c r="AJ82" s="3"/>
      <c r="AK82" s="104">
        <f>ROUND((AI82/AE82)*100,1)</f>
        <v>0</v>
      </c>
      <c r="AL82" s="6"/>
      <c r="AM82" s="3"/>
      <c r="AN82" s="1"/>
      <c r="AO82" s="3">
        <f>AE82+AM82</f>
        <v>2259690</v>
      </c>
      <c r="AP82" s="3"/>
      <c r="AQ82" s="112">
        <f>IF(AO82=0,"0.0 ",ROUND((AI82/AO82)*100,1))</f>
        <v>0</v>
      </c>
    </row>
    <row r="83" spans="3:76" ht="20.100000000000001" customHeight="1">
      <c r="C83" s="42"/>
      <c r="F83" s="164"/>
      <c r="H83" s="164"/>
      <c r="I83" s="164"/>
      <c r="J83" s="316"/>
      <c r="K83" s="316"/>
      <c r="L83" s="45"/>
      <c r="M83" s="45"/>
      <c r="N83" s="46"/>
      <c r="O83" s="46"/>
      <c r="P83" s="45"/>
      <c r="Q83" s="45"/>
      <c r="R83" s="45"/>
      <c r="T83" s="41">
        <f>A27</f>
        <v>7</v>
      </c>
      <c r="V83" s="133" t="s">
        <v>136</v>
      </c>
      <c r="Y83" s="72">
        <f>F27</f>
        <v>155005</v>
      </c>
      <c r="Z83" s="1"/>
      <c r="AA83" s="3"/>
      <c r="AB83" s="3"/>
      <c r="AC83" s="7"/>
      <c r="AD83" s="7"/>
      <c r="AE83" s="72">
        <f>SUM(AE80:AE82)</f>
        <v>3462645</v>
      </c>
      <c r="AF83" s="3"/>
      <c r="AG83" s="105">
        <f>ROUND((AE83/AE$106)*100,1)</f>
        <v>2.6</v>
      </c>
      <c r="AH83" s="4"/>
      <c r="AI83" s="72">
        <f>SUM(AI80:AI82)</f>
        <v>0</v>
      </c>
      <c r="AJ83" s="3"/>
      <c r="AK83" s="105">
        <f>ROUND((AI83/AE83)*100,1)</f>
        <v>0</v>
      </c>
      <c r="AL83" s="6"/>
      <c r="AM83" s="72"/>
      <c r="AN83" s="3"/>
      <c r="AO83" s="72">
        <f>SUM(AO80:AO82)</f>
        <v>3462645</v>
      </c>
      <c r="AP83" s="3"/>
      <c r="AQ83" s="114">
        <f>IF(AO83=0,"0.0 ",ROUND((AI83/AO83)*100,1))</f>
        <v>0</v>
      </c>
    </row>
    <row r="84" spans="3:76">
      <c r="C84" s="42"/>
      <c r="F84" s="45"/>
      <c r="H84" s="45"/>
      <c r="I84" s="45"/>
      <c r="J84" s="326"/>
      <c r="K84" s="326"/>
      <c r="L84" s="45"/>
      <c r="M84" s="45"/>
      <c r="N84" s="46"/>
      <c r="O84" s="46"/>
      <c r="P84" s="45"/>
      <c r="Q84" s="45"/>
      <c r="R84" s="45"/>
      <c r="Y84" s="3"/>
      <c r="Z84" s="1"/>
      <c r="AA84" s="3"/>
      <c r="AB84" s="3"/>
      <c r="AC84" s="7"/>
      <c r="AD84" s="7"/>
      <c r="AE84" s="3"/>
      <c r="AF84" s="3"/>
      <c r="AG84" s="103"/>
      <c r="AH84" s="4"/>
      <c r="AI84" s="3"/>
      <c r="AJ84" s="3"/>
      <c r="AK84" s="103"/>
      <c r="AL84" s="6"/>
      <c r="AM84" s="3"/>
      <c r="AN84" s="3"/>
      <c r="AO84" s="3"/>
      <c r="AP84" s="3"/>
      <c r="AQ84" s="103"/>
    </row>
    <row r="85" spans="3:76">
      <c r="F85" s="45"/>
      <c r="H85" s="50"/>
      <c r="I85" s="50"/>
      <c r="J85" s="326"/>
      <c r="K85" s="326"/>
      <c r="L85" s="50"/>
      <c r="M85" s="50"/>
      <c r="N85" s="50"/>
      <c r="O85" s="50"/>
      <c r="P85" s="50"/>
      <c r="Q85" s="50"/>
      <c r="R85" s="50"/>
      <c r="T85" s="41">
        <f>A29</f>
        <v>8</v>
      </c>
      <c r="V85" s="133" t="s">
        <v>63</v>
      </c>
      <c r="Y85" s="3"/>
      <c r="Z85" s="1"/>
      <c r="AA85" s="3"/>
      <c r="AB85" s="3"/>
      <c r="AC85" s="7"/>
      <c r="AD85" s="7"/>
      <c r="AE85" s="3"/>
      <c r="AF85" s="3"/>
      <c r="AG85" s="103"/>
      <c r="AH85" s="4"/>
      <c r="AI85" s="3"/>
      <c r="AJ85" s="3"/>
      <c r="AK85" s="103"/>
      <c r="AL85" s="6"/>
      <c r="AM85" s="3"/>
      <c r="AN85" s="3"/>
      <c r="AO85" s="3"/>
      <c r="AP85" s="3"/>
      <c r="AQ85" s="103"/>
    </row>
    <row r="86" spans="3:76">
      <c r="C86" s="42"/>
      <c r="F86" s="45"/>
      <c r="H86" s="45"/>
      <c r="I86" s="45"/>
      <c r="J86" s="47"/>
      <c r="K86" s="47"/>
      <c r="L86" s="45"/>
      <c r="M86" s="45"/>
      <c r="N86" s="46"/>
      <c r="O86" s="46"/>
      <c r="P86" s="45"/>
      <c r="Q86" s="45"/>
      <c r="R86" s="45"/>
      <c r="T86" s="41">
        <f>A30</f>
        <v>9</v>
      </c>
      <c r="V86" s="42" t="s">
        <v>137</v>
      </c>
      <c r="Y86" s="68"/>
      <c r="Z86" s="1"/>
      <c r="AA86" s="3">
        <f>H30</f>
        <v>1355176</v>
      </c>
      <c r="AB86" s="3"/>
      <c r="AC86" s="316">
        <f>INPUT!C55</f>
        <v>0</v>
      </c>
      <c r="AD86" s="76"/>
      <c r="AE86" s="3">
        <f>ROUND(AA86*AC86,0)</f>
        <v>0</v>
      </c>
      <c r="AF86" s="3"/>
      <c r="AG86" s="103">
        <f>ROUND((AE86/AE$106)*100,1)</f>
        <v>0</v>
      </c>
      <c r="AH86" s="4"/>
      <c r="AI86" s="3">
        <f>L30-AE86</f>
        <v>0</v>
      </c>
      <c r="AJ86" s="3"/>
      <c r="AK86" s="116">
        <v>0</v>
      </c>
      <c r="AL86" s="330"/>
      <c r="AM86" s="3"/>
      <c r="AN86" s="3"/>
      <c r="AO86" s="3">
        <f>AE86+AM86</f>
        <v>0</v>
      </c>
      <c r="AP86" s="3"/>
      <c r="AQ86" s="113" t="str">
        <f>IF(AO86=0,"0.0 ",ROUND((AI86/AO86)*100,1))</f>
        <v xml:space="preserve">0.0 </v>
      </c>
    </row>
    <row r="87" spans="3:76">
      <c r="C87" s="42"/>
      <c r="F87" s="164"/>
      <c r="H87" s="164"/>
      <c r="I87" s="164"/>
      <c r="J87" s="331"/>
      <c r="K87" s="331"/>
      <c r="L87" s="45"/>
      <c r="M87" s="45"/>
      <c r="N87" s="46"/>
      <c r="O87" s="46"/>
      <c r="P87" s="164"/>
      <c r="Q87" s="164"/>
      <c r="R87" s="45"/>
      <c r="T87" s="41">
        <f>A31</f>
        <v>10</v>
      </c>
      <c r="V87" s="42" t="s">
        <v>138</v>
      </c>
      <c r="Y87" s="68"/>
      <c r="Z87" s="1"/>
      <c r="AA87" s="3">
        <f>H31</f>
        <v>2641511</v>
      </c>
      <c r="AB87" s="3"/>
      <c r="AC87" s="316">
        <f>INPUT!C56</f>
        <v>10.68</v>
      </c>
      <c r="AD87" s="76"/>
      <c r="AE87" s="3">
        <f>ROUND(AA87*AC87,0)</f>
        <v>28211337</v>
      </c>
      <c r="AF87" s="3"/>
      <c r="AG87" s="104">
        <f>ROUND((AE87/AE$106)*100,1)</f>
        <v>21.3</v>
      </c>
      <c r="AH87" s="4"/>
      <c r="AI87" s="3">
        <f>L31-AE87</f>
        <v>13656612</v>
      </c>
      <c r="AJ87" s="3"/>
      <c r="AK87" s="104">
        <f>ROUND((AI87/AE87)*100,1)</f>
        <v>48.4</v>
      </c>
      <c r="AL87" s="6"/>
      <c r="AM87" s="3"/>
      <c r="AN87" s="3"/>
      <c r="AO87" s="3">
        <f>AE87+AM87</f>
        <v>28211337</v>
      </c>
      <c r="AP87" s="3"/>
      <c r="AQ87" s="112">
        <f>IF(AO87=0,"0.0 ",ROUND((AI87/AO87)*100,1))</f>
        <v>48.4</v>
      </c>
    </row>
    <row r="88" spans="3:76" ht="20.100000000000001" customHeight="1">
      <c r="C88" s="42"/>
      <c r="F88" s="164"/>
      <c r="H88" s="164"/>
      <c r="I88" s="164"/>
      <c r="J88" s="331"/>
      <c r="K88" s="331"/>
      <c r="L88" s="45"/>
      <c r="M88" s="45"/>
      <c r="N88" s="46"/>
      <c r="O88" s="46"/>
      <c r="P88" s="164"/>
      <c r="Q88" s="164"/>
      <c r="R88" s="45"/>
      <c r="T88" s="41">
        <f>A32</f>
        <v>11</v>
      </c>
      <c r="V88" s="133" t="s">
        <v>66</v>
      </c>
      <c r="Y88" s="3"/>
      <c r="Z88" s="1"/>
      <c r="AA88" s="72">
        <f>H32</f>
        <v>3996687</v>
      </c>
      <c r="AB88" s="3"/>
      <c r="AC88" s="314"/>
      <c r="AD88" s="314"/>
      <c r="AE88" s="72">
        <f>SUM(AE86:AE87)</f>
        <v>28211337</v>
      </c>
      <c r="AF88" s="3"/>
      <c r="AG88" s="105">
        <f>ROUND((AE88/AE$106)*100,1)</f>
        <v>21.3</v>
      </c>
      <c r="AH88" s="4"/>
      <c r="AI88" s="72">
        <f>SUM(AI86:AI87)</f>
        <v>13656612</v>
      </c>
      <c r="AJ88" s="3"/>
      <c r="AK88" s="105">
        <f>ROUND((AI88/AE88)*100,1)</f>
        <v>48.4</v>
      </c>
      <c r="AL88" s="6"/>
      <c r="AM88" s="72"/>
      <c r="AN88" s="3"/>
      <c r="AO88" s="72">
        <f>SUM(AO86:AO87)</f>
        <v>28211337</v>
      </c>
      <c r="AP88" s="3"/>
      <c r="AQ88" s="114">
        <f>IF(AO88=0,"0.0 ",ROUND((AI88/AO88)*100,1))</f>
        <v>48.4</v>
      </c>
      <c r="AT88" s="41">
        <f>1-AT96</f>
        <v>0.23189527103039187</v>
      </c>
    </row>
    <row r="89" spans="3:76">
      <c r="C89" s="42"/>
      <c r="F89" s="164"/>
      <c r="H89" s="164"/>
      <c r="I89" s="164"/>
      <c r="J89" s="331"/>
      <c r="K89" s="331"/>
      <c r="L89" s="45"/>
      <c r="M89" s="45"/>
      <c r="N89" s="46"/>
      <c r="O89" s="46"/>
      <c r="P89" s="164"/>
      <c r="Q89" s="164"/>
      <c r="R89" s="45"/>
      <c r="V89" s="42"/>
      <c r="Y89" s="3"/>
      <c r="Z89" s="1"/>
      <c r="AA89" s="3"/>
      <c r="AB89" s="3"/>
      <c r="AC89" s="314"/>
      <c r="AD89" s="314"/>
      <c r="AE89" s="3"/>
      <c r="AF89" s="3"/>
      <c r="AG89" s="103"/>
      <c r="AH89" s="4"/>
      <c r="AI89" s="3"/>
      <c r="AJ89" s="3"/>
      <c r="AK89" s="103"/>
      <c r="AL89" s="6"/>
      <c r="AM89" s="3"/>
      <c r="AN89" s="3"/>
      <c r="AO89" s="3"/>
      <c r="AP89" s="3"/>
      <c r="AQ89" s="103"/>
    </row>
    <row r="90" spans="3:76" ht="16.5" thickBot="1">
      <c r="C90" s="42"/>
      <c r="H90" s="164"/>
      <c r="I90" s="164"/>
      <c r="J90" s="331"/>
      <c r="K90" s="331"/>
      <c r="L90" s="45"/>
      <c r="M90" s="45"/>
      <c r="N90" s="46"/>
      <c r="O90" s="46"/>
      <c r="P90" s="164"/>
      <c r="Q90" s="164"/>
      <c r="R90" s="45"/>
      <c r="T90" s="41">
        <f t="shared" ref="T90:T97" si="1">A34</f>
        <v>12</v>
      </c>
      <c r="V90" s="310" t="s">
        <v>371</v>
      </c>
      <c r="Y90" s="3"/>
      <c r="Z90" s="1"/>
      <c r="AA90" s="3"/>
      <c r="AB90" s="3"/>
      <c r="AC90" s="7"/>
      <c r="AD90" s="7"/>
      <c r="AE90" s="3"/>
      <c r="AF90" s="3"/>
      <c r="AG90" s="103"/>
      <c r="AH90" s="4"/>
      <c r="AI90" s="3"/>
      <c r="AJ90" s="3"/>
      <c r="AK90" s="103"/>
      <c r="AL90" s="6"/>
      <c r="AM90" s="3"/>
      <c r="AN90" s="3"/>
      <c r="AO90" s="3"/>
      <c r="AP90" s="3"/>
      <c r="AQ90" s="103"/>
    </row>
    <row r="91" spans="3:76">
      <c r="F91" s="50"/>
      <c r="H91" s="50"/>
      <c r="I91" s="50"/>
      <c r="J91" s="326"/>
      <c r="K91" s="326"/>
      <c r="L91" s="50"/>
      <c r="M91" s="50"/>
      <c r="N91" s="50"/>
      <c r="O91" s="50"/>
      <c r="P91" s="50"/>
      <c r="Q91" s="50"/>
      <c r="R91" s="50"/>
      <c r="T91" s="41">
        <f t="shared" si="1"/>
        <v>13</v>
      </c>
      <c r="V91" s="42" t="s">
        <v>139</v>
      </c>
      <c r="Y91" s="68"/>
      <c r="Z91" s="1"/>
      <c r="AA91" s="3">
        <f t="shared" ref="AA91:AA96" si="2">H35</f>
        <v>348050244</v>
      </c>
      <c r="AB91" s="3"/>
      <c r="AC91" s="323">
        <f>INPUT!C51</f>
        <v>0.114788</v>
      </c>
      <c r="AD91" s="322"/>
      <c r="AE91" s="3">
        <f>ROUND((AA91*AC91),0)-AM91</f>
        <v>39951991</v>
      </c>
      <c r="AF91" s="3"/>
      <c r="AG91" s="103">
        <f t="shared" ref="AG91:AG97" si="3">ROUND((AE91/AE$106)*100,1)</f>
        <v>30.2</v>
      </c>
      <c r="AH91" s="4"/>
      <c r="AI91" s="3">
        <f>L35-AE91</f>
        <v>3377514</v>
      </c>
      <c r="AJ91" s="3"/>
      <c r="AK91" s="103">
        <f t="shared" ref="AK91:AK97" si="4">ROUND((AI91/AE91)*100,1)</f>
        <v>8.5</v>
      </c>
      <c r="AL91" s="6"/>
      <c r="AM91" s="68"/>
      <c r="AN91" s="68"/>
      <c r="AO91" s="3">
        <f>AE91+AM91</f>
        <v>39951991</v>
      </c>
      <c r="AP91" s="3"/>
      <c r="AQ91" s="113">
        <f t="shared" ref="AQ91:AQ104" si="5">IF(AO91=0,"0.0 ",ROUND((AI91/AO91)*100,1))</f>
        <v>8.5</v>
      </c>
      <c r="AT91" s="172">
        <f>AO91/SUM($AO$91:$AO$95)</f>
        <v>0.42754931177034039</v>
      </c>
    </row>
    <row r="92" spans="3:76">
      <c r="C92" s="42"/>
      <c r="F92" s="45"/>
      <c r="H92" s="45"/>
      <c r="I92" s="45"/>
      <c r="J92" s="47"/>
      <c r="K92" s="47"/>
      <c r="L92" s="45"/>
      <c r="M92" s="45"/>
      <c r="N92" s="46"/>
      <c r="O92" s="46"/>
      <c r="P92" s="45"/>
      <c r="Q92" s="45"/>
      <c r="R92" s="45"/>
      <c r="T92" s="41">
        <f t="shared" si="1"/>
        <v>14</v>
      </c>
      <c r="V92" s="42" t="s">
        <v>140</v>
      </c>
      <c r="Y92" s="68"/>
      <c r="Z92" s="1"/>
      <c r="AA92" s="3">
        <f t="shared" si="2"/>
        <v>519725648</v>
      </c>
      <c r="AB92" s="3"/>
      <c r="AC92" s="323">
        <f>INPUT!C52</f>
        <v>7.4619000000000005E-2</v>
      </c>
      <c r="AD92" s="322"/>
      <c r="AE92" s="3">
        <f>ROUND((AA92*AC92),0)-AM92</f>
        <v>38781408</v>
      </c>
      <c r="AF92" s="3"/>
      <c r="AG92" s="103">
        <f t="shared" si="3"/>
        <v>29.3</v>
      </c>
      <c r="AH92" s="4"/>
      <c r="AI92" s="3">
        <f>L36-AE92</f>
        <v>1754126</v>
      </c>
      <c r="AJ92" s="3"/>
      <c r="AK92" s="103">
        <f t="shared" si="4"/>
        <v>4.5</v>
      </c>
      <c r="AL92" s="6"/>
      <c r="AM92" s="68"/>
      <c r="AN92" s="68"/>
      <c r="AO92" s="3">
        <f>AE92+AM92</f>
        <v>38781408</v>
      </c>
      <c r="AP92" s="3"/>
      <c r="AQ92" s="113">
        <f t="shared" si="5"/>
        <v>4.5</v>
      </c>
      <c r="AT92" s="173">
        <f>AO92/SUM($AO$91:$AO$95)</f>
        <v>0.41502222755018076</v>
      </c>
    </row>
    <row r="93" spans="3:76">
      <c r="F93" s="50"/>
      <c r="H93" s="50"/>
      <c r="I93" s="50"/>
      <c r="J93" s="326"/>
      <c r="K93" s="326"/>
      <c r="L93" s="50"/>
      <c r="M93" s="50"/>
      <c r="N93" s="50"/>
      <c r="O93" s="50"/>
      <c r="P93" s="50"/>
      <c r="Q93" s="50"/>
      <c r="R93" s="50"/>
      <c r="T93" s="41">
        <f t="shared" si="1"/>
        <v>15</v>
      </c>
      <c r="V93" s="42" t="s">
        <v>141</v>
      </c>
      <c r="Y93" s="68"/>
      <c r="Z93" s="1"/>
      <c r="AA93" s="3">
        <f t="shared" si="2"/>
        <v>228571887</v>
      </c>
      <c r="AB93" s="3"/>
      <c r="AC93" s="323">
        <f>INPUT!C53</f>
        <v>6.3056000000000001E-2</v>
      </c>
      <c r="AD93" s="322"/>
      <c r="AE93" s="3">
        <f>ROUND((AA93*AC93),0)-AM93</f>
        <v>14412829</v>
      </c>
      <c r="AF93" s="3"/>
      <c r="AG93" s="103">
        <f t="shared" si="3"/>
        <v>10.9</v>
      </c>
      <c r="AH93" s="4"/>
      <c r="AI93" s="3">
        <f>L37-AE93</f>
        <v>354537</v>
      </c>
      <c r="AJ93" s="3"/>
      <c r="AK93" s="103">
        <f t="shared" si="4"/>
        <v>2.5</v>
      </c>
      <c r="AL93" s="6"/>
      <c r="AM93" s="68"/>
      <c r="AN93" s="68"/>
      <c r="AO93" s="3">
        <f>AE93+AM93</f>
        <v>14412829</v>
      </c>
      <c r="AP93" s="3"/>
      <c r="AQ93" s="113">
        <f t="shared" si="5"/>
        <v>2.5</v>
      </c>
      <c r="AT93" s="173">
        <f>AO93/SUM($AO$91:$AO$95)</f>
        <v>0.15424000069517446</v>
      </c>
    </row>
    <row r="94" spans="3:76">
      <c r="C94" s="42"/>
      <c r="F94" s="45"/>
      <c r="H94" s="45"/>
      <c r="I94" s="45"/>
      <c r="J94" s="47"/>
      <c r="K94" s="47"/>
      <c r="L94" s="45"/>
      <c r="M94" s="45"/>
      <c r="N94" s="46"/>
      <c r="O94" s="46"/>
      <c r="P94" s="45"/>
      <c r="Q94" s="45"/>
      <c r="R94" s="45"/>
      <c r="T94" s="41">
        <f t="shared" si="1"/>
        <v>16</v>
      </c>
      <c r="V94" s="42" t="s">
        <v>360</v>
      </c>
      <c r="Y94" s="1"/>
      <c r="Z94" s="1"/>
      <c r="AA94" s="3">
        <f t="shared" si="2"/>
        <v>928876</v>
      </c>
      <c r="AB94" s="3"/>
      <c r="AC94" s="323">
        <f>INPUT!C58</f>
        <v>0.30729699999999999</v>
      </c>
      <c r="AD94" s="322"/>
      <c r="AE94" s="3">
        <f>ROUND((AA94*AC94),0)-AM94</f>
        <v>285441</v>
      </c>
      <c r="AF94" s="3"/>
      <c r="AG94" s="103">
        <f t="shared" si="3"/>
        <v>0.2</v>
      </c>
      <c r="AH94" s="4"/>
      <c r="AI94" s="3">
        <f>L38-AE94</f>
        <v>16813</v>
      </c>
      <c r="AJ94" s="3"/>
      <c r="AK94" s="103">
        <f t="shared" si="4"/>
        <v>5.9</v>
      </c>
      <c r="AL94" s="6"/>
      <c r="AM94" s="68"/>
      <c r="AN94" s="68"/>
      <c r="AO94" s="3">
        <f>AE94+AM94</f>
        <v>285441</v>
      </c>
      <c r="AP94" s="3"/>
      <c r="AQ94" s="113">
        <f t="shared" si="5"/>
        <v>5.9</v>
      </c>
      <c r="AT94" s="173">
        <f>AO94/SUM($AO$91:$AO$95)</f>
        <v>3.0546688674673995E-3</v>
      </c>
    </row>
    <row r="95" spans="3:76" ht="16.5" thickBot="1">
      <c r="C95" s="42"/>
      <c r="F95" s="45"/>
      <c r="H95" s="45"/>
      <c r="I95" s="45"/>
      <c r="J95" s="47"/>
      <c r="K95" s="47"/>
      <c r="L95" s="45"/>
      <c r="M95" s="45"/>
      <c r="N95" s="46"/>
      <c r="O95" s="46"/>
      <c r="P95" s="45"/>
      <c r="Q95" s="45"/>
      <c r="R95" s="45"/>
      <c r="T95" s="41">
        <f t="shared" si="1"/>
        <v>17</v>
      </c>
      <c r="V95" s="42" t="s">
        <v>361</v>
      </c>
      <c r="Y95" s="1"/>
      <c r="Z95" s="1"/>
      <c r="AA95" s="3">
        <f t="shared" si="2"/>
        <v>66268</v>
      </c>
      <c r="AB95" s="3"/>
      <c r="AC95" s="323">
        <f>INPUT!C59</f>
        <v>0.18865199999999999</v>
      </c>
      <c r="AD95" s="322"/>
      <c r="AE95" s="3">
        <f>ROUND((AA95*AC95),0)-AM95</f>
        <v>12502</v>
      </c>
      <c r="AF95" s="3"/>
      <c r="AG95" s="103">
        <f t="shared" si="3"/>
        <v>0</v>
      </c>
      <c r="AH95" s="4"/>
      <c r="AI95" s="3">
        <f>L39-AE95</f>
        <v>736</v>
      </c>
      <c r="AJ95" s="3"/>
      <c r="AK95" s="104">
        <f t="shared" si="4"/>
        <v>5.9</v>
      </c>
      <c r="AL95" s="6"/>
      <c r="AM95" s="68"/>
      <c r="AN95" s="68"/>
      <c r="AO95" s="3">
        <f>AE95+AM95</f>
        <v>12502</v>
      </c>
      <c r="AP95" s="3"/>
      <c r="AQ95" s="112">
        <f t="shared" si="5"/>
        <v>5.9</v>
      </c>
      <c r="AT95" s="174">
        <f>AO95/SUM($AO$91:$AO$95)</f>
        <v>1.3379111683702562E-4</v>
      </c>
    </row>
    <row r="96" spans="3:76" ht="20.100000000000001" customHeight="1">
      <c r="F96" s="45"/>
      <c r="H96" s="45"/>
      <c r="I96" s="45"/>
      <c r="J96" s="47"/>
      <c r="K96" s="47"/>
      <c r="L96" s="45"/>
      <c r="M96" s="45"/>
      <c r="N96" s="45"/>
      <c r="O96" s="45"/>
      <c r="P96" s="45"/>
      <c r="Q96" s="45"/>
      <c r="R96" s="45"/>
      <c r="T96" s="41">
        <f t="shared" si="1"/>
        <v>18</v>
      </c>
      <c r="V96" s="133" t="s">
        <v>142</v>
      </c>
      <c r="Y96" s="3"/>
      <c r="Z96" s="1"/>
      <c r="AA96" s="72">
        <f t="shared" si="2"/>
        <v>1097342923</v>
      </c>
      <c r="AB96" s="3"/>
      <c r="AC96" s="154"/>
      <c r="AD96" s="7"/>
      <c r="AE96" s="72">
        <f>SUM(AE91:AE95)</f>
        <v>93444171</v>
      </c>
      <c r="AF96" s="3"/>
      <c r="AG96" s="105">
        <f t="shared" si="3"/>
        <v>70.599999999999994</v>
      </c>
      <c r="AH96" s="4"/>
      <c r="AI96" s="72">
        <f>SUM(AI91:AI95)</f>
        <v>5503726</v>
      </c>
      <c r="AJ96" s="3"/>
      <c r="AK96" s="105">
        <f t="shared" si="4"/>
        <v>5.9</v>
      </c>
      <c r="AL96" s="6"/>
      <c r="AM96" s="72"/>
      <c r="AN96" s="3"/>
      <c r="AO96" s="72">
        <f>SUM(AO91:AO95)</f>
        <v>93444171</v>
      </c>
      <c r="AP96" s="3"/>
      <c r="AQ96" s="114">
        <f t="shared" si="5"/>
        <v>5.9</v>
      </c>
      <c r="AT96" s="41">
        <f>AO96/(AO96+AO88)</f>
        <v>0.76810472896960813</v>
      </c>
    </row>
    <row r="97" spans="6:43" ht="20.100000000000001" customHeight="1">
      <c r="F97" s="45"/>
      <c r="H97" s="45"/>
      <c r="I97" s="45"/>
      <c r="J97" s="47"/>
      <c r="K97" s="47"/>
      <c r="L97" s="45"/>
      <c r="M97" s="45"/>
      <c r="N97" s="45"/>
      <c r="O97" s="45"/>
      <c r="P97" s="45"/>
      <c r="Q97" s="45"/>
      <c r="R97" s="45"/>
      <c r="T97" s="41">
        <f t="shared" si="1"/>
        <v>19</v>
      </c>
      <c r="V97" s="133" t="s">
        <v>437</v>
      </c>
      <c r="Y97" s="66">
        <f>Y83</f>
        <v>155005</v>
      </c>
      <c r="Z97" s="1"/>
      <c r="AA97" s="72">
        <f>AA96</f>
        <v>1097342923</v>
      </c>
      <c r="AB97" s="3"/>
      <c r="AC97" s="154"/>
      <c r="AD97" s="7"/>
      <c r="AE97" s="72">
        <f>AE83+AE88+AE96</f>
        <v>125118153</v>
      </c>
      <c r="AF97" s="3"/>
      <c r="AG97" s="105">
        <f t="shared" si="3"/>
        <v>94.6</v>
      </c>
      <c r="AH97" s="4"/>
      <c r="AI97" s="72">
        <f>L41-AE97</f>
        <v>19160338</v>
      </c>
      <c r="AJ97" s="3"/>
      <c r="AK97" s="105">
        <f t="shared" si="4"/>
        <v>15.3</v>
      </c>
      <c r="AL97" s="6"/>
      <c r="AM97" s="72"/>
      <c r="AN97" s="3"/>
      <c r="AO97" s="72">
        <f>AO83+AO88+AO96</f>
        <v>125118153</v>
      </c>
      <c r="AP97" s="3"/>
      <c r="AQ97" s="105">
        <f t="shared" si="5"/>
        <v>15.3</v>
      </c>
    </row>
    <row r="98" spans="6:43">
      <c r="F98" s="45"/>
      <c r="H98" s="45"/>
      <c r="I98" s="45"/>
      <c r="J98" s="47"/>
      <c r="K98" s="47"/>
      <c r="L98" s="45"/>
      <c r="M98" s="45"/>
      <c r="N98" s="45"/>
      <c r="O98" s="45"/>
      <c r="P98" s="45"/>
      <c r="Q98" s="45"/>
      <c r="R98" s="45"/>
      <c r="V98" s="42"/>
      <c r="Y98" s="3"/>
      <c r="Z98" s="1"/>
      <c r="AA98" s="3"/>
      <c r="AB98" s="3"/>
      <c r="AC98" s="154"/>
      <c r="AD98" s="7"/>
      <c r="AE98" s="3"/>
      <c r="AF98" s="3"/>
      <c r="AG98" s="103"/>
      <c r="AH98" s="4"/>
      <c r="AI98" s="3"/>
      <c r="AJ98" s="3"/>
      <c r="AK98" s="103"/>
      <c r="AL98" s="6"/>
      <c r="AM98" s="3"/>
      <c r="AN98" s="3"/>
      <c r="AO98" s="3"/>
      <c r="AP98" s="3"/>
      <c r="AQ98" s="103"/>
    </row>
    <row r="99" spans="6:43">
      <c r="F99" s="45"/>
      <c r="H99" s="45"/>
      <c r="I99" s="45"/>
      <c r="J99" s="47"/>
      <c r="K99" s="47"/>
      <c r="L99" s="45"/>
      <c r="M99" s="45"/>
      <c r="N99" s="45"/>
      <c r="O99" s="45"/>
      <c r="P99" s="45"/>
      <c r="Q99" s="45"/>
      <c r="R99" s="45"/>
      <c r="T99" s="41">
        <f t="shared" ref="T99:T104" si="6">A43</f>
        <v>20</v>
      </c>
      <c r="V99" s="133" t="s">
        <v>430</v>
      </c>
      <c r="Y99" s="3"/>
      <c r="Z99" s="1"/>
      <c r="AA99" s="3"/>
      <c r="AB99" s="3"/>
      <c r="AC99" s="154"/>
      <c r="AD99" s="7"/>
      <c r="AE99" s="3"/>
      <c r="AF99" s="3"/>
      <c r="AG99" s="103"/>
      <c r="AH99" s="4"/>
      <c r="AI99" s="3"/>
      <c r="AJ99" s="3"/>
      <c r="AK99" s="103"/>
      <c r="AL99" s="6"/>
      <c r="AM99" s="3"/>
      <c r="AN99" s="3"/>
      <c r="AO99" s="3"/>
      <c r="AP99" s="3"/>
      <c r="AQ99" s="103"/>
    </row>
    <row r="100" spans="6:43">
      <c r="F100" s="45"/>
      <c r="H100" s="45"/>
      <c r="I100" s="45"/>
      <c r="J100" s="47"/>
      <c r="K100" s="47"/>
      <c r="L100" s="45"/>
      <c r="M100" s="45"/>
      <c r="N100" s="45"/>
      <c r="O100" s="45"/>
      <c r="P100" s="45"/>
      <c r="Q100" s="45"/>
      <c r="R100" s="45"/>
      <c r="T100" s="41">
        <f t="shared" si="6"/>
        <v>21</v>
      </c>
      <c r="V100" s="128" t="str">
        <f>C44</f>
        <v>DEMAND SIDE MANAGEMENT RIDER (DSMR)</v>
      </c>
      <c r="Y100" s="3"/>
      <c r="Z100" s="1"/>
      <c r="AA100" s="3"/>
      <c r="AB100" s="3"/>
      <c r="AC100" s="327">
        <f>DSM_DIST</f>
        <v>3.503E-3</v>
      </c>
      <c r="AD100" s="7"/>
      <c r="AE100" s="3">
        <f>ROUND($AA$96*AC100,0)</f>
        <v>3843992</v>
      </c>
      <c r="AF100" s="3"/>
      <c r="AG100" s="103">
        <f>ROUND((AE100/AE$106)*100,1)</f>
        <v>2.9</v>
      </c>
      <c r="AH100" s="4"/>
      <c r="AI100" s="3">
        <f>L44-AE100</f>
        <v>0</v>
      </c>
      <c r="AJ100" s="3"/>
      <c r="AK100" s="103">
        <f>IFERROR(ROUND((AI100/AE100)*100,1),0)</f>
        <v>0</v>
      </c>
      <c r="AL100" s="6"/>
      <c r="AM100" s="3"/>
      <c r="AN100" s="3"/>
      <c r="AO100" s="3">
        <f>AE100+AM100</f>
        <v>3843992</v>
      </c>
      <c r="AP100" s="3"/>
      <c r="AQ100" s="113">
        <f t="shared" si="5"/>
        <v>0</v>
      </c>
    </row>
    <row r="101" spans="6:43">
      <c r="F101" s="45"/>
      <c r="H101" s="45"/>
      <c r="I101" s="45"/>
      <c r="J101" s="47"/>
      <c r="K101" s="47"/>
      <c r="L101" s="45"/>
      <c r="M101" s="45"/>
      <c r="N101" s="45"/>
      <c r="O101" s="45"/>
      <c r="P101" s="45"/>
      <c r="Q101" s="45"/>
      <c r="R101" s="45"/>
      <c r="T101" s="41">
        <f t="shared" si="6"/>
        <v>22</v>
      </c>
      <c r="V101" s="128" t="str">
        <f>C45</f>
        <v>ENVIRONMENTAL SURCHARGE MECHANISM RIDER (ESM)</v>
      </c>
      <c r="Y101" s="3"/>
      <c r="Z101" s="1"/>
      <c r="AA101" s="3"/>
      <c r="AB101" s="3"/>
      <c r="AC101" s="332">
        <f>CUR_ESM_NonRes</f>
        <v>6.4941608437496566E-3</v>
      </c>
      <c r="AD101" s="7"/>
      <c r="AE101" s="3">
        <f>ROUND((AO97-(CUR_BASE_FUEL*AA97)+AO100+AO103)*AC101,0)</f>
        <v>614411</v>
      </c>
      <c r="AF101" s="3"/>
      <c r="AG101" s="103">
        <f>ROUND((AE101/AE$106)*100,1)</f>
        <v>0.5</v>
      </c>
      <c r="AH101" s="4"/>
      <c r="AI101" s="3">
        <f>L45-AE101</f>
        <v>6843</v>
      </c>
      <c r="AJ101" s="3"/>
      <c r="AK101" s="103">
        <f>IFERROR(ROUND((AI101/AE101)*100,1),0)</f>
        <v>1.1000000000000001</v>
      </c>
      <c r="AL101" s="6"/>
      <c r="AM101" s="3"/>
      <c r="AN101" s="3"/>
      <c r="AO101" s="3">
        <f>AE101+AM101</f>
        <v>614411</v>
      </c>
      <c r="AP101" s="3"/>
      <c r="AQ101" s="113">
        <f>IF(AO101=0,"0.0 ",ROUND((AI101/AO101)*100,1))</f>
        <v>1.1000000000000001</v>
      </c>
    </row>
    <row r="102" spans="6:43">
      <c r="F102" s="45"/>
      <c r="H102" s="45"/>
      <c r="I102" s="45"/>
      <c r="J102" s="47"/>
      <c r="K102" s="47"/>
      <c r="L102" s="45"/>
      <c r="M102" s="45"/>
      <c r="N102" s="45"/>
      <c r="O102" s="45"/>
      <c r="P102" s="45"/>
      <c r="Q102" s="45"/>
      <c r="R102" s="45"/>
      <c r="T102" s="41">
        <f t="shared" si="6"/>
        <v>23</v>
      </c>
      <c r="V102" s="128" t="str">
        <f>C46</f>
        <v>FUEL ADJUSTMENT CLAUSE (FAC)</v>
      </c>
      <c r="Y102" s="3"/>
      <c r="Z102" s="1"/>
      <c r="AA102" s="3"/>
      <c r="AB102" s="3"/>
      <c r="AC102" s="327">
        <f>CUR_FAC</f>
        <v>3.4872127999999998E-3</v>
      </c>
      <c r="AD102" s="7"/>
      <c r="AE102" s="3"/>
      <c r="AF102" s="3"/>
      <c r="AG102" s="103"/>
      <c r="AH102" s="4"/>
      <c r="AI102" s="3"/>
      <c r="AJ102" s="3"/>
      <c r="AK102" s="103"/>
      <c r="AL102" s="6"/>
      <c r="AM102" s="3">
        <f>ROUND(AA96*CUR_FAC,0)</f>
        <v>3826668</v>
      </c>
      <c r="AN102" s="3"/>
      <c r="AO102" s="3">
        <f>AE102+AM102</f>
        <v>3826668</v>
      </c>
      <c r="AP102" s="3"/>
      <c r="AQ102" s="113">
        <f>IF(AO102=0,"0.0 ",ROUND(((R46-AO102)/AO102)*100,1))</f>
        <v>0</v>
      </c>
    </row>
    <row r="103" spans="6:43">
      <c r="F103" s="45"/>
      <c r="H103" s="45"/>
      <c r="I103" s="45"/>
      <c r="J103" s="47"/>
      <c r="K103" s="47"/>
      <c r="L103" s="45"/>
      <c r="M103" s="45"/>
      <c r="N103" s="45"/>
      <c r="O103" s="45"/>
      <c r="P103" s="45"/>
      <c r="Q103" s="45"/>
      <c r="R103" s="45"/>
      <c r="T103" s="41">
        <f t="shared" si="6"/>
        <v>24</v>
      </c>
      <c r="V103" s="128" t="str">
        <f>C47</f>
        <v>PROFIT SHARING MECHANISM (PSM)</v>
      </c>
      <c r="Y103" s="3"/>
      <c r="Z103" s="1"/>
      <c r="AA103" s="3"/>
      <c r="AB103" s="3"/>
      <c r="AC103" s="327">
        <f>RS_PSM</f>
        <v>2.4750000000000002E-3</v>
      </c>
      <c r="AD103" s="7"/>
      <c r="AE103" s="66">
        <f>ROUND(AA96*AC103,0)</f>
        <v>2715924</v>
      </c>
      <c r="AF103" s="3"/>
      <c r="AG103" s="104">
        <f>ROUND((AE103/AE$106)*100,1)</f>
        <v>2.1</v>
      </c>
      <c r="AH103" s="4"/>
      <c r="AI103" s="66">
        <f>L47-AE103</f>
        <v>0</v>
      </c>
      <c r="AJ103" s="3"/>
      <c r="AK103" s="103">
        <f>IFERROR(ROUND((AI103/AE103)*100,1),0)</f>
        <v>0</v>
      </c>
      <c r="AL103" s="6"/>
      <c r="AM103" s="66"/>
      <c r="AN103" s="3"/>
      <c r="AO103" s="66">
        <f>AE103+AM103</f>
        <v>2715924</v>
      </c>
      <c r="AP103" s="3"/>
      <c r="AQ103" s="112">
        <f t="shared" si="5"/>
        <v>0</v>
      </c>
    </row>
    <row r="104" spans="6:43" ht="20.100000000000001" customHeight="1">
      <c r="F104" s="45"/>
      <c r="H104" s="45"/>
      <c r="I104" s="45"/>
      <c r="J104" s="47"/>
      <c r="K104" s="47"/>
      <c r="L104" s="45"/>
      <c r="M104" s="45"/>
      <c r="N104" s="45"/>
      <c r="O104" s="45"/>
      <c r="P104" s="45"/>
      <c r="Q104" s="45"/>
      <c r="R104" s="45"/>
      <c r="T104" s="41">
        <f t="shared" si="6"/>
        <v>25</v>
      </c>
      <c r="V104" s="133" t="s">
        <v>435</v>
      </c>
      <c r="Y104" s="66"/>
      <c r="Z104" s="1"/>
      <c r="AA104" s="66"/>
      <c r="AB104" s="3"/>
      <c r="AC104" s="7"/>
      <c r="AD104" s="7"/>
      <c r="AE104" s="72">
        <f>SUM(AE100:AE103)</f>
        <v>7174327</v>
      </c>
      <c r="AF104" s="3"/>
      <c r="AG104" s="105">
        <f>ROUND((AE104/AE$106)*100,1)</f>
        <v>5.4</v>
      </c>
      <c r="AH104" s="4"/>
      <c r="AI104" s="72">
        <f>SUM(AI100:AI103)</f>
        <v>6843</v>
      </c>
      <c r="AJ104" s="3"/>
      <c r="AK104" s="105">
        <v>0</v>
      </c>
      <c r="AL104" s="6"/>
      <c r="AM104" s="72">
        <f>AM102</f>
        <v>3826668</v>
      </c>
      <c r="AN104" s="3"/>
      <c r="AO104" s="72">
        <f>SUM(AO100:AO103)</f>
        <v>11000995</v>
      </c>
      <c r="AP104" s="3"/>
      <c r="AQ104" s="114">
        <f t="shared" si="5"/>
        <v>0.1</v>
      </c>
    </row>
    <row r="105" spans="6:43">
      <c r="F105" s="45"/>
      <c r="H105" s="45"/>
      <c r="I105" s="45"/>
      <c r="J105" s="47"/>
      <c r="K105" s="47"/>
      <c r="L105" s="45"/>
      <c r="M105" s="45"/>
      <c r="N105" s="45"/>
      <c r="O105" s="45"/>
      <c r="P105" s="45"/>
      <c r="Q105" s="45"/>
      <c r="R105" s="45"/>
      <c r="V105" s="42"/>
      <c r="Y105" s="3"/>
      <c r="Z105" s="1"/>
      <c r="AA105" s="3"/>
      <c r="AB105" s="3"/>
      <c r="AC105" s="7"/>
      <c r="AD105" s="7"/>
      <c r="AE105" s="3"/>
      <c r="AF105" s="3"/>
      <c r="AG105" s="103"/>
      <c r="AH105" s="4"/>
      <c r="AI105" s="3"/>
      <c r="AJ105" s="3"/>
      <c r="AK105" s="103"/>
      <c r="AL105" s="6"/>
      <c r="AM105" s="3"/>
      <c r="AN105" s="3"/>
      <c r="AO105" s="3"/>
      <c r="AP105" s="3"/>
      <c r="AQ105" s="103"/>
    </row>
    <row r="106" spans="6:43" ht="20.100000000000001" customHeight="1" thickBot="1">
      <c r="T106" s="41">
        <f>A50</f>
        <v>26</v>
      </c>
      <c r="V106" s="310" t="s">
        <v>438</v>
      </c>
      <c r="Y106" s="67">
        <f>F50</f>
        <v>155005</v>
      </c>
      <c r="Z106" s="1"/>
      <c r="AA106" s="67">
        <f>H50</f>
        <v>1097342923</v>
      </c>
      <c r="AB106" s="3"/>
      <c r="AC106" s="7"/>
      <c r="AD106" s="7"/>
      <c r="AE106" s="67">
        <f>AE97+AE104</f>
        <v>132292480</v>
      </c>
      <c r="AF106" s="3"/>
      <c r="AG106" s="106">
        <v>100</v>
      </c>
      <c r="AH106" s="4"/>
      <c r="AI106" s="67">
        <f>AI97+AI104</f>
        <v>19167181</v>
      </c>
      <c r="AJ106" s="3"/>
      <c r="AK106" s="106">
        <f>ROUND((AI106/AE106)*100,1)</f>
        <v>14.5</v>
      </c>
      <c r="AL106" s="6"/>
      <c r="AM106" s="67">
        <f>AM97+AM104</f>
        <v>3826668</v>
      </c>
      <c r="AN106" s="3"/>
      <c r="AO106" s="67">
        <f>AO97+AO104</f>
        <v>136119148</v>
      </c>
      <c r="AP106" s="3"/>
      <c r="AQ106" s="115">
        <f>IF(AO106=0,"0.0 ",ROUND((AI106/AO106)*100,1))</f>
        <v>14.1</v>
      </c>
    </row>
    <row r="107" spans="6:43" ht="15.75" customHeight="1" thickTop="1">
      <c r="Y107" s="3"/>
      <c r="Z107" s="1"/>
      <c r="AA107" s="3"/>
      <c r="AB107" s="3"/>
      <c r="AC107" s="7"/>
      <c r="AD107" s="7"/>
      <c r="AE107" s="3"/>
      <c r="AF107" s="3"/>
      <c r="AG107" s="103"/>
      <c r="AH107" s="3"/>
      <c r="AI107" s="1"/>
      <c r="AJ107" s="1"/>
      <c r="AK107" s="103"/>
      <c r="AL107" s="1"/>
      <c r="AM107" s="1"/>
      <c r="AN107" s="1"/>
      <c r="AO107" s="1"/>
      <c r="AP107" s="1"/>
      <c r="AQ107" s="103"/>
    </row>
    <row r="108" spans="6:43">
      <c r="L108" s="45"/>
      <c r="M108" s="45"/>
      <c r="N108" s="45"/>
      <c r="O108" s="45"/>
      <c r="P108" s="45"/>
      <c r="Q108" s="45"/>
      <c r="R108" s="45"/>
      <c r="V108" s="140" t="s">
        <v>59</v>
      </c>
      <c r="Y108" s="45"/>
      <c r="AA108" s="45"/>
      <c r="AB108" s="45"/>
      <c r="AC108" s="47"/>
      <c r="AD108" s="47"/>
      <c r="AE108" s="45"/>
      <c r="AF108" s="45"/>
      <c r="AH108" s="45"/>
      <c r="AQ108" s="768">
        <f>AI106/AO106</f>
        <v>0.14081179085840295</v>
      </c>
    </row>
    <row r="109" spans="6:43">
      <c r="T109" s="42"/>
      <c r="V109" s="140" t="str">
        <f>"(2) REFLECTS FUEL COMPONENT OF "&amp;TEXT(CUR_FAC,"$0.000000;($0.000000)")&amp;"  PER KWH."</f>
        <v>(2) REFLECTS FUEL COMPONENT OF $0.003487  PER KWH.</v>
      </c>
      <c r="Y109" s="45"/>
      <c r="AA109" s="45"/>
      <c r="AB109" s="45"/>
      <c r="AC109" s="47"/>
      <c r="AD109" s="47"/>
      <c r="AE109" s="45"/>
      <c r="AF109" s="45"/>
      <c r="AH109" s="45"/>
    </row>
    <row r="110" spans="6:43">
      <c r="V110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11" spans="6:43">
      <c r="H111" s="42"/>
      <c r="I111" s="42"/>
      <c r="Y111" s="42"/>
    </row>
    <row r="113" spans="1:40">
      <c r="L113" s="42"/>
      <c r="M113" s="42"/>
      <c r="AA113" s="42"/>
      <c r="AB113" s="42"/>
    </row>
    <row r="114" spans="1:40">
      <c r="R114" s="42"/>
      <c r="AK114" s="110"/>
      <c r="AL114" s="42"/>
    </row>
    <row r="115" spans="1:40">
      <c r="R115" s="42"/>
      <c r="AK115" s="110"/>
      <c r="AL115" s="42"/>
    </row>
    <row r="116" spans="1:40">
      <c r="A116" s="42"/>
      <c r="R116" s="42"/>
      <c r="AK116" s="110"/>
      <c r="AL116" s="42"/>
    </row>
    <row r="117" spans="1:40">
      <c r="L117" s="42"/>
      <c r="M117" s="42"/>
      <c r="AA117" s="42"/>
      <c r="AB117" s="42"/>
    </row>
    <row r="118" spans="1:40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107"/>
      <c r="AH118" s="49"/>
      <c r="AI118" s="49"/>
      <c r="AJ118" s="49"/>
      <c r="AK118" s="107"/>
      <c r="AL118" s="49"/>
      <c r="AM118" s="49"/>
      <c r="AN118" s="49"/>
    </row>
    <row r="119" spans="1:40">
      <c r="L119" s="44"/>
      <c r="M119" s="44"/>
      <c r="N119" s="44"/>
      <c r="O119" s="44"/>
      <c r="R119" s="44"/>
      <c r="AA119" s="44"/>
      <c r="AB119" s="44"/>
      <c r="AC119" s="44"/>
      <c r="AD119" s="44"/>
      <c r="AE119" s="44"/>
      <c r="AF119" s="44"/>
      <c r="AG119" s="102"/>
      <c r="AH119" s="44"/>
      <c r="AK119" s="102"/>
      <c r="AL119" s="44"/>
      <c r="AM119" s="44"/>
      <c r="AN119" s="44"/>
    </row>
    <row r="120" spans="1:40">
      <c r="L120" s="44"/>
      <c r="M120" s="44"/>
      <c r="N120" s="44"/>
      <c r="O120" s="44"/>
      <c r="R120" s="44"/>
      <c r="Z120" s="44"/>
      <c r="AA120" s="44"/>
      <c r="AB120" s="44"/>
      <c r="AC120" s="44"/>
      <c r="AD120" s="44"/>
      <c r="AE120" s="44"/>
      <c r="AF120" s="44"/>
      <c r="AG120" s="102"/>
      <c r="AH120" s="44"/>
      <c r="AK120" s="102"/>
      <c r="AL120" s="44"/>
      <c r="AM120" s="44"/>
      <c r="AN120" s="44"/>
    </row>
    <row r="121" spans="1:40">
      <c r="A121" s="44"/>
      <c r="C121" s="44"/>
      <c r="D121" s="44"/>
      <c r="E121" s="44"/>
      <c r="F121" s="44"/>
      <c r="J121" s="44"/>
      <c r="K121" s="44"/>
      <c r="L121" s="44"/>
      <c r="M121" s="44"/>
      <c r="N121" s="44"/>
      <c r="O121" s="44"/>
      <c r="P121" s="44"/>
      <c r="Q121" s="44"/>
      <c r="R121" s="44"/>
      <c r="T121" s="44"/>
      <c r="U121" s="44"/>
      <c r="V121" s="44"/>
      <c r="Z121" s="44"/>
      <c r="AA121" s="44"/>
      <c r="AB121" s="44"/>
      <c r="AC121" s="44"/>
      <c r="AD121" s="44"/>
      <c r="AE121" s="44"/>
      <c r="AF121" s="44"/>
      <c r="AG121" s="102"/>
      <c r="AH121" s="44"/>
      <c r="AI121" s="44"/>
      <c r="AJ121" s="44"/>
      <c r="AK121" s="102"/>
      <c r="AL121" s="44"/>
      <c r="AM121" s="44"/>
      <c r="AN121" s="44"/>
    </row>
    <row r="122" spans="1:40">
      <c r="A122" s="44"/>
      <c r="C122" s="44"/>
      <c r="D122" s="44"/>
      <c r="E122" s="44"/>
      <c r="F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T122" s="44"/>
      <c r="U122" s="44"/>
      <c r="V122" s="44"/>
      <c r="Y122" s="44"/>
      <c r="Z122" s="44"/>
      <c r="AA122" s="44"/>
      <c r="AB122" s="44"/>
      <c r="AC122" s="44"/>
      <c r="AD122" s="44"/>
      <c r="AE122" s="44"/>
      <c r="AF122" s="44"/>
      <c r="AG122" s="102"/>
      <c r="AH122" s="44"/>
      <c r="AI122" s="44"/>
      <c r="AJ122" s="44"/>
      <c r="AK122" s="102"/>
      <c r="AL122" s="44"/>
      <c r="AM122" s="44"/>
      <c r="AN122" s="44"/>
    </row>
    <row r="123" spans="1:40">
      <c r="C123" s="44"/>
      <c r="D123" s="44"/>
      <c r="E123" s="44"/>
      <c r="F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T123" s="44"/>
      <c r="U123" s="44"/>
      <c r="V123" s="44"/>
      <c r="Y123" s="44"/>
      <c r="Z123" s="44"/>
      <c r="AA123" s="44"/>
      <c r="AB123" s="44"/>
      <c r="AC123" s="44"/>
      <c r="AD123" s="44"/>
      <c r="AE123" s="44"/>
      <c r="AF123" s="44"/>
      <c r="AG123" s="102"/>
      <c r="AH123" s="44"/>
      <c r="AI123" s="44"/>
      <c r="AJ123" s="44"/>
      <c r="AK123" s="102"/>
      <c r="AL123" s="44"/>
      <c r="AM123" s="44"/>
      <c r="AN123" s="44"/>
    </row>
    <row r="124" spans="1:40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107"/>
      <c r="AH124" s="49"/>
      <c r="AI124" s="49"/>
      <c r="AJ124" s="49"/>
      <c r="AK124" s="107"/>
      <c r="AL124" s="49"/>
      <c r="AM124" s="49"/>
      <c r="AN124" s="49"/>
    </row>
    <row r="125" spans="1:40"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Y125" s="44"/>
      <c r="Z125" s="44"/>
      <c r="AA125" s="44"/>
      <c r="AB125" s="44"/>
      <c r="AC125" s="44"/>
      <c r="AD125" s="44"/>
      <c r="AE125" s="44"/>
      <c r="AF125" s="44"/>
      <c r="AG125" s="102"/>
      <c r="AH125" s="44"/>
      <c r="AI125" s="44"/>
      <c r="AJ125" s="44"/>
      <c r="AK125" s="102"/>
      <c r="AL125" s="44"/>
      <c r="AM125" s="44"/>
      <c r="AN125" s="44"/>
    </row>
    <row r="126" spans="1:40">
      <c r="C126" s="42"/>
      <c r="D126" s="42"/>
      <c r="E126" s="42"/>
      <c r="T126" s="42"/>
      <c r="U126" s="42"/>
    </row>
    <row r="127" spans="1:40">
      <c r="C127" s="42"/>
      <c r="T127" s="42"/>
    </row>
    <row r="129" spans="3:40">
      <c r="C129" s="42"/>
      <c r="T129" s="42"/>
    </row>
    <row r="130" spans="3:40">
      <c r="C130" s="42"/>
      <c r="F130" s="164"/>
      <c r="H130" s="164"/>
      <c r="I130" s="164"/>
      <c r="J130" s="316"/>
      <c r="K130" s="316"/>
      <c r="L130" s="45"/>
      <c r="M130" s="45"/>
      <c r="N130" s="46"/>
      <c r="O130" s="46"/>
      <c r="R130" s="45"/>
      <c r="T130" s="42"/>
      <c r="V130" s="45"/>
      <c r="Y130" s="164"/>
      <c r="Z130" s="316"/>
      <c r="AA130" s="45"/>
      <c r="AB130" s="45"/>
      <c r="AC130" s="46"/>
      <c r="AD130" s="46"/>
      <c r="AE130" s="45"/>
      <c r="AF130" s="45"/>
      <c r="AG130" s="333"/>
      <c r="AH130" s="334"/>
      <c r="AL130" s="45"/>
      <c r="AM130" s="335"/>
      <c r="AN130" s="335"/>
    </row>
    <row r="131" spans="3:40">
      <c r="C131" s="42"/>
      <c r="F131" s="164"/>
      <c r="H131" s="164"/>
      <c r="I131" s="164"/>
      <c r="J131" s="316"/>
      <c r="K131" s="316"/>
      <c r="L131" s="45"/>
      <c r="M131" s="45"/>
      <c r="N131" s="46"/>
      <c r="O131" s="46"/>
      <c r="R131" s="45"/>
      <c r="T131" s="42"/>
      <c r="V131" s="45"/>
      <c r="Y131" s="164"/>
      <c r="Z131" s="316"/>
      <c r="AA131" s="45"/>
      <c r="AB131" s="45"/>
      <c r="AC131" s="46"/>
      <c r="AD131" s="46"/>
      <c r="AE131" s="45"/>
      <c r="AF131" s="45"/>
      <c r="AH131" s="51"/>
      <c r="AL131" s="45"/>
      <c r="AM131" s="46"/>
      <c r="AN131" s="46"/>
    </row>
    <row r="132" spans="3:40">
      <c r="C132" s="42"/>
      <c r="F132" s="164"/>
      <c r="H132" s="164"/>
      <c r="I132" s="164"/>
      <c r="J132" s="316"/>
      <c r="K132" s="316"/>
      <c r="L132" s="45"/>
      <c r="M132" s="45"/>
      <c r="N132" s="46"/>
      <c r="O132" s="46"/>
      <c r="R132" s="45"/>
      <c r="T132" s="42"/>
      <c r="V132" s="45"/>
      <c r="Y132" s="164"/>
      <c r="Z132" s="316"/>
      <c r="AA132" s="45"/>
      <c r="AB132" s="45"/>
      <c r="AC132" s="46"/>
      <c r="AD132" s="46"/>
      <c r="AE132" s="45"/>
      <c r="AF132" s="45"/>
      <c r="AH132" s="51"/>
      <c r="AL132" s="45"/>
      <c r="AM132" s="46"/>
      <c r="AN132" s="46"/>
    </row>
    <row r="133" spans="3:40">
      <c r="F133" s="50"/>
      <c r="H133" s="45"/>
      <c r="I133" s="45"/>
      <c r="J133" s="326"/>
      <c r="K133" s="326"/>
      <c r="L133" s="50"/>
      <c r="M133" s="50"/>
      <c r="N133" s="50"/>
      <c r="O133" s="50"/>
      <c r="P133" s="50"/>
      <c r="Q133" s="50"/>
      <c r="R133" s="50"/>
      <c r="V133" s="50"/>
      <c r="Y133" s="45"/>
      <c r="Z133" s="326"/>
      <c r="AA133" s="50"/>
      <c r="AB133" s="50"/>
      <c r="AC133" s="50"/>
      <c r="AD133" s="50"/>
      <c r="AE133" s="50"/>
      <c r="AF133" s="50"/>
      <c r="AI133" s="50"/>
      <c r="AJ133" s="50"/>
      <c r="AK133" s="111"/>
      <c r="AL133" s="50"/>
      <c r="AM133" s="46"/>
      <c r="AN133" s="46"/>
    </row>
    <row r="134" spans="3:40">
      <c r="C134" s="42"/>
      <c r="F134" s="45"/>
      <c r="H134" s="45"/>
      <c r="I134" s="45"/>
      <c r="J134" s="326"/>
      <c r="K134" s="326"/>
      <c r="L134" s="45"/>
      <c r="M134" s="45"/>
      <c r="N134" s="46"/>
      <c r="O134" s="46"/>
      <c r="P134" s="45"/>
      <c r="Q134" s="45"/>
      <c r="R134" s="45"/>
      <c r="T134" s="42"/>
      <c r="V134" s="45"/>
      <c r="Y134" s="45"/>
      <c r="Z134" s="47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>
      <c r="F135" s="50"/>
      <c r="H135" s="45"/>
      <c r="I135" s="45"/>
      <c r="J135" s="326"/>
      <c r="K135" s="326"/>
      <c r="L135" s="50"/>
      <c r="M135" s="50"/>
      <c r="N135" s="50"/>
      <c r="O135" s="50"/>
      <c r="P135" s="50"/>
      <c r="Q135" s="50"/>
      <c r="R135" s="50"/>
      <c r="V135" s="50"/>
      <c r="Y135" s="45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>
      <c r="C136" s="42"/>
      <c r="F136" s="164"/>
      <c r="H136" s="164"/>
      <c r="I136" s="164"/>
      <c r="J136" s="336"/>
      <c r="K136" s="336"/>
      <c r="L136" s="45"/>
      <c r="M136" s="45"/>
      <c r="N136" s="46"/>
      <c r="O136" s="46"/>
      <c r="P136" s="45"/>
      <c r="Q136" s="45"/>
      <c r="R136" s="45"/>
      <c r="S136" s="45"/>
      <c r="T136" s="42"/>
      <c r="V136" s="164"/>
      <c r="Y136" s="164"/>
      <c r="Z136" s="336"/>
      <c r="AA136" s="45"/>
      <c r="AB136" s="45"/>
      <c r="AC136" s="46"/>
      <c r="AD136" s="46"/>
      <c r="AE136" s="45"/>
      <c r="AF136" s="45"/>
      <c r="AH136" s="46"/>
      <c r="AI136" s="45"/>
      <c r="AJ136" s="45"/>
      <c r="AL136" s="45"/>
      <c r="AM136" s="46"/>
      <c r="AN136" s="46"/>
    </row>
    <row r="137" spans="3:40">
      <c r="C137" s="42"/>
      <c r="F137" s="164"/>
      <c r="H137" s="164"/>
      <c r="I137" s="164"/>
      <c r="J137" s="316"/>
      <c r="K137" s="316"/>
      <c r="L137" s="45"/>
      <c r="M137" s="45"/>
      <c r="N137" s="46"/>
      <c r="O137" s="46"/>
      <c r="P137" s="45"/>
      <c r="Q137" s="45"/>
      <c r="R137" s="45"/>
      <c r="T137" s="42"/>
      <c r="V137" s="164"/>
      <c r="Y137" s="45"/>
      <c r="Z137" s="316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3:40">
      <c r="C138" s="42"/>
      <c r="F138" s="164"/>
      <c r="H138" s="164"/>
      <c r="I138" s="164"/>
      <c r="J138" s="316"/>
      <c r="K138" s="316"/>
      <c r="L138" s="45"/>
      <c r="M138" s="45"/>
      <c r="N138" s="46"/>
      <c r="O138" s="46"/>
      <c r="P138" s="45"/>
      <c r="Q138" s="45"/>
      <c r="R138" s="45"/>
      <c r="T138" s="42"/>
      <c r="V138" s="164"/>
      <c r="Y138" s="45"/>
      <c r="Z138" s="316"/>
      <c r="AA138" s="45"/>
      <c r="AB138" s="45"/>
      <c r="AC138" s="46"/>
      <c r="AD138" s="46"/>
      <c r="AE138" s="45"/>
      <c r="AF138" s="45"/>
      <c r="AH138" s="51"/>
      <c r="AI138" s="45"/>
      <c r="AJ138" s="45"/>
      <c r="AL138" s="45"/>
      <c r="AM138" s="46"/>
      <c r="AN138" s="46"/>
    </row>
    <row r="139" spans="3:40">
      <c r="F139" s="45"/>
      <c r="H139" s="50"/>
      <c r="I139" s="50"/>
      <c r="J139" s="326"/>
      <c r="K139" s="326"/>
      <c r="L139" s="50"/>
      <c r="M139" s="50"/>
      <c r="N139" s="50"/>
      <c r="O139" s="50"/>
      <c r="P139" s="50"/>
      <c r="Q139" s="50"/>
      <c r="R139" s="50"/>
      <c r="V139" s="45"/>
      <c r="Y139" s="50"/>
      <c r="Z139" s="326"/>
      <c r="AA139" s="50"/>
      <c r="AB139" s="50"/>
      <c r="AC139" s="50"/>
      <c r="AD139" s="50"/>
      <c r="AE139" s="50"/>
      <c r="AF139" s="50"/>
      <c r="AI139" s="50"/>
      <c r="AJ139" s="50"/>
      <c r="AK139" s="111"/>
      <c r="AL139" s="50"/>
      <c r="AM139" s="46"/>
      <c r="AN139" s="46"/>
    </row>
    <row r="140" spans="3:40">
      <c r="C140" s="42"/>
      <c r="F140" s="45"/>
      <c r="H140" s="45"/>
      <c r="I140" s="45"/>
      <c r="J140" s="326"/>
      <c r="K140" s="326"/>
      <c r="L140" s="45"/>
      <c r="M140" s="45"/>
      <c r="N140" s="46"/>
      <c r="O140" s="46"/>
      <c r="P140" s="45"/>
      <c r="Q140" s="45"/>
      <c r="R140" s="45"/>
      <c r="T140" s="42"/>
      <c r="V140" s="45"/>
      <c r="Y140" s="45"/>
      <c r="Z140" s="326"/>
      <c r="AA140" s="45"/>
      <c r="AB140" s="45"/>
      <c r="AC140" s="46"/>
      <c r="AD140" s="46"/>
      <c r="AE140" s="45"/>
      <c r="AF140" s="45"/>
      <c r="AH140" s="51"/>
      <c r="AI140" s="45"/>
      <c r="AJ140" s="45"/>
      <c r="AL140" s="45"/>
      <c r="AM140" s="46"/>
      <c r="AN140" s="46"/>
    </row>
    <row r="141" spans="3:40">
      <c r="F141" s="45"/>
      <c r="H141" s="50"/>
      <c r="I141" s="50"/>
      <c r="J141" s="326"/>
      <c r="K141" s="326"/>
      <c r="L141" s="50"/>
      <c r="M141" s="50"/>
      <c r="N141" s="50"/>
      <c r="O141" s="50"/>
      <c r="P141" s="50"/>
      <c r="Q141" s="50"/>
      <c r="R141" s="50"/>
      <c r="V141" s="45"/>
      <c r="Y141" s="50"/>
      <c r="Z141" s="326"/>
      <c r="AA141" s="50"/>
      <c r="AB141" s="50"/>
      <c r="AC141" s="50"/>
      <c r="AD141" s="50"/>
      <c r="AE141" s="50"/>
      <c r="AF141" s="50"/>
      <c r="AI141" s="50"/>
      <c r="AJ141" s="50"/>
      <c r="AK141" s="111"/>
      <c r="AL141" s="50"/>
      <c r="AM141" s="46"/>
      <c r="AN141" s="46"/>
    </row>
    <row r="142" spans="3:40">
      <c r="C142" s="42"/>
      <c r="F142" s="45"/>
      <c r="H142" s="45"/>
      <c r="I142" s="45"/>
      <c r="J142" s="326"/>
      <c r="K142" s="326"/>
      <c r="L142" s="45"/>
      <c r="M142" s="45"/>
      <c r="N142" s="45"/>
      <c r="O142" s="45"/>
      <c r="P142" s="45"/>
      <c r="Q142" s="45"/>
      <c r="R142" s="45"/>
      <c r="T142" s="42"/>
      <c r="V142" s="45"/>
      <c r="Y142" s="45"/>
      <c r="Z142" s="326"/>
      <c r="AA142" s="45"/>
      <c r="AB142" s="45"/>
      <c r="AC142" s="45"/>
      <c r="AD142" s="45"/>
      <c r="AE142" s="45"/>
      <c r="AF142" s="45"/>
      <c r="AH142" s="51"/>
      <c r="AI142" s="45"/>
      <c r="AJ142" s="45"/>
      <c r="AL142" s="45"/>
      <c r="AM142" s="46"/>
      <c r="AN142" s="46"/>
    </row>
    <row r="143" spans="3:40">
      <c r="C143" s="42"/>
      <c r="F143" s="45"/>
      <c r="H143" s="164"/>
      <c r="I143" s="164"/>
      <c r="J143" s="132"/>
      <c r="K143" s="132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132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>
      <c r="C144" s="42"/>
      <c r="H144" s="164"/>
      <c r="I144" s="164"/>
      <c r="J144" s="132"/>
      <c r="K144" s="132"/>
      <c r="L144" s="45"/>
      <c r="M144" s="45"/>
      <c r="N144" s="46"/>
      <c r="O144" s="46"/>
      <c r="P144" s="45"/>
      <c r="Q144" s="45"/>
      <c r="R144" s="45"/>
      <c r="T144" s="42"/>
      <c r="Y144" s="45"/>
      <c r="Z144" s="132"/>
      <c r="AA144" s="45"/>
      <c r="AB144" s="45"/>
      <c r="AC144" s="46"/>
      <c r="AD144" s="46"/>
      <c r="AE144" s="45"/>
      <c r="AF144" s="45"/>
      <c r="AH144" s="51"/>
      <c r="AI144" s="45"/>
      <c r="AJ144" s="45"/>
      <c r="AL144" s="45"/>
      <c r="AM144" s="46"/>
      <c r="AN144" s="46"/>
    </row>
    <row r="145" spans="3:40">
      <c r="F145" s="45"/>
      <c r="H145" s="45"/>
      <c r="I145" s="45"/>
      <c r="J145" s="326"/>
      <c r="K145" s="326"/>
      <c r="L145" s="50"/>
      <c r="M145" s="50"/>
      <c r="N145" s="50"/>
      <c r="O145" s="50"/>
      <c r="P145" s="50"/>
      <c r="Q145" s="50"/>
      <c r="R145" s="50"/>
      <c r="V145" s="45"/>
      <c r="Y145" s="45"/>
      <c r="Z145" s="326"/>
      <c r="AA145" s="50"/>
      <c r="AB145" s="50"/>
      <c r="AC145" s="50"/>
      <c r="AD145" s="50"/>
      <c r="AE145" s="50"/>
      <c r="AF145" s="50"/>
      <c r="AI145" s="50"/>
      <c r="AJ145" s="50"/>
      <c r="AK145" s="111"/>
      <c r="AL145" s="50"/>
      <c r="AM145" s="46"/>
      <c r="AN145" s="46"/>
    </row>
    <row r="146" spans="3:40">
      <c r="C146" s="42"/>
      <c r="F146" s="45"/>
      <c r="H146" s="45"/>
      <c r="I146" s="45"/>
      <c r="J146" s="47"/>
      <c r="K146" s="47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3:40">
      <c r="F147" s="45"/>
      <c r="H147" s="45"/>
      <c r="I147" s="45"/>
      <c r="J147" s="326"/>
      <c r="K147" s="326"/>
      <c r="L147" s="50"/>
      <c r="M147" s="50"/>
      <c r="N147" s="50"/>
      <c r="O147" s="50"/>
      <c r="P147" s="50"/>
      <c r="Q147" s="50"/>
      <c r="R147" s="50"/>
      <c r="V147" s="45"/>
      <c r="Y147" s="45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6"/>
      <c r="AN147" s="46"/>
    </row>
    <row r="148" spans="3:40">
      <c r="C148" s="42"/>
      <c r="F148" s="45"/>
      <c r="H148" s="45"/>
      <c r="I148" s="45"/>
      <c r="J148" s="47"/>
      <c r="K148" s="47"/>
      <c r="L148" s="45"/>
      <c r="M148" s="45"/>
      <c r="N148" s="46"/>
      <c r="O148" s="46"/>
      <c r="P148" s="45"/>
      <c r="Q148" s="45"/>
      <c r="R148" s="45"/>
      <c r="T148" s="42"/>
      <c r="V148" s="45"/>
      <c r="Y148" s="45"/>
      <c r="Z148" s="47"/>
      <c r="AA148" s="45"/>
      <c r="AB148" s="45"/>
      <c r="AC148" s="46"/>
      <c r="AD148" s="46"/>
      <c r="AE148" s="45"/>
      <c r="AF148" s="45"/>
      <c r="AH148" s="51"/>
      <c r="AI148" s="45"/>
      <c r="AJ148" s="45"/>
      <c r="AL148" s="45"/>
      <c r="AM148" s="46"/>
      <c r="AN148" s="46"/>
    </row>
    <row r="149" spans="3:40">
      <c r="C149" s="42"/>
      <c r="F149" s="45"/>
      <c r="H149" s="164"/>
      <c r="I149" s="164"/>
      <c r="J149" s="331"/>
      <c r="K149" s="331"/>
      <c r="L149" s="45"/>
      <c r="M149" s="45"/>
      <c r="N149" s="46"/>
      <c r="O149" s="46"/>
      <c r="P149" s="45"/>
      <c r="Q149" s="45"/>
      <c r="R149" s="45"/>
      <c r="T149" s="42"/>
      <c r="V149" s="164"/>
      <c r="Y149" s="45"/>
      <c r="Z149" s="331"/>
      <c r="AA149" s="45"/>
      <c r="AB149" s="45"/>
      <c r="AC149" s="46"/>
      <c r="AD149" s="46"/>
      <c r="AE149" s="45"/>
      <c r="AF149" s="45"/>
      <c r="AH149" s="51"/>
      <c r="AI149" s="45"/>
      <c r="AJ149" s="45"/>
      <c r="AL149" s="45"/>
      <c r="AM149" s="46"/>
      <c r="AN149" s="46"/>
    </row>
    <row r="150" spans="3:40">
      <c r="F150" s="50"/>
      <c r="H150" s="50"/>
      <c r="I150" s="50"/>
      <c r="J150" s="326"/>
      <c r="K150" s="326"/>
      <c r="L150" s="50"/>
      <c r="M150" s="50"/>
      <c r="N150" s="50"/>
      <c r="O150" s="50"/>
      <c r="P150" s="50"/>
      <c r="Q150" s="50"/>
      <c r="R150" s="50"/>
      <c r="V150" s="50"/>
      <c r="Y150" s="50"/>
      <c r="Z150" s="326"/>
      <c r="AA150" s="50"/>
      <c r="AB150" s="50"/>
      <c r="AC150" s="50"/>
      <c r="AD150" s="50"/>
      <c r="AE150" s="50"/>
      <c r="AF150" s="50"/>
      <c r="AI150" s="50"/>
      <c r="AJ150" s="50"/>
      <c r="AK150" s="111"/>
      <c r="AL150" s="50"/>
      <c r="AM150" s="46"/>
      <c r="AN150" s="46"/>
    </row>
    <row r="151" spans="3:40">
      <c r="C151" s="42"/>
      <c r="F151" s="45"/>
      <c r="H151" s="45"/>
      <c r="I151" s="45"/>
      <c r="J151" s="326"/>
      <c r="K151" s="326"/>
      <c r="L151" s="45"/>
      <c r="M151" s="45"/>
      <c r="N151" s="46"/>
      <c r="O151" s="46"/>
      <c r="P151" s="45"/>
      <c r="Q151" s="45"/>
      <c r="R151" s="45"/>
      <c r="S151" s="45"/>
      <c r="T151" s="42"/>
      <c r="V151" s="45"/>
      <c r="Y151" s="45"/>
      <c r="Z151" s="326"/>
      <c r="AA151" s="45"/>
      <c r="AB151" s="45"/>
      <c r="AC151" s="46"/>
      <c r="AD151" s="46"/>
      <c r="AE151" s="45"/>
      <c r="AF151" s="45"/>
      <c r="AH151" s="46"/>
      <c r="AI151" s="45"/>
      <c r="AJ151" s="45"/>
      <c r="AL151" s="45"/>
      <c r="AM151" s="46"/>
      <c r="AN151" s="46"/>
    </row>
    <row r="152" spans="3:40">
      <c r="F152" s="50"/>
      <c r="H152" s="50"/>
      <c r="I152" s="50"/>
      <c r="J152" s="326"/>
      <c r="K152" s="326"/>
      <c r="L152" s="50"/>
      <c r="M152" s="50"/>
      <c r="N152" s="50"/>
      <c r="O152" s="50"/>
      <c r="P152" s="50"/>
      <c r="Q152" s="50"/>
      <c r="R152" s="50"/>
      <c r="S152" s="45"/>
      <c r="V152" s="50"/>
      <c r="Y152" s="50"/>
      <c r="Z152" s="326"/>
      <c r="AA152" s="50"/>
      <c r="AB152" s="50"/>
      <c r="AC152" s="50"/>
      <c r="AD152" s="50"/>
      <c r="AE152" s="50"/>
      <c r="AF152" s="50"/>
      <c r="AI152" s="50"/>
      <c r="AJ152" s="50"/>
      <c r="AK152" s="111"/>
      <c r="AL152" s="50"/>
      <c r="AM152" s="46"/>
      <c r="AN152" s="46"/>
    </row>
    <row r="153" spans="3:40">
      <c r="C153" s="42"/>
      <c r="F153" s="164"/>
      <c r="H153" s="337"/>
      <c r="I153" s="337"/>
      <c r="J153" s="326"/>
      <c r="K153" s="326"/>
      <c r="L153" s="45"/>
      <c r="M153" s="45"/>
      <c r="N153" s="46"/>
      <c r="O153" s="46"/>
      <c r="P153" s="45"/>
      <c r="Q153" s="45"/>
      <c r="R153" s="45"/>
      <c r="S153" s="45"/>
      <c r="T153" s="42"/>
      <c r="V153" s="164"/>
      <c r="Y153" s="164"/>
      <c r="Z153" s="326"/>
      <c r="AA153" s="45"/>
      <c r="AB153" s="45"/>
      <c r="AC153" s="46"/>
      <c r="AD153" s="46"/>
      <c r="AE153" s="45"/>
      <c r="AF153" s="45"/>
      <c r="AI153" s="45"/>
      <c r="AJ153" s="45"/>
      <c r="AL153" s="45"/>
      <c r="AM153" s="46"/>
      <c r="AN153" s="46"/>
    </row>
    <row r="155" spans="3:40">
      <c r="C155" s="42"/>
      <c r="T155" s="42"/>
    </row>
    <row r="156" spans="3:40">
      <c r="C156" s="42"/>
      <c r="F156" s="164"/>
      <c r="H156" s="164"/>
      <c r="I156" s="164"/>
      <c r="J156" s="316"/>
      <c r="K156" s="316"/>
      <c r="L156" s="45"/>
      <c r="M156" s="45"/>
      <c r="N156" s="46"/>
      <c r="O156" s="46"/>
      <c r="R156" s="45"/>
      <c r="T156" s="42"/>
      <c r="V156" s="45"/>
      <c r="Y156" s="164"/>
      <c r="Z156" s="316"/>
      <c r="AA156" s="45"/>
      <c r="AB156" s="45"/>
      <c r="AC156" s="46"/>
      <c r="AD156" s="46"/>
      <c r="AE156" s="45"/>
      <c r="AF156" s="45"/>
      <c r="AG156" s="333"/>
      <c r="AH156" s="334"/>
      <c r="AL156" s="45"/>
      <c r="AM156" s="335"/>
      <c r="AN156" s="335"/>
    </row>
    <row r="157" spans="3:40">
      <c r="C157" s="42"/>
      <c r="F157" s="164"/>
      <c r="H157" s="164"/>
      <c r="I157" s="164"/>
      <c r="J157" s="316"/>
      <c r="K157" s="316"/>
      <c r="L157" s="45"/>
      <c r="M157" s="45"/>
      <c r="N157" s="46"/>
      <c r="O157" s="46"/>
      <c r="R157" s="45"/>
      <c r="T157" s="42"/>
      <c r="V157" s="45"/>
      <c r="Y157" s="164"/>
      <c r="Z157" s="316"/>
      <c r="AA157" s="45"/>
      <c r="AB157" s="45"/>
      <c r="AC157" s="46"/>
      <c r="AD157" s="46"/>
      <c r="AE157" s="45"/>
      <c r="AF157" s="45"/>
      <c r="AH157" s="51"/>
      <c r="AL157" s="45"/>
      <c r="AM157" s="46"/>
      <c r="AN157" s="46"/>
    </row>
    <row r="158" spans="3:40">
      <c r="C158" s="42"/>
      <c r="F158" s="164"/>
      <c r="H158" s="164"/>
      <c r="I158" s="164"/>
      <c r="J158" s="316"/>
      <c r="K158" s="316"/>
      <c r="L158" s="45"/>
      <c r="M158" s="45"/>
      <c r="N158" s="46"/>
      <c r="O158" s="46"/>
      <c r="R158" s="45"/>
      <c r="T158" s="42"/>
      <c r="V158" s="45"/>
      <c r="Y158" s="164"/>
      <c r="Z158" s="316"/>
      <c r="AA158" s="45"/>
      <c r="AB158" s="45"/>
      <c r="AC158" s="46"/>
      <c r="AD158" s="46"/>
      <c r="AE158" s="45"/>
      <c r="AF158" s="45"/>
      <c r="AH158" s="51"/>
      <c r="AL158" s="45"/>
      <c r="AM158" s="46"/>
      <c r="AN158" s="46"/>
    </row>
    <row r="159" spans="3:40">
      <c r="F159" s="50"/>
      <c r="H159" s="45"/>
      <c r="I159" s="45"/>
      <c r="J159" s="326"/>
      <c r="K159" s="326"/>
      <c r="L159" s="50"/>
      <c r="M159" s="50"/>
      <c r="N159" s="50"/>
      <c r="O159" s="50"/>
      <c r="P159" s="50"/>
      <c r="Q159" s="50"/>
      <c r="R159" s="50"/>
      <c r="V159" s="50"/>
      <c r="Y159" s="45"/>
      <c r="Z159" s="326"/>
      <c r="AA159" s="50"/>
      <c r="AB159" s="50"/>
      <c r="AC159" s="50"/>
      <c r="AD159" s="50"/>
      <c r="AE159" s="50"/>
      <c r="AF159" s="50"/>
      <c r="AI159" s="50"/>
      <c r="AJ159" s="50"/>
      <c r="AK159" s="111"/>
      <c r="AL159" s="50"/>
      <c r="AM159" s="46"/>
      <c r="AN159" s="46"/>
    </row>
    <row r="160" spans="3:40">
      <c r="C160" s="42"/>
      <c r="F160" s="45"/>
      <c r="H160" s="45"/>
      <c r="I160" s="45"/>
      <c r="J160" s="326"/>
      <c r="K160" s="326"/>
      <c r="L160" s="45"/>
      <c r="M160" s="45"/>
      <c r="N160" s="46"/>
      <c r="O160" s="46"/>
      <c r="P160" s="45"/>
      <c r="Q160" s="45"/>
      <c r="R160" s="45"/>
      <c r="T160" s="42"/>
      <c r="V160" s="45"/>
      <c r="Y160" s="45"/>
      <c r="Z160" s="326"/>
      <c r="AA160" s="45"/>
      <c r="AB160" s="45"/>
      <c r="AC160" s="46"/>
      <c r="AD160" s="46"/>
      <c r="AE160" s="45"/>
      <c r="AF160" s="45"/>
      <c r="AH160" s="51"/>
      <c r="AI160" s="45"/>
      <c r="AJ160" s="45"/>
      <c r="AL160" s="45"/>
      <c r="AM160" s="46"/>
      <c r="AN160" s="46"/>
    </row>
    <row r="161" spans="3:40">
      <c r="F161" s="50"/>
      <c r="H161" s="45"/>
      <c r="I161" s="45"/>
      <c r="J161" s="326"/>
      <c r="K161" s="326"/>
      <c r="L161" s="50"/>
      <c r="M161" s="50"/>
      <c r="N161" s="50"/>
      <c r="O161" s="50"/>
      <c r="P161" s="50"/>
      <c r="Q161" s="50"/>
      <c r="R161" s="50"/>
      <c r="V161" s="50"/>
      <c r="Y161" s="45"/>
      <c r="Z161" s="326"/>
      <c r="AA161" s="50"/>
      <c r="AB161" s="50"/>
      <c r="AC161" s="50"/>
      <c r="AD161" s="50"/>
      <c r="AE161" s="50"/>
      <c r="AF161" s="50"/>
      <c r="AI161" s="50"/>
      <c r="AJ161" s="50"/>
      <c r="AK161" s="111"/>
      <c r="AL161" s="50"/>
      <c r="AM161" s="46"/>
      <c r="AN161" s="46"/>
    </row>
    <row r="162" spans="3:40">
      <c r="C162" s="42"/>
      <c r="F162" s="164"/>
      <c r="H162" s="164"/>
      <c r="I162" s="164"/>
      <c r="J162" s="336"/>
      <c r="K162" s="336"/>
      <c r="L162" s="45"/>
      <c r="M162" s="45"/>
      <c r="N162" s="46"/>
      <c r="O162" s="46"/>
      <c r="P162" s="45"/>
      <c r="Q162" s="45"/>
      <c r="R162" s="45"/>
      <c r="S162" s="45"/>
      <c r="T162" s="42"/>
      <c r="V162" s="164"/>
      <c r="Y162" s="164"/>
      <c r="Z162" s="336"/>
      <c r="AA162" s="45"/>
      <c r="AB162" s="45"/>
      <c r="AC162" s="46"/>
      <c r="AD162" s="46"/>
      <c r="AE162" s="45"/>
      <c r="AF162" s="45"/>
      <c r="AH162" s="46"/>
      <c r="AI162" s="45"/>
      <c r="AJ162" s="45"/>
      <c r="AL162" s="45"/>
      <c r="AM162" s="46"/>
      <c r="AN162" s="46"/>
    </row>
    <row r="163" spans="3:40">
      <c r="C163" s="42"/>
      <c r="F163" s="164"/>
      <c r="H163" s="164"/>
      <c r="I163" s="164"/>
      <c r="J163" s="316"/>
      <c r="K163" s="316"/>
      <c r="L163" s="45"/>
      <c r="M163" s="45"/>
      <c r="N163" s="46"/>
      <c r="O163" s="46"/>
      <c r="P163" s="45"/>
      <c r="Q163" s="45"/>
      <c r="R163" s="45"/>
      <c r="T163" s="42"/>
      <c r="V163" s="164"/>
      <c r="Y163" s="45"/>
      <c r="Z163" s="316"/>
      <c r="AA163" s="45"/>
      <c r="AB163" s="45"/>
      <c r="AC163" s="46"/>
      <c r="AD163" s="46"/>
      <c r="AE163" s="45"/>
      <c r="AF163" s="45"/>
      <c r="AH163" s="51"/>
      <c r="AI163" s="45"/>
      <c r="AJ163" s="45"/>
      <c r="AL163" s="45"/>
      <c r="AM163" s="46"/>
      <c r="AN163" s="46"/>
    </row>
    <row r="164" spans="3:40">
      <c r="C164" s="42"/>
      <c r="F164" s="164"/>
      <c r="H164" s="164"/>
      <c r="I164" s="164"/>
      <c r="J164" s="316"/>
      <c r="K164" s="316"/>
      <c r="L164" s="45"/>
      <c r="M164" s="45"/>
      <c r="N164" s="46"/>
      <c r="O164" s="46"/>
      <c r="P164" s="45"/>
      <c r="Q164" s="45"/>
      <c r="R164" s="45"/>
      <c r="T164" s="42"/>
      <c r="V164" s="164"/>
      <c r="Y164" s="45"/>
      <c r="Z164" s="316"/>
      <c r="AA164" s="45"/>
      <c r="AB164" s="45"/>
      <c r="AC164" s="46"/>
      <c r="AD164" s="46"/>
      <c r="AE164" s="45"/>
      <c r="AF164" s="45"/>
      <c r="AH164" s="51"/>
      <c r="AI164" s="45"/>
      <c r="AJ164" s="45"/>
      <c r="AL164" s="45"/>
      <c r="AM164" s="46"/>
      <c r="AN164" s="46"/>
    </row>
    <row r="165" spans="3:40">
      <c r="F165" s="45"/>
      <c r="H165" s="50"/>
      <c r="I165" s="50"/>
      <c r="J165" s="326"/>
      <c r="K165" s="326"/>
      <c r="L165" s="50"/>
      <c r="M165" s="50"/>
      <c r="N165" s="50"/>
      <c r="O165" s="50"/>
      <c r="P165" s="50"/>
      <c r="Q165" s="50"/>
      <c r="R165" s="50"/>
      <c r="V165" s="45"/>
      <c r="Y165" s="50"/>
      <c r="Z165" s="326"/>
      <c r="AA165" s="50"/>
      <c r="AB165" s="50"/>
      <c r="AC165" s="50"/>
      <c r="AD165" s="50"/>
      <c r="AE165" s="50"/>
      <c r="AF165" s="50"/>
      <c r="AI165" s="50"/>
      <c r="AJ165" s="50"/>
      <c r="AK165" s="111"/>
      <c r="AL165" s="50"/>
      <c r="AM165" s="46"/>
      <c r="AN165" s="46"/>
    </row>
    <row r="166" spans="3:40">
      <c r="C166" s="42"/>
      <c r="F166" s="45"/>
      <c r="H166" s="45"/>
      <c r="I166" s="45"/>
      <c r="J166" s="326"/>
      <c r="K166" s="326"/>
      <c r="L166" s="45"/>
      <c r="M166" s="45"/>
      <c r="N166" s="46"/>
      <c r="O166" s="46"/>
      <c r="P166" s="45"/>
      <c r="Q166" s="45"/>
      <c r="R166" s="45"/>
      <c r="T166" s="42"/>
      <c r="V166" s="45"/>
      <c r="Y166" s="45"/>
      <c r="Z166" s="326"/>
      <c r="AA166" s="45"/>
      <c r="AB166" s="45"/>
      <c r="AC166" s="46"/>
      <c r="AD166" s="46"/>
      <c r="AE166" s="45"/>
      <c r="AF166" s="45"/>
      <c r="AH166" s="51"/>
      <c r="AI166" s="45"/>
      <c r="AJ166" s="45"/>
      <c r="AL166" s="45"/>
      <c r="AM166" s="46"/>
      <c r="AN166" s="46"/>
    </row>
    <row r="167" spans="3:40">
      <c r="F167" s="45"/>
      <c r="H167" s="50"/>
      <c r="I167" s="50"/>
      <c r="J167" s="326"/>
      <c r="K167" s="326"/>
      <c r="L167" s="50"/>
      <c r="M167" s="50"/>
      <c r="N167" s="50"/>
      <c r="O167" s="50"/>
      <c r="P167" s="50"/>
      <c r="Q167" s="50"/>
      <c r="R167" s="50"/>
      <c r="V167" s="45"/>
      <c r="Y167" s="50"/>
      <c r="Z167" s="326"/>
      <c r="AA167" s="50"/>
      <c r="AB167" s="50"/>
      <c r="AC167" s="50"/>
      <c r="AD167" s="50"/>
      <c r="AE167" s="50"/>
      <c r="AF167" s="50"/>
      <c r="AI167" s="50"/>
      <c r="AJ167" s="50"/>
      <c r="AK167" s="111"/>
      <c r="AL167" s="50"/>
      <c r="AM167" s="46"/>
      <c r="AN167" s="46"/>
    </row>
    <row r="168" spans="3:40">
      <c r="C168" s="42"/>
      <c r="F168" s="45"/>
      <c r="H168" s="45"/>
      <c r="I168" s="45"/>
      <c r="J168" s="326"/>
      <c r="K168" s="326"/>
      <c r="L168" s="45"/>
      <c r="M168" s="45"/>
      <c r="N168" s="45"/>
      <c r="O168" s="45"/>
      <c r="P168" s="45"/>
      <c r="Q168" s="45"/>
      <c r="R168" s="45"/>
      <c r="T168" s="42"/>
      <c r="V168" s="45"/>
      <c r="Y168" s="45"/>
      <c r="Z168" s="326"/>
      <c r="AA168" s="45"/>
      <c r="AB168" s="45"/>
      <c r="AC168" s="45"/>
      <c r="AD168" s="45"/>
      <c r="AE168" s="45"/>
      <c r="AF168" s="45"/>
      <c r="AH168" s="51"/>
      <c r="AI168" s="45"/>
      <c r="AJ168" s="45"/>
      <c r="AL168" s="45"/>
      <c r="AM168" s="46"/>
      <c r="AN168" s="46"/>
    </row>
    <row r="169" spans="3:40">
      <c r="C169" s="42"/>
      <c r="F169" s="45"/>
      <c r="H169" s="164"/>
      <c r="I169" s="164"/>
      <c r="J169" s="132"/>
      <c r="K169" s="132"/>
      <c r="L169" s="45"/>
      <c r="M169" s="45"/>
      <c r="N169" s="46"/>
      <c r="O169" s="46"/>
      <c r="P169" s="45"/>
      <c r="Q169" s="45"/>
      <c r="R169" s="45"/>
      <c r="T169" s="42"/>
      <c r="V169" s="45"/>
      <c r="Y169" s="45"/>
      <c r="Z169" s="132"/>
      <c r="AA169" s="45"/>
      <c r="AB169" s="45"/>
      <c r="AC169" s="46"/>
      <c r="AD169" s="46"/>
      <c r="AE169" s="45"/>
      <c r="AF169" s="45"/>
      <c r="AH169" s="51"/>
      <c r="AI169" s="45"/>
      <c r="AJ169" s="45"/>
      <c r="AL169" s="45"/>
      <c r="AM169" s="46"/>
      <c r="AN169" s="46"/>
    </row>
    <row r="170" spans="3:40">
      <c r="C170" s="42"/>
      <c r="H170" s="164"/>
      <c r="I170" s="164"/>
      <c r="J170" s="132"/>
      <c r="K170" s="132"/>
      <c r="L170" s="45"/>
      <c r="M170" s="45"/>
      <c r="N170" s="46"/>
      <c r="O170" s="46"/>
      <c r="P170" s="45"/>
      <c r="Q170" s="45"/>
      <c r="R170" s="45"/>
      <c r="T170" s="42"/>
      <c r="Y170" s="45"/>
      <c r="Z170" s="132"/>
      <c r="AA170" s="45"/>
      <c r="AB170" s="45"/>
      <c r="AC170" s="46"/>
      <c r="AD170" s="46"/>
      <c r="AE170" s="45"/>
      <c r="AF170" s="45"/>
      <c r="AH170" s="51"/>
      <c r="AI170" s="45"/>
      <c r="AJ170" s="45"/>
      <c r="AL170" s="45"/>
      <c r="AM170" s="46"/>
      <c r="AN170" s="46"/>
    </row>
    <row r="171" spans="3:40">
      <c r="F171" s="45"/>
      <c r="H171" s="45"/>
      <c r="I171" s="45"/>
      <c r="J171" s="326"/>
      <c r="K171" s="326"/>
      <c r="L171" s="50"/>
      <c r="M171" s="50"/>
      <c r="N171" s="50"/>
      <c r="O171" s="50"/>
      <c r="P171" s="50"/>
      <c r="Q171" s="50"/>
      <c r="R171" s="50"/>
      <c r="V171" s="45"/>
      <c r="Y171" s="45"/>
      <c r="Z171" s="326"/>
      <c r="AA171" s="50"/>
      <c r="AB171" s="50"/>
      <c r="AC171" s="50"/>
      <c r="AD171" s="50"/>
      <c r="AE171" s="50"/>
      <c r="AF171" s="50"/>
      <c r="AI171" s="50"/>
      <c r="AJ171" s="50"/>
      <c r="AK171" s="111"/>
      <c r="AL171" s="50"/>
      <c r="AM171" s="46"/>
      <c r="AN171" s="46"/>
    </row>
    <row r="172" spans="3:40">
      <c r="C172" s="42"/>
      <c r="F172" s="45"/>
      <c r="H172" s="45"/>
      <c r="I172" s="45"/>
      <c r="J172" s="47"/>
      <c r="K172" s="47"/>
      <c r="L172" s="45"/>
      <c r="M172" s="45"/>
      <c r="N172" s="46"/>
      <c r="O172" s="46"/>
      <c r="P172" s="45"/>
      <c r="Q172" s="45"/>
      <c r="R172" s="45"/>
      <c r="T172" s="42"/>
      <c r="V172" s="45"/>
      <c r="Y172" s="45"/>
      <c r="Z172" s="47"/>
      <c r="AA172" s="45"/>
      <c r="AB172" s="45"/>
      <c r="AC172" s="46"/>
      <c r="AD172" s="46"/>
      <c r="AE172" s="45"/>
      <c r="AF172" s="45"/>
      <c r="AH172" s="51"/>
      <c r="AI172" s="45"/>
      <c r="AJ172" s="45"/>
      <c r="AL172" s="45"/>
      <c r="AM172" s="46"/>
      <c r="AN172" s="46"/>
    </row>
    <row r="173" spans="3:40">
      <c r="F173" s="45"/>
      <c r="H173" s="45"/>
      <c r="I173" s="45"/>
      <c r="J173" s="326"/>
      <c r="K173" s="326"/>
      <c r="L173" s="50"/>
      <c r="M173" s="50"/>
      <c r="N173" s="50"/>
      <c r="O173" s="50"/>
      <c r="P173" s="50"/>
      <c r="Q173" s="50"/>
      <c r="R173" s="50"/>
      <c r="V173" s="45"/>
      <c r="Y173" s="45"/>
      <c r="Z173" s="326"/>
      <c r="AA173" s="50"/>
      <c r="AB173" s="50"/>
      <c r="AC173" s="50"/>
      <c r="AD173" s="50"/>
      <c r="AE173" s="50"/>
      <c r="AF173" s="50"/>
      <c r="AI173" s="50"/>
      <c r="AJ173" s="50"/>
      <c r="AK173" s="111"/>
      <c r="AL173" s="50"/>
      <c r="AM173" s="46"/>
      <c r="AN173" s="46"/>
    </row>
    <row r="174" spans="3:40">
      <c r="C174" s="42"/>
      <c r="F174" s="45"/>
      <c r="H174" s="45"/>
      <c r="I174" s="45"/>
      <c r="J174" s="47"/>
      <c r="K174" s="47"/>
      <c r="L174" s="45"/>
      <c r="M174" s="45"/>
      <c r="N174" s="46"/>
      <c r="O174" s="46"/>
      <c r="P174" s="45"/>
      <c r="Q174" s="45"/>
      <c r="R174" s="45"/>
      <c r="T174" s="42"/>
      <c r="V174" s="45"/>
      <c r="Y174" s="45"/>
      <c r="Z174" s="47"/>
      <c r="AA174" s="45"/>
      <c r="AB174" s="45"/>
      <c r="AC174" s="46"/>
      <c r="AD174" s="46"/>
      <c r="AE174" s="45"/>
      <c r="AF174" s="45"/>
      <c r="AH174" s="51"/>
      <c r="AI174" s="45"/>
      <c r="AJ174" s="45"/>
      <c r="AL174" s="45"/>
      <c r="AM174" s="46"/>
      <c r="AN174" s="46"/>
    </row>
    <row r="175" spans="3:40">
      <c r="C175" s="42"/>
      <c r="F175" s="164"/>
      <c r="H175" s="164"/>
      <c r="I175" s="164"/>
      <c r="J175" s="331"/>
      <c r="K175" s="331"/>
      <c r="L175" s="45"/>
      <c r="M175" s="45"/>
      <c r="N175" s="46"/>
      <c r="O175" s="46"/>
      <c r="P175" s="45"/>
      <c r="Q175" s="45"/>
      <c r="R175" s="45"/>
      <c r="T175" s="42"/>
      <c r="V175" s="164"/>
      <c r="Y175" s="45"/>
      <c r="Z175" s="331"/>
      <c r="AA175" s="45"/>
      <c r="AB175" s="45"/>
      <c r="AC175" s="46"/>
      <c r="AD175" s="46"/>
      <c r="AE175" s="45"/>
      <c r="AF175" s="45"/>
      <c r="AH175" s="51"/>
      <c r="AI175" s="45"/>
      <c r="AJ175" s="45"/>
      <c r="AL175" s="45"/>
      <c r="AM175" s="46"/>
      <c r="AN175" s="46"/>
    </row>
    <row r="176" spans="3:40">
      <c r="F176" s="50"/>
      <c r="H176" s="50"/>
      <c r="I176" s="50"/>
      <c r="J176" s="326"/>
      <c r="K176" s="326"/>
      <c r="L176" s="50"/>
      <c r="M176" s="50"/>
      <c r="N176" s="50"/>
      <c r="O176" s="50"/>
      <c r="P176" s="50"/>
      <c r="Q176" s="50"/>
      <c r="R176" s="50"/>
      <c r="V176" s="50"/>
      <c r="Y176" s="50"/>
      <c r="Z176" s="326"/>
      <c r="AA176" s="50"/>
      <c r="AB176" s="50"/>
      <c r="AC176" s="50"/>
      <c r="AD176" s="50"/>
      <c r="AE176" s="50"/>
      <c r="AF176" s="50"/>
      <c r="AI176" s="50"/>
      <c r="AJ176" s="50"/>
      <c r="AK176" s="111"/>
      <c r="AL176" s="50"/>
      <c r="AM176" s="46"/>
      <c r="AN176" s="46"/>
    </row>
    <row r="177" spans="1:40">
      <c r="C177" s="42"/>
      <c r="F177" s="45"/>
      <c r="H177" s="45"/>
      <c r="I177" s="45"/>
      <c r="J177" s="326"/>
      <c r="K177" s="326"/>
      <c r="L177" s="45"/>
      <c r="M177" s="45"/>
      <c r="N177" s="46"/>
      <c r="O177" s="46"/>
      <c r="P177" s="45"/>
      <c r="Q177" s="45"/>
      <c r="R177" s="45"/>
      <c r="S177" s="45"/>
      <c r="T177" s="42"/>
      <c r="V177" s="45"/>
      <c r="Y177" s="45"/>
      <c r="Z177" s="326"/>
      <c r="AA177" s="45"/>
      <c r="AB177" s="45"/>
      <c r="AC177" s="46"/>
      <c r="AD177" s="46"/>
      <c r="AE177" s="45"/>
      <c r="AF177" s="45"/>
      <c r="AH177" s="46"/>
      <c r="AI177" s="45"/>
      <c r="AJ177" s="45"/>
      <c r="AL177" s="45"/>
      <c r="AM177" s="46"/>
      <c r="AN177" s="46"/>
    </row>
    <row r="178" spans="1:40">
      <c r="F178" s="50"/>
      <c r="H178" s="50"/>
      <c r="I178" s="50"/>
      <c r="J178" s="326"/>
      <c r="K178" s="326"/>
      <c r="L178" s="50"/>
      <c r="M178" s="50"/>
      <c r="N178" s="50"/>
      <c r="O178" s="50"/>
      <c r="P178" s="50"/>
      <c r="Q178" s="50"/>
      <c r="R178" s="50"/>
      <c r="S178" s="45"/>
      <c r="V178" s="50"/>
      <c r="Y178" s="50"/>
      <c r="Z178" s="326"/>
      <c r="AA178" s="50"/>
      <c r="AB178" s="50"/>
      <c r="AC178" s="50"/>
      <c r="AD178" s="50"/>
      <c r="AE178" s="50"/>
      <c r="AF178" s="50"/>
      <c r="AI178" s="50"/>
      <c r="AJ178" s="50"/>
      <c r="AK178" s="111"/>
      <c r="AL178" s="50"/>
      <c r="AM178" s="46"/>
      <c r="AN178" s="46"/>
    </row>
    <row r="179" spans="1:40">
      <c r="C179" s="42"/>
      <c r="T179" s="42"/>
    </row>
    <row r="180" spans="1:40">
      <c r="C180" s="42"/>
      <c r="F180" s="45"/>
      <c r="H180" s="45"/>
      <c r="I180" s="45"/>
      <c r="L180" s="45"/>
      <c r="M180" s="45"/>
      <c r="N180" s="46"/>
      <c r="O180" s="46"/>
      <c r="P180" s="164"/>
      <c r="Q180" s="164"/>
      <c r="R180" s="45"/>
      <c r="T180" s="42"/>
      <c r="V180" s="45"/>
      <c r="Y180" s="45"/>
      <c r="AA180" s="45"/>
      <c r="AB180" s="45"/>
      <c r="AC180" s="46"/>
      <c r="AD180" s="46"/>
      <c r="AE180" s="45"/>
      <c r="AF180" s="45"/>
      <c r="AH180" s="46"/>
      <c r="AI180" s="164"/>
      <c r="AJ180" s="164"/>
      <c r="AL180" s="45"/>
      <c r="AM180" s="46"/>
      <c r="AN180" s="46"/>
    </row>
    <row r="181" spans="1:40">
      <c r="F181" s="50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V181" s="50"/>
      <c r="Y181" s="50"/>
      <c r="Z181" s="326"/>
      <c r="AA181" s="50"/>
      <c r="AB181" s="50"/>
      <c r="AC181" s="50"/>
      <c r="AD181" s="50"/>
      <c r="AE181" s="50"/>
      <c r="AF181" s="50"/>
      <c r="AI181" s="50"/>
      <c r="AJ181" s="50"/>
      <c r="AK181" s="111"/>
      <c r="AL181" s="50"/>
    </row>
    <row r="183" spans="1:40">
      <c r="C183" s="42"/>
      <c r="L183" s="45"/>
      <c r="M183" s="45"/>
      <c r="N183" s="45"/>
      <c r="O183" s="45"/>
      <c r="P183" s="45"/>
      <c r="Q183" s="45"/>
      <c r="R183" s="45"/>
      <c r="S183" s="45"/>
      <c r="T183" s="42"/>
      <c r="AA183" s="45"/>
      <c r="AB183" s="45"/>
      <c r="AC183" s="45"/>
      <c r="AD183" s="45"/>
      <c r="AI183" s="45"/>
      <c r="AJ183" s="45"/>
      <c r="AL183" s="45"/>
    </row>
    <row r="184" spans="1:40">
      <c r="A184" s="42"/>
    </row>
    <row r="186" spans="1:40">
      <c r="H186" s="42"/>
      <c r="I186" s="42"/>
      <c r="Y186" s="42"/>
    </row>
    <row r="188" spans="1:40">
      <c r="L188" s="42"/>
      <c r="M188" s="42"/>
      <c r="AA188" s="42"/>
      <c r="AB188" s="42"/>
    </row>
    <row r="189" spans="1:40">
      <c r="R189" s="42"/>
      <c r="AK189" s="110"/>
      <c r="AL189" s="42"/>
    </row>
    <row r="190" spans="1:40">
      <c r="R190" s="42"/>
      <c r="AK190" s="110"/>
      <c r="AL190" s="42"/>
    </row>
    <row r="191" spans="1:40">
      <c r="A191" s="42"/>
      <c r="R191" s="42"/>
      <c r="AK191" s="110"/>
      <c r="AL191" s="42"/>
    </row>
    <row r="192" spans="1:40">
      <c r="L192" s="42"/>
      <c r="M192" s="42"/>
      <c r="AA192" s="42"/>
      <c r="AB192" s="42"/>
    </row>
    <row r="193" spans="1:40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107"/>
      <c r="AH193" s="49"/>
      <c r="AI193" s="49"/>
      <c r="AJ193" s="49"/>
      <c r="AK193" s="107"/>
      <c r="AL193" s="49"/>
      <c r="AM193" s="49"/>
      <c r="AN193" s="49"/>
    </row>
    <row r="194" spans="1:40">
      <c r="L194" s="44"/>
      <c r="M194" s="44"/>
      <c r="N194" s="44"/>
      <c r="O194" s="44"/>
      <c r="R194" s="44"/>
      <c r="AA194" s="44"/>
      <c r="AB194" s="44"/>
      <c r="AC194" s="44"/>
      <c r="AD194" s="44"/>
      <c r="AE194" s="44"/>
      <c r="AF194" s="44"/>
      <c r="AG194" s="102"/>
      <c r="AH194" s="44"/>
      <c r="AK194" s="102"/>
      <c r="AL194" s="44"/>
      <c r="AM194" s="44"/>
      <c r="AN194" s="44"/>
    </row>
    <row r="195" spans="1:40">
      <c r="L195" s="44"/>
      <c r="M195" s="44"/>
      <c r="N195" s="44"/>
      <c r="O195" s="44"/>
      <c r="R195" s="44"/>
      <c r="Z195" s="44"/>
      <c r="AA195" s="44"/>
      <c r="AB195" s="44"/>
      <c r="AC195" s="44"/>
      <c r="AD195" s="44"/>
      <c r="AE195" s="44"/>
      <c r="AF195" s="44"/>
      <c r="AG195" s="102"/>
      <c r="AH195" s="44"/>
      <c r="AK195" s="102"/>
      <c r="AL195" s="44"/>
      <c r="AM195" s="44"/>
      <c r="AN195" s="44"/>
    </row>
    <row r="196" spans="1:40">
      <c r="A196" s="44"/>
      <c r="C196" s="44"/>
      <c r="D196" s="44"/>
      <c r="E196" s="44"/>
      <c r="F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>
      <c r="A197" s="44"/>
      <c r="C197" s="44"/>
      <c r="D197" s="44"/>
      <c r="E197" s="44"/>
      <c r="F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T197" s="44"/>
      <c r="U197" s="44"/>
      <c r="V197" s="44"/>
      <c r="Y197" s="44"/>
      <c r="Z197" s="44"/>
      <c r="AA197" s="44"/>
      <c r="AB197" s="44"/>
      <c r="AC197" s="44"/>
      <c r="AD197" s="44"/>
      <c r="AE197" s="44"/>
      <c r="AF197" s="44"/>
      <c r="AG197" s="102"/>
      <c r="AH197" s="44"/>
      <c r="AI197" s="44"/>
      <c r="AJ197" s="44"/>
      <c r="AK197" s="102"/>
      <c r="AL197" s="44"/>
      <c r="AM197" s="44"/>
      <c r="AN197" s="44"/>
    </row>
    <row r="198" spans="1:40">
      <c r="C198" s="44"/>
      <c r="D198" s="44"/>
      <c r="E198" s="44"/>
      <c r="F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T198" s="44"/>
      <c r="U198" s="44"/>
      <c r="V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107"/>
      <c r="AH199" s="49"/>
      <c r="AI199" s="49"/>
      <c r="AJ199" s="49"/>
      <c r="AK199" s="107"/>
      <c r="AL199" s="49"/>
      <c r="AM199" s="49"/>
      <c r="AN199" s="49"/>
    </row>
    <row r="200" spans="1:40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Y200" s="44"/>
      <c r="Z200" s="44"/>
      <c r="AA200" s="44"/>
      <c r="AB200" s="44"/>
      <c r="AC200" s="44"/>
      <c r="AD200" s="44"/>
      <c r="AE200" s="44"/>
      <c r="AF200" s="44"/>
      <c r="AG200" s="102"/>
      <c r="AH200" s="44"/>
      <c r="AI200" s="44"/>
      <c r="AJ200" s="44"/>
      <c r="AK200" s="102"/>
      <c r="AL200" s="44"/>
      <c r="AM200" s="44"/>
      <c r="AN200" s="44"/>
    </row>
    <row r="201" spans="1:40">
      <c r="C201" s="42"/>
      <c r="D201" s="42"/>
      <c r="E201" s="42"/>
      <c r="T201" s="42"/>
      <c r="U201" s="42"/>
    </row>
    <row r="202" spans="1:40">
      <c r="D202" s="42"/>
      <c r="E202" s="42"/>
      <c r="U202" s="42"/>
    </row>
    <row r="204" spans="1:40">
      <c r="C204" s="42"/>
      <c r="F204" s="164"/>
      <c r="H204" s="164"/>
      <c r="I204" s="164"/>
      <c r="J204" s="316"/>
      <c r="K204" s="316"/>
      <c r="L204" s="45"/>
      <c r="M204" s="45"/>
      <c r="N204" s="46"/>
      <c r="O204" s="46"/>
      <c r="R204" s="45"/>
      <c r="T204" s="42"/>
      <c r="V204" s="45"/>
      <c r="Y204" s="164"/>
      <c r="Z204" s="316"/>
      <c r="AA204" s="45"/>
      <c r="AB204" s="45"/>
      <c r="AC204" s="46"/>
      <c r="AD204" s="46"/>
      <c r="AE204" s="45"/>
      <c r="AF204" s="45"/>
      <c r="AG204" s="333"/>
      <c r="AH204" s="334"/>
      <c r="AL204" s="45"/>
      <c r="AM204" s="335"/>
      <c r="AN204" s="335"/>
    </row>
    <row r="205" spans="1:40">
      <c r="C205" s="42"/>
      <c r="F205" s="164"/>
      <c r="H205" s="164"/>
      <c r="I205" s="164"/>
      <c r="J205" s="316"/>
      <c r="K205" s="316"/>
      <c r="L205" s="45"/>
      <c r="M205" s="45"/>
      <c r="N205" s="46"/>
      <c r="O205" s="46"/>
      <c r="R205" s="45"/>
      <c r="T205" s="42"/>
      <c r="V205" s="45"/>
      <c r="Y205" s="164"/>
      <c r="Z205" s="316"/>
      <c r="AA205" s="45"/>
      <c r="AB205" s="45"/>
      <c r="AC205" s="46"/>
      <c r="AD205" s="46"/>
      <c r="AE205" s="45"/>
      <c r="AF205" s="45"/>
      <c r="AH205" s="51"/>
      <c r="AL205" s="45"/>
      <c r="AM205" s="46"/>
      <c r="AN205" s="46"/>
    </row>
    <row r="206" spans="1:40">
      <c r="F206" s="50"/>
      <c r="H206" s="45"/>
      <c r="I206" s="45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45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  <c r="AM206" s="46"/>
      <c r="AN206" s="46"/>
    </row>
    <row r="207" spans="1:40">
      <c r="C207" s="42"/>
      <c r="F207" s="45"/>
      <c r="H207" s="45"/>
      <c r="I207" s="45"/>
      <c r="J207" s="326"/>
      <c r="K207" s="326"/>
      <c r="L207" s="45"/>
      <c r="M207" s="45"/>
      <c r="N207" s="46"/>
      <c r="O207" s="46"/>
      <c r="P207" s="45"/>
      <c r="Q207" s="45"/>
      <c r="R207" s="45"/>
      <c r="T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1:40">
      <c r="F208" s="50"/>
      <c r="H208" s="45"/>
      <c r="I208" s="45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45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  <c r="AM208" s="46"/>
      <c r="AN208" s="46"/>
    </row>
    <row r="209" spans="3:40">
      <c r="F209" s="45"/>
      <c r="H209" s="45"/>
      <c r="I209" s="45"/>
      <c r="J209" s="326"/>
      <c r="K209" s="326"/>
      <c r="L209" s="45"/>
      <c r="M209" s="45"/>
      <c r="N209" s="46"/>
      <c r="O209" s="46"/>
      <c r="P209" s="45"/>
      <c r="Q209" s="45"/>
      <c r="R209" s="45"/>
      <c r="V209" s="45"/>
      <c r="Y209" s="45"/>
      <c r="Z209" s="47"/>
      <c r="AA209" s="45"/>
      <c r="AB209" s="45"/>
      <c r="AC209" s="46"/>
      <c r="AD209" s="46"/>
      <c r="AE209" s="45"/>
      <c r="AF209" s="45"/>
      <c r="AH209" s="51"/>
      <c r="AI209" s="45"/>
      <c r="AJ209" s="45"/>
      <c r="AL209" s="45"/>
      <c r="AM209" s="46"/>
      <c r="AN209" s="46"/>
    </row>
    <row r="210" spans="3:40">
      <c r="C210" s="42"/>
      <c r="F210" s="164"/>
      <c r="H210" s="164"/>
      <c r="I210" s="164"/>
      <c r="J210" s="316"/>
      <c r="K210" s="316"/>
      <c r="L210" s="45"/>
      <c r="M210" s="45"/>
      <c r="N210" s="46"/>
      <c r="O210" s="46"/>
      <c r="P210" s="45"/>
      <c r="Q210" s="45"/>
      <c r="R210" s="45"/>
      <c r="T210" s="42"/>
      <c r="V210" s="164"/>
      <c r="Y210" s="45"/>
      <c r="Z210" s="316"/>
      <c r="AA210" s="45"/>
      <c r="AB210" s="45"/>
      <c r="AC210" s="46"/>
      <c r="AD210" s="46"/>
      <c r="AE210" s="45"/>
      <c r="AF210" s="45"/>
      <c r="AG210" s="333"/>
      <c r="AH210" s="334"/>
      <c r="AI210" s="45"/>
      <c r="AJ210" s="45"/>
      <c r="AL210" s="45"/>
      <c r="AM210" s="335"/>
      <c r="AN210" s="335"/>
    </row>
    <row r="211" spans="3:40">
      <c r="C211" s="42"/>
      <c r="F211" s="164"/>
      <c r="H211" s="164"/>
      <c r="I211" s="164"/>
      <c r="J211" s="316"/>
      <c r="K211" s="316"/>
      <c r="L211" s="45"/>
      <c r="M211" s="45"/>
      <c r="N211" s="46"/>
      <c r="O211" s="46"/>
      <c r="P211" s="45"/>
      <c r="Q211" s="45"/>
      <c r="R211" s="45"/>
      <c r="T211" s="42"/>
      <c r="V211" s="164"/>
      <c r="Y211" s="45"/>
      <c r="Z211" s="316"/>
      <c r="AA211" s="45"/>
      <c r="AB211" s="45"/>
      <c r="AC211" s="46"/>
      <c r="AD211" s="46"/>
      <c r="AE211" s="45"/>
      <c r="AF211" s="45"/>
      <c r="AH211" s="51"/>
      <c r="AI211" s="45"/>
      <c r="AJ211" s="45"/>
      <c r="AL211" s="45"/>
      <c r="AM211" s="46"/>
      <c r="AN211" s="46"/>
    </row>
    <row r="212" spans="3:40">
      <c r="F212" s="45"/>
      <c r="H212" s="50"/>
      <c r="I212" s="50"/>
      <c r="J212" s="326"/>
      <c r="K212" s="326"/>
      <c r="L212" s="50"/>
      <c r="M212" s="50"/>
      <c r="N212" s="50"/>
      <c r="O212" s="50"/>
      <c r="P212" s="50"/>
      <c r="Q212" s="50"/>
      <c r="R212" s="50"/>
      <c r="V212" s="45"/>
      <c r="Y212" s="50"/>
      <c r="Z212" s="326"/>
      <c r="AA212" s="50"/>
      <c r="AB212" s="50"/>
      <c r="AC212" s="50"/>
      <c r="AD212" s="50"/>
      <c r="AE212" s="50"/>
      <c r="AF212" s="50"/>
      <c r="AI212" s="50"/>
      <c r="AJ212" s="50"/>
      <c r="AK212" s="111"/>
      <c r="AL212" s="50"/>
      <c r="AM212" s="46"/>
      <c r="AN212" s="46"/>
    </row>
    <row r="213" spans="3:40">
      <c r="C213" s="42"/>
      <c r="F213" s="45"/>
      <c r="H213" s="45"/>
      <c r="I213" s="45"/>
      <c r="J213" s="326"/>
      <c r="K213" s="326"/>
      <c r="L213" s="45"/>
      <c r="M213" s="45"/>
      <c r="N213" s="46"/>
      <c r="O213" s="46"/>
      <c r="P213" s="45"/>
      <c r="Q213" s="45"/>
      <c r="R213" s="45"/>
      <c r="T213" s="42"/>
      <c r="V213" s="45"/>
      <c r="Y213" s="45"/>
      <c r="Z213" s="326"/>
      <c r="AA213" s="45"/>
      <c r="AB213" s="45"/>
      <c r="AC213" s="46"/>
      <c r="AD213" s="46"/>
      <c r="AE213" s="45"/>
      <c r="AF213" s="45"/>
      <c r="AH213" s="51"/>
      <c r="AI213" s="45"/>
      <c r="AJ213" s="45"/>
      <c r="AL213" s="45"/>
      <c r="AM213" s="46"/>
      <c r="AN213" s="46"/>
    </row>
    <row r="214" spans="3:40">
      <c r="F214" s="45"/>
      <c r="H214" s="50"/>
      <c r="I214" s="50"/>
      <c r="J214" s="326"/>
      <c r="K214" s="326"/>
      <c r="L214" s="50"/>
      <c r="M214" s="50"/>
      <c r="N214" s="50"/>
      <c r="O214" s="50"/>
      <c r="P214" s="50"/>
      <c r="Q214" s="50"/>
      <c r="R214" s="50"/>
      <c r="V214" s="45"/>
      <c r="Y214" s="50"/>
      <c r="Z214" s="326"/>
      <c r="AA214" s="50"/>
      <c r="AB214" s="50"/>
      <c r="AC214" s="50"/>
      <c r="AD214" s="50"/>
      <c r="AE214" s="50"/>
      <c r="AF214" s="50"/>
      <c r="AI214" s="50"/>
      <c r="AJ214" s="50"/>
      <c r="AK214" s="111"/>
      <c r="AL214" s="50"/>
      <c r="AM214" s="46"/>
      <c r="AN214" s="46"/>
    </row>
    <row r="215" spans="3:40">
      <c r="F215" s="45"/>
      <c r="H215" s="45"/>
      <c r="I215" s="45"/>
      <c r="J215" s="326"/>
      <c r="K215" s="326"/>
      <c r="L215" s="45"/>
      <c r="M215" s="45"/>
      <c r="N215" s="45"/>
      <c r="O215" s="45"/>
      <c r="P215" s="45"/>
      <c r="Q215" s="45"/>
      <c r="R215" s="45"/>
      <c r="V215" s="45"/>
      <c r="Y215" s="45"/>
      <c r="Z215" s="326"/>
      <c r="AA215" s="45"/>
      <c r="AB215" s="45"/>
      <c r="AC215" s="45"/>
      <c r="AD215" s="45"/>
      <c r="AE215" s="45"/>
      <c r="AF215" s="45"/>
      <c r="AH215" s="51"/>
      <c r="AI215" s="45"/>
      <c r="AJ215" s="45"/>
      <c r="AL215" s="45"/>
      <c r="AM215" s="46"/>
      <c r="AN215" s="46"/>
    </row>
    <row r="216" spans="3:40">
      <c r="C216" s="42"/>
      <c r="F216" s="164"/>
      <c r="H216" s="164"/>
      <c r="I216" s="164"/>
      <c r="J216" s="331"/>
      <c r="K216" s="331"/>
      <c r="L216" s="45"/>
      <c r="M216" s="45"/>
      <c r="N216" s="46"/>
      <c r="O216" s="46"/>
      <c r="P216" s="164"/>
      <c r="Q216" s="164"/>
      <c r="R216" s="45"/>
      <c r="T216" s="42"/>
      <c r="V216" s="164"/>
      <c r="Y216" s="164"/>
      <c r="Z216" s="336"/>
      <c r="AA216" s="45"/>
      <c r="AB216" s="45"/>
      <c r="AC216" s="46"/>
      <c r="AD216" s="46"/>
      <c r="AE216" s="45"/>
      <c r="AF216" s="45"/>
      <c r="AH216" s="51"/>
      <c r="AI216" s="164"/>
      <c r="AJ216" s="164"/>
      <c r="AL216" s="45"/>
      <c r="AM216" s="46"/>
      <c r="AN216" s="46"/>
    </row>
    <row r="217" spans="3:40">
      <c r="C217" s="42"/>
      <c r="F217" s="164"/>
      <c r="H217" s="164"/>
      <c r="I217" s="164"/>
      <c r="J217" s="331"/>
      <c r="K217" s="331"/>
      <c r="L217" s="45"/>
      <c r="M217" s="45"/>
      <c r="N217" s="46"/>
      <c r="O217" s="46"/>
      <c r="P217" s="164"/>
      <c r="Q217" s="164"/>
      <c r="R217" s="45"/>
      <c r="T217" s="42"/>
      <c r="V217" s="164"/>
      <c r="Y217" s="45"/>
      <c r="Z217" s="325"/>
      <c r="AA217" s="45"/>
      <c r="AB217" s="45"/>
      <c r="AC217" s="46"/>
      <c r="AD217" s="46"/>
      <c r="AE217" s="45"/>
      <c r="AF217" s="45"/>
      <c r="AH217" s="51"/>
      <c r="AI217" s="164"/>
      <c r="AJ217" s="164"/>
      <c r="AL217" s="45"/>
      <c r="AM217" s="46"/>
      <c r="AN217" s="46"/>
    </row>
    <row r="218" spans="3:40">
      <c r="C218" s="42"/>
      <c r="F218" s="164"/>
      <c r="H218" s="164"/>
      <c r="I218" s="164"/>
      <c r="J218" s="331"/>
      <c r="K218" s="331"/>
      <c r="L218" s="45"/>
      <c r="M218" s="45"/>
      <c r="N218" s="46"/>
      <c r="O218" s="46"/>
      <c r="P218" s="164"/>
      <c r="Q218" s="164"/>
      <c r="R218" s="45"/>
      <c r="T218" s="42"/>
      <c r="V218" s="164"/>
      <c r="Y218" s="45"/>
      <c r="Z218" s="325"/>
      <c r="AA218" s="45"/>
      <c r="AB218" s="45"/>
      <c r="AC218" s="46"/>
      <c r="AD218" s="46"/>
      <c r="AE218" s="45"/>
      <c r="AF218" s="45"/>
      <c r="AH218" s="51"/>
      <c r="AI218" s="164"/>
      <c r="AJ218" s="164"/>
      <c r="AL218" s="45"/>
      <c r="AM218" s="46"/>
      <c r="AN218" s="46"/>
    </row>
    <row r="219" spans="3:40">
      <c r="F219" s="50"/>
      <c r="H219" s="50"/>
      <c r="I219" s="50"/>
      <c r="J219" s="326"/>
      <c r="K219" s="326"/>
      <c r="L219" s="50"/>
      <c r="M219" s="50"/>
      <c r="N219" s="50"/>
      <c r="O219" s="50"/>
      <c r="P219" s="50"/>
      <c r="Q219" s="50"/>
      <c r="R219" s="50"/>
      <c r="V219" s="50"/>
      <c r="Y219" s="50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  <c r="AM219" s="46"/>
      <c r="AN219" s="46"/>
    </row>
    <row r="220" spans="3:40">
      <c r="C220" s="42"/>
      <c r="F220" s="45"/>
      <c r="H220" s="45"/>
      <c r="I220" s="45"/>
      <c r="J220" s="47"/>
      <c r="K220" s="47"/>
      <c r="L220" s="45"/>
      <c r="M220" s="45"/>
      <c r="N220" s="46"/>
      <c r="O220" s="46"/>
      <c r="P220" s="45"/>
      <c r="Q220" s="45"/>
      <c r="R220" s="45"/>
      <c r="T220" s="42"/>
      <c r="V220" s="45"/>
      <c r="Y220" s="45"/>
      <c r="Z220" s="47"/>
      <c r="AA220" s="45"/>
      <c r="AB220" s="45"/>
      <c r="AC220" s="46"/>
      <c r="AD220" s="46"/>
      <c r="AE220" s="45"/>
      <c r="AF220" s="45"/>
      <c r="AH220" s="51"/>
      <c r="AI220" s="45"/>
      <c r="AJ220" s="45"/>
      <c r="AL220" s="45"/>
      <c r="AM220" s="46"/>
      <c r="AN220" s="46"/>
    </row>
    <row r="221" spans="3:40">
      <c r="F221" s="50"/>
      <c r="H221" s="50"/>
      <c r="I221" s="50"/>
      <c r="J221" s="326"/>
      <c r="K221" s="326"/>
      <c r="L221" s="50"/>
      <c r="M221" s="50"/>
      <c r="N221" s="50"/>
      <c r="O221" s="50"/>
      <c r="P221" s="50"/>
      <c r="Q221" s="50"/>
      <c r="R221" s="50"/>
      <c r="V221" s="50"/>
      <c r="Y221" s="50"/>
      <c r="Z221" s="326"/>
      <c r="AA221" s="50"/>
      <c r="AB221" s="50"/>
      <c r="AC221" s="50"/>
      <c r="AD221" s="50"/>
      <c r="AE221" s="50"/>
      <c r="AF221" s="50"/>
      <c r="AI221" s="50"/>
      <c r="AJ221" s="50"/>
      <c r="AK221" s="111"/>
      <c r="AL221" s="50"/>
      <c r="AM221" s="46"/>
      <c r="AN221" s="46"/>
    </row>
    <row r="222" spans="3:40">
      <c r="C222" s="42"/>
      <c r="F222" s="45"/>
      <c r="H222" s="45"/>
      <c r="I222" s="45"/>
      <c r="J222" s="47"/>
      <c r="K222" s="47"/>
      <c r="L222" s="45"/>
      <c r="M222" s="45"/>
      <c r="N222" s="46"/>
      <c r="O222" s="46"/>
      <c r="P222" s="45"/>
      <c r="Q222" s="45"/>
      <c r="R222" s="45"/>
      <c r="T222" s="42"/>
      <c r="V222" s="45"/>
      <c r="Y222" s="45"/>
      <c r="Z222" s="47"/>
      <c r="AA222" s="45"/>
      <c r="AB222" s="45"/>
      <c r="AC222" s="46"/>
      <c r="AD222" s="46"/>
      <c r="AE222" s="45"/>
      <c r="AF222" s="45"/>
      <c r="AH222" s="51"/>
      <c r="AI222" s="45"/>
      <c r="AJ222" s="45"/>
      <c r="AL222" s="45"/>
      <c r="AM222" s="46"/>
      <c r="AN222" s="46"/>
    </row>
    <row r="223" spans="3:40">
      <c r="C223" s="42"/>
      <c r="F223" s="45"/>
      <c r="H223" s="45"/>
      <c r="I223" s="45"/>
      <c r="J223" s="47"/>
      <c r="K223" s="47"/>
      <c r="L223" s="45"/>
      <c r="M223" s="45"/>
      <c r="N223" s="46"/>
      <c r="O223" s="46"/>
      <c r="P223" s="45"/>
      <c r="Q223" s="45"/>
      <c r="R223" s="45"/>
      <c r="T223" s="42"/>
      <c r="V223" s="45"/>
      <c r="Y223" s="45"/>
      <c r="Z223" s="47"/>
      <c r="AA223" s="45"/>
      <c r="AB223" s="45"/>
      <c r="AC223" s="46"/>
      <c r="AD223" s="46"/>
      <c r="AE223" s="45"/>
      <c r="AF223" s="45"/>
      <c r="AH223" s="51"/>
      <c r="AI223" s="45"/>
      <c r="AJ223" s="45"/>
      <c r="AL223" s="45"/>
      <c r="AM223" s="46"/>
      <c r="AN223" s="46"/>
    </row>
    <row r="224" spans="3:40">
      <c r="F224" s="50"/>
      <c r="H224" s="50"/>
      <c r="I224" s="50"/>
      <c r="J224" s="326"/>
      <c r="K224" s="326"/>
      <c r="L224" s="50"/>
      <c r="M224" s="50"/>
      <c r="N224" s="50"/>
      <c r="O224" s="50"/>
      <c r="P224" s="50"/>
      <c r="Q224" s="50"/>
      <c r="R224" s="50"/>
      <c r="V224" s="50"/>
      <c r="Y224" s="50"/>
      <c r="Z224" s="326"/>
      <c r="AA224" s="50"/>
      <c r="AB224" s="50"/>
      <c r="AC224" s="50"/>
      <c r="AD224" s="50"/>
      <c r="AE224" s="50"/>
      <c r="AF224" s="50"/>
      <c r="AI224" s="50"/>
      <c r="AJ224" s="50"/>
      <c r="AK224" s="111"/>
      <c r="AL224" s="50"/>
      <c r="AM224" s="45"/>
      <c r="AN224" s="45"/>
    </row>
    <row r="225" spans="1:40">
      <c r="F225" s="45"/>
      <c r="H225" s="45"/>
      <c r="I225" s="45"/>
      <c r="J225" s="47"/>
      <c r="K225" s="47"/>
      <c r="L225" s="45"/>
      <c r="M225" s="45"/>
      <c r="N225" s="45"/>
      <c r="O225" s="45"/>
      <c r="P225" s="45"/>
      <c r="Q225" s="45"/>
      <c r="R225" s="45"/>
      <c r="V225" s="45"/>
      <c r="Y225" s="45"/>
      <c r="Z225" s="47"/>
      <c r="AA225" s="45"/>
      <c r="AB225" s="45"/>
      <c r="AC225" s="45"/>
      <c r="AD225" s="45"/>
    </row>
    <row r="226" spans="1:40">
      <c r="C226" s="42"/>
      <c r="F226" s="45"/>
      <c r="H226" s="45"/>
      <c r="I226" s="45"/>
      <c r="J226" s="47"/>
      <c r="K226" s="47"/>
      <c r="L226" s="45"/>
      <c r="M226" s="45"/>
      <c r="N226" s="45"/>
      <c r="O226" s="45"/>
      <c r="P226" s="45"/>
      <c r="Q226" s="45"/>
      <c r="R226" s="45"/>
      <c r="T226" s="42"/>
      <c r="V226" s="45"/>
      <c r="Y226" s="45"/>
      <c r="Z226" s="47"/>
      <c r="AA226" s="45"/>
      <c r="AB226" s="45"/>
      <c r="AC226" s="45"/>
      <c r="AD226" s="45"/>
    </row>
    <row r="227" spans="1:40">
      <c r="A227" s="42"/>
    </row>
    <row r="229" spans="1:40">
      <c r="H229" s="42"/>
      <c r="I229" s="42"/>
      <c r="Y229" s="42"/>
    </row>
    <row r="231" spans="1:40">
      <c r="L231" s="42"/>
      <c r="M231" s="42"/>
      <c r="AA231" s="42"/>
      <c r="AB231" s="42"/>
    </row>
    <row r="232" spans="1:40">
      <c r="R232" s="42"/>
      <c r="AK232" s="110"/>
      <c r="AL232" s="42"/>
    </row>
    <row r="233" spans="1:40">
      <c r="R233" s="42"/>
      <c r="AK233" s="110"/>
      <c r="AL233" s="42"/>
    </row>
    <row r="234" spans="1:40">
      <c r="A234" s="42"/>
      <c r="R234" s="42"/>
      <c r="AK234" s="110"/>
      <c r="AL234" s="42"/>
    </row>
    <row r="235" spans="1:40">
      <c r="L235" s="42"/>
      <c r="M235" s="42"/>
      <c r="AA235" s="42"/>
      <c r="AB235" s="42"/>
    </row>
    <row r="236" spans="1:40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107"/>
      <c r="AH236" s="49"/>
      <c r="AI236" s="49"/>
      <c r="AJ236" s="49"/>
      <c r="AK236" s="107"/>
      <c r="AL236" s="49"/>
      <c r="AM236" s="49"/>
      <c r="AN236" s="49"/>
    </row>
    <row r="237" spans="1:40">
      <c r="L237" s="44"/>
      <c r="M237" s="44"/>
      <c r="N237" s="44"/>
      <c r="O237" s="44"/>
      <c r="R237" s="44"/>
      <c r="AA237" s="44"/>
      <c r="AB237" s="44"/>
      <c r="AC237" s="44"/>
      <c r="AD237" s="44"/>
      <c r="AE237" s="44"/>
      <c r="AF237" s="44"/>
      <c r="AG237" s="102"/>
      <c r="AH237" s="44"/>
      <c r="AK237" s="102"/>
      <c r="AL237" s="44"/>
      <c r="AM237" s="44"/>
      <c r="AN237" s="44"/>
    </row>
    <row r="238" spans="1:40">
      <c r="L238" s="44"/>
      <c r="M238" s="44"/>
      <c r="N238" s="44"/>
      <c r="O238" s="44"/>
      <c r="R238" s="44"/>
      <c r="Z238" s="44"/>
      <c r="AA238" s="44"/>
      <c r="AB238" s="44"/>
      <c r="AC238" s="44"/>
      <c r="AD238" s="44"/>
      <c r="AE238" s="44"/>
      <c r="AF238" s="44"/>
      <c r="AG238" s="102"/>
      <c r="AH238" s="44"/>
      <c r="AK238" s="102"/>
      <c r="AL238" s="44"/>
      <c r="AM238" s="44"/>
      <c r="AN238" s="44"/>
    </row>
    <row r="239" spans="1:40">
      <c r="A239" s="44"/>
      <c r="C239" s="44"/>
      <c r="D239" s="44"/>
      <c r="E239" s="44"/>
      <c r="F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Z239" s="44"/>
      <c r="AA239" s="44"/>
      <c r="AB239" s="44"/>
      <c r="AC239" s="44"/>
      <c r="AD239" s="44"/>
      <c r="AE239" s="44"/>
      <c r="AF239" s="44"/>
      <c r="AG239" s="102"/>
      <c r="AH239" s="44"/>
      <c r="AI239" s="44"/>
      <c r="AJ239" s="44"/>
      <c r="AK239" s="102"/>
      <c r="AL239" s="44"/>
      <c r="AM239" s="44"/>
      <c r="AN239" s="44"/>
    </row>
    <row r="240" spans="1:40">
      <c r="A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Y240" s="44"/>
      <c r="Z240" s="44"/>
      <c r="AA240" s="44"/>
      <c r="AB240" s="44"/>
      <c r="AC240" s="44"/>
      <c r="AD240" s="44"/>
      <c r="AE240" s="44"/>
      <c r="AF240" s="44"/>
      <c r="AG240" s="102"/>
      <c r="AH240" s="44"/>
      <c r="AI240" s="44"/>
      <c r="AJ240" s="44"/>
      <c r="AK240" s="102"/>
      <c r="AL240" s="44"/>
      <c r="AM240" s="44"/>
      <c r="AN240" s="44"/>
    </row>
    <row r="241" spans="1:40"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1:40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107"/>
      <c r="AH242" s="49"/>
      <c r="AI242" s="49"/>
      <c r="AJ242" s="49"/>
      <c r="AK242" s="107"/>
      <c r="AL242" s="49"/>
      <c r="AM242" s="49"/>
      <c r="AN242" s="49"/>
    </row>
    <row r="243" spans="1:40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Y243" s="44"/>
      <c r="Z243" s="44"/>
      <c r="AA243" s="44"/>
      <c r="AB243" s="44"/>
      <c r="AC243" s="44"/>
      <c r="AD243" s="44"/>
      <c r="AE243" s="44"/>
      <c r="AF243" s="44"/>
      <c r="AG243" s="102"/>
      <c r="AH243" s="44"/>
      <c r="AI243" s="44"/>
      <c r="AJ243" s="44"/>
      <c r="AK243" s="102"/>
      <c r="AL243" s="44"/>
      <c r="AM243" s="44"/>
      <c r="AN243" s="44"/>
    </row>
    <row r="244" spans="1:40">
      <c r="C244" s="42"/>
      <c r="D244" s="42"/>
      <c r="E244" s="42"/>
      <c r="T244" s="42"/>
      <c r="U244" s="42"/>
    </row>
    <row r="246" spans="1:40">
      <c r="C246" s="42"/>
      <c r="F246" s="164"/>
      <c r="H246" s="329"/>
      <c r="I246" s="329"/>
      <c r="J246" s="316"/>
      <c r="K246" s="316"/>
      <c r="L246" s="45"/>
      <c r="M246" s="45"/>
      <c r="R246" s="45"/>
      <c r="T246" s="42"/>
      <c r="V246" s="45"/>
      <c r="Z246" s="316"/>
      <c r="AA246" s="45"/>
      <c r="AB246" s="45"/>
      <c r="AE246" s="45"/>
      <c r="AF246" s="45"/>
      <c r="AG246" s="333"/>
      <c r="AH246" s="334"/>
      <c r="AI246" s="45"/>
      <c r="AJ246" s="45"/>
      <c r="AL246" s="45"/>
      <c r="AM246" s="335"/>
      <c r="AN246" s="335"/>
    </row>
    <row r="247" spans="1:40">
      <c r="F247" s="164"/>
      <c r="H247" s="329"/>
      <c r="I247" s="329"/>
      <c r="J247" s="329"/>
      <c r="K247" s="329"/>
      <c r="R247" s="45"/>
      <c r="V247" s="45"/>
      <c r="Z247" s="329"/>
    </row>
    <row r="248" spans="1:40">
      <c r="C248" s="42"/>
      <c r="F248" s="164"/>
      <c r="H248" s="164"/>
      <c r="I248" s="164"/>
      <c r="J248" s="331"/>
      <c r="K248" s="331"/>
      <c r="L248" s="45"/>
      <c r="M248" s="45"/>
      <c r="N248" s="46"/>
      <c r="O248" s="46"/>
      <c r="P248" s="164"/>
      <c r="Q248" s="164"/>
      <c r="R248" s="45"/>
      <c r="T248" s="42"/>
      <c r="V248" s="45"/>
      <c r="Y248" s="45"/>
      <c r="Z248" s="325"/>
      <c r="AA248" s="45"/>
      <c r="AB248" s="45"/>
      <c r="AC248" s="46"/>
      <c r="AD248" s="46"/>
      <c r="AE248" s="45"/>
      <c r="AF248" s="45"/>
      <c r="AH248" s="51"/>
      <c r="AI248" s="164"/>
      <c r="AJ248" s="164"/>
      <c r="AL248" s="45"/>
      <c r="AM248" s="46"/>
      <c r="AN248" s="46"/>
    </row>
    <row r="249" spans="1:40">
      <c r="F249" s="50"/>
      <c r="H249" s="50"/>
      <c r="I249" s="50"/>
      <c r="J249" s="326"/>
      <c r="K249" s="326"/>
      <c r="L249" s="50"/>
      <c r="M249" s="50"/>
      <c r="N249" s="50"/>
      <c r="O249" s="50"/>
      <c r="P249" s="50"/>
      <c r="Q249" s="50"/>
      <c r="R249" s="50"/>
      <c r="V249" s="50"/>
      <c r="Y249" s="50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</row>
    <row r="250" spans="1:40">
      <c r="D250" s="42"/>
      <c r="E250" s="42"/>
      <c r="F250" s="45"/>
      <c r="H250" s="45"/>
      <c r="I250" s="45"/>
      <c r="J250" s="47"/>
      <c r="K250" s="47"/>
      <c r="L250" s="45"/>
      <c r="M250" s="45"/>
      <c r="N250" s="46"/>
      <c r="O250" s="46"/>
      <c r="P250" s="45"/>
      <c r="Q250" s="45"/>
      <c r="R250" s="45"/>
      <c r="U250" s="42"/>
      <c r="V250" s="45"/>
      <c r="Y250" s="45"/>
      <c r="Z250" s="47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1:40">
      <c r="F251" s="50"/>
      <c r="H251" s="50"/>
      <c r="I251" s="50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1:40">
      <c r="R252" s="45"/>
    </row>
    <row r="253" spans="1:40">
      <c r="R253" s="45"/>
    </row>
    <row r="254" spans="1:40">
      <c r="R254" s="45"/>
    </row>
    <row r="255" spans="1:40">
      <c r="C255" s="42"/>
      <c r="D255" s="42"/>
      <c r="E255" s="42"/>
      <c r="H255" s="45"/>
      <c r="I255" s="45"/>
      <c r="J255" s="47"/>
      <c r="K255" s="47"/>
      <c r="L255" s="45"/>
      <c r="M255" s="45"/>
      <c r="N255" s="46"/>
      <c r="O255" s="46"/>
      <c r="P255" s="45"/>
      <c r="Q255" s="45"/>
      <c r="R255" s="45"/>
      <c r="T255" s="42"/>
      <c r="U255" s="42"/>
      <c r="Y255" s="45"/>
      <c r="Z255" s="47"/>
      <c r="AA255" s="45"/>
      <c r="AB255" s="45"/>
      <c r="AC255" s="46"/>
      <c r="AD255" s="46"/>
    </row>
    <row r="256" spans="1:40"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Y256" s="45"/>
      <c r="Z256" s="47"/>
      <c r="AA256" s="45"/>
      <c r="AB256" s="45"/>
      <c r="AC256" s="46"/>
      <c r="AD256" s="46"/>
    </row>
    <row r="257" spans="1:40">
      <c r="C257" s="42"/>
      <c r="F257" s="164"/>
      <c r="H257" s="164"/>
      <c r="I257" s="164"/>
      <c r="J257" s="52"/>
      <c r="K257" s="52"/>
      <c r="L257" s="164"/>
      <c r="M257" s="164"/>
      <c r="N257" s="46"/>
      <c r="O257" s="46"/>
      <c r="P257" s="45"/>
      <c r="Q257" s="45"/>
      <c r="R257" s="45"/>
      <c r="T257" s="42"/>
      <c r="V257" s="45"/>
      <c r="Y257" s="45"/>
      <c r="Z257" s="52"/>
      <c r="AA257" s="45"/>
      <c r="AB257" s="45"/>
      <c r="AC257" s="46"/>
      <c r="AD257" s="46"/>
      <c r="AE257" s="45"/>
      <c r="AF257" s="45"/>
      <c r="AH257" s="51"/>
      <c r="AI257" s="45"/>
      <c r="AJ257" s="45"/>
      <c r="AL257" s="45"/>
      <c r="AM257" s="46"/>
      <c r="AN257" s="46"/>
    </row>
    <row r="258" spans="1:40">
      <c r="F258" s="164"/>
      <c r="H258" s="329"/>
      <c r="I258" s="329"/>
      <c r="J258" s="329"/>
      <c r="K258" s="329"/>
      <c r="R258" s="45"/>
      <c r="V258" s="45"/>
      <c r="Z258" s="329"/>
    </row>
    <row r="259" spans="1:40">
      <c r="C259" s="42"/>
      <c r="F259" s="164"/>
      <c r="H259" s="164"/>
      <c r="I259" s="164"/>
      <c r="J259" s="316"/>
      <c r="K259" s="316"/>
      <c r="L259" s="45"/>
      <c r="M259" s="45"/>
      <c r="N259" s="46"/>
      <c r="O259" s="46"/>
      <c r="P259" s="45"/>
      <c r="Q259" s="45"/>
      <c r="R259" s="45"/>
      <c r="T259" s="42"/>
      <c r="V259" s="45"/>
      <c r="Y259" s="45"/>
      <c r="Z259" s="316"/>
      <c r="AA259" s="45"/>
      <c r="AB259" s="45"/>
      <c r="AC259" s="46"/>
      <c r="AD259" s="46"/>
      <c r="AE259" s="45"/>
      <c r="AF259" s="45"/>
      <c r="AH259" s="51"/>
      <c r="AI259" s="45"/>
      <c r="AJ259" s="45"/>
      <c r="AL259" s="45"/>
      <c r="AM259" s="46"/>
      <c r="AN259" s="46"/>
    </row>
    <row r="260" spans="1:40">
      <c r="F260" s="164"/>
      <c r="H260" s="329"/>
      <c r="I260" s="329"/>
      <c r="J260" s="329"/>
      <c r="K260" s="329"/>
      <c r="R260" s="45"/>
      <c r="V260" s="45"/>
      <c r="Z260" s="329"/>
    </row>
    <row r="261" spans="1:40">
      <c r="C261" s="42"/>
      <c r="F261" s="164"/>
      <c r="H261" s="164"/>
      <c r="I261" s="164"/>
      <c r="J261" s="331"/>
      <c r="K261" s="331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1:40">
      <c r="F262" s="50"/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S262" s="45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</row>
    <row r="263" spans="1:40">
      <c r="D263" s="42"/>
      <c r="E263" s="42"/>
      <c r="F263" s="45"/>
      <c r="H263" s="45"/>
      <c r="I263" s="45"/>
      <c r="J263" s="47"/>
      <c r="K263" s="47"/>
      <c r="L263" s="45"/>
      <c r="M263" s="45"/>
      <c r="N263" s="46"/>
      <c r="O263" s="46"/>
      <c r="P263" s="164"/>
      <c r="Q263" s="164"/>
      <c r="R263" s="45"/>
      <c r="S263" s="45"/>
      <c r="U263" s="42"/>
      <c r="V263" s="45"/>
      <c r="Y263" s="45"/>
      <c r="Z263" s="47"/>
      <c r="AA263" s="45"/>
      <c r="AB263" s="45"/>
      <c r="AC263" s="46"/>
      <c r="AD263" s="46"/>
      <c r="AE263" s="45"/>
      <c r="AF263" s="45"/>
      <c r="AH263" s="51"/>
      <c r="AI263" s="164"/>
      <c r="AJ263" s="164"/>
      <c r="AL263" s="45"/>
      <c r="AM263" s="46"/>
      <c r="AN263" s="46"/>
    </row>
    <row r="264" spans="1:40">
      <c r="F264" s="50"/>
      <c r="H264" s="50"/>
      <c r="I264" s="50"/>
      <c r="J264" s="326"/>
      <c r="K264" s="326"/>
      <c r="L264" s="50"/>
      <c r="M264" s="50"/>
      <c r="N264" s="50"/>
      <c r="O264" s="50"/>
      <c r="P264" s="50"/>
      <c r="Q264" s="50"/>
      <c r="R264" s="50"/>
      <c r="S264" s="45"/>
      <c r="V264" s="50"/>
      <c r="Y264" s="50"/>
      <c r="Z264" s="326"/>
      <c r="AA264" s="50"/>
      <c r="AB264" s="50"/>
      <c r="AC264" s="50"/>
      <c r="AD264" s="50"/>
      <c r="AE264" s="50"/>
      <c r="AF264" s="50"/>
      <c r="AI264" s="50"/>
      <c r="AJ264" s="50"/>
      <c r="AK264" s="111"/>
      <c r="AL264" s="50"/>
    </row>
    <row r="265" spans="1:40">
      <c r="R265" s="45"/>
    </row>
    <row r="266" spans="1:40">
      <c r="F266" s="45"/>
      <c r="H266" s="45"/>
      <c r="I266" s="45"/>
      <c r="J266" s="47"/>
      <c r="K266" s="47"/>
      <c r="L266" s="45"/>
      <c r="M266" s="45"/>
      <c r="N266" s="45"/>
      <c r="O266" s="45"/>
      <c r="P266" s="45"/>
      <c r="Q266" s="45"/>
      <c r="R266" s="45"/>
      <c r="V266" s="45"/>
      <c r="Y266" s="45"/>
      <c r="Z266" s="47"/>
      <c r="AA266" s="45"/>
      <c r="AB266" s="45"/>
      <c r="AC266" s="45"/>
      <c r="AD266" s="45"/>
    </row>
    <row r="267" spans="1:40">
      <c r="C267" s="42"/>
      <c r="F267" s="45"/>
      <c r="H267" s="45"/>
      <c r="I267" s="45"/>
      <c r="J267" s="47"/>
      <c r="K267" s="47"/>
      <c r="L267" s="45"/>
      <c r="M267" s="45"/>
      <c r="N267" s="45"/>
      <c r="O267" s="45"/>
      <c r="P267" s="45"/>
      <c r="Q267" s="45"/>
      <c r="R267" s="45"/>
      <c r="T267" s="42"/>
      <c r="V267" s="45"/>
      <c r="Y267" s="45"/>
      <c r="Z267" s="47"/>
      <c r="AA267" s="45"/>
      <c r="AB267" s="45"/>
      <c r="AC267" s="45"/>
      <c r="AD267" s="45"/>
    </row>
    <row r="268" spans="1:40">
      <c r="C268" s="42"/>
      <c r="T268" s="42"/>
    </row>
    <row r="269" spans="1:40">
      <c r="A269" s="42"/>
    </row>
    <row r="272" spans="1:40">
      <c r="H272" s="42"/>
      <c r="I272" s="42"/>
      <c r="Y272" s="42"/>
    </row>
    <row r="274" spans="1:40">
      <c r="L274" s="42"/>
      <c r="M274" s="42"/>
      <c r="AA274" s="42"/>
      <c r="AB274" s="42"/>
    </row>
    <row r="275" spans="1:40">
      <c r="R275" s="42"/>
      <c r="AK275" s="110"/>
      <c r="AL275" s="42"/>
    </row>
    <row r="276" spans="1:40">
      <c r="R276" s="42"/>
      <c r="AK276" s="110"/>
      <c r="AL276" s="42"/>
    </row>
    <row r="277" spans="1:40">
      <c r="A277" s="42"/>
      <c r="R277" s="42"/>
      <c r="AK277" s="110"/>
      <c r="AL277" s="42"/>
    </row>
    <row r="278" spans="1:40">
      <c r="L278" s="42"/>
      <c r="M278" s="42"/>
      <c r="AA278" s="42"/>
      <c r="AB278" s="42"/>
    </row>
    <row r="279" spans="1:40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107"/>
      <c r="AH279" s="49"/>
      <c r="AI279" s="49"/>
      <c r="AJ279" s="49"/>
      <c r="AK279" s="107"/>
      <c r="AL279" s="49"/>
      <c r="AM279" s="49"/>
      <c r="AN279" s="49"/>
    </row>
    <row r="280" spans="1:40">
      <c r="L280" s="44"/>
      <c r="M280" s="44"/>
      <c r="N280" s="44"/>
      <c r="O280" s="44"/>
      <c r="R280" s="44"/>
      <c r="AA280" s="44"/>
      <c r="AB280" s="44"/>
      <c r="AC280" s="44"/>
      <c r="AD280" s="44"/>
      <c r="AE280" s="44"/>
      <c r="AF280" s="44"/>
      <c r="AG280" s="102"/>
      <c r="AH280" s="44"/>
      <c r="AK280" s="102"/>
      <c r="AL280" s="44"/>
      <c r="AM280" s="44"/>
      <c r="AN280" s="44"/>
    </row>
    <row r="281" spans="1:40">
      <c r="L281" s="44"/>
      <c r="M281" s="44"/>
      <c r="N281" s="44"/>
      <c r="O281" s="44"/>
      <c r="R281" s="44"/>
      <c r="Z281" s="44"/>
      <c r="AA281" s="44"/>
      <c r="AB281" s="44"/>
      <c r="AC281" s="44"/>
      <c r="AD281" s="44"/>
      <c r="AE281" s="44"/>
      <c r="AF281" s="44"/>
      <c r="AG281" s="102"/>
      <c r="AH281" s="44"/>
      <c r="AK281" s="102"/>
      <c r="AL281" s="44"/>
      <c r="AM281" s="44"/>
      <c r="AN281" s="44"/>
    </row>
    <row r="282" spans="1:40">
      <c r="A282" s="44"/>
      <c r="C282" s="44"/>
      <c r="D282" s="44"/>
      <c r="E282" s="44"/>
      <c r="F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>
      <c r="A283" s="44"/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02"/>
      <c r="AH283" s="44"/>
      <c r="AI283" s="44"/>
      <c r="AJ283" s="44"/>
      <c r="AK283" s="102"/>
      <c r="AL283" s="44"/>
      <c r="AM283" s="44"/>
      <c r="AN283" s="44"/>
    </row>
    <row r="284" spans="1:40">
      <c r="C284" s="44"/>
      <c r="D284" s="44"/>
      <c r="E284" s="44"/>
      <c r="F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T284" s="44"/>
      <c r="U284" s="44"/>
      <c r="V284" s="44"/>
      <c r="Y284" s="44"/>
      <c r="Z284" s="44"/>
      <c r="AA284" s="44"/>
      <c r="AB284" s="44"/>
      <c r="AC284" s="44"/>
      <c r="AD284" s="44"/>
      <c r="AE284" s="44"/>
      <c r="AF284" s="44"/>
      <c r="AG284" s="102"/>
      <c r="AH284" s="44"/>
      <c r="AI284" s="44"/>
      <c r="AJ284" s="44"/>
      <c r="AK284" s="102"/>
      <c r="AL284" s="44"/>
      <c r="AM284" s="44"/>
      <c r="AN284" s="44"/>
    </row>
    <row r="285" spans="1:40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107"/>
      <c r="AH285" s="49"/>
      <c r="AI285" s="49"/>
      <c r="AJ285" s="49"/>
      <c r="AK285" s="107"/>
      <c r="AL285" s="49"/>
      <c r="AM285" s="49"/>
      <c r="AN285" s="49"/>
    </row>
    <row r="286" spans="1:40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Y286" s="44"/>
      <c r="Z286" s="44"/>
      <c r="AA286" s="44"/>
      <c r="AB286" s="44"/>
      <c r="AC286" s="44"/>
      <c r="AD286" s="44"/>
      <c r="AE286" s="44"/>
      <c r="AF286" s="44"/>
      <c r="AG286" s="102"/>
      <c r="AH286" s="44"/>
      <c r="AI286" s="44"/>
      <c r="AJ286" s="44"/>
      <c r="AK286" s="102"/>
      <c r="AL286" s="44"/>
      <c r="AM286" s="44"/>
      <c r="AN286" s="44"/>
    </row>
    <row r="287" spans="1:40">
      <c r="C287" s="42"/>
      <c r="D287" s="42"/>
      <c r="E287" s="42"/>
      <c r="T287" s="42"/>
      <c r="U287" s="42"/>
    </row>
    <row r="288" spans="1:40">
      <c r="D288" s="42"/>
      <c r="E288" s="42"/>
      <c r="U288" s="42"/>
    </row>
    <row r="290" spans="3:40">
      <c r="C290" s="42"/>
      <c r="F290" s="45"/>
      <c r="J290" s="53"/>
      <c r="K290" s="53"/>
      <c r="L290" s="45"/>
      <c r="M290" s="45"/>
      <c r="R290" s="45"/>
      <c r="T290" s="42"/>
      <c r="V290" s="45"/>
      <c r="Z290" s="53"/>
      <c r="AA290" s="45"/>
      <c r="AB290" s="45"/>
      <c r="AL290" s="45"/>
    </row>
    <row r="291" spans="3:40">
      <c r="F291" s="45"/>
      <c r="R291" s="45"/>
      <c r="V291" s="45"/>
      <c r="AL291" s="45"/>
    </row>
    <row r="292" spans="3:40">
      <c r="C292" s="42"/>
      <c r="F292" s="164"/>
      <c r="H292" s="164"/>
      <c r="I292" s="164"/>
      <c r="J292" s="316"/>
      <c r="K292" s="316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316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>
      <c r="C293" s="42"/>
      <c r="F293" s="164"/>
      <c r="H293" s="329"/>
      <c r="I293" s="329"/>
      <c r="J293" s="316"/>
      <c r="K293" s="316"/>
      <c r="L293" s="45"/>
      <c r="M293" s="45"/>
      <c r="N293" s="46"/>
      <c r="O293" s="46"/>
      <c r="P293" s="45"/>
      <c r="Q293" s="45"/>
      <c r="R293" s="45"/>
      <c r="T293" s="42"/>
      <c r="V293" s="45"/>
      <c r="Y293" s="45"/>
      <c r="Z293" s="316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>
      <c r="F294" s="50"/>
      <c r="H294" s="45"/>
      <c r="I294" s="45"/>
      <c r="J294" s="326"/>
      <c r="K294" s="326"/>
      <c r="L294" s="50"/>
      <c r="M294" s="50"/>
      <c r="N294" s="50"/>
      <c r="O294" s="50"/>
      <c r="P294" s="50"/>
      <c r="Q294" s="50"/>
      <c r="R294" s="50"/>
      <c r="V294" s="50"/>
      <c r="Y294" s="45"/>
      <c r="Z294" s="326"/>
      <c r="AA294" s="50"/>
      <c r="AB294" s="50"/>
      <c r="AC294" s="50"/>
      <c r="AD294" s="50"/>
      <c r="AE294" s="50"/>
      <c r="AF294" s="50"/>
      <c r="AI294" s="50"/>
      <c r="AJ294" s="50"/>
      <c r="AK294" s="111"/>
      <c r="AL294" s="50"/>
    </row>
    <row r="295" spans="3:40">
      <c r="C295" s="42"/>
      <c r="F295" s="45"/>
      <c r="H295" s="45"/>
      <c r="I295" s="45"/>
      <c r="J295" s="47"/>
      <c r="K295" s="47"/>
      <c r="L295" s="45"/>
      <c r="M295" s="45"/>
      <c r="N295" s="46"/>
      <c r="O295" s="46"/>
      <c r="P295" s="45"/>
      <c r="Q295" s="45"/>
      <c r="R295" s="45"/>
      <c r="T295" s="42"/>
      <c r="V295" s="45"/>
      <c r="Y295" s="45"/>
      <c r="Z295" s="47"/>
      <c r="AA295" s="45"/>
      <c r="AB295" s="45"/>
      <c r="AC295" s="46"/>
      <c r="AD295" s="46"/>
      <c r="AE295" s="45"/>
      <c r="AF295" s="45"/>
      <c r="AH295" s="51"/>
      <c r="AI295" s="45"/>
      <c r="AJ295" s="45"/>
      <c r="AL295" s="45"/>
      <c r="AM295" s="46"/>
      <c r="AN295" s="46"/>
    </row>
    <row r="296" spans="3:40">
      <c r="F296" s="50"/>
      <c r="H296" s="45"/>
      <c r="I296" s="45"/>
      <c r="J296" s="326"/>
      <c r="K296" s="326"/>
      <c r="L296" s="50"/>
      <c r="M296" s="50"/>
      <c r="N296" s="50"/>
      <c r="O296" s="50"/>
      <c r="P296" s="50"/>
      <c r="Q296" s="50"/>
      <c r="R296" s="50"/>
      <c r="V296" s="50"/>
      <c r="Y296" s="45"/>
      <c r="Z296" s="326"/>
      <c r="AA296" s="50"/>
      <c r="AB296" s="50"/>
      <c r="AC296" s="50"/>
      <c r="AD296" s="50"/>
      <c r="AE296" s="50"/>
      <c r="AF296" s="50"/>
      <c r="AI296" s="50"/>
      <c r="AJ296" s="50"/>
      <c r="AK296" s="111"/>
      <c r="AL296" s="50"/>
    </row>
    <row r="297" spans="3:40">
      <c r="F297" s="45"/>
      <c r="R297" s="45"/>
      <c r="V297" s="45"/>
      <c r="AL297" s="45"/>
    </row>
    <row r="298" spans="3:40">
      <c r="C298" s="42"/>
      <c r="F298" s="45"/>
      <c r="R298" s="45"/>
      <c r="T298" s="42"/>
      <c r="V298" s="45"/>
      <c r="AL298" s="45"/>
    </row>
    <row r="299" spans="3:40">
      <c r="F299" s="45"/>
      <c r="R299" s="45"/>
      <c r="V299" s="45"/>
      <c r="AL299" s="45"/>
    </row>
    <row r="300" spans="3:40">
      <c r="C300" s="42"/>
      <c r="F300" s="45"/>
      <c r="H300" s="164"/>
      <c r="I300" s="164"/>
      <c r="J300" s="331"/>
      <c r="K300" s="331"/>
      <c r="L300" s="45"/>
      <c r="M300" s="45"/>
      <c r="N300" s="46"/>
      <c r="O300" s="46"/>
      <c r="P300" s="164"/>
      <c r="Q300" s="164"/>
      <c r="R300" s="45"/>
      <c r="T300" s="42"/>
      <c r="V300" s="45"/>
      <c r="Y300" s="45"/>
      <c r="Z300" s="325"/>
      <c r="AA300" s="45"/>
      <c r="AB300" s="45"/>
      <c r="AC300" s="46"/>
      <c r="AD300" s="46"/>
      <c r="AE300" s="45"/>
      <c r="AF300" s="45"/>
      <c r="AH300" s="51"/>
      <c r="AI300" s="164"/>
      <c r="AJ300" s="164"/>
      <c r="AL300" s="45"/>
      <c r="AM300" s="46"/>
      <c r="AN300" s="46"/>
    </row>
    <row r="301" spans="3:40">
      <c r="F301" s="50"/>
      <c r="H301" s="50"/>
      <c r="I301" s="50"/>
      <c r="J301" s="326"/>
      <c r="K301" s="326"/>
      <c r="L301" s="50"/>
      <c r="M301" s="50"/>
      <c r="N301" s="50"/>
      <c r="O301" s="50"/>
      <c r="P301" s="50"/>
      <c r="Q301" s="50"/>
      <c r="R301" s="50"/>
      <c r="V301" s="50"/>
      <c r="Y301" s="50"/>
      <c r="Z301" s="326"/>
      <c r="AA301" s="50"/>
      <c r="AB301" s="50"/>
      <c r="AC301" s="50"/>
      <c r="AD301" s="50"/>
      <c r="AE301" s="50"/>
      <c r="AF301" s="50"/>
      <c r="AI301" s="50"/>
      <c r="AJ301" s="50"/>
      <c r="AK301" s="111"/>
      <c r="AL301" s="50"/>
    </row>
    <row r="303" spans="3:40">
      <c r="C303" s="42"/>
      <c r="F303" s="45"/>
      <c r="H303" s="45"/>
      <c r="I303" s="45"/>
      <c r="J303" s="53"/>
      <c r="K303" s="53"/>
      <c r="L303" s="45"/>
      <c r="M303" s="45"/>
      <c r="N303" s="46"/>
      <c r="O303" s="46"/>
      <c r="P303" s="45"/>
      <c r="Q303" s="45"/>
      <c r="R303" s="45"/>
      <c r="T303" s="42"/>
      <c r="V303" s="45"/>
      <c r="Y303" s="45"/>
      <c r="Z303" s="53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3:40">
      <c r="F304" s="50"/>
      <c r="H304" s="50"/>
      <c r="I304" s="50"/>
      <c r="J304" s="326"/>
      <c r="K304" s="326"/>
      <c r="L304" s="50"/>
      <c r="M304" s="50"/>
      <c r="N304" s="50"/>
      <c r="O304" s="50"/>
      <c r="P304" s="50"/>
      <c r="Q304" s="50"/>
      <c r="R304" s="50"/>
      <c r="V304" s="50"/>
      <c r="Y304" s="50"/>
      <c r="Z304" s="326"/>
      <c r="AA304" s="50"/>
      <c r="AB304" s="50"/>
      <c r="AC304" s="50"/>
      <c r="AD304" s="50"/>
      <c r="AE304" s="50"/>
      <c r="AF304" s="50"/>
      <c r="AI304" s="50"/>
      <c r="AJ304" s="50"/>
      <c r="AK304" s="111"/>
      <c r="AL304" s="50"/>
    </row>
    <row r="305" spans="1:40">
      <c r="R305" s="45"/>
      <c r="AH305" s="45"/>
    </row>
    <row r="306" spans="1:40">
      <c r="F306" s="45"/>
      <c r="H306" s="45"/>
      <c r="I306" s="45"/>
      <c r="J306" s="47"/>
      <c r="K306" s="47"/>
      <c r="L306" s="45"/>
      <c r="M306" s="45"/>
      <c r="N306" s="45"/>
      <c r="O306" s="45"/>
      <c r="P306" s="45"/>
      <c r="Q306" s="45"/>
      <c r="R306" s="45"/>
      <c r="V306" s="45"/>
      <c r="Y306" s="45"/>
      <c r="Z306" s="47"/>
      <c r="AA306" s="45"/>
      <c r="AB306" s="45"/>
      <c r="AC306" s="45"/>
      <c r="AD306" s="45"/>
      <c r="AE306" s="45"/>
      <c r="AF306" s="45"/>
      <c r="AH306" s="45"/>
    </row>
    <row r="307" spans="1:40">
      <c r="C307" s="42"/>
      <c r="F307" s="45"/>
      <c r="H307" s="45"/>
      <c r="I307" s="45"/>
      <c r="J307" s="47"/>
      <c r="K307" s="47"/>
      <c r="L307" s="45"/>
      <c r="M307" s="45"/>
      <c r="N307" s="45"/>
      <c r="O307" s="45"/>
      <c r="P307" s="45"/>
      <c r="Q307" s="45"/>
      <c r="R307" s="45"/>
      <c r="T307" s="42"/>
      <c r="V307" s="45"/>
      <c r="Y307" s="45"/>
      <c r="Z307" s="47"/>
      <c r="AA307" s="45"/>
      <c r="AB307" s="45"/>
      <c r="AC307" s="45"/>
      <c r="AD307" s="45"/>
      <c r="AE307" s="45"/>
      <c r="AF307" s="45"/>
      <c r="AH307" s="45"/>
    </row>
    <row r="308" spans="1:40">
      <c r="A308" s="42"/>
    </row>
    <row r="311" spans="1:40">
      <c r="H311" s="42"/>
      <c r="I311" s="42"/>
      <c r="Y311" s="42"/>
    </row>
    <row r="313" spans="1:40">
      <c r="L313" s="42"/>
      <c r="M313" s="42"/>
      <c r="AA313" s="42"/>
      <c r="AB313" s="42"/>
    </row>
    <row r="314" spans="1:40">
      <c r="R314" s="42"/>
      <c r="AK314" s="110"/>
      <c r="AL314" s="42"/>
    </row>
    <row r="315" spans="1:40">
      <c r="R315" s="42"/>
      <c r="AK315" s="110"/>
      <c r="AL315" s="42"/>
    </row>
    <row r="316" spans="1:40">
      <c r="A316" s="42"/>
      <c r="R316" s="42"/>
      <c r="AK316" s="110"/>
      <c r="AL316" s="42"/>
    </row>
    <row r="317" spans="1:40">
      <c r="L317" s="42"/>
      <c r="M317" s="42"/>
      <c r="AA317" s="42"/>
      <c r="AB317" s="42"/>
    </row>
    <row r="318" spans="1:40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107"/>
      <c r="AH318" s="49"/>
      <c r="AI318" s="49"/>
      <c r="AJ318" s="49"/>
      <c r="AK318" s="107"/>
      <c r="AL318" s="49"/>
      <c r="AM318" s="49"/>
      <c r="AN318" s="49"/>
    </row>
    <row r="319" spans="1:40">
      <c r="L319" s="44"/>
      <c r="M319" s="44"/>
      <c r="N319" s="44"/>
      <c r="O319" s="44"/>
      <c r="R319" s="44"/>
      <c r="AA319" s="44"/>
      <c r="AB319" s="44"/>
      <c r="AC319" s="44"/>
      <c r="AD319" s="44"/>
      <c r="AE319" s="44"/>
      <c r="AF319" s="44"/>
      <c r="AG319" s="102"/>
      <c r="AH319" s="44"/>
      <c r="AK319" s="102"/>
      <c r="AL319" s="44"/>
      <c r="AM319" s="44"/>
      <c r="AN319" s="44"/>
    </row>
    <row r="320" spans="1:40">
      <c r="L320" s="44"/>
      <c r="M320" s="44"/>
      <c r="N320" s="44"/>
      <c r="O320" s="44"/>
      <c r="R320" s="44"/>
      <c r="Z320" s="44"/>
      <c r="AA320" s="44"/>
      <c r="AB320" s="44"/>
      <c r="AC320" s="44"/>
      <c r="AD320" s="44"/>
      <c r="AE320" s="44"/>
      <c r="AF320" s="44"/>
      <c r="AG320" s="102"/>
      <c r="AH320" s="44"/>
      <c r="AK320" s="102"/>
      <c r="AL320" s="44"/>
      <c r="AM320" s="44"/>
      <c r="AN320" s="44"/>
    </row>
    <row r="321" spans="1:40">
      <c r="A321" s="44"/>
      <c r="C321" s="44"/>
      <c r="D321" s="44"/>
      <c r="E321" s="44"/>
      <c r="F321" s="44"/>
      <c r="J321" s="44"/>
      <c r="K321" s="44"/>
      <c r="L321" s="44"/>
      <c r="M321" s="44"/>
      <c r="N321" s="44"/>
      <c r="O321" s="44"/>
      <c r="P321" s="44"/>
      <c r="Q321" s="44"/>
      <c r="R321" s="44"/>
      <c r="T321" s="44"/>
      <c r="U321" s="44"/>
      <c r="V321" s="44"/>
      <c r="Z321" s="44"/>
      <c r="AA321" s="44"/>
      <c r="AB321" s="44"/>
      <c r="AC321" s="44"/>
      <c r="AD321" s="44"/>
      <c r="AE321" s="44"/>
      <c r="AF321" s="44"/>
      <c r="AG321" s="102"/>
      <c r="AH321" s="44"/>
      <c r="AI321" s="44"/>
      <c r="AJ321" s="44"/>
      <c r="AK321" s="102"/>
      <c r="AL321" s="44"/>
      <c r="AM321" s="44"/>
      <c r="AN321" s="44"/>
    </row>
    <row r="322" spans="1:40">
      <c r="A322" s="44"/>
      <c r="C322" s="44"/>
      <c r="D322" s="44"/>
      <c r="E322" s="44"/>
      <c r="F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T322" s="44"/>
      <c r="U322" s="44"/>
      <c r="V322" s="44"/>
      <c r="Y322" s="44"/>
      <c r="Z322" s="44"/>
      <c r="AA322" s="44"/>
      <c r="AB322" s="44"/>
      <c r="AC322" s="44"/>
      <c r="AD322" s="44"/>
      <c r="AE322" s="44"/>
      <c r="AF322" s="44"/>
      <c r="AG322" s="102"/>
      <c r="AH322" s="44"/>
      <c r="AI322" s="44"/>
      <c r="AJ322" s="44"/>
      <c r="AK322" s="102"/>
      <c r="AL322" s="44"/>
      <c r="AM322" s="44"/>
      <c r="AN322" s="44"/>
    </row>
    <row r="323" spans="1:40">
      <c r="C323" s="44"/>
      <c r="D323" s="44"/>
      <c r="E323" s="44"/>
      <c r="F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T323" s="44"/>
      <c r="U323" s="44"/>
      <c r="V323" s="44"/>
      <c r="Y323" s="44"/>
      <c r="Z323" s="44"/>
      <c r="AA323" s="44"/>
      <c r="AB323" s="44"/>
      <c r="AC323" s="44"/>
      <c r="AD323" s="44"/>
      <c r="AE323" s="44"/>
      <c r="AF323" s="44"/>
      <c r="AG323" s="102"/>
      <c r="AH323" s="44"/>
      <c r="AI323" s="44"/>
      <c r="AJ323" s="44"/>
      <c r="AK323" s="102"/>
      <c r="AL323" s="44"/>
      <c r="AM323" s="44"/>
      <c r="AN323" s="44"/>
    </row>
    <row r="324" spans="1:40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107"/>
      <c r="AH324" s="49"/>
      <c r="AI324" s="49"/>
      <c r="AJ324" s="49"/>
      <c r="AK324" s="107"/>
      <c r="AL324" s="49"/>
      <c r="AM324" s="49"/>
      <c r="AN324" s="49"/>
    </row>
    <row r="325" spans="1:40"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Y325" s="44"/>
      <c r="Z325" s="44"/>
      <c r="AA325" s="44"/>
      <c r="AB325" s="44"/>
      <c r="AC325" s="44"/>
      <c r="AD325" s="44"/>
      <c r="AE325" s="44"/>
      <c r="AF325" s="44"/>
      <c r="AG325" s="102"/>
      <c r="AH325" s="44"/>
      <c r="AI325" s="44"/>
      <c r="AJ325" s="44"/>
      <c r="AK325" s="102"/>
      <c r="AL325" s="44"/>
      <c r="AM325" s="44"/>
      <c r="AN325" s="44"/>
    </row>
    <row r="326" spans="1:40">
      <c r="C326" s="42"/>
      <c r="D326" s="42"/>
      <c r="E326" s="42"/>
      <c r="T326" s="42"/>
      <c r="U326" s="42"/>
    </row>
    <row r="327" spans="1:40">
      <c r="C327" s="42"/>
      <c r="T327" s="42"/>
    </row>
    <row r="329" spans="1:40">
      <c r="C329" s="42"/>
      <c r="F329" s="164"/>
      <c r="H329" s="164"/>
      <c r="I329" s="164"/>
      <c r="J329" s="316"/>
      <c r="K329" s="316"/>
      <c r="L329" s="45"/>
      <c r="M329" s="45"/>
      <c r="N329" s="46"/>
      <c r="O329" s="46"/>
      <c r="R329" s="45"/>
      <c r="T329" s="42"/>
      <c r="V329" s="45"/>
      <c r="Y329" s="164"/>
      <c r="Z329" s="316"/>
      <c r="AA329" s="45"/>
      <c r="AB329" s="45"/>
      <c r="AC329" s="46"/>
      <c r="AD329" s="46"/>
      <c r="AE329" s="45"/>
      <c r="AF329" s="45"/>
      <c r="AH329" s="51"/>
      <c r="AL329" s="45"/>
      <c r="AM329" s="46"/>
      <c r="AN329" s="46"/>
    </row>
    <row r="330" spans="1:40">
      <c r="F330" s="50"/>
      <c r="H330" s="45"/>
      <c r="I330" s="45"/>
      <c r="J330" s="326"/>
      <c r="K330" s="326"/>
      <c r="L330" s="50"/>
      <c r="M330" s="50"/>
      <c r="N330" s="50"/>
      <c r="O330" s="50"/>
      <c r="P330" s="50"/>
      <c r="Q330" s="50"/>
      <c r="R330" s="50"/>
      <c r="V330" s="50"/>
      <c r="Y330" s="45"/>
      <c r="Z330" s="326"/>
      <c r="AA330" s="50"/>
      <c r="AB330" s="50"/>
      <c r="AC330" s="50"/>
      <c r="AD330" s="50"/>
      <c r="AE330" s="50"/>
      <c r="AF330" s="50"/>
      <c r="AI330" s="50"/>
      <c r="AJ330" s="50"/>
      <c r="AK330" s="111"/>
      <c r="AL330" s="50"/>
      <c r="AM330" s="46"/>
      <c r="AN330" s="46"/>
    </row>
    <row r="331" spans="1:40">
      <c r="C331" s="42"/>
      <c r="F331" s="164"/>
      <c r="H331" s="164"/>
      <c r="I331" s="164"/>
      <c r="J331" s="336"/>
      <c r="K331" s="336"/>
      <c r="L331" s="45"/>
      <c r="M331" s="45"/>
      <c r="N331" s="46"/>
      <c r="O331" s="46"/>
      <c r="P331" s="45"/>
      <c r="Q331" s="45"/>
      <c r="R331" s="45"/>
      <c r="S331" s="45"/>
      <c r="T331" s="42"/>
      <c r="V331" s="164"/>
      <c r="Y331" s="164"/>
      <c r="Z331" s="336"/>
      <c r="AA331" s="45"/>
      <c r="AB331" s="45"/>
      <c r="AC331" s="46"/>
      <c r="AD331" s="46"/>
      <c r="AE331" s="45"/>
      <c r="AF331" s="45"/>
      <c r="AH331" s="46"/>
      <c r="AI331" s="45"/>
      <c r="AJ331" s="45"/>
      <c r="AL331" s="45"/>
      <c r="AM331" s="46"/>
      <c r="AN331" s="46"/>
    </row>
    <row r="332" spans="1:40">
      <c r="C332" s="42"/>
      <c r="F332" s="164"/>
      <c r="H332" s="164"/>
      <c r="I332" s="164"/>
      <c r="J332" s="316"/>
      <c r="K332" s="316"/>
      <c r="L332" s="45"/>
      <c r="M332" s="45"/>
      <c r="N332" s="46"/>
      <c r="O332" s="46"/>
      <c r="P332" s="45"/>
      <c r="Q332" s="45"/>
      <c r="R332" s="45"/>
      <c r="T332" s="42"/>
      <c r="V332" s="164"/>
      <c r="Y332" s="45"/>
      <c r="Z332" s="316"/>
      <c r="AA332" s="45"/>
      <c r="AB332" s="45"/>
      <c r="AC332" s="46"/>
      <c r="AD332" s="46"/>
      <c r="AE332" s="45"/>
      <c r="AF332" s="45"/>
      <c r="AH332" s="51"/>
      <c r="AI332" s="45"/>
      <c r="AJ332" s="45"/>
      <c r="AL332" s="45"/>
      <c r="AM332" s="46"/>
      <c r="AN332" s="46"/>
    </row>
    <row r="333" spans="1:40">
      <c r="C333" s="42"/>
      <c r="F333" s="164"/>
      <c r="H333" s="164"/>
      <c r="I333" s="164"/>
      <c r="J333" s="316"/>
      <c r="K333" s="316"/>
      <c r="L333" s="45"/>
      <c r="M333" s="45"/>
      <c r="N333" s="46"/>
      <c r="O333" s="46"/>
      <c r="P333" s="45"/>
      <c r="Q333" s="45"/>
      <c r="R333" s="45"/>
      <c r="T333" s="42"/>
      <c r="V333" s="164"/>
      <c r="Y333" s="45"/>
      <c r="Z333" s="316"/>
      <c r="AA333" s="45"/>
      <c r="AB333" s="45"/>
      <c r="AC333" s="46"/>
      <c r="AD333" s="46"/>
      <c r="AE333" s="45"/>
      <c r="AF333" s="45"/>
      <c r="AH333" s="51"/>
      <c r="AI333" s="45"/>
      <c r="AJ333" s="45"/>
      <c r="AL333" s="45"/>
      <c r="AM333" s="46"/>
      <c r="AN333" s="46"/>
    </row>
    <row r="334" spans="1:40">
      <c r="F334" s="50"/>
      <c r="H334" s="50"/>
      <c r="I334" s="50"/>
      <c r="J334" s="326"/>
      <c r="K334" s="326"/>
      <c r="L334" s="50"/>
      <c r="M334" s="50"/>
      <c r="N334" s="50"/>
      <c r="O334" s="50"/>
      <c r="P334" s="50"/>
      <c r="Q334" s="50"/>
      <c r="R334" s="50"/>
      <c r="V334" s="50"/>
      <c r="Y334" s="50"/>
      <c r="Z334" s="326"/>
      <c r="AA334" s="50"/>
      <c r="AB334" s="50"/>
      <c r="AC334" s="50"/>
      <c r="AD334" s="50"/>
      <c r="AE334" s="50"/>
      <c r="AF334" s="50"/>
      <c r="AI334" s="50"/>
      <c r="AJ334" s="50"/>
      <c r="AK334" s="111"/>
      <c r="AL334" s="50"/>
      <c r="AM334" s="46"/>
      <c r="AN334" s="46"/>
    </row>
    <row r="335" spans="1:40">
      <c r="C335" s="42"/>
      <c r="F335" s="45"/>
      <c r="H335" s="45"/>
      <c r="I335" s="45"/>
      <c r="J335" s="47"/>
      <c r="K335" s="47"/>
      <c r="L335" s="45"/>
      <c r="M335" s="45"/>
      <c r="N335" s="46"/>
      <c r="O335" s="46"/>
      <c r="P335" s="45"/>
      <c r="Q335" s="45"/>
      <c r="R335" s="45"/>
      <c r="T335" s="42"/>
      <c r="V335" s="45"/>
      <c r="Y335" s="45"/>
      <c r="Z335" s="47"/>
      <c r="AA335" s="45"/>
      <c r="AB335" s="45"/>
      <c r="AC335" s="46"/>
      <c r="AD335" s="46"/>
      <c r="AE335" s="45"/>
      <c r="AF335" s="45"/>
      <c r="AH335" s="51"/>
      <c r="AI335" s="45"/>
      <c r="AJ335" s="45"/>
      <c r="AL335" s="45"/>
      <c r="AM335" s="46"/>
      <c r="AN335" s="46"/>
    </row>
    <row r="336" spans="1:40">
      <c r="F336" s="50"/>
      <c r="H336" s="50"/>
      <c r="I336" s="50"/>
      <c r="J336" s="326"/>
      <c r="K336" s="326"/>
      <c r="L336" s="50"/>
      <c r="M336" s="50"/>
      <c r="N336" s="50"/>
      <c r="O336" s="50"/>
      <c r="P336" s="50"/>
      <c r="Q336" s="50"/>
      <c r="R336" s="50"/>
      <c r="V336" s="50"/>
      <c r="Y336" s="50"/>
      <c r="Z336" s="326"/>
      <c r="AA336" s="50"/>
      <c r="AB336" s="50"/>
      <c r="AC336" s="50"/>
      <c r="AD336" s="50"/>
      <c r="AE336" s="50"/>
      <c r="AF336" s="50"/>
      <c r="AI336" s="50"/>
      <c r="AJ336" s="50"/>
      <c r="AK336" s="111"/>
      <c r="AL336" s="50"/>
      <c r="AM336" s="46"/>
      <c r="AN336" s="46"/>
    </row>
    <row r="337" spans="3:40">
      <c r="C337" s="42"/>
      <c r="F337" s="45"/>
      <c r="H337" s="45"/>
      <c r="I337" s="45"/>
      <c r="J337" s="47"/>
      <c r="K337" s="47"/>
      <c r="L337" s="45"/>
      <c r="M337" s="45"/>
      <c r="N337" s="46"/>
      <c r="O337" s="46"/>
      <c r="P337" s="45"/>
      <c r="Q337" s="45"/>
      <c r="R337" s="45"/>
      <c r="T337" s="42"/>
      <c r="V337" s="45"/>
      <c r="Y337" s="45"/>
      <c r="Z337" s="47"/>
      <c r="AA337" s="45"/>
      <c r="AB337" s="45"/>
      <c r="AC337" s="46"/>
      <c r="AD337" s="46"/>
      <c r="AE337" s="45"/>
      <c r="AF337" s="45"/>
      <c r="AH337" s="51"/>
      <c r="AI337" s="45"/>
      <c r="AJ337" s="45"/>
      <c r="AL337" s="45"/>
      <c r="AM337" s="46"/>
      <c r="AN337" s="46"/>
    </row>
    <row r="338" spans="3:40">
      <c r="C338" s="42"/>
      <c r="F338" s="45"/>
      <c r="H338" s="164"/>
      <c r="I338" s="164"/>
      <c r="J338" s="331"/>
      <c r="K338" s="331"/>
      <c r="L338" s="45"/>
      <c r="M338" s="45"/>
      <c r="N338" s="46"/>
      <c r="O338" s="46"/>
      <c r="P338" s="45"/>
      <c r="Q338" s="45"/>
      <c r="R338" s="45"/>
      <c r="T338" s="42"/>
      <c r="V338" s="45"/>
      <c r="Y338" s="45"/>
      <c r="Z338" s="325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3:40">
      <c r="F339" s="50"/>
      <c r="H339" s="50"/>
      <c r="I339" s="50"/>
      <c r="J339" s="326"/>
      <c r="K339" s="326"/>
      <c r="L339" s="50"/>
      <c r="M339" s="50"/>
      <c r="N339" s="50"/>
      <c r="O339" s="50"/>
      <c r="P339" s="50"/>
      <c r="Q339" s="50"/>
      <c r="R339" s="50"/>
      <c r="V339" s="50"/>
      <c r="Y339" s="50"/>
      <c r="Z339" s="326"/>
      <c r="AA339" s="50"/>
      <c r="AB339" s="50"/>
      <c r="AC339" s="50"/>
      <c r="AD339" s="50"/>
      <c r="AE339" s="50"/>
      <c r="AF339" s="50"/>
      <c r="AI339" s="50"/>
      <c r="AJ339" s="50"/>
      <c r="AK339" s="111"/>
      <c r="AL339" s="50"/>
      <c r="AM339" s="46"/>
      <c r="AN339" s="46"/>
    </row>
    <row r="341" spans="3:40">
      <c r="C341" s="42"/>
      <c r="F341" s="45"/>
      <c r="H341" s="45"/>
      <c r="I341" s="45"/>
      <c r="J341" s="326"/>
      <c r="K341" s="326"/>
      <c r="L341" s="45"/>
      <c r="M341" s="45"/>
      <c r="N341" s="46"/>
      <c r="O341" s="46"/>
      <c r="P341" s="45"/>
      <c r="Q341" s="45"/>
      <c r="R341" s="45"/>
      <c r="S341" s="45"/>
      <c r="T341" s="42"/>
      <c r="V341" s="45"/>
      <c r="Y341" s="45"/>
      <c r="Z341" s="326"/>
      <c r="AA341" s="45"/>
      <c r="AB341" s="45"/>
      <c r="AC341" s="46"/>
      <c r="AD341" s="46"/>
      <c r="AE341" s="45"/>
      <c r="AF341" s="45"/>
      <c r="AH341" s="46"/>
      <c r="AI341" s="45"/>
      <c r="AJ341" s="45"/>
      <c r="AL341" s="45"/>
      <c r="AM341" s="46"/>
      <c r="AN341" s="46"/>
    </row>
    <row r="342" spans="3:40">
      <c r="F342" s="50"/>
      <c r="H342" s="50"/>
      <c r="I342" s="50"/>
      <c r="J342" s="326"/>
      <c r="K342" s="326"/>
      <c r="L342" s="50"/>
      <c r="M342" s="50"/>
      <c r="N342" s="50"/>
      <c r="O342" s="50"/>
      <c r="P342" s="50"/>
      <c r="Q342" s="50"/>
      <c r="R342" s="50"/>
      <c r="S342" s="45"/>
      <c r="V342" s="50"/>
      <c r="Y342" s="50"/>
      <c r="Z342" s="326"/>
      <c r="AA342" s="50"/>
      <c r="AB342" s="50"/>
      <c r="AC342" s="50"/>
      <c r="AD342" s="50"/>
      <c r="AE342" s="50"/>
      <c r="AF342" s="50"/>
      <c r="AI342" s="50"/>
      <c r="AJ342" s="50"/>
      <c r="AK342" s="111"/>
      <c r="AL342" s="50"/>
      <c r="AM342" s="46"/>
      <c r="AN342" s="46"/>
    </row>
    <row r="343" spans="3:40">
      <c r="C343" s="42"/>
      <c r="F343" s="164"/>
      <c r="H343" s="164"/>
      <c r="I343" s="164"/>
      <c r="J343" s="326"/>
      <c r="K343" s="326"/>
      <c r="L343" s="45"/>
      <c r="M343" s="45"/>
      <c r="N343" s="46"/>
      <c r="O343" s="46"/>
      <c r="P343" s="45"/>
      <c r="Q343" s="45"/>
      <c r="R343" s="45"/>
      <c r="S343" s="45"/>
      <c r="T343" s="42"/>
      <c r="V343" s="164"/>
      <c r="Y343" s="164"/>
      <c r="Z343" s="326"/>
      <c r="AA343" s="45"/>
      <c r="AB343" s="45"/>
      <c r="AC343" s="46"/>
      <c r="AD343" s="46"/>
      <c r="AE343" s="45"/>
      <c r="AF343" s="45"/>
      <c r="AI343" s="45"/>
      <c r="AJ343" s="45"/>
      <c r="AL343" s="45"/>
      <c r="AM343" s="46"/>
      <c r="AN343" s="46"/>
    </row>
    <row r="345" spans="3:40">
      <c r="C345" s="42"/>
      <c r="F345" s="164"/>
      <c r="H345" s="164"/>
      <c r="I345" s="164"/>
      <c r="J345" s="316"/>
      <c r="K345" s="316"/>
      <c r="L345" s="45"/>
      <c r="M345" s="45"/>
      <c r="N345" s="46"/>
      <c r="O345" s="46"/>
      <c r="R345" s="45"/>
      <c r="T345" s="42"/>
      <c r="V345" s="45"/>
      <c r="Y345" s="164"/>
      <c r="Z345" s="316"/>
      <c r="AA345" s="45"/>
      <c r="AB345" s="45"/>
      <c r="AC345" s="46"/>
      <c r="AD345" s="46"/>
      <c r="AE345" s="45"/>
      <c r="AF345" s="45"/>
      <c r="AH345" s="51"/>
      <c r="AL345" s="45"/>
      <c r="AM345" s="46"/>
      <c r="AN345" s="46"/>
    </row>
    <row r="346" spans="3:40">
      <c r="F346" s="50"/>
      <c r="H346" s="45"/>
      <c r="I346" s="45"/>
      <c r="J346" s="326"/>
      <c r="K346" s="326"/>
      <c r="L346" s="50"/>
      <c r="M346" s="50"/>
      <c r="N346" s="50"/>
      <c r="O346" s="50"/>
      <c r="P346" s="50"/>
      <c r="Q346" s="50"/>
      <c r="R346" s="50"/>
      <c r="V346" s="50"/>
      <c r="Y346" s="45"/>
      <c r="Z346" s="326"/>
      <c r="AA346" s="50"/>
      <c r="AB346" s="50"/>
      <c r="AC346" s="50"/>
      <c r="AD346" s="50"/>
      <c r="AE346" s="50"/>
      <c r="AF346" s="50"/>
      <c r="AI346" s="50"/>
      <c r="AJ346" s="50"/>
      <c r="AK346" s="111"/>
      <c r="AL346" s="50"/>
      <c r="AM346" s="46"/>
      <c r="AN346" s="46"/>
    </row>
    <row r="347" spans="3:40">
      <c r="C347" s="42"/>
      <c r="F347" s="164"/>
      <c r="H347" s="164"/>
      <c r="I347" s="164"/>
      <c r="J347" s="336"/>
      <c r="K347" s="336"/>
      <c r="L347" s="45"/>
      <c r="M347" s="45"/>
      <c r="N347" s="46"/>
      <c r="O347" s="46"/>
      <c r="P347" s="45"/>
      <c r="Q347" s="45"/>
      <c r="R347" s="45"/>
      <c r="S347" s="45"/>
      <c r="T347" s="42"/>
      <c r="V347" s="164"/>
      <c r="Y347" s="164"/>
      <c r="Z347" s="336"/>
      <c r="AA347" s="45"/>
      <c r="AB347" s="45"/>
      <c r="AC347" s="46"/>
      <c r="AD347" s="46"/>
      <c r="AE347" s="45"/>
      <c r="AF347" s="45"/>
      <c r="AH347" s="46"/>
      <c r="AI347" s="45"/>
      <c r="AJ347" s="45"/>
      <c r="AL347" s="45"/>
      <c r="AM347" s="46"/>
      <c r="AN347" s="46"/>
    </row>
    <row r="348" spans="3:40">
      <c r="C348" s="42"/>
      <c r="F348" s="164"/>
      <c r="H348" s="164"/>
      <c r="I348" s="164"/>
      <c r="J348" s="316"/>
      <c r="K348" s="316"/>
      <c r="L348" s="45"/>
      <c r="M348" s="45"/>
      <c r="N348" s="46"/>
      <c r="O348" s="46"/>
      <c r="P348" s="45"/>
      <c r="Q348" s="45"/>
      <c r="R348" s="45"/>
      <c r="T348" s="42"/>
      <c r="V348" s="164"/>
      <c r="Y348" s="45"/>
      <c r="Z348" s="316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>
      <c r="C349" s="42"/>
      <c r="F349" s="164"/>
      <c r="H349" s="164"/>
      <c r="I349" s="164"/>
      <c r="J349" s="316"/>
      <c r="K349" s="316"/>
      <c r="L349" s="45"/>
      <c r="M349" s="45"/>
      <c r="N349" s="46"/>
      <c r="O349" s="46"/>
      <c r="P349" s="45"/>
      <c r="Q349" s="45"/>
      <c r="R349" s="45"/>
      <c r="T349" s="42"/>
      <c r="V349" s="164"/>
      <c r="Y349" s="45"/>
      <c r="Z349" s="316"/>
      <c r="AA349" s="45"/>
      <c r="AB349" s="45"/>
      <c r="AC349" s="46"/>
      <c r="AD349" s="46"/>
      <c r="AE349" s="45"/>
      <c r="AF349" s="45"/>
      <c r="AH349" s="51"/>
      <c r="AI349" s="45"/>
      <c r="AJ349" s="45"/>
      <c r="AL349" s="45"/>
      <c r="AM349" s="46"/>
      <c r="AN349" s="46"/>
    </row>
    <row r="350" spans="3:40">
      <c r="F350" s="50"/>
      <c r="H350" s="50"/>
      <c r="I350" s="50"/>
      <c r="J350" s="326"/>
      <c r="K350" s="326"/>
      <c r="L350" s="50"/>
      <c r="M350" s="50"/>
      <c r="N350" s="50"/>
      <c r="O350" s="50"/>
      <c r="P350" s="50"/>
      <c r="Q350" s="50"/>
      <c r="R350" s="50"/>
      <c r="V350" s="50"/>
      <c r="Y350" s="50"/>
      <c r="Z350" s="326"/>
      <c r="AA350" s="50"/>
      <c r="AB350" s="50"/>
      <c r="AC350" s="50"/>
      <c r="AD350" s="50"/>
      <c r="AE350" s="50"/>
      <c r="AF350" s="50"/>
      <c r="AI350" s="50"/>
      <c r="AJ350" s="50"/>
      <c r="AK350" s="111"/>
      <c r="AL350" s="50"/>
      <c r="AM350" s="46"/>
      <c r="AN350" s="46"/>
    </row>
    <row r="351" spans="3:40">
      <c r="C351" s="42"/>
      <c r="F351" s="45"/>
      <c r="H351" s="45"/>
      <c r="I351" s="45"/>
      <c r="J351" s="47"/>
      <c r="K351" s="47"/>
      <c r="L351" s="45"/>
      <c r="M351" s="45"/>
      <c r="N351" s="46"/>
      <c r="O351" s="46"/>
      <c r="P351" s="45"/>
      <c r="Q351" s="45"/>
      <c r="R351" s="45"/>
      <c r="T351" s="42"/>
      <c r="V351" s="45"/>
      <c r="Y351" s="45"/>
      <c r="Z351" s="47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3:40">
      <c r="F352" s="50"/>
      <c r="H352" s="50"/>
      <c r="I352" s="50"/>
      <c r="J352" s="326"/>
      <c r="K352" s="326"/>
      <c r="L352" s="50"/>
      <c r="M352" s="50"/>
      <c r="N352" s="50"/>
      <c r="O352" s="50"/>
      <c r="P352" s="50"/>
      <c r="Q352" s="50"/>
      <c r="R352" s="50"/>
      <c r="V352" s="50"/>
      <c r="Y352" s="50"/>
      <c r="Z352" s="326"/>
      <c r="AA352" s="50"/>
      <c r="AB352" s="50"/>
      <c r="AC352" s="50"/>
      <c r="AD352" s="50"/>
      <c r="AE352" s="50"/>
      <c r="AF352" s="50"/>
      <c r="AI352" s="50"/>
      <c r="AJ352" s="50"/>
      <c r="AK352" s="111"/>
      <c r="AL352" s="50"/>
      <c r="AM352" s="46"/>
      <c r="AN352" s="46"/>
    </row>
    <row r="353" spans="1:40">
      <c r="C353" s="42"/>
      <c r="F353" s="45"/>
      <c r="H353" s="45"/>
      <c r="I353" s="45"/>
      <c r="J353" s="47"/>
      <c r="K353" s="47"/>
      <c r="L353" s="45"/>
      <c r="M353" s="45"/>
      <c r="N353" s="46"/>
      <c r="O353" s="46"/>
      <c r="P353" s="45"/>
      <c r="Q353" s="45"/>
      <c r="R353" s="45"/>
      <c r="T353" s="42"/>
      <c r="V353" s="45"/>
      <c r="Y353" s="45"/>
      <c r="Z353" s="47"/>
      <c r="AA353" s="45"/>
      <c r="AB353" s="45"/>
      <c r="AC353" s="46"/>
      <c r="AD353" s="46"/>
      <c r="AE353" s="45"/>
      <c r="AF353" s="45"/>
      <c r="AH353" s="51"/>
      <c r="AI353" s="45"/>
      <c r="AJ353" s="45"/>
      <c r="AL353" s="45"/>
      <c r="AM353" s="46"/>
      <c r="AN353" s="46"/>
    </row>
    <row r="354" spans="1:40">
      <c r="C354" s="42"/>
      <c r="F354" s="45"/>
      <c r="H354" s="164"/>
      <c r="I354" s="164"/>
      <c r="J354" s="331"/>
      <c r="K354" s="331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325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1:40">
      <c r="F355" s="50"/>
      <c r="H355" s="50"/>
      <c r="I355" s="50"/>
      <c r="J355" s="326"/>
      <c r="K355" s="326"/>
      <c r="L355" s="50"/>
      <c r="M355" s="50"/>
      <c r="N355" s="50"/>
      <c r="O355" s="50"/>
      <c r="P355" s="50"/>
      <c r="Q355" s="50"/>
      <c r="R355" s="50"/>
      <c r="V355" s="50"/>
      <c r="Y355" s="50"/>
      <c r="Z355" s="326"/>
      <c r="AA355" s="50"/>
      <c r="AB355" s="50"/>
      <c r="AC355" s="50"/>
      <c r="AD355" s="50"/>
      <c r="AE355" s="50"/>
      <c r="AF355" s="50"/>
      <c r="AI355" s="50"/>
      <c r="AJ355" s="50"/>
      <c r="AK355" s="111"/>
      <c r="AL355" s="50"/>
      <c r="AM355" s="46"/>
      <c r="AN355" s="46"/>
    </row>
    <row r="357" spans="1:40">
      <c r="C357" s="42"/>
      <c r="F357" s="45"/>
      <c r="H357" s="45"/>
      <c r="I357" s="45"/>
      <c r="J357" s="326"/>
      <c r="K357" s="326"/>
      <c r="L357" s="45"/>
      <c r="M357" s="45"/>
      <c r="N357" s="46"/>
      <c r="O357" s="46"/>
      <c r="P357" s="45"/>
      <c r="Q357" s="45"/>
      <c r="R357" s="45"/>
      <c r="S357" s="45"/>
      <c r="T357" s="42"/>
      <c r="V357" s="45"/>
      <c r="Y357" s="45"/>
      <c r="Z357" s="326"/>
      <c r="AA357" s="45"/>
      <c r="AB357" s="45"/>
      <c r="AC357" s="46"/>
      <c r="AD357" s="46"/>
      <c r="AE357" s="45"/>
      <c r="AF357" s="45"/>
      <c r="AH357" s="46"/>
      <c r="AI357" s="45"/>
      <c r="AJ357" s="45"/>
      <c r="AL357" s="45"/>
      <c r="AM357" s="46"/>
      <c r="AN357" s="46"/>
    </row>
    <row r="358" spans="1:40">
      <c r="F358" s="50"/>
      <c r="H358" s="50"/>
      <c r="I358" s="50"/>
      <c r="J358" s="326"/>
      <c r="K358" s="326"/>
      <c r="L358" s="50"/>
      <c r="M358" s="50"/>
      <c r="N358" s="50"/>
      <c r="O358" s="50"/>
      <c r="P358" s="50"/>
      <c r="Q358" s="50"/>
      <c r="R358" s="50"/>
      <c r="S358" s="45"/>
      <c r="V358" s="50"/>
      <c r="Y358" s="50"/>
      <c r="Z358" s="326"/>
      <c r="AA358" s="50"/>
      <c r="AB358" s="50"/>
      <c r="AC358" s="50"/>
      <c r="AD358" s="50"/>
      <c r="AE358" s="50"/>
      <c r="AF358" s="50"/>
      <c r="AI358" s="50"/>
      <c r="AJ358" s="50"/>
      <c r="AK358" s="111"/>
      <c r="AL358" s="50"/>
      <c r="AM358" s="46"/>
      <c r="AN358" s="46"/>
    </row>
    <row r="359" spans="1:40">
      <c r="C359" s="42"/>
      <c r="T359" s="42"/>
    </row>
    <row r="360" spans="1:40">
      <c r="C360" s="42"/>
      <c r="F360" s="45"/>
      <c r="H360" s="45"/>
      <c r="I360" s="45"/>
      <c r="L360" s="45"/>
      <c r="M360" s="45"/>
      <c r="N360" s="46"/>
      <c r="O360" s="46"/>
      <c r="P360" s="164"/>
      <c r="Q360" s="164"/>
      <c r="R360" s="45"/>
      <c r="T360" s="42"/>
      <c r="V360" s="45"/>
      <c r="Y360" s="45"/>
      <c r="AA360" s="45"/>
      <c r="AB360" s="45"/>
      <c r="AC360" s="46"/>
      <c r="AD360" s="46"/>
      <c r="AE360" s="45"/>
      <c r="AF360" s="45"/>
      <c r="AH360" s="46"/>
      <c r="AI360" s="164"/>
      <c r="AJ360" s="164"/>
      <c r="AL360" s="45"/>
      <c r="AM360" s="46"/>
      <c r="AN360" s="46"/>
    </row>
    <row r="361" spans="1:40">
      <c r="F361" s="50"/>
      <c r="H361" s="50"/>
      <c r="I361" s="50"/>
      <c r="J361" s="326"/>
      <c r="K361" s="326"/>
      <c r="L361" s="50"/>
      <c r="M361" s="50"/>
      <c r="N361" s="50"/>
      <c r="O361" s="50"/>
      <c r="P361" s="50"/>
      <c r="Q361" s="50"/>
      <c r="R361" s="50"/>
      <c r="V361" s="50"/>
      <c r="Y361" s="50"/>
      <c r="Z361" s="326"/>
      <c r="AA361" s="50"/>
      <c r="AB361" s="50"/>
      <c r="AC361" s="50"/>
      <c r="AD361" s="50"/>
      <c r="AE361" s="50"/>
      <c r="AF361" s="50"/>
      <c r="AI361" s="50"/>
      <c r="AJ361" s="50"/>
      <c r="AK361" s="111"/>
      <c r="AL361" s="50"/>
    </row>
    <row r="363" spans="1:40">
      <c r="C363" s="42"/>
      <c r="L363" s="45"/>
      <c r="M363" s="45"/>
      <c r="N363" s="45"/>
      <c r="O363" s="45"/>
      <c r="P363" s="45"/>
      <c r="Q363" s="45"/>
      <c r="R363" s="45"/>
      <c r="S363" s="45"/>
      <c r="T363" s="42"/>
      <c r="AA363" s="45"/>
      <c r="AB363" s="45"/>
      <c r="AC363" s="45"/>
      <c r="AD363" s="45"/>
      <c r="AI363" s="45"/>
      <c r="AJ363" s="45"/>
      <c r="AL363" s="45"/>
    </row>
    <row r="364" spans="1:40">
      <c r="A364" s="42"/>
    </row>
    <row r="366" spans="1:40">
      <c r="H366" s="42"/>
      <c r="I366" s="42"/>
      <c r="Y366" s="42"/>
    </row>
    <row r="368" spans="1:40">
      <c r="L368" s="42"/>
      <c r="M368" s="42"/>
      <c r="AA368" s="42"/>
      <c r="AB368" s="42"/>
    </row>
    <row r="369" spans="1:40">
      <c r="R369" s="42"/>
      <c r="AK369" s="110"/>
      <c r="AL369" s="42"/>
    </row>
    <row r="370" spans="1:40">
      <c r="R370" s="42"/>
      <c r="AK370" s="110"/>
      <c r="AL370" s="42"/>
    </row>
    <row r="371" spans="1:40">
      <c r="A371" s="42"/>
      <c r="R371" s="42"/>
      <c r="AK371" s="110"/>
      <c r="AL371" s="42"/>
    </row>
    <row r="372" spans="1:40">
      <c r="L372" s="42"/>
      <c r="M372" s="42"/>
      <c r="AA372" s="42"/>
      <c r="AB372" s="42"/>
    </row>
    <row r="373" spans="1:40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107"/>
      <c r="AH373" s="49"/>
      <c r="AI373" s="49"/>
      <c r="AJ373" s="49"/>
      <c r="AK373" s="107"/>
      <c r="AL373" s="49"/>
      <c r="AM373" s="49"/>
      <c r="AN373" s="49"/>
    </row>
    <row r="374" spans="1:40">
      <c r="L374" s="44"/>
      <c r="M374" s="44"/>
      <c r="N374" s="44"/>
      <c r="O374" s="44"/>
      <c r="R374" s="44"/>
      <c r="AA374" s="44"/>
      <c r="AB374" s="44"/>
      <c r="AC374" s="44"/>
      <c r="AD374" s="44"/>
      <c r="AE374" s="44"/>
      <c r="AF374" s="44"/>
      <c r="AG374" s="102"/>
      <c r="AH374" s="44"/>
      <c r="AK374" s="102"/>
      <c r="AL374" s="44"/>
      <c r="AM374" s="44"/>
      <c r="AN374" s="44"/>
    </row>
    <row r="375" spans="1:40">
      <c r="L375" s="44"/>
      <c r="M375" s="44"/>
      <c r="N375" s="44"/>
      <c r="O375" s="44"/>
      <c r="R375" s="44"/>
      <c r="Z375" s="44"/>
      <c r="AA375" s="44"/>
      <c r="AB375" s="44"/>
      <c r="AC375" s="44"/>
      <c r="AD375" s="44"/>
      <c r="AE375" s="44"/>
      <c r="AF375" s="44"/>
      <c r="AG375" s="102"/>
      <c r="AH375" s="44"/>
      <c r="AK375" s="102"/>
      <c r="AL375" s="44"/>
      <c r="AM375" s="44"/>
      <c r="AN375" s="44"/>
    </row>
    <row r="376" spans="1:40">
      <c r="A376" s="44"/>
      <c r="C376" s="44"/>
      <c r="D376" s="44"/>
      <c r="E376" s="44"/>
      <c r="F376" s="44"/>
      <c r="J376" s="44"/>
      <c r="K376" s="44"/>
      <c r="L376" s="44"/>
      <c r="M376" s="44"/>
      <c r="N376" s="44"/>
      <c r="O376" s="44"/>
      <c r="P376" s="44"/>
      <c r="Q376" s="44"/>
      <c r="R376" s="44"/>
      <c r="T376" s="44"/>
      <c r="U376" s="44"/>
      <c r="V376" s="44"/>
      <c r="Z376" s="44"/>
      <c r="AA376" s="44"/>
      <c r="AB376" s="44"/>
      <c r="AC376" s="44"/>
      <c r="AD376" s="44"/>
      <c r="AE376" s="44"/>
      <c r="AF376" s="44"/>
      <c r="AG376" s="102"/>
      <c r="AH376" s="44"/>
      <c r="AI376" s="44"/>
      <c r="AJ376" s="44"/>
      <c r="AK376" s="102"/>
      <c r="AL376" s="44"/>
      <c r="AM376" s="44"/>
      <c r="AN376" s="44"/>
    </row>
    <row r="377" spans="1:40">
      <c r="A377" s="44"/>
      <c r="C377" s="44"/>
      <c r="D377" s="44"/>
      <c r="E377" s="44"/>
      <c r="F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T377" s="44"/>
      <c r="U377" s="44"/>
      <c r="V377" s="44"/>
      <c r="Y377" s="44"/>
      <c r="Z377" s="44"/>
      <c r="AA377" s="44"/>
      <c r="AB377" s="44"/>
      <c r="AC377" s="44"/>
      <c r="AD377" s="44"/>
      <c r="AE377" s="44"/>
      <c r="AF377" s="44"/>
      <c r="AG377" s="102"/>
      <c r="AH377" s="44"/>
      <c r="AI377" s="44"/>
      <c r="AJ377" s="44"/>
      <c r="AK377" s="102"/>
      <c r="AL377" s="44"/>
      <c r="AM377" s="44"/>
      <c r="AN377" s="44"/>
    </row>
    <row r="378" spans="1:40">
      <c r="C378" s="44"/>
      <c r="D378" s="44"/>
      <c r="E378" s="44"/>
      <c r="F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T378" s="44"/>
      <c r="U378" s="44"/>
      <c r="V378" s="44"/>
      <c r="Y378" s="44"/>
      <c r="Z378" s="44"/>
      <c r="AA378" s="44"/>
      <c r="AB378" s="44"/>
      <c r="AC378" s="44"/>
      <c r="AD378" s="44"/>
      <c r="AE378" s="44"/>
      <c r="AF378" s="44"/>
      <c r="AG378" s="102"/>
      <c r="AH378" s="44"/>
      <c r="AI378" s="44"/>
      <c r="AJ378" s="44"/>
      <c r="AK378" s="102"/>
      <c r="AL378" s="44"/>
      <c r="AM378" s="44"/>
      <c r="AN378" s="44"/>
    </row>
    <row r="379" spans="1:40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107"/>
      <c r="AH379" s="49"/>
      <c r="AI379" s="49"/>
      <c r="AJ379" s="49"/>
      <c r="AK379" s="107"/>
      <c r="AL379" s="49"/>
      <c r="AM379" s="49"/>
      <c r="AN379" s="49"/>
    </row>
    <row r="380" spans="1:40"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Y380" s="44"/>
      <c r="Z380" s="44"/>
      <c r="AA380" s="44"/>
      <c r="AB380" s="44"/>
      <c r="AC380" s="44"/>
      <c r="AD380" s="44"/>
      <c r="AE380" s="44"/>
      <c r="AF380" s="44"/>
      <c r="AG380" s="102"/>
      <c r="AH380" s="44"/>
      <c r="AI380" s="44"/>
      <c r="AJ380" s="44"/>
      <c r="AK380" s="102"/>
      <c r="AL380" s="44"/>
      <c r="AM380" s="44"/>
      <c r="AN380" s="44"/>
    </row>
    <row r="381" spans="1:40">
      <c r="C381" s="42"/>
      <c r="D381" s="42"/>
      <c r="E381" s="42"/>
      <c r="T381" s="42"/>
      <c r="U381" s="42"/>
    </row>
    <row r="382" spans="1:40">
      <c r="D382" s="42"/>
      <c r="E382" s="42"/>
      <c r="U382" s="42"/>
    </row>
    <row r="384" spans="1:40">
      <c r="C384" s="42"/>
      <c r="T384" s="42"/>
    </row>
    <row r="385" spans="3:40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164"/>
      <c r="W385" s="45"/>
      <c r="X385" s="45"/>
      <c r="Y385" s="164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>
      <c r="C386" s="42"/>
      <c r="F386" s="45"/>
      <c r="H386" s="45"/>
      <c r="I386" s="45"/>
      <c r="J386" s="326"/>
      <c r="K386" s="326"/>
      <c r="L386" s="45"/>
      <c r="M386" s="45"/>
      <c r="N386" s="46"/>
      <c r="O386" s="46"/>
      <c r="P386" s="45"/>
      <c r="Q386" s="45"/>
      <c r="R386" s="45"/>
      <c r="T386" s="42"/>
      <c r="V386" s="164"/>
      <c r="W386" s="45"/>
      <c r="X386" s="45"/>
      <c r="Y386" s="164"/>
      <c r="Z386" s="326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164"/>
      <c r="W387" s="45"/>
      <c r="X387" s="45"/>
      <c r="Y387" s="164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164"/>
      <c r="W388" s="45"/>
      <c r="X388" s="45"/>
      <c r="Y388" s="164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164"/>
      <c r="W389" s="45"/>
      <c r="X389" s="45"/>
      <c r="Y389" s="164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>
      <c r="C390" s="42"/>
      <c r="F390" s="45"/>
      <c r="H390" s="45"/>
      <c r="I390" s="45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164"/>
      <c r="W390" s="45"/>
      <c r="X390" s="45"/>
      <c r="Y390" s="164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>
      <c r="C391" s="42"/>
      <c r="F391" s="45"/>
      <c r="H391" s="45"/>
      <c r="I391" s="45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164"/>
      <c r="W391" s="45"/>
      <c r="X391" s="45"/>
      <c r="Y391" s="164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>
      <c r="F392" s="54"/>
      <c r="H392" s="338"/>
      <c r="I392" s="338"/>
      <c r="J392" s="132"/>
      <c r="K392" s="132"/>
      <c r="L392" s="54"/>
      <c r="M392" s="54"/>
      <c r="N392" s="50"/>
      <c r="O392" s="50"/>
      <c r="P392" s="54"/>
      <c r="Q392" s="54"/>
      <c r="R392" s="54"/>
      <c r="V392" s="54"/>
      <c r="W392" s="45"/>
      <c r="X392" s="45"/>
      <c r="Y392" s="54"/>
      <c r="Z392" s="132"/>
      <c r="AA392" s="54"/>
      <c r="AB392" s="54"/>
      <c r="AC392" s="55"/>
      <c r="AD392" s="55"/>
      <c r="AE392" s="54"/>
      <c r="AF392" s="54"/>
      <c r="AH392" s="51"/>
      <c r="AI392" s="54"/>
      <c r="AJ392" s="54"/>
      <c r="AK392" s="107"/>
      <c r="AL392" s="54"/>
      <c r="AM392" s="46"/>
      <c r="AN392" s="46"/>
    </row>
    <row r="393" spans="3:40">
      <c r="C393" s="42"/>
      <c r="F393" s="45"/>
      <c r="H393" s="45"/>
      <c r="I393" s="45"/>
      <c r="J393" s="132"/>
      <c r="K393" s="132"/>
      <c r="L393" s="45"/>
      <c r="M393" s="45"/>
      <c r="N393" s="51"/>
      <c r="O393" s="51"/>
      <c r="P393" s="45"/>
      <c r="Q393" s="45"/>
      <c r="R393" s="45"/>
      <c r="T393" s="44"/>
      <c r="V393" s="45"/>
      <c r="W393" s="45"/>
      <c r="X393" s="45"/>
      <c r="Y393" s="45"/>
      <c r="Z393" s="132"/>
      <c r="AA393" s="45"/>
      <c r="AB393" s="45"/>
      <c r="AC393" s="51"/>
      <c r="AD393" s="51"/>
      <c r="AE393" s="45"/>
      <c r="AF393" s="45"/>
      <c r="AH393" s="51"/>
      <c r="AI393" s="45"/>
      <c r="AJ393" s="45"/>
      <c r="AL393" s="45"/>
      <c r="AM393" s="46"/>
      <c r="AN393" s="46"/>
    </row>
    <row r="394" spans="3:40">
      <c r="F394" s="49"/>
      <c r="H394" s="49"/>
      <c r="I394" s="49"/>
      <c r="L394" s="49"/>
      <c r="M394" s="49"/>
      <c r="N394" s="55"/>
      <c r="O394" s="55"/>
      <c r="P394" s="54"/>
      <c r="Q394" s="54"/>
      <c r="R394" s="54"/>
      <c r="V394" s="54"/>
      <c r="Y394" s="54"/>
      <c r="Z394" s="326"/>
      <c r="AA394" s="54"/>
      <c r="AB394" s="54"/>
      <c r="AC394" s="54"/>
      <c r="AD394" s="54"/>
      <c r="AE394" s="54"/>
      <c r="AF394" s="54"/>
      <c r="AI394" s="54"/>
      <c r="AJ394" s="54"/>
      <c r="AK394" s="107"/>
      <c r="AL394" s="54"/>
      <c r="AM394" s="55"/>
      <c r="AN394" s="55"/>
    </row>
    <row r="399" spans="3:40">
      <c r="N399" s="45"/>
      <c r="O399" s="45"/>
      <c r="P399" s="45"/>
      <c r="Q399" s="45"/>
      <c r="R399" s="45"/>
      <c r="V399" s="45"/>
      <c r="Y399" s="45"/>
      <c r="Z399" s="47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>
      <c r="C400" s="42"/>
      <c r="D400" s="42"/>
      <c r="E400" s="42"/>
      <c r="J400" s="56"/>
      <c r="K400" s="56"/>
      <c r="T400" s="42"/>
      <c r="U400" s="42"/>
      <c r="Z400" s="56"/>
      <c r="AE400" s="45"/>
      <c r="AF400" s="45"/>
      <c r="AI400" s="45"/>
      <c r="AJ400" s="45"/>
      <c r="AL400" s="45"/>
      <c r="AM400" s="46"/>
      <c r="AN400" s="46"/>
    </row>
    <row r="401" spans="1:40">
      <c r="D401" s="42"/>
      <c r="E401" s="42"/>
      <c r="F401" s="45"/>
      <c r="H401" s="45"/>
      <c r="I401" s="45"/>
      <c r="J401" s="132"/>
      <c r="K401" s="132"/>
      <c r="L401" s="45"/>
      <c r="M401" s="45"/>
      <c r="N401" s="46"/>
      <c r="O401" s="46"/>
      <c r="P401" s="45"/>
      <c r="Q401" s="45"/>
      <c r="R401" s="45"/>
      <c r="U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1:40">
      <c r="F402" s="45"/>
      <c r="H402" s="45"/>
      <c r="I402" s="45"/>
      <c r="J402" s="326"/>
      <c r="K402" s="326"/>
      <c r="L402" s="45"/>
      <c r="M402" s="45"/>
      <c r="N402" s="45"/>
      <c r="O402" s="45"/>
      <c r="P402" s="45"/>
      <c r="Q402" s="45"/>
      <c r="R402" s="45"/>
      <c r="V402" s="45"/>
      <c r="Y402" s="45"/>
      <c r="Z402" s="326"/>
      <c r="AA402" s="45"/>
      <c r="AB402" s="45"/>
      <c r="AC402" s="45"/>
      <c r="AD402" s="45"/>
      <c r="AE402" s="45"/>
      <c r="AF402" s="45"/>
      <c r="AH402" s="51"/>
      <c r="AI402" s="164"/>
      <c r="AJ402" s="164"/>
      <c r="AL402" s="45"/>
      <c r="AM402" s="46"/>
      <c r="AN402" s="46"/>
    </row>
    <row r="403" spans="1:40">
      <c r="C403" s="42"/>
      <c r="F403" s="164"/>
      <c r="H403" s="164"/>
      <c r="I403" s="164"/>
      <c r="J403" s="325"/>
      <c r="K403" s="325"/>
      <c r="L403" s="45"/>
      <c r="M403" s="45"/>
      <c r="N403" s="46"/>
      <c r="O403" s="46"/>
      <c r="P403" s="45"/>
      <c r="Q403" s="45"/>
      <c r="R403" s="45"/>
      <c r="T403" s="42"/>
      <c r="V403" s="164"/>
      <c r="Y403" s="164"/>
      <c r="Z403" s="325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1:40">
      <c r="F404" s="49"/>
      <c r="H404" s="49"/>
      <c r="I404" s="49"/>
      <c r="L404" s="49"/>
      <c r="M404" s="49"/>
      <c r="N404" s="49"/>
      <c r="O404" s="49"/>
      <c r="P404" s="49"/>
      <c r="Q404" s="49"/>
      <c r="R404" s="49"/>
      <c r="V404" s="49"/>
      <c r="Y404" s="49"/>
      <c r="AA404" s="49"/>
      <c r="AB404" s="49"/>
      <c r="AC404" s="49"/>
      <c r="AD404" s="49"/>
      <c r="AE404" s="49"/>
      <c r="AF404" s="49"/>
      <c r="AG404" s="107"/>
      <c r="AH404" s="49"/>
      <c r="AI404" s="49"/>
      <c r="AJ404" s="49"/>
      <c r="AK404" s="107"/>
      <c r="AL404" s="49"/>
      <c r="AM404" s="49"/>
      <c r="AN404" s="49"/>
    </row>
    <row r="405" spans="1:40">
      <c r="C405" s="44"/>
      <c r="F405" s="164"/>
      <c r="H405" s="164"/>
      <c r="I405" s="164"/>
      <c r="J405" s="316"/>
      <c r="K405" s="316"/>
      <c r="L405" s="164"/>
      <c r="M405" s="164"/>
      <c r="N405" s="46"/>
      <c r="O405" s="46"/>
      <c r="P405" s="164"/>
      <c r="Q405" s="164"/>
      <c r="R405" s="164"/>
      <c r="T405" s="44"/>
      <c r="V405" s="45"/>
      <c r="Y405" s="45"/>
      <c r="Z405" s="47"/>
      <c r="AA405" s="45"/>
      <c r="AB405" s="45"/>
      <c r="AC405" s="46"/>
      <c r="AD405" s="46"/>
      <c r="AH405" s="51"/>
      <c r="AI405" s="45"/>
      <c r="AJ405" s="45"/>
      <c r="AL405" s="45"/>
      <c r="AM405" s="46"/>
      <c r="AN405" s="46"/>
    </row>
    <row r="406" spans="1:40">
      <c r="F406" s="54"/>
      <c r="H406" s="54"/>
      <c r="I406" s="54"/>
      <c r="J406" s="326"/>
      <c r="K406" s="326"/>
      <c r="L406" s="54"/>
      <c r="M406" s="54"/>
      <c r="N406" s="54"/>
      <c r="O406" s="54"/>
      <c r="P406" s="54"/>
      <c r="Q406" s="54"/>
      <c r="R406" s="54"/>
      <c r="V406" s="49"/>
      <c r="Y406" s="49"/>
      <c r="AA406" s="49"/>
      <c r="AB406" s="49"/>
      <c r="AC406" s="49"/>
      <c r="AD406" s="49"/>
      <c r="AE406" s="49"/>
      <c r="AF406" s="49"/>
      <c r="AG406" s="107"/>
      <c r="AH406" s="49"/>
      <c r="AI406" s="49"/>
      <c r="AJ406" s="49"/>
      <c r="AK406" s="107"/>
      <c r="AL406" s="49"/>
      <c r="AM406" s="49"/>
      <c r="AN406" s="49"/>
    </row>
    <row r="407" spans="1:40">
      <c r="F407" s="164"/>
      <c r="H407" s="164"/>
      <c r="I407" s="164"/>
      <c r="J407" s="336"/>
      <c r="K407" s="336"/>
      <c r="L407" s="45"/>
      <c r="M407" s="45"/>
      <c r="N407" s="46"/>
      <c r="O407" s="46"/>
      <c r="P407" s="45"/>
      <c r="Q407" s="45"/>
      <c r="R407" s="45"/>
    </row>
    <row r="408" spans="1:40">
      <c r="A408" s="42"/>
      <c r="F408" s="164"/>
      <c r="H408" s="164"/>
      <c r="I408" s="164"/>
      <c r="J408" s="316"/>
      <c r="K408" s="316"/>
      <c r="L408" s="45"/>
      <c r="M408" s="45"/>
      <c r="N408" s="46"/>
      <c r="O408" s="46"/>
      <c r="P408" s="45"/>
      <c r="Q408" s="45"/>
      <c r="R408" s="45"/>
    </row>
    <row r="409" spans="1:40">
      <c r="F409" s="164"/>
      <c r="H409" s="164"/>
      <c r="I409" s="164"/>
      <c r="J409" s="316"/>
      <c r="K409" s="316"/>
      <c r="L409" s="45"/>
      <c r="M409" s="45"/>
      <c r="N409" s="46"/>
      <c r="O409" s="46"/>
      <c r="P409" s="45"/>
      <c r="Q409" s="45"/>
      <c r="R409" s="45"/>
    </row>
    <row r="410" spans="1:40">
      <c r="A410" s="42"/>
    </row>
    <row r="413" spans="1:40">
      <c r="H413" s="42"/>
      <c r="I413" s="42"/>
      <c r="Y413" s="42"/>
    </row>
    <row r="415" spans="1:40">
      <c r="L415" s="42"/>
      <c r="M415" s="42"/>
      <c r="AA415" s="42"/>
      <c r="AB415" s="42"/>
    </row>
    <row r="416" spans="1:40">
      <c r="R416" s="42"/>
      <c r="AK416" s="110"/>
      <c r="AL416" s="42"/>
    </row>
    <row r="417" spans="1:40">
      <c r="R417" s="42"/>
      <c r="AK417" s="110"/>
      <c r="AL417" s="42"/>
    </row>
    <row r="418" spans="1:40">
      <c r="A418" s="42"/>
      <c r="R418" s="42"/>
      <c r="AK418" s="110"/>
      <c r="AL418" s="42"/>
    </row>
    <row r="419" spans="1:40">
      <c r="L419" s="42"/>
      <c r="M419" s="42"/>
      <c r="AA419" s="42"/>
      <c r="AB419" s="42"/>
    </row>
    <row r="420" spans="1:40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107"/>
      <c r="AH420" s="49"/>
      <c r="AI420" s="49"/>
      <c r="AJ420" s="49"/>
      <c r="AK420" s="107"/>
      <c r="AL420" s="49"/>
      <c r="AM420" s="49"/>
      <c r="AN420" s="49"/>
    </row>
    <row r="421" spans="1:40">
      <c r="L421" s="44"/>
      <c r="M421" s="44"/>
      <c r="N421" s="44"/>
      <c r="O421" s="44"/>
      <c r="R421" s="44"/>
      <c r="AA421" s="44"/>
      <c r="AB421" s="44"/>
      <c r="AC421" s="44"/>
      <c r="AD421" s="44"/>
      <c r="AE421" s="44"/>
      <c r="AF421" s="44"/>
      <c r="AG421" s="102"/>
      <c r="AH421" s="44"/>
      <c r="AK421" s="102"/>
      <c r="AL421" s="44"/>
      <c r="AM421" s="44"/>
      <c r="AN421" s="44"/>
    </row>
    <row r="422" spans="1:40">
      <c r="L422" s="44"/>
      <c r="M422" s="44"/>
      <c r="N422" s="44"/>
      <c r="O422" s="44"/>
      <c r="R422" s="44"/>
      <c r="Z422" s="44"/>
      <c r="AA422" s="44"/>
      <c r="AB422" s="44"/>
      <c r="AC422" s="44"/>
      <c r="AD422" s="44"/>
      <c r="AE422" s="44"/>
      <c r="AF422" s="44"/>
      <c r="AG422" s="102"/>
      <c r="AH422" s="44"/>
      <c r="AK422" s="102"/>
      <c r="AL422" s="44"/>
      <c r="AM422" s="44"/>
      <c r="AN422" s="44"/>
    </row>
    <row r="423" spans="1:40">
      <c r="A423" s="44"/>
      <c r="C423" s="44"/>
      <c r="D423" s="44"/>
      <c r="E423" s="44"/>
      <c r="F423" s="44"/>
      <c r="J423" s="44"/>
      <c r="K423" s="44"/>
      <c r="L423" s="44"/>
      <c r="M423" s="44"/>
      <c r="N423" s="44"/>
      <c r="O423" s="44"/>
      <c r="P423" s="44"/>
      <c r="Q423" s="44"/>
      <c r="R423" s="44"/>
      <c r="T423" s="44"/>
      <c r="U423" s="44"/>
      <c r="V423" s="44"/>
      <c r="Z423" s="44"/>
      <c r="AA423" s="44"/>
      <c r="AB423" s="44"/>
      <c r="AC423" s="44"/>
      <c r="AD423" s="44"/>
      <c r="AE423" s="44"/>
      <c r="AF423" s="44"/>
      <c r="AG423" s="102"/>
      <c r="AH423" s="44"/>
      <c r="AI423" s="44"/>
      <c r="AJ423" s="44"/>
      <c r="AK423" s="102"/>
      <c r="AL423" s="44"/>
      <c r="AM423" s="44"/>
      <c r="AN423" s="44"/>
    </row>
    <row r="424" spans="1:40">
      <c r="A424" s="44"/>
      <c r="C424" s="44"/>
      <c r="D424" s="44"/>
      <c r="E424" s="44"/>
      <c r="F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T424" s="44"/>
      <c r="U424" s="44"/>
      <c r="V424" s="44"/>
      <c r="Y424" s="44"/>
      <c r="Z424" s="44"/>
      <c r="AA424" s="44"/>
      <c r="AB424" s="44"/>
      <c r="AC424" s="44"/>
      <c r="AD424" s="44"/>
      <c r="AE424" s="44"/>
      <c r="AF424" s="44"/>
      <c r="AG424" s="102"/>
      <c r="AH424" s="44"/>
      <c r="AI424" s="44"/>
      <c r="AJ424" s="44"/>
      <c r="AK424" s="102"/>
      <c r="AL424" s="44"/>
      <c r="AM424" s="44"/>
      <c r="AN424" s="44"/>
    </row>
    <row r="425" spans="1:40">
      <c r="C425" s="44"/>
      <c r="D425" s="44"/>
      <c r="E425" s="44"/>
      <c r="F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T425" s="44"/>
      <c r="U425" s="44"/>
      <c r="V425" s="44"/>
      <c r="Y425" s="44"/>
      <c r="Z425" s="44"/>
      <c r="AA425" s="44"/>
      <c r="AB425" s="44"/>
      <c r="AC425" s="44"/>
      <c r="AD425" s="44"/>
      <c r="AE425" s="44"/>
      <c r="AF425" s="44"/>
      <c r="AG425" s="102"/>
      <c r="AH425" s="44"/>
      <c r="AI425" s="44"/>
      <c r="AJ425" s="44"/>
      <c r="AK425" s="102"/>
      <c r="AL425" s="44"/>
      <c r="AM425" s="44"/>
      <c r="AN425" s="44"/>
    </row>
    <row r="426" spans="1:40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107"/>
      <c r="AH426" s="49"/>
      <c r="AI426" s="49"/>
      <c r="AJ426" s="49"/>
      <c r="AK426" s="107"/>
      <c r="AL426" s="49"/>
      <c r="AM426" s="49"/>
      <c r="AN426" s="49"/>
    </row>
    <row r="427" spans="1:40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Y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>
      <c r="C428" s="42"/>
      <c r="D428" s="42"/>
      <c r="E428" s="42"/>
      <c r="T428" s="42"/>
      <c r="U428" s="42"/>
    </row>
    <row r="430" spans="1:40">
      <c r="C430" s="42"/>
      <c r="T430" s="42"/>
    </row>
    <row r="431" spans="1:40">
      <c r="C431" s="42"/>
      <c r="F431" s="164"/>
      <c r="H431" s="164"/>
      <c r="I431" s="164"/>
      <c r="J431" s="326"/>
      <c r="K431" s="326"/>
      <c r="L431" s="45"/>
      <c r="M431" s="45"/>
      <c r="N431" s="46"/>
      <c r="O431" s="46"/>
      <c r="P431" s="45"/>
      <c r="Q431" s="45"/>
      <c r="R431" s="45"/>
      <c r="T431" s="42"/>
      <c r="V431" s="164"/>
      <c r="Y431" s="164"/>
      <c r="Z431" s="326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1:40">
      <c r="C432" s="42"/>
      <c r="T432" s="42"/>
    </row>
    <row r="433" spans="3:40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>
      <c r="C436" s="42"/>
      <c r="F436" s="164"/>
      <c r="H436" s="164"/>
      <c r="I436" s="164"/>
      <c r="J436" s="132"/>
      <c r="K436" s="132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132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3:40">
      <c r="C437" s="42"/>
      <c r="J437" s="56"/>
      <c r="K437" s="56"/>
      <c r="T437" s="42"/>
      <c r="Z437" s="56"/>
    </row>
    <row r="438" spans="3:40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>
      <c r="C441" s="42"/>
      <c r="J441" s="56"/>
      <c r="K441" s="56"/>
      <c r="T441" s="42"/>
      <c r="Z441" s="56"/>
    </row>
    <row r="442" spans="3:40">
      <c r="C442" s="42"/>
      <c r="F442" s="164"/>
      <c r="H442" s="164"/>
      <c r="I442" s="164"/>
      <c r="J442" s="132"/>
      <c r="K442" s="132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132"/>
      <c r="AA442" s="45"/>
      <c r="AB442" s="45"/>
      <c r="AC442" s="46"/>
      <c r="AD442" s="46"/>
      <c r="AE442" s="45"/>
      <c r="AF442" s="45"/>
      <c r="AH442" s="51"/>
      <c r="AI442" s="45"/>
      <c r="AJ442" s="45"/>
      <c r="AL442" s="45"/>
      <c r="AM442" s="46"/>
      <c r="AN442" s="46"/>
    </row>
    <row r="443" spans="3:40">
      <c r="C443" s="42"/>
      <c r="F443" s="164"/>
      <c r="H443" s="164"/>
      <c r="I443" s="164"/>
      <c r="J443" s="132"/>
      <c r="K443" s="132"/>
      <c r="L443" s="45"/>
      <c r="M443" s="45"/>
      <c r="N443" s="46"/>
      <c r="O443" s="46"/>
      <c r="P443" s="45"/>
      <c r="Q443" s="45"/>
      <c r="R443" s="45"/>
      <c r="T443" s="42"/>
      <c r="V443" s="45"/>
      <c r="Y443" s="45"/>
      <c r="Z443" s="132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>
      <c r="C444" s="42"/>
      <c r="J444" s="56"/>
      <c r="K444" s="56"/>
      <c r="T444" s="42"/>
      <c r="Z444" s="56"/>
    </row>
    <row r="445" spans="3:40">
      <c r="C445" s="42"/>
      <c r="F445" s="164"/>
      <c r="H445" s="164"/>
      <c r="I445" s="164"/>
      <c r="J445" s="132"/>
      <c r="K445" s="132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132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>
      <c r="C446" s="42"/>
      <c r="F446" s="164"/>
      <c r="H446" s="164"/>
      <c r="I446" s="164"/>
      <c r="J446" s="132"/>
      <c r="K446" s="132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132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>
      <c r="C447" s="42"/>
      <c r="F447" s="164"/>
      <c r="H447" s="164"/>
      <c r="I447" s="164"/>
      <c r="J447" s="132"/>
      <c r="K447" s="132"/>
      <c r="L447" s="45"/>
      <c r="M447" s="45"/>
      <c r="N447" s="46"/>
      <c r="O447" s="46"/>
      <c r="P447" s="45"/>
      <c r="Q447" s="45"/>
      <c r="R447" s="45"/>
      <c r="T447" s="42"/>
      <c r="V447" s="45"/>
      <c r="Y447" s="45"/>
      <c r="Z447" s="132"/>
      <c r="AA447" s="45"/>
      <c r="AB447" s="45"/>
      <c r="AC447" s="46"/>
      <c r="AD447" s="46"/>
      <c r="AE447" s="45"/>
      <c r="AF447" s="45"/>
      <c r="AH447" s="51"/>
      <c r="AI447" s="45"/>
      <c r="AJ447" s="45"/>
      <c r="AL447" s="45"/>
      <c r="AM447" s="46"/>
      <c r="AN447" s="46"/>
    </row>
    <row r="448" spans="3:40">
      <c r="F448" s="50"/>
      <c r="H448" s="50"/>
      <c r="I448" s="50"/>
      <c r="J448" s="132"/>
      <c r="K448" s="132"/>
      <c r="L448" s="50"/>
      <c r="M448" s="50"/>
      <c r="N448" s="50"/>
      <c r="O448" s="50"/>
      <c r="P448" s="50"/>
      <c r="Q448" s="50"/>
      <c r="R448" s="50"/>
      <c r="V448" s="50"/>
      <c r="Y448" s="50"/>
      <c r="Z448" s="132"/>
      <c r="AA448" s="50"/>
      <c r="AB448" s="50"/>
      <c r="AC448" s="50"/>
      <c r="AD448" s="50"/>
      <c r="AE448" s="50"/>
      <c r="AF448" s="50"/>
      <c r="AI448" s="50"/>
      <c r="AJ448" s="50"/>
      <c r="AK448" s="111"/>
      <c r="AL448" s="50"/>
    </row>
    <row r="449" spans="3:40">
      <c r="C449" s="44"/>
      <c r="F449" s="45"/>
      <c r="H449" s="45"/>
      <c r="I449" s="45"/>
      <c r="J449" s="56"/>
      <c r="K449" s="56"/>
      <c r="L449" s="45"/>
      <c r="M449" s="45"/>
      <c r="N449" s="51"/>
      <c r="O449" s="51"/>
      <c r="P449" s="45"/>
      <c r="Q449" s="45"/>
      <c r="R449" s="45"/>
      <c r="T449" s="44"/>
      <c r="V449" s="45"/>
      <c r="Y449" s="45"/>
      <c r="Z449" s="56"/>
      <c r="AA449" s="45"/>
      <c r="AB449" s="45"/>
      <c r="AC449" s="45"/>
      <c r="AD449" s="45"/>
      <c r="AE449" s="45"/>
      <c r="AF449" s="45"/>
      <c r="AH449" s="51"/>
      <c r="AI449" s="45"/>
      <c r="AJ449" s="45"/>
      <c r="AL449" s="45"/>
      <c r="AM449" s="46"/>
      <c r="AN449" s="46"/>
    </row>
    <row r="450" spans="3:40">
      <c r="F450" s="50"/>
      <c r="H450" s="50"/>
      <c r="I450" s="50"/>
      <c r="J450" s="132"/>
      <c r="K450" s="132"/>
      <c r="L450" s="50"/>
      <c r="M450" s="50"/>
      <c r="N450" s="50"/>
      <c r="O450" s="50"/>
      <c r="P450" s="50"/>
      <c r="Q450" s="50"/>
      <c r="R450" s="50"/>
      <c r="V450" s="50"/>
      <c r="Y450" s="50"/>
      <c r="Z450" s="132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</row>
    <row r="451" spans="3:40">
      <c r="C451" s="42"/>
      <c r="J451" s="56"/>
      <c r="K451" s="56"/>
      <c r="T451" s="42"/>
      <c r="Z451" s="56"/>
    </row>
    <row r="452" spans="3:40">
      <c r="C452" s="42"/>
      <c r="J452" s="56"/>
      <c r="K452" s="56"/>
      <c r="T452" s="42"/>
      <c r="Z452" s="56"/>
    </row>
    <row r="453" spans="3:40">
      <c r="C453" s="42"/>
      <c r="F453" s="164"/>
      <c r="H453" s="164"/>
      <c r="I453" s="164"/>
      <c r="J453" s="132"/>
      <c r="K453" s="132"/>
      <c r="L453" s="45"/>
      <c r="M453" s="45"/>
      <c r="N453" s="46"/>
      <c r="O453" s="46"/>
      <c r="P453" s="45"/>
      <c r="Q453" s="45"/>
      <c r="R453" s="45"/>
      <c r="T453" s="42"/>
      <c r="V453" s="45"/>
      <c r="Y453" s="45"/>
      <c r="Z453" s="132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3:40">
      <c r="C454" s="42"/>
      <c r="F454" s="164"/>
      <c r="H454" s="164"/>
      <c r="I454" s="164"/>
      <c r="J454" s="132"/>
      <c r="K454" s="132"/>
      <c r="L454" s="45"/>
      <c r="M454" s="45"/>
      <c r="N454" s="46"/>
      <c r="O454" s="46"/>
      <c r="P454" s="45"/>
      <c r="Q454" s="45"/>
      <c r="R454" s="45"/>
      <c r="T454" s="42"/>
      <c r="V454" s="45"/>
      <c r="Y454" s="45"/>
      <c r="Z454" s="132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>
      <c r="C455" s="42"/>
      <c r="F455" s="164"/>
      <c r="H455" s="164"/>
      <c r="I455" s="164"/>
      <c r="J455" s="132"/>
      <c r="K455" s="132"/>
      <c r="L455" s="45"/>
      <c r="M455" s="45"/>
      <c r="N455" s="46"/>
      <c r="O455" s="46"/>
      <c r="P455" s="45"/>
      <c r="Q455" s="45"/>
      <c r="R455" s="45"/>
      <c r="T455" s="42"/>
      <c r="V455" s="45"/>
      <c r="Y455" s="45"/>
      <c r="Z455" s="132"/>
      <c r="AA455" s="45"/>
      <c r="AB455" s="45"/>
      <c r="AC455" s="46"/>
      <c r="AD455" s="46"/>
      <c r="AE455" s="45"/>
      <c r="AF455" s="45"/>
      <c r="AH455" s="51"/>
      <c r="AI455" s="45"/>
      <c r="AJ455" s="45"/>
      <c r="AL455" s="45"/>
      <c r="AM455" s="46"/>
      <c r="AN455" s="46"/>
    </row>
    <row r="456" spans="3:40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46"/>
      <c r="AN456" s="46"/>
    </row>
    <row r="457" spans="3:40">
      <c r="C457" s="42"/>
      <c r="F457" s="164"/>
      <c r="H457" s="164"/>
      <c r="I457" s="164"/>
      <c r="J457" s="132"/>
      <c r="K457" s="132"/>
      <c r="L457" s="45"/>
      <c r="M457" s="45"/>
      <c r="N457" s="46"/>
      <c r="O457" s="46"/>
      <c r="P457" s="45"/>
      <c r="Q457" s="45"/>
      <c r="R457" s="45"/>
      <c r="T457" s="42"/>
      <c r="V457" s="45"/>
      <c r="Y457" s="45"/>
      <c r="Z457" s="132"/>
      <c r="AA457" s="45"/>
      <c r="AB457" s="45"/>
      <c r="AC457" s="46"/>
      <c r="AD457" s="46"/>
      <c r="AE457" s="45"/>
      <c r="AF457" s="45"/>
      <c r="AH457" s="51"/>
      <c r="AI457" s="45"/>
      <c r="AJ457" s="45"/>
      <c r="AL457" s="45"/>
      <c r="AM457" s="46"/>
      <c r="AN457" s="46"/>
    </row>
    <row r="458" spans="3:40">
      <c r="C458" s="42"/>
      <c r="F458" s="164"/>
      <c r="H458" s="164"/>
      <c r="I458" s="164"/>
      <c r="J458" s="132"/>
      <c r="K458" s="132"/>
      <c r="L458" s="45"/>
      <c r="M458" s="45"/>
      <c r="N458" s="46"/>
      <c r="O458" s="46"/>
      <c r="P458" s="45"/>
      <c r="Q458" s="45"/>
      <c r="R458" s="45"/>
      <c r="T458" s="42"/>
      <c r="V458" s="45"/>
      <c r="Y458" s="45"/>
      <c r="Z458" s="132"/>
      <c r="AA458" s="45"/>
      <c r="AB458" s="45"/>
      <c r="AC458" s="46"/>
      <c r="AD458" s="46"/>
      <c r="AE458" s="45"/>
      <c r="AF458" s="45"/>
      <c r="AH458" s="51"/>
      <c r="AI458" s="45"/>
      <c r="AJ458" s="45"/>
      <c r="AL458" s="45"/>
      <c r="AM458" s="46"/>
      <c r="AN458" s="46"/>
    </row>
    <row r="459" spans="3:40">
      <c r="C459" s="42"/>
      <c r="F459" s="164"/>
      <c r="H459" s="164"/>
      <c r="I459" s="164"/>
      <c r="J459" s="132"/>
      <c r="K459" s="132"/>
      <c r="L459" s="45"/>
      <c r="M459" s="45"/>
      <c r="N459" s="46"/>
      <c r="O459" s="46"/>
      <c r="P459" s="45"/>
      <c r="Q459" s="45"/>
      <c r="R459" s="45"/>
      <c r="T459" s="42"/>
      <c r="V459" s="45"/>
      <c r="Y459" s="45"/>
      <c r="Z459" s="132"/>
      <c r="AA459" s="45"/>
      <c r="AB459" s="45"/>
      <c r="AC459" s="46"/>
      <c r="AD459" s="46"/>
      <c r="AE459" s="45"/>
      <c r="AF459" s="45"/>
      <c r="AH459" s="51"/>
      <c r="AI459" s="45"/>
      <c r="AJ459" s="45"/>
      <c r="AL459" s="45"/>
      <c r="AM459" s="46"/>
      <c r="AN459" s="46"/>
    </row>
    <row r="460" spans="3:40">
      <c r="C460" s="42"/>
      <c r="J460" s="56"/>
      <c r="K460" s="56"/>
      <c r="T460" s="42"/>
      <c r="Z460" s="56"/>
    </row>
    <row r="461" spans="3:40">
      <c r="C461" s="42"/>
      <c r="F461" s="164"/>
      <c r="H461" s="164"/>
      <c r="I461" s="164"/>
      <c r="J461" s="132"/>
      <c r="K461" s="132"/>
      <c r="L461" s="45"/>
      <c r="M461" s="45"/>
      <c r="N461" s="46"/>
      <c r="O461" s="46"/>
      <c r="P461" s="45"/>
      <c r="Q461" s="45"/>
      <c r="R461" s="45"/>
      <c r="T461" s="42"/>
      <c r="V461" s="45"/>
      <c r="Y461" s="45"/>
      <c r="Z461" s="132"/>
      <c r="AA461" s="45"/>
      <c r="AB461" s="45"/>
      <c r="AC461" s="46"/>
      <c r="AD461" s="46"/>
      <c r="AE461" s="45"/>
      <c r="AF461" s="45"/>
      <c r="AH461" s="51"/>
      <c r="AI461" s="45"/>
      <c r="AJ461" s="45"/>
      <c r="AL461" s="45"/>
      <c r="AM461" s="46"/>
      <c r="AN461" s="46"/>
    </row>
    <row r="462" spans="3:40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3:40">
      <c r="C463" s="42"/>
      <c r="F463" s="164"/>
      <c r="H463" s="164"/>
      <c r="I463" s="164"/>
      <c r="J463" s="132"/>
      <c r="K463" s="132"/>
      <c r="L463" s="45"/>
      <c r="M463" s="45"/>
      <c r="N463" s="46"/>
      <c r="O463" s="46"/>
      <c r="P463" s="45"/>
      <c r="Q463" s="45"/>
      <c r="R463" s="45"/>
      <c r="T463" s="42"/>
      <c r="V463" s="45"/>
      <c r="Y463" s="45"/>
      <c r="Z463" s="132"/>
      <c r="AA463" s="45"/>
      <c r="AB463" s="45"/>
      <c r="AC463" s="46"/>
      <c r="AD463" s="46"/>
      <c r="AE463" s="45"/>
      <c r="AF463" s="45"/>
      <c r="AH463" s="51"/>
      <c r="AI463" s="45"/>
      <c r="AJ463" s="45"/>
      <c r="AL463" s="45"/>
      <c r="AM463" s="46"/>
      <c r="AN463" s="46"/>
    </row>
    <row r="464" spans="3:40">
      <c r="C464" s="42"/>
      <c r="F464" s="164"/>
      <c r="H464" s="164"/>
      <c r="I464" s="164"/>
      <c r="J464" s="132"/>
      <c r="K464" s="132"/>
      <c r="L464" s="45"/>
      <c r="M464" s="45"/>
      <c r="N464" s="46"/>
      <c r="O464" s="46"/>
      <c r="P464" s="45"/>
      <c r="Q464" s="45"/>
      <c r="R464" s="45"/>
      <c r="T464" s="42"/>
      <c r="V464" s="45"/>
      <c r="Y464" s="45"/>
      <c r="Z464" s="132"/>
      <c r="AA464" s="45"/>
      <c r="AB464" s="45"/>
      <c r="AC464" s="46"/>
      <c r="AD464" s="46"/>
      <c r="AE464" s="45"/>
      <c r="AF464" s="45"/>
      <c r="AH464" s="51"/>
      <c r="AI464" s="45"/>
      <c r="AJ464" s="45"/>
      <c r="AL464" s="45"/>
      <c r="AM464" s="46"/>
      <c r="AN464" s="46"/>
    </row>
    <row r="465" spans="3:40">
      <c r="C465" s="42"/>
      <c r="J465" s="56"/>
      <c r="K465" s="56"/>
      <c r="T465" s="42"/>
      <c r="Z465" s="56"/>
    </row>
    <row r="466" spans="3:40">
      <c r="C466" s="42"/>
      <c r="F466" s="164"/>
      <c r="H466" s="164"/>
      <c r="I466" s="164"/>
      <c r="J466" s="132"/>
      <c r="K466" s="132"/>
      <c r="L466" s="45"/>
      <c r="M466" s="45"/>
      <c r="N466" s="46"/>
      <c r="O466" s="46"/>
      <c r="P466" s="45"/>
      <c r="Q466" s="45"/>
      <c r="R466" s="45"/>
      <c r="T466" s="42"/>
      <c r="V466" s="45"/>
      <c r="Y466" s="45"/>
      <c r="Z466" s="132"/>
      <c r="AA466" s="45"/>
      <c r="AB466" s="45"/>
      <c r="AC466" s="46"/>
      <c r="AD466" s="46"/>
      <c r="AE466" s="45"/>
      <c r="AF466" s="45"/>
      <c r="AH466" s="51"/>
      <c r="AI466" s="45"/>
      <c r="AJ466" s="45"/>
      <c r="AL466" s="45"/>
      <c r="AM466" s="46"/>
      <c r="AN466" s="46"/>
    </row>
    <row r="467" spans="3:40">
      <c r="C467" s="42"/>
      <c r="F467" s="164"/>
      <c r="H467" s="164"/>
      <c r="I467" s="164"/>
      <c r="J467" s="132"/>
      <c r="K467" s="132"/>
      <c r="L467" s="45"/>
      <c r="M467" s="45"/>
      <c r="N467" s="46"/>
      <c r="O467" s="46"/>
      <c r="P467" s="45"/>
      <c r="Q467" s="45"/>
      <c r="R467" s="45"/>
      <c r="T467" s="42"/>
      <c r="V467" s="45"/>
      <c r="Y467" s="45"/>
      <c r="Z467" s="132"/>
      <c r="AA467" s="45"/>
      <c r="AB467" s="45"/>
      <c r="AC467" s="46"/>
      <c r="AD467" s="46"/>
      <c r="AE467" s="45"/>
      <c r="AF467" s="45"/>
      <c r="AH467" s="51"/>
      <c r="AI467" s="45"/>
      <c r="AJ467" s="45"/>
      <c r="AL467" s="45"/>
      <c r="AM467" s="46"/>
      <c r="AN467" s="46"/>
    </row>
    <row r="468" spans="3:40">
      <c r="C468" s="42"/>
      <c r="F468" s="164"/>
      <c r="H468" s="164"/>
      <c r="I468" s="164"/>
      <c r="J468" s="132"/>
      <c r="K468" s="132"/>
      <c r="L468" s="45"/>
      <c r="M468" s="45"/>
      <c r="N468" s="46"/>
      <c r="O468" s="46"/>
      <c r="P468" s="45"/>
      <c r="Q468" s="45"/>
      <c r="R468" s="45"/>
      <c r="T468" s="42"/>
      <c r="V468" s="45"/>
      <c r="Y468" s="45"/>
      <c r="Z468" s="132"/>
      <c r="AA468" s="45"/>
      <c r="AB468" s="45"/>
      <c r="AC468" s="46"/>
      <c r="AD468" s="46"/>
      <c r="AE468" s="45"/>
      <c r="AF468" s="45"/>
      <c r="AH468" s="51"/>
      <c r="AI468" s="45"/>
      <c r="AJ468" s="45"/>
      <c r="AL468" s="45"/>
      <c r="AM468" s="46"/>
      <c r="AN468" s="46"/>
    </row>
    <row r="469" spans="3:40">
      <c r="C469" s="42"/>
      <c r="F469" s="164"/>
      <c r="H469" s="164"/>
      <c r="I469" s="164"/>
      <c r="J469" s="132"/>
      <c r="K469" s="132"/>
      <c r="L469" s="45"/>
      <c r="M469" s="45"/>
      <c r="N469" s="46"/>
      <c r="O469" s="46"/>
      <c r="P469" s="45"/>
      <c r="Q469" s="45"/>
      <c r="R469" s="45"/>
      <c r="T469" s="42"/>
      <c r="V469" s="45"/>
      <c r="Y469" s="45"/>
      <c r="Z469" s="132"/>
      <c r="AA469" s="45"/>
      <c r="AB469" s="45"/>
      <c r="AC469" s="46"/>
      <c r="AD469" s="46"/>
      <c r="AE469" s="45"/>
      <c r="AF469" s="45"/>
      <c r="AH469" s="51"/>
      <c r="AI469" s="45"/>
      <c r="AJ469" s="45"/>
      <c r="AL469" s="45"/>
      <c r="AM469" s="46"/>
      <c r="AN469" s="46"/>
    </row>
    <row r="470" spans="3:40">
      <c r="C470" s="42"/>
      <c r="F470" s="164"/>
      <c r="H470" s="164"/>
      <c r="I470" s="164"/>
      <c r="J470" s="132"/>
      <c r="K470" s="132"/>
      <c r="L470" s="45"/>
      <c r="M470" s="45"/>
      <c r="N470" s="46"/>
      <c r="O470" s="46"/>
      <c r="P470" s="45"/>
      <c r="Q470" s="45"/>
      <c r="R470" s="45"/>
      <c r="T470" s="42"/>
      <c r="V470" s="45"/>
      <c r="Y470" s="45"/>
      <c r="Z470" s="132"/>
      <c r="AA470" s="45"/>
      <c r="AB470" s="45"/>
      <c r="AC470" s="46"/>
      <c r="AD470" s="46"/>
      <c r="AE470" s="45"/>
      <c r="AF470" s="45"/>
      <c r="AH470" s="51"/>
      <c r="AI470" s="45"/>
      <c r="AJ470" s="45"/>
      <c r="AL470" s="45"/>
      <c r="AM470" s="46"/>
      <c r="AN470" s="46"/>
    </row>
    <row r="471" spans="3:40">
      <c r="F471" s="50"/>
      <c r="H471" s="50"/>
      <c r="I471" s="50"/>
      <c r="J471" s="326"/>
      <c r="K471" s="326"/>
      <c r="L471" s="50"/>
      <c r="M471" s="50"/>
      <c r="N471" s="50"/>
      <c r="O471" s="50"/>
      <c r="P471" s="50"/>
      <c r="Q471" s="50"/>
      <c r="R471" s="50"/>
      <c r="V471" s="50"/>
      <c r="Y471" s="50"/>
      <c r="Z471" s="132"/>
      <c r="AA471" s="50"/>
      <c r="AB471" s="50"/>
      <c r="AC471" s="50"/>
      <c r="AD471" s="50"/>
      <c r="AE471" s="50"/>
      <c r="AF471" s="50"/>
      <c r="AI471" s="50"/>
      <c r="AJ471" s="50"/>
      <c r="AK471" s="111"/>
      <c r="AL471" s="50"/>
    </row>
    <row r="472" spans="3:40">
      <c r="C472" s="42"/>
      <c r="F472" s="45"/>
      <c r="H472" s="45"/>
      <c r="I472" s="45"/>
      <c r="L472" s="45"/>
      <c r="M472" s="45"/>
      <c r="N472" s="51"/>
      <c r="O472" s="51"/>
      <c r="P472" s="45"/>
      <c r="Q472" s="45"/>
      <c r="R472" s="45"/>
      <c r="T472" s="42"/>
      <c r="V472" s="45"/>
      <c r="Y472" s="45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46"/>
      <c r="AN472" s="46"/>
    </row>
    <row r="473" spans="3:40">
      <c r="F473" s="50"/>
      <c r="H473" s="50"/>
      <c r="I473" s="50"/>
      <c r="J473" s="326"/>
      <c r="K473" s="326"/>
      <c r="L473" s="50"/>
      <c r="M473" s="50"/>
      <c r="N473" s="50"/>
      <c r="O473" s="50"/>
      <c r="P473" s="50"/>
      <c r="Q473" s="50"/>
      <c r="R473" s="50"/>
      <c r="V473" s="50"/>
      <c r="Y473" s="50"/>
      <c r="Z473" s="326"/>
      <c r="AA473" s="50"/>
      <c r="AB473" s="50"/>
      <c r="AC473" s="50"/>
      <c r="AD473" s="50"/>
      <c r="AE473" s="50"/>
      <c r="AF473" s="50"/>
      <c r="AI473" s="50"/>
      <c r="AJ473" s="50"/>
      <c r="AK473" s="111"/>
      <c r="AL473" s="50"/>
    </row>
    <row r="474" spans="3:40">
      <c r="C474" s="42"/>
      <c r="T474" s="42"/>
    </row>
    <row r="475" spans="3:40">
      <c r="C475" s="42"/>
      <c r="F475" s="164"/>
      <c r="H475" s="164"/>
      <c r="I475" s="164"/>
      <c r="J475" s="316"/>
      <c r="K475" s="316"/>
      <c r="L475" s="45"/>
      <c r="M475" s="45"/>
      <c r="N475" s="46"/>
      <c r="O475" s="46"/>
      <c r="P475" s="45"/>
      <c r="Q475" s="45"/>
      <c r="R475" s="45"/>
      <c r="T475" s="42"/>
      <c r="V475" s="45"/>
      <c r="Y475" s="45"/>
      <c r="Z475" s="316"/>
      <c r="AA475" s="45"/>
      <c r="AB475" s="45"/>
      <c r="AC475" s="46"/>
      <c r="AD475" s="46"/>
      <c r="AE475" s="45"/>
      <c r="AF475" s="45"/>
      <c r="AH475" s="51"/>
      <c r="AI475" s="45"/>
      <c r="AJ475" s="45"/>
      <c r="AL475" s="45"/>
      <c r="AM475" s="46"/>
      <c r="AN475" s="46"/>
    </row>
    <row r="476" spans="3:40">
      <c r="C476" s="42"/>
      <c r="F476" s="164"/>
      <c r="H476" s="164"/>
      <c r="I476" s="164"/>
      <c r="J476" s="316"/>
      <c r="K476" s="316"/>
      <c r="L476" s="45"/>
      <c r="M476" s="45"/>
      <c r="N476" s="46"/>
      <c r="O476" s="46"/>
      <c r="P476" s="45"/>
      <c r="Q476" s="45"/>
      <c r="R476" s="45"/>
      <c r="T476" s="42"/>
      <c r="V476" s="45"/>
      <c r="Y476" s="45"/>
      <c r="Z476" s="316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3:40">
      <c r="F477" s="50"/>
      <c r="H477" s="45"/>
      <c r="I477" s="45"/>
      <c r="J477" s="326"/>
      <c r="K477" s="326"/>
      <c r="L477" s="50"/>
      <c r="M477" s="50"/>
      <c r="N477" s="50"/>
      <c r="O477" s="50"/>
      <c r="P477" s="50"/>
      <c r="Q477" s="50"/>
      <c r="R477" s="50"/>
      <c r="V477" s="50"/>
      <c r="Y477" s="45"/>
      <c r="Z477" s="326"/>
      <c r="AA477" s="50"/>
      <c r="AB477" s="50"/>
      <c r="AC477" s="50"/>
      <c r="AD477" s="50"/>
      <c r="AE477" s="50"/>
      <c r="AF477" s="50"/>
      <c r="AI477" s="50"/>
      <c r="AJ477" s="50"/>
      <c r="AK477" s="111"/>
      <c r="AL477" s="50"/>
    </row>
    <row r="478" spans="3:40">
      <c r="F478" s="45"/>
      <c r="H478" s="45"/>
      <c r="I478" s="45"/>
      <c r="J478" s="326"/>
      <c r="K478" s="326"/>
      <c r="L478" s="45"/>
      <c r="M478" s="45"/>
      <c r="N478" s="45"/>
      <c r="O478" s="45"/>
      <c r="P478" s="45"/>
      <c r="Q478" s="45"/>
      <c r="R478" s="45"/>
      <c r="V478" s="45"/>
      <c r="Y478" s="45"/>
      <c r="Z478" s="326"/>
      <c r="AA478" s="45"/>
      <c r="AB478" s="45"/>
      <c r="AC478" s="45"/>
      <c r="AD478" s="45"/>
      <c r="AE478" s="45"/>
      <c r="AF478" s="45"/>
      <c r="AI478" s="45"/>
      <c r="AJ478" s="45"/>
      <c r="AL478" s="45"/>
    </row>
    <row r="479" spans="3:40">
      <c r="C479" s="42"/>
      <c r="F479" s="45"/>
      <c r="H479" s="45"/>
      <c r="I479" s="45"/>
      <c r="L479" s="45"/>
      <c r="M479" s="45"/>
      <c r="N479" s="46"/>
      <c r="O479" s="46"/>
      <c r="P479" s="45"/>
      <c r="Q479" s="45"/>
      <c r="R479" s="45"/>
      <c r="T479" s="42"/>
      <c r="V479" s="45"/>
      <c r="Y479" s="45"/>
      <c r="AA479" s="45"/>
      <c r="AB479" s="45"/>
      <c r="AC479" s="46"/>
      <c r="AD479" s="46"/>
      <c r="AE479" s="45"/>
      <c r="AF479" s="45"/>
      <c r="AH479" s="51"/>
      <c r="AI479" s="164"/>
      <c r="AJ479" s="164"/>
      <c r="AL479" s="45"/>
      <c r="AM479" s="46"/>
      <c r="AN479" s="46"/>
    </row>
    <row r="480" spans="3:40">
      <c r="F480" s="50"/>
      <c r="H480" s="50"/>
      <c r="I480" s="50"/>
      <c r="J480" s="326"/>
      <c r="K480" s="326"/>
      <c r="L480" s="50"/>
      <c r="M480" s="50"/>
      <c r="N480" s="50"/>
      <c r="O480" s="50"/>
      <c r="P480" s="50"/>
      <c r="Q480" s="50"/>
      <c r="R480" s="50"/>
      <c r="V480" s="50"/>
      <c r="Y480" s="50"/>
      <c r="Z480" s="326"/>
      <c r="AA480" s="50"/>
      <c r="AB480" s="50"/>
      <c r="AC480" s="50"/>
      <c r="AD480" s="50"/>
      <c r="AE480" s="50"/>
      <c r="AF480" s="50"/>
      <c r="AI480" s="50"/>
      <c r="AJ480" s="50"/>
      <c r="AK480" s="111"/>
      <c r="AL480" s="50"/>
    </row>
    <row r="482" spans="1:28">
      <c r="A482" s="42"/>
      <c r="T482" s="42"/>
    </row>
    <row r="483" spans="1:28">
      <c r="A483" s="42"/>
      <c r="T483" s="42"/>
    </row>
    <row r="484" spans="1:28">
      <c r="A484" s="42"/>
      <c r="T484" s="42"/>
    </row>
    <row r="485" spans="1:28">
      <c r="A485" s="42"/>
      <c r="T485" s="42"/>
    </row>
    <row r="486" spans="1:28">
      <c r="A486" s="42"/>
      <c r="T486" s="42"/>
    </row>
    <row r="487" spans="1:28">
      <c r="A487" s="42"/>
      <c r="T487" s="42"/>
    </row>
    <row r="488" spans="1:28">
      <c r="A488" s="42"/>
      <c r="T488" s="42"/>
    </row>
    <row r="489" spans="1:28">
      <c r="A489" s="42"/>
      <c r="T489" s="42"/>
    </row>
    <row r="490" spans="1:28">
      <c r="A490" s="42"/>
      <c r="T490" s="42"/>
    </row>
    <row r="492" spans="1:28">
      <c r="A492" s="42"/>
    </row>
    <row r="494" spans="1:28">
      <c r="H494" s="42"/>
      <c r="I494" s="42"/>
      <c r="Y494" s="42"/>
    </row>
    <row r="496" spans="1:28">
      <c r="L496" s="42"/>
      <c r="M496" s="42"/>
      <c r="AA496" s="42"/>
      <c r="AB496" s="42"/>
    </row>
    <row r="497" spans="1:40">
      <c r="R497" s="42"/>
      <c r="AK497" s="110"/>
      <c r="AL497" s="42"/>
    </row>
    <row r="498" spans="1:40">
      <c r="R498" s="42"/>
      <c r="AK498" s="110"/>
      <c r="AL498" s="42"/>
    </row>
    <row r="499" spans="1:40">
      <c r="A499" s="42"/>
      <c r="R499" s="42"/>
      <c r="AK499" s="110"/>
      <c r="AL499" s="42"/>
    </row>
    <row r="500" spans="1:40">
      <c r="L500" s="42"/>
      <c r="M500" s="42"/>
      <c r="AA500" s="42"/>
      <c r="AB500" s="42"/>
    </row>
    <row r="501" spans="1:40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107"/>
      <c r="AH501" s="49"/>
      <c r="AI501" s="49"/>
      <c r="AJ501" s="49"/>
      <c r="AK501" s="107"/>
      <c r="AL501" s="49"/>
      <c r="AM501" s="49"/>
      <c r="AN501" s="49"/>
    </row>
    <row r="502" spans="1:40">
      <c r="L502" s="44"/>
      <c r="M502" s="44"/>
      <c r="N502" s="44"/>
      <c r="O502" s="44"/>
      <c r="R502" s="44"/>
      <c r="AA502" s="44"/>
      <c r="AB502" s="44"/>
      <c r="AC502" s="44"/>
      <c r="AD502" s="44"/>
      <c r="AE502" s="44"/>
      <c r="AF502" s="44"/>
      <c r="AG502" s="102"/>
      <c r="AH502" s="44"/>
      <c r="AK502" s="102"/>
      <c r="AL502" s="44"/>
      <c r="AM502" s="44"/>
      <c r="AN502" s="44"/>
    </row>
    <row r="503" spans="1:40">
      <c r="L503" s="44"/>
      <c r="M503" s="44"/>
      <c r="N503" s="44"/>
      <c r="O503" s="44"/>
      <c r="R503" s="44"/>
      <c r="Z503" s="44"/>
      <c r="AA503" s="44"/>
      <c r="AB503" s="44"/>
      <c r="AC503" s="44"/>
      <c r="AD503" s="44"/>
      <c r="AE503" s="44"/>
      <c r="AF503" s="44"/>
      <c r="AG503" s="102"/>
      <c r="AH503" s="44"/>
      <c r="AK503" s="102"/>
      <c r="AL503" s="44"/>
      <c r="AM503" s="44"/>
      <c r="AN503" s="44"/>
    </row>
    <row r="504" spans="1:40">
      <c r="A504" s="44"/>
      <c r="C504" s="44"/>
      <c r="D504" s="44"/>
      <c r="E504" s="44"/>
      <c r="F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>
      <c r="A505" s="44"/>
      <c r="C505" s="44"/>
      <c r="D505" s="44"/>
      <c r="E505" s="44"/>
      <c r="F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T505" s="44"/>
      <c r="U505" s="44"/>
      <c r="V505" s="44"/>
      <c r="Y505" s="44"/>
      <c r="Z505" s="44"/>
      <c r="AA505" s="44"/>
      <c r="AB505" s="44"/>
      <c r="AC505" s="44"/>
      <c r="AD505" s="44"/>
      <c r="AE505" s="44"/>
      <c r="AF505" s="44"/>
      <c r="AG505" s="102"/>
      <c r="AH505" s="44"/>
      <c r="AI505" s="44"/>
      <c r="AJ505" s="44"/>
      <c r="AK505" s="102"/>
      <c r="AL505" s="44"/>
      <c r="AM505" s="44"/>
      <c r="AN505" s="44"/>
    </row>
    <row r="506" spans="1:40">
      <c r="C506" s="44"/>
      <c r="D506" s="44"/>
      <c r="E506" s="44"/>
      <c r="F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T506" s="44"/>
      <c r="U506" s="44"/>
      <c r="V506" s="44"/>
      <c r="Y506" s="44"/>
      <c r="Z506" s="44"/>
      <c r="AA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</row>
    <row r="507" spans="1:40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107"/>
      <c r="AH507" s="49"/>
      <c r="AI507" s="49"/>
      <c r="AJ507" s="49"/>
      <c r="AK507" s="107"/>
      <c r="AL507" s="49"/>
      <c r="AM507" s="49"/>
      <c r="AN507" s="49"/>
    </row>
    <row r="508" spans="1:40"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Y508" s="44"/>
      <c r="Z508" s="44"/>
      <c r="AA508" s="44"/>
      <c r="AB508" s="44"/>
      <c r="AC508" s="44"/>
      <c r="AD508" s="44"/>
      <c r="AE508" s="44"/>
      <c r="AF508" s="44"/>
      <c r="AG508" s="102"/>
      <c r="AH508" s="44"/>
      <c r="AI508" s="44"/>
      <c r="AJ508" s="44"/>
      <c r="AK508" s="102"/>
      <c r="AL508" s="44"/>
      <c r="AM508" s="44"/>
      <c r="AN508" s="44"/>
    </row>
    <row r="509" spans="1:40">
      <c r="C509" s="42"/>
      <c r="D509" s="42"/>
      <c r="E509" s="42"/>
      <c r="T509" s="42"/>
      <c r="U509" s="42"/>
    </row>
    <row r="510" spans="1:40">
      <c r="D510" s="42"/>
      <c r="E510" s="42"/>
      <c r="U510" s="42"/>
    </row>
    <row r="512" spans="1:40">
      <c r="C512" s="42"/>
      <c r="F512" s="45"/>
      <c r="J512" s="53"/>
      <c r="K512" s="53"/>
      <c r="L512" s="45"/>
      <c r="M512" s="45"/>
      <c r="R512" s="45"/>
      <c r="T512" s="42"/>
      <c r="V512" s="45"/>
      <c r="Z512" s="53"/>
      <c r="AA512" s="45"/>
      <c r="AB512" s="45"/>
      <c r="AH512" s="45"/>
      <c r="AL512" s="45"/>
    </row>
    <row r="513" spans="3:40">
      <c r="C513" s="42"/>
      <c r="F513" s="45"/>
      <c r="R513" s="45"/>
      <c r="T513" s="42"/>
      <c r="V513" s="45"/>
      <c r="AH513" s="45"/>
      <c r="AL513" s="45"/>
    </row>
    <row r="514" spans="3:40">
      <c r="AI514" s="45"/>
      <c r="AJ514" s="45"/>
      <c r="AL514" s="45"/>
      <c r="AM514" s="46"/>
      <c r="AN514" s="46"/>
    </row>
    <row r="515" spans="3:40">
      <c r="C515" s="42"/>
      <c r="F515" s="164"/>
      <c r="H515" s="164"/>
      <c r="I515" s="164"/>
      <c r="J515" s="336"/>
      <c r="K515" s="336"/>
      <c r="L515" s="45"/>
      <c r="M515" s="45"/>
      <c r="N515" s="46"/>
      <c r="O515" s="46"/>
      <c r="P515" s="45"/>
      <c r="Q515" s="45"/>
      <c r="R515" s="45"/>
      <c r="T515" s="42"/>
      <c r="V515" s="45"/>
      <c r="Y515" s="45"/>
      <c r="Z515" s="336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46"/>
      <c r="AN515" s="46"/>
    </row>
    <row r="516" spans="3:40">
      <c r="F516" s="45"/>
      <c r="H516" s="45"/>
      <c r="I516" s="45"/>
      <c r="J516" s="47"/>
      <c r="K516" s="47"/>
      <c r="L516" s="45"/>
      <c r="M516" s="45"/>
      <c r="P516" s="45"/>
      <c r="Q516" s="45"/>
      <c r="R516" s="45"/>
      <c r="V516" s="45"/>
      <c r="Y516" s="45"/>
      <c r="Z516" s="47"/>
      <c r="AA516" s="45"/>
      <c r="AB516" s="45"/>
      <c r="AI516" s="45"/>
      <c r="AJ516" s="45"/>
      <c r="AL516" s="45"/>
      <c r="AM516" s="46"/>
      <c r="AN516" s="46"/>
    </row>
    <row r="517" spans="3:40">
      <c r="F517" s="45"/>
      <c r="R517" s="45"/>
      <c r="V517" s="45"/>
      <c r="AL517" s="45"/>
      <c r="AM517" s="46"/>
      <c r="AN517" s="46"/>
    </row>
    <row r="518" spans="3:40">
      <c r="C518" s="42"/>
      <c r="F518" s="45"/>
      <c r="J518" s="53"/>
      <c r="K518" s="53"/>
      <c r="L518" s="45"/>
      <c r="M518" s="45"/>
      <c r="N518" s="46"/>
      <c r="O518" s="46"/>
      <c r="R518" s="45"/>
      <c r="T518" s="42"/>
      <c r="V518" s="45"/>
      <c r="Z518" s="53"/>
      <c r="AA518" s="45"/>
      <c r="AB518" s="45"/>
      <c r="AC518" s="46"/>
      <c r="AD518" s="46"/>
      <c r="AL518" s="45"/>
      <c r="AM518" s="46"/>
      <c r="AN518" s="46"/>
    </row>
    <row r="519" spans="3:40">
      <c r="C519" s="42"/>
      <c r="F519" s="45"/>
      <c r="H519" s="45"/>
      <c r="I519" s="45"/>
      <c r="J519" s="53"/>
      <c r="K519" s="53"/>
      <c r="L519" s="45"/>
      <c r="M519" s="45"/>
      <c r="N519" s="46"/>
      <c r="O519" s="46"/>
      <c r="P519" s="45"/>
      <c r="Q519" s="45"/>
      <c r="R519" s="45"/>
      <c r="T519" s="42"/>
      <c r="V519" s="45"/>
      <c r="Y519" s="45"/>
      <c r="Z519" s="53"/>
      <c r="AA519" s="45"/>
      <c r="AB519" s="45"/>
      <c r="AC519" s="46"/>
      <c r="AD519" s="46"/>
      <c r="AI519" s="45"/>
      <c r="AJ519" s="45"/>
      <c r="AL519" s="45"/>
      <c r="AM519" s="46"/>
      <c r="AN519" s="46"/>
    </row>
    <row r="520" spans="3:40">
      <c r="C520" s="42"/>
      <c r="T520" s="42"/>
      <c r="AM520" s="46"/>
      <c r="AN520" s="46"/>
    </row>
    <row r="521" spans="3:40">
      <c r="C521" s="42"/>
      <c r="T521" s="42"/>
      <c r="AM521" s="46"/>
      <c r="AN521" s="46"/>
    </row>
    <row r="522" spans="3:40">
      <c r="AM522" s="46"/>
      <c r="AN522" s="46"/>
    </row>
    <row r="523" spans="3:40">
      <c r="C523" s="42"/>
      <c r="F523" s="164"/>
      <c r="H523" s="164"/>
      <c r="I523" s="164"/>
      <c r="J523" s="336"/>
      <c r="K523" s="336"/>
      <c r="L523" s="45"/>
      <c r="M523" s="45"/>
      <c r="N523" s="46"/>
      <c r="O523" s="46"/>
      <c r="P523" s="45"/>
      <c r="Q523" s="45"/>
      <c r="R523" s="45"/>
      <c r="T523" s="42"/>
      <c r="V523" s="45"/>
      <c r="Y523" s="45"/>
      <c r="Z523" s="336"/>
      <c r="AA523" s="45"/>
      <c r="AB523" s="45"/>
      <c r="AC523" s="46"/>
      <c r="AD523" s="46"/>
      <c r="AE523" s="45"/>
      <c r="AF523" s="45"/>
      <c r="AH523" s="51"/>
      <c r="AI523" s="45"/>
      <c r="AJ523" s="45"/>
      <c r="AL523" s="45"/>
      <c r="AM523" s="46"/>
      <c r="AN523" s="46"/>
    </row>
    <row r="524" spans="3:40">
      <c r="F524" s="50"/>
      <c r="H524" s="50"/>
      <c r="I524" s="50"/>
      <c r="J524" s="326"/>
      <c r="K524" s="326"/>
      <c r="L524" s="50"/>
      <c r="M524" s="50"/>
      <c r="N524" s="50"/>
      <c r="O524" s="50"/>
      <c r="P524" s="50"/>
      <c r="Q524" s="50"/>
      <c r="R524" s="50"/>
      <c r="V524" s="50"/>
      <c r="Y524" s="50"/>
      <c r="Z524" s="326"/>
      <c r="AA524" s="50"/>
      <c r="AB524" s="50"/>
      <c r="AC524" s="50"/>
      <c r="AD524" s="50"/>
      <c r="AE524" s="50"/>
      <c r="AF524" s="50"/>
      <c r="AI524" s="50"/>
      <c r="AJ524" s="50"/>
      <c r="AK524" s="111"/>
      <c r="AL524" s="50"/>
      <c r="AM524" s="46"/>
      <c r="AN524" s="46"/>
    </row>
    <row r="525" spans="3:40">
      <c r="H525" s="45"/>
      <c r="I525" s="45"/>
      <c r="Y525" s="45"/>
      <c r="AM525" s="46"/>
      <c r="AN525" s="46"/>
    </row>
    <row r="526" spans="3:40">
      <c r="C526" s="42"/>
      <c r="F526" s="45"/>
      <c r="H526" s="45"/>
      <c r="I526" s="45"/>
      <c r="L526" s="45"/>
      <c r="M526" s="45"/>
      <c r="N526" s="46"/>
      <c r="O526" s="46"/>
      <c r="P526" s="164"/>
      <c r="Q526" s="164"/>
      <c r="R526" s="45"/>
      <c r="T526" s="42"/>
      <c r="V526" s="45"/>
      <c r="Y526" s="45"/>
      <c r="AA526" s="45"/>
      <c r="AB526" s="45"/>
      <c r="AC526" s="46"/>
      <c r="AD526" s="46"/>
      <c r="AE526" s="45"/>
      <c r="AF526" s="45"/>
      <c r="AH526" s="51"/>
      <c r="AI526" s="164"/>
      <c r="AJ526" s="164"/>
      <c r="AL526" s="45"/>
      <c r="AM526" s="46"/>
      <c r="AN526" s="46"/>
    </row>
    <row r="527" spans="3:40">
      <c r="F527" s="50"/>
      <c r="H527" s="50"/>
      <c r="I527" s="50"/>
      <c r="J527" s="326"/>
      <c r="K527" s="326"/>
      <c r="L527" s="50"/>
      <c r="M527" s="50"/>
      <c r="N527" s="50"/>
      <c r="O527" s="50"/>
      <c r="P527" s="50"/>
      <c r="Q527" s="50"/>
      <c r="R527" s="50"/>
      <c r="V527" s="50"/>
      <c r="Y527" s="50"/>
      <c r="Z527" s="326"/>
      <c r="AA527" s="50"/>
      <c r="AB527" s="50"/>
      <c r="AC527" s="50"/>
      <c r="AD527" s="50"/>
      <c r="AE527" s="50"/>
      <c r="AF527" s="50"/>
      <c r="AI527" s="50"/>
      <c r="AJ527" s="50"/>
      <c r="AK527" s="111"/>
      <c r="AL527" s="50"/>
      <c r="AM527" s="46"/>
      <c r="AN527" s="46"/>
    </row>
    <row r="529" spans="1:40">
      <c r="F529" s="45"/>
      <c r="H529" s="45"/>
      <c r="I529" s="45"/>
      <c r="J529" s="47"/>
      <c r="K529" s="47"/>
      <c r="L529" s="45"/>
      <c r="M529" s="45"/>
      <c r="N529" s="45"/>
      <c r="O529" s="45"/>
      <c r="P529" s="45"/>
      <c r="Q529" s="45"/>
      <c r="R529" s="45"/>
      <c r="V529" s="45"/>
      <c r="Y529" s="45"/>
      <c r="Z529" s="47"/>
      <c r="AA529" s="45"/>
      <c r="AB529" s="45"/>
      <c r="AC529" s="45"/>
      <c r="AD529" s="45"/>
      <c r="AE529" s="45"/>
      <c r="AF529" s="45"/>
      <c r="AH529" s="45"/>
      <c r="AI529" s="45"/>
      <c r="AJ529" s="45"/>
      <c r="AL529" s="45"/>
    </row>
    <row r="530" spans="1:40">
      <c r="A530" s="42"/>
    </row>
    <row r="532" spans="1:40">
      <c r="H532" s="42"/>
      <c r="I532" s="42"/>
      <c r="Y532" s="42"/>
    </row>
    <row r="534" spans="1:40">
      <c r="L534" s="42"/>
      <c r="M534" s="42"/>
      <c r="AA534" s="42"/>
      <c r="AB534" s="42"/>
    </row>
    <row r="535" spans="1:40">
      <c r="R535" s="42"/>
      <c r="AK535" s="110"/>
      <c r="AL535" s="42"/>
    </row>
    <row r="536" spans="1:40">
      <c r="R536" s="42"/>
      <c r="AK536" s="110"/>
      <c r="AL536" s="42"/>
    </row>
    <row r="537" spans="1:40">
      <c r="A537" s="42"/>
      <c r="R537" s="42"/>
      <c r="AK537" s="110"/>
      <c r="AL537" s="42"/>
    </row>
    <row r="538" spans="1:40">
      <c r="L538" s="42"/>
      <c r="M538" s="42"/>
      <c r="AA538" s="42"/>
      <c r="AB538" s="42"/>
    </row>
    <row r="539" spans="1:40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107"/>
      <c r="AH539" s="49"/>
      <c r="AI539" s="49"/>
      <c r="AJ539" s="49"/>
      <c r="AK539" s="107"/>
      <c r="AL539" s="49"/>
      <c r="AM539" s="49"/>
      <c r="AN539" s="49"/>
    </row>
    <row r="540" spans="1:40">
      <c r="L540" s="44"/>
      <c r="M540" s="44"/>
      <c r="N540" s="44"/>
      <c r="O540" s="44"/>
      <c r="R540" s="44"/>
      <c r="AA540" s="44"/>
      <c r="AB540" s="44"/>
      <c r="AC540" s="44"/>
      <c r="AD540" s="44"/>
      <c r="AE540" s="44"/>
      <c r="AF540" s="44"/>
      <c r="AG540" s="102"/>
      <c r="AH540" s="44"/>
      <c r="AK540" s="102"/>
      <c r="AL540" s="44"/>
      <c r="AM540" s="44"/>
      <c r="AN540" s="44"/>
    </row>
    <row r="541" spans="1:40">
      <c r="L541" s="44"/>
      <c r="M541" s="44"/>
      <c r="N541" s="44"/>
      <c r="O541" s="44"/>
      <c r="R541" s="44"/>
      <c r="Z541" s="44"/>
      <c r="AA541" s="44"/>
      <c r="AB541" s="44"/>
      <c r="AC541" s="44"/>
      <c r="AD541" s="44"/>
      <c r="AE541" s="44"/>
      <c r="AF541" s="44"/>
      <c r="AG541" s="102"/>
      <c r="AH541" s="44"/>
      <c r="AK541" s="102"/>
      <c r="AL541" s="44"/>
      <c r="AM541" s="44"/>
      <c r="AN541" s="44"/>
    </row>
    <row r="542" spans="1:40">
      <c r="A542" s="44"/>
      <c r="C542" s="44"/>
      <c r="D542" s="44"/>
      <c r="E542" s="44"/>
      <c r="F542" s="44"/>
      <c r="J542" s="44"/>
      <c r="K542" s="44"/>
      <c r="L542" s="44"/>
      <c r="M542" s="44"/>
      <c r="N542" s="44"/>
      <c r="O542" s="44"/>
      <c r="P542" s="44"/>
      <c r="Q542" s="44"/>
      <c r="R542" s="44"/>
      <c r="T542" s="44"/>
      <c r="U542" s="44"/>
      <c r="V542" s="44"/>
      <c r="Z542" s="44"/>
      <c r="AA542" s="44"/>
      <c r="AB542" s="44"/>
      <c r="AC542" s="44"/>
      <c r="AD542" s="44"/>
      <c r="AE542" s="44"/>
      <c r="AF542" s="44"/>
      <c r="AG542" s="102"/>
      <c r="AH542" s="44"/>
      <c r="AI542" s="44"/>
      <c r="AJ542" s="44"/>
      <c r="AK542" s="102"/>
      <c r="AL542" s="44"/>
      <c r="AM542" s="44"/>
      <c r="AN542" s="44"/>
    </row>
    <row r="543" spans="1:40">
      <c r="A543" s="44"/>
      <c r="C543" s="44"/>
      <c r="D543" s="44"/>
      <c r="E543" s="44"/>
      <c r="F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T543" s="44"/>
      <c r="U543" s="44"/>
      <c r="V543" s="44"/>
      <c r="Y543" s="44"/>
      <c r="Z543" s="44"/>
      <c r="AA543" s="44"/>
      <c r="AB543" s="44"/>
      <c r="AC543" s="44"/>
      <c r="AD543" s="44"/>
      <c r="AE543" s="44"/>
      <c r="AF543" s="44"/>
      <c r="AG543" s="102"/>
      <c r="AH543" s="44"/>
      <c r="AI543" s="44"/>
      <c r="AJ543" s="44"/>
      <c r="AK543" s="102"/>
      <c r="AL543" s="44"/>
      <c r="AM543" s="44"/>
      <c r="AN543" s="44"/>
    </row>
    <row r="544" spans="1:40">
      <c r="C544" s="44"/>
      <c r="D544" s="44"/>
      <c r="E544" s="44"/>
      <c r="F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T544" s="44"/>
      <c r="U544" s="44"/>
      <c r="V544" s="44"/>
      <c r="Y544" s="44"/>
      <c r="Z544" s="44"/>
      <c r="AA544" s="44"/>
      <c r="AB544" s="44"/>
      <c r="AC544" s="44"/>
      <c r="AD544" s="44"/>
      <c r="AE544" s="44"/>
      <c r="AF544" s="44"/>
      <c r="AG544" s="102"/>
      <c r="AH544" s="44"/>
      <c r="AI544" s="44"/>
      <c r="AJ544" s="44"/>
      <c r="AK544" s="102"/>
      <c r="AL544" s="44"/>
      <c r="AM544" s="44"/>
      <c r="AN544" s="44"/>
    </row>
    <row r="545" spans="1:40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107"/>
      <c r="AH545" s="49"/>
      <c r="AI545" s="49"/>
      <c r="AJ545" s="49"/>
      <c r="AK545" s="107"/>
      <c r="AL545" s="49"/>
      <c r="AM545" s="49"/>
      <c r="AN545" s="49"/>
    </row>
    <row r="546" spans="1:40"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Y546" s="44"/>
      <c r="Z546" s="44"/>
      <c r="AA546" s="44"/>
      <c r="AB546" s="44"/>
      <c r="AC546" s="44"/>
      <c r="AD546" s="44"/>
      <c r="AE546" s="44"/>
      <c r="AF546" s="44"/>
      <c r="AG546" s="102"/>
      <c r="AH546" s="44"/>
      <c r="AI546" s="44"/>
      <c r="AJ546" s="44"/>
      <c r="AK546" s="102"/>
      <c r="AL546" s="44"/>
      <c r="AM546" s="44"/>
      <c r="AN546" s="44"/>
    </row>
    <row r="547" spans="1:40">
      <c r="C547" s="42"/>
      <c r="D547" s="42"/>
      <c r="E547" s="42"/>
      <c r="T547" s="42"/>
      <c r="U547" s="42"/>
      <c r="V547" s="45"/>
      <c r="W547" s="45"/>
      <c r="X547" s="45"/>
      <c r="Y547" s="45"/>
      <c r="Z547" s="336"/>
    </row>
    <row r="549" spans="1:40">
      <c r="C549" s="42"/>
      <c r="T549" s="42"/>
      <c r="V549" s="45"/>
      <c r="W549" s="45"/>
      <c r="X549" s="45"/>
      <c r="Y549" s="45"/>
      <c r="Z549" s="336"/>
    </row>
    <row r="550" spans="1:40">
      <c r="C550" s="42"/>
      <c r="F550" s="164"/>
      <c r="H550" s="164"/>
      <c r="I550" s="164"/>
      <c r="J550" s="132"/>
      <c r="K550" s="132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132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46"/>
      <c r="AN550" s="46"/>
    </row>
    <row r="551" spans="1:40">
      <c r="C551" s="42"/>
      <c r="F551" s="164"/>
      <c r="H551" s="164"/>
      <c r="I551" s="164"/>
      <c r="J551" s="132"/>
      <c r="K551" s="132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132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46"/>
      <c r="AN551" s="46"/>
    </row>
    <row r="552" spans="1:40">
      <c r="C552" s="42"/>
      <c r="F552" s="164"/>
      <c r="H552" s="164"/>
      <c r="I552" s="164"/>
      <c r="J552" s="132"/>
      <c r="K552" s="132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132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46"/>
      <c r="AN552" s="46"/>
    </row>
    <row r="553" spans="1:40">
      <c r="C553" s="42"/>
      <c r="F553" s="164"/>
      <c r="H553" s="164"/>
      <c r="I553" s="164"/>
      <c r="J553" s="132"/>
      <c r="K553" s="132"/>
      <c r="L553" s="45"/>
      <c r="M553" s="45"/>
      <c r="N553" s="46"/>
      <c r="O553" s="46"/>
      <c r="P553" s="45"/>
      <c r="Q553" s="45"/>
      <c r="R553" s="45"/>
      <c r="T553" s="42"/>
      <c r="V553" s="45"/>
      <c r="W553" s="45"/>
      <c r="X553" s="45"/>
      <c r="Y553" s="45"/>
      <c r="Z553" s="132"/>
      <c r="AA553" s="45"/>
      <c r="AB553" s="45"/>
      <c r="AC553" s="46"/>
      <c r="AD553" s="46"/>
      <c r="AE553" s="45"/>
      <c r="AF553" s="45"/>
      <c r="AH553" s="51"/>
      <c r="AI553" s="45"/>
      <c r="AJ553" s="45"/>
      <c r="AL553" s="45"/>
      <c r="AM553" s="46"/>
      <c r="AN553" s="46"/>
    </row>
    <row r="554" spans="1:40">
      <c r="J554" s="56"/>
      <c r="K554" s="56"/>
      <c r="V554" s="45"/>
      <c r="W554" s="45"/>
      <c r="X554" s="45"/>
      <c r="Y554" s="45"/>
      <c r="Z554" s="132"/>
    </row>
    <row r="555" spans="1:40">
      <c r="C555" s="42"/>
      <c r="F555" s="164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51"/>
      <c r="AN555" s="51"/>
    </row>
    <row r="556" spans="1:40">
      <c r="C556" s="42"/>
      <c r="J556" s="56"/>
      <c r="K556" s="56"/>
      <c r="T556" s="42"/>
      <c r="V556" s="45"/>
      <c r="W556" s="45"/>
      <c r="X556" s="45"/>
      <c r="Y556" s="45"/>
      <c r="Z556" s="132"/>
    </row>
    <row r="557" spans="1:40">
      <c r="C557" s="42"/>
      <c r="F557" s="164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51"/>
      <c r="AN557" s="51"/>
    </row>
    <row r="558" spans="1:40">
      <c r="J558" s="56"/>
      <c r="K558" s="56"/>
      <c r="Z558" s="56"/>
    </row>
    <row r="559" spans="1:40">
      <c r="C559" s="42"/>
      <c r="J559" s="56"/>
      <c r="K559" s="56"/>
      <c r="T559" s="42"/>
      <c r="V559" s="45"/>
      <c r="W559" s="45"/>
      <c r="X559" s="45"/>
      <c r="Y559" s="45"/>
      <c r="Z559" s="132"/>
    </row>
    <row r="560" spans="1:40">
      <c r="C560" s="42"/>
      <c r="F560" s="164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51"/>
      <c r="AN560" s="51"/>
    </row>
    <row r="561" spans="1:40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1:40">
      <c r="F562" s="50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326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1:40">
      <c r="C563" s="42"/>
      <c r="F563" s="45"/>
      <c r="H563" s="45"/>
      <c r="I563" s="45"/>
      <c r="L563" s="45"/>
      <c r="M563" s="45"/>
      <c r="N563" s="46"/>
      <c r="O563" s="46"/>
      <c r="P563" s="164"/>
      <c r="Q563" s="164"/>
      <c r="R563" s="45"/>
      <c r="T563" s="42"/>
      <c r="V563" s="45"/>
      <c r="W563" s="45"/>
      <c r="X563" s="45"/>
      <c r="Y563" s="45"/>
      <c r="Z563" s="336"/>
      <c r="AA563" s="45"/>
      <c r="AB563" s="45"/>
      <c r="AC563" s="46"/>
      <c r="AD563" s="46"/>
      <c r="AE563" s="45"/>
      <c r="AF563" s="45"/>
      <c r="AH563" s="51"/>
      <c r="AI563" s="164"/>
      <c r="AJ563" s="164"/>
      <c r="AL563" s="45"/>
      <c r="AM563" s="51"/>
      <c r="AN563" s="51"/>
    </row>
    <row r="564" spans="1:40">
      <c r="F564" s="50"/>
      <c r="H564" s="50"/>
      <c r="I564" s="50"/>
      <c r="J564" s="326"/>
      <c r="K564" s="326"/>
      <c r="L564" s="50"/>
      <c r="M564" s="50"/>
      <c r="N564" s="50"/>
      <c r="O564" s="50"/>
      <c r="P564" s="50"/>
      <c r="Q564" s="50"/>
      <c r="R564" s="50"/>
      <c r="V564" s="50"/>
      <c r="Y564" s="50"/>
      <c r="Z564" s="326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7" spans="1:40">
      <c r="A567" s="42"/>
    </row>
    <row r="569" spans="1:40">
      <c r="H569" s="42"/>
      <c r="I569" s="42"/>
      <c r="Y569" s="42"/>
    </row>
    <row r="571" spans="1:40">
      <c r="L571" s="42"/>
      <c r="M571" s="42"/>
      <c r="AA571" s="42"/>
      <c r="AB571" s="42"/>
    </row>
    <row r="572" spans="1:40">
      <c r="R572" s="42"/>
      <c r="AK572" s="110"/>
      <c r="AL572" s="42"/>
    </row>
    <row r="573" spans="1:40">
      <c r="R573" s="42"/>
      <c r="AK573" s="110"/>
      <c r="AL573" s="42"/>
    </row>
    <row r="574" spans="1:40">
      <c r="A574" s="42"/>
      <c r="R574" s="42"/>
      <c r="AK574" s="110"/>
      <c r="AL574" s="42"/>
    </row>
    <row r="575" spans="1:40">
      <c r="L575" s="42"/>
      <c r="M575" s="42"/>
      <c r="AA575" s="42"/>
      <c r="AB575" s="42"/>
    </row>
    <row r="576" spans="1:40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107"/>
      <c r="AH576" s="49"/>
      <c r="AI576" s="49"/>
      <c r="AJ576" s="49"/>
      <c r="AK576" s="107"/>
      <c r="AL576" s="49"/>
      <c r="AM576" s="49"/>
      <c r="AN576" s="49"/>
    </row>
    <row r="577" spans="1:40">
      <c r="L577" s="44"/>
      <c r="M577" s="44"/>
      <c r="N577" s="44"/>
      <c r="O577" s="44"/>
      <c r="R577" s="44"/>
      <c r="AA577" s="44"/>
      <c r="AB577" s="44"/>
      <c r="AC577" s="44"/>
      <c r="AD577" s="44"/>
      <c r="AE577" s="44"/>
      <c r="AF577" s="44"/>
      <c r="AG577" s="102"/>
      <c r="AH577" s="44"/>
      <c r="AK577" s="102"/>
      <c r="AL577" s="44"/>
      <c r="AM577" s="44"/>
      <c r="AN577" s="44"/>
    </row>
    <row r="578" spans="1:40">
      <c r="L578" s="44"/>
      <c r="M578" s="44"/>
      <c r="N578" s="44"/>
      <c r="O578" s="44"/>
      <c r="R578" s="44"/>
      <c r="Z578" s="44"/>
      <c r="AA578" s="44"/>
      <c r="AB578" s="44"/>
      <c r="AC578" s="44"/>
      <c r="AD578" s="44"/>
      <c r="AE578" s="44"/>
      <c r="AF578" s="44"/>
      <c r="AG578" s="102"/>
      <c r="AH578" s="44"/>
      <c r="AK578" s="102"/>
      <c r="AL578" s="44"/>
      <c r="AM578" s="44"/>
      <c r="AN578" s="44"/>
    </row>
    <row r="579" spans="1:40">
      <c r="A579" s="44"/>
      <c r="C579" s="44"/>
      <c r="D579" s="44"/>
      <c r="E579" s="44"/>
      <c r="F579" s="44"/>
      <c r="J579" s="44"/>
      <c r="K579" s="44"/>
      <c r="L579" s="44"/>
      <c r="M579" s="44"/>
      <c r="N579" s="44"/>
      <c r="O579" s="44"/>
      <c r="P579" s="44"/>
      <c r="Q579" s="44"/>
      <c r="R579" s="44"/>
      <c r="T579" s="44"/>
      <c r="U579" s="44"/>
      <c r="V579" s="44"/>
      <c r="Z579" s="44"/>
      <c r="AA579" s="44"/>
      <c r="AB579" s="44"/>
      <c r="AC579" s="44"/>
      <c r="AD579" s="44"/>
      <c r="AE579" s="44"/>
      <c r="AF579" s="44"/>
      <c r="AG579" s="102"/>
      <c r="AH579" s="44"/>
      <c r="AI579" s="44"/>
      <c r="AJ579" s="44"/>
      <c r="AK579" s="102"/>
      <c r="AL579" s="44"/>
      <c r="AM579" s="44"/>
      <c r="AN579" s="44"/>
    </row>
    <row r="580" spans="1:40">
      <c r="A580" s="44"/>
      <c r="C580" s="44"/>
      <c r="D580" s="44"/>
      <c r="E580" s="44"/>
      <c r="F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T580" s="44"/>
      <c r="U580" s="44"/>
      <c r="V580" s="44"/>
      <c r="Y580" s="44"/>
      <c r="Z580" s="44"/>
      <c r="AA580" s="44"/>
      <c r="AB580" s="44"/>
      <c r="AC580" s="44"/>
      <c r="AD580" s="44"/>
      <c r="AE580" s="44"/>
      <c r="AF580" s="44"/>
      <c r="AG580" s="102"/>
      <c r="AH580" s="44"/>
      <c r="AI580" s="44"/>
      <c r="AJ580" s="44"/>
      <c r="AK580" s="102"/>
      <c r="AL580" s="44"/>
      <c r="AM580" s="44"/>
      <c r="AN580" s="44"/>
    </row>
    <row r="581" spans="1:40">
      <c r="C581" s="44"/>
      <c r="D581" s="44"/>
      <c r="E581" s="44"/>
      <c r="F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T581" s="44"/>
      <c r="U581" s="44"/>
      <c r="V581" s="44"/>
      <c r="Y581" s="44"/>
      <c r="Z581" s="44"/>
      <c r="AA581" s="44"/>
      <c r="AB581" s="44"/>
      <c r="AC581" s="44"/>
      <c r="AD581" s="44"/>
      <c r="AE581" s="44"/>
      <c r="AF581" s="44"/>
      <c r="AG581" s="102"/>
      <c r="AH581" s="44"/>
      <c r="AI581" s="44"/>
      <c r="AJ581" s="44"/>
      <c r="AK581" s="102"/>
      <c r="AL581" s="44"/>
      <c r="AM581" s="44"/>
      <c r="AN581" s="44"/>
    </row>
    <row r="582" spans="1:40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107"/>
      <c r="AH582" s="49"/>
      <c r="AI582" s="49"/>
      <c r="AJ582" s="49"/>
      <c r="AK582" s="107"/>
      <c r="AL582" s="49"/>
      <c r="AM582" s="49"/>
      <c r="AN582" s="49"/>
    </row>
    <row r="583" spans="1:40"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Y583" s="44"/>
      <c r="Z583" s="44"/>
      <c r="AA583" s="44"/>
      <c r="AB583" s="44"/>
      <c r="AC583" s="44"/>
      <c r="AD583" s="44"/>
      <c r="AE583" s="44"/>
      <c r="AF583" s="44"/>
      <c r="AG583" s="102"/>
      <c r="AH583" s="44"/>
      <c r="AI583" s="44"/>
      <c r="AJ583" s="44"/>
      <c r="AK583" s="102"/>
      <c r="AL583" s="44"/>
      <c r="AM583" s="44"/>
      <c r="AN583" s="44"/>
    </row>
    <row r="584" spans="1:40">
      <c r="C584" s="42"/>
      <c r="D584" s="42"/>
      <c r="E584" s="42"/>
      <c r="T584" s="42"/>
      <c r="U584" s="42"/>
    </row>
    <row r="586" spans="1:40">
      <c r="C586" s="42"/>
      <c r="T586" s="42"/>
    </row>
    <row r="587" spans="1:40">
      <c r="C587" s="42"/>
      <c r="T587" s="42"/>
    </row>
    <row r="588" spans="1:40">
      <c r="C588" s="42"/>
      <c r="F588" s="164"/>
      <c r="H588" s="164"/>
      <c r="I588" s="164"/>
      <c r="J588" s="132"/>
      <c r="K588" s="132"/>
      <c r="L588" s="45"/>
      <c r="M588" s="45"/>
      <c r="N588" s="46"/>
      <c r="O588" s="46"/>
      <c r="P588" s="45"/>
      <c r="Q588" s="45"/>
      <c r="R588" s="45"/>
      <c r="T588" s="42"/>
      <c r="V588" s="45"/>
      <c r="W588" s="45"/>
      <c r="X588" s="45"/>
      <c r="Y588" s="45"/>
      <c r="Z588" s="132"/>
      <c r="AA588" s="45"/>
      <c r="AB588" s="45"/>
      <c r="AC588" s="46"/>
      <c r="AD588" s="46"/>
      <c r="AE588" s="45"/>
      <c r="AF588" s="45"/>
      <c r="AH588" s="51"/>
      <c r="AI588" s="45"/>
      <c r="AJ588" s="45"/>
      <c r="AL588" s="45"/>
      <c r="AM588" s="51"/>
      <c r="AN588" s="51"/>
    </row>
    <row r="589" spans="1:40">
      <c r="C589" s="42"/>
      <c r="F589" s="45"/>
      <c r="H589" s="45"/>
      <c r="I589" s="45"/>
      <c r="J589" s="56"/>
      <c r="K589" s="5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56"/>
      <c r="AA589" s="45"/>
      <c r="AB589" s="45"/>
      <c r="AC589" s="46"/>
      <c r="AD589" s="46"/>
      <c r="AE589" s="45"/>
      <c r="AF589" s="45"/>
      <c r="AH589" s="51"/>
      <c r="AI589" s="45"/>
      <c r="AJ589" s="45"/>
      <c r="AL589" s="45"/>
      <c r="AM589" s="51"/>
      <c r="AN589" s="51"/>
    </row>
    <row r="590" spans="1:40">
      <c r="C590" s="42"/>
      <c r="F590" s="45"/>
      <c r="H590" s="45"/>
      <c r="I590" s="45"/>
      <c r="J590" s="56"/>
      <c r="K590" s="56"/>
      <c r="L590" s="45"/>
      <c r="M590" s="45"/>
      <c r="N590" s="46"/>
      <c r="O590" s="46"/>
      <c r="P590" s="45"/>
      <c r="Q590" s="45"/>
      <c r="R590" s="45"/>
      <c r="T590" s="42"/>
      <c r="V590" s="45"/>
      <c r="W590" s="45"/>
      <c r="X590" s="45"/>
      <c r="Y590" s="45"/>
      <c r="Z590" s="56"/>
      <c r="AA590" s="45"/>
      <c r="AB590" s="45"/>
      <c r="AC590" s="46"/>
      <c r="AD590" s="46"/>
      <c r="AE590" s="45"/>
      <c r="AF590" s="45"/>
      <c r="AH590" s="51"/>
      <c r="AI590" s="45"/>
      <c r="AJ590" s="45"/>
      <c r="AL590" s="45"/>
      <c r="AM590" s="51"/>
      <c r="AN590" s="51"/>
    </row>
    <row r="591" spans="1:40">
      <c r="C591" s="42"/>
      <c r="F591" s="45"/>
      <c r="H591" s="45"/>
      <c r="I591" s="45"/>
      <c r="J591" s="56"/>
      <c r="K591" s="56"/>
      <c r="T591" s="42"/>
      <c r="V591" s="45"/>
      <c r="Z591" s="56"/>
    </row>
    <row r="592" spans="1:40">
      <c r="C592" s="42"/>
      <c r="F592" s="164"/>
      <c r="H592" s="164"/>
      <c r="I592" s="164"/>
      <c r="J592" s="132"/>
      <c r="K592" s="132"/>
      <c r="L592" s="45"/>
      <c r="M592" s="45"/>
      <c r="N592" s="46"/>
      <c r="O592" s="46"/>
      <c r="P592" s="45"/>
      <c r="Q592" s="45"/>
      <c r="R592" s="45"/>
      <c r="T592" s="42"/>
      <c r="V592" s="45"/>
      <c r="W592" s="45"/>
      <c r="X592" s="45"/>
      <c r="Y592" s="45"/>
      <c r="Z592" s="132"/>
      <c r="AA592" s="45"/>
      <c r="AB592" s="45"/>
      <c r="AC592" s="46"/>
      <c r="AD592" s="46"/>
      <c r="AE592" s="45"/>
      <c r="AF592" s="45"/>
      <c r="AH592" s="51"/>
      <c r="AI592" s="45"/>
      <c r="AJ592" s="45"/>
      <c r="AL592" s="45"/>
      <c r="AM592" s="51"/>
      <c r="AN592" s="51"/>
    </row>
    <row r="593" spans="3:40">
      <c r="C593" s="42"/>
      <c r="F593" s="45"/>
      <c r="H593" s="45"/>
      <c r="I593" s="45"/>
      <c r="J593" s="56"/>
      <c r="K593" s="56"/>
      <c r="T593" s="42"/>
      <c r="V593" s="45"/>
      <c r="W593" s="45"/>
      <c r="X593" s="45"/>
      <c r="Y593" s="45"/>
      <c r="Z593" s="56"/>
      <c r="AC593" s="46"/>
      <c r="AD593" s="46"/>
      <c r="AE593" s="45"/>
      <c r="AF593" s="45"/>
      <c r="AH593" s="51"/>
      <c r="AI593" s="45"/>
      <c r="AJ593" s="45"/>
      <c r="AL593" s="45"/>
      <c r="AM593" s="51"/>
      <c r="AN593" s="51"/>
    </row>
    <row r="594" spans="3:40">
      <c r="C594" s="42"/>
      <c r="F594" s="164"/>
      <c r="H594" s="164"/>
      <c r="I594" s="164"/>
      <c r="J594" s="132"/>
      <c r="K594" s="132"/>
      <c r="L594" s="45"/>
      <c r="M594" s="45"/>
      <c r="N594" s="46"/>
      <c r="O594" s="46"/>
      <c r="P594" s="45"/>
      <c r="Q594" s="45"/>
      <c r="R594" s="45"/>
      <c r="T594" s="42"/>
      <c r="V594" s="45"/>
      <c r="W594" s="45"/>
      <c r="X594" s="45"/>
      <c r="Y594" s="45"/>
      <c r="Z594" s="132"/>
      <c r="AA594" s="45"/>
      <c r="AB594" s="45"/>
      <c r="AC594" s="46"/>
      <c r="AD594" s="46"/>
      <c r="AE594" s="45"/>
      <c r="AF594" s="45"/>
      <c r="AH594" s="51"/>
      <c r="AI594" s="45"/>
      <c r="AJ594" s="45"/>
      <c r="AL594" s="45"/>
      <c r="AM594" s="51"/>
      <c r="AN594" s="51"/>
    </row>
    <row r="595" spans="3:40">
      <c r="C595" s="42"/>
      <c r="F595" s="45"/>
      <c r="H595" s="45"/>
      <c r="I595" s="45"/>
      <c r="J595" s="56"/>
      <c r="K595" s="56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Z595" s="56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51"/>
      <c r="AN595" s="51"/>
    </row>
    <row r="596" spans="3:40">
      <c r="F596" s="45"/>
      <c r="H596" s="45"/>
      <c r="I596" s="45"/>
      <c r="J596" s="56"/>
      <c r="K596" s="56"/>
      <c r="Z596" s="56"/>
    </row>
    <row r="597" spans="3:40">
      <c r="C597" s="42"/>
      <c r="F597" s="45"/>
      <c r="H597" s="164"/>
      <c r="I597" s="164"/>
      <c r="J597" s="132"/>
      <c r="K597" s="132"/>
      <c r="L597" s="45"/>
      <c r="M597" s="45"/>
      <c r="N597" s="46"/>
      <c r="O597" s="46"/>
      <c r="P597" s="45"/>
      <c r="Q597" s="45"/>
      <c r="R597" s="45"/>
      <c r="T597" s="42"/>
      <c r="V597" s="45"/>
      <c r="W597" s="45"/>
      <c r="X597" s="45"/>
      <c r="Y597" s="45"/>
      <c r="Z597" s="132"/>
      <c r="AA597" s="45"/>
      <c r="AB597" s="45"/>
      <c r="AC597" s="46"/>
      <c r="AD597" s="46"/>
      <c r="AE597" s="45"/>
      <c r="AF597" s="45"/>
      <c r="AH597" s="51"/>
      <c r="AI597" s="45"/>
      <c r="AJ597" s="45"/>
      <c r="AL597" s="45"/>
      <c r="AM597" s="51"/>
      <c r="AN597" s="51"/>
    </row>
    <row r="598" spans="3:40">
      <c r="F598" s="50"/>
      <c r="H598" s="50"/>
      <c r="I598" s="50"/>
      <c r="J598" s="132"/>
      <c r="K598" s="132"/>
      <c r="L598" s="50"/>
      <c r="M598" s="50"/>
      <c r="N598" s="50"/>
      <c r="O598" s="50"/>
      <c r="P598" s="50"/>
      <c r="Q598" s="50"/>
      <c r="R598" s="50"/>
      <c r="V598" s="50"/>
      <c r="Y598" s="50"/>
      <c r="Z598" s="132"/>
      <c r="AA598" s="50"/>
      <c r="AB598" s="50"/>
      <c r="AC598" s="50"/>
      <c r="AD598" s="50"/>
      <c r="AE598" s="50"/>
      <c r="AF598" s="50"/>
      <c r="AI598" s="50"/>
      <c r="AJ598" s="50"/>
      <c r="AK598" s="111"/>
      <c r="AL598" s="50"/>
    </row>
    <row r="599" spans="3:40">
      <c r="C599" s="42"/>
      <c r="F599" s="45"/>
      <c r="H599" s="45"/>
      <c r="I599" s="45"/>
      <c r="J599" s="56"/>
      <c r="K599" s="56"/>
      <c r="L599" s="45"/>
      <c r="M599" s="45"/>
      <c r="P599" s="45"/>
      <c r="Q599" s="45"/>
      <c r="R599" s="45"/>
      <c r="T599" s="42"/>
      <c r="V599" s="45"/>
      <c r="Y599" s="45"/>
      <c r="Z599" s="56"/>
      <c r="AA599" s="45"/>
      <c r="AB599" s="45"/>
      <c r="AC599" s="51"/>
      <c r="AD599" s="51"/>
      <c r="AE599" s="45"/>
      <c r="AF599" s="45"/>
      <c r="AH599" s="51"/>
      <c r="AI599" s="45"/>
      <c r="AJ599" s="45"/>
      <c r="AL599" s="45"/>
      <c r="AM599" s="51"/>
      <c r="AN599" s="51"/>
    </row>
    <row r="600" spans="3:40">
      <c r="F600" s="50"/>
      <c r="H600" s="50"/>
      <c r="I600" s="50"/>
      <c r="J600" s="132"/>
      <c r="K600" s="132"/>
      <c r="L600" s="50"/>
      <c r="M600" s="50"/>
      <c r="N600" s="50"/>
      <c r="O600" s="50"/>
      <c r="P600" s="50"/>
      <c r="Q600" s="50"/>
      <c r="R600" s="50"/>
      <c r="V600" s="50"/>
      <c r="Y600" s="50"/>
      <c r="Z600" s="132"/>
      <c r="AA600" s="50"/>
      <c r="AB600" s="50"/>
      <c r="AC600" s="50"/>
      <c r="AD600" s="50"/>
      <c r="AE600" s="50"/>
      <c r="AF600" s="50"/>
      <c r="AI600" s="50"/>
      <c r="AJ600" s="50"/>
      <c r="AK600" s="111"/>
      <c r="AL600" s="50"/>
    </row>
    <row r="601" spans="3:40">
      <c r="J601" s="56"/>
      <c r="K601" s="56"/>
      <c r="Z601" s="56"/>
    </row>
    <row r="602" spans="3:40">
      <c r="C602" s="42"/>
      <c r="J602" s="56"/>
      <c r="K602" s="56"/>
      <c r="T602" s="42"/>
      <c r="Z602" s="56"/>
    </row>
    <row r="603" spans="3:40">
      <c r="C603" s="42"/>
      <c r="J603" s="56"/>
      <c r="K603" s="56"/>
      <c r="T603" s="42"/>
      <c r="Z603" s="56"/>
    </row>
    <row r="604" spans="3:40">
      <c r="C604" s="42"/>
      <c r="F604" s="164"/>
      <c r="H604" s="164"/>
      <c r="I604" s="164"/>
      <c r="J604" s="132"/>
      <c r="K604" s="132"/>
      <c r="L604" s="45"/>
      <c r="M604" s="45"/>
      <c r="N604" s="46"/>
      <c r="O604" s="46"/>
      <c r="P604" s="45"/>
      <c r="Q604" s="45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45"/>
      <c r="AJ604" s="45"/>
      <c r="AL604" s="45"/>
      <c r="AM604" s="51"/>
      <c r="AN604" s="51"/>
    </row>
    <row r="605" spans="3:40">
      <c r="C605" s="42"/>
      <c r="J605" s="56"/>
      <c r="K605" s="56"/>
      <c r="T605" s="42"/>
      <c r="Z605" s="56"/>
    </row>
    <row r="606" spans="3:40">
      <c r="C606" s="42"/>
      <c r="F606" s="164"/>
      <c r="H606" s="164"/>
      <c r="I606" s="164"/>
      <c r="J606" s="132"/>
      <c r="K606" s="132"/>
      <c r="L606" s="45"/>
      <c r="M606" s="45"/>
      <c r="N606" s="46"/>
      <c r="O606" s="46"/>
      <c r="P606" s="45"/>
      <c r="Q606" s="45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45"/>
      <c r="AJ606" s="45"/>
      <c r="AL606" s="45"/>
      <c r="AM606" s="51"/>
      <c r="AN606" s="51"/>
    </row>
    <row r="607" spans="3:40">
      <c r="F607" s="50"/>
      <c r="H607" s="50"/>
      <c r="I607" s="50"/>
      <c r="J607" s="132"/>
      <c r="K607" s="132"/>
      <c r="L607" s="50"/>
      <c r="M607" s="50"/>
      <c r="N607" s="50"/>
      <c r="O607" s="50"/>
      <c r="P607" s="50"/>
      <c r="Q607" s="50"/>
      <c r="R607" s="50"/>
      <c r="V607" s="50"/>
      <c r="Y607" s="50"/>
      <c r="Z607" s="132"/>
      <c r="AA607" s="50"/>
      <c r="AB607" s="50"/>
      <c r="AC607" s="50"/>
      <c r="AD607" s="50"/>
      <c r="AE607" s="50"/>
      <c r="AF607" s="50"/>
      <c r="AI607" s="50"/>
      <c r="AJ607" s="50"/>
      <c r="AK607" s="111"/>
      <c r="AL607" s="50"/>
    </row>
    <row r="608" spans="3:40">
      <c r="C608" s="42"/>
      <c r="F608" s="45"/>
      <c r="H608" s="45"/>
      <c r="I608" s="45"/>
      <c r="J608" s="56"/>
      <c r="K608" s="56"/>
      <c r="L608" s="45"/>
      <c r="M608" s="45"/>
      <c r="N608" s="51"/>
      <c r="O608" s="51"/>
      <c r="P608" s="45"/>
      <c r="Q608" s="45"/>
      <c r="R608" s="45"/>
      <c r="T608" s="42"/>
      <c r="V608" s="45"/>
      <c r="Y608" s="45"/>
      <c r="Z608" s="56"/>
      <c r="AA608" s="45"/>
      <c r="AB608" s="45"/>
      <c r="AC608" s="51"/>
      <c r="AD608" s="51"/>
      <c r="AE608" s="45"/>
      <c r="AF608" s="45"/>
      <c r="AH608" s="51"/>
      <c r="AI608" s="45"/>
      <c r="AJ608" s="45"/>
      <c r="AL608" s="45"/>
      <c r="AM608" s="51"/>
      <c r="AN608" s="51"/>
    </row>
    <row r="609" spans="1:40">
      <c r="F609" s="50"/>
      <c r="H609" s="50"/>
      <c r="I609" s="50"/>
      <c r="J609" s="132"/>
      <c r="K609" s="132"/>
      <c r="L609" s="50"/>
      <c r="M609" s="50"/>
      <c r="N609" s="50"/>
      <c r="O609" s="50"/>
      <c r="P609" s="50"/>
      <c r="Q609" s="50"/>
      <c r="R609" s="50"/>
      <c r="V609" s="50"/>
      <c r="Y609" s="50"/>
      <c r="Z609" s="326"/>
      <c r="AA609" s="50"/>
      <c r="AB609" s="50"/>
      <c r="AC609" s="50"/>
      <c r="AD609" s="50"/>
      <c r="AE609" s="50"/>
      <c r="AF609" s="50"/>
      <c r="AI609" s="50"/>
      <c r="AJ609" s="50"/>
      <c r="AK609" s="111"/>
      <c r="AL609" s="50"/>
    </row>
    <row r="610" spans="1:40">
      <c r="J610" s="56"/>
      <c r="K610" s="56"/>
    </row>
    <row r="611" spans="1:40">
      <c r="C611" s="42"/>
      <c r="F611" s="45"/>
      <c r="H611" s="45"/>
      <c r="I611" s="45"/>
      <c r="J611" s="56"/>
      <c r="K611" s="56"/>
      <c r="L611" s="45"/>
      <c r="M611" s="45"/>
      <c r="N611" s="46"/>
      <c r="O611" s="46"/>
      <c r="P611" s="164"/>
      <c r="Q611" s="164"/>
      <c r="R611" s="45"/>
      <c r="T611" s="42"/>
      <c r="V611" s="45"/>
      <c r="Y611" s="45"/>
      <c r="AA611" s="45"/>
      <c r="AB611" s="45"/>
      <c r="AC611" s="51"/>
      <c r="AD611" s="51"/>
      <c r="AE611" s="45"/>
      <c r="AF611" s="45"/>
      <c r="AH611" s="51"/>
      <c r="AI611" s="164"/>
      <c r="AJ611" s="164"/>
      <c r="AL611" s="45"/>
      <c r="AM611" s="51"/>
      <c r="AN611" s="51"/>
    </row>
    <row r="612" spans="1:40">
      <c r="F612" s="50"/>
      <c r="H612" s="50"/>
      <c r="I612" s="50"/>
      <c r="J612" s="132"/>
      <c r="K612" s="132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</row>
    <row r="615" spans="1:40">
      <c r="A615" s="42"/>
    </row>
    <row r="617" spans="1:40">
      <c r="H617" s="42"/>
      <c r="I617" s="42"/>
      <c r="Y617" s="42"/>
    </row>
    <row r="619" spans="1:40">
      <c r="L619" s="42"/>
      <c r="M619" s="42"/>
      <c r="AA619" s="42"/>
      <c r="AB619" s="42"/>
    </row>
    <row r="620" spans="1:40">
      <c r="R620" s="42"/>
      <c r="AK620" s="110"/>
      <c r="AL620" s="42"/>
    </row>
    <row r="621" spans="1:40">
      <c r="R621" s="42"/>
      <c r="AK621" s="110"/>
      <c r="AL621" s="42"/>
    </row>
    <row r="622" spans="1:40">
      <c r="A622" s="42"/>
      <c r="R622" s="42"/>
      <c r="AK622" s="110"/>
      <c r="AL622" s="42"/>
    </row>
    <row r="623" spans="1:40">
      <c r="L623" s="42"/>
      <c r="M623" s="42"/>
      <c r="AA623" s="42"/>
      <c r="AB623" s="42"/>
    </row>
    <row r="624" spans="1:40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107"/>
      <c r="AH624" s="49"/>
      <c r="AI624" s="49"/>
      <c r="AJ624" s="49"/>
      <c r="AK624" s="107"/>
      <c r="AL624" s="49"/>
      <c r="AM624" s="49"/>
      <c r="AN624" s="49"/>
    </row>
    <row r="625" spans="1:40">
      <c r="L625" s="44"/>
      <c r="M625" s="44"/>
      <c r="N625" s="44"/>
      <c r="O625" s="44"/>
      <c r="R625" s="44"/>
      <c r="AA625" s="44"/>
      <c r="AB625" s="44"/>
      <c r="AC625" s="44"/>
      <c r="AD625" s="44"/>
      <c r="AE625" s="44"/>
      <c r="AF625" s="44"/>
      <c r="AG625" s="102"/>
      <c r="AH625" s="44"/>
      <c r="AK625" s="102"/>
      <c r="AL625" s="44"/>
      <c r="AM625" s="44"/>
      <c r="AN625" s="44"/>
    </row>
    <row r="626" spans="1:40">
      <c r="L626" s="44"/>
      <c r="M626" s="44"/>
      <c r="N626" s="44"/>
      <c r="O626" s="44"/>
      <c r="R626" s="44"/>
      <c r="Z626" s="44"/>
      <c r="AA626" s="44"/>
      <c r="AB626" s="44"/>
      <c r="AC626" s="44"/>
      <c r="AD626" s="44"/>
      <c r="AE626" s="44"/>
      <c r="AF626" s="44"/>
      <c r="AG626" s="102"/>
      <c r="AH626" s="44"/>
      <c r="AK626" s="102"/>
      <c r="AL626" s="44"/>
      <c r="AM626" s="44"/>
      <c r="AN626" s="44"/>
    </row>
    <row r="627" spans="1:40">
      <c r="A627" s="44"/>
      <c r="C627" s="44"/>
      <c r="D627" s="44"/>
      <c r="E627" s="44"/>
      <c r="F627" s="44"/>
      <c r="J627" s="44"/>
      <c r="K627" s="44"/>
      <c r="L627" s="44"/>
      <c r="M627" s="44"/>
      <c r="N627" s="44"/>
      <c r="O627" s="44"/>
      <c r="P627" s="44"/>
      <c r="Q627" s="44"/>
      <c r="R627" s="44"/>
      <c r="T627" s="44"/>
      <c r="U627" s="44"/>
      <c r="V627" s="44"/>
      <c r="Z627" s="44"/>
      <c r="AA627" s="44"/>
      <c r="AB627" s="44"/>
      <c r="AC627" s="44"/>
      <c r="AD627" s="44"/>
      <c r="AE627" s="44"/>
      <c r="AF627" s="44"/>
      <c r="AG627" s="102"/>
      <c r="AH627" s="44"/>
      <c r="AI627" s="44"/>
      <c r="AJ627" s="44"/>
      <c r="AK627" s="102"/>
      <c r="AL627" s="44"/>
      <c r="AM627" s="44"/>
      <c r="AN627" s="44"/>
    </row>
    <row r="628" spans="1:40">
      <c r="A628" s="44"/>
      <c r="C628" s="44"/>
      <c r="D628" s="44"/>
      <c r="E628" s="44"/>
      <c r="F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T628" s="44"/>
      <c r="U628" s="44"/>
      <c r="V628" s="44"/>
      <c r="Y628" s="44"/>
      <c r="Z628" s="44"/>
      <c r="AA628" s="44"/>
      <c r="AB628" s="44"/>
      <c r="AC628" s="44"/>
      <c r="AD628" s="44"/>
      <c r="AE628" s="44"/>
      <c r="AF628" s="44"/>
      <c r="AG628" s="102"/>
      <c r="AH628" s="44"/>
      <c r="AI628" s="44"/>
      <c r="AJ628" s="44"/>
      <c r="AK628" s="102"/>
      <c r="AL628" s="44"/>
      <c r="AM628" s="44"/>
      <c r="AN628" s="44"/>
    </row>
    <row r="629" spans="1:40">
      <c r="C629" s="44"/>
      <c r="D629" s="44"/>
      <c r="E629" s="44"/>
      <c r="F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T629" s="44"/>
      <c r="U629" s="44"/>
      <c r="V629" s="44"/>
      <c r="Y629" s="44"/>
      <c r="Z629" s="44"/>
      <c r="AA629" s="44"/>
      <c r="AB629" s="44"/>
      <c r="AC629" s="44"/>
      <c r="AD629" s="44"/>
      <c r="AE629" s="44"/>
      <c r="AF629" s="44"/>
      <c r="AG629" s="102"/>
      <c r="AH629" s="44"/>
      <c r="AI629" s="44"/>
      <c r="AJ629" s="44"/>
      <c r="AK629" s="102"/>
      <c r="AL629" s="44"/>
      <c r="AM629" s="44"/>
      <c r="AN629" s="44"/>
    </row>
    <row r="630" spans="1:40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107"/>
      <c r="AH630" s="49"/>
      <c r="AI630" s="49"/>
      <c r="AJ630" s="49"/>
      <c r="AK630" s="107"/>
      <c r="AL630" s="49"/>
      <c r="AM630" s="49"/>
      <c r="AN630" s="49"/>
    </row>
    <row r="631" spans="1:40"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Y631" s="44"/>
      <c r="Z631" s="44"/>
      <c r="AA631" s="44"/>
      <c r="AB631" s="44"/>
      <c r="AC631" s="44"/>
      <c r="AD631" s="44"/>
      <c r="AE631" s="44"/>
      <c r="AF631" s="44"/>
      <c r="AG631" s="102"/>
      <c r="AH631" s="44"/>
      <c r="AI631" s="44"/>
      <c r="AJ631" s="44"/>
      <c r="AK631" s="102"/>
      <c r="AL631" s="44"/>
      <c r="AM631" s="44"/>
      <c r="AN631" s="44"/>
    </row>
    <row r="632" spans="1:40">
      <c r="C632" s="42"/>
      <c r="D632" s="42"/>
      <c r="E632" s="42"/>
      <c r="T632" s="42"/>
      <c r="U632" s="42"/>
    </row>
    <row r="634" spans="1:40">
      <c r="C634" s="42"/>
      <c r="D634" s="42"/>
      <c r="E634" s="42"/>
      <c r="T634" s="42"/>
      <c r="U634" s="42"/>
    </row>
    <row r="635" spans="1:40">
      <c r="C635" s="42"/>
      <c r="T635" s="42"/>
    </row>
    <row r="636" spans="1:40">
      <c r="C636" s="42"/>
      <c r="T636" s="42"/>
    </row>
    <row r="637" spans="1:40">
      <c r="C637" s="42"/>
      <c r="F637" s="164"/>
      <c r="H637" s="164"/>
      <c r="I637" s="164"/>
      <c r="J637" s="132"/>
      <c r="K637" s="132"/>
      <c r="L637" s="45"/>
      <c r="M637" s="45"/>
      <c r="N637" s="46"/>
      <c r="O637" s="46"/>
      <c r="P637" s="45"/>
      <c r="Q637" s="45"/>
      <c r="R637" s="45"/>
      <c r="T637" s="42"/>
      <c r="V637" s="45"/>
      <c r="W637" s="45"/>
      <c r="X637" s="45"/>
      <c r="Y637" s="45"/>
      <c r="Z637" s="132"/>
      <c r="AA637" s="45"/>
      <c r="AB637" s="45"/>
      <c r="AC637" s="46"/>
      <c r="AD637" s="46"/>
      <c r="AE637" s="45"/>
      <c r="AF637" s="45"/>
      <c r="AH637" s="51"/>
      <c r="AI637" s="45"/>
      <c r="AJ637" s="45"/>
      <c r="AL637" s="45"/>
      <c r="AM637" s="46"/>
      <c r="AN637" s="46"/>
    </row>
    <row r="638" spans="1:40">
      <c r="C638" s="42"/>
      <c r="J638" s="56"/>
      <c r="K638" s="56"/>
      <c r="T638" s="42"/>
      <c r="V638" s="45"/>
      <c r="W638" s="45"/>
      <c r="X638" s="45"/>
      <c r="Y638" s="45"/>
      <c r="Z638" s="132"/>
    </row>
    <row r="639" spans="1:40">
      <c r="C639" s="42"/>
      <c r="F639" s="164"/>
      <c r="H639" s="164"/>
      <c r="I639" s="164"/>
      <c r="J639" s="132"/>
      <c r="K639" s="132"/>
      <c r="L639" s="45"/>
      <c r="M639" s="45"/>
      <c r="N639" s="46"/>
      <c r="O639" s="46"/>
      <c r="P639" s="45"/>
      <c r="Q639" s="45"/>
      <c r="R639" s="45"/>
      <c r="T639" s="42"/>
      <c r="V639" s="45"/>
      <c r="W639" s="45"/>
      <c r="X639" s="45"/>
      <c r="Y639" s="45"/>
      <c r="Z639" s="132"/>
      <c r="AA639" s="45"/>
      <c r="AB639" s="45"/>
      <c r="AC639" s="46"/>
      <c r="AD639" s="46"/>
      <c r="AE639" s="45"/>
      <c r="AF639" s="45"/>
      <c r="AH639" s="51"/>
      <c r="AI639" s="45"/>
      <c r="AJ639" s="45"/>
      <c r="AL639" s="45"/>
      <c r="AM639" s="46"/>
      <c r="AN639" s="46"/>
    </row>
    <row r="640" spans="1:40">
      <c r="C640" s="42"/>
      <c r="J640" s="56"/>
      <c r="K640" s="56"/>
      <c r="T640" s="42"/>
      <c r="V640" s="45"/>
      <c r="W640" s="45"/>
      <c r="X640" s="45"/>
      <c r="Y640" s="45"/>
      <c r="Z640" s="132"/>
    </row>
    <row r="641" spans="3:40">
      <c r="C641" s="42"/>
      <c r="F641" s="164"/>
      <c r="H641" s="164"/>
      <c r="I641" s="164"/>
      <c r="J641" s="132"/>
      <c r="K641" s="132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Z641" s="132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46"/>
      <c r="AN641" s="46"/>
    </row>
    <row r="642" spans="3:40">
      <c r="C642" s="42"/>
      <c r="J642" s="56"/>
      <c r="K642" s="56"/>
      <c r="T642" s="42"/>
      <c r="V642" s="45"/>
      <c r="W642" s="45"/>
      <c r="X642" s="45"/>
      <c r="Y642" s="45"/>
      <c r="Z642" s="132"/>
    </row>
    <row r="643" spans="3:40">
      <c r="C643" s="42"/>
      <c r="F643" s="164"/>
      <c r="H643" s="164"/>
      <c r="I643" s="164"/>
      <c r="J643" s="132"/>
      <c r="K643" s="132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Z643" s="132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46"/>
      <c r="AN643" s="46"/>
    </row>
    <row r="644" spans="3:40">
      <c r="C644" s="42"/>
      <c r="J644" s="56"/>
      <c r="K644" s="56"/>
      <c r="T644" s="42"/>
      <c r="V644" s="45"/>
      <c r="W644" s="45"/>
      <c r="X644" s="45"/>
      <c r="Y644" s="45"/>
      <c r="Z644" s="132"/>
    </row>
    <row r="645" spans="3:40">
      <c r="C645" s="42"/>
      <c r="F645" s="164"/>
      <c r="H645" s="164"/>
      <c r="I645" s="164"/>
      <c r="J645" s="132"/>
      <c r="K645" s="132"/>
      <c r="L645" s="45"/>
      <c r="M645" s="45"/>
      <c r="N645" s="46"/>
      <c r="O645" s="46"/>
      <c r="P645" s="45"/>
      <c r="Q645" s="45"/>
      <c r="R645" s="45"/>
      <c r="T645" s="42"/>
      <c r="V645" s="45"/>
      <c r="W645" s="45"/>
      <c r="X645" s="45"/>
      <c r="Y645" s="45"/>
      <c r="Z645" s="132"/>
      <c r="AA645" s="45"/>
      <c r="AB645" s="45"/>
      <c r="AC645" s="46"/>
      <c r="AD645" s="46"/>
      <c r="AE645" s="45"/>
      <c r="AF645" s="45"/>
      <c r="AH645" s="51"/>
      <c r="AI645" s="45"/>
      <c r="AJ645" s="45"/>
      <c r="AL645" s="45"/>
      <c r="AM645" s="46"/>
      <c r="AN645" s="46"/>
    </row>
    <row r="646" spans="3:40">
      <c r="C646" s="42"/>
      <c r="J646" s="56"/>
      <c r="K646" s="56"/>
      <c r="T646" s="42"/>
      <c r="V646" s="45"/>
      <c r="W646" s="45"/>
      <c r="X646" s="45"/>
      <c r="Y646" s="45"/>
      <c r="Z646" s="132"/>
    </row>
    <row r="647" spans="3:40">
      <c r="C647" s="42"/>
      <c r="F647" s="164"/>
      <c r="H647" s="164"/>
      <c r="I647" s="164"/>
      <c r="J647" s="132"/>
      <c r="K647" s="132"/>
      <c r="L647" s="45"/>
      <c r="M647" s="45"/>
      <c r="N647" s="46"/>
      <c r="O647" s="46"/>
      <c r="P647" s="45"/>
      <c r="Q647" s="45"/>
      <c r="R647" s="45"/>
      <c r="T647" s="42"/>
      <c r="V647" s="45"/>
      <c r="W647" s="45"/>
      <c r="X647" s="45"/>
      <c r="Y647" s="45"/>
      <c r="Z647" s="132"/>
      <c r="AA647" s="45"/>
      <c r="AB647" s="45"/>
      <c r="AC647" s="46"/>
      <c r="AD647" s="46"/>
      <c r="AE647" s="45"/>
      <c r="AF647" s="45"/>
      <c r="AH647" s="51"/>
      <c r="AI647" s="45"/>
      <c r="AJ647" s="45"/>
      <c r="AL647" s="45"/>
      <c r="AM647" s="46"/>
      <c r="AN647" s="46"/>
    </row>
    <row r="648" spans="3:40">
      <c r="F648" s="50"/>
      <c r="H648" s="50"/>
      <c r="I648" s="50"/>
      <c r="J648" s="132"/>
      <c r="K648" s="132"/>
      <c r="L648" s="50"/>
      <c r="M648" s="50"/>
      <c r="N648" s="50"/>
      <c r="O648" s="50"/>
      <c r="P648" s="50"/>
      <c r="Q648" s="50"/>
      <c r="R648" s="50"/>
      <c r="V648" s="50"/>
      <c r="Y648" s="50"/>
      <c r="Z648" s="132"/>
      <c r="AA648" s="50"/>
      <c r="AB648" s="50"/>
      <c r="AC648" s="50"/>
      <c r="AD648" s="50"/>
      <c r="AE648" s="50"/>
      <c r="AF648" s="50"/>
      <c r="AI648" s="50"/>
      <c r="AJ648" s="50"/>
      <c r="AK648" s="111"/>
      <c r="AL648" s="50"/>
      <c r="AM648" s="46"/>
      <c r="AN648" s="46"/>
    </row>
    <row r="649" spans="3:40">
      <c r="C649" s="42"/>
      <c r="F649" s="45"/>
      <c r="H649" s="45"/>
      <c r="I649" s="45"/>
      <c r="J649" s="56"/>
      <c r="K649" s="56"/>
      <c r="L649" s="45"/>
      <c r="M649" s="45"/>
      <c r="N649" s="46"/>
      <c r="O649" s="46"/>
      <c r="P649" s="164"/>
      <c r="Q649" s="164"/>
      <c r="R649" s="45"/>
      <c r="T649" s="42"/>
      <c r="V649" s="45"/>
      <c r="W649" s="45"/>
      <c r="X649" s="45"/>
      <c r="Y649" s="45"/>
      <c r="Z649" s="132"/>
      <c r="AA649" s="45"/>
      <c r="AB649" s="45"/>
      <c r="AC649" s="46"/>
      <c r="AD649" s="46"/>
      <c r="AE649" s="45"/>
      <c r="AF649" s="45"/>
      <c r="AH649" s="51"/>
      <c r="AI649" s="164"/>
      <c r="AJ649" s="164"/>
      <c r="AL649" s="45"/>
      <c r="AM649" s="46"/>
      <c r="AN649" s="46"/>
    </row>
    <row r="650" spans="3:40">
      <c r="F650" s="50"/>
      <c r="H650" s="50"/>
      <c r="I650" s="50"/>
      <c r="J650" s="132"/>
      <c r="K650" s="132"/>
      <c r="L650" s="50"/>
      <c r="M650" s="50"/>
      <c r="N650" s="50"/>
      <c r="O650" s="50"/>
      <c r="P650" s="50"/>
      <c r="Q650" s="50"/>
      <c r="R650" s="50"/>
      <c r="V650" s="50"/>
      <c r="Y650" s="50"/>
      <c r="Z650" s="132"/>
      <c r="AA650" s="50"/>
      <c r="AB650" s="50"/>
      <c r="AC650" s="50"/>
      <c r="AD650" s="50"/>
      <c r="AE650" s="50"/>
      <c r="AF650" s="50"/>
      <c r="AI650" s="50"/>
      <c r="AJ650" s="50"/>
      <c r="AK650" s="111"/>
      <c r="AL650" s="50"/>
    </row>
    <row r="651" spans="3:40">
      <c r="C651" s="42"/>
      <c r="D651" s="42"/>
      <c r="E651" s="42"/>
      <c r="J651" s="56"/>
      <c r="K651" s="56"/>
      <c r="T651" s="42"/>
      <c r="U651" s="42"/>
      <c r="V651" s="45"/>
      <c r="W651" s="45"/>
      <c r="X651" s="45"/>
      <c r="Y651" s="45"/>
      <c r="Z651" s="132"/>
    </row>
    <row r="652" spans="3:40">
      <c r="C652" s="42"/>
      <c r="J652" s="56"/>
      <c r="K652" s="56"/>
      <c r="T652" s="42"/>
      <c r="V652" s="45"/>
      <c r="W652" s="45"/>
      <c r="X652" s="45"/>
      <c r="Y652" s="45"/>
      <c r="Z652" s="132"/>
    </row>
    <row r="653" spans="3:40">
      <c r="C653" s="42"/>
      <c r="J653" s="56"/>
      <c r="K653" s="56"/>
      <c r="T653" s="42"/>
      <c r="V653" s="45"/>
      <c r="W653" s="45"/>
      <c r="X653" s="45"/>
      <c r="Y653" s="45"/>
      <c r="Z653" s="132"/>
    </row>
    <row r="654" spans="3:40">
      <c r="C654" s="42"/>
      <c r="F654" s="164"/>
      <c r="H654" s="164"/>
      <c r="I654" s="164"/>
      <c r="J654" s="132"/>
      <c r="K654" s="132"/>
      <c r="L654" s="45"/>
      <c r="M654" s="45"/>
      <c r="N654" s="46"/>
      <c r="O654" s="46"/>
      <c r="P654" s="45"/>
      <c r="Q654" s="45"/>
      <c r="R654" s="45"/>
      <c r="T654" s="42"/>
      <c r="V654" s="45"/>
      <c r="W654" s="45"/>
      <c r="X654" s="45"/>
      <c r="Y654" s="45"/>
      <c r="Z654" s="132"/>
      <c r="AA654" s="45"/>
      <c r="AB654" s="45"/>
      <c r="AC654" s="46"/>
      <c r="AD654" s="46"/>
      <c r="AE654" s="45"/>
      <c r="AF654" s="45"/>
      <c r="AH654" s="51"/>
      <c r="AI654" s="45"/>
      <c r="AJ654" s="45"/>
      <c r="AL654" s="45"/>
      <c r="AM654" s="46"/>
      <c r="AN654" s="46"/>
    </row>
    <row r="655" spans="3:40">
      <c r="C655" s="42"/>
      <c r="J655" s="56"/>
      <c r="K655" s="56"/>
      <c r="T655" s="42"/>
      <c r="V655" s="45"/>
      <c r="W655" s="45"/>
      <c r="X655" s="45"/>
      <c r="Y655" s="45"/>
      <c r="Z655" s="132"/>
    </row>
    <row r="656" spans="3:40">
      <c r="C656" s="42"/>
      <c r="F656" s="164"/>
      <c r="H656" s="164"/>
      <c r="I656" s="164"/>
      <c r="J656" s="132"/>
      <c r="K656" s="132"/>
      <c r="L656" s="45"/>
      <c r="M656" s="45"/>
      <c r="N656" s="46"/>
      <c r="O656" s="46"/>
      <c r="P656" s="45"/>
      <c r="Q656" s="45"/>
      <c r="R656" s="45"/>
      <c r="T656" s="42"/>
      <c r="V656" s="45"/>
      <c r="W656" s="45"/>
      <c r="X656" s="45"/>
      <c r="Y656" s="45"/>
      <c r="Z656" s="132"/>
      <c r="AA656" s="45"/>
      <c r="AB656" s="45"/>
      <c r="AC656" s="46"/>
      <c r="AD656" s="46"/>
      <c r="AE656" s="45"/>
      <c r="AF656" s="45"/>
      <c r="AH656" s="51"/>
      <c r="AI656" s="45"/>
      <c r="AJ656" s="45"/>
      <c r="AL656" s="45"/>
      <c r="AM656" s="46"/>
      <c r="AN656" s="46"/>
    </row>
    <row r="657" spans="3:40">
      <c r="F657" s="50"/>
      <c r="H657" s="50"/>
      <c r="I657" s="50"/>
      <c r="J657" s="132"/>
      <c r="K657" s="132"/>
      <c r="L657" s="50"/>
      <c r="M657" s="50"/>
      <c r="N657" s="50"/>
      <c r="O657" s="50"/>
      <c r="P657" s="50"/>
      <c r="Q657" s="50"/>
      <c r="R657" s="50"/>
      <c r="V657" s="50"/>
      <c r="Y657" s="50"/>
      <c r="Z657" s="326"/>
      <c r="AA657" s="50"/>
      <c r="AB657" s="50"/>
      <c r="AC657" s="50"/>
      <c r="AD657" s="50"/>
      <c r="AE657" s="50"/>
      <c r="AF657" s="50"/>
      <c r="AI657" s="50"/>
      <c r="AJ657" s="50"/>
      <c r="AK657" s="111"/>
      <c r="AL657" s="50"/>
    </row>
    <row r="658" spans="3:40">
      <c r="C658" s="42"/>
      <c r="F658" s="45"/>
      <c r="H658" s="45"/>
      <c r="I658" s="45"/>
      <c r="L658" s="45"/>
      <c r="M658" s="45"/>
      <c r="N658" s="46"/>
      <c r="O658" s="46"/>
      <c r="P658" s="164"/>
      <c r="Q658" s="164"/>
      <c r="R658" s="45"/>
      <c r="T658" s="42"/>
      <c r="V658" s="45"/>
      <c r="W658" s="45"/>
      <c r="X658" s="45"/>
      <c r="Y658" s="45"/>
      <c r="Z658" s="336"/>
      <c r="AA658" s="45"/>
      <c r="AB658" s="45"/>
      <c r="AC658" s="46"/>
      <c r="AD658" s="46"/>
      <c r="AE658" s="45"/>
      <c r="AF658" s="45"/>
      <c r="AH658" s="51"/>
      <c r="AI658" s="164"/>
      <c r="AJ658" s="164"/>
      <c r="AL658" s="45"/>
      <c r="AM658" s="46"/>
      <c r="AN658" s="46"/>
    </row>
    <row r="659" spans="3:40">
      <c r="F659" s="50"/>
      <c r="H659" s="50"/>
      <c r="I659" s="50"/>
      <c r="J659" s="326"/>
      <c r="K659" s="326"/>
      <c r="L659" s="50"/>
      <c r="M659" s="50"/>
      <c r="N659" s="50"/>
      <c r="O659" s="50"/>
      <c r="P659" s="50"/>
      <c r="Q659" s="50"/>
      <c r="R659" s="50"/>
      <c r="V659" s="50"/>
      <c r="Y659" s="50"/>
      <c r="Z659" s="326"/>
      <c r="AA659" s="50"/>
      <c r="AB659" s="50"/>
      <c r="AC659" s="50"/>
      <c r="AD659" s="50"/>
      <c r="AE659" s="50"/>
      <c r="AF659" s="50"/>
      <c r="AI659" s="50"/>
      <c r="AJ659" s="50"/>
      <c r="AK659" s="111"/>
      <c r="AL659" s="50"/>
    </row>
    <row r="660" spans="3:40">
      <c r="C660" s="42"/>
      <c r="D660" s="42"/>
      <c r="E660" s="42"/>
      <c r="T660" s="42"/>
      <c r="U660" s="42"/>
      <c r="V660" s="45"/>
      <c r="W660" s="45"/>
      <c r="X660" s="45"/>
      <c r="Y660" s="45"/>
      <c r="Z660" s="336"/>
    </row>
    <row r="661" spans="3:40">
      <c r="C661" s="42"/>
      <c r="T661" s="42"/>
      <c r="V661" s="45"/>
      <c r="W661" s="45"/>
      <c r="X661" s="45"/>
      <c r="Y661" s="45"/>
      <c r="Z661" s="336"/>
    </row>
    <row r="662" spans="3:40">
      <c r="C662" s="42"/>
      <c r="F662" s="164"/>
      <c r="H662" s="164"/>
      <c r="I662" s="164"/>
      <c r="J662" s="336"/>
      <c r="K662" s="336"/>
      <c r="L662" s="45"/>
      <c r="M662" s="45"/>
      <c r="N662" s="46"/>
      <c r="O662" s="46"/>
      <c r="P662" s="45"/>
      <c r="Q662" s="45"/>
      <c r="R662" s="45"/>
      <c r="T662" s="42"/>
      <c r="V662" s="45"/>
      <c r="W662" s="45"/>
      <c r="X662" s="45"/>
      <c r="Y662" s="45"/>
      <c r="Z662" s="336"/>
      <c r="AA662" s="45"/>
      <c r="AB662" s="45"/>
      <c r="AC662" s="46"/>
      <c r="AD662" s="46"/>
      <c r="AE662" s="45"/>
      <c r="AF662" s="45"/>
      <c r="AH662" s="51"/>
      <c r="AI662" s="45"/>
      <c r="AJ662" s="45"/>
      <c r="AL662" s="45"/>
      <c r="AM662" s="46"/>
      <c r="AN662" s="46"/>
    </row>
    <row r="663" spans="3:40">
      <c r="C663" s="42"/>
      <c r="T663" s="42"/>
      <c r="V663" s="45"/>
      <c r="W663" s="45"/>
      <c r="X663" s="45"/>
      <c r="Y663" s="45"/>
      <c r="Z663" s="336"/>
    </row>
    <row r="664" spans="3:40">
      <c r="C664" s="42"/>
      <c r="F664" s="164"/>
      <c r="H664" s="164"/>
      <c r="I664" s="164"/>
      <c r="J664" s="336"/>
      <c r="K664" s="336"/>
      <c r="L664" s="45"/>
      <c r="M664" s="45"/>
      <c r="N664" s="46"/>
      <c r="O664" s="46"/>
      <c r="P664" s="45"/>
      <c r="Q664" s="45"/>
      <c r="R664" s="45"/>
      <c r="T664" s="42"/>
      <c r="V664" s="45"/>
      <c r="W664" s="45"/>
      <c r="X664" s="45"/>
      <c r="Y664" s="45"/>
      <c r="Z664" s="336"/>
      <c r="AA664" s="45"/>
      <c r="AB664" s="45"/>
      <c r="AC664" s="46"/>
      <c r="AD664" s="46"/>
      <c r="AE664" s="45"/>
      <c r="AF664" s="45"/>
      <c r="AH664" s="51"/>
      <c r="AI664" s="45"/>
      <c r="AJ664" s="45"/>
      <c r="AL664" s="45"/>
      <c r="AM664" s="46"/>
      <c r="AN664" s="46"/>
    </row>
    <row r="665" spans="3:40">
      <c r="C665" s="42"/>
      <c r="T665" s="42"/>
      <c r="V665" s="45"/>
      <c r="W665" s="45"/>
      <c r="X665" s="45"/>
      <c r="Y665" s="45"/>
      <c r="Z665" s="336"/>
    </row>
    <row r="666" spans="3:40">
      <c r="C666" s="42"/>
      <c r="F666" s="164"/>
      <c r="H666" s="164"/>
      <c r="I666" s="164"/>
      <c r="J666" s="336"/>
      <c r="K666" s="336"/>
      <c r="L666" s="45"/>
      <c r="M666" s="45"/>
      <c r="N666" s="46"/>
      <c r="O666" s="46"/>
      <c r="P666" s="45"/>
      <c r="Q666" s="45"/>
      <c r="R666" s="45"/>
      <c r="T666" s="42"/>
      <c r="V666" s="45"/>
      <c r="W666" s="45"/>
      <c r="X666" s="45"/>
      <c r="Y666" s="45"/>
      <c r="Z666" s="336"/>
      <c r="AA666" s="45"/>
      <c r="AB666" s="45"/>
      <c r="AC666" s="46"/>
      <c r="AD666" s="46"/>
      <c r="AE666" s="45"/>
      <c r="AF666" s="45"/>
      <c r="AH666" s="51"/>
      <c r="AI666" s="45"/>
      <c r="AJ666" s="45"/>
      <c r="AL666" s="45"/>
      <c r="AM666" s="46"/>
      <c r="AN666" s="46"/>
    </row>
    <row r="667" spans="3:40">
      <c r="C667" s="42"/>
      <c r="T667" s="42"/>
      <c r="V667" s="45"/>
      <c r="W667" s="45"/>
      <c r="X667" s="45"/>
      <c r="Y667" s="45"/>
      <c r="Z667" s="336"/>
    </row>
    <row r="668" spans="3:40">
      <c r="C668" s="42"/>
      <c r="F668" s="164"/>
      <c r="H668" s="164"/>
      <c r="I668" s="164"/>
      <c r="J668" s="336"/>
      <c r="K668" s="336"/>
      <c r="L668" s="45"/>
      <c r="M668" s="45"/>
      <c r="N668" s="46"/>
      <c r="O668" s="46"/>
      <c r="P668" s="45"/>
      <c r="Q668" s="45"/>
      <c r="R668" s="45"/>
      <c r="T668" s="42"/>
      <c r="V668" s="45"/>
      <c r="W668" s="45"/>
      <c r="X668" s="45"/>
      <c r="Y668" s="45"/>
      <c r="Z668" s="336"/>
      <c r="AA668" s="45"/>
      <c r="AB668" s="45"/>
      <c r="AC668" s="46"/>
      <c r="AD668" s="46"/>
      <c r="AE668" s="45"/>
      <c r="AF668" s="45"/>
      <c r="AH668" s="51"/>
      <c r="AI668" s="45"/>
      <c r="AJ668" s="45"/>
      <c r="AL668" s="45"/>
      <c r="AM668" s="46"/>
      <c r="AN668" s="46"/>
    </row>
    <row r="669" spans="3:40">
      <c r="F669" s="50"/>
      <c r="H669" s="50"/>
      <c r="I669" s="50"/>
      <c r="J669" s="326"/>
      <c r="K669" s="326"/>
      <c r="L669" s="50"/>
      <c r="M669" s="50"/>
      <c r="N669" s="50"/>
      <c r="O669" s="50"/>
      <c r="P669" s="50"/>
      <c r="Q669" s="50"/>
      <c r="R669" s="50"/>
      <c r="V669" s="50"/>
      <c r="Y669" s="50"/>
      <c r="Z669" s="326"/>
      <c r="AA669" s="50"/>
      <c r="AB669" s="50"/>
      <c r="AC669" s="50"/>
      <c r="AD669" s="50"/>
      <c r="AE669" s="50"/>
      <c r="AF669" s="50"/>
      <c r="AI669" s="50"/>
      <c r="AJ669" s="50"/>
      <c r="AK669" s="111"/>
      <c r="AL669" s="50"/>
    </row>
    <row r="670" spans="3:40">
      <c r="C670" s="42"/>
      <c r="F670" s="45"/>
      <c r="H670" s="45"/>
      <c r="I670" s="45"/>
      <c r="L670" s="45"/>
      <c r="M670" s="45"/>
      <c r="N670" s="46"/>
      <c r="O670" s="46"/>
      <c r="P670" s="164"/>
      <c r="Q670" s="164"/>
      <c r="R670" s="45"/>
      <c r="T670" s="42"/>
      <c r="V670" s="45"/>
      <c r="W670" s="45"/>
      <c r="X670" s="45"/>
      <c r="Y670" s="45"/>
      <c r="Z670" s="336"/>
      <c r="AA670" s="45"/>
      <c r="AB670" s="45"/>
      <c r="AC670" s="46"/>
      <c r="AD670" s="46"/>
      <c r="AE670" s="45"/>
      <c r="AF670" s="45"/>
      <c r="AH670" s="51"/>
      <c r="AI670" s="164"/>
      <c r="AJ670" s="164"/>
      <c r="AL670" s="45"/>
      <c r="AM670" s="46"/>
      <c r="AN670" s="46"/>
    </row>
    <row r="671" spans="3:40">
      <c r="F671" s="50"/>
      <c r="H671" s="50"/>
      <c r="I671" s="50"/>
      <c r="J671" s="326"/>
      <c r="K671" s="326"/>
      <c r="L671" s="50"/>
      <c r="M671" s="50"/>
      <c r="N671" s="50"/>
      <c r="O671" s="50"/>
      <c r="P671" s="50"/>
      <c r="Q671" s="50"/>
      <c r="R671" s="50"/>
      <c r="V671" s="50"/>
      <c r="Y671" s="50"/>
      <c r="Z671" s="326"/>
      <c r="AA671" s="50"/>
      <c r="AB671" s="50"/>
      <c r="AC671" s="50"/>
      <c r="AD671" s="50"/>
      <c r="AE671" s="50"/>
      <c r="AF671" s="50"/>
      <c r="AI671" s="50"/>
      <c r="AJ671" s="50"/>
      <c r="AK671" s="111"/>
      <c r="AL671" s="50"/>
    </row>
    <row r="672" spans="3:40">
      <c r="C672" s="42"/>
      <c r="F672" s="45"/>
      <c r="H672" s="45"/>
      <c r="I672" s="45"/>
      <c r="L672" s="45"/>
      <c r="M672" s="45"/>
      <c r="N672" s="46"/>
      <c r="O672" s="46"/>
      <c r="P672" s="45"/>
      <c r="Q672" s="45"/>
      <c r="R672" s="45"/>
      <c r="T672" s="42"/>
      <c r="V672" s="45"/>
      <c r="W672" s="45"/>
      <c r="X672" s="45"/>
      <c r="Y672" s="45"/>
      <c r="AA672" s="45"/>
      <c r="AB672" s="45"/>
      <c r="AC672" s="46"/>
      <c r="AD672" s="46"/>
      <c r="AE672" s="45"/>
      <c r="AF672" s="45"/>
      <c r="AH672" s="51"/>
      <c r="AI672" s="45"/>
      <c r="AJ672" s="45"/>
      <c r="AL672" s="45"/>
      <c r="AM672" s="51"/>
      <c r="AN672" s="51"/>
    </row>
    <row r="673" spans="1:40">
      <c r="F673" s="50"/>
      <c r="H673" s="50"/>
      <c r="I673" s="50"/>
      <c r="J673" s="326"/>
      <c r="K673" s="326"/>
      <c r="L673" s="50"/>
      <c r="M673" s="50"/>
      <c r="N673" s="50"/>
      <c r="O673" s="50"/>
      <c r="P673" s="50"/>
      <c r="Q673" s="50"/>
      <c r="R673" s="50"/>
      <c r="V673" s="50"/>
      <c r="Y673" s="50"/>
      <c r="Z673" s="326"/>
      <c r="AA673" s="50"/>
      <c r="AB673" s="50"/>
      <c r="AC673" s="50"/>
      <c r="AD673" s="50"/>
      <c r="AE673" s="50"/>
      <c r="AF673" s="50"/>
      <c r="AI673" s="50"/>
      <c r="AJ673" s="50"/>
      <c r="AK673" s="111"/>
      <c r="AL673" s="50"/>
    </row>
    <row r="676" spans="1:40">
      <c r="A676" s="42"/>
    </row>
    <row r="678" spans="1:40">
      <c r="H678" s="42"/>
      <c r="I678" s="42"/>
      <c r="Y678" s="42"/>
    </row>
    <row r="680" spans="1:40">
      <c r="L680" s="42"/>
      <c r="M680" s="42"/>
      <c r="AA680" s="42"/>
      <c r="AB680" s="42"/>
    </row>
    <row r="681" spans="1:40">
      <c r="R681" s="42"/>
      <c r="AK681" s="110"/>
      <c r="AL681" s="42"/>
    </row>
    <row r="682" spans="1:40">
      <c r="R682" s="42"/>
      <c r="AK682" s="110"/>
      <c r="AL682" s="42"/>
    </row>
    <row r="683" spans="1:40">
      <c r="A683" s="42"/>
      <c r="R683" s="42"/>
      <c r="AK683" s="110"/>
      <c r="AL683" s="42"/>
    </row>
    <row r="684" spans="1:40">
      <c r="L684" s="42"/>
      <c r="M684" s="42"/>
      <c r="AA684" s="42"/>
      <c r="AB684" s="42"/>
    </row>
    <row r="685" spans="1:40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107"/>
      <c r="AH685" s="49"/>
      <c r="AI685" s="49"/>
      <c r="AJ685" s="49"/>
      <c r="AK685" s="107"/>
      <c r="AL685" s="49"/>
      <c r="AM685" s="49"/>
      <c r="AN685" s="49"/>
    </row>
    <row r="686" spans="1:40">
      <c r="L686" s="44"/>
      <c r="M686" s="44"/>
      <c r="N686" s="44"/>
      <c r="O686" s="44"/>
      <c r="R686" s="44"/>
      <c r="AA686" s="44"/>
      <c r="AB686" s="44"/>
      <c r="AC686" s="44"/>
      <c r="AD686" s="44"/>
      <c r="AE686" s="44"/>
      <c r="AF686" s="44"/>
      <c r="AG686" s="102"/>
      <c r="AH686" s="44"/>
      <c r="AK686" s="102"/>
      <c r="AL686" s="44"/>
      <c r="AM686" s="44"/>
      <c r="AN686" s="44"/>
    </row>
    <row r="687" spans="1:40">
      <c r="L687" s="44"/>
      <c r="M687" s="44"/>
      <c r="N687" s="44"/>
      <c r="O687" s="44"/>
      <c r="R687" s="44"/>
      <c r="Z687" s="44"/>
      <c r="AA687" s="44"/>
      <c r="AB687" s="44"/>
      <c r="AC687" s="44"/>
      <c r="AD687" s="44"/>
      <c r="AE687" s="44"/>
      <c r="AF687" s="44"/>
      <c r="AG687" s="102"/>
      <c r="AH687" s="44"/>
      <c r="AK687" s="102"/>
      <c r="AL687" s="44"/>
      <c r="AM687" s="44"/>
      <c r="AN687" s="44"/>
    </row>
    <row r="688" spans="1:40">
      <c r="A688" s="44"/>
      <c r="C688" s="44"/>
      <c r="D688" s="44"/>
      <c r="E688" s="44"/>
      <c r="F688" s="44"/>
      <c r="J688" s="44"/>
      <c r="K688" s="44"/>
      <c r="L688" s="44"/>
      <c r="M688" s="44"/>
      <c r="N688" s="44"/>
      <c r="O688" s="44"/>
      <c r="P688" s="44"/>
      <c r="Q688" s="44"/>
      <c r="R688" s="44"/>
      <c r="T688" s="44"/>
      <c r="U688" s="44"/>
      <c r="V688" s="44"/>
      <c r="Z688" s="44"/>
      <c r="AA688" s="44"/>
      <c r="AB688" s="44"/>
      <c r="AC688" s="44"/>
      <c r="AD688" s="44"/>
      <c r="AE688" s="44"/>
      <c r="AF688" s="44"/>
      <c r="AG688" s="102"/>
      <c r="AH688" s="44"/>
      <c r="AI688" s="44"/>
      <c r="AJ688" s="44"/>
      <c r="AK688" s="102"/>
      <c r="AL688" s="44"/>
      <c r="AM688" s="44"/>
      <c r="AN688" s="44"/>
    </row>
    <row r="689" spans="1:40">
      <c r="A689" s="44"/>
      <c r="C689" s="44"/>
      <c r="D689" s="44"/>
      <c r="E689" s="44"/>
      <c r="F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T689" s="44"/>
      <c r="U689" s="44"/>
      <c r="V689" s="44"/>
      <c r="Y689" s="44"/>
      <c r="Z689" s="44"/>
      <c r="AA689" s="44"/>
      <c r="AB689" s="44"/>
      <c r="AC689" s="44"/>
      <c r="AD689" s="44"/>
      <c r="AE689" s="44"/>
      <c r="AF689" s="44"/>
      <c r="AG689" s="102"/>
      <c r="AH689" s="44"/>
      <c r="AI689" s="44"/>
      <c r="AJ689" s="44"/>
      <c r="AK689" s="102"/>
      <c r="AL689" s="44"/>
      <c r="AM689" s="44"/>
      <c r="AN689" s="44"/>
    </row>
    <row r="690" spans="1:40">
      <c r="C690" s="44"/>
      <c r="D690" s="44"/>
      <c r="E690" s="44"/>
      <c r="F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T690" s="44"/>
      <c r="U690" s="44"/>
      <c r="V690" s="44"/>
      <c r="Y690" s="44"/>
      <c r="Z690" s="44"/>
      <c r="AA690" s="44"/>
      <c r="AB690" s="44"/>
      <c r="AC690" s="44"/>
      <c r="AD690" s="44"/>
      <c r="AE690" s="44"/>
      <c r="AF690" s="44"/>
      <c r="AG690" s="102"/>
      <c r="AH690" s="44"/>
      <c r="AI690" s="44"/>
      <c r="AJ690" s="44"/>
      <c r="AK690" s="102"/>
      <c r="AL690" s="44"/>
      <c r="AM690" s="44"/>
      <c r="AN690" s="44"/>
    </row>
    <row r="691" spans="1:40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107"/>
      <c r="AH691" s="49"/>
      <c r="AI691" s="49"/>
      <c r="AJ691" s="49"/>
      <c r="AK691" s="107"/>
      <c r="AL691" s="49"/>
      <c r="AM691" s="49"/>
      <c r="AN691" s="49"/>
    </row>
    <row r="692" spans="1:40"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Y692" s="44"/>
      <c r="Z692" s="44"/>
      <c r="AA692" s="44"/>
      <c r="AB692" s="44"/>
      <c r="AC692" s="44"/>
      <c r="AD692" s="44"/>
      <c r="AE692" s="44"/>
      <c r="AF692" s="44"/>
      <c r="AG692" s="102"/>
      <c r="AH692" s="44"/>
      <c r="AI692" s="44"/>
      <c r="AJ692" s="44"/>
      <c r="AK692" s="102"/>
      <c r="AL692" s="44"/>
      <c r="AM692" s="44"/>
      <c r="AN692" s="44"/>
    </row>
    <row r="693" spans="1:40">
      <c r="C693" s="42"/>
      <c r="D693" s="42"/>
      <c r="E693" s="42"/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T693" s="42"/>
      <c r="U693" s="42"/>
      <c r="V693" s="45"/>
      <c r="Y693" s="45"/>
      <c r="Z693" s="47"/>
      <c r="AA693" s="45"/>
      <c r="AB693" s="45"/>
      <c r="AC693" s="47"/>
      <c r="AD693" s="47"/>
      <c r="AE693" s="45"/>
      <c r="AF693" s="45"/>
      <c r="AH693" s="51"/>
      <c r="AI693" s="45"/>
      <c r="AJ693" s="45"/>
      <c r="AL693" s="45"/>
      <c r="AM693" s="46"/>
      <c r="AN693" s="46"/>
    </row>
    <row r="694" spans="1:40">
      <c r="F694" s="50"/>
      <c r="H694" s="50"/>
      <c r="I694" s="50"/>
      <c r="J694" s="326"/>
      <c r="K694" s="326"/>
      <c r="L694" s="50"/>
      <c r="M694" s="50"/>
      <c r="N694" s="50"/>
      <c r="O694" s="50"/>
      <c r="P694" s="50"/>
      <c r="Q694" s="50"/>
      <c r="R694" s="50"/>
      <c r="V694" s="50"/>
      <c r="Y694" s="50"/>
      <c r="Z694" s="326"/>
      <c r="AA694" s="50"/>
      <c r="AB694" s="50"/>
      <c r="AC694" s="50"/>
      <c r="AD694" s="50"/>
      <c r="AE694" s="50"/>
      <c r="AF694" s="50"/>
      <c r="AI694" s="50"/>
      <c r="AJ694" s="50"/>
      <c r="AK694" s="111"/>
      <c r="AL694" s="50"/>
      <c r="AM694" s="46"/>
      <c r="AN694" s="46"/>
    </row>
    <row r="695" spans="1:40">
      <c r="C695" s="42"/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T695" s="42"/>
      <c r="V695" s="45"/>
      <c r="Y695" s="45"/>
      <c r="Z695" s="47"/>
      <c r="AA695" s="45"/>
      <c r="AB695" s="45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1:40">
      <c r="F696" s="45"/>
      <c r="H696" s="45"/>
      <c r="I696" s="45"/>
      <c r="J696" s="47"/>
      <c r="K696" s="47"/>
      <c r="L696" s="45"/>
      <c r="M696" s="45"/>
      <c r="N696" s="47"/>
      <c r="O696" s="47"/>
      <c r="P696" s="45"/>
      <c r="Q696" s="45"/>
      <c r="R696" s="45"/>
      <c r="V696" s="45"/>
      <c r="Y696" s="45"/>
      <c r="Z696" s="47"/>
      <c r="AA696" s="45"/>
      <c r="AB696" s="45"/>
      <c r="AC696" s="47"/>
      <c r="AD696" s="47"/>
      <c r="AH696" s="51"/>
      <c r="AI696" s="45"/>
      <c r="AJ696" s="45"/>
      <c r="AL696" s="45"/>
      <c r="AM696" s="46"/>
      <c r="AN696" s="46"/>
    </row>
    <row r="697" spans="1:40">
      <c r="C697" s="42"/>
      <c r="D697" s="42"/>
      <c r="E697" s="42"/>
      <c r="F697" s="45"/>
      <c r="H697" s="45"/>
      <c r="I697" s="45"/>
      <c r="J697" s="47"/>
      <c r="K697" s="47"/>
      <c r="L697" s="45"/>
      <c r="M697" s="45"/>
      <c r="N697" s="47"/>
      <c r="O697" s="47"/>
      <c r="P697" s="45"/>
      <c r="Q697" s="45"/>
      <c r="R697" s="45"/>
      <c r="T697" s="42"/>
      <c r="U697" s="42"/>
      <c r="V697" s="45"/>
      <c r="Y697" s="45"/>
      <c r="Z697" s="47"/>
      <c r="AA697" s="45"/>
      <c r="AB697" s="45"/>
      <c r="AC697" s="47"/>
      <c r="AD697" s="47"/>
      <c r="AE697" s="45"/>
      <c r="AF697" s="45"/>
      <c r="AH697" s="51"/>
      <c r="AI697" s="45"/>
      <c r="AJ697" s="45"/>
      <c r="AL697" s="45"/>
      <c r="AM697" s="46"/>
      <c r="AN697" s="46"/>
    </row>
    <row r="698" spans="1:40">
      <c r="C698" s="42"/>
      <c r="D698" s="42"/>
      <c r="E698" s="42"/>
      <c r="F698" s="45"/>
      <c r="H698" s="45"/>
      <c r="I698" s="45"/>
      <c r="J698" s="47"/>
      <c r="K698" s="47"/>
      <c r="L698" s="45"/>
      <c r="M698" s="45"/>
      <c r="N698" s="47"/>
      <c r="O698" s="47"/>
      <c r="P698" s="45"/>
      <c r="Q698" s="45"/>
      <c r="R698" s="45"/>
      <c r="T698" s="42"/>
      <c r="U698" s="42"/>
      <c r="V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1:40">
      <c r="C699" s="42"/>
      <c r="D699" s="42"/>
      <c r="E699" s="42"/>
      <c r="F699" s="45"/>
      <c r="H699" s="45"/>
      <c r="I699" s="45"/>
      <c r="J699" s="47"/>
      <c r="K699" s="47"/>
      <c r="L699" s="45"/>
      <c r="M699" s="45"/>
      <c r="N699" s="47"/>
      <c r="O699" s="47"/>
      <c r="P699" s="45"/>
      <c r="Q699" s="45"/>
      <c r="R699" s="45"/>
      <c r="T699" s="42"/>
      <c r="U699" s="42"/>
      <c r="V699" s="45"/>
      <c r="Y699" s="45"/>
      <c r="Z699" s="47"/>
      <c r="AA699" s="45"/>
      <c r="AB699" s="45"/>
      <c r="AC699" s="47"/>
      <c r="AD699" s="47"/>
      <c r="AE699" s="45"/>
      <c r="AF699" s="45"/>
      <c r="AH699" s="51"/>
      <c r="AI699" s="45"/>
      <c r="AJ699" s="45"/>
      <c r="AL699" s="45"/>
      <c r="AM699" s="46"/>
      <c r="AN699" s="46"/>
    </row>
    <row r="700" spans="1:40">
      <c r="C700" s="42"/>
      <c r="D700" s="42"/>
      <c r="E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U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1:40">
      <c r="C701" s="42"/>
      <c r="D701" s="42"/>
      <c r="E701" s="42"/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T701" s="42"/>
      <c r="U701" s="42"/>
      <c r="V701" s="45"/>
      <c r="Y701" s="45"/>
      <c r="Z701" s="47"/>
      <c r="AA701" s="45"/>
      <c r="AB701" s="45"/>
      <c r="AC701" s="47"/>
      <c r="AD701" s="47"/>
      <c r="AE701" s="45"/>
      <c r="AF701" s="45"/>
      <c r="AH701" s="51"/>
      <c r="AI701" s="45"/>
      <c r="AJ701" s="45"/>
      <c r="AL701" s="45"/>
      <c r="AM701" s="46"/>
      <c r="AN701" s="46"/>
    </row>
    <row r="702" spans="1:40">
      <c r="C702" s="42"/>
      <c r="D702" s="42"/>
      <c r="E702" s="42"/>
      <c r="F702" s="45"/>
      <c r="H702" s="45"/>
      <c r="I702" s="45"/>
      <c r="J702" s="47"/>
      <c r="K702" s="47"/>
      <c r="L702" s="45"/>
      <c r="M702" s="45"/>
      <c r="N702" s="47"/>
      <c r="O702" s="47"/>
      <c r="P702" s="45"/>
      <c r="Q702" s="45"/>
      <c r="R702" s="45"/>
      <c r="T702" s="42"/>
      <c r="U702" s="42"/>
      <c r="V702" s="45"/>
      <c r="Y702" s="45"/>
      <c r="Z702" s="47"/>
      <c r="AA702" s="45"/>
      <c r="AB702" s="45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1:40">
      <c r="F703" s="50"/>
      <c r="H703" s="50"/>
      <c r="I703" s="50"/>
      <c r="J703" s="326"/>
      <c r="K703" s="326"/>
      <c r="L703" s="50"/>
      <c r="M703" s="50"/>
      <c r="N703" s="50"/>
      <c r="O703" s="50"/>
      <c r="P703" s="50"/>
      <c r="Q703" s="50"/>
      <c r="R703" s="50"/>
      <c r="V703" s="50"/>
      <c r="Y703" s="50"/>
      <c r="Z703" s="326"/>
      <c r="AA703" s="50"/>
      <c r="AB703" s="50"/>
      <c r="AC703" s="50"/>
      <c r="AD703" s="50"/>
      <c r="AE703" s="50"/>
      <c r="AF703" s="50"/>
      <c r="AI703" s="50"/>
      <c r="AJ703" s="50"/>
      <c r="AK703" s="111"/>
      <c r="AL703" s="50"/>
      <c r="AM703" s="46"/>
      <c r="AN703" s="46"/>
    </row>
    <row r="704" spans="1:40">
      <c r="C704" s="42"/>
      <c r="F704" s="45"/>
      <c r="H704" s="45"/>
      <c r="I704" s="45"/>
      <c r="J704" s="47"/>
      <c r="K704" s="47"/>
      <c r="L704" s="45"/>
      <c r="M704" s="45"/>
      <c r="N704" s="47"/>
      <c r="O704" s="47"/>
      <c r="P704" s="45"/>
      <c r="Q704" s="45"/>
      <c r="R704" s="45"/>
      <c r="T704" s="42"/>
      <c r="V704" s="45"/>
      <c r="Y704" s="45"/>
      <c r="Z704" s="47"/>
      <c r="AA704" s="45"/>
      <c r="AB704" s="45"/>
      <c r="AC704" s="47"/>
      <c r="AD704" s="47"/>
      <c r="AE704" s="45"/>
      <c r="AF704" s="45"/>
      <c r="AH704" s="51"/>
      <c r="AI704" s="45"/>
      <c r="AJ704" s="45"/>
      <c r="AL704" s="45"/>
      <c r="AM704" s="46"/>
      <c r="AN704" s="46"/>
    </row>
    <row r="705" spans="3:40">
      <c r="F705" s="45"/>
      <c r="H705" s="45"/>
      <c r="I705" s="45"/>
      <c r="J705" s="47"/>
      <c r="K705" s="47"/>
      <c r="L705" s="45"/>
      <c r="M705" s="45"/>
      <c r="N705" s="47"/>
      <c r="O705" s="47"/>
      <c r="P705" s="45"/>
      <c r="Q705" s="45"/>
      <c r="R705" s="45"/>
      <c r="V705" s="45"/>
      <c r="Y705" s="45"/>
      <c r="Z705" s="47"/>
      <c r="AA705" s="45"/>
      <c r="AB705" s="45"/>
      <c r="AC705" s="47"/>
      <c r="AD705" s="47"/>
      <c r="AH705" s="51"/>
      <c r="AI705" s="45"/>
      <c r="AJ705" s="45"/>
      <c r="AL705" s="45"/>
      <c r="AM705" s="46"/>
      <c r="AN705" s="46"/>
    </row>
    <row r="706" spans="3:40">
      <c r="C706" s="42"/>
      <c r="D706" s="42"/>
      <c r="E706" s="42"/>
      <c r="F706" s="45"/>
      <c r="H706" s="45"/>
      <c r="I706" s="45"/>
      <c r="J706" s="47"/>
      <c r="K706" s="47"/>
      <c r="L706" s="45"/>
      <c r="M706" s="45"/>
      <c r="N706" s="47"/>
      <c r="O706" s="47"/>
      <c r="P706" s="45"/>
      <c r="Q706" s="45"/>
      <c r="R706" s="45"/>
      <c r="T706" s="42"/>
      <c r="U706" s="42"/>
      <c r="V706" s="45"/>
      <c r="Y706" s="45"/>
      <c r="Z706" s="47"/>
      <c r="AA706" s="45"/>
      <c r="AB706" s="45"/>
      <c r="AC706" s="47"/>
      <c r="AD706" s="47"/>
      <c r="AE706" s="45"/>
      <c r="AF706" s="45"/>
      <c r="AH706" s="51"/>
      <c r="AI706" s="45"/>
      <c r="AJ706" s="45"/>
      <c r="AL706" s="45"/>
      <c r="AM706" s="46"/>
      <c r="AN706" s="46"/>
    </row>
    <row r="707" spans="3:40">
      <c r="F707" s="50"/>
      <c r="H707" s="50"/>
      <c r="I707" s="50"/>
      <c r="J707" s="326"/>
      <c r="K707" s="326"/>
      <c r="L707" s="50"/>
      <c r="M707" s="50"/>
      <c r="N707" s="50"/>
      <c r="O707" s="50"/>
      <c r="P707" s="50"/>
      <c r="Q707" s="50"/>
      <c r="R707" s="50"/>
      <c r="V707" s="50"/>
      <c r="Y707" s="50"/>
      <c r="Z707" s="326"/>
      <c r="AA707" s="50"/>
      <c r="AB707" s="50"/>
      <c r="AC707" s="50"/>
      <c r="AD707" s="50"/>
      <c r="AE707" s="50"/>
      <c r="AF707" s="50"/>
      <c r="AI707" s="50"/>
      <c r="AJ707" s="50"/>
      <c r="AK707" s="111"/>
      <c r="AL707" s="50"/>
      <c r="AM707" s="46"/>
      <c r="AN707" s="46"/>
    </row>
    <row r="708" spans="3:40">
      <c r="C708" s="42"/>
      <c r="F708" s="45"/>
      <c r="H708" s="45"/>
      <c r="I708" s="45"/>
      <c r="J708" s="47"/>
      <c r="K708" s="47"/>
      <c r="L708" s="45"/>
      <c r="M708" s="45"/>
      <c r="N708" s="47"/>
      <c r="O708" s="47"/>
      <c r="P708" s="45"/>
      <c r="Q708" s="45"/>
      <c r="R708" s="45"/>
      <c r="T708" s="42"/>
      <c r="V708" s="45"/>
      <c r="Y708" s="45"/>
      <c r="Z708" s="47"/>
      <c r="AA708" s="45"/>
      <c r="AB708" s="45"/>
      <c r="AC708" s="47"/>
      <c r="AD708" s="47"/>
      <c r="AE708" s="45"/>
      <c r="AF708" s="45"/>
      <c r="AH708" s="51"/>
      <c r="AI708" s="45"/>
      <c r="AJ708" s="45"/>
      <c r="AL708" s="45"/>
      <c r="AM708" s="46"/>
      <c r="AN708" s="46"/>
    </row>
    <row r="709" spans="3:40">
      <c r="F709" s="45"/>
      <c r="H709" s="45"/>
      <c r="I709" s="45"/>
      <c r="J709" s="47"/>
      <c r="K709" s="47"/>
      <c r="L709" s="45"/>
      <c r="M709" s="45"/>
      <c r="N709" s="47"/>
      <c r="O709" s="47"/>
      <c r="P709" s="45"/>
      <c r="Q709" s="45"/>
      <c r="R709" s="45"/>
      <c r="V709" s="45"/>
      <c r="Y709" s="45"/>
      <c r="Z709" s="47"/>
      <c r="AA709" s="45"/>
      <c r="AB709" s="45"/>
      <c r="AC709" s="47"/>
      <c r="AD709" s="47"/>
      <c r="AH709" s="51"/>
      <c r="AI709" s="45"/>
      <c r="AJ709" s="45"/>
      <c r="AL709" s="45"/>
      <c r="AM709" s="46"/>
      <c r="AN709" s="46"/>
    </row>
    <row r="710" spans="3:40">
      <c r="C710" s="42"/>
      <c r="D710" s="42"/>
      <c r="E710" s="42"/>
      <c r="F710" s="45"/>
      <c r="H710" s="45"/>
      <c r="I710" s="45"/>
      <c r="J710" s="47"/>
      <c r="K710" s="47"/>
      <c r="L710" s="45"/>
      <c r="M710" s="45"/>
      <c r="N710" s="47"/>
      <c r="O710" s="47"/>
      <c r="P710" s="45"/>
      <c r="Q710" s="45"/>
      <c r="R710" s="45"/>
      <c r="T710" s="42"/>
      <c r="U710" s="42"/>
      <c r="V710" s="45"/>
      <c r="Y710" s="45"/>
      <c r="Z710" s="47"/>
      <c r="AA710" s="45"/>
      <c r="AB710" s="45"/>
      <c r="AC710" s="47"/>
      <c r="AD710" s="47"/>
      <c r="AE710" s="45"/>
      <c r="AF710" s="45"/>
      <c r="AH710" s="51"/>
      <c r="AI710" s="45"/>
      <c r="AJ710" s="45"/>
      <c r="AL710" s="45"/>
      <c r="AM710" s="46"/>
      <c r="AN710" s="46"/>
    </row>
    <row r="711" spans="3:40">
      <c r="C711" s="42"/>
      <c r="D711" s="42"/>
      <c r="E711" s="42"/>
      <c r="F711" s="45"/>
      <c r="G711" s="45"/>
      <c r="H711" s="45"/>
      <c r="I711" s="45"/>
      <c r="J711" s="47"/>
      <c r="K711" s="47"/>
      <c r="L711" s="45"/>
      <c r="M711" s="45"/>
      <c r="N711" s="47"/>
      <c r="O711" s="47"/>
      <c r="P711" s="45"/>
      <c r="Q711" s="45"/>
      <c r="R711" s="45"/>
      <c r="T711" s="42"/>
      <c r="U711" s="42"/>
      <c r="V711" s="45"/>
      <c r="W711" s="45"/>
      <c r="X711" s="45"/>
      <c r="Y711" s="45"/>
      <c r="Z711" s="47"/>
      <c r="AA711" s="45"/>
      <c r="AB711" s="45"/>
      <c r="AC711" s="47"/>
      <c r="AD711" s="47"/>
      <c r="AE711" s="45"/>
      <c r="AF711" s="45"/>
      <c r="AH711" s="51"/>
      <c r="AI711" s="45"/>
      <c r="AJ711" s="45"/>
      <c r="AL711" s="45"/>
      <c r="AM711" s="46"/>
      <c r="AN711" s="46"/>
    </row>
    <row r="712" spans="3:40">
      <c r="C712" s="42"/>
      <c r="D712" s="42"/>
      <c r="E712" s="42"/>
      <c r="F712" s="45"/>
      <c r="G712" s="45"/>
      <c r="H712" s="45"/>
      <c r="I712" s="45"/>
      <c r="J712" s="47"/>
      <c r="K712" s="47"/>
      <c r="L712" s="45"/>
      <c r="M712" s="45"/>
      <c r="N712" s="47"/>
      <c r="O712" s="47"/>
      <c r="P712" s="45"/>
      <c r="Q712" s="45"/>
      <c r="R712" s="45"/>
      <c r="T712" s="42"/>
      <c r="U712" s="42"/>
      <c r="V712" s="45"/>
      <c r="W712" s="45"/>
      <c r="X712" s="45"/>
      <c r="Y712" s="45"/>
      <c r="Z712" s="47"/>
      <c r="AA712" s="45"/>
      <c r="AB712" s="45"/>
      <c r="AC712" s="47"/>
      <c r="AD712" s="47"/>
      <c r="AE712" s="45"/>
      <c r="AF712" s="45"/>
      <c r="AH712" s="51"/>
      <c r="AI712" s="45"/>
      <c r="AJ712" s="45"/>
      <c r="AL712" s="45"/>
      <c r="AM712" s="46"/>
      <c r="AN712" s="46"/>
    </row>
    <row r="713" spans="3:40">
      <c r="C713" s="42"/>
      <c r="D713" s="42"/>
      <c r="E713" s="42"/>
      <c r="F713" s="45"/>
      <c r="H713" s="45"/>
      <c r="I713" s="45"/>
      <c r="J713" s="47"/>
      <c r="K713" s="47"/>
      <c r="L713" s="45"/>
      <c r="M713" s="45"/>
      <c r="N713" s="47"/>
      <c r="O713" s="47"/>
      <c r="P713" s="45"/>
      <c r="Q713" s="45"/>
      <c r="R713" s="45"/>
      <c r="T713" s="42"/>
      <c r="U713" s="42"/>
      <c r="V713" s="45"/>
      <c r="Y713" s="45"/>
      <c r="Z713" s="47"/>
      <c r="AA713" s="45"/>
      <c r="AB713" s="45"/>
      <c r="AC713" s="47"/>
      <c r="AD713" s="47"/>
      <c r="AE713" s="45"/>
      <c r="AF713" s="45"/>
      <c r="AH713" s="51"/>
      <c r="AI713" s="45"/>
      <c r="AJ713" s="45"/>
      <c r="AL713" s="45"/>
      <c r="AM713" s="46"/>
      <c r="AN713" s="46"/>
    </row>
    <row r="714" spans="3:40">
      <c r="C714" s="42"/>
      <c r="D714" s="42"/>
      <c r="E714" s="42"/>
      <c r="F714" s="45"/>
      <c r="H714" s="45"/>
      <c r="I714" s="45"/>
      <c r="J714" s="47"/>
      <c r="K714" s="47"/>
      <c r="L714" s="45"/>
      <c r="M714" s="45"/>
      <c r="N714" s="47"/>
      <c r="O714" s="47"/>
      <c r="P714" s="45"/>
      <c r="Q714" s="45"/>
      <c r="R714" s="45"/>
      <c r="T714" s="42"/>
      <c r="U714" s="42"/>
      <c r="V714" s="45"/>
      <c r="Y714" s="45"/>
      <c r="Z714" s="47"/>
      <c r="AA714" s="45"/>
      <c r="AB714" s="45"/>
      <c r="AC714" s="47"/>
      <c r="AD714" s="47"/>
      <c r="AE714" s="45"/>
      <c r="AF714" s="45"/>
      <c r="AH714" s="51"/>
      <c r="AI714" s="45"/>
      <c r="AJ714" s="45"/>
      <c r="AL714" s="45"/>
      <c r="AM714" s="46"/>
      <c r="AN714" s="46"/>
    </row>
    <row r="715" spans="3:40">
      <c r="C715" s="42"/>
      <c r="D715" s="42"/>
      <c r="E715" s="42"/>
      <c r="F715" s="45"/>
      <c r="H715" s="45"/>
      <c r="I715" s="45"/>
      <c r="J715" s="47"/>
      <c r="K715" s="47"/>
      <c r="L715" s="45"/>
      <c r="M715" s="45"/>
      <c r="N715" s="47"/>
      <c r="O715" s="47"/>
      <c r="P715" s="45"/>
      <c r="Q715" s="45"/>
      <c r="R715" s="45"/>
      <c r="T715" s="42"/>
      <c r="U715" s="42"/>
      <c r="V715" s="45"/>
      <c r="Y715" s="45"/>
      <c r="Z715" s="47"/>
      <c r="AA715" s="45"/>
      <c r="AB715" s="45"/>
      <c r="AC715" s="47"/>
      <c r="AD715" s="47"/>
      <c r="AE715" s="45"/>
      <c r="AF715" s="45"/>
      <c r="AH715" s="51"/>
      <c r="AI715" s="45"/>
      <c r="AJ715" s="45"/>
      <c r="AL715" s="45"/>
      <c r="AM715" s="46"/>
      <c r="AN715" s="46"/>
    </row>
    <row r="716" spans="3:40">
      <c r="C716" s="42"/>
      <c r="D716" s="42"/>
      <c r="E716" s="42"/>
      <c r="F716" s="45"/>
      <c r="H716" s="45"/>
      <c r="I716" s="45"/>
      <c r="J716" s="47"/>
      <c r="K716" s="47"/>
      <c r="L716" s="45"/>
      <c r="M716" s="45"/>
      <c r="N716" s="47"/>
      <c r="O716" s="47"/>
      <c r="P716" s="45"/>
      <c r="Q716" s="45"/>
      <c r="R716" s="45"/>
      <c r="T716" s="42"/>
      <c r="U716" s="42"/>
      <c r="V716" s="45"/>
      <c r="Y716" s="45"/>
      <c r="Z716" s="47"/>
      <c r="AA716" s="45"/>
      <c r="AB716" s="45"/>
      <c r="AC716" s="47"/>
      <c r="AD716" s="47"/>
      <c r="AE716" s="45"/>
      <c r="AF716" s="45"/>
      <c r="AH716" s="51"/>
      <c r="AI716" s="45"/>
      <c r="AJ716" s="45"/>
      <c r="AL716" s="45"/>
      <c r="AM716" s="46"/>
      <c r="AN716" s="46"/>
    </row>
    <row r="717" spans="3:40">
      <c r="F717" s="50"/>
      <c r="H717" s="50"/>
      <c r="I717" s="50"/>
      <c r="J717" s="326"/>
      <c r="K717" s="326"/>
      <c r="L717" s="50"/>
      <c r="M717" s="50"/>
      <c r="N717" s="50"/>
      <c r="O717" s="50"/>
      <c r="P717" s="50"/>
      <c r="Q717" s="50"/>
      <c r="R717" s="50"/>
      <c r="V717" s="50"/>
      <c r="Y717" s="50"/>
      <c r="Z717" s="326"/>
      <c r="AA717" s="50"/>
      <c r="AB717" s="50"/>
      <c r="AC717" s="50"/>
      <c r="AD717" s="50"/>
      <c r="AE717" s="50"/>
      <c r="AF717" s="50"/>
      <c r="AI717" s="50"/>
      <c r="AJ717" s="50"/>
      <c r="AK717" s="111"/>
      <c r="AL717" s="50"/>
      <c r="AM717" s="46"/>
      <c r="AN717" s="46"/>
    </row>
    <row r="718" spans="3:40">
      <c r="C718" s="42"/>
      <c r="F718" s="45"/>
      <c r="H718" s="45"/>
      <c r="I718" s="45"/>
      <c r="J718" s="47"/>
      <c r="K718" s="47"/>
      <c r="L718" s="45"/>
      <c r="M718" s="45"/>
      <c r="N718" s="47"/>
      <c r="O718" s="47"/>
      <c r="P718" s="45"/>
      <c r="Q718" s="45"/>
      <c r="R718" s="45"/>
      <c r="T718" s="42"/>
      <c r="V718" s="45"/>
      <c r="Y718" s="45"/>
      <c r="Z718" s="47"/>
      <c r="AA718" s="45"/>
      <c r="AB718" s="45"/>
      <c r="AC718" s="47"/>
      <c r="AD718" s="47"/>
      <c r="AE718" s="45"/>
      <c r="AF718" s="45"/>
      <c r="AH718" s="51"/>
      <c r="AI718" s="45"/>
      <c r="AJ718" s="45"/>
      <c r="AL718" s="45"/>
      <c r="AM718" s="46"/>
      <c r="AN718" s="46"/>
    </row>
    <row r="719" spans="3:40">
      <c r="V719" s="45"/>
      <c r="Y719" s="45"/>
      <c r="Z719" s="326"/>
      <c r="AA719" s="45"/>
      <c r="AB719" s="45"/>
      <c r="AC719" s="45"/>
      <c r="AD719" s="45"/>
      <c r="AE719" s="45"/>
      <c r="AF719" s="45"/>
      <c r="AI719" s="45"/>
      <c r="AJ719" s="45"/>
      <c r="AL719" s="45"/>
      <c r="AM719" s="46"/>
      <c r="AN719" s="46"/>
    </row>
    <row r="720" spans="3:40">
      <c r="C720" s="42"/>
      <c r="D720" s="42"/>
      <c r="E720" s="42"/>
      <c r="L720" s="45"/>
      <c r="M720" s="45"/>
      <c r="N720" s="47"/>
      <c r="O720" s="47"/>
      <c r="R720" s="45"/>
      <c r="T720" s="42"/>
      <c r="U720" s="42"/>
      <c r="AA720" s="45"/>
      <c r="AB720" s="45"/>
      <c r="AC720" s="47"/>
      <c r="AD720" s="47"/>
      <c r="AE720" s="45"/>
      <c r="AF720" s="45"/>
      <c r="AH720" s="51"/>
      <c r="AL720" s="45"/>
      <c r="AM720" s="46"/>
      <c r="AN720" s="46"/>
    </row>
    <row r="721" spans="1:40">
      <c r="D721" s="42"/>
      <c r="E721" s="42"/>
      <c r="F721" s="164"/>
      <c r="H721" s="164"/>
      <c r="I721" s="164"/>
      <c r="J721" s="47"/>
      <c r="K721" s="47"/>
      <c r="L721" s="45"/>
      <c r="M721" s="45"/>
      <c r="N721" s="47"/>
      <c r="O721" s="47"/>
      <c r="P721" s="164"/>
      <c r="Q721" s="164"/>
      <c r="R721" s="45"/>
      <c r="U721" s="42"/>
      <c r="V721" s="45"/>
      <c r="Y721" s="45"/>
      <c r="Z721" s="47"/>
      <c r="AA721" s="45"/>
      <c r="AB721" s="45"/>
      <c r="AC721" s="47"/>
      <c r="AD721" s="47"/>
      <c r="AE721" s="45"/>
      <c r="AF721" s="45"/>
      <c r="AH721" s="51"/>
      <c r="AI721" s="45"/>
      <c r="AJ721" s="45"/>
      <c r="AL721" s="45"/>
      <c r="AM721" s="46"/>
      <c r="AN721" s="46"/>
    </row>
    <row r="722" spans="1:40">
      <c r="F722" s="50"/>
      <c r="H722" s="50"/>
      <c r="I722" s="50"/>
      <c r="J722" s="326"/>
      <c r="K722" s="326"/>
      <c r="L722" s="50"/>
      <c r="M722" s="50"/>
      <c r="N722" s="50"/>
      <c r="O722" s="50"/>
      <c r="P722" s="50"/>
      <c r="Q722" s="50"/>
      <c r="R722" s="50"/>
      <c r="V722" s="50"/>
      <c r="Y722" s="50"/>
      <c r="Z722" s="326"/>
      <c r="AA722" s="50"/>
      <c r="AB722" s="50"/>
      <c r="AC722" s="50"/>
      <c r="AD722" s="50"/>
      <c r="AE722" s="50"/>
      <c r="AF722" s="50"/>
      <c r="AI722" s="50"/>
      <c r="AJ722" s="50"/>
      <c r="AK722" s="111"/>
      <c r="AL722" s="50"/>
      <c r="AM722" s="46"/>
      <c r="AN722" s="46"/>
    </row>
    <row r="723" spans="1:40">
      <c r="C723" s="42"/>
      <c r="F723" s="45"/>
      <c r="H723" s="45"/>
      <c r="I723" s="45"/>
      <c r="J723" s="47"/>
      <c r="K723" s="47"/>
      <c r="L723" s="45"/>
      <c r="M723" s="45"/>
      <c r="N723" s="47"/>
      <c r="O723" s="47"/>
      <c r="P723" s="45"/>
      <c r="Q723" s="45"/>
      <c r="R723" s="45"/>
      <c r="T723" s="42"/>
      <c r="V723" s="45"/>
      <c r="Y723" s="45"/>
      <c r="Z723" s="47"/>
      <c r="AA723" s="45"/>
      <c r="AB723" s="45"/>
      <c r="AC723" s="47"/>
      <c r="AD723" s="47"/>
      <c r="AE723" s="45"/>
      <c r="AF723" s="45"/>
      <c r="AH723" s="51"/>
      <c r="AI723" s="45"/>
      <c r="AJ723" s="45"/>
      <c r="AL723" s="45"/>
      <c r="AM723" s="46"/>
      <c r="AN723" s="46"/>
    </row>
    <row r="724" spans="1:40">
      <c r="F724" s="45"/>
      <c r="H724" s="45"/>
      <c r="I724" s="45"/>
      <c r="J724" s="47"/>
      <c r="K724" s="47"/>
      <c r="L724" s="45"/>
      <c r="M724" s="45"/>
      <c r="N724" s="47"/>
      <c r="O724" s="47"/>
      <c r="P724" s="45"/>
      <c r="Q724" s="45"/>
      <c r="R724" s="45"/>
      <c r="V724" s="45"/>
      <c r="Y724" s="45"/>
      <c r="Z724" s="47"/>
      <c r="AA724" s="45"/>
      <c r="AB724" s="45"/>
      <c r="AC724" s="47"/>
      <c r="AD724" s="47"/>
      <c r="AH724" s="51"/>
      <c r="AI724" s="45"/>
      <c r="AJ724" s="45"/>
      <c r="AL724" s="45"/>
      <c r="AM724" s="46"/>
      <c r="AN724" s="46"/>
    </row>
    <row r="725" spans="1:40">
      <c r="D725" s="42"/>
      <c r="E725" s="42"/>
      <c r="F725" s="45"/>
      <c r="H725" s="45"/>
      <c r="I725" s="45"/>
      <c r="J725" s="47"/>
      <c r="K725" s="47"/>
      <c r="L725" s="164"/>
      <c r="M725" s="164"/>
      <c r="N725" s="47"/>
      <c r="O725" s="47"/>
      <c r="P725" s="45"/>
      <c r="Q725" s="45"/>
      <c r="R725" s="45"/>
      <c r="U725" s="42"/>
      <c r="V725" s="45"/>
      <c r="Y725" s="45"/>
      <c r="Z725" s="47"/>
      <c r="AA725" s="164"/>
      <c r="AB725" s="164"/>
      <c r="AC725" s="47"/>
      <c r="AD725" s="47"/>
      <c r="AE725" s="45"/>
      <c r="AF725" s="45"/>
      <c r="AH725" s="51"/>
      <c r="AI725" s="45"/>
      <c r="AJ725" s="45"/>
      <c r="AL725" s="45"/>
      <c r="AM725" s="46"/>
      <c r="AN725" s="46"/>
    </row>
    <row r="726" spans="1:40">
      <c r="D726" s="42"/>
      <c r="E726" s="42"/>
      <c r="F726" s="45"/>
      <c r="H726" s="45"/>
      <c r="I726" s="45"/>
      <c r="J726" s="47"/>
      <c r="K726" s="47"/>
      <c r="L726" s="164"/>
      <c r="M726" s="164"/>
      <c r="N726" s="47"/>
      <c r="O726" s="47"/>
      <c r="P726" s="45"/>
      <c r="Q726" s="45"/>
      <c r="R726" s="45"/>
      <c r="U726" s="42"/>
      <c r="V726" s="45"/>
      <c r="Y726" s="45"/>
      <c r="Z726" s="47"/>
      <c r="AA726" s="164"/>
      <c r="AB726" s="164"/>
      <c r="AC726" s="47"/>
      <c r="AD726" s="47"/>
      <c r="AE726" s="45"/>
      <c r="AF726" s="45"/>
      <c r="AH726" s="51"/>
      <c r="AI726" s="45"/>
      <c r="AJ726" s="45"/>
      <c r="AL726" s="45"/>
      <c r="AM726" s="46"/>
      <c r="AN726" s="46"/>
    </row>
    <row r="727" spans="1:40">
      <c r="D727" s="42"/>
      <c r="E727" s="42"/>
      <c r="F727" s="45"/>
      <c r="H727" s="45"/>
      <c r="I727" s="45"/>
      <c r="J727" s="47"/>
      <c r="K727" s="47"/>
      <c r="L727" s="164"/>
      <c r="M727" s="164"/>
      <c r="N727" s="47"/>
      <c r="O727" s="47"/>
      <c r="P727" s="45"/>
      <c r="Q727" s="45"/>
      <c r="R727" s="45"/>
      <c r="U727" s="42"/>
      <c r="V727" s="45"/>
      <c r="Y727" s="45"/>
      <c r="Z727" s="47"/>
      <c r="AA727" s="164"/>
      <c r="AB727" s="164"/>
      <c r="AC727" s="47"/>
      <c r="AD727" s="47"/>
      <c r="AE727" s="45"/>
      <c r="AF727" s="45"/>
      <c r="AH727" s="51"/>
      <c r="AI727" s="45"/>
      <c r="AJ727" s="45"/>
      <c r="AL727" s="45"/>
      <c r="AM727" s="46"/>
      <c r="AN727" s="46"/>
    </row>
    <row r="728" spans="1:40">
      <c r="F728" s="50"/>
      <c r="H728" s="50"/>
      <c r="I728" s="50"/>
      <c r="J728" s="326"/>
      <c r="K728" s="326"/>
      <c r="L728" s="50"/>
      <c r="M728" s="50"/>
      <c r="N728" s="50"/>
      <c r="O728" s="50"/>
      <c r="P728" s="50"/>
      <c r="Q728" s="50"/>
      <c r="R728" s="50"/>
      <c r="V728" s="50"/>
      <c r="Y728" s="50"/>
      <c r="Z728" s="326"/>
      <c r="AA728" s="50"/>
      <c r="AB728" s="50"/>
      <c r="AC728" s="50"/>
      <c r="AD728" s="50"/>
      <c r="AE728" s="50"/>
      <c r="AF728" s="50"/>
      <c r="AI728" s="50"/>
      <c r="AJ728" s="50"/>
      <c r="AK728" s="111"/>
      <c r="AL728" s="50"/>
      <c r="AM728" s="46"/>
      <c r="AN728" s="46"/>
    </row>
    <row r="729" spans="1:40">
      <c r="C729" s="42"/>
      <c r="F729" s="45"/>
      <c r="H729" s="45"/>
      <c r="I729" s="45"/>
      <c r="J729" s="47"/>
      <c r="K729" s="47"/>
      <c r="L729" s="45"/>
      <c r="M729" s="45"/>
      <c r="N729" s="47"/>
      <c r="O729" s="47"/>
      <c r="P729" s="45"/>
      <c r="Q729" s="45"/>
      <c r="R729" s="45"/>
      <c r="T729" s="42"/>
      <c r="V729" s="45"/>
      <c r="Y729" s="45"/>
      <c r="Z729" s="47"/>
      <c r="AA729" s="45"/>
      <c r="AB729" s="45"/>
      <c r="AC729" s="47"/>
      <c r="AD729" s="47"/>
      <c r="AE729" s="45"/>
      <c r="AF729" s="45"/>
      <c r="AH729" s="51"/>
      <c r="AI729" s="45"/>
      <c r="AJ729" s="45"/>
      <c r="AL729" s="45"/>
      <c r="AM729" s="46"/>
      <c r="AN729" s="46"/>
    </row>
    <row r="730" spans="1:40">
      <c r="F730" s="45"/>
      <c r="H730" s="45"/>
      <c r="I730" s="45"/>
      <c r="J730" s="47"/>
      <c r="K730" s="47"/>
      <c r="L730" s="45"/>
      <c r="M730" s="45"/>
      <c r="N730" s="47"/>
      <c r="O730" s="47"/>
      <c r="P730" s="45"/>
      <c r="Q730" s="45"/>
      <c r="R730" s="45"/>
      <c r="V730" s="45"/>
      <c r="Y730" s="45"/>
      <c r="Z730" s="47"/>
      <c r="AA730" s="45"/>
      <c r="AB730" s="45"/>
      <c r="AC730" s="47"/>
      <c r="AD730" s="47"/>
      <c r="AH730" s="51"/>
      <c r="AI730" s="45"/>
      <c r="AJ730" s="45"/>
      <c r="AL730" s="45"/>
      <c r="AM730" s="46"/>
      <c r="AN730" s="46"/>
    </row>
    <row r="731" spans="1:40">
      <c r="C731" s="42"/>
      <c r="F731" s="45"/>
      <c r="H731" s="45"/>
      <c r="I731" s="45"/>
      <c r="J731" s="47"/>
      <c r="K731" s="47"/>
      <c r="L731" s="45"/>
      <c r="M731" s="45"/>
      <c r="N731" s="47"/>
      <c r="O731" s="47"/>
      <c r="P731" s="45"/>
      <c r="Q731" s="45"/>
      <c r="R731" s="45"/>
      <c r="T731" s="42"/>
      <c r="V731" s="45"/>
      <c r="Y731" s="45"/>
      <c r="Z731" s="47"/>
      <c r="AA731" s="45"/>
      <c r="AB731" s="45"/>
      <c r="AC731" s="47"/>
      <c r="AD731" s="47"/>
      <c r="AE731" s="45"/>
      <c r="AF731" s="45"/>
      <c r="AH731" s="51"/>
      <c r="AI731" s="45"/>
      <c r="AJ731" s="45"/>
      <c r="AL731" s="45"/>
      <c r="AM731" s="46"/>
      <c r="AN731" s="46"/>
    </row>
    <row r="732" spans="1:40">
      <c r="F732" s="50"/>
      <c r="H732" s="50"/>
      <c r="I732" s="50"/>
      <c r="J732" s="326"/>
      <c r="K732" s="326"/>
      <c r="L732" s="50"/>
      <c r="M732" s="50"/>
      <c r="N732" s="50"/>
      <c r="O732" s="50"/>
      <c r="P732" s="50"/>
      <c r="Q732" s="50"/>
      <c r="R732" s="50"/>
      <c r="V732" s="50"/>
      <c r="Y732" s="50"/>
      <c r="Z732" s="326"/>
      <c r="AA732" s="50"/>
      <c r="AB732" s="50"/>
      <c r="AC732" s="50"/>
      <c r="AD732" s="50"/>
      <c r="AE732" s="50"/>
      <c r="AF732" s="50"/>
      <c r="AI732" s="50"/>
      <c r="AJ732" s="50"/>
      <c r="AK732" s="111"/>
      <c r="AL732" s="50"/>
    </row>
    <row r="734" spans="1:40">
      <c r="C734" s="42"/>
      <c r="L734" s="45"/>
      <c r="M734" s="45"/>
      <c r="P734" s="45"/>
      <c r="Q734" s="45"/>
      <c r="R734" s="45"/>
      <c r="T734" s="42"/>
    </row>
    <row r="735" spans="1:40">
      <c r="A735" s="42"/>
      <c r="L735" s="45"/>
      <c r="M735" s="45"/>
      <c r="P735" s="45"/>
      <c r="Q735" s="45"/>
      <c r="R735" s="45"/>
    </row>
    <row r="736" spans="1:40">
      <c r="L736" s="45"/>
      <c r="M736" s="45"/>
      <c r="P736" s="45"/>
      <c r="Q736" s="45"/>
      <c r="R736" s="45"/>
    </row>
    <row r="737" spans="12:18">
      <c r="L737" s="45"/>
      <c r="M737" s="45"/>
      <c r="P737" s="45"/>
      <c r="Q737" s="45"/>
      <c r="R737" s="45"/>
    </row>
    <row r="738" spans="12:18">
      <c r="L738" s="45"/>
      <c r="M738" s="45"/>
      <c r="P738" s="45"/>
      <c r="Q738" s="45"/>
      <c r="R738" s="45"/>
    </row>
    <row r="739" spans="12:18">
      <c r="L739" s="45"/>
      <c r="M739" s="45"/>
      <c r="P739" s="45"/>
      <c r="Q739" s="45"/>
      <c r="R739" s="45"/>
    </row>
    <row r="740" spans="12:18">
      <c r="L740" s="45"/>
      <c r="M740" s="45"/>
      <c r="P740" s="45"/>
      <c r="Q740" s="45"/>
      <c r="R740" s="45"/>
    </row>
    <row r="773" spans="49:49">
      <c r="AW773" s="45"/>
    </row>
    <row r="774" spans="49:49">
      <c r="AW774" s="45"/>
    </row>
    <row r="775" spans="49:49">
      <c r="AW775" s="45"/>
    </row>
    <row r="776" spans="49:49">
      <c r="AW776" s="45"/>
    </row>
    <row r="777" spans="49:49">
      <c r="AW777" s="45"/>
    </row>
    <row r="778" spans="49:49">
      <c r="AW778" s="45"/>
    </row>
    <row r="781" spans="49:49">
      <c r="AW781" s="45"/>
    </row>
    <row r="782" spans="49:49">
      <c r="AW782" s="45"/>
    </row>
    <row r="783" spans="49:49">
      <c r="AW783" s="45"/>
    </row>
    <row r="784" spans="49:49">
      <c r="AW784" s="45"/>
    </row>
    <row r="785" spans="49:49">
      <c r="AW785" s="45"/>
    </row>
    <row r="786" spans="49:49">
      <c r="AW786" s="45"/>
    </row>
    <row r="787" spans="49:49">
      <c r="AW787" s="45"/>
    </row>
    <row r="788" spans="49:49">
      <c r="AW788" s="45"/>
    </row>
    <row r="791" spans="49:49">
      <c r="AW791" s="45"/>
    </row>
    <row r="792" spans="49:49">
      <c r="AW792" s="45"/>
    </row>
    <row r="795" spans="49:49">
      <c r="AW795" s="45"/>
    </row>
    <row r="796" spans="49:49">
      <c r="AW796" s="45"/>
    </row>
    <row r="797" spans="49:49">
      <c r="AW797" s="45"/>
    </row>
    <row r="798" spans="49:49">
      <c r="AW798" s="45"/>
    </row>
    <row r="806" spans="45:69">
      <c r="AY806" s="42"/>
    </row>
    <row r="807" spans="45:69">
      <c r="AY807" s="42"/>
    </row>
    <row r="808" spans="45:69">
      <c r="BD808" s="42"/>
    </row>
    <row r="809" spans="45:69">
      <c r="BD809" s="42"/>
    </row>
    <row r="810" spans="45:69">
      <c r="AS810" s="42"/>
      <c r="BD810" s="42"/>
    </row>
    <row r="812" spans="45:69"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</row>
    <row r="813" spans="45:69">
      <c r="AX813" s="42"/>
    </row>
    <row r="814" spans="45:69">
      <c r="AX814" s="49"/>
      <c r="AY814" s="49"/>
      <c r="AZ814" s="49"/>
      <c r="BA814" s="49"/>
      <c r="BC814" s="44"/>
      <c r="BD814" s="44"/>
    </row>
    <row r="815" spans="45:69">
      <c r="AV815" s="44"/>
      <c r="AW815" s="44"/>
      <c r="AZ815" s="44"/>
      <c r="BA815" s="44"/>
      <c r="BC815" s="44"/>
      <c r="BD815" s="44"/>
      <c r="BE815" s="44"/>
      <c r="BG815" s="49"/>
      <c r="BH815" s="42"/>
      <c r="BK815" s="49"/>
      <c r="BM815" s="49"/>
      <c r="BN815" s="42"/>
      <c r="BQ815" s="49"/>
    </row>
    <row r="816" spans="45:69"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H816" s="44"/>
      <c r="BI816" s="44"/>
      <c r="BJ816" s="44"/>
      <c r="BN816" s="44"/>
      <c r="BO816" s="44"/>
      <c r="BP816" s="44"/>
    </row>
    <row r="817" spans="45:69">
      <c r="AS817" s="44"/>
      <c r="AU817" s="42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G817" s="44"/>
      <c r="BH817" s="44"/>
      <c r="BI817" s="44"/>
      <c r="BJ817" s="44"/>
      <c r="BK817" s="44"/>
      <c r="BM817" s="44"/>
      <c r="BN817" s="44"/>
      <c r="BO817" s="44"/>
      <c r="BP817" s="44"/>
      <c r="BQ817" s="44"/>
    </row>
    <row r="818" spans="45:69">
      <c r="AS818" s="44"/>
      <c r="AU818" s="42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G818" s="44"/>
      <c r="BH818" s="44"/>
      <c r="BI818" s="44"/>
      <c r="BJ818" s="44"/>
      <c r="BK818" s="44"/>
      <c r="BM818" s="44"/>
      <c r="BN818" s="44"/>
      <c r="BO818" s="44"/>
      <c r="BP818" s="44"/>
      <c r="BQ818" s="44"/>
    </row>
    <row r="819" spans="45:69"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G819" s="49"/>
      <c r="BH819" s="49"/>
      <c r="BI819" s="49"/>
      <c r="BJ819" s="49"/>
      <c r="BK819" s="49"/>
      <c r="BM819" s="49"/>
      <c r="BN819" s="49"/>
      <c r="BO819" s="49"/>
      <c r="BP819" s="49"/>
      <c r="BQ819" s="49"/>
    </row>
    <row r="820" spans="45:69"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</row>
    <row r="821" spans="45:69">
      <c r="AU821" s="42"/>
      <c r="AV821" s="44"/>
      <c r="AY821" s="47"/>
    </row>
    <row r="822" spans="45:69">
      <c r="AV822" s="44"/>
      <c r="AW822" s="45"/>
      <c r="AX822" s="56"/>
      <c r="AY822" s="56"/>
      <c r="AZ822" s="56"/>
      <c r="BA822" s="46"/>
      <c r="BB822" s="56"/>
      <c r="BC822" s="47"/>
      <c r="BD822" s="47"/>
      <c r="BE822" s="46"/>
      <c r="BG822" s="56"/>
      <c r="BH822" s="56"/>
      <c r="BI822" s="56"/>
      <c r="BJ822" s="56"/>
      <c r="BK822" s="56"/>
      <c r="BM822" s="56"/>
      <c r="BN822" s="56"/>
      <c r="BO822" s="56"/>
      <c r="BP822" s="56"/>
      <c r="BQ822" s="56"/>
    </row>
    <row r="823" spans="45:69">
      <c r="AV823" s="44"/>
      <c r="AW823" s="45"/>
      <c r="AX823" s="56"/>
      <c r="AY823" s="56"/>
      <c r="AZ823" s="56"/>
      <c r="BA823" s="46"/>
      <c r="BB823" s="56"/>
      <c r="BC823" s="47"/>
      <c r="BD823" s="47"/>
      <c r="BE823" s="46"/>
      <c r="BG823" s="56"/>
      <c r="BH823" s="56"/>
      <c r="BI823" s="56"/>
      <c r="BJ823" s="56"/>
      <c r="BK823" s="56"/>
      <c r="BM823" s="56"/>
      <c r="BN823" s="56"/>
      <c r="BO823" s="56"/>
      <c r="BP823" s="56"/>
      <c r="BQ823" s="56"/>
    </row>
    <row r="824" spans="45:69">
      <c r="AV824" s="44"/>
      <c r="AW824" s="45"/>
      <c r="AX824" s="56"/>
      <c r="AY824" s="56"/>
      <c r="AZ824" s="56"/>
      <c r="BA824" s="46"/>
      <c r="BB824" s="56"/>
      <c r="BC824" s="47"/>
      <c r="BD824" s="47"/>
      <c r="BE824" s="46"/>
      <c r="BG824" s="56"/>
      <c r="BH824" s="56"/>
      <c r="BI824" s="56"/>
      <c r="BJ824" s="56"/>
      <c r="BK824" s="56"/>
      <c r="BM824" s="56"/>
      <c r="BN824" s="56"/>
      <c r="BO824" s="56"/>
      <c r="BP824" s="56"/>
      <c r="BQ824" s="56"/>
    </row>
    <row r="825" spans="45:69">
      <c r="AV825" s="44"/>
      <c r="AW825" s="45"/>
      <c r="AX825" s="56"/>
      <c r="AY825" s="56"/>
      <c r="AZ825" s="56"/>
      <c r="BA825" s="46"/>
      <c r="BB825" s="56"/>
      <c r="BC825" s="47"/>
      <c r="BD825" s="47"/>
      <c r="BE825" s="46"/>
      <c r="BG825" s="56"/>
      <c r="BH825" s="56"/>
      <c r="BI825" s="56"/>
      <c r="BJ825" s="56"/>
      <c r="BK825" s="56"/>
      <c r="BM825" s="56"/>
      <c r="BN825" s="56"/>
      <c r="BO825" s="56"/>
      <c r="BP825" s="56"/>
      <c r="BQ825" s="56"/>
    </row>
    <row r="826" spans="45:69">
      <c r="AV826" s="44"/>
      <c r="AW826" s="45"/>
      <c r="AX826" s="56"/>
      <c r="AY826" s="56"/>
      <c r="AZ826" s="56"/>
      <c r="BA826" s="46"/>
      <c r="BB826" s="56"/>
      <c r="BC826" s="47"/>
      <c r="BD826" s="47"/>
      <c r="BE826" s="46"/>
      <c r="BG826" s="56"/>
      <c r="BH826" s="56"/>
      <c r="BI826" s="56"/>
      <c r="BJ826" s="56"/>
      <c r="BK826" s="56"/>
      <c r="BM826" s="56"/>
      <c r="BN826" s="56"/>
      <c r="BO826" s="56"/>
      <c r="BP826" s="56"/>
      <c r="BQ826" s="56"/>
    </row>
    <row r="827" spans="45:69">
      <c r="AV827" s="44"/>
      <c r="AW827" s="45"/>
      <c r="AX827" s="56"/>
      <c r="AY827" s="56"/>
      <c r="AZ827" s="56"/>
      <c r="BA827" s="46"/>
      <c r="BB827" s="56"/>
      <c r="BC827" s="47"/>
      <c r="BD827" s="47"/>
      <c r="BE827" s="46"/>
      <c r="BG827" s="56"/>
      <c r="BH827" s="56"/>
      <c r="BI827" s="56"/>
      <c r="BJ827" s="56"/>
      <c r="BK827" s="56"/>
      <c r="BM827" s="56"/>
      <c r="BN827" s="56"/>
      <c r="BO827" s="56"/>
      <c r="BP827" s="56"/>
      <c r="BQ827" s="56"/>
    </row>
    <row r="828" spans="45:69">
      <c r="AV828" s="44"/>
      <c r="AW828" s="45"/>
      <c r="AX828" s="56"/>
      <c r="AY828" s="56"/>
      <c r="AZ828" s="56"/>
      <c r="BA828" s="46"/>
      <c r="BB828" s="56"/>
      <c r="BC828" s="47"/>
      <c r="BD828" s="47"/>
      <c r="BE828" s="46"/>
      <c r="BG828" s="56"/>
      <c r="BH828" s="56"/>
      <c r="BI828" s="56"/>
      <c r="BJ828" s="56"/>
      <c r="BK828" s="56"/>
      <c r="BM828" s="56"/>
      <c r="BN828" s="56"/>
      <c r="BO828" s="56"/>
      <c r="BP828" s="56"/>
      <c r="BQ828" s="56"/>
    </row>
    <row r="829" spans="45:69">
      <c r="AY829" s="47"/>
      <c r="AZ829" s="56"/>
      <c r="BA829" s="46"/>
      <c r="BB829" s="56"/>
      <c r="BC829" s="47"/>
      <c r="BD829" s="47"/>
      <c r="BE829" s="46"/>
      <c r="BK829" s="56"/>
      <c r="BQ829" s="56"/>
    </row>
    <row r="830" spans="45:69">
      <c r="AV830" s="44"/>
      <c r="AY830" s="47"/>
      <c r="AZ830" s="56"/>
      <c r="BA830" s="46"/>
      <c r="BB830" s="56"/>
      <c r="BC830" s="47"/>
      <c r="BD830" s="47"/>
      <c r="BE830" s="46"/>
      <c r="BK830" s="56"/>
      <c r="BQ830" s="56"/>
    </row>
    <row r="831" spans="45:69">
      <c r="AV831" s="44"/>
      <c r="AW831" s="45"/>
      <c r="AX831" s="56"/>
      <c r="AY831" s="56"/>
      <c r="AZ831" s="56"/>
      <c r="BA831" s="46"/>
      <c r="BB831" s="56"/>
      <c r="BC831" s="47"/>
      <c r="BD831" s="47"/>
      <c r="BE831" s="46"/>
      <c r="BG831" s="56"/>
      <c r="BH831" s="56"/>
      <c r="BI831" s="56"/>
      <c r="BJ831" s="56"/>
      <c r="BK831" s="56"/>
      <c r="BM831" s="56"/>
      <c r="BN831" s="56"/>
      <c r="BO831" s="56"/>
      <c r="BP831" s="56"/>
      <c r="BQ831" s="56"/>
    </row>
    <row r="832" spans="45:69">
      <c r="AV832" s="44"/>
      <c r="AW832" s="45"/>
      <c r="AX832" s="56"/>
      <c r="AY832" s="56"/>
      <c r="AZ832" s="56"/>
      <c r="BA832" s="46"/>
      <c r="BB832" s="56"/>
      <c r="BC832" s="47"/>
      <c r="BD832" s="47"/>
      <c r="BE832" s="46"/>
      <c r="BG832" s="56"/>
      <c r="BH832" s="56"/>
      <c r="BI832" s="56"/>
      <c r="BJ832" s="56"/>
      <c r="BK832" s="56"/>
      <c r="BM832" s="56"/>
      <c r="BN832" s="56"/>
      <c r="BO832" s="56"/>
      <c r="BP832" s="56"/>
      <c r="BQ832" s="56"/>
    </row>
    <row r="833" spans="45:69">
      <c r="AV833" s="44"/>
      <c r="AW833" s="45"/>
      <c r="AX833" s="56"/>
      <c r="AY833" s="56"/>
      <c r="AZ833" s="56"/>
      <c r="BA833" s="46"/>
      <c r="BB833" s="56"/>
      <c r="BC833" s="47"/>
      <c r="BD833" s="47"/>
      <c r="BE833" s="46"/>
      <c r="BG833" s="56"/>
      <c r="BH833" s="56"/>
      <c r="BI833" s="56"/>
      <c r="BJ833" s="56"/>
      <c r="BK833" s="56"/>
      <c r="BM833" s="56"/>
      <c r="BN833" s="56"/>
      <c r="BO833" s="56"/>
      <c r="BP833" s="56"/>
      <c r="BQ833" s="56"/>
    </row>
    <row r="834" spans="45:69">
      <c r="AV834" s="44"/>
      <c r="AW834" s="45"/>
      <c r="AX834" s="56"/>
      <c r="AY834" s="56"/>
      <c r="AZ834" s="56"/>
      <c r="BA834" s="46"/>
      <c r="BB834" s="56"/>
      <c r="BC834" s="47"/>
      <c r="BD834" s="47"/>
      <c r="BE834" s="46"/>
      <c r="BG834" s="56"/>
      <c r="BH834" s="56"/>
      <c r="BI834" s="56"/>
      <c r="BJ834" s="56"/>
      <c r="BK834" s="56"/>
      <c r="BM834" s="56"/>
      <c r="BN834" s="56"/>
      <c r="BO834" s="56"/>
      <c r="BP834" s="56"/>
      <c r="BQ834" s="56"/>
    </row>
    <row r="835" spans="45:69">
      <c r="AV835" s="44"/>
      <c r="AW835" s="45"/>
      <c r="AX835" s="56"/>
      <c r="AY835" s="56"/>
      <c r="AZ835" s="56"/>
      <c r="BA835" s="46"/>
      <c r="BB835" s="56"/>
      <c r="BC835" s="47"/>
      <c r="BD835" s="47"/>
      <c r="BE835" s="46"/>
      <c r="BG835" s="56"/>
      <c r="BH835" s="56"/>
      <c r="BI835" s="56"/>
      <c r="BJ835" s="56"/>
      <c r="BK835" s="56"/>
      <c r="BM835" s="56"/>
      <c r="BN835" s="56"/>
      <c r="BO835" s="56"/>
      <c r="BP835" s="56"/>
      <c r="BQ835" s="56"/>
    </row>
    <row r="836" spans="45:69">
      <c r="AV836" s="44"/>
      <c r="AW836" s="45"/>
      <c r="AX836" s="56"/>
      <c r="AY836" s="56"/>
      <c r="AZ836" s="56"/>
      <c r="BA836" s="46"/>
      <c r="BB836" s="56"/>
      <c r="BC836" s="47"/>
      <c r="BD836" s="47"/>
      <c r="BE836" s="46"/>
      <c r="BG836" s="56"/>
      <c r="BH836" s="56"/>
      <c r="BI836" s="56"/>
      <c r="BJ836" s="56"/>
      <c r="BK836" s="56"/>
      <c r="BM836" s="56"/>
      <c r="BN836" s="56"/>
      <c r="BO836" s="56"/>
      <c r="BP836" s="56"/>
      <c r="BQ836" s="56"/>
    </row>
    <row r="837" spans="45:69">
      <c r="AV837" s="44"/>
      <c r="AW837" s="45"/>
      <c r="AX837" s="56"/>
      <c r="AY837" s="56"/>
      <c r="AZ837" s="56"/>
      <c r="BA837" s="46"/>
      <c r="BB837" s="56"/>
      <c r="BC837" s="47"/>
      <c r="BD837" s="47"/>
      <c r="BE837" s="46"/>
      <c r="BG837" s="56"/>
      <c r="BH837" s="56"/>
      <c r="BI837" s="56"/>
      <c r="BJ837" s="56"/>
      <c r="BK837" s="56"/>
      <c r="BM837" s="56"/>
      <c r="BN837" s="56"/>
      <c r="BO837" s="56"/>
      <c r="BP837" s="56"/>
      <c r="BQ837" s="56"/>
    </row>
    <row r="838" spans="45:69">
      <c r="AV838" s="44"/>
      <c r="AW838" s="45"/>
      <c r="AX838" s="56"/>
      <c r="AY838" s="56"/>
      <c r="AZ838" s="56"/>
      <c r="BA838" s="46"/>
      <c r="BB838" s="56"/>
      <c r="BC838" s="47"/>
      <c r="BD838" s="47"/>
      <c r="BE838" s="46"/>
      <c r="BG838" s="56"/>
      <c r="BH838" s="56"/>
      <c r="BI838" s="56"/>
      <c r="BJ838" s="56"/>
      <c r="BK838" s="56"/>
      <c r="BM838" s="56"/>
      <c r="BN838" s="56"/>
      <c r="BO838" s="56"/>
      <c r="BP838" s="56"/>
      <c r="BQ838" s="56"/>
    </row>
    <row r="839" spans="45:69">
      <c r="AY839" s="47"/>
      <c r="AZ839" s="56"/>
      <c r="BA839" s="46"/>
      <c r="BB839" s="56"/>
      <c r="BC839" s="47"/>
      <c r="BD839" s="47"/>
      <c r="BE839" s="46"/>
      <c r="BK839" s="56"/>
      <c r="BQ839" s="56"/>
    </row>
    <row r="840" spans="45:69">
      <c r="AU840" s="42"/>
      <c r="AZ840" s="56"/>
      <c r="BB840" s="56"/>
      <c r="BG840" s="56"/>
      <c r="BH840" s="56"/>
      <c r="BJ840" s="56"/>
      <c r="BK840" s="56"/>
    </row>
    <row r="841" spans="45:69">
      <c r="AZ841" s="56"/>
      <c r="BB841" s="56"/>
    </row>
    <row r="842" spans="45:69">
      <c r="AS842" s="42"/>
      <c r="AZ842" s="56"/>
      <c r="BB842" s="56"/>
      <c r="BI842" s="56"/>
    </row>
    <row r="843" spans="45:69">
      <c r="AZ843" s="56"/>
      <c r="BB843" s="56"/>
    </row>
    <row r="844" spans="45:69">
      <c r="AY844" s="56"/>
      <c r="BB844" s="56"/>
    </row>
    <row r="845" spans="45:69">
      <c r="AY845" s="42"/>
      <c r="AZ845" s="56"/>
      <c r="BB845" s="56"/>
    </row>
    <row r="846" spans="45:69">
      <c r="AY846" s="42"/>
      <c r="AZ846" s="56"/>
      <c r="BB846" s="56"/>
    </row>
    <row r="847" spans="45:69">
      <c r="AZ847" s="56"/>
      <c r="BB847" s="56"/>
      <c r="BD847" s="42"/>
    </row>
    <row r="848" spans="45:69">
      <c r="AZ848" s="56"/>
      <c r="BB848" s="56"/>
      <c r="BD848" s="42"/>
    </row>
    <row r="849" spans="45:75">
      <c r="AS849" s="42"/>
      <c r="AZ849" s="56"/>
      <c r="BB849" s="56"/>
      <c r="BD849" s="42"/>
    </row>
    <row r="850" spans="45:75">
      <c r="AZ850" s="56"/>
      <c r="BB850" s="56"/>
    </row>
    <row r="851" spans="45:75">
      <c r="AS851" s="49"/>
      <c r="AT851" s="49"/>
      <c r="AU851" s="49"/>
      <c r="AV851" s="49"/>
      <c r="AW851" s="49"/>
      <c r="AX851" s="49"/>
      <c r="AY851" s="49"/>
      <c r="AZ851" s="57"/>
      <c r="BA851" s="49"/>
      <c r="BB851" s="57"/>
      <c r="BC851" s="49"/>
      <c r="BD851" s="49"/>
      <c r="BE851" s="49"/>
    </row>
    <row r="852" spans="45:75">
      <c r="AX852" s="42"/>
      <c r="AZ852" s="56"/>
      <c r="BB852" s="56"/>
    </row>
    <row r="853" spans="45:75">
      <c r="AX853" s="49"/>
      <c r="AY853" s="49"/>
      <c r="AZ853" s="57"/>
      <c r="BA853" s="49"/>
      <c r="BB853" s="56"/>
      <c r="BC853" s="44"/>
      <c r="BD853" s="44"/>
    </row>
    <row r="854" spans="45:75">
      <c r="AV854" s="44"/>
      <c r="AW854" s="44"/>
      <c r="AZ854" s="58"/>
      <c r="BA854" s="44"/>
      <c r="BB854" s="56"/>
      <c r="BC854" s="44"/>
      <c r="BD854" s="44"/>
      <c r="BE854" s="44"/>
      <c r="BG854" s="49"/>
      <c r="BH854" s="49"/>
      <c r="BI854" s="42"/>
      <c r="BM854" s="49"/>
      <c r="BN854" s="49"/>
      <c r="BP854" s="49"/>
      <c r="BQ854" s="49"/>
      <c r="BR854" s="42"/>
      <c r="BV854" s="49"/>
      <c r="BW854" s="49"/>
    </row>
    <row r="855" spans="45:75">
      <c r="AV855" s="44"/>
      <c r="AW855" s="44"/>
      <c r="AX855" s="44"/>
      <c r="AY855" s="44"/>
      <c r="AZ855" s="58"/>
      <c r="BA855" s="44"/>
      <c r="BB855" s="58"/>
      <c r="BC855" s="44"/>
      <c r="BD855" s="44"/>
      <c r="BE855" s="44"/>
      <c r="BH855" s="44"/>
      <c r="BI855" s="44"/>
      <c r="BJ855" s="44"/>
      <c r="BK855" s="44"/>
      <c r="BL855" s="44"/>
      <c r="BM855" s="44"/>
      <c r="BQ855" s="44"/>
      <c r="BR855" s="44"/>
      <c r="BS855" s="44"/>
      <c r="BT855" s="44"/>
      <c r="BU855" s="44"/>
      <c r="BV855" s="44"/>
    </row>
    <row r="856" spans="45:75">
      <c r="AS856" s="44"/>
      <c r="AU856" s="42"/>
      <c r="AV856" s="44"/>
      <c r="AW856" s="44"/>
      <c r="AX856" s="44"/>
      <c r="AY856" s="44"/>
      <c r="AZ856" s="58"/>
      <c r="BA856" s="44"/>
      <c r="BB856" s="58"/>
      <c r="BC856" s="44"/>
      <c r="BD856" s="44"/>
      <c r="BE856" s="44"/>
      <c r="BG856" s="44"/>
      <c r="BH856" s="44"/>
      <c r="BI856" s="44"/>
      <c r="BJ856" s="44"/>
      <c r="BK856" s="44"/>
      <c r="BL856" s="44"/>
      <c r="BM856" s="44"/>
      <c r="BN856" s="44"/>
      <c r="BP856" s="44"/>
      <c r="BQ856" s="44"/>
      <c r="BR856" s="44"/>
      <c r="BS856" s="44"/>
      <c r="BT856" s="44"/>
      <c r="BU856" s="44"/>
      <c r="BV856" s="44"/>
      <c r="BW856" s="44"/>
    </row>
    <row r="857" spans="45:75">
      <c r="AS857" s="44"/>
      <c r="AU857" s="42"/>
      <c r="AV857" s="44"/>
      <c r="AW857" s="44"/>
      <c r="AX857" s="44"/>
      <c r="AY857" s="44"/>
      <c r="AZ857" s="58"/>
      <c r="BA857" s="44"/>
      <c r="BB857" s="58"/>
      <c r="BC857" s="44"/>
      <c r="BD857" s="44"/>
      <c r="BE857" s="44"/>
      <c r="BG857" s="44"/>
      <c r="BH857" s="44"/>
      <c r="BI857" s="44"/>
      <c r="BJ857" s="44"/>
      <c r="BK857" s="44"/>
      <c r="BL857" s="44"/>
      <c r="BM857" s="44"/>
      <c r="BN857" s="44"/>
      <c r="BP857" s="44"/>
      <c r="BQ857" s="44"/>
      <c r="BR857" s="44"/>
      <c r="BS857" s="44"/>
      <c r="BT857" s="44"/>
      <c r="BU857" s="44"/>
      <c r="BV857" s="44"/>
      <c r="BW857" s="44"/>
    </row>
    <row r="858" spans="45:75">
      <c r="AS858" s="49"/>
      <c r="AT858" s="49"/>
      <c r="AU858" s="49"/>
      <c r="AV858" s="49"/>
      <c r="AW858" s="49"/>
      <c r="AX858" s="49"/>
      <c r="AY858" s="49"/>
      <c r="AZ858" s="57"/>
      <c r="BA858" s="49"/>
      <c r="BB858" s="57"/>
      <c r="BC858" s="49"/>
      <c r="BD858" s="49"/>
      <c r="BE858" s="49"/>
      <c r="BG858" s="49"/>
      <c r="BH858" s="49"/>
      <c r="BI858" s="49"/>
      <c r="BJ858" s="49"/>
      <c r="BK858" s="49"/>
      <c r="BL858" s="49"/>
      <c r="BM858" s="49"/>
      <c r="BN858" s="49"/>
      <c r="BP858" s="49"/>
      <c r="BQ858" s="49"/>
      <c r="BR858" s="49"/>
      <c r="BS858" s="49"/>
      <c r="BT858" s="49"/>
      <c r="BU858" s="49"/>
      <c r="BV858" s="49"/>
      <c r="BW858" s="49"/>
    </row>
    <row r="859" spans="45:75">
      <c r="AV859" s="44"/>
      <c r="AW859" s="44"/>
      <c r="AX859" s="44"/>
      <c r="AY859" s="44"/>
      <c r="AZ859" s="58"/>
      <c r="BA859" s="44"/>
      <c r="BB859" s="58"/>
      <c r="BC859" s="44"/>
      <c r="BD859" s="44"/>
      <c r="BE859" s="44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</row>
    <row r="860" spans="45:75">
      <c r="AU860" s="42"/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</row>
    <row r="861" spans="45:75"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</row>
    <row r="862" spans="45:75"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</row>
    <row r="863" spans="45:75"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</row>
    <row r="864" spans="45:75"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</row>
    <row r="865" spans="49:75"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</row>
    <row r="866" spans="49:75"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</row>
    <row r="867" spans="49:75"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</row>
    <row r="868" spans="49:75"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</row>
    <row r="869" spans="49:75"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</row>
    <row r="870" spans="49:75"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</row>
    <row r="871" spans="49:75"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</row>
    <row r="872" spans="49:75"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</row>
    <row r="873" spans="49:75"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</row>
    <row r="874" spans="49:75"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</row>
    <row r="875" spans="49:75"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</row>
    <row r="876" spans="49:75"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</row>
    <row r="877" spans="49:75"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</row>
    <row r="878" spans="49:75"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</row>
    <row r="879" spans="49:75"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</row>
    <row r="880" spans="49:75"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</row>
    <row r="881" spans="45:75">
      <c r="AW881" s="45"/>
      <c r="AX881" s="56"/>
      <c r="AY881" s="56"/>
      <c r="AZ881" s="56"/>
      <c r="BA881" s="51"/>
      <c r="BB881" s="56"/>
      <c r="BC881" s="56"/>
      <c r="BD881" s="56"/>
      <c r="BE881" s="51"/>
      <c r="BG881" s="49"/>
      <c r="BH881" s="49"/>
      <c r="BI881" s="42"/>
      <c r="BM881" s="49"/>
      <c r="BN881" s="49"/>
      <c r="BO881" s="56"/>
      <c r="BP881" s="49"/>
      <c r="BQ881" s="49"/>
      <c r="BR881" s="42"/>
      <c r="BV881" s="49"/>
      <c r="BW881" s="49"/>
    </row>
    <row r="882" spans="45:75">
      <c r="AU882" s="42"/>
      <c r="AV882" s="44"/>
      <c r="AW882" s="45"/>
      <c r="AX882" s="56"/>
      <c r="AY882" s="56"/>
      <c r="AZ882" s="56"/>
      <c r="BA882" s="51"/>
      <c r="BB882" s="56"/>
      <c r="BC882" s="56"/>
      <c r="BD882" s="56"/>
      <c r="BE882" s="51"/>
      <c r="BG882" s="58"/>
      <c r="BH882" s="56"/>
      <c r="BI882" s="56"/>
      <c r="BJ882" s="56"/>
      <c r="BK882" s="58"/>
      <c r="BL882" s="59"/>
      <c r="BM882" s="56"/>
      <c r="BN882" s="58"/>
      <c r="BO882" s="56"/>
      <c r="BP882" s="58"/>
      <c r="BQ882" s="56"/>
      <c r="BR882" s="56"/>
      <c r="BS882" s="56"/>
      <c r="BT882" s="58"/>
      <c r="BU882" s="59"/>
      <c r="BV882" s="56"/>
      <c r="BW882" s="58"/>
    </row>
    <row r="883" spans="45:75">
      <c r="AV883" s="44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9"/>
      <c r="BM883" s="56"/>
      <c r="BN883" s="56"/>
      <c r="BO883" s="56"/>
      <c r="BP883" s="56"/>
      <c r="BQ883" s="56"/>
      <c r="BR883" s="56"/>
      <c r="BS883" s="56"/>
      <c r="BT883" s="56"/>
      <c r="BU883" s="59"/>
      <c r="BV883" s="56"/>
      <c r="BW883" s="56"/>
    </row>
    <row r="884" spans="45:75">
      <c r="AV884" s="44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9"/>
      <c r="BM884" s="56"/>
      <c r="BN884" s="56"/>
      <c r="BO884" s="56"/>
      <c r="BP884" s="56"/>
      <c r="BQ884" s="56"/>
      <c r="BR884" s="56"/>
      <c r="BS884" s="56"/>
      <c r="BT884" s="56"/>
      <c r="BU884" s="59"/>
      <c r="BV884" s="56"/>
      <c r="BW884" s="56"/>
    </row>
    <row r="885" spans="45:75">
      <c r="AV885" s="44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9"/>
      <c r="BM885" s="56"/>
      <c r="BN885" s="56"/>
      <c r="BO885" s="56"/>
      <c r="BP885" s="56"/>
      <c r="BQ885" s="56"/>
      <c r="BR885" s="56"/>
      <c r="BS885" s="56"/>
      <c r="BT885" s="56"/>
      <c r="BU885" s="59"/>
      <c r="BV885" s="56"/>
      <c r="BW885" s="56"/>
    </row>
    <row r="886" spans="45:75"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</row>
    <row r="887" spans="45:75">
      <c r="AU887" s="42"/>
    </row>
    <row r="888" spans="45:75">
      <c r="AU888" s="42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</row>
    <row r="889" spans="45:75">
      <c r="AS889" s="42"/>
      <c r="AZ889" s="56"/>
      <c r="BB889" s="56"/>
    </row>
    <row r="890" spans="45:75">
      <c r="AZ890" s="56"/>
      <c r="BB890" s="56"/>
      <c r="BO890" s="56"/>
      <c r="BP890" s="56"/>
      <c r="BQ890" s="56"/>
      <c r="BR890" s="56"/>
      <c r="BS890" s="56"/>
      <c r="BT890" s="56"/>
      <c r="BU890" s="56"/>
      <c r="BV890" s="56"/>
    </row>
    <row r="891" spans="45:75">
      <c r="AY891" s="56"/>
      <c r="AZ891" s="56"/>
      <c r="BB891" s="56"/>
      <c r="BO891" s="56"/>
      <c r="BP891" s="56"/>
      <c r="BQ891" s="56"/>
      <c r="BR891" s="56"/>
      <c r="BS891" s="56"/>
      <c r="BT891" s="56"/>
      <c r="BU891" s="56"/>
      <c r="BV891" s="56"/>
    </row>
    <row r="892" spans="45:75">
      <c r="AY892" s="42"/>
      <c r="AZ892" s="56"/>
      <c r="BB892" s="56"/>
      <c r="BO892" s="56"/>
      <c r="BP892" s="56"/>
      <c r="BQ892" s="56"/>
      <c r="BR892" s="56"/>
      <c r="BS892" s="56"/>
      <c r="BT892" s="56"/>
      <c r="BU892" s="56"/>
      <c r="BV892" s="56"/>
    </row>
    <row r="893" spans="45:75">
      <c r="AY893" s="42"/>
      <c r="AZ893" s="56"/>
      <c r="BB893" s="56"/>
      <c r="BO893" s="56"/>
      <c r="BP893" s="56"/>
      <c r="BQ893" s="56"/>
      <c r="BR893" s="56"/>
      <c r="BS893" s="56"/>
      <c r="BT893" s="56"/>
      <c r="BU893" s="56"/>
      <c r="BV893" s="56"/>
    </row>
    <row r="894" spans="45:75">
      <c r="AZ894" s="56"/>
      <c r="BB894" s="56"/>
      <c r="BD894" s="42"/>
      <c r="BO894" s="56"/>
      <c r="BP894" s="56"/>
      <c r="BQ894" s="56"/>
      <c r="BR894" s="56"/>
      <c r="BS894" s="56"/>
      <c r="BT894" s="56"/>
      <c r="BU894" s="56"/>
      <c r="BV894" s="56"/>
    </row>
    <row r="895" spans="45:75">
      <c r="AZ895" s="56"/>
      <c r="BB895" s="56"/>
      <c r="BD895" s="42"/>
      <c r="BO895" s="56"/>
      <c r="BP895" s="56"/>
      <c r="BQ895" s="56"/>
      <c r="BR895" s="56"/>
      <c r="BS895" s="56"/>
      <c r="BT895" s="56"/>
      <c r="BU895" s="56"/>
      <c r="BV895" s="56"/>
    </row>
    <row r="896" spans="45:75">
      <c r="AS896" s="42"/>
      <c r="AZ896" s="56"/>
      <c r="BB896" s="56"/>
      <c r="BD896" s="42"/>
      <c r="BO896" s="56"/>
      <c r="BP896" s="56"/>
      <c r="BQ896" s="56"/>
      <c r="BR896" s="56"/>
      <c r="BS896" s="56"/>
      <c r="BT896" s="56"/>
      <c r="BU896" s="56"/>
      <c r="BV896" s="56"/>
    </row>
    <row r="897" spans="45:74">
      <c r="AZ897" s="56"/>
      <c r="BB897" s="56"/>
      <c r="BO897" s="56"/>
      <c r="BP897" s="56"/>
      <c r="BQ897" s="56"/>
      <c r="BR897" s="56"/>
      <c r="BS897" s="56"/>
      <c r="BT897" s="56"/>
      <c r="BU897" s="56"/>
      <c r="BV897" s="56"/>
    </row>
    <row r="898" spans="45:74">
      <c r="AS898" s="49"/>
      <c r="AT898" s="49"/>
      <c r="AU898" s="49"/>
      <c r="AV898" s="49"/>
      <c r="AW898" s="49"/>
      <c r="AX898" s="49"/>
      <c r="AY898" s="49"/>
      <c r="AZ898" s="57"/>
      <c r="BA898" s="49"/>
      <c r="BB898" s="57"/>
      <c r="BC898" s="49"/>
      <c r="BD898" s="49"/>
      <c r="BE898" s="49"/>
      <c r="BO898" s="56"/>
      <c r="BP898" s="56"/>
      <c r="BQ898" s="56"/>
      <c r="BR898" s="56"/>
      <c r="BS898" s="56"/>
      <c r="BT898" s="56"/>
      <c r="BU898" s="56"/>
      <c r="BV898" s="56"/>
    </row>
    <row r="899" spans="45:74">
      <c r="AX899" s="42"/>
      <c r="AZ899" s="56"/>
      <c r="BB899" s="56"/>
      <c r="BO899" s="56"/>
      <c r="BP899" s="56"/>
      <c r="BQ899" s="56"/>
      <c r="BR899" s="56"/>
      <c r="BS899" s="56"/>
      <c r="BT899" s="56"/>
      <c r="BU899" s="56"/>
      <c r="BV899" s="56"/>
    </row>
    <row r="900" spans="45:74">
      <c r="AX900" s="49"/>
      <c r="AY900" s="49"/>
      <c r="AZ900" s="57"/>
      <c r="BA900" s="49"/>
      <c r="BB900" s="56"/>
      <c r="BC900" s="44"/>
      <c r="BD900" s="44"/>
      <c r="BO900" s="56"/>
      <c r="BP900" s="56"/>
      <c r="BQ900" s="56"/>
      <c r="BR900" s="56"/>
      <c r="BS900" s="56"/>
      <c r="BT900" s="56"/>
      <c r="BU900" s="56"/>
      <c r="BV900" s="56"/>
    </row>
    <row r="901" spans="45:74">
      <c r="AV901" s="44"/>
      <c r="AW901" s="44"/>
      <c r="AZ901" s="58"/>
      <c r="BA901" s="44"/>
      <c r="BB901" s="56"/>
      <c r="BC901" s="44"/>
      <c r="BD901" s="44"/>
      <c r="BE901" s="44"/>
      <c r="BG901" s="49"/>
      <c r="BH901" s="42"/>
      <c r="BK901" s="49"/>
      <c r="BM901" s="49"/>
      <c r="BN901" s="42"/>
      <c r="BQ901" s="49"/>
    </row>
    <row r="902" spans="45:74">
      <c r="AV902" s="44"/>
      <c r="AW902" s="44"/>
      <c r="AX902" s="44"/>
      <c r="AY902" s="44"/>
      <c r="AZ902" s="58"/>
      <c r="BA902" s="44"/>
      <c r="BB902" s="58"/>
      <c r="BC902" s="44"/>
      <c r="BD902" s="44"/>
      <c r="BE902" s="44"/>
      <c r="BH902" s="44"/>
      <c r="BI902" s="44"/>
      <c r="BN902" s="44"/>
      <c r="BO902" s="44"/>
    </row>
    <row r="903" spans="45:74">
      <c r="AS903" s="44"/>
      <c r="AU903" s="42"/>
      <c r="AV903" s="44"/>
      <c r="AW903" s="44"/>
      <c r="AX903" s="44"/>
      <c r="AY903" s="44"/>
      <c r="AZ903" s="58"/>
      <c r="BA903" s="44"/>
      <c r="BB903" s="58"/>
      <c r="BC903" s="44"/>
      <c r="BD903" s="44"/>
      <c r="BE903" s="44"/>
      <c r="BG903" s="44"/>
      <c r="BH903" s="44"/>
      <c r="BI903" s="44"/>
      <c r="BJ903" s="44"/>
      <c r="BK903" s="44"/>
      <c r="BM903" s="44"/>
      <c r="BN903" s="44"/>
      <c r="BO903" s="44"/>
      <c r="BP903" s="44"/>
      <c r="BQ903" s="44"/>
    </row>
    <row r="904" spans="45:74">
      <c r="AS904" s="44"/>
      <c r="AU904" s="42"/>
      <c r="AV904" s="44"/>
      <c r="AW904" s="44"/>
      <c r="AX904" s="44"/>
      <c r="AY904" s="44"/>
      <c r="AZ904" s="58"/>
      <c r="BA904" s="44"/>
      <c r="BB904" s="58"/>
      <c r="BC904" s="44"/>
      <c r="BD904" s="44"/>
      <c r="BE904" s="44"/>
      <c r="BG904" s="44"/>
      <c r="BH904" s="44"/>
      <c r="BI904" s="44"/>
      <c r="BJ904" s="44"/>
      <c r="BK904" s="44"/>
      <c r="BM904" s="44"/>
      <c r="BN904" s="44"/>
      <c r="BO904" s="44"/>
      <c r="BP904" s="44"/>
      <c r="BQ904" s="44"/>
    </row>
    <row r="905" spans="45:74">
      <c r="AS905" s="49"/>
      <c r="AT905" s="49"/>
      <c r="AU905" s="49"/>
      <c r="AV905" s="49"/>
      <c r="AW905" s="49"/>
      <c r="AX905" s="49"/>
      <c r="AY905" s="49"/>
      <c r="AZ905" s="57"/>
      <c r="BA905" s="49"/>
      <c r="BB905" s="57"/>
      <c r="BC905" s="49"/>
      <c r="BD905" s="49"/>
      <c r="BE905" s="49"/>
      <c r="BG905" s="49"/>
      <c r="BH905" s="49"/>
      <c r="BI905" s="49"/>
      <c r="BJ905" s="49"/>
      <c r="BK905" s="49"/>
      <c r="BM905" s="49"/>
      <c r="BN905" s="49"/>
      <c r="BO905" s="49"/>
      <c r="BP905" s="49"/>
      <c r="BQ905" s="49"/>
    </row>
    <row r="906" spans="45:74">
      <c r="AV906" s="44"/>
      <c r="AW906" s="44"/>
      <c r="AX906" s="44"/>
      <c r="AY906" s="44"/>
      <c r="AZ906" s="58"/>
      <c r="BA906" s="44"/>
      <c r="BB906" s="58"/>
      <c r="BC906" s="44"/>
      <c r="BD906" s="44"/>
      <c r="BE906" s="44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</row>
    <row r="907" spans="45:74">
      <c r="AT907" s="42"/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</row>
    <row r="908" spans="45:74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</row>
    <row r="909" spans="45:74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</row>
    <row r="910" spans="45:74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</row>
    <row r="911" spans="45:74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</row>
    <row r="912" spans="45:74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</row>
    <row r="913" spans="46:71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</row>
    <row r="914" spans="46:71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</row>
    <row r="915" spans="46:71">
      <c r="AV915" s="45"/>
      <c r="AW915" s="45"/>
      <c r="AX915" s="56"/>
      <c r="AY915" s="56"/>
      <c r="AZ915" s="56"/>
      <c r="BA915" s="51"/>
      <c r="BB915" s="56"/>
      <c r="BC915" s="56"/>
      <c r="BD915" s="56"/>
      <c r="BE915" s="51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</row>
    <row r="916" spans="46:71"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</row>
    <row r="917" spans="46:71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</row>
    <row r="918" spans="46:71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</row>
    <row r="919" spans="46:71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</row>
    <row r="920" spans="46:71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</row>
    <row r="921" spans="46:71"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</row>
    <row r="922" spans="46:71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</row>
    <row r="923" spans="46:71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</row>
    <row r="924" spans="46:71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46:71">
      <c r="AZ925" s="56"/>
      <c r="BB925" s="56"/>
      <c r="BC925" s="56"/>
      <c r="BD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46:71">
      <c r="AT926" s="42"/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6:71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6:71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8:57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8:57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8:57">
      <c r="AV931" s="45"/>
      <c r="AW931" s="45"/>
      <c r="AX931" s="56"/>
      <c r="AY931" s="56"/>
      <c r="AZ931" s="56"/>
      <c r="BA931" s="51"/>
      <c r="BB931" s="56"/>
      <c r="BC931" s="56"/>
      <c r="BD931" s="56"/>
      <c r="BE931" s="51"/>
    </row>
    <row r="932" spans="48:57"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8:57">
      <c r="AV933" s="45"/>
      <c r="AW933" s="45"/>
      <c r="AX933" s="56"/>
      <c r="AY933" s="56"/>
      <c r="AZ933" s="56"/>
      <c r="BA933" s="51"/>
      <c r="BB933" s="56"/>
      <c r="BC933" s="56"/>
      <c r="BD933" s="56"/>
      <c r="BE933" s="51"/>
    </row>
    <row r="934" spans="48:57"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8:57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8:57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8:57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8:57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8:57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8:57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8:57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8:57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8:57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8:57">
      <c r="BB944" s="56"/>
    </row>
    <row r="945" spans="45:57">
      <c r="AU945" s="42"/>
      <c r="BB945" s="56"/>
    </row>
    <row r="946" spans="45:57">
      <c r="AU946" s="42"/>
    </row>
    <row r="947" spans="45:57">
      <c r="AU947" s="42"/>
      <c r="BB947" s="56"/>
    </row>
    <row r="948" spans="45:57">
      <c r="AS948" s="42"/>
      <c r="AZ948" s="56"/>
      <c r="BB948" s="56"/>
    </row>
    <row r="949" spans="45:57">
      <c r="AZ949" s="56"/>
      <c r="BB949" s="56"/>
    </row>
    <row r="950" spans="45:57">
      <c r="AY950" s="56"/>
      <c r="AZ950" s="56"/>
      <c r="BB950" s="56"/>
    </row>
    <row r="951" spans="45:57">
      <c r="AY951" s="42"/>
      <c r="AZ951" s="56"/>
      <c r="BB951" s="56"/>
    </row>
    <row r="952" spans="45:57">
      <c r="AY952" s="42"/>
      <c r="AZ952" s="56"/>
      <c r="BB952" s="56"/>
    </row>
    <row r="953" spans="45:57">
      <c r="AZ953" s="56"/>
      <c r="BB953" s="56"/>
      <c r="BD953" s="42"/>
    </row>
    <row r="954" spans="45:57">
      <c r="AZ954" s="56"/>
      <c r="BB954" s="56"/>
      <c r="BD954" s="42"/>
    </row>
    <row r="955" spans="45:57">
      <c r="AS955" s="42"/>
      <c r="AZ955" s="56"/>
      <c r="BB955" s="56"/>
      <c r="BD955" s="42"/>
    </row>
    <row r="956" spans="45:57">
      <c r="AZ956" s="56"/>
      <c r="BB956" s="56"/>
    </row>
    <row r="957" spans="45:57">
      <c r="AS957" s="49"/>
      <c r="AT957" s="49"/>
      <c r="AU957" s="49"/>
      <c r="AV957" s="49"/>
      <c r="AW957" s="49"/>
      <c r="AX957" s="49"/>
      <c r="AY957" s="49"/>
      <c r="AZ957" s="57"/>
      <c r="BA957" s="49"/>
      <c r="BB957" s="57"/>
      <c r="BC957" s="49"/>
      <c r="BD957" s="49"/>
      <c r="BE957" s="49"/>
    </row>
    <row r="958" spans="45:57">
      <c r="AX958" s="42"/>
      <c r="AZ958" s="56"/>
      <c r="BB958" s="56"/>
    </row>
    <row r="959" spans="45:57">
      <c r="AX959" s="49"/>
      <c r="AY959" s="49"/>
      <c r="AZ959" s="57"/>
      <c r="BA959" s="49"/>
      <c r="BB959" s="56"/>
      <c r="BC959" s="44"/>
      <c r="BD959" s="44"/>
    </row>
    <row r="960" spans="45:57">
      <c r="AV960" s="44"/>
      <c r="AW960" s="44"/>
      <c r="AZ960" s="58"/>
      <c r="BA960" s="44"/>
      <c r="BB960" s="56"/>
      <c r="BC960" s="44"/>
      <c r="BD960" s="44"/>
      <c r="BE960" s="44"/>
    </row>
    <row r="961" spans="45:57">
      <c r="AV961" s="44"/>
      <c r="AW961" s="44"/>
      <c r="AX961" s="44"/>
      <c r="AY961" s="44"/>
      <c r="AZ961" s="58"/>
      <c r="BA961" s="44"/>
      <c r="BB961" s="58"/>
      <c r="BC961" s="44"/>
      <c r="BD961" s="44"/>
      <c r="BE961" s="44"/>
    </row>
    <row r="962" spans="45:57">
      <c r="AS962" s="44"/>
      <c r="AU962" s="42"/>
      <c r="AV962" s="44"/>
      <c r="AW962" s="44"/>
      <c r="AX962" s="44"/>
      <c r="AY962" s="44"/>
      <c r="AZ962" s="58"/>
      <c r="BA962" s="44"/>
      <c r="BB962" s="58"/>
      <c r="BC962" s="44"/>
      <c r="BD962" s="44"/>
      <c r="BE962" s="44"/>
    </row>
    <row r="963" spans="45:57">
      <c r="AS963" s="44"/>
      <c r="AU963" s="42"/>
      <c r="AV963" s="44"/>
      <c r="AW963" s="44"/>
      <c r="AX963" s="44"/>
      <c r="AY963" s="44"/>
      <c r="AZ963" s="58"/>
      <c r="BA963" s="44"/>
      <c r="BB963" s="58"/>
      <c r="BC963" s="44"/>
      <c r="BD963" s="44"/>
      <c r="BE963" s="44"/>
    </row>
    <row r="964" spans="45:57">
      <c r="AS964" s="49"/>
      <c r="AT964" s="49"/>
      <c r="AU964" s="49"/>
      <c r="AV964" s="49"/>
      <c r="AW964" s="49"/>
      <c r="AX964" s="49"/>
      <c r="AY964" s="49"/>
      <c r="AZ964" s="57"/>
      <c r="BA964" s="49"/>
      <c r="BB964" s="57"/>
      <c r="BC964" s="49"/>
      <c r="BD964" s="49"/>
      <c r="BE964" s="49"/>
    </row>
    <row r="965" spans="45:57">
      <c r="AV965" s="44"/>
      <c r="AW965" s="44"/>
      <c r="AX965" s="44"/>
      <c r="AY965" s="44"/>
      <c r="AZ965" s="58"/>
      <c r="BA965" s="44"/>
      <c r="BB965" s="58"/>
      <c r="BC965" s="44"/>
      <c r="BD965" s="44"/>
      <c r="BE965" s="44"/>
    </row>
    <row r="966" spans="45:57">
      <c r="AT966" s="42"/>
      <c r="AV966" s="45"/>
      <c r="AW966" s="45"/>
      <c r="AX966" s="56"/>
      <c r="AY966" s="56"/>
      <c r="AZ966" s="56"/>
      <c r="BA966" s="51"/>
      <c r="BB966" s="56"/>
      <c r="BC966" s="56"/>
      <c r="BD966" s="56"/>
      <c r="BE966" s="51"/>
    </row>
    <row r="967" spans="45:57">
      <c r="AV967" s="45"/>
      <c r="AW967" s="45"/>
      <c r="AX967" s="56"/>
      <c r="AY967" s="56"/>
      <c r="AZ967" s="56"/>
      <c r="BA967" s="51"/>
      <c r="BB967" s="56"/>
      <c r="BC967" s="56"/>
      <c r="BD967" s="56"/>
      <c r="BE967" s="51"/>
    </row>
    <row r="968" spans="45:57">
      <c r="AV968" s="45"/>
      <c r="AW968" s="45"/>
      <c r="AX968" s="56"/>
      <c r="AY968" s="56"/>
      <c r="AZ968" s="56"/>
      <c r="BA968" s="51"/>
      <c r="BB968" s="56"/>
      <c r="BC968" s="56"/>
      <c r="BD968" s="56"/>
      <c r="BE968" s="51"/>
    </row>
    <row r="969" spans="45:57">
      <c r="AV969" s="45"/>
      <c r="AW969" s="45"/>
      <c r="AX969" s="56"/>
      <c r="AY969" s="56"/>
      <c r="AZ969" s="56"/>
      <c r="BA969" s="51"/>
      <c r="BB969" s="56"/>
      <c r="BC969" s="56"/>
      <c r="BD969" s="56"/>
      <c r="BE969" s="51"/>
    </row>
    <row r="970" spans="45:57">
      <c r="AV970" s="45"/>
      <c r="AW970" s="45"/>
      <c r="AX970" s="56"/>
      <c r="AY970" s="56"/>
      <c r="AZ970" s="56"/>
      <c r="BA970" s="51"/>
      <c r="BB970" s="56"/>
      <c r="BC970" s="56"/>
      <c r="BD970" s="56"/>
      <c r="BE970" s="51"/>
    </row>
    <row r="971" spans="45:57">
      <c r="AV971" s="45"/>
      <c r="AW971" s="45"/>
      <c r="AX971" s="56"/>
      <c r="AY971" s="56"/>
      <c r="AZ971" s="56"/>
      <c r="BA971" s="51"/>
      <c r="BB971" s="56"/>
      <c r="BC971" s="56"/>
      <c r="BD971" s="56"/>
      <c r="BE971" s="51"/>
    </row>
    <row r="972" spans="45:57">
      <c r="AV972" s="45"/>
      <c r="AW972" s="45"/>
      <c r="AX972" s="56"/>
      <c r="AY972" s="56"/>
      <c r="AZ972" s="56"/>
      <c r="BA972" s="51"/>
      <c r="BB972" s="56"/>
      <c r="BC972" s="56"/>
      <c r="BD972" s="56"/>
      <c r="BE972" s="51"/>
    </row>
    <row r="973" spans="45:57">
      <c r="AV973" s="45"/>
      <c r="AW973" s="45"/>
      <c r="AX973" s="56"/>
      <c r="AY973" s="56"/>
      <c r="AZ973" s="56"/>
      <c r="BA973" s="51"/>
      <c r="BB973" s="56"/>
      <c r="BC973" s="56"/>
      <c r="BD973" s="56"/>
      <c r="BE973" s="51"/>
    </row>
    <row r="974" spans="45:57">
      <c r="AV974" s="45"/>
      <c r="AW974" s="45"/>
      <c r="AX974" s="56"/>
      <c r="AY974" s="56"/>
      <c r="AZ974" s="56"/>
      <c r="BA974" s="51"/>
      <c r="BB974" s="56"/>
      <c r="BC974" s="56"/>
      <c r="BD974" s="56"/>
      <c r="BE974" s="51"/>
    </row>
    <row r="975" spans="45:57">
      <c r="AV975" s="45"/>
      <c r="AW975" s="45"/>
      <c r="AX975" s="56"/>
      <c r="AY975" s="56"/>
      <c r="AZ975" s="56"/>
      <c r="BA975" s="51"/>
      <c r="BB975" s="56"/>
      <c r="BC975" s="56"/>
      <c r="BD975" s="56"/>
      <c r="BE975" s="51"/>
    </row>
    <row r="976" spans="45:57">
      <c r="AV976" s="45"/>
      <c r="AW976" s="45"/>
      <c r="BB976" s="56"/>
    </row>
    <row r="977" spans="45:57">
      <c r="AT977" s="42"/>
      <c r="AV977" s="45"/>
      <c r="AW977" s="45"/>
      <c r="AX977" s="56"/>
      <c r="AY977" s="56"/>
      <c r="AZ977" s="56"/>
      <c r="BA977" s="51"/>
      <c r="BB977" s="56"/>
      <c r="BC977" s="56"/>
      <c r="BD977" s="56"/>
      <c r="BE977" s="51"/>
    </row>
    <row r="978" spans="45:57">
      <c r="AV978" s="45"/>
      <c r="AW978" s="45"/>
      <c r="AX978" s="56"/>
      <c r="AY978" s="56"/>
      <c r="AZ978" s="56"/>
      <c r="BA978" s="51"/>
      <c r="BB978" s="56"/>
      <c r="BC978" s="56"/>
      <c r="BD978" s="56"/>
      <c r="BE978" s="51"/>
    </row>
    <row r="979" spans="45:57">
      <c r="AV979" s="45"/>
      <c r="AW979" s="45"/>
      <c r="AX979" s="56"/>
      <c r="AY979" s="56"/>
      <c r="AZ979" s="56"/>
      <c r="BA979" s="51"/>
      <c r="BB979" s="56"/>
      <c r="BC979" s="56"/>
      <c r="BD979" s="56"/>
      <c r="BE979" s="51"/>
    </row>
    <row r="980" spans="45:57">
      <c r="AV980" s="45"/>
      <c r="AW980" s="45"/>
      <c r="AX980" s="56"/>
      <c r="AY980" s="56"/>
      <c r="AZ980" s="56"/>
      <c r="BA980" s="51"/>
      <c r="BB980" s="56"/>
      <c r="BC980" s="56"/>
      <c r="BD980" s="56"/>
      <c r="BE980" s="51"/>
    </row>
    <row r="981" spans="45:57">
      <c r="AV981" s="45"/>
      <c r="AW981" s="45"/>
      <c r="AX981" s="56"/>
      <c r="AY981" s="56"/>
      <c r="AZ981" s="56"/>
      <c r="BA981" s="51"/>
      <c r="BB981" s="56"/>
      <c r="BC981" s="56"/>
      <c r="BD981" s="56"/>
      <c r="BE981" s="51"/>
    </row>
    <row r="982" spans="45:57">
      <c r="AV982" s="45"/>
      <c r="AW982" s="45"/>
      <c r="AX982" s="56"/>
      <c r="AY982" s="56"/>
      <c r="AZ982" s="56"/>
      <c r="BA982" s="51"/>
      <c r="BB982" s="56"/>
      <c r="BC982" s="56"/>
      <c r="BD982" s="56"/>
      <c r="BE982" s="51"/>
    </row>
    <row r="983" spans="45:57">
      <c r="AV983" s="45"/>
      <c r="AW983" s="45"/>
      <c r="AX983" s="56"/>
      <c r="AY983" s="56"/>
      <c r="AZ983" s="56"/>
      <c r="BA983" s="51"/>
      <c r="BB983" s="56"/>
      <c r="BC983" s="56"/>
      <c r="BD983" s="56"/>
      <c r="BE983" s="51"/>
    </row>
    <row r="984" spans="45:57">
      <c r="AV984" s="45"/>
      <c r="AW984" s="45"/>
      <c r="AX984" s="56"/>
      <c r="AY984" s="56"/>
      <c r="AZ984" s="56"/>
      <c r="BA984" s="51"/>
      <c r="BB984" s="56"/>
      <c r="BC984" s="56"/>
      <c r="BD984" s="56"/>
      <c r="BE984" s="51"/>
    </row>
    <row r="985" spans="45:57">
      <c r="AV985" s="45"/>
      <c r="AW985" s="45"/>
      <c r="AX985" s="56"/>
      <c r="AY985" s="56"/>
      <c r="AZ985" s="56"/>
      <c r="BA985" s="51"/>
      <c r="BB985" s="56"/>
      <c r="BC985" s="56"/>
      <c r="BD985" s="56"/>
      <c r="BE985" s="51"/>
    </row>
    <row r="986" spans="45:57">
      <c r="AV986" s="45"/>
      <c r="AW986" s="45"/>
      <c r="AX986" s="56"/>
      <c r="AY986" s="56"/>
      <c r="AZ986" s="56"/>
      <c r="BA986" s="51"/>
      <c r="BB986" s="56"/>
      <c r="BC986" s="56"/>
      <c r="BD986" s="56"/>
      <c r="BE986" s="51"/>
    </row>
    <row r="988" spans="45:57">
      <c r="AU988" s="42"/>
    </row>
    <row r="989" spans="45:57">
      <c r="AU989" s="42"/>
    </row>
    <row r="990" spans="45:57">
      <c r="AU990" s="42"/>
    </row>
    <row r="991" spans="45:57">
      <c r="AS991" s="42"/>
    </row>
    <row r="1012" spans="52:71">
      <c r="AZ1012" s="56"/>
      <c r="BB1012" s="56"/>
      <c r="BC1012" s="56"/>
      <c r="BD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</row>
    <row r="1013" spans="52:71">
      <c r="AZ1013" s="56"/>
      <c r="BB1013" s="56"/>
      <c r="BC1013" s="56"/>
      <c r="BD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</row>
    <row r="1014" spans="52:71">
      <c r="AZ1014" s="56"/>
      <c r="BB1014" s="56"/>
      <c r="BC1014" s="56"/>
      <c r="BD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</row>
    <row r="1015" spans="52:71">
      <c r="AZ1015" s="56"/>
      <c r="BB1015" s="56"/>
      <c r="BC1015" s="56"/>
      <c r="BD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</row>
    <row r="1016" spans="52:71">
      <c r="AZ1016" s="56"/>
      <c r="BB1016" s="56"/>
      <c r="BC1016" s="56"/>
      <c r="BD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</row>
    <row r="1017" spans="52:71">
      <c r="AZ1017" s="56"/>
      <c r="BB1017" s="56"/>
      <c r="BC1017" s="56"/>
      <c r="BD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</row>
    <row r="1018" spans="52:71">
      <c r="AZ1018" s="56"/>
      <c r="BB1018" s="56"/>
      <c r="BC1018" s="56"/>
      <c r="BD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</row>
    <row r="1019" spans="52:71">
      <c r="AZ1019" s="56"/>
      <c r="BB1019" s="56"/>
      <c r="BC1019" s="56"/>
      <c r="BD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</row>
    <row r="1020" spans="52:71">
      <c r="AZ1020" s="56"/>
      <c r="BB1020" s="56"/>
      <c r="BC1020" s="56"/>
      <c r="BD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</row>
    <row r="1021" spans="52:71">
      <c r="AZ1021" s="56"/>
      <c r="BB1021" s="56"/>
      <c r="BC1021" s="56"/>
      <c r="BD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</row>
    <row r="1022" spans="52:71">
      <c r="AZ1022" s="56"/>
      <c r="BB1022" s="56"/>
      <c r="BC1022" s="56"/>
      <c r="BD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</row>
    <row r="1023" spans="52:71">
      <c r="AZ1023" s="56"/>
      <c r="BB1023" s="56"/>
      <c r="BC1023" s="56"/>
      <c r="BD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</row>
    <row r="1024" spans="52:71">
      <c r="AZ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</row>
    <row r="1025" spans="52:71">
      <c r="AZ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</row>
    <row r="1026" spans="52:71">
      <c r="AZ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</row>
    <row r="1027" spans="52:71">
      <c r="AZ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</row>
    <row r="1028" spans="52:71">
      <c r="AZ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</row>
    <row r="1029" spans="52:71">
      <c r="AZ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</row>
    <row r="1030" spans="52:71">
      <c r="AZ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</row>
    <row r="1031" spans="52:71">
      <c r="AZ1031" s="56"/>
    </row>
    <row r="1032" spans="52:71">
      <c r="AZ1032" s="56"/>
    </row>
    <row r="1046" spans="1:28">
      <c r="A1046" s="42"/>
    </row>
    <row r="1049" spans="1:28">
      <c r="Y1049" s="42"/>
    </row>
    <row r="1050" spans="1:28">
      <c r="A1050" s="42"/>
      <c r="H1050" s="42"/>
      <c r="I1050" s="42"/>
    </row>
    <row r="1051" spans="1:28">
      <c r="A1051" s="42"/>
      <c r="V1051" s="44"/>
      <c r="AA1051" s="44"/>
      <c r="AB1051" s="44"/>
    </row>
    <row r="1052" spans="1:28">
      <c r="A1052" s="42"/>
      <c r="V1052" s="49"/>
      <c r="AA1052" s="49"/>
      <c r="AB1052" s="49"/>
    </row>
    <row r="1053" spans="1:28">
      <c r="A1053" s="42"/>
      <c r="U1053" s="42"/>
      <c r="AA1053" s="44"/>
      <c r="AB1053" s="44"/>
    </row>
    <row r="1054" spans="1:28">
      <c r="A1054" s="42"/>
    </row>
    <row r="1055" spans="1:28">
      <c r="A1055" s="42"/>
      <c r="U1055" s="42"/>
      <c r="AA1055" s="44"/>
      <c r="AB1055" s="44"/>
    </row>
    <row r="1056" spans="1:28">
      <c r="A1056" s="42"/>
    </row>
    <row r="1057" spans="1:28">
      <c r="A1057" s="42"/>
      <c r="U1057" s="42"/>
      <c r="V1057" s="339"/>
      <c r="AA1057" s="44"/>
      <c r="AB1057" s="44"/>
    </row>
    <row r="1058" spans="1:28">
      <c r="A1058" s="42"/>
    </row>
    <row r="1059" spans="1:28">
      <c r="A1059" s="42"/>
      <c r="U1059" s="42"/>
      <c r="AA1059" s="44"/>
      <c r="AB1059" s="44"/>
    </row>
    <row r="1060" spans="1:28">
      <c r="A1060" s="42"/>
    </row>
    <row r="1061" spans="1:28">
      <c r="A1061" s="42"/>
      <c r="U1061" s="42"/>
      <c r="AA1061" s="44"/>
      <c r="AB1061" s="44"/>
    </row>
    <row r="1062" spans="1:28">
      <c r="A1062" s="42"/>
    </row>
    <row r="1063" spans="1:28">
      <c r="A1063" s="42"/>
    </row>
    <row r="1064" spans="1:28">
      <c r="A1064" s="42"/>
    </row>
    <row r="1065" spans="1:28">
      <c r="A1065" s="42"/>
    </row>
    <row r="1066" spans="1:28">
      <c r="A1066" s="42"/>
    </row>
    <row r="1067" spans="1:28">
      <c r="A1067" s="42"/>
    </row>
    <row r="1068" spans="1:28">
      <c r="A1068" s="42"/>
    </row>
    <row r="1069" spans="1:28">
      <c r="A1069" s="42"/>
    </row>
    <row r="1070" spans="1:28">
      <c r="A1070" s="42"/>
    </row>
    <row r="1071" spans="1:28">
      <c r="A1071" s="42"/>
    </row>
    <row r="1072" spans="1:28">
      <c r="A1072" s="42"/>
      <c r="H1072" s="42"/>
      <c r="I1072" s="42"/>
    </row>
    <row r="1075" spans="1:1">
      <c r="A1075" s="42"/>
    </row>
    <row r="1078" spans="1:1">
      <c r="A1078" s="42"/>
    </row>
    <row r="1081" spans="1:1">
      <c r="A1081" s="42"/>
    </row>
    <row r="1082" spans="1:1">
      <c r="A1082" s="42"/>
    </row>
    <row r="1083" spans="1:1">
      <c r="A1083" s="42"/>
    </row>
    <row r="1084" spans="1:1">
      <c r="A1084" s="42"/>
    </row>
    <row r="1085" spans="1:1">
      <c r="A1085" s="42"/>
    </row>
    <row r="1086" spans="1:1">
      <c r="A1086" s="42"/>
    </row>
    <row r="1087" spans="1:1">
      <c r="A1087" s="42"/>
    </row>
    <row r="1088" spans="1:1">
      <c r="A1088" s="42"/>
    </row>
    <row r="1089" spans="1:1">
      <c r="A1089" s="42"/>
    </row>
    <row r="1090" spans="1:1">
      <c r="A1090" s="42"/>
    </row>
    <row r="1091" spans="1:1">
      <c r="A1091" s="42"/>
    </row>
    <row r="1092" spans="1:1">
      <c r="A1092" s="42"/>
    </row>
    <row r="1093" spans="1:1">
      <c r="A1093" s="42"/>
    </row>
    <row r="1094" spans="1:1">
      <c r="A1094" s="42"/>
    </row>
    <row r="1095" spans="1:1">
      <c r="A1095" s="42"/>
    </row>
    <row r="1096" spans="1:1">
      <c r="A1096" s="42"/>
    </row>
    <row r="1097" spans="1:1">
      <c r="A1097" s="42"/>
    </row>
    <row r="1098" spans="1:1">
      <c r="A1098" s="42"/>
    </row>
    <row r="1099" spans="1:1">
      <c r="A1099" s="42"/>
    </row>
    <row r="1100" spans="1:1">
      <c r="A1100" s="42"/>
    </row>
    <row r="1101" spans="1:1">
      <c r="A1101" s="42"/>
    </row>
    <row r="1102" spans="1:1">
      <c r="A1102" s="42"/>
    </row>
    <row r="1103" spans="1:1">
      <c r="A1103" s="42"/>
    </row>
    <row r="1104" spans="1:1">
      <c r="A1104" s="42"/>
    </row>
    <row r="1105" spans="1:1">
      <c r="A1105" s="42"/>
    </row>
    <row r="1106" spans="1:1">
      <c r="A1106" s="42"/>
    </row>
    <row r="1107" spans="1:1">
      <c r="A1107" s="42"/>
    </row>
    <row r="1108" spans="1:1">
      <c r="A1108" s="42"/>
    </row>
    <row r="1109" spans="1:1">
      <c r="A1109" s="42"/>
    </row>
    <row r="1110" spans="1:1">
      <c r="A1110" s="42"/>
    </row>
    <row r="1111" spans="1:1">
      <c r="A1111" s="42"/>
    </row>
    <row r="1112" spans="1:1">
      <c r="A1112" s="42"/>
    </row>
    <row r="1113" spans="1:1">
      <c r="A1113" s="42"/>
    </row>
    <row r="1114" spans="1:1">
      <c r="A1114" s="42"/>
    </row>
    <row r="1115" spans="1:1">
      <c r="A1115" s="42"/>
    </row>
    <row r="1120" spans="1:1">
      <c r="A1120" s="42"/>
    </row>
    <row r="1121" spans="1:1">
      <c r="A1121" s="42"/>
    </row>
    <row r="1124" spans="1:1">
      <c r="A1124" s="42"/>
    </row>
    <row r="1126" spans="1:1">
      <c r="A1126" s="42"/>
    </row>
    <row r="1128" spans="1:1">
      <c r="A1128" s="42"/>
    </row>
    <row r="1130" spans="1:1">
      <c r="A1130" s="42"/>
    </row>
    <row r="1133" spans="1:1">
      <c r="A1133" s="42"/>
    </row>
    <row r="1134" spans="1:1">
      <c r="A1134" s="42"/>
    </row>
    <row r="1135" spans="1:1">
      <c r="A1135" s="42"/>
    </row>
    <row r="1136" spans="1:1">
      <c r="A1136" s="42"/>
    </row>
    <row r="1137" spans="1:1">
      <c r="A1137" s="42"/>
    </row>
    <row r="1138" spans="1:1">
      <c r="A1138" s="42"/>
    </row>
    <row r="1139" spans="1:1">
      <c r="A1139" s="42"/>
    </row>
    <row r="1140" spans="1:1">
      <c r="A1140" s="42"/>
    </row>
  </sheetData>
  <customSheetViews>
    <customSheetView guid="{F562D92E-120C-4AE9-9663-89E64D41DC53}" scale="75" fitToPage="1" topLeftCell="T71">
      <selection activeCell="P42" sqref="P4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35F19056-2E6F-4935-B863-78836FE990BF}" scale="75" fitToPage="1" showRuler="0" topLeftCell="A15">
      <selection activeCell="P22" sqref="P2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18BDED73-BFA0-442E-87EC-CED86EE4CF94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3"/>
      <headerFooter alignWithMargins="0"/>
    </customSheetView>
    <customSheetView guid="{0BC1F393-8A13-47D5-BC6C-0C99615B5AB9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4"/>
      <headerFooter alignWithMargins="0"/>
    </customSheetView>
    <customSheetView guid="{6B3D5C27-2FDE-4561-9575-1E98BFB869D0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8"/>
      <headerFooter alignWithMargins="0"/>
    </customSheetView>
    <customSheetView guid="{2431C9E5-7CC2-4B8D-99C3-962247B1DBF5}" scale="75" fitToPage="1" showRuler="0">
      <selection activeCell="L44" sqref="L4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9"/>
      <headerFooter alignWithMargins="0"/>
    </customSheetView>
    <customSheetView guid="{4BC93440-BA85-4935-A8C9-66DC6AE5DE5E}" scale="75" fitToPage="1" showRuler="0" topLeftCell="W65">
      <selection activeCell="AE84" sqref="AE8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0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phoneticPr fontId="12" type="noConversion"/>
  <pageMargins left="0.5" right="0.5" top="1" bottom="0" header="0" footer="0"/>
  <pageSetup scale="55" orientation="landscape" r:id="rId13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E0BA4-DFB3-4050-9E17-1A1974F2C1CD}">
  <sheetPr syncVertical="1" syncRef="A53" transitionEvaluation="1" transitionEntry="1" codeName="Sheet31">
    <tabColor rgb="FF0066CC"/>
    <pageSetUpPr fitToPage="1"/>
  </sheetPr>
  <dimension ref="A1:BX1140"/>
  <sheetViews>
    <sheetView workbookViewId="0">
      <selection activeCell="A19" sqref="A19"/>
    </sheetView>
  </sheetViews>
  <sheetFormatPr defaultColWidth="9.69921875" defaultRowHeight="15.75"/>
  <cols>
    <col min="1" max="1" width="4" style="453" customWidth="1"/>
    <col min="2" max="2" width="0.69921875" style="453" customWidth="1"/>
    <col min="3" max="3" width="6.69921875" style="453" customWidth="1"/>
    <col min="4" max="4" width="37.69921875" style="453" customWidth="1"/>
    <col min="5" max="5" width="0.3984375" style="453" customWidth="1"/>
    <col min="6" max="6" width="11.09765625" style="453" customWidth="1"/>
    <col min="7" max="7" width="0.69921875" style="453" customWidth="1"/>
    <col min="8" max="8" width="14.59765625" style="453" customWidth="1"/>
    <col min="9" max="9" width="0.69921875" style="453" customWidth="1"/>
    <col min="10" max="10" width="10.69921875" style="453" customWidth="1"/>
    <col min="11" max="11" width="0.69921875" style="453" customWidth="1"/>
    <col min="12" max="12" width="14.69921875" style="453" customWidth="1"/>
    <col min="13" max="13" width="0.296875" style="453" customWidth="1"/>
    <col min="14" max="14" width="12.69921875" style="453" customWidth="1"/>
    <col min="15" max="15" width="0.59765625" style="453" customWidth="1"/>
    <col min="16" max="16" width="14.69921875" style="453" customWidth="1"/>
    <col min="17" max="17" width="0.59765625" style="453" customWidth="1"/>
    <col min="18" max="18" width="16" style="453" customWidth="1"/>
    <col min="19" max="19" width="8.69921875" style="453" customWidth="1"/>
    <col min="20" max="20" width="5.3984375" style="453" customWidth="1"/>
    <col min="21" max="21" width="0.59765625" style="453" customWidth="1"/>
    <col min="22" max="22" width="4.59765625" style="453" customWidth="1"/>
    <col min="23" max="23" width="39.8984375" style="453" customWidth="1"/>
    <col min="24" max="24" width="0.3984375" style="453" customWidth="1"/>
    <col min="25" max="25" width="9.69921875" style="453" customWidth="1"/>
    <col min="26" max="26" width="0.69921875" style="453" customWidth="1"/>
    <col min="27" max="27" width="14.296875" style="453" customWidth="1"/>
    <col min="28" max="28" width="0.69921875" style="453" customWidth="1"/>
    <col min="29" max="29" width="11.3984375" style="453" customWidth="1"/>
    <col min="30" max="30" width="0.59765625" style="453" customWidth="1"/>
    <col min="31" max="31" width="12.8984375" style="453" customWidth="1"/>
    <col min="32" max="32" width="0.69921875" style="453" customWidth="1"/>
    <col min="33" max="33" width="13.69921875" style="454" customWidth="1"/>
    <col min="34" max="34" width="0.69921875" style="453" customWidth="1"/>
    <col min="35" max="35" width="14.296875" style="453" customWidth="1"/>
    <col min="36" max="36" width="0.8984375" style="453" customWidth="1"/>
    <col min="37" max="37" width="14.59765625" style="454" customWidth="1"/>
    <col min="38" max="38" width="0.69921875" style="453" customWidth="1"/>
    <col min="39" max="39" width="12.09765625" style="453" customWidth="1"/>
    <col min="40" max="40" width="0.59765625" style="453" customWidth="1"/>
    <col min="41" max="41" width="13.09765625" style="453" customWidth="1"/>
    <col min="42" max="42" width="0.69921875" style="453" customWidth="1"/>
    <col min="43" max="43" width="11.09765625" style="454" customWidth="1"/>
    <col min="44" max="44" width="14.69921875" style="453" customWidth="1"/>
    <col min="45" max="45" width="4.69921875" style="453" customWidth="1"/>
    <col min="46" max="46" width="5.69921875" style="453" customWidth="1"/>
    <col min="47" max="47" width="10.69921875" style="453" customWidth="1"/>
    <col min="48" max="48" width="11.69921875" style="453" customWidth="1"/>
    <col min="49" max="49" width="12.69921875" style="453" customWidth="1"/>
    <col min="50" max="52" width="15.69921875" style="453" customWidth="1"/>
    <col min="53" max="53" width="12.69921875" style="453" customWidth="1"/>
    <col min="54" max="56" width="15.69921875" style="453" customWidth="1"/>
    <col min="57" max="57" width="12.69921875" style="453" customWidth="1"/>
    <col min="58" max="59" width="9.69921875" style="453"/>
    <col min="60" max="62" width="12.69921875" style="453" customWidth="1"/>
    <col min="63" max="63" width="14.69921875" style="453" customWidth="1"/>
    <col min="64" max="65" width="9.69921875" style="453"/>
    <col min="66" max="68" width="12.69921875" style="453" customWidth="1"/>
    <col min="69" max="69" width="14.69921875" style="453" customWidth="1"/>
    <col min="70" max="76" width="9.69921875" style="453"/>
    <col min="77" max="77" width="1.69921875" style="453" customWidth="1"/>
    <col min="78" max="79" width="9.69921875" style="453"/>
    <col min="80" max="80" width="10.69921875" style="453" customWidth="1"/>
    <col min="81" max="82" width="9.69921875" style="453"/>
    <col min="83" max="83" width="7.69921875" style="453" customWidth="1"/>
    <col min="84" max="16384" width="9.69921875" style="453"/>
  </cols>
  <sheetData>
    <row r="1" spans="1:40">
      <c r="A1" s="452" t="s">
        <v>479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</row>
    <row r="2" spans="1:40">
      <c r="A2" s="452" t="s">
        <v>1132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</row>
    <row r="3" spans="1:40">
      <c r="A3" s="452" t="s">
        <v>540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Y3" s="455"/>
    </row>
    <row r="4" spans="1:40">
      <c r="A4" s="452" t="s">
        <v>1041</v>
      </c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</row>
    <row r="5" spans="1:40">
      <c r="A5" s="452" t="s">
        <v>2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AA5" s="455"/>
      <c r="AB5" s="455"/>
    </row>
    <row r="6" spans="1:40">
      <c r="A6" s="453" t="s">
        <v>539</v>
      </c>
      <c r="R6" s="455" t="s">
        <v>156</v>
      </c>
      <c r="AK6" s="456"/>
      <c r="AL6" s="455"/>
    </row>
    <row r="7" spans="1:40">
      <c r="A7" s="453" t="s">
        <v>333</v>
      </c>
      <c r="R7" s="457" t="s">
        <v>1134</v>
      </c>
      <c r="AK7" s="456"/>
      <c r="AL7" s="455"/>
    </row>
    <row r="8" spans="1:40">
      <c r="A8" s="455" t="s">
        <v>170</v>
      </c>
      <c r="R8" s="455" t="s">
        <v>3</v>
      </c>
      <c r="AK8" s="456"/>
      <c r="AL8" s="455"/>
    </row>
    <row r="9" spans="1:40">
      <c r="A9" s="458" t="s">
        <v>1135</v>
      </c>
      <c r="R9" s="453" t="s">
        <v>970</v>
      </c>
      <c r="AK9" s="456"/>
      <c r="AL9" s="455"/>
    </row>
    <row r="10" spans="1:40">
      <c r="A10" s="458" t="s">
        <v>173</v>
      </c>
      <c r="AK10" s="456"/>
      <c r="AL10" s="455"/>
    </row>
    <row r="11" spans="1:40">
      <c r="A11" s="452" t="s">
        <v>129</v>
      </c>
      <c r="B11" s="452"/>
      <c r="C11" s="452"/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52"/>
      <c r="R11" s="452"/>
      <c r="AA11" s="455"/>
      <c r="AB11" s="455"/>
    </row>
    <row r="12" spans="1:40">
      <c r="A12" s="459"/>
      <c r="B12" s="459"/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T12" s="460"/>
      <c r="U12" s="460"/>
      <c r="V12" s="460"/>
      <c r="W12" s="460"/>
      <c r="X12" s="460"/>
      <c r="Y12" s="460"/>
      <c r="Z12" s="460"/>
      <c r="AA12" s="460"/>
      <c r="AB12" s="460"/>
      <c r="AC12" s="460"/>
      <c r="AD12" s="460"/>
      <c r="AE12" s="460"/>
      <c r="AF12" s="460"/>
      <c r="AG12" s="461"/>
      <c r="AH12" s="460"/>
      <c r="AI12" s="460"/>
      <c r="AJ12" s="460"/>
      <c r="AK12" s="461"/>
      <c r="AL12" s="460"/>
      <c r="AM12" s="460"/>
      <c r="AN12" s="460"/>
    </row>
    <row r="13" spans="1:40" ht="18" customHeight="1">
      <c r="L13" s="462" t="s">
        <v>6</v>
      </c>
      <c r="M13" s="462"/>
      <c r="N13" s="462" t="s">
        <v>7</v>
      </c>
      <c r="O13" s="462"/>
      <c r="R13" s="462" t="s">
        <v>6</v>
      </c>
      <c r="AA13" s="462"/>
      <c r="AB13" s="462"/>
      <c r="AC13" s="462"/>
      <c r="AD13" s="462"/>
      <c r="AE13" s="462"/>
      <c r="AF13" s="462"/>
      <c r="AG13" s="463"/>
      <c r="AH13" s="462"/>
      <c r="AK13" s="463"/>
      <c r="AL13" s="462"/>
      <c r="AM13" s="462"/>
      <c r="AN13" s="462"/>
    </row>
    <row r="14" spans="1:40">
      <c r="L14" s="462" t="s">
        <v>12</v>
      </c>
      <c r="M14" s="462"/>
      <c r="N14" s="462" t="s">
        <v>13</v>
      </c>
      <c r="O14" s="462"/>
      <c r="R14" s="462" t="s">
        <v>11</v>
      </c>
      <c r="Z14" s="462"/>
      <c r="AA14" s="462"/>
      <c r="AB14" s="462"/>
      <c r="AC14" s="462"/>
      <c r="AD14" s="462"/>
      <c r="AE14" s="462"/>
      <c r="AF14" s="462"/>
      <c r="AG14" s="463"/>
      <c r="AH14" s="462"/>
      <c r="AK14" s="463"/>
      <c r="AL14" s="462"/>
      <c r="AM14" s="462"/>
      <c r="AN14" s="462"/>
    </row>
    <row r="15" spans="1:40">
      <c r="A15" s="462" t="s">
        <v>17</v>
      </c>
      <c r="C15" s="462" t="s">
        <v>18</v>
      </c>
      <c r="D15" s="462" t="s">
        <v>19</v>
      </c>
      <c r="E15" s="462"/>
      <c r="F15" s="462" t="s">
        <v>20</v>
      </c>
      <c r="J15" s="462" t="s">
        <v>6</v>
      </c>
      <c r="K15" s="462"/>
      <c r="L15" s="462" t="s">
        <v>841</v>
      </c>
      <c r="M15" s="462"/>
      <c r="N15" s="462" t="s">
        <v>841</v>
      </c>
      <c r="O15" s="462"/>
      <c r="P15" s="462" t="s">
        <v>841</v>
      </c>
      <c r="Q15" s="462"/>
      <c r="R15" s="462" t="s">
        <v>9</v>
      </c>
      <c r="T15" s="462"/>
      <c r="U15" s="462"/>
      <c r="V15" s="462"/>
      <c r="Z15" s="462"/>
      <c r="AA15" s="462"/>
      <c r="AB15" s="462"/>
      <c r="AC15" s="462"/>
      <c r="AD15" s="462"/>
      <c r="AE15" s="462"/>
      <c r="AF15" s="462"/>
      <c r="AG15" s="463"/>
      <c r="AH15" s="462"/>
      <c r="AI15" s="462"/>
      <c r="AJ15" s="462"/>
      <c r="AK15" s="463"/>
      <c r="AL15" s="462"/>
      <c r="AM15" s="462"/>
      <c r="AN15" s="462"/>
    </row>
    <row r="16" spans="1:40">
      <c r="A16" s="462" t="s">
        <v>22</v>
      </c>
      <c r="C16" s="462" t="s">
        <v>23</v>
      </c>
      <c r="D16" s="462" t="s">
        <v>24</v>
      </c>
      <c r="E16" s="462"/>
      <c r="F16" s="462" t="s">
        <v>25</v>
      </c>
      <c r="H16" s="462" t="s">
        <v>26</v>
      </c>
      <c r="I16" s="462"/>
      <c r="J16" s="462" t="s">
        <v>27</v>
      </c>
      <c r="K16" s="462"/>
      <c r="L16" s="462" t="s">
        <v>1038</v>
      </c>
      <c r="M16" s="462"/>
      <c r="N16" s="462" t="s">
        <v>9</v>
      </c>
      <c r="O16" s="462"/>
      <c r="P16" s="462" t="s">
        <v>323</v>
      </c>
      <c r="Q16" s="462"/>
      <c r="R16" s="464" t="s">
        <v>28</v>
      </c>
      <c r="T16" s="462"/>
      <c r="U16" s="462"/>
      <c r="V16" s="462"/>
      <c r="Y16" s="462"/>
      <c r="Z16" s="462"/>
      <c r="AA16" s="462"/>
      <c r="AB16" s="462"/>
      <c r="AC16" s="462"/>
      <c r="AD16" s="462"/>
      <c r="AE16" s="462"/>
      <c r="AF16" s="462"/>
      <c r="AG16" s="463"/>
      <c r="AH16" s="462"/>
      <c r="AI16" s="462"/>
      <c r="AJ16" s="462"/>
      <c r="AK16" s="463"/>
      <c r="AL16" s="462"/>
      <c r="AM16" s="462"/>
      <c r="AN16" s="462"/>
    </row>
    <row r="17" spans="1:40">
      <c r="C17" s="464" t="s">
        <v>33</v>
      </c>
      <c r="D17" s="464" t="s">
        <v>34</v>
      </c>
      <c r="E17" s="464"/>
      <c r="F17" s="464" t="s">
        <v>35</v>
      </c>
      <c r="G17" s="465"/>
      <c r="H17" s="464" t="s">
        <v>36</v>
      </c>
      <c r="I17" s="464"/>
      <c r="J17" s="464" t="s">
        <v>37</v>
      </c>
      <c r="K17" s="464"/>
      <c r="L17" s="464" t="s">
        <v>38</v>
      </c>
      <c r="M17" s="464"/>
      <c r="N17" s="464" t="s">
        <v>39</v>
      </c>
      <c r="O17" s="464"/>
      <c r="P17" s="464" t="s">
        <v>40</v>
      </c>
      <c r="Q17" s="464"/>
      <c r="R17" s="464" t="s">
        <v>41</v>
      </c>
      <c r="T17" s="462"/>
      <c r="U17" s="462"/>
      <c r="V17" s="462"/>
      <c r="Y17" s="462"/>
      <c r="Z17" s="462"/>
      <c r="AA17" s="462"/>
      <c r="AB17" s="462"/>
      <c r="AC17" s="462"/>
      <c r="AD17" s="462"/>
      <c r="AE17" s="462"/>
      <c r="AF17" s="462"/>
      <c r="AG17" s="463"/>
      <c r="AH17" s="462"/>
      <c r="AI17" s="462"/>
      <c r="AJ17" s="462"/>
      <c r="AK17" s="463"/>
      <c r="AL17" s="462"/>
      <c r="AM17" s="462"/>
      <c r="AN17" s="462"/>
    </row>
    <row r="18" spans="1:40">
      <c r="A18" s="459"/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T18" s="460"/>
      <c r="U18" s="460"/>
      <c r="V18" s="460"/>
      <c r="W18" s="460"/>
      <c r="X18" s="460"/>
      <c r="Y18" s="460"/>
      <c r="Z18" s="460"/>
      <c r="AA18" s="460"/>
      <c r="AB18" s="460"/>
      <c r="AC18" s="460"/>
      <c r="AD18" s="460"/>
      <c r="AE18" s="460"/>
      <c r="AF18" s="460"/>
      <c r="AG18" s="461"/>
      <c r="AH18" s="460"/>
      <c r="AI18" s="460"/>
      <c r="AJ18" s="460"/>
      <c r="AK18" s="461"/>
      <c r="AL18" s="460"/>
      <c r="AM18" s="460"/>
      <c r="AN18" s="460"/>
    </row>
    <row r="19" spans="1:40" ht="17.100000000000001" customHeight="1">
      <c r="H19" s="466" t="s">
        <v>196</v>
      </c>
      <c r="I19" s="467"/>
      <c r="J19" s="466" t="s">
        <v>331</v>
      </c>
      <c r="K19" s="467"/>
      <c r="L19" s="467" t="s">
        <v>50</v>
      </c>
      <c r="M19" s="467"/>
      <c r="N19" s="467" t="s">
        <v>51</v>
      </c>
      <c r="O19" s="467"/>
      <c r="P19" s="467" t="s">
        <v>50</v>
      </c>
      <c r="Q19" s="467"/>
      <c r="R19" s="467" t="s">
        <v>50</v>
      </c>
      <c r="Y19" s="462"/>
      <c r="Z19" s="462"/>
      <c r="AA19" s="462"/>
      <c r="AB19" s="462"/>
      <c r="AC19" s="462"/>
      <c r="AD19" s="462"/>
      <c r="AE19" s="462"/>
      <c r="AF19" s="462"/>
      <c r="AG19" s="463"/>
      <c r="AH19" s="462"/>
      <c r="AI19" s="462"/>
      <c r="AJ19" s="462"/>
      <c r="AK19" s="463"/>
      <c r="AL19" s="462"/>
      <c r="AM19" s="462"/>
      <c r="AN19" s="462"/>
    </row>
    <row r="20" spans="1:40">
      <c r="A20" s="453">
        <v>1</v>
      </c>
      <c r="C20" s="458" t="s">
        <v>91</v>
      </c>
      <c r="D20" s="458" t="s">
        <v>131</v>
      </c>
      <c r="E20" s="455"/>
      <c r="F20" s="468"/>
      <c r="G20" s="468"/>
      <c r="H20" s="469"/>
      <c r="I20" s="469"/>
      <c r="J20" s="466" t="s">
        <v>328</v>
      </c>
      <c r="K20" s="469"/>
      <c r="L20" s="469"/>
      <c r="M20" s="469"/>
      <c r="N20" s="469"/>
      <c r="O20" s="469"/>
      <c r="P20" s="469"/>
      <c r="Q20" s="469"/>
      <c r="R20" s="469"/>
      <c r="T20" s="455"/>
      <c r="U20" s="455"/>
    </row>
    <row r="21" spans="1:40">
      <c r="A21" s="453">
        <v>2</v>
      </c>
      <c r="C21" s="465"/>
      <c r="D21" s="458" t="s">
        <v>132</v>
      </c>
      <c r="E21" s="455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T21" s="455"/>
    </row>
    <row r="22" spans="1:40"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</row>
    <row r="23" spans="1:40">
      <c r="A23" s="453">
        <v>3</v>
      </c>
      <c r="C23" s="458" t="s">
        <v>133</v>
      </c>
      <c r="F23" s="468"/>
      <c r="G23" s="468"/>
      <c r="H23" s="468"/>
      <c r="I23" s="468"/>
      <c r="J23" s="468"/>
      <c r="K23" s="468"/>
      <c r="L23" s="468"/>
      <c r="M23" s="468"/>
      <c r="N23" s="468"/>
      <c r="O23" s="468"/>
      <c r="P23" s="468"/>
      <c r="Q23" s="468"/>
      <c r="R23" s="468"/>
      <c r="S23" s="470"/>
      <c r="T23" s="455"/>
      <c r="V23" s="470"/>
      <c r="Y23" s="470"/>
      <c r="Z23" s="471"/>
      <c r="AA23" s="470"/>
      <c r="AB23" s="470"/>
      <c r="AC23" s="472"/>
      <c r="AD23" s="472"/>
      <c r="AE23" s="470"/>
      <c r="AF23" s="470"/>
      <c r="AH23" s="472"/>
      <c r="AI23" s="470"/>
      <c r="AJ23" s="470"/>
      <c r="AL23" s="470"/>
      <c r="AM23" s="472"/>
      <c r="AN23" s="472"/>
    </row>
    <row r="24" spans="1:40">
      <c r="A24" s="453">
        <v>4</v>
      </c>
      <c r="C24" s="457" t="s">
        <v>353</v>
      </c>
      <c r="F24" s="470">
        <v>1545</v>
      </c>
      <c r="G24" s="468"/>
      <c r="H24" s="468"/>
      <c r="I24" s="468"/>
      <c r="J24" s="473">
        <v>5</v>
      </c>
      <c r="K24" s="468"/>
      <c r="L24" s="474">
        <v>7725</v>
      </c>
      <c r="M24" s="474"/>
      <c r="N24" s="475">
        <v>0</v>
      </c>
      <c r="O24" s="475"/>
      <c r="P24" s="474"/>
      <c r="Q24" s="468"/>
      <c r="R24" s="474">
        <v>7725</v>
      </c>
      <c r="S24" s="470"/>
      <c r="T24" s="455"/>
      <c r="V24" s="470"/>
      <c r="Y24" s="470"/>
      <c r="Z24" s="471"/>
      <c r="AA24" s="470"/>
      <c r="AB24" s="470"/>
      <c r="AC24" s="472"/>
      <c r="AD24" s="472"/>
      <c r="AE24" s="470"/>
      <c r="AF24" s="470"/>
      <c r="AH24" s="472"/>
      <c r="AI24" s="470"/>
      <c r="AJ24" s="470"/>
      <c r="AL24" s="470"/>
      <c r="AM24" s="472"/>
      <c r="AN24" s="472"/>
    </row>
    <row r="25" spans="1:40">
      <c r="A25" s="453">
        <v>5</v>
      </c>
      <c r="C25" s="455" t="s">
        <v>134</v>
      </c>
      <c r="F25" s="476">
        <v>79682</v>
      </c>
      <c r="G25" s="468"/>
      <c r="H25" s="477"/>
      <c r="I25" s="477"/>
      <c r="J25" s="471">
        <v>15</v>
      </c>
      <c r="K25" s="478"/>
      <c r="L25" s="474">
        <v>1195230</v>
      </c>
      <c r="M25" s="474"/>
      <c r="N25" s="475">
        <v>0.8</v>
      </c>
      <c r="O25" s="475"/>
      <c r="P25" s="474"/>
      <c r="Q25" s="468"/>
      <c r="R25" s="474">
        <v>1195230</v>
      </c>
      <c r="S25" s="470"/>
      <c r="V25" s="479"/>
      <c r="Y25" s="470"/>
      <c r="Z25" s="476"/>
      <c r="AA25" s="470"/>
      <c r="AB25" s="470"/>
      <c r="AC25" s="472"/>
      <c r="AD25" s="472"/>
      <c r="AE25" s="470"/>
      <c r="AF25" s="470"/>
      <c r="AI25" s="470"/>
      <c r="AJ25" s="470"/>
      <c r="AL25" s="470"/>
    </row>
    <row r="26" spans="1:40">
      <c r="A26" s="453">
        <v>6</v>
      </c>
      <c r="C26" s="455" t="s">
        <v>135</v>
      </c>
      <c r="F26" s="476">
        <v>75323</v>
      </c>
      <c r="G26" s="468"/>
      <c r="H26" s="477"/>
      <c r="I26" s="477"/>
      <c r="J26" s="471">
        <v>30</v>
      </c>
      <c r="K26" s="478"/>
      <c r="L26" s="474">
        <v>2259690</v>
      </c>
      <c r="M26" s="474"/>
      <c r="N26" s="475">
        <v>1.5</v>
      </c>
      <c r="O26" s="475"/>
      <c r="P26" s="474"/>
      <c r="Q26" s="468"/>
      <c r="R26" s="474">
        <v>2259690</v>
      </c>
      <c r="S26" s="470"/>
      <c r="V26" s="470"/>
      <c r="Y26" s="470"/>
      <c r="Z26" s="476"/>
      <c r="AA26" s="470"/>
      <c r="AB26" s="470"/>
      <c r="AC26" s="472"/>
      <c r="AD26" s="472"/>
      <c r="AE26" s="470"/>
      <c r="AF26" s="470"/>
      <c r="AI26" s="470"/>
      <c r="AJ26" s="470"/>
      <c r="AL26" s="470"/>
    </row>
    <row r="27" spans="1:40" ht="20.100000000000001" customHeight="1">
      <c r="A27" s="453">
        <v>7</v>
      </c>
      <c r="C27" s="458" t="s">
        <v>136</v>
      </c>
      <c r="F27" s="480">
        <v>155005</v>
      </c>
      <c r="G27" s="468"/>
      <c r="H27" s="474"/>
      <c r="I27" s="474"/>
      <c r="J27" s="481"/>
      <c r="K27" s="481"/>
      <c r="L27" s="480">
        <v>3462645</v>
      </c>
      <c r="M27" s="474"/>
      <c r="N27" s="482">
        <v>2.2999999999999998</v>
      </c>
      <c r="O27" s="475"/>
      <c r="P27" s="480"/>
      <c r="Q27" s="474"/>
      <c r="R27" s="480">
        <v>3462645</v>
      </c>
      <c r="S27" s="470"/>
      <c r="T27" s="455"/>
      <c r="V27" s="470"/>
      <c r="Y27" s="470"/>
      <c r="Z27" s="483"/>
      <c r="AA27" s="470"/>
      <c r="AB27" s="470"/>
      <c r="AC27" s="472"/>
      <c r="AD27" s="472"/>
      <c r="AE27" s="470"/>
      <c r="AF27" s="470"/>
      <c r="AH27" s="472"/>
      <c r="AI27" s="470"/>
      <c r="AJ27" s="470"/>
      <c r="AL27" s="470"/>
      <c r="AM27" s="472"/>
      <c r="AN27" s="472"/>
    </row>
    <row r="28" spans="1:40">
      <c r="F28" s="474"/>
      <c r="G28" s="468"/>
      <c r="H28" s="474"/>
      <c r="I28" s="474"/>
      <c r="J28" s="481"/>
      <c r="K28" s="481"/>
      <c r="L28" s="474"/>
      <c r="M28" s="474"/>
      <c r="N28" s="475"/>
      <c r="O28" s="475"/>
      <c r="P28" s="474"/>
      <c r="Q28" s="474"/>
      <c r="R28" s="474"/>
      <c r="S28" s="470"/>
      <c r="T28" s="455"/>
      <c r="V28" s="470"/>
      <c r="Y28" s="470"/>
      <c r="Z28" s="484"/>
      <c r="AA28" s="470"/>
      <c r="AB28" s="470"/>
      <c r="AC28" s="472"/>
      <c r="AD28" s="472"/>
      <c r="AE28" s="470"/>
      <c r="AF28" s="470"/>
      <c r="AH28" s="472"/>
      <c r="AI28" s="470"/>
      <c r="AJ28" s="470"/>
      <c r="AL28" s="470"/>
      <c r="AM28" s="472"/>
      <c r="AN28" s="472"/>
    </row>
    <row r="29" spans="1:40">
      <c r="A29" s="453">
        <v>8</v>
      </c>
      <c r="C29" s="458" t="s">
        <v>63</v>
      </c>
      <c r="F29" s="474"/>
      <c r="G29" s="468"/>
      <c r="H29" s="474"/>
      <c r="I29" s="474"/>
      <c r="J29" s="481"/>
      <c r="K29" s="481"/>
      <c r="L29" s="474"/>
      <c r="M29" s="474"/>
      <c r="N29" s="475"/>
      <c r="O29" s="475"/>
      <c r="P29" s="474"/>
      <c r="Q29" s="474"/>
      <c r="R29" s="474"/>
      <c r="S29" s="470"/>
      <c r="V29" s="479"/>
      <c r="Y29" s="479"/>
      <c r="Z29" s="484"/>
      <c r="AA29" s="479"/>
      <c r="AB29" s="479"/>
      <c r="AC29" s="479"/>
      <c r="AD29" s="479"/>
      <c r="AE29" s="479"/>
      <c r="AF29" s="479"/>
      <c r="AI29" s="479"/>
      <c r="AJ29" s="479"/>
      <c r="AK29" s="485"/>
      <c r="AL29" s="479"/>
      <c r="AM29" s="472"/>
      <c r="AN29" s="472"/>
    </row>
    <row r="30" spans="1:40">
      <c r="A30" s="453">
        <v>9</v>
      </c>
      <c r="C30" s="455" t="s">
        <v>137</v>
      </c>
      <c r="F30" s="477"/>
      <c r="G30" s="468"/>
      <c r="H30" s="476">
        <v>1355176</v>
      </c>
      <c r="I30" s="477"/>
      <c r="J30" s="471">
        <v>0</v>
      </c>
      <c r="K30" s="478"/>
      <c r="L30" s="474">
        <v>0</v>
      </c>
      <c r="M30" s="474"/>
      <c r="N30" s="475">
        <v>0</v>
      </c>
      <c r="O30" s="475"/>
      <c r="P30" s="474"/>
      <c r="Q30" s="474"/>
      <c r="R30" s="474">
        <v>0</v>
      </c>
      <c r="S30" s="470"/>
      <c r="T30" s="455"/>
      <c r="V30" s="476"/>
      <c r="Y30" s="476"/>
      <c r="Z30" s="484"/>
      <c r="AA30" s="470"/>
      <c r="AB30" s="470"/>
      <c r="AC30" s="472"/>
      <c r="AD30" s="472"/>
      <c r="AE30" s="470"/>
      <c r="AF30" s="470"/>
      <c r="AI30" s="470"/>
      <c r="AJ30" s="470"/>
      <c r="AL30" s="470"/>
      <c r="AM30" s="472"/>
      <c r="AN30" s="472"/>
    </row>
    <row r="31" spans="1:40">
      <c r="A31" s="453">
        <v>10</v>
      </c>
      <c r="C31" s="455" t="s">
        <v>138</v>
      </c>
      <c r="F31" s="477"/>
      <c r="G31" s="468"/>
      <c r="H31" s="476">
        <v>2641511</v>
      </c>
      <c r="I31" s="477"/>
      <c r="J31" s="471">
        <v>12.36</v>
      </c>
      <c r="K31" s="478"/>
      <c r="L31" s="474">
        <v>32649076</v>
      </c>
      <c r="M31" s="474"/>
      <c r="N31" s="475">
        <v>21.6</v>
      </c>
      <c r="O31" s="475"/>
      <c r="P31" s="474"/>
      <c r="Q31" s="474"/>
      <c r="R31" s="474">
        <v>32649076</v>
      </c>
      <c r="S31" s="470"/>
      <c r="V31" s="476"/>
      <c r="W31" s="486"/>
      <c r="Y31" s="476"/>
      <c r="Z31" s="484"/>
      <c r="AA31" s="470"/>
      <c r="AB31" s="470"/>
      <c r="AC31" s="472"/>
      <c r="AD31" s="472"/>
      <c r="AE31" s="470"/>
      <c r="AF31" s="470"/>
      <c r="AI31" s="470"/>
      <c r="AJ31" s="470"/>
      <c r="AL31" s="470"/>
      <c r="AM31" s="472"/>
      <c r="AN31" s="472"/>
    </row>
    <row r="32" spans="1:40" ht="20.100000000000001" customHeight="1">
      <c r="A32" s="453">
        <v>11</v>
      </c>
      <c r="C32" s="458" t="s">
        <v>66</v>
      </c>
      <c r="F32" s="474"/>
      <c r="G32" s="468"/>
      <c r="H32" s="480">
        <v>3996687</v>
      </c>
      <c r="I32" s="474"/>
      <c r="J32" s="481"/>
      <c r="K32" s="481"/>
      <c r="L32" s="480">
        <v>32649076</v>
      </c>
      <c r="M32" s="474"/>
      <c r="N32" s="482">
        <v>21.6</v>
      </c>
      <c r="O32" s="475"/>
      <c r="P32" s="480"/>
      <c r="Q32" s="474"/>
      <c r="R32" s="480">
        <v>32649076</v>
      </c>
      <c r="S32" s="470"/>
      <c r="V32" s="479"/>
      <c r="Y32" s="476"/>
      <c r="Z32" s="484"/>
      <c r="AA32" s="470"/>
      <c r="AB32" s="470"/>
      <c r="AC32" s="472"/>
      <c r="AD32" s="472"/>
      <c r="AE32" s="470"/>
      <c r="AF32" s="470"/>
      <c r="AH32" s="472"/>
      <c r="AI32" s="470"/>
      <c r="AJ32" s="470"/>
      <c r="AL32" s="470"/>
      <c r="AM32" s="472"/>
      <c r="AN32" s="472"/>
    </row>
    <row r="33" spans="1:40">
      <c r="C33" s="455"/>
      <c r="F33" s="474"/>
      <c r="G33" s="468"/>
      <c r="H33" s="474"/>
      <c r="I33" s="474"/>
      <c r="J33" s="481"/>
      <c r="K33" s="481"/>
      <c r="L33" s="474"/>
      <c r="M33" s="474"/>
      <c r="N33" s="475"/>
      <c r="O33" s="475"/>
      <c r="P33" s="474"/>
      <c r="Q33" s="474"/>
      <c r="R33" s="474"/>
      <c r="S33" s="470"/>
      <c r="V33" s="479"/>
      <c r="Y33" s="476"/>
      <c r="Z33" s="484"/>
      <c r="AA33" s="470"/>
      <c r="AB33" s="470"/>
      <c r="AC33" s="472"/>
      <c r="AD33" s="472"/>
      <c r="AE33" s="470"/>
      <c r="AF33" s="470"/>
      <c r="AH33" s="472"/>
      <c r="AI33" s="470"/>
      <c r="AJ33" s="470"/>
      <c r="AL33" s="470"/>
      <c r="AM33" s="472"/>
      <c r="AN33" s="472"/>
    </row>
    <row r="34" spans="1:40">
      <c r="A34" s="453">
        <v>12</v>
      </c>
      <c r="C34" s="487" t="s">
        <v>371</v>
      </c>
      <c r="F34" s="474"/>
      <c r="G34" s="468"/>
      <c r="H34" s="474"/>
      <c r="I34" s="474"/>
      <c r="J34" s="488"/>
      <c r="K34" s="488"/>
      <c r="L34" s="474"/>
      <c r="M34" s="474"/>
      <c r="N34" s="475"/>
      <c r="O34" s="475"/>
      <c r="P34" s="474"/>
      <c r="Q34" s="474"/>
      <c r="R34" s="474"/>
      <c r="S34" s="470"/>
      <c r="T34" s="455"/>
      <c r="V34" s="476"/>
      <c r="Y34" s="470"/>
      <c r="Z34" s="483"/>
      <c r="AA34" s="470"/>
      <c r="AB34" s="470"/>
      <c r="AC34" s="472"/>
      <c r="AD34" s="472"/>
      <c r="AE34" s="470"/>
      <c r="AF34" s="470"/>
      <c r="AH34" s="472"/>
      <c r="AI34" s="470"/>
      <c r="AJ34" s="470"/>
      <c r="AL34" s="470"/>
      <c r="AM34" s="472"/>
      <c r="AN34" s="472"/>
    </row>
    <row r="35" spans="1:40">
      <c r="A35" s="453">
        <v>13</v>
      </c>
      <c r="C35" s="455" t="s">
        <v>139</v>
      </c>
      <c r="F35" s="477"/>
      <c r="G35" s="468"/>
      <c r="H35" s="476">
        <v>348050244</v>
      </c>
      <c r="I35" s="477"/>
      <c r="J35" s="489">
        <v>0.13287399999999999</v>
      </c>
      <c r="K35" s="490"/>
      <c r="L35" s="474">
        <v>46246828</v>
      </c>
      <c r="M35" s="474"/>
      <c r="N35" s="475">
        <v>30.5</v>
      </c>
      <c r="O35" s="475"/>
      <c r="P35" s="477"/>
      <c r="Q35" s="477"/>
      <c r="R35" s="474">
        <v>46246828</v>
      </c>
      <c r="S35" s="707">
        <f>PRO_DS_KWH_1-PRO_DS_KWH_3</f>
        <v>5.9884999999999994E-2</v>
      </c>
      <c r="V35" s="476"/>
      <c r="Y35" s="470"/>
      <c r="Z35" s="483"/>
      <c r="AA35" s="470"/>
      <c r="AB35" s="470"/>
      <c r="AC35" s="472"/>
      <c r="AD35" s="472"/>
      <c r="AE35" s="470"/>
      <c r="AF35" s="470"/>
      <c r="AH35" s="472"/>
      <c r="AI35" s="470"/>
      <c r="AJ35" s="470"/>
      <c r="AL35" s="470"/>
      <c r="AM35" s="472"/>
      <c r="AN35" s="472"/>
    </row>
    <row r="36" spans="1:40">
      <c r="A36" s="453">
        <v>14</v>
      </c>
      <c r="C36" s="455" t="s">
        <v>140</v>
      </c>
      <c r="F36" s="477"/>
      <c r="G36" s="468"/>
      <c r="H36" s="476">
        <v>519725648</v>
      </c>
      <c r="I36" s="477"/>
      <c r="J36" s="489">
        <v>8.6375999999999994E-2</v>
      </c>
      <c r="K36" s="490"/>
      <c r="L36" s="474">
        <v>44891823</v>
      </c>
      <c r="M36" s="474"/>
      <c r="N36" s="475">
        <v>29.6</v>
      </c>
      <c r="O36" s="475"/>
      <c r="P36" s="477"/>
      <c r="Q36" s="477"/>
      <c r="R36" s="474">
        <v>44891823</v>
      </c>
      <c r="S36" s="707">
        <f>PRO_DS_KWH_2-PRO_DS_KWH_3</f>
        <v>1.3386999999999996E-2</v>
      </c>
      <c r="V36" s="479"/>
      <c r="Y36" s="479"/>
      <c r="Z36" s="484"/>
      <c r="AA36" s="479"/>
      <c r="AB36" s="479"/>
      <c r="AC36" s="479"/>
      <c r="AD36" s="479"/>
      <c r="AE36" s="479"/>
      <c r="AF36" s="479"/>
      <c r="AI36" s="479"/>
      <c r="AJ36" s="479"/>
      <c r="AK36" s="485"/>
      <c r="AL36" s="479"/>
      <c r="AM36" s="472"/>
      <c r="AN36" s="472"/>
    </row>
    <row r="37" spans="1:40">
      <c r="A37" s="453">
        <v>15</v>
      </c>
      <c r="C37" s="455" t="s">
        <v>141</v>
      </c>
      <c r="F37" s="477"/>
      <c r="G37" s="468"/>
      <c r="H37" s="476">
        <v>228571887</v>
      </c>
      <c r="I37" s="477"/>
      <c r="J37" s="489">
        <v>7.2988999999999998E-2</v>
      </c>
      <c r="K37" s="490"/>
      <c r="L37" s="474">
        <v>16683233</v>
      </c>
      <c r="M37" s="474"/>
      <c r="N37" s="475">
        <v>11</v>
      </c>
      <c r="O37" s="475"/>
      <c r="P37" s="477"/>
      <c r="Q37" s="477"/>
      <c r="R37" s="474">
        <v>16683233</v>
      </c>
      <c r="S37" s="707"/>
      <c r="T37" s="455"/>
      <c r="V37" s="470"/>
      <c r="Y37" s="470"/>
      <c r="Z37" s="484"/>
      <c r="AA37" s="470"/>
      <c r="AB37" s="470"/>
      <c r="AC37" s="472"/>
      <c r="AD37" s="472"/>
      <c r="AE37" s="470"/>
      <c r="AF37" s="470"/>
      <c r="AH37" s="472"/>
      <c r="AI37" s="470"/>
      <c r="AJ37" s="470"/>
      <c r="AL37" s="470"/>
      <c r="AM37" s="472"/>
      <c r="AN37" s="472"/>
    </row>
    <row r="38" spans="1:40">
      <c r="A38" s="453">
        <v>16</v>
      </c>
      <c r="C38" s="455" t="s">
        <v>360</v>
      </c>
      <c r="F38" s="468"/>
      <c r="G38" s="468"/>
      <c r="H38" s="476">
        <v>928876</v>
      </c>
      <c r="I38" s="477"/>
      <c r="J38" s="489">
        <v>0.35571399999999997</v>
      </c>
      <c r="K38" s="490"/>
      <c r="L38" s="474">
        <v>330414</v>
      </c>
      <c r="M38" s="474"/>
      <c r="N38" s="475">
        <v>0.2</v>
      </c>
      <c r="O38" s="475"/>
      <c r="P38" s="477"/>
      <c r="Q38" s="477"/>
      <c r="R38" s="474">
        <v>330414</v>
      </c>
      <c r="S38" s="707"/>
      <c r="V38" s="479"/>
      <c r="Y38" s="479"/>
      <c r="Z38" s="484"/>
      <c r="AA38" s="479"/>
      <c r="AB38" s="479"/>
      <c r="AC38" s="479"/>
      <c r="AD38" s="479"/>
      <c r="AE38" s="479"/>
      <c r="AF38" s="479"/>
      <c r="AI38" s="479"/>
      <c r="AJ38" s="479"/>
      <c r="AK38" s="485"/>
      <c r="AL38" s="479"/>
      <c r="AM38" s="472"/>
      <c r="AN38" s="472"/>
    </row>
    <row r="39" spans="1:40">
      <c r="A39" s="453">
        <v>17</v>
      </c>
      <c r="C39" s="455" t="s">
        <v>361</v>
      </c>
      <c r="F39" s="468"/>
      <c r="G39" s="468"/>
      <c r="H39" s="476">
        <v>66268</v>
      </c>
      <c r="I39" s="477"/>
      <c r="J39" s="489">
        <v>0.218386</v>
      </c>
      <c r="K39" s="490"/>
      <c r="L39" s="474">
        <v>14472</v>
      </c>
      <c r="M39" s="474"/>
      <c r="N39" s="475">
        <v>0</v>
      </c>
      <c r="O39" s="475"/>
      <c r="P39" s="491"/>
      <c r="Q39" s="477"/>
      <c r="R39" s="474">
        <v>14472</v>
      </c>
      <c r="S39" s="707"/>
      <c r="T39" s="455"/>
      <c r="Z39" s="484"/>
      <c r="AA39" s="470"/>
      <c r="AB39" s="470"/>
      <c r="AC39" s="472"/>
      <c r="AD39" s="472"/>
      <c r="AE39" s="470"/>
      <c r="AF39" s="470"/>
      <c r="AH39" s="472"/>
      <c r="AI39" s="470"/>
      <c r="AJ39" s="470"/>
      <c r="AL39" s="470"/>
      <c r="AM39" s="472"/>
      <c r="AN39" s="472"/>
    </row>
    <row r="40" spans="1:40" ht="21.75" customHeight="1">
      <c r="A40" s="453">
        <v>18</v>
      </c>
      <c r="C40" s="458" t="s">
        <v>142</v>
      </c>
      <c r="F40" s="492"/>
      <c r="G40" s="468"/>
      <c r="H40" s="480">
        <v>1097342923</v>
      </c>
      <c r="I40" s="474"/>
      <c r="J40" s="493"/>
      <c r="K40" s="488"/>
      <c r="L40" s="480">
        <v>108166770</v>
      </c>
      <c r="M40" s="474"/>
      <c r="N40" s="482">
        <v>71.400000000000006</v>
      </c>
      <c r="O40" s="475"/>
      <c r="P40" s="480"/>
      <c r="Q40" s="474"/>
      <c r="R40" s="480">
        <v>108166770</v>
      </c>
      <c r="S40" s="470"/>
      <c r="V40" s="479"/>
      <c r="Y40" s="479"/>
      <c r="Z40" s="484"/>
      <c r="AA40" s="479"/>
      <c r="AB40" s="479"/>
      <c r="AC40" s="479"/>
      <c r="AD40" s="479"/>
      <c r="AE40" s="479"/>
      <c r="AF40" s="479"/>
      <c r="AI40" s="479"/>
      <c r="AJ40" s="479"/>
      <c r="AK40" s="485"/>
      <c r="AL40" s="479"/>
    </row>
    <row r="41" spans="1:40" ht="21.75" customHeight="1">
      <c r="A41" s="453">
        <v>19</v>
      </c>
      <c r="C41" s="458" t="s">
        <v>437</v>
      </c>
      <c r="F41" s="492">
        <v>155005</v>
      </c>
      <c r="G41" s="468"/>
      <c r="H41" s="480">
        <v>1097342923</v>
      </c>
      <c r="I41" s="474"/>
      <c r="J41" s="493"/>
      <c r="K41" s="488"/>
      <c r="L41" s="480">
        <v>144278491</v>
      </c>
      <c r="M41" s="474"/>
      <c r="N41" s="482">
        <v>95.3</v>
      </c>
      <c r="O41" s="475"/>
      <c r="P41" s="480"/>
      <c r="Q41" s="474"/>
      <c r="R41" s="480">
        <v>144278491</v>
      </c>
      <c r="S41" s="470"/>
      <c r="V41" s="479"/>
      <c r="Y41" s="479"/>
      <c r="Z41" s="484"/>
      <c r="AA41" s="479"/>
      <c r="AB41" s="479"/>
      <c r="AC41" s="479"/>
      <c r="AD41" s="479"/>
      <c r="AE41" s="479"/>
      <c r="AF41" s="479"/>
      <c r="AI41" s="479"/>
      <c r="AJ41" s="479"/>
      <c r="AK41" s="485"/>
      <c r="AL41" s="479"/>
    </row>
    <row r="42" spans="1:40" ht="15.75" customHeight="1">
      <c r="C42" s="458"/>
      <c r="F42" s="474"/>
      <c r="G42" s="468"/>
      <c r="H42" s="474"/>
      <c r="I42" s="474"/>
      <c r="J42" s="493"/>
      <c r="K42" s="488"/>
      <c r="L42" s="474"/>
      <c r="M42" s="474"/>
      <c r="N42" s="475"/>
      <c r="O42" s="475"/>
      <c r="P42" s="474"/>
      <c r="Q42" s="474"/>
      <c r="R42" s="474"/>
      <c r="S42" s="470"/>
      <c r="V42" s="479"/>
      <c r="Y42" s="479"/>
      <c r="Z42" s="484"/>
      <c r="AA42" s="479"/>
      <c r="AB42" s="479"/>
      <c r="AC42" s="479"/>
      <c r="AD42" s="479"/>
      <c r="AE42" s="479"/>
      <c r="AF42" s="479"/>
      <c r="AI42" s="479"/>
      <c r="AJ42" s="479"/>
      <c r="AK42" s="485"/>
      <c r="AL42" s="479"/>
    </row>
    <row r="43" spans="1:40" ht="15.75" customHeight="1">
      <c r="A43" s="453">
        <v>20</v>
      </c>
      <c r="C43" s="458" t="s">
        <v>430</v>
      </c>
      <c r="F43" s="474"/>
      <c r="G43" s="468"/>
      <c r="H43" s="474"/>
      <c r="I43" s="474"/>
      <c r="J43" s="493"/>
      <c r="K43" s="488"/>
      <c r="L43" s="474"/>
      <c r="M43" s="474"/>
      <c r="N43" s="475"/>
      <c r="O43" s="475"/>
      <c r="P43" s="474"/>
      <c r="Q43" s="474"/>
      <c r="R43" s="474"/>
      <c r="S43" s="470"/>
      <c r="V43" s="479"/>
      <c r="Y43" s="479"/>
      <c r="Z43" s="484"/>
      <c r="AA43" s="479"/>
      <c r="AB43" s="479"/>
      <c r="AC43" s="479"/>
      <c r="AD43" s="479"/>
      <c r="AE43" s="479"/>
      <c r="AF43" s="479"/>
      <c r="AI43" s="479"/>
      <c r="AJ43" s="479"/>
      <c r="AK43" s="485"/>
      <c r="AL43" s="479"/>
    </row>
    <row r="44" spans="1:40" ht="15.75" customHeight="1">
      <c r="A44" s="453">
        <v>21</v>
      </c>
      <c r="C44" s="494" t="s">
        <v>434</v>
      </c>
      <c r="F44" s="474"/>
      <c r="G44" s="468"/>
      <c r="H44" s="474"/>
      <c r="I44" s="474"/>
      <c r="J44" s="495">
        <v>3.503E-3</v>
      </c>
      <c r="K44" s="488"/>
      <c r="L44" s="474">
        <v>3843992</v>
      </c>
      <c r="M44" s="474"/>
      <c r="N44" s="496">
        <v>2.5</v>
      </c>
      <c r="O44" s="475"/>
      <c r="P44" s="474"/>
      <c r="Q44" s="474"/>
      <c r="R44" s="474">
        <v>3843992</v>
      </c>
      <c r="S44" s="470"/>
      <c r="V44" s="479"/>
      <c r="Y44" s="479"/>
      <c r="Z44" s="484"/>
      <c r="AA44" s="479"/>
      <c r="AB44" s="479"/>
      <c r="AC44" s="479"/>
      <c r="AD44" s="479"/>
      <c r="AE44" s="479"/>
      <c r="AF44" s="479"/>
      <c r="AI44" s="479"/>
      <c r="AJ44" s="479"/>
      <c r="AK44" s="485"/>
      <c r="AL44" s="479"/>
    </row>
    <row r="45" spans="1:40" ht="15.75" customHeight="1">
      <c r="A45" s="453">
        <v>22</v>
      </c>
      <c r="C45" s="494" t="s">
        <v>531</v>
      </c>
      <c r="F45" s="474"/>
      <c r="G45" s="468"/>
      <c r="H45" s="474"/>
      <c r="I45" s="474"/>
      <c r="J45" s="497">
        <v>5.4606095773317587E-3</v>
      </c>
      <c r="K45" s="488"/>
      <c r="L45" s="474">
        <v>621254</v>
      </c>
      <c r="M45" s="474"/>
      <c r="N45" s="496">
        <v>0.4</v>
      </c>
      <c r="O45" s="475"/>
      <c r="P45" s="474"/>
      <c r="Q45" s="474"/>
      <c r="R45" s="474">
        <v>621254</v>
      </c>
      <c r="S45" s="470"/>
      <c r="V45" s="479"/>
      <c r="Y45" s="479"/>
      <c r="Z45" s="484"/>
      <c r="AA45" s="479"/>
      <c r="AB45" s="479"/>
      <c r="AC45" s="479"/>
      <c r="AD45" s="479"/>
      <c r="AE45" s="479"/>
      <c r="AF45" s="479"/>
      <c r="AI45" s="479"/>
      <c r="AJ45" s="479"/>
      <c r="AK45" s="485"/>
      <c r="AL45" s="479"/>
    </row>
    <row r="46" spans="1:40" ht="15.75" customHeight="1">
      <c r="A46" s="453">
        <v>23</v>
      </c>
      <c r="C46" s="494" t="s">
        <v>963</v>
      </c>
      <c r="F46" s="474"/>
      <c r="G46" s="468"/>
      <c r="H46" s="474"/>
      <c r="I46" s="474"/>
      <c r="J46" s="495">
        <v>3.4872127999999998E-3</v>
      </c>
      <c r="K46" s="488"/>
      <c r="L46" s="474"/>
      <c r="M46" s="474"/>
      <c r="N46" s="496"/>
      <c r="O46" s="475"/>
      <c r="P46" s="474">
        <v>3826668</v>
      </c>
      <c r="Q46" s="474"/>
      <c r="R46" s="474">
        <v>3826668</v>
      </c>
      <c r="S46" s="470"/>
      <c r="V46" s="479"/>
      <c r="Y46" s="479"/>
      <c r="Z46" s="484"/>
      <c r="AA46" s="479"/>
      <c r="AB46" s="479"/>
      <c r="AC46" s="479"/>
      <c r="AD46" s="479"/>
      <c r="AE46" s="479"/>
      <c r="AF46" s="479"/>
      <c r="AI46" s="479"/>
      <c r="AJ46" s="479"/>
      <c r="AK46" s="485"/>
      <c r="AL46" s="479"/>
    </row>
    <row r="47" spans="1:40" ht="15.75" customHeight="1">
      <c r="A47" s="453">
        <v>24</v>
      </c>
      <c r="C47" s="494" t="s">
        <v>432</v>
      </c>
      <c r="F47" s="474"/>
      <c r="G47" s="468"/>
      <c r="H47" s="474"/>
      <c r="I47" s="474"/>
      <c r="J47" s="495">
        <v>2.4750000000000002E-3</v>
      </c>
      <c r="K47" s="488"/>
      <c r="L47" s="492">
        <v>2715924</v>
      </c>
      <c r="M47" s="474"/>
      <c r="N47" s="498">
        <v>1.8</v>
      </c>
      <c r="O47" s="475"/>
      <c r="P47" s="492"/>
      <c r="Q47" s="474"/>
      <c r="R47" s="492">
        <v>2715924</v>
      </c>
      <c r="S47" s="470"/>
      <c r="V47" s="479"/>
      <c r="Y47" s="479"/>
      <c r="Z47" s="484"/>
      <c r="AA47" s="479"/>
      <c r="AB47" s="479"/>
      <c r="AC47" s="479"/>
      <c r="AD47" s="479"/>
      <c r="AE47" s="479"/>
      <c r="AF47" s="479"/>
      <c r="AI47" s="479"/>
      <c r="AJ47" s="479"/>
      <c r="AK47" s="485"/>
      <c r="AL47" s="479"/>
    </row>
    <row r="48" spans="1:40" ht="18" customHeight="1">
      <c r="A48" s="453">
        <v>25</v>
      </c>
      <c r="C48" s="458" t="s">
        <v>435</v>
      </c>
      <c r="F48" s="492"/>
      <c r="G48" s="468"/>
      <c r="H48" s="492"/>
      <c r="I48" s="474"/>
      <c r="J48" s="488"/>
      <c r="K48" s="488"/>
      <c r="L48" s="480">
        <v>7181170</v>
      </c>
      <c r="M48" s="474"/>
      <c r="N48" s="499">
        <v>4.7</v>
      </c>
      <c r="O48" s="475"/>
      <c r="P48" s="480">
        <v>3826668</v>
      </c>
      <c r="Q48" s="474"/>
      <c r="R48" s="480">
        <v>11007838</v>
      </c>
      <c r="S48" s="470"/>
      <c r="V48" s="479"/>
      <c r="Y48" s="479"/>
      <c r="Z48" s="484"/>
      <c r="AA48" s="479"/>
      <c r="AB48" s="479"/>
      <c r="AC48" s="479"/>
      <c r="AD48" s="479"/>
      <c r="AE48" s="479"/>
      <c r="AF48" s="479"/>
      <c r="AI48" s="479"/>
      <c r="AJ48" s="479"/>
      <c r="AK48" s="485"/>
      <c r="AL48" s="479"/>
    </row>
    <row r="49" spans="1:43">
      <c r="C49" s="455"/>
      <c r="F49" s="474"/>
      <c r="G49" s="468"/>
      <c r="H49" s="474"/>
      <c r="I49" s="474"/>
      <c r="J49" s="488"/>
      <c r="K49" s="488"/>
      <c r="L49" s="474"/>
      <c r="M49" s="474"/>
      <c r="N49" s="475"/>
      <c r="O49" s="475"/>
      <c r="P49" s="474"/>
      <c r="Q49" s="474"/>
      <c r="R49" s="474"/>
      <c r="S49" s="470"/>
      <c r="V49" s="479"/>
      <c r="Y49" s="479"/>
      <c r="Z49" s="484"/>
      <c r="AA49" s="479"/>
      <c r="AB49" s="479"/>
      <c r="AC49" s="479"/>
      <c r="AD49" s="479"/>
      <c r="AE49" s="479"/>
      <c r="AF49" s="479"/>
      <c r="AI49" s="479"/>
      <c r="AJ49" s="479"/>
      <c r="AK49" s="485"/>
      <c r="AL49" s="479"/>
    </row>
    <row r="50" spans="1:43" ht="20.100000000000001" customHeight="1" thickBot="1">
      <c r="A50" s="453">
        <v>26</v>
      </c>
      <c r="C50" s="487" t="s">
        <v>438</v>
      </c>
      <c r="F50" s="500">
        <v>155005</v>
      </c>
      <c r="G50" s="468"/>
      <c r="H50" s="500">
        <v>1097342923</v>
      </c>
      <c r="I50" s="474"/>
      <c r="J50" s="488"/>
      <c r="K50" s="488"/>
      <c r="L50" s="500">
        <v>151459661</v>
      </c>
      <c r="M50" s="474"/>
      <c r="N50" s="501">
        <v>100</v>
      </c>
      <c r="O50" s="475"/>
      <c r="P50" s="500">
        <v>3826668</v>
      </c>
      <c r="Q50" s="474"/>
      <c r="R50" s="500">
        <v>155286329</v>
      </c>
      <c r="S50" s="470"/>
      <c r="AA50" s="470"/>
      <c r="AB50" s="470"/>
      <c r="AC50" s="470"/>
      <c r="AD50" s="470"/>
      <c r="AI50" s="470"/>
      <c r="AJ50" s="470"/>
      <c r="AL50" s="470"/>
    </row>
    <row r="51" spans="1:43" ht="15.2" customHeight="1" thickTop="1">
      <c r="F51" s="474"/>
      <c r="G51" s="468"/>
      <c r="H51" s="474"/>
      <c r="I51" s="474"/>
      <c r="J51" s="488"/>
      <c r="K51" s="488"/>
      <c r="L51" s="474"/>
      <c r="M51" s="474"/>
      <c r="N51" s="474"/>
      <c r="O51" s="474"/>
      <c r="P51" s="474"/>
      <c r="Q51" s="474"/>
      <c r="R51" s="474"/>
    </row>
    <row r="52" spans="1:43">
      <c r="C52" s="502" t="s">
        <v>59</v>
      </c>
      <c r="F52" s="470"/>
      <c r="H52" s="470"/>
      <c r="I52" s="470"/>
      <c r="J52" s="503"/>
      <c r="K52" s="503"/>
      <c r="L52" s="470"/>
      <c r="M52" s="470"/>
      <c r="N52" s="470"/>
      <c r="O52" s="470"/>
      <c r="P52" s="470"/>
      <c r="Q52" s="470"/>
      <c r="R52" s="470"/>
      <c r="Y52" s="455"/>
    </row>
    <row r="53" spans="1:43">
      <c r="A53" s="455"/>
      <c r="C53" s="502" t="s">
        <v>1136</v>
      </c>
      <c r="F53" s="470"/>
      <c r="H53" s="470"/>
      <c r="I53" s="470"/>
      <c r="J53" s="503"/>
      <c r="K53" s="503"/>
      <c r="L53" s="470"/>
      <c r="M53" s="470"/>
      <c r="N53" s="470"/>
      <c r="O53" s="470"/>
      <c r="P53" s="470"/>
      <c r="Q53" s="470"/>
      <c r="R53" s="470"/>
    </row>
    <row r="54" spans="1:43">
      <c r="C54" s="502" t="s">
        <v>1137</v>
      </c>
      <c r="L54" s="455"/>
      <c r="M54" s="455"/>
      <c r="AA54" s="455"/>
      <c r="AB54" s="455"/>
    </row>
    <row r="55" spans="1:43">
      <c r="C55" s="502" t="s">
        <v>1138</v>
      </c>
      <c r="L55" s="455"/>
      <c r="M55" s="455"/>
      <c r="AA55" s="455"/>
      <c r="AB55" s="455"/>
    </row>
    <row r="56" spans="1:43">
      <c r="R56" s="455"/>
      <c r="AK56" s="456"/>
      <c r="AL56" s="455"/>
    </row>
    <row r="57" spans="1:43">
      <c r="F57" s="504"/>
      <c r="H57" s="470"/>
      <c r="R57" s="455"/>
      <c r="T57" s="452" t="s">
        <v>479</v>
      </c>
      <c r="U57" s="452"/>
      <c r="V57" s="452"/>
      <c r="W57" s="452"/>
      <c r="X57" s="452"/>
      <c r="Y57" s="452"/>
      <c r="Z57" s="452"/>
      <c r="AA57" s="452"/>
      <c r="AB57" s="452"/>
      <c r="AC57" s="452"/>
      <c r="AD57" s="452"/>
      <c r="AE57" s="452"/>
      <c r="AF57" s="452"/>
      <c r="AG57" s="505"/>
      <c r="AH57" s="452"/>
      <c r="AI57" s="452"/>
      <c r="AJ57" s="452"/>
      <c r="AK57" s="505"/>
      <c r="AL57" s="452"/>
      <c r="AM57" s="452"/>
      <c r="AN57" s="452"/>
      <c r="AO57" s="452"/>
      <c r="AP57" s="452"/>
      <c r="AQ57" s="505"/>
    </row>
    <row r="58" spans="1:43">
      <c r="R58" s="455"/>
      <c r="T58" s="452" t="s">
        <v>1132</v>
      </c>
      <c r="U58" s="452"/>
      <c r="V58" s="452"/>
      <c r="W58" s="452"/>
      <c r="X58" s="452"/>
      <c r="Y58" s="452"/>
      <c r="Z58" s="452"/>
      <c r="AA58" s="452"/>
      <c r="AB58" s="452"/>
      <c r="AC58" s="452"/>
      <c r="AD58" s="452"/>
      <c r="AE58" s="452"/>
      <c r="AF58" s="452"/>
      <c r="AG58" s="505"/>
      <c r="AH58" s="452"/>
      <c r="AI58" s="452"/>
      <c r="AJ58" s="452"/>
      <c r="AK58" s="505"/>
      <c r="AL58" s="452"/>
      <c r="AM58" s="452"/>
      <c r="AN58" s="452"/>
      <c r="AO58" s="452"/>
      <c r="AP58" s="452"/>
      <c r="AQ58" s="505"/>
    </row>
    <row r="59" spans="1:43">
      <c r="A59" s="455"/>
      <c r="H59" s="470"/>
      <c r="R59" s="455"/>
      <c r="T59" s="452" t="s">
        <v>540</v>
      </c>
      <c r="U59" s="452"/>
      <c r="V59" s="452"/>
      <c r="W59" s="452"/>
      <c r="X59" s="452"/>
      <c r="Y59" s="452"/>
      <c r="Z59" s="452"/>
      <c r="AA59" s="452"/>
      <c r="AB59" s="452"/>
      <c r="AC59" s="452"/>
      <c r="AD59" s="452"/>
      <c r="AE59" s="452"/>
      <c r="AF59" s="452"/>
      <c r="AG59" s="505"/>
      <c r="AH59" s="452"/>
      <c r="AI59" s="452"/>
      <c r="AJ59" s="452"/>
      <c r="AK59" s="505"/>
      <c r="AL59" s="452"/>
      <c r="AM59" s="452"/>
      <c r="AN59" s="452"/>
      <c r="AO59" s="452"/>
      <c r="AP59" s="452"/>
      <c r="AQ59" s="505"/>
    </row>
    <row r="60" spans="1:43">
      <c r="L60" s="455"/>
      <c r="M60" s="455"/>
      <c r="T60" s="452" t="s">
        <v>1041</v>
      </c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2"/>
      <c r="AF60" s="452"/>
      <c r="AG60" s="505"/>
      <c r="AH60" s="452"/>
      <c r="AI60" s="452"/>
      <c r="AJ60" s="452"/>
      <c r="AK60" s="505"/>
      <c r="AL60" s="452"/>
      <c r="AM60" s="452"/>
      <c r="AN60" s="452"/>
      <c r="AO60" s="452"/>
      <c r="AP60" s="452"/>
      <c r="AQ60" s="505"/>
    </row>
    <row r="61" spans="1:43">
      <c r="A61" s="460"/>
      <c r="B61" s="460"/>
      <c r="C61" s="460"/>
      <c r="D61" s="460"/>
      <c r="E61" s="460"/>
      <c r="F61" s="506"/>
      <c r="G61" s="460"/>
      <c r="H61" s="460"/>
      <c r="I61" s="460"/>
      <c r="J61" s="460"/>
      <c r="K61" s="460"/>
      <c r="L61" s="460"/>
      <c r="M61" s="460"/>
      <c r="N61" s="460"/>
      <c r="O61" s="460"/>
      <c r="P61" s="460"/>
      <c r="Q61" s="460"/>
      <c r="R61" s="460"/>
      <c r="T61" s="452" t="s">
        <v>2</v>
      </c>
      <c r="U61" s="452"/>
      <c r="V61" s="452"/>
      <c r="W61" s="452"/>
      <c r="X61" s="452"/>
      <c r="Y61" s="452"/>
      <c r="Z61" s="452"/>
      <c r="AA61" s="452"/>
      <c r="AB61" s="452"/>
      <c r="AC61" s="452"/>
      <c r="AD61" s="452"/>
      <c r="AE61" s="452"/>
      <c r="AF61" s="452"/>
      <c r="AG61" s="505"/>
      <c r="AH61" s="452"/>
      <c r="AI61" s="452"/>
      <c r="AJ61" s="452"/>
      <c r="AK61" s="505"/>
      <c r="AL61" s="452"/>
      <c r="AM61" s="452"/>
      <c r="AN61" s="452"/>
      <c r="AO61" s="452"/>
      <c r="AP61" s="452"/>
      <c r="AQ61" s="505"/>
    </row>
    <row r="62" spans="1:43">
      <c r="L62" s="462"/>
      <c r="M62" s="462"/>
      <c r="N62" s="462"/>
      <c r="O62" s="462"/>
      <c r="R62" s="462"/>
      <c r="T62" s="453" t="s">
        <v>539</v>
      </c>
      <c r="AO62" s="455" t="s">
        <v>157</v>
      </c>
      <c r="AP62" s="455"/>
    </row>
    <row r="63" spans="1:43">
      <c r="L63" s="462"/>
      <c r="M63" s="462"/>
      <c r="N63" s="462"/>
      <c r="O63" s="462"/>
      <c r="R63" s="462"/>
      <c r="T63" s="453" t="s">
        <v>333</v>
      </c>
      <c r="AO63" s="457" t="s">
        <v>1134</v>
      </c>
      <c r="AP63" s="455"/>
    </row>
    <row r="64" spans="1:43">
      <c r="A64" s="462"/>
      <c r="C64" s="462"/>
      <c r="D64" s="462"/>
      <c r="E64" s="462"/>
      <c r="F64" s="462"/>
      <c r="J64" s="462"/>
      <c r="K64" s="462"/>
      <c r="L64" s="462"/>
      <c r="M64" s="462"/>
      <c r="N64" s="462"/>
      <c r="O64" s="462"/>
      <c r="P64" s="462"/>
      <c r="Q64" s="462"/>
      <c r="R64" s="462"/>
      <c r="T64" s="455" t="s">
        <v>170</v>
      </c>
      <c r="AO64" s="455" t="s">
        <v>3</v>
      </c>
      <c r="AP64" s="455"/>
    </row>
    <row r="65" spans="1:43">
      <c r="A65" s="462"/>
      <c r="C65" s="462"/>
      <c r="D65" s="462"/>
      <c r="E65" s="462"/>
      <c r="F65" s="462"/>
      <c r="J65" s="462"/>
      <c r="K65" s="462"/>
      <c r="L65" s="462"/>
      <c r="M65" s="462"/>
      <c r="N65" s="462"/>
      <c r="O65" s="462"/>
      <c r="P65" s="462"/>
      <c r="Q65" s="462"/>
      <c r="R65" s="462"/>
      <c r="T65" s="458" t="s">
        <v>1135</v>
      </c>
      <c r="AO65" s="453" t="s">
        <v>970</v>
      </c>
    </row>
    <row r="66" spans="1:43">
      <c r="A66" s="462"/>
      <c r="C66" s="462"/>
      <c r="D66" s="462"/>
      <c r="E66" s="462"/>
      <c r="F66" s="462"/>
      <c r="J66" s="462"/>
      <c r="K66" s="462"/>
      <c r="L66" s="462"/>
      <c r="M66" s="462"/>
      <c r="N66" s="462"/>
      <c r="O66" s="462"/>
      <c r="P66" s="462"/>
      <c r="Q66" s="462"/>
      <c r="R66" s="462"/>
      <c r="T66" s="458" t="s">
        <v>173</v>
      </c>
    </row>
    <row r="67" spans="1:43">
      <c r="A67" s="462"/>
      <c r="C67" s="462"/>
      <c r="D67" s="462"/>
      <c r="E67" s="462"/>
      <c r="F67" s="462"/>
      <c r="H67" s="462"/>
      <c r="I67" s="462"/>
      <c r="J67" s="462"/>
      <c r="K67" s="462"/>
      <c r="L67" s="462"/>
      <c r="M67" s="462"/>
      <c r="N67" s="462"/>
      <c r="O67" s="462"/>
      <c r="P67" s="462"/>
      <c r="Q67" s="462"/>
      <c r="R67" s="462"/>
      <c r="T67" s="452" t="s">
        <v>130</v>
      </c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505"/>
      <c r="AH67" s="452"/>
      <c r="AI67" s="452"/>
      <c r="AJ67" s="452"/>
      <c r="AK67" s="505"/>
      <c r="AL67" s="452"/>
      <c r="AM67" s="452"/>
      <c r="AN67" s="452"/>
      <c r="AO67" s="452"/>
      <c r="AP67" s="452"/>
      <c r="AQ67" s="505"/>
    </row>
    <row r="68" spans="1:43">
      <c r="C68" s="462"/>
      <c r="D68" s="462"/>
      <c r="E68" s="462"/>
      <c r="F68" s="462"/>
      <c r="H68" s="462"/>
      <c r="I68" s="462"/>
      <c r="J68" s="462"/>
      <c r="K68" s="462"/>
      <c r="L68" s="462"/>
      <c r="M68" s="462"/>
      <c r="N68" s="462"/>
      <c r="O68" s="462"/>
      <c r="P68" s="462"/>
      <c r="Q68" s="462"/>
      <c r="R68" s="462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  <c r="AG68" s="507"/>
      <c r="AH68" s="459"/>
      <c r="AI68" s="459"/>
      <c r="AJ68" s="459"/>
      <c r="AK68" s="507"/>
      <c r="AL68" s="459"/>
      <c r="AM68" s="459"/>
      <c r="AN68" s="459"/>
      <c r="AO68" s="459"/>
      <c r="AP68" s="459"/>
      <c r="AQ68" s="507"/>
    </row>
    <row r="69" spans="1:43" ht="18" customHeight="1">
      <c r="A69" s="460"/>
      <c r="B69" s="460"/>
      <c r="C69" s="460"/>
      <c r="D69" s="460"/>
      <c r="E69" s="460"/>
      <c r="F69" s="460"/>
      <c r="G69" s="460"/>
      <c r="H69" s="460"/>
      <c r="I69" s="460"/>
      <c r="J69" s="460"/>
      <c r="K69" s="460"/>
      <c r="L69" s="460"/>
      <c r="M69" s="460"/>
      <c r="N69" s="460"/>
      <c r="O69" s="460"/>
      <c r="P69" s="460"/>
      <c r="Q69" s="460"/>
      <c r="R69" s="460"/>
      <c r="AE69" s="462" t="s">
        <v>8</v>
      </c>
      <c r="AF69" s="462"/>
      <c r="AG69" s="463" t="s">
        <v>7</v>
      </c>
      <c r="AH69" s="462"/>
      <c r="AI69" s="462" t="s">
        <v>9</v>
      </c>
      <c r="AJ69" s="462"/>
      <c r="AK69" s="463" t="s">
        <v>10</v>
      </c>
      <c r="AL69" s="462"/>
      <c r="AO69" s="462" t="s">
        <v>8</v>
      </c>
      <c r="AP69" s="462"/>
      <c r="AQ69" s="463" t="s">
        <v>11</v>
      </c>
    </row>
    <row r="70" spans="1:43">
      <c r="H70" s="462"/>
      <c r="I70" s="462"/>
      <c r="J70" s="462"/>
      <c r="K70" s="462"/>
      <c r="L70" s="462"/>
      <c r="M70" s="462"/>
      <c r="N70" s="462"/>
      <c r="O70" s="462"/>
      <c r="P70" s="462"/>
      <c r="Q70" s="462"/>
      <c r="R70" s="462"/>
      <c r="AC70" s="462" t="s">
        <v>14</v>
      </c>
      <c r="AD70" s="462"/>
      <c r="AE70" s="462" t="s">
        <v>12</v>
      </c>
      <c r="AF70" s="462"/>
      <c r="AG70" s="463" t="s">
        <v>13</v>
      </c>
      <c r="AH70" s="462"/>
      <c r="AI70" s="462" t="s">
        <v>15</v>
      </c>
      <c r="AJ70" s="462"/>
      <c r="AK70" s="463" t="s">
        <v>16</v>
      </c>
      <c r="AL70" s="462"/>
      <c r="AO70" s="462" t="s">
        <v>11</v>
      </c>
      <c r="AP70" s="462"/>
      <c r="AQ70" s="463" t="s">
        <v>9</v>
      </c>
    </row>
    <row r="71" spans="1:43">
      <c r="C71" s="455"/>
      <c r="D71" s="455"/>
      <c r="E71" s="455"/>
      <c r="T71" s="462" t="s">
        <v>17</v>
      </c>
      <c r="V71" s="462" t="s">
        <v>18</v>
      </c>
      <c r="W71" s="462" t="s">
        <v>19</v>
      </c>
      <c r="X71" s="462"/>
      <c r="Y71" s="462" t="s">
        <v>20</v>
      </c>
      <c r="AC71" s="462" t="s">
        <v>8</v>
      </c>
      <c r="AD71" s="462"/>
      <c r="AE71" s="462" t="s">
        <v>841</v>
      </c>
      <c r="AF71" s="462"/>
      <c r="AG71" s="463" t="s">
        <v>841</v>
      </c>
      <c r="AH71" s="462"/>
      <c r="AI71" s="462" t="s">
        <v>964</v>
      </c>
      <c r="AJ71" s="462"/>
      <c r="AK71" s="463" t="s">
        <v>964</v>
      </c>
      <c r="AL71" s="462"/>
      <c r="AM71" s="462" t="s">
        <v>841</v>
      </c>
      <c r="AN71" s="462"/>
      <c r="AO71" s="462" t="s">
        <v>9</v>
      </c>
      <c r="AP71" s="462"/>
      <c r="AQ71" s="463" t="s">
        <v>21</v>
      </c>
    </row>
    <row r="72" spans="1:43">
      <c r="D72" s="455"/>
      <c r="E72" s="455"/>
      <c r="T72" s="462" t="s">
        <v>22</v>
      </c>
      <c r="V72" s="462" t="s">
        <v>23</v>
      </c>
      <c r="W72" s="462" t="s">
        <v>24</v>
      </c>
      <c r="X72" s="462"/>
      <c r="Y72" s="462" t="s">
        <v>25</v>
      </c>
      <c r="AA72" s="462" t="s">
        <v>26</v>
      </c>
      <c r="AB72" s="462"/>
      <c r="AC72" s="462" t="s">
        <v>27</v>
      </c>
      <c r="AD72" s="462"/>
      <c r="AE72" s="462" t="s">
        <v>9</v>
      </c>
      <c r="AF72" s="462"/>
      <c r="AG72" s="463" t="s">
        <v>9</v>
      </c>
      <c r="AH72" s="462"/>
      <c r="AI72" s="464" t="s">
        <v>29</v>
      </c>
      <c r="AJ72" s="464"/>
      <c r="AK72" s="508" t="s">
        <v>30</v>
      </c>
      <c r="AL72" s="462"/>
      <c r="AM72" s="462" t="s">
        <v>323</v>
      </c>
      <c r="AN72" s="462"/>
      <c r="AO72" s="464" t="s">
        <v>31</v>
      </c>
      <c r="AP72" s="464"/>
      <c r="AQ72" s="508" t="s">
        <v>32</v>
      </c>
    </row>
    <row r="73" spans="1:43">
      <c r="V73" s="464" t="s">
        <v>33</v>
      </c>
      <c r="W73" s="464" t="s">
        <v>34</v>
      </c>
      <c r="X73" s="464"/>
      <c r="Y73" s="464" t="s">
        <v>35</v>
      </c>
      <c r="Z73" s="465"/>
      <c r="AA73" s="464" t="s">
        <v>36</v>
      </c>
      <c r="AB73" s="464"/>
      <c r="AC73" s="464" t="s">
        <v>42</v>
      </c>
      <c r="AD73" s="464"/>
      <c r="AE73" s="464" t="s">
        <v>43</v>
      </c>
      <c r="AF73" s="464"/>
      <c r="AG73" s="508" t="s">
        <v>44</v>
      </c>
      <c r="AH73" s="464"/>
      <c r="AI73" s="464" t="s">
        <v>45</v>
      </c>
      <c r="AJ73" s="464"/>
      <c r="AK73" s="508" t="s">
        <v>46</v>
      </c>
      <c r="AL73" s="464"/>
      <c r="AM73" s="464" t="s">
        <v>40</v>
      </c>
      <c r="AN73" s="464"/>
      <c r="AO73" s="464" t="s">
        <v>47</v>
      </c>
      <c r="AP73" s="464"/>
      <c r="AQ73" s="508" t="s">
        <v>48</v>
      </c>
    </row>
    <row r="74" spans="1:43">
      <c r="C74" s="455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59"/>
      <c r="AE74" s="459"/>
      <c r="AF74" s="459"/>
      <c r="AG74" s="507"/>
      <c r="AH74" s="459"/>
      <c r="AI74" s="459"/>
      <c r="AJ74" s="459"/>
      <c r="AK74" s="507"/>
      <c r="AL74" s="459"/>
      <c r="AM74" s="459"/>
      <c r="AN74" s="459"/>
      <c r="AO74" s="459"/>
      <c r="AP74" s="459"/>
      <c r="AQ74" s="507"/>
    </row>
    <row r="75" spans="1:43" ht="17.100000000000001" customHeight="1">
      <c r="C75" s="455"/>
      <c r="F75" s="476"/>
      <c r="H75" s="476"/>
      <c r="I75" s="476"/>
      <c r="J75" s="471"/>
      <c r="K75" s="471"/>
      <c r="L75" s="470"/>
      <c r="M75" s="470"/>
      <c r="N75" s="472"/>
      <c r="O75" s="472"/>
      <c r="R75" s="470"/>
      <c r="AA75" s="466" t="s">
        <v>196</v>
      </c>
      <c r="AB75" s="467"/>
      <c r="AC75" s="466" t="s">
        <v>331</v>
      </c>
      <c r="AD75" s="467"/>
      <c r="AE75" s="467" t="s">
        <v>50</v>
      </c>
      <c r="AF75" s="467"/>
      <c r="AG75" s="509" t="s">
        <v>51</v>
      </c>
      <c r="AH75" s="467"/>
      <c r="AI75" s="467" t="s">
        <v>50</v>
      </c>
      <c r="AJ75" s="467"/>
      <c r="AK75" s="509" t="s">
        <v>51</v>
      </c>
      <c r="AL75" s="467"/>
      <c r="AM75" s="467" t="s">
        <v>50</v>
      </c>
      <c r="AN75" s="467"/>
      <c r="AO75" s="467" t="s">
        <v>50</v>
      </c>
      <c r="AP75" s="467"/>
      <c r="AQ75" s="509" t="s">
        <v>51</v>
      </c>
    </row>
    <row r="76" spans="1:43">
      <c r="C76" s="455"/>
      <c r="F76" s="476"/>
      <c r="H76" s="476"/>
      <c r="I76" s="476"/>
      <c r="J76" s="471"/>
      <c r="K76" s="471"/>
      <c r="L76" s="470"/>
      <c r="M76" s="470"/>
      <c r="N76" s="472"/>
      <c r="O76" s="472"/>
      <c r="R76" s="470"/>
      <c r="T76" s="453">
        <v>1</v>
      </c>
      <c r="V76" s="458" t="s">
        <v>91</v>
      </c>
      <c r="W76" s="458" t="s">
        <v>143</v>
      </c>
      <c r="X76" s="455"/>
      <c r="Y76" s="468"/>
      <c r="Z76" s="468"/>
      <c r="AA76" s="469"/>
      <c r="AB76" s="469"/>
      <c r="AC76" s="466" t="s">
        <v>328</v>
      </c>
      <c r="AD76" s="469"/>
      <c r="AE76" s="469"/>
      <c r="AF76" s="469"/>
      <c r="AG76" s="510"/>
      <c r="AH76" s="469"/>
      <c r="AI76" s="469"/>
      <c r="AJ76" s="469"/>
      <c r="AK76" s="510"/>
      <c r="AL76" s="469"/>
      <c r="AM76" s="469"/>
      <c r="AN76" s="469"/>
      <c r="AO76" s="469"/>
      <c r="AP76" s="469"/>
      <c r="AQ76" s="510"/>
    </row>
    <row r="77" spans="1:43">
      <c r="F77" s="479"/>
      <c r="H77" s="470"/>
      <c r="I77" s="470"/>
      <c r="J77" s="484"/>
      <c r="K77" s="484"/>
      <c r="L77" s="479"/>
      <c r="M77" s="479"/>
      <c r="N77" s="479"/>
      <c r="O77" s="479"/>
      <c r="P77" s="479"/>
      <c r="Q77" s="479"/>
      <c r="R77" s="479"/>
      <c r="T77" s="453">
        <v>2</v>
      </c>
      <c r="V77" s="465"/>
      <c r="W77" s="458" t="s">
        <v>132</v>
      </c>
      <c r="X77" s="455"/>
      <c r="Y77" s="468"/>
      <c r="Z77" s="468"/>
      <c r="AA77" s="468"/>
      <c r="AB77" s="468"/>
      <c r="AC77" s="468"/>
      <c r="AD77" s="468"/>
      <c r="AE77" s="468"/>
      <c r="AF77" s="468"/>
      <c r="AG77" s="496"/>
      <c r="AH77" s="468"/>
      <c r="AI77" s="468"/>
      <c r="AJ77" s="468"/>
      <c r="AK77" s="496"/>
      <c r="AL77" s="468"/>
      <c r="AM77" s="468"/>
      <c r="AN77" s="468"/>
      <c r="AO77" s="468"/>
      <c r="AP77" s="468"/>
      <c r="AQ77" s="496"/>
    </row>
    <row r="78" spans="1:43">
      <c r="C78" s="455"/>
      <c r="F78" s="470"/>
      <c r="H78" s="470"/>
      <c r="I78" s="470"/>
      <c r="J78" s="484"/>
      <c r="K78" s="484"/>
      <c r="L78" s="470"/>
      <c r="M78" s="470"/>
      <c r="N78" s="472"/>
      <c r="O78" s="472"/>
      <c r="P78" s="470"/>
      <c r="Q78" s="470"/>
      <c r="R78" s="470"/>
      <c r="Y78" s="468"/>
      <c r="Z78" s="468"/>
      <c r="AA78" s="468"/>
      <c r="AB78" s="468"/>
      <c r="AC78" s="468"/>
      <c r="AD78" s="468"/>
      <c r="AE78" s="468"/>
      <c r="AF78" s="468"/>
      <c r="AG78" s="496"/>
      <c r="AH78" s="468"/>
      <c r="AI78" s="468"/>
      <c r="AJ78" s="468"/>
      <c r="AK78" s="496"/>
      <c r="AL78" s="468"/>
      <c r="AM78" s="468"/>
      <c r="AN78" s="468"/>
      <c r="AO78" s="468"/>
      <c r="AP78" s="468"/>
      <c r="AQ78" s="496"/>
    </row>
    <row r="79" spans="1:43">
      <c r="F79" s="479"/>
      <c r="H79" s="470"/>
      <c r="I79" s="470"/>
      <c r="J79" s="484"/>
      <c r="K79" s="484"/>
      <c r="L79" s="479"/>
      <c r="M79" s="479"/>
      <c r="N79" s="479"/>
      <c r="O79" s="479"/>
      <c r="P79" s="479"/>
      <c r="Q79" s="479"/>
      <c r="R79" s="479"/>
      <c r="T79" s="453">
        <v>3</v>
      </c>
      <c r="V79" s="458" t="s">
        <v>133</v>
      </c>
      <c r="Y79" s="468"/>
      <c r="Z79" s="468"/>
      <c r="AA79" s="468"/>
      <c r="AB79" s="468"/>
      <c r="AC79" s="468"/>
      <c r="AD79" s="468"/>
      <c r="AE79" s="468"/>
      <c r="AF79" s="468"/>
      <c r="AG79" s="496"/>
      <c r="AH79" s="468"/>
      <c r="AI79" s="468"/>
      <c r="AJ79" s="468"/>
      <c r="AK79" s="496"/>
      <c r="AL79" s="468"/>
      <c r="AM79" s="468"/>
      <c r="AN79" s="468"/>
      <c r="AO79" s="468"/>
      <c r="AP79" s="468"/>
      <c r="AQ79" s="496"/>
    </row>
    <row r="80" spans="1:43">
      <c r="F80" s="479"/>
      <c r="H80" s="470"/>
      <c r="I80" s="470"/>
      <c r="J80" s="484"/>
      <c r="K80" s="484"/>
      <c r="L80" s="479"/>
      <c r="M80" s="479"/>
      <c r="N80" s="479"/>
      <c r="O80" s="479"/>
      <c r="P80" s="479"/>
      <c r="Q80" s="479"/>
      <c r="R80" s="479"/>
      <c r="T80" s="453">
        <v>4</v>
      </c>
      <c r="V80" s="457" t="s">
        <v>353</v>
      </c>
      <c r="Y80" s="474">
        <v>1545</v>
      </c>
      <c r="Z80" s="468"/>
      <c r="AA80" s="468"/>
      <c r="AB80" s="468"/>
      <c r="AC80" s="471">
        <v>5</v>
      </c>
      <c r="AD80" s="468"/>
      <c r="AE80" s="474">
        <v>7725</v>
      </c>
      <c r="AF80" s="474"/>
      <c r="AG80" s="496">
        <v>0</v>
      </c>
      <c r="AH80" s="475"/>
      <c r="AI80" s="474">
        <v>0</v>
      </c>
      <c r="AJ80" s="474"/>
      <c r="AK80" s="496">
        <v>0</v>
      </c>
      <c r="AL80" s="511"/>
      <c r="AM80" s="474"/>
      <c r="AN80" s="468"/>
      <c r="AO80" s="474">
        <v>7725</v>
      </c>
      <c r="AP80" s="474"/>
      <c r="AQ80" s="512">
        <v>0</v>
      </c>
    </row>
    <row r="81" spans="3:76">
      <c r="F81" s="470"/>
      <c r="H81" s="470"/>
      <c r="I81" s="470"/>
      <c r="J81" s="484"/>
      <c r="K81" s="484"/>
      <c r="L81" s="470"/>
      <c r="M81" s="470"/>
      <c r="N81" s="472"/>
      <c r="O81" s="472"/>
      <c r="P81" s="470"/>
      <c r="Q81" s="470"/>
      <c r="R81" s="470"/>
      <c r="T81" s="453">
        <v>5</v>
      </c>
      <c r="V81" s="455" t="s">
        <v>134</v>
      </c>
      <c r="Y81" s="474">
        <v>79682</v>
      </c>
      <c r="Z81" s="468"/>
      <c r="AA81" s="477"/>
      <c r="AB81" s="477"/>
      <c r="AC81" s="471">
        <v>15</v>
      </c>
      <c r="AD81" s="478"/>
      <c r="AE81" s="474">
        <v>1195230</v>
      </c>
      <c r="AF81" s="474"/>
      <c r="AG81" s="496">
        <v>0.9</v>
      </c>
      <c r="AH81" s="475"/>
      <c r="AI81" s="474">
        <v>0</v>
      </c>
      <c r="AJ81" s="474"/>
      <c r="AK81" s="496">
        <v>0</v>
      </c>
      <c r="AL81" s="511"/>
      <c r="AM81" s="474"/>
      <c r="AN81" s="468"/>
      <c r="AO81" s="474">
        <v>1195230</v>
      </c>
      <c r="AP81" s="474"/>
      <c r="AQ81" s="512">
        <v>0</v>
      </c>
      <c r="BX81" s="513"/>
    </row>
    <row r="82" spans="3:76">
      <c r="C82" s="455"/>
      <c r="F82" s="470"/>
      <c r="H82" s="470"/>
      <c r="I82" s="470"/>
      <c r="J82" s="484"/>
      <c r="K82" s="484"/>
      <c r="L82" s="470"/>
      <c r="M82" s="470"/>
      <c r="N82" s="472"/>
      <c r="O82" s="472"/>
      <c r="P82" s="470"/>
      <c r="Q82" s="470"/>
      <c r="R82" s="470"/>
      <c r="T82" s="453">
        <v>6</v>
      </c>
      <c r="V82" s="455" t="s">
        <v>135</v>
      </c>
      <c r="Y82" s="474">
        <v>75323</v>
      </c>
      <c r="Z82" s="468"/>
      <c r="AA82" s="477"/>
      <c r="AB82" s="477"/>
      <c r="AC82" s="471">
        <v>30</v>
      </c>
      <c r="AD82" s="478"/>
      <c r="AE82" s="474">
        <v>2259690</v>
      </c>
      <c r="AF82" s="474"/>
      <c r="AG82" s="498">
        <v>1.7</v>
      </c>
      <c r="AH82" s="475"/>
      <c r="AI82" s="474">
        <v>0</v>
      </c>
      <c r="AJ82" s="474"/>
      <c r="AK82" s="498">
        <v>0</v>
      </c>
      <c r="AL82" s="511"/>
      <c r="AM82" s="474"/>
      <c r="AN82" s="468"/>
      <c r="AO82" s="474">
        <v>2259690</v>
      </c>
      <c r="AP82" s="474"/>
      <c r="AQ82" s="514">
        <v>0</v>
      </c>
    </row>
    <row r="83" spans="3:76" ht="20.100000000000001" customHeight="1">
      <c r="C83" s="455"/>
      <c r="F83" s="476"/>
      <c r="H83" s="476"/>
      <c r="I83" s="476"/>
      <c r="J83" s="471"/>
      <c r="K83" s="471"/>
      <c r="L83" s="470"/>
      <c r="M83" s="470"/>
      <c r="N83" s="472"/>
      <c r="O83" s="472"/>
      <c r="P83" s="470"/>
      <c r="Q83" s="470"/>
      <c r="R83" s="470"/>
      <c r="T83" s="453">
        <v>7</v>
      </c>
      <c r="V83" s="458" t="s">
        <v>136</v>
      </c>
      <c r="Y83" s="480">
        <v>155005</v>
      </c>
      <c r="Z83" s="468"/>
      <c r="AA83" s="474"/>
      <c r="AB83" s="474"/>
      <c r="AC83" s="488"/>
      <c r="AD83" s="488"/>
      <c r="AE83" s="480">
        <v>3462645</v>
      </c>
      <c r="AF83" s="474"/>
      <c r="AG83" s="499">
        <v>2.6</v>
      </c>
      <c r="AH83" s="475"/>
      <c r="AI83" s="480">
        <v>0</v>
      </c>
      <c r="AJ83" s="474"/>
      <c r="AK83" s="499">
        <v>0</v>
      </c>
      <c r="AL83" s="511"/>
      <c r="AM83" s="480"/>
      <c r="AN83" s="474"/>
      <c r="AO83" s="480">
        <v>3462645</v>
      </c>
      <c r="AP83" s="474"/>
      <c r="AQ83" s="515">
        <v>0</v>
      </c>
    </row>
    <row r="84" spans="3:76">
      <c r="C84" s="455"/>
      <c r="F84" s="470"/>
      <c r="H84" s="470"/>
      <c r="I84" s="470"/>
      <c r="J84" s="484"/>
      <c r="K84" s="484"/>
      <c r="L84" s="470"/>
      <c r="M84" s="470"/>
      <c r="N84" s="472"/>
      <c r="O84" s="472"/>
      <c r="P84" s="470"/>
      <c r="Q84" s="470"/>
      <c r="R84" s="470"/>
      <c r="Y84" s="474"/>
      <c r="Z84" s="468"/>
      <c r="AA84" s="474"/>
      <c r="AB84" s="474"/>
      <c r="AC84" s="488"/>
      <c r="AD84" s="488"/>
      <c r="AE84" s="474"/>
      <c r="AF84" s="474"/>
      <c r="AG84" s="496"/>
      <c r="AH84" s="475"/>
      <c r="AI84" s="474"/>
      <c r="AJ84" s="474"/>
      <c r="AK84" s="496"/>
      <c r="AL84" s="511"/>
      <c r="AM84" s="474"/>
      <c r="AN84" s="474"/>
      <c r="AO84" s="474"/>
      <c r="AP84" s="474"/>
      <c r="AQ84" s="496"/>
    </row>
    <row r="85" spans="3:76">
      <c r="F85" s="470"/>
      <c r="H85" s="479"/>
      <c r="I85" s="479"/>
      <c r="J85" s="484"/>
      <c r="K85" s="484"/>
      <c r="L85" s="479"/>
      <c r="M85" s="479"/>
      <c r="N85" s="479"/>
      <c r="O85" s="479"/>
      <c r="P85" s="479"/>
      <c r="Q85" s="479"/>
      <c r="R85" s="479"/>
      <c r="T85" s="453">
        <v>8</v>
      </c>
      <c r="V85" s="458" t="s">
        <v>63</v>
      </c>
      <c r="Y85" s="474"/>
      <c r="Z85" s="468"/>
      <c r="AA85" s="474"/>
      <c r="AB85" s="474"/>
      <c r="AC85" s="488"/>
      <c r="AD85" s="488"/>
      <c r="AE85" s="474"/>
      <c r="AF85" s="474"/>
      <c r="AG85" s="496"/>
      <c r="AH85" s="475"/>
      <c r="AI85" s="474"/>
      <c r="AJ85" s="474"/>
      <c r="AK85" s="496"/>
      <c r="AL85" s="511"/>
      <c r="AM85" s="474"/>
      <c r="AN85" s="474"/>
      <c r="AO85" s="474"/>
      <c r="AP85" s="474"/>
      <c r="AQ85" s="496"/>
    </row>
    <row r="86" spans="3:76">
      <c r="C86" s="455"/>
      <c r="F86" s="470"/>
      <c r="H86" s="470"/>
      <c r="I86" s="470"/>
      <c r="J86" s="503"/>
      <c r="K86" s="503"/>
      <c r="L86" s="470"/>
      <c r="M86" s="470"/>
      <c r="N86" s="472"/>
      <c r="O86" s="472"/>
      <c r="P86" s="470"/>
      <c r="Q86" s="470"/>
      <c r="R86" s="470"/>
      <c r="T86" s="453">
        <v>9</v>
      </c>
      <c r="V86" s="455" t="s">
        <v>137</v>
      </c>
      <c r="Y86" s="477"/>
      <c r="Z86" s="468"/>
      <c r="AA86" s="474">
        <v>1355176</v>
      </c>
      <c r="AB86" s="474"/>
      <c r="AC86" s="471">
        <v>0</v>
      </c>
      <c r="AD86" s="478"/>
      <c r="AE86" s="474">
        <v>0</v>
      </c>
      <c r="AF86" s="474"/>
      <c r="AG86" s="496">
        <v>0</v>
      </c>
      <c r="AH86" s="475"/>
      <c r="AI86" s="474">
        <v>0</v>
      </c>
      <c r="AJ86" s="474"/>
      <c r="AK86" s="516">
        <v>0</v>
      </c>
      <c r="AL86" s="517"/>
      <c r="AM86" s="474"/>
      <c r="AN86" s="474"/>
      <c r="AO86" s="474">
        <v>0</v>
      </c>
      <c r="AP86" s="474"/>
      <c r="AQ86" s="512" t="s">
        <v>1139</v>
      </c>
    </row>
    <row r="87" spans="3:76">
      <c r="C87" s="455"/>
      <c r="F87" s="476"/>
      <c r="H87" s="476"/>
      <c r="I87" s="476"/>
      <c r="J87" s="518"/>
      <c r="K87" s="518"/>
      <c r="L87" s="470"/>
      <c r="M87" s="470"/>
      <c r="N87" s="472"/>
      <c r="O87" s="472"/>
      <c r="P87" s="476"/>
      <c r="Q87" s="476"/>
      <c r="R87" s="470"/>
      <c r="T87" s="453">
        <v>10</v>
      </c>
      <c r="V87" s="455" t="s">
        <v>138</v>
      </c>
      <c r="Y87" s="477"/>
      <c r="Z87" s="468"/>
      <c r="AA87" s="474">
        <v>2641511</v>
      </c>
      <c r="AB87" s="474"/>
      <c r="AC87" s="471">
        <v>10.68</v>
      </c>
      <c r="AD87" s="478"/>
      <c r="AE87" s="474">
        <v>28211337</v>
      </c>
      <c r="AF87" s="474"/>
      <c r="AG87" s="498">
        <v>21.3</v>
      </c>
      <c r="AH87" s="475"/>
      <c r="AI87" s="474">
        <v>4437739</v>
      </c>
      <c r="AJ87" s="474"/>
      <c r="AK87" s="498">
        <v>15.7</v>
      </c>
      <c r="AL87" s="511"/>
      <c r="AM87" s="474"/>
      <c r="AN87" s="474"/>
      <c r="AO87" s="474">
        <v>28211337</v>
      </c>
      <c r="AP87" s="474"/>
      <c r="AQ87" s="514">
        <v>15.7</v>
      </c>
    </row>
    <row r="88" spans="3:76" ht="20.100000000000001" customHeight="1">
      <c r="C88" s="455"/>
      <c r="F88" s="476"/>
      <c r="H88" s="476"/>
      <c r="I88" s="476"/>
      <c r="J88" s="518"/>
      <c r="K88" s="518"/>
      <c r="L88" s="470"/>
      <c r="M88" s="470"/>
      <c r="N88" s="472"/>
      <c r="O88" s="472"/>
      <c r="P88" s="476"/>
      <c r="Q88" s="476"/>
      <c r="R88" s="470"/>
      <c r="T88" s="453">
        <v>11</v>
      </c>
      <c r="V88" s="458" t="s">
        <v>66</v>
      </c>
      <c r="Y88" s="474"/>
      <c r="Z88" s="468"/>
      <c r="AA88" s="480">
        <v>3996687</v>
      </c>
      <c r="AB88" s="474"/>
      <c r="AC88" s="481"/>
      <c r="AD88" s="481"/>
      <c r="AE88" s="480">
        <v>28211337</v>
      </c>
      <c r="AF88" s="474"/>
      <c r="AG88" s="499">
        <v>21.3</v>
      </c>
      <c r="AH88" s="475"/>
      <c r="AI88" s="480">
        <v>4437739</v>
      </c>
      <c r="AJ88" s="474"/>
      <c r="AK88" s="499">
        <v>15.7</v>
      </c>
      <c r="AL88" s="511"/>
      <c r="AM88" s="480"/>
      <c r="AN88" s="474"/>
      <c r="AO88" s="480">
        <v>28211337</v>
      </c>
      <c r="AP88" s="474"/>
      <c r="AQ88" s="515">
        <v>15.7</v>
      </c>
      <c r="AT88" s="453">
        <v>0.23189527103039187</v>
      </c>
    </row>
    <row r="89" spans="3:76">
      <c r="C89" s="455"/>
      <c r="F89" s="476"/>
      <c r="H89" s="476"/>
      <c r="I89" s="476"/>
      <c r="J89" s="518"/>
      <c r="K89" s="518"/>
      <c r="L89" s="470"/>
      <c r="M89" s="470"/>
      <c r="N89" s="472"/>
      <c r="O89" s="472"/>
      <c r="P89" s="476"/>
      <c r="Q89" s="476"/>
      <c r="R89" s="470"/>
      <c r="V89" s="455"/>
      <c r="Y89" s="474"/>
      <c r="Z89" s="468"/>
      <c r="AA89" s="474"/>
      <c r="AB89" s="474"/>
      <c r="AC89" s="481"/>
      <c r="AD89" s="481"/>
      <c r="AE89" s="474"/>
      <c r="AF89" s="474"/>
      <c r="AG89" s="496"/>
      <c r="AH89" s="475"/>
      <c r="AI89" s="474"/>
      <c r="AJ89" s="474"/>
      <c r="AK89" s="496"/>
      <c r="AL89" s="511"/>
      <c r="AM89" s="474"/>
      <c r="AN89" s="474"/>
      <c r="AO89" s="474"/>
      <c r="AP89" s="474"/>
      <c r="AQ89" s="496"/>
    </row>
    <row r="90" spans="3:76" ht="16.5" thickBot="1">
      <c r="C90" s="455"/>
      <c r="H90" s="476"/>
      <c r="I90" s="476"/>
      <c r="J90" s="518"/>
      <c r="K90" s="518"/>
      <c r="L90" s="470"/>
      <c r="M90" s="470"/>
      <c r="N90" s="472"/>
      <c r="O90" s="472"/>
      <c r="P90" s="476"/>
      <c r="Q90" s="476"/>
      <c r="R90" s="470"/>
      <c r="T90" s="453">
        <v>12</v>
      </c>
      <c r="V90" s="487" t="s">
        <v>371</v>
      </c>
      <c r="Y90" s="474"/>
      <c r="Z90" s="468"/>
      <c r="AA90" s="474"/>
      <c r="AB90" s="474"/>
      <c r="AC90" s="488"/>
      <c r="AD90" s="488"/>
      <c r="AE90" s="474"/>
      <c r="AF90" s="474"/>
      <c r="AG90" s="496"/>
      <c r="AH90" s="475"/>
      <c r="AI90" s="474"/>
      <c r="AJ90" s="474"/>
      <c r="AK90" s="496"/>
      <c r="AL90" s="511"/>
      <c r="AM90" s="474"/>
      <c r="AN90" s="474"/>
      <c r="AO90" s="474"/>
      <c r="AP90" s="474"/>
      <c r="AQ90" s="496"/>
    </row>
    <row r="91" spans="3:76">
      <c r="F91" s="479"/>
      <c r="H91" s="479"/>
      <c r="I91" s="479"/>
      <c r="J91" s="484"/>
      <c r="K91" s="484"/>
      <c r="L91" s="479"/>
      <c r="M91" s="479"/>
      <c r="N91" s="479"/>
      <c r="O91" s="479"/>
      <c r="P91" s="479"/>
      <c r="Q91" s="479"/>
      <c r="R91" s="479"/>
      <c r="T91" s="453">
        <v>13</v>
      </c>
      <c r="V91" s="455" t="s">
        <v>139</v>
      </c>
      <c r="Y91" s="477"/>
      <c r="Z91" s="468"/>
      <c r="AA91" s="474">
        <v>348050244</v>
      </c>
      <c r="AB91" s="474"/>
      <c r="AC91" s="489">
        <v>0.114788</v>
      </c>
      <c r="AD91" s="519"/>
      <c r="AE91" s="474">
        <v>39951991</v>
      </c>
      <c r="AF91" s="474"/>
      <c r="AG91" s="496">
        <v>30.2</v>
      </c>
      <c r="AH91" s="475"/>
      <c r="AI91" s="474">
        <v>6294837</v>
      </c>
      <c r="AJ91" s="474"/>
      <c r="AK91" s="496">
        <v>15.8</v>
      </c>
      <c r="AL91" s="511"/>
      <c r="AM91" s="477"/>
      <c r="AN91" s="477"/>
      <c r="AO91" s="474">
        <v>39951991</v>
      </c>
      <c r="AP91" s="474"/>
      <c r="AQ91" s="512">
        <v>15.8</v>
      </c>
      <c r="AT91" s="520">
        <v>0.42754931177034039</v>
      </c>
    </row>
    <row r="92" spans="3:76">
      <c r="C92" s="455"/>
      <c r="F92" s="470"/>
      <c r="H92" s="470"/>
      <c r="I92" s="470"/>
      <c r="J92" s="503"/>
      <c r="K92" s="503"/>
      <c r="L92" s="470"/>
      <c r="M92" s="470"/>
      <c r="N92" s="472"/>
      <c r="O92" s="472"/>
      <c r="P92" s="470"/>
      <c r="Q92" s="470"/>
      <c r="R92" s="470"/>
      <c r="T92" s="453">
        <v>14</v>
      </c>
      <c r="V92" s="455" t="s">
        <v>140</v>
      </c>
      <c r="Y92" s="477"/>
      <c r="Z92" s="468"/>
      <c r="AA92" s="474">
        <v>519725648</v>
      </c>
      <c r="AB92" s="474"/>
      <c r="AC92" s="489">
        <v>7.4619000000000005E-2</v>
      </c>
      <c r="AD92" s="519"/>
      <c r="AE92" s="474">
        <v>38781408</v>
      </c>
      <c r="AF92" s="474"/>
      <c r="AG92" s="496">
        <v>29.3</v>
      </c>
      <c r="AH92" s="475"/>
      <c r="AI92" s="474">
        <v>6110415</v>
      </c>
      <c r="AJ92" s="474"/>
      <c r="AK92" s="496">
        <v>15.8</v>
      </c>
      <c r="AL92" s="511"/>
      <c r="AM92" s="477"/>
      <c r="AN92" s="477"/>
      <c r="AO92" s="474">
        <v>38781408</v>
      </c>
      <c r="AP92" s="474"/>
      <c r="AQ92" s="512">
        <v>15.8</v>
      </c>
      <c r="AT92" s="521">
        <v>0.41502222755018076</v>
      </c>
    </row>
    <row r="93" spans="3:76">
      <c r="F93" s="479"/>
      <c r="H93" s="479"/>
      <c r="I93" s="479"/>
      <c r="J93" s="484"/>
      <c r="K93" s="484"/>
      <c r="L93" s="479"/>
      <c r="M93" s="479"/>
      <c r="N93" s="479"/>
      <c r="O93" s="479"/>
      <c r="P93" s="479"/>
      <c r="Q93" s="479"/>
      <c r="R93" s="479"/>
      <c r="T93" s="453">
        <v>15</v>
      </c>
      <c r="V93" s="455" t="s">
        <v>141</v>
      </c>
      <c r="Y93" s="477"/>
      <c r="Z93" s="468"/>
      <c r="AA93" s="474">
        <v>228571887</v>
      </c>
      <c r="AB93" s="474"/>
      <c r="AC93" s="489">
        <v>6.3056000000000001E-2</v>
      </c>
      <c r="AD93" s="519"/>
      <c r="AE93" s="474">
        <v>14412829</v>
      </c>
      <c r="AF93" s="474"/>
      <c r="AG93" s="496">
        <v>10.9</v>
      </c>
      <c r="AH93" s="475"/>
      <c r="AI93" s="474">
        <v>2270404</v>
      </c>
      <c r="AJ93" s="474"/>
      <c r="AK93" s="496">
        <v>15.8</v>
      </c>
      <c r="AL93" s="511"/>
      <c r="AM93" s="477"/>
      <c r="AN93" s="477"/>
      <c r="AO93" s="474">
        <v>14412829</v>
      </c>
      <c r="AP93" s="474"/>
      <c r="AQ93" s="512">
        <v>15.8</v>
      </c>
      <c r="AT93" s="521">
        <v>0.15424000069517446</v>
      </c>
    </row>
    <row r="94" spans="3:76">
      <c r="C94" s="455"/>
      <c r="F94" s="470"/>
      <c r="H94" s="470"/>
      <c r="I94" s="470"/>
      <c r="J94" s="503"/>
      <c r="K94" s="503"/>
      <c r="L94" s="470"/>
      <c r="M94" s="470"/>
      <c r="N94" s="472"/>
      <c r="O94" s="472"/>
      <c r="P94" s="470"/>
      <c r="Q94" s="470"/>
      <c r="R94" s="470"/>
      <c r="T94" s="453">
        <v>16</v>
      </c>
      <c r="V94" s="455" t="s">
        <v>360</v>
      </c>
      <c r="Y94" s="468"/>
      <c r="Z94" s="468"/>
      <c r="AA94" s="474">
        <v>928876</v>
      </c>
      <c r="AB94" s="474"/>
      <c r="AC94" s="489">
        <v>0.30729699999999999</v>
      </c>
      <c r="AD94" s="519"/>
      <c r="AE94" s="474">
        <v>285441</v>
      </c>
      <c r="AF94" s="474"/>
      <c r="AG94" s="496">
        <v>0.2</v>
      </c>
      <c r="AH94" s="475"/>
      <c r="AI94" s="474">
        <v>44973</v>
      </c>
      <c r="AJ94" s="474"/>
      <c r="AK94" s="496">
        <v>15.8</v>
      </c>
      <c r="AL94" s="511"/>
      <c r="AM94" s="477"/>
      <c r="AN94" s="477"/>
      <c r="AO94" s="474">
        <v>285441</v>
      </c>
      <c r="AP94" s="474"/>
      <c r="AQ94" s="512">
        <v>15.8</v>
      </c>
      <c r="AT94" s="521">
        <v>3.0546688674673995E-3</v>
      </c>
    </row>
    <row r="95" spans="3:76" ht="16.5" thickBot="1">
      <c r="C95" s="455"/>
      <c r="F95" s="470"/>
      <c r="H95" s="470"/>
      <c r="I95" s="470"/>
      <c r="J95" s="503"/>
      <c r="K95" s="503"/>
      <c r="L95" s="470"/>
      <c r="M95" s="470"/>
      <c r="N95" s="472"/>
      <c r="O95" s="472"/>
      <c r="P95" s="470"/>
      <c r="Q95" s="470"/>
      <c r="R95" s="470"/>
      <c r="T95" s="453">
        <v>17</v>
      </c>
      <c r="V95" s="455" t="s">
        <v>361</v>
      </c>
      <c r="Y95" s="468"/>
      <c r="Z95" s="468"/>
      <c r="AA95" s="474">
        <v>66268</v>
      </c>
      <c r="AB95" s="474"/>
      <c r="AC95" s="489">
        <v>0.18865199999999999</v>
      </c>
      <c r="AD95" s="519"/>
      <c r="AE95" s="474">
        <v>12502</v>
      </c>
      <c r="AF95" s="474"/>
      <c r="AG95" s="496">
        <v>0</v>
      </c>
      <c r="AH95" s="475"/>
      <c r="AI95" s="474">
        <v>1970</v>
      </c>
      <c r="AJ95" s="474"/>
      <c r="AK95" s="498">
        <v>15.8</v>
      </c>
      <c r="AL95" s="511"/>
      <c r="AM95" s="477"/>
      <c r="AN95" s="477"/>
      <c r="AO95" s="474">
        <v>12502</v>
      </c>
      <c r="AP95" s="474"/>
      <c r="AQ95" s="514">
        <v>15.8</v>
      </c>
      <c r="AT95" s="522">
        <v>1.3379111683702562E-4</v>
      </c>
    </row>
    <row r="96" spans="3:76" ht="20.100000000000001" customHeight="1">
      <c r="F96" s="470"/>
      <c r="H96" s="470"/>
      <c r="I96" s="470"/>
      <c r="J96" s="503"/>
      <c r="K96" s="503"/>
      <c r="L96" s="470"/>
      <c r="M96" s="470"/>
      <c r="N96" s="470"/>
      <c r="O96" s="470"/>
      <c r="P96" s="470"/>
      <c r="Q96" s="470"/>
      <c r="R96" s="470"/>
      <c r="T96" s="453">
        <v>18</v>
      </c>
      <c r="V96" s="458" t="s">
        <v>142</v>
      </c>
      <c r="Y96" s="474"/>
      <c r="Z96" s="468"/>
      <c r="AA96" s="480">
        <v>1097342923</v>
      </c>
      <c r="AB96" s="474"/>
      <c r="AC96" s="493"/>
      <c r="AD96" s="488"/>
      <c r="AE96" s="480">
        <v>93444171</v>
      </c>
      <c r="AF96" s="474"/>
      <c r="AG96" s="499">
        <v>70.599999999999994</v>
      </c>
      <c r="AH96" s="475"/>
      <c r="AI96" s="480">
        <v>14722599</v>
      </c>
      <c r="AJ96" s="474"/>
      <c r="AK96" s="499">
        <v>15.8</v>
      </c>
      <c r="AL96" s="511"/>
      <c r="AM96" s="480"/>
      <c r="AN96" s="474"/>
      <c r="AO96" s="480">
        <v>93444171</v>
      </c>
      <c r="AP96" s="474"/>
      <c r="AQ96" s="515">
        <v>15.8</v>
      </c>
      <c r="AT96" s="453">
        <v>0.76810472896960813</v>
      </c>
    </row>
    <row r="97" spans="6:43" ht="20.100000000000001" customHeight="1">
      <c r="F97" s="470"/>
      <c r="H97" s="470"/>
      <c r="I97" s="470"/>
      <c r="J97" s="503"/>
      <c r="K97" s="503"/>
      <c r="L97" s="470"/>
      <c r="M97" s="470"/>
      <c r="N97" s="470"/>
      <c r="O97" s="470"/>
      <c r="P97" s="470"/>
      <c r="Q97" s="470"/>
      <c r="R97" s="470"/>
      <c r="T97" s="453">
        <v>19</v>
      </c>
      <c r="V97" s="458" t="s">
        <v>437</v>
      </c>
      <c r="Y97" s="492">
        <v>155005</v>
      </c>
      <c r="Z97" s="468"/>
      <c r="AA97" s="480">
        <v>1097342923</v>
      </c>
      <c r="AB97" s="474"/>
      <c r="AC97" s="493"/>
      <c r="AD97" s="488"/>
      <c r="AE97" s="480">
        <v>125118153</v>
      </c>
      <c r="AF97" s="474"/>
      <c r="AG97" s="499">
        <v>94.6</v>
      </c>
      <c r="AH97" s="475"/>
      <c r="AI97" s="480">
        <v>19160338</v>
      </c>
      <c r="AJ97" s="474"/>
      <c r="AK97" s="499">
        <v>15.3</v>
      </c>
      <c r="AL97" s="511"/>
      <c r="AM97" s="480"/>
      <c r="AN97" s="474"/>
      <c r="AO97" s="480">
        <v>125118153</v>
      </c>
      <c r="AP97" s="474"/>
      <c r="AQ97" s="499">
        <v>15.3</v>
      </c>
    </row>
    <row r="98" spans="6:43">
      <c r="F98" s="470"/>
      <c r="H98" s="470"/>
      <c r="I98" s="470"/>
      <c r="J98" s="503"/>
      <c r="K98" s="503"/>
      <c r="L98" s="470"/>
      <c r="M98" s="470"/>
      <c r="N98" s="470"/>
      <c r="O98" s="470"/>
      <c r="P98" s="470"/>
      <c r="Q98" s="470"/>
      <c r="R98" s="470"/>
      <c r="V98" s="455"/>
      <c r="Y98" s="474"/>
      <c r="Z98" s="468"/>
      <c r="AA98" s="474"/>
      <c r="AB98" s="474"/>
      <c r="AC98" s="493"/>
      <c r="AD98" s="488"/>
      <c r="AE98" s="474"/>
      <c r="AF98" s="474"/>
      <c r="AG98" s="496"/>
      <c r="AH98" s="475"/>
      <c r="AI98" s="474"/>
      <c r="AJ98" s="474"/>
      <c r="AK98" s="496"/>
      <c r="AL98" s="511"/>
      <c r="AM98" s="474"/>
      <c r="AN98" s="474"/>
      <c r="AO98" s="474"/>
      <c r="AP98" s="474"/>
      <c r="AQ98" s="496"/>
    </row>
    <row r="99" spans="6:43">
      <c r="F99" s="470"/>
      <c r="H99" s="470"/>
      <c r="I99" s="470"/>
      <c r="J99" s="503"/>
      <c r="K99" s="503"/>
      <c r="L99" s="470"/>
      <c r="M99" s="470"/>
      <c r="N99" s="470"/>
      <c r="O99" s="470"/>
      <c r="P99" s="470"/>
      <c r="Q99" s="470"/>
      <c r="R99" s="470"/>
      <c r="T99" s="453">
        <v>20</v>
      </c>
      <c r="V99" s="458" t="s">
        <v>430</v>
      </c>
      <c r="Y99" s="474"/>
      <c r="Z99" s="468"/>
      <c r="AA99" s="474"/>
      <c r="AB99" s="474"/>
      <c r="AC99" s="493"/>
      <c r="AD99" s="488"/>
      <c r="AE99" s="474"/>
      <c r="AF99" s="474"/>
      <c r="AG99" s="496"/>
      <c r="AH99" s="475"/>
      <c r="AI99" s="474"/>
      <c r="AJ99" s="474"/>
      <c r="AK99" s="496"/>
      <c r="AL99" s="511"/>
      <c r="AM99" s="474"/>
      <c r="AN99" s="474"/>
      <c r="AO99" s="474"/>
      <c r="AP99" s="474"/>
      <c r="AQ99" s="496"/>
    </row>
    <row r="100" spans="6:43">
      <c r="F100" s="470"/>
      <c r="H100" s="470"/>
      <c r="I100" s="470"/>
      <c r="J100" s="503"/>
      <c r="K100" s="503"/>
      <c r="L100" s="470"/>
      <c r="M100" s="470"/>
      <c r="N100" s="470"/>
      <c r="O100" s="470"/>
      <c r="P100" s="470"/>
      <c r="Q100" s="470"/>
      <c r="R100" s="470"/>
      <c r="T100" s="453">
        <v>21</v>
      </c>
      <c r="V100" s="494" t="s">
        <v>434</v>
      </c>
      <c r="Y100" s="474"/>
      <c r="Z100" s="468"/>
      <c r="AA100" s="474"/>
      <c r="AB100" s="474"/>
      <c r="AC100" s="495">
        <v>3.503E-3</v>
      </c>
      <c r="AD100" s="488"/>
      <c r="AE100" s="474">
        <v>3843992</v>
      </c>
      <c r="AF100" s="474"/>
      <c r="AG100" s="496">
        <v>2.9</v>
      </c>
      <c r="AH100" s="475"/>
      <c r="AI100" s="474">
        <v>0</v>
      </c>
      <c r="AJ100" s="474"/>
      <c r="AK100" s="496">
        <v>0</v>
      </c>
      <c r="AL100" s="511"/>
      <c r="AM100" s="474"/>
      <c r="AN100" s="474"/>
      <c r="AO100" s="474">
        <v>3843992</v>
      </c>
      <c r="AP100" s="474"/>
      <c r="AQ100" s="512">
        <v>0</v>
      </c>
    </row>
    <row r="101" spans="6:43">
      <c r="F101" s="470"/>
      <c r="H101" s="470"/>
      <c r="I101" s="470"/>
      <c r="J101" s="503"/>
      <c r="K101" s="503"/>
      <c r="L101" s="470"/>
      <c r="M101" s="470"/>
      <c r="N101" s="470"/>
      <c r="O101" s="470"/>
      <c r="P101" s="470"/>
      <c r="Q101" s="470"/>
      <c r="R101" s="470"/>
      <c r="T101" s="453">
        <v>22</v>
      </c>
      <c r="V101" s="494" t="s">
        <v>531</v>
      </c>
      <c r="Y101" s="474"/>
      <c r="Z101" s="468"/>
      <c r="AA101" s="474"/>
      <c r="AB101" s="474"/>
      <c r="AC101" s="523">
        <v>6.4941608437496566E-3</v>
      </c>
      <c r="AD101" s="488"/>
      <c r="AE101" s="474">
        <v>614411</v>
      </c>
      <c r="AF101" s="474"/>
      <c r="AG101" s="496">
        <v>0.5</v>
      </c>
      <c r="AH101" s="475"/>
      <c r="AI101" s="474">
        <v>6843</v>
      </c>
      <c r="AJ101" s="474"/>
      <c r="AK101" s="496">
        <v>1.1000000000000001</v>
      </c>
      <c r="AL101" s="511"/>
      <c r="AM101" s="474"/>
      <c r="AN101" s="474"/>
      <c r="AO101" s="474">
        <v>614411</v>
      </c>
      <c r="AP101" s="474"/>
      <c r="AQ101" s="512">
        <v>1.1000000000000001</v>
      </c>
    </row>
    <row r="102" spans="6:43">
      <c r="F102" s="470"/>
      <c r="H102" s="470"/>
      <c r="I102" s="470"/>
      <c r="J102" s="503"/>
      <c r="K102" s="503"/>
      <c r="L102" s="470"/>
      <c r="M102" s="470"/>
      <c r="N102" s="470"/>
      <c r="O102" s="470"/>
      <c r="P102" s="470"/>
      <c r="Q102" s="470"/>
      <c r="R102" s="470"/>
      <c r="T102" s="453">
        <v>23</v>
      </c>
      <c r="V102" s="494" t="s">
        <v>963</v>
      </c>
      <c r="Y102" s="474"/>
      <c r="Z102" s="468"/>
      <c r="AA102" s="474"/>
      <c r="AB102" s="474"/>
      <c r="AC102" s="495">
        <v>3.4872127999999998E-3</v>
      </c>
      <c r="AD102" s="488"/>
      <c r="AE102" s="474"/>
      <c r="AF102" s="474"/>
      <c r="AG102" s="496"/>
      <c r="AH102" s="475"/>
      <c r="AI102" s="474"/>
      <c r="AJ102" s="474"/>
      <c r="AK102" s="496"/>
      <c r="AL102" s="511"/>
      <c r="AM102" s="474">
        <v>3826668</v>
      </c>
      <c r="AN102" s="474"/>
      <c r="AO102" s="474">
        <v>3826668</v>
      </c>
      <c r="AP102" s="474"/>
      <c r="AQ102" s="512">
        <v>0</v>
      </c>
    </row>
    <row r="103" spans="6:43">
      <c r="F103" s="470"/>
      <c r="H103" s="470"/>
      <c r="I103" s="470"/>
      <c r="J103" s="503"/>
      <c r="K103" s="503"/>
      <c r="L103" s="470"/>
      <c r="M103" s="470"/>
      <c r="N103" s="470"/>
      <c r="O103" s="470"/>
      <c r="P103" s="470"/>
      <c r="Q103" s="470"/>
      <c r="R103" s="470"/>
      <c r="T103" s="453">
        <v>24</v>
      </c>
      <c r="V103" s="494" t="s">
        <v>432</v>
      </c>
      <c r="Y103" s="474"/>
      <c r="Z103" s="468"/>
      <c r="AA103" s="474"/>
      <c r="AB103" s="474"/>
      <c r="AC103" s="495">
        <v>2.4750000000000002E-3</v>
      </c>
      <c r="AD103" s="488"/>
      <c r="AE103" s="492">
        <v>2715924</v>
      </c>
      <c r="AF103" s="474"/>
      <c r="AG103" s="498">
        <v>2.1</v>
      </c>
      <c r="AH103" s="475"/>
      <c r="AI103" s="492">
        <v>0</v>
      </c>
      <c r="AJ103" s="474"/>
      <c r="AK103" s="496">
        <v>0</v>
      </c>
      <c r="AL103" s="511"/>
      <c r="AM103" s="492"/>
      <c r="AN103" s="474"/>
      <c r="AO103" s="492">
        <v>2715924</v>
      </c>
      <c r="AP103" s="474"/>
      <c r="AQ103" s="514">
        <v>0</v>
      </c>
    </row>
    <row r="104" spans="6:43" ht="20.100000000000001" customHeight="1">
      <c r="F104" s="470"/>
      <c r="H104" s="470"/>
      <c r="I104" s="470"/>
      <c r="J104" s="503"/>
      <c r="K104" s="503"/>
      <c r="L104" s="470"/>
      <c r="M104" s="470"/>
      <c r="N104" s="470"/>
      <c r="O104" s="470"/>
      <c r="P104" s="470"/>
      <c r="Q104" s="470"/>
      <c r="R104" s="470"/>
      <c r="T104" s="453">
        <v>25</v>
      </c>
      <c r="V104" s="458" t="s">
        <v>435</v>
      </c>
      <c r="Y104" s="492"/>
      <c r="Z104" s="468"/>
      <c r="AA104" s="492"/>
      <c r="AB104" s="474"/>
      <c r="AC104" s="488"/>
      <c r="AD104" s="488"/>
      <c r="AE104" s="480">
        <v>7174327</v>
      </c>
      <c r="AF104" s="474"/>
      <c r="AG104" s="499">
        <v>5.4</v>
      </c>
      <c r="AH104" s="475"/>
      <c r="AI104" s="480">
        <v>6843</v>
      </c>
      <c r="AJ104" s="474"/>
      <c r="AK104" s="499">
        <v>0</v>
      </c>
      <c r="AL104" s="511"/>
      <c r="AM104" s="480">
        <v>3826668</v>
      </c>
      <c r="AN104" s="474"/>
      <c r="AO104" s="480">
        <v>11000995</v>
      </c>
      <c r="AP104" s="474"/>
      <c r="AQ104" s="515">
        <v>0.1</v>
      </c>
    </row>
    <row r="105" spans="6:43">
      <c r="F105" s="470"/>
      <c r="H105" s="470"/>
      <c r="I105" s="470"/>
      <c r="J105" s="503"/>
      <c r="K105" s="503"/>
      <c r="L105" s="470"/>
      <c r="M105" s="470"/>
      <c r="N105" s="470"/>
      <c r="O105" s="470"/>
      <c r="P105" s="470"/>
      <c r="Q105" s="470"/>
      <c r="R105" s="470"/>
      <c r="V105" s="455"/>
      <c r="Y105" s="474"/>
      <c r="Z105" s="468"/>
      <c r="AA105" s="474"/>
      <c r="AB105" s="474"/>
      <c r="AC105" s="488"/>
      <c r="AD105" s="488"/>
      <c r="AE105" s="474"/>
      <c r="AF105" s="474"/>
      <c r="AG105" s="496"/>
      <c r="AH105" s="475"/>
      <c r="AI105" s="474"/>
      <c r="AJ105" s="474"/>
      <c r="AK105" s="496"/>
      <c r="AL105" s="511"/>
      <c r="AM105" s="474"/>
      <c r="AN105" s="474"/>
      <c r="AO105" s="474"/>
      <c r="AP105" s="474"/>
      <c r="AQ105" s="496"/>
    </row>
    <row r="106" spans="6:43" ht="20.100000000000001" customHeight="1" thickBot="1">
      <c r="T106" s="453">
        <v>26</v>
      </c>
      <c r="V106" s="487" t="s">
        <v>438</v>
      </c>
      <c r="Y106" s="500">
        <v>155005</v>
      </c>
      <c r="Z106" s="468"/>
      <c r="AA106" s="500">
        <v>1097342923</v>
      </c>
      <c r="AB106" s="474"/>
      <c r="AC106" s="488"/>
      <c r="AD106" s="488"/>
      <c r="AE106" s="500">
        <v>132292480</v>
      </c>
      <c r="AF106" s="474"/>
      <c r="AG106" s="524">
        <v>100</v>
      </c>
      <c r="AH106" s="475"/>
      <c r="AI106" s="500">
        <v>19167181</v>
      </c>
      <c r="AJ106" s="474"/>
      <c r="AK106" s="524">
        <v>14.5</v>
      </c>
      <c r="AL106" s="511"/>
      <c r="AM106" s="500">
        <v>3826668</v>
      </c>
      <c r="AN106" s="474"/>
      <c r="AO106" s="500">
        <v>136119148</v>
      </c>
      <c r="AP106" s="474"/>
      <c r="AQ106" s="525">
        <v>14.1</v>
      </c>
    </row>
    <row r="107" spans="6:43" ht="15.75" customHeight="1" thickTop="1">
      <c r="Y107" s="474"/>
      <c r="Z107" s="468"/>
      <c r="AA107" s="474"/>
      <c r="AB107" s="474"/>
      <c r="AC107" s="488"/>
      <c r="AD107" s="488"/>
      <c r="AE107" s="474"/>
      <c r="AF107" s="474"/>
      <c r="AG107" s="496"/>
      <c r="AH107" s="474"/>
      <c r="AI107" s="468"/>
      <c r="AJ107" s="468"/>
      <c r="AK107" s="496"/>
      <c r="AL107" s="468"/>
      <c r="AM107" s="468"/>
      <c r="AN107" s="468"/>
      <c r="AO107" s="468"/>
      <c r="AP107" s="468"/>
      <c r="AQ107" s="496"/>
    </row>
    <row r="108" spans="6:43">
      <c r="L108" s="470"/>
      <c r="M108" s="470"/>
      <c r="N108" s="470"/>
      <c r="O108" s="470"/>
      <c r="P108" s="470"/>
      <c r="Q108" s="470"/>
      <c r="R108" s="470"/>
      <c r="V108" s="502" t="s">
        <v>59</v>
      </c>
      <c r="Y108" s="470"/>
      <c r="AA108" s="470"/>
      <c r="AB108" s="470"/>
      <c r="AC108" s="503"/>
      <c r="AD108" s="503"/>
      <c r="AE108" s="470"/>
      <c r="AF108" s="470"/>
      <c r="AH108" s="470"/>
    </row>
    <row r="109" spans="6:43">
      <c r="T109" s="455"/>
      <c r="V109" s="502" t="s">
        <v>1136</v>
      </c>
      <c r="Y109" s="470"/>
      <c r="AA109" s="470"/>
      <c r="AB109" s="470"/>
      <c r="AC109" s="503"/>
      <c r="AD109" s="503"/>
      <c r="AE109" s="470"/>
      <c r="AF109" s="470"/>
      <c r="AH109" s="470"/>
    </row>
    <row r="110" spans="6:43">
      <c r="V110" s="502" t="s">
        <v>1137</v>
      </c>
    </row>
    <row r="111" spans="6:43">
      <c r="H111" s="455"/>
      <c r="I111" s="455"/>
      <c r="Y111" s="455"/>
    </row>
    <row r="113" spans="1:40">
      <c r="L113" s="455"/>
      <c r="M113" s="455"/>
      <c r="AA113" s="455"/>
      <c r="AB113" s="455"/>
    </row>
    <row r="114" spans="1:40">
      <c r="R114" s="455"/>
      <c r="AK114" s="456"/>
      <c r="AL114" s="455"/>
    </row>
    <row r="115" spans="1:40">
      <c r="R115" s="455"/>
      <c r="AK115" s="456"/>
      <c r="AL115" s="455"/>
    </row>
    <row r="116" spans="1:40">
      <c r="A116" s="455"/>
      <c r="R116" s="455"/>
      <c r="AK116" s="456"/>
      <c r="AL116" s="455"/>
    </row>
    <row r="117" spans="1:40">
      <c r="L117" s="455"/>
      <c r="M117" s="455"/>
      <c r="AA117" s="455"/>
      <c r="AB117" s="455"/>
    </row>
    <row r="118" spans="1:40">
      <c r="A118" s="460"/>
      <c r="B118" s="460"/>
      <c r="C118" s="460"/>
      <c r="D118" s="460"/>
      <c r="E118" s="460"/>
      <c r="F118" s="460"/>
      <c r="G118" s="460"/>
      <c r="H118" s="460"/>
      <c r="I118" s="460"/>
      <c r="J118" s="460"/>
      <c r="K118" s="460"/>
      <c r="L118" s="460"/>
      <c r="M118" s="460"/>
      <c r="N118" s="460"/>
      <c r="O118" s="460"/>
      <c r="P118" s="460"/>
      <c r="Q118" s="460"/>
      <c r="R118" s="460"/>
      <c r="T118" s="460"/>
      <c r="U118" s="460"/>
      <c r="V118" s="460"/>
      <c r="W118" s="460"/>
      <c r="X118" s="460"/>
      <c r="Y118" s="460"/>
      <c r="Z118" s="460"/>
      <c r="AA118" s="460"/>
      <c r="AB118" s="460"/>
      <c r="AC118" s="460"/>
      <c r="AD118" s="460"/>
      <c r="AE118" s="460"/>
      <c r="AF118" s="460"/>
      <c r="AG118" s="461"/>
      <c r="AH118" s="460"/>
      <c r="AI118" s="460"/>
      <c r="AJ118" s="460"/>
      <c r="AK118" s="461"/>
      <c r="AL118" s="460"/>
      <c r="AM118" s="460"/>
      <c r="AN118" s="460"/>
    </row>
    <row r="119" spans="1:40">
      <c r="L119" s="462"/>
      <c r="M119" s="462"/>
      <c r="N119" s="462"/>
      <c r="O119" s="462"/>
      <c r="R119" s="462"/>
      <c r="AA119" s="462"/>
      <c r="AB119" s="462"/>
      <c r="AC119" s="462"/>
      <c r="AD119" s="462"/>
      <c r="AE119" s="462"/>
      <c r="AF119" s="462"/>
      <c r="AG119" s="463"/>
      <c r="AH119" s="462"/>
      <c r="AK119" s="463"/>
      <c r="AL119" s="462"/>
      <c r="AM119" s="462"/>
      <c r="AN119" s="462"/>
    </row>
    <row r="120" spans="1:40">
      <c r="L120" s="462"/>
      <c r="M120" s="462"/>
      <c r="N120" s="462"/>
      <c r="O120" s="462"/>
      <c r="R120" s="462"/>
      <c r="Z120" s="462"/>
      <c r="AA120" s="462"/>
      <c r="AB120" s="462"/>
      <c r="AC120" s="462"/>
      <c r="AD120" s="462"/>
      <c r="AE120" s="462"/>
      <c r="AF120" s="462"/>
      <c r="AG120" s="463"/>
      <c r="AH120" s="462"/>
      <c r="AK120" s="463"/>
      <c r="AL120" s="462"/>
      <c r="AM120" s="462"/>
      <c r="AN120" s="462"/>
    </row>
    <row r="121" spans="1:40">
      <c r="A121" s="462"/>
      <c r="C121" s="462"/>
      <c r="D121" s="462"/>
      <c r="E121" s="462"/>
      <c r="F121" s="462"/>
      <c r="J121" s="462"/>
      <c r="K121" s="462"/>
      <c r="L121" s="462"/>
      <c r="M121" s="462"/>
      <c r="N121" s="462"/>
      <c r="O121" s="462"/>
      <c r="P121" s="462"/>
      <c r="Q121" s="462"/>
      <c r="R121" s="462"/>
      <c r="T121" s="462"/>
      <c r="U121" s="462"/>
      <c r="V121" s="462"/>
      <c r="Z121" s="462"/>
      <c r="AA121" s="462"/>
      <c r="AB121" s="462"/>
      <c r="AC121" s="462"/>
      <c r="AD121" s="462"/>
      <c r="AE121" s="462"/>
      <c r="AF121" s="462"/>
      <c r="AG121" s="463"/>
      <c r="AH121" s="462"/>
      <c r="AI121" s="462"/>
      <c r="AJ121" s="462"/>
      <c r="AK121" s="463"/>
      <c r="AL121" s="462"/>
      <c r="AM121" s="462"/>
      <c r="AN121" s="462"/>
    </row>
    <row r="122" spans="1:40">
      <c r="A122" s="462"/>
      <c r="C122" s="462"/>
      <c r="D122" s="462"/>
      <c r="E122" s="462"/>
      <c r="F122" s="462"/>
      <c r="H122" s="462"/>
      <c r="I122" s="462"/>
      <c r="J122" s="462"/>
      <c r="K122" s="462"/>
      <c r="L122" s="462"/>
      <c r="M122" s="462"/>
      <c r="N122" s="462"/>
      <c r="O122" s="462"/>
      <c r="P122" s="462"/>
      <c r="Q122" s="462"/>
      <c r="R122" s="462"/>
      <c r="T122" s="462"/>
      <c r="U122" s="462"/>
      <c r="V122" s="462"/>
      <c r="Y122" s="462"/>
      <c r="Z122" s="462"/>
      <c r="AA122" s="462"/>
      <c r="AB122" s="462"/>
      <c r="AC122" s="462"/>
      <c r="AD122" s="462"/>
      <c r="AE122" s="462"/>
      <c r="AF122" s="462"/>
      <c r="AG122" s="463"/>
      <c r="AH122" s="462"/>
      <c r="AI122" s="462"/>
      <c r="AJ122" s="462"/>
      <c r="AK122" s="463"/>
      <c r="AL122" s="462"/>
      <c r="AM122" s="462"/>
      <c r="AN122" s="462"/>
    </row>
    <row r="123" spans="1:40">
      <c r="C123" s="462"/>
      <c r="D123" s="462"/>
      <c r="E123" s="462"/>
      <c r="F123" s="462"/>
      <c r="H123" s="462"/>
      <c r="I123" s="462"/>
      <c r="J123" s="462"/>
      <c r="K123" s="462"/>
      <c r="L123" s="462"/>
      <c r="M123" s="462"/>
      <c r="N123" s="462"/>
      <c r="O123" s="462"/>
      <c r="P123" s="462"/>
      <c r="Q123" s="462"/>
      <c r="R123" s="462"/>
      <c r="T123" s="462"/>
      <c r="U123" s="462"/>
      <c r="V123" s="462"/>
      <c r="Y123" s="462"/>
      <c r="Z123" s="462"/>
      <c r="AA123" s="462"/>
      <c r="AB123" s="462"/>
      <c r="AC123" s="462"/>
      <c r="AD123" s="462"/>
      <c r="AE123" s="462"/>
      <c r="AF123" s="462"/>
      <c r="AG123" s="463"/>
      <c r="AH123" s="462"/>
      <c r="AI123" s="462"/>
      <c r="AJ123" s="462"/>
      <c r="AK123" s="463"/>
      <c r="AL123" s="462"/>
      <c r="AM123" s="462"/>
      <c r="AN123" s="462"/>
    </row>
    <row r="124" spans="1:40">
      <c r="A124" s="460"/>
      <c r="B124" s="460"/>
      <c r="C124" s="460"/>
      <c r="D124" s="460"/>
      <c r="E124" s="460"/>
      <c r="F124" s="460"/>
      <c r="G124" s="460"/>
      <c r="H124" s="460"/>
      <c r="I124" s="460"/>
      <c r="J124" s="460"/>
      <c r="K124" s="460"/>
      <c r="L124" s="460"/>
      <c r="M124" s="460"/>
      <c r="N124" s="460"/>
      <c r="O124" s="460"/>
      <c r="P124" s="460"/>
      <c r="Q124" s="460"/>
      <c r="R124" s="460"/>
      <c r="T124" s="460"/>
      <c r="U124" s="460"/>
      <c r="V124" s="460"/>
      <c r="W124" s="460"/>
      <c r="X124" s="460"/>
      <c r="Y124" s="460"/>
      <c r="Z124" s="460"/>
      <c r="AA124" s="460"/>
      <c r="AB124" s="460"/>
      <c r="AC124" s="460"/>
      <c r="AD124" s="460"/>
      <c r="AE124" s="460"/>
      <c r="AF124" s="460"/>
      <c r="AG124" s="461"/>
      <c r="AH124" s="460"/>
      <c r="AI124" s="460"/>
      <c r="AJ124" s="460"/>
      <c r="AK124" s="461"/>
      <c r="AL124" s="460"/>
      <c r="AM124" s="460"/>
      <c r="AN124" s="460"/>
    </row>
    <row r="125" spans="1:40">
      <c r="H125" s="462"/>
      <c r="I125" s="462"/>
      <c r="J125" s="462"/>
      <c r="K125" s="462"/>
      <c r="L125" s="462"/>
      <c r="M125" s="462"/>
      <c r="N125" s="462"/>
      <c r="O125" s="462"/>
      <c r="P125" s="462"/>
      <c r="Q125" s="462"/>
      <c r="R125" s="462"/>
      <c r="Y125" s="462"/>
      <c r="Z125" s="462"/>
      <c r="AA125" s="462"/>
      <c r="AB125" s="462"/>
      <c r="AC125" s="462"/>
      <c r="AD125" s="462"/>
      <c r="AE125" s="462"/>
      <c r="AF125" s="462"/>
      <c r="AG125" s="463"/>
      <c r="AH125" s="462"/>
      <c r="AI125" s="462"/>
      <c r="AJ125" s="462"/>
      <c r="AK125" s="463"/>
      <c r="AL125" s="462"/>
      <c r="AM125" s="462"/>
      <c r="AN125" s="462"/>
    </row>
    <row r="126" spans="1:40">
      <c r="C126" s="455"/>
      <c r="D126" s="455"/>
      <c r="E126" s="455"/>
      <c r="T126" s="455"/>
      <c r="U126" s="455"/>
    </row>
    <row r="127" spans="1:40">
      <c r="C127" s="455"/>
      <c r="T127" s="455"/>
    </row>
    <row r="129" spans="3:40">
      <c r="C129" s="455"/>
      <c r="T129" s="455"/>
    </row>
    <row r="130" spans="3:40">
      <c r="C130" s="455"/>
      <c r="F130" s="476"/>
      <c r="H130" s="476"/>
      <c r="I130" s="476"/>
      <c r="J130" s="471"/>
      <c r="K130" s="471"/>
      <c r="L130" s="470"/>
      <c r="M130" s="470"/>
      <c r="N130" s="472"/>
      <c r="O130" s="472"/>
      <c r="R130" s="470"/>
      <c r="T130" s="455"/>
      <c r="V130" s="470"/>
      <c r="Y130" s="476"/>
      <c r="Z130" s="471"/>
      <c r="AA130" s="470"/>
      <c r="AB130" s="470"/>
      <c r="AC130" s="472"/>
      <c r="AD130" s="472"/>
      <c r="AE130" s="470"/>
      <c r="AF130" s="470"/>
      <c r="AG130" s="526"/>
      <c r="AH130" s="527"/>
      <c r="AL130" s="470"/>
      <c r="AM130" s="528"/>
      <c r="AN130" s="528"/>
    </row>
    <row r="131" spans="3:40">
      <c r="C131" s="455"/>
      <c r="F131" s="476"/>
      <c r="H131" s="476"/>
      <c r="I131" s="476"/>
      <c r="J131" s="471"/>
      <c r="K131" s="471"/>
      <c r="L131" s="470"/>
      <c r="M131" s="470"/>
      <c r="N131" s="472"/>
      <c r="O131" s="472"/>
      <c r="R131" s="470"/>
      <c r="T131" s="455"/>
      <c r="V131" s="470"/>
      <c r="Y131" s="476"/>
      <c r="Z131" s="471"/>
      <c r="AA131" s="470"/>
      <c r="AB131" s="470"/>
      <c r="AC131" s="472"/>
      <c r="AD131" s="472"/>
      <c r="AE131" s="470"/>
      <c r="AF131" s="470"/>
      <c r="AH131" s="529"/>
      <c r="AL131" s="470"/>
      <c r="AM131" s="472"/>
      <c r="AN131" s="472"/>
    </row>
    <row r="132" spans="3:40">
      <c r="C132" s="455"/>
      <c r="F132" s="476"/>
      <c r="H132" s="476"/>
      <c r="I132" s="476"/>
      <c r="J132" s="471"/>
      <c r="K132" s="471"/>
      <c r="L132" s="470"/>
      <c r="M132" s="470"/>
      <c r="N132" s="472"/>
      <c r="O132" s="472"/>
      <c r="R132" s="470"/>
      <c r="T132" s="455"/>
      <c r="V132" s="470"/>
      <c r="Y132" s="476"/>
      <c r="Z132" s="471"/>
      <c r="AA132" s="470"/>
      <c r="AB132" s="470"/>
      <c r="AC132" s="472"/>
      <c r="AD132" s="472"/>
      <c r="AE132" s="470"/>
      <c r="AF132" s="470"/>
      <c r="AH132" s="529"/>
      <c r="AL132" s="470"/>
      <c r="AM132" s="472"/>
      <c r="AN132" s="472"/>
    </row>
    <row r="133" spans="3:40">
      <c r="F133" s="479"/>
      <c r="H133" s="470"/>
      <c r="I133" s="470"/>
      <c r="J133" s="484"/>
      <c r="K133" s="484"/>
      <c r="L133" s="479"/>
      <c r="M133" s="479"/>
      <c r="N133" s="479"/>
      <c r="O133" s="479"/>
      <c r="P133" s="479"/>
      <c r="Q133" s="479"/>
      <c r="R133" s="479"/>
      <c r="V133" s="479"/>
      <c r="Y133" s="470"/>
      <c r="Z133" s="484"/>
      <c r="AA133" s="479"/>
      <c r="AB133" s="479"/>
      <c r="AC133" s="479"/>
      <c r="AD133" s="479"/>
      <c r="AE133" s="479"/>
      <c r="AF133" s="479"/>
      <c r="AI133" s="479"/>
      <c r="AJ133" s="479"/>
      <c r="AK133" s="485"/>
      <c r="AL133" s="479"/>
      <c r="AM133" s="472"/>
      <c r="AN133" s="472"/>
    </row>
    <row r="134" spans="3:40">
      <c r="C134" s="455"/>
      <c r="F134" s="470"/>
      <c r="H134" s="470"/>
      <c r="I134" s="470"/>
      <c r="J134" s="484"/>
      <c r="K134" s="484"/>
      <c r="L134" s="470"/>
      <c r="M134" s="470"/>
      <c r="N134" s="472"/>
      <c r="O134" s="472"/>
      <c r="P134" s="470"/>
      <c r="Q134" s="470"/>
      <c r="R134" s="470"/>
      <c r="T134" s="455"/>
      <c r="V134" s="470"/>
      <c r="Y134" s="470"/>
      <c r="Z134" s="503"/>
      <c r="AA134" s="470"/>
      <c r="AB134" s="470"/>
      <c r="AC134" s="472"/>
      <c r="AD134" s="472"/>
      <c r="AE134" s="470"/>
      <c r="AF134" s="470"/>
      <c r="AH134" s="529"/>
      <c r="AI134" s="470"/>
      <c r="AJ134" s="470"/>
      <c r="AL134" s="470"/>
      <c r="AM134" s="472"/>
      <c r="AN134" s="472"/>
    </row>
    <row r="135" spans="3:40">
      <c r="F135" s="479"/>
      <c r="H135" s="470"/>
      <c r="I135" s="470"/>
      <c r="J135" s="484"/>
      <c r="K135" s="484"/>
      <c r="L135" s="479"/>
      <c r="M135" s="479"/>
      <c r="N135" s="479"/>
      <c r="O135" s="479"/>
      <c r="P135" s="479"/>
      <c r="Q135" s="479"/>
      <c r="R135" s="479"/>
      <c r="V135" s="479"/>
      <c r="Y135" s="470"/>
      <c r="Z135" s="484"/>
      <c r="AA135" s="479"/>
      <c r="AB135" s="479"/>
      <c r="AC135" s="479"/>
      <c r="AD135" s="479"/>
      <c r="AE135" s="479"/>
      <c r="AF135" s="479"/>
      <c r="AI135" s="479"/>
      <c r="AJ135" s="479"/>
      <c r="AK135" s="485"/>
      <c r="AL135" s="479"/>
      <c r="AM135" s="472"/>
      <c r="AN135" s="472"/>
    </row>
    <row r="136" spans="3:40">
      <c r="C136" s="455"/>
      <c r="F136" s="476"/>
      <c r="H136" s="476"/>
      <c r="I136" s="476"/>
      <c r="J136" s="530"/>
      <c r="K136" s="530"/>
      <c r="L136" s="470"/>
      <c r="M136" s="470"/>
      <c r="N136" s="472"/>
      <c r="O136" s="472"/>
      <c r="P136" s="470"/>
      <c r="Q136" s="470"/>
      <c r="R136" s="470"/>
      <c r="S136" s="470"/>
      <c r="T136" s="455"/>
      <c r="V136" s="476"/>
      <c r="Y136" s="476"/>
      <c r="Z136" s="530"/>
      <c r="AA136" s="470"/>
      <c r="AB136" s="470"/>
      <c r="AC136" s="472"/>
      <c r="AD136" s="472"/>
      <c r="AE136" s="470"/>
      <c r="AF136" s="470"/>
      <c r="AH136" s="472"/>
      <c r="AI136" s="470"/>
      <c r="AJ136" s="470"/>
      <c r="AL136" s="470"/>
      <c r="AM136" s="472"/>
      <c r="AN136" s="472"/>
    </row>
    <row r="137" spans="3:40">
      <c r="C137" s="455"/>
      <c r="F137" s="476"/>
      <c r="H137" s="476"/>
      <c r="I137" s="476"/>
      <c r="J137" s="471"/>
      <c r="K137" s="471"/>
      <c r="L137" s="470"/>
      <c r="M137" s="470"/>
      <c r="N137" s="472"/>
      <c r="O137" s="472"/>
      <c r="P137" s="470"/>
      <c r="Q137" s="470"/>
      <c r="R137" s="470"/>
      <c r="T137" s="455"/>
      <c r="V137" s="476"/>
      <c r="Y137" s="470"/>
      <c r="Z137" s="471"/>
      <c r="AA137" s="470"/>
      <c r="AB137" s="470"/>
      <c r="AC137" s="472"/>
      <c r="AD137" s="472"/>
      <c r="AE137" s="470"/>
      <c r="AF137" s="470"/>
      <c r="AH137" s="529"/>
      <c r="AI137" s="470"/>
      <c r="AJ137" s="470"/>
      <c r="AL137" s="470"/>
      <c r="AM137" s="472"/>
      <c r="AN137" s="472"/>
    </row>
    <row r="138" spans="3:40">
      <c r="C138" s="455"/>
      <c r="F138" s="476"/>
      <c r="H138" s="476"/>
      <c r="I138" s="476"/>
      <c r="J138" s="471"/>
      <c r="K138" s="471"/>
      <c r="L138" s="470"/>
      <c r="M138" s="470"/>
      <c r="N138" s="472"/>
      <c r="O138" s="472"/>
      <c r="P138" s="470"/>
      <c r="Q138" s="470"/>
      <c r="R138" s="470"/>
      <c r="T138" s="455"/>
      <c r="V138" s="476"/>
      <c r="Y138" s="470"/>
      <c r="Z138" s="471"/>
      <c r="AA138" s="470"/>
      <c r="AB138" s="470"/>
      <c r="AC138" s="472"/>
      <c r="AD138" s="472"/>
      <c r="AE138" s="470"/>
      <c r="AF138" s="470"/>
      <c r="AH138" s="529"/>
      <c r="AI138" s="470"/>
      <c r="AJ138" s="470"/>
      <c r="AL138" s="470"/>
      <c r="AM138" s="472"/>
      <c r="AN138" s="472"/>
    </row>
    <row r="139" spans="3:40">
      <c r="F139" s="470"/>
      <c r="H139" s="479"/>
      <c r="I139" s="479"/>
      <c r="J139" s="484"/>
      <c r="K139" s="484"/>
      <c r="L139" s="479"/>
      <c r="M139" s="479"/>
      <c r="N139" s="479"/>
      <c r="O139" s="479"/>
      <c r="P139" s="479"/>
      <c r="Q139" s="479"/>
      <c r="R139" s="479"/>
      <c r="V139" s="470"/>
      <c r="Y139" s="479"/>
      <c r="Z139" s="484"/>
      <c r="AA139" s="479"/>
      <c r="AB139" s="479"/>
      <c r="AC139" s="479"/>
      <c r="AD139" s="479"/>
      <c r="AE139" s="479"/>
      <c r="AF139" s="479"/>
      <c r="AI139" s="479"/>
      <c r="AJ139" s="479"/>
      <c r="AK139" s="485"/>
      <c r="AL139" s="479"/>
      <c r="AM139" s="472"/>
      <c r="AN139" s="472"/>
    </row>
    <row r="140" spans="3:40">
      <c r="C140" s="455"/>
      <c r="F140" s="470"/>
      <c r="H140" s="470"/>
      <c r="I140" s="470"/>
      <c r="J140" s="484"/>
      <c r="K140" s="484"/>
      <c r="L140" s="470"/>
      <c r="M140" s="470"/>
      <c r="N140" s="472"/>
      <c r="O140" s="472"/>
      <c r="P140" s="470"/>
      <c r="Q140" s="470"/>
      <c r="R140" s="470"/>
      <c r="T140" s="455"/>
      <c r="V140" s="470"/>
      <c r="Y140" s="470"/>
      <c r="Z140" s="484"/>
      <c r="AA140" s="470"/>
      <c r="AB140" s="470"/>
      <c r="AC140" s="472"/>
      <c r="AD140" s="472"/>
      <c r="AE140" s="470"/>
      <c r="AF140" s="470"/>
      <c r="AH140" s="529"/>
      <c r="AI140" s="470"/>
      <c r="AJ140" s="470"/>
      <c r="AL140" s="470"/>
      <c r="AM140" s="472"/>
      <c r="AN140" s="472"/>
    </row>
    <row r="141" spans="3:40">
      <c r="F141" s="470"/>
      <c r="H141" s="479"/>
      <c r="I141" s="479"/>
      <c r="J141" s="484"/>
      <c r="K141" s="484"/>
      <c r="L141" s="479"/>
      <c r="M141" s="479"/>
      <c r="N141" s="479"/>
      <c r="O141" s="479"/>
      <c r="P141" s="479"/>
      <c r="Q141" s="479"/>
      <c r="R141" s="479"/>
      <c r="V141" s="470"/>
      <c r="Y141" s="479"/>
      <c r="Z141" s="484"/>
      <c r="AA141" s="479"/>
      <c r="AB141" s="479"/>
      <c r="AC141" s="479"/>
      <c r="AD141" s="479"/>
      <c r="AE141" s="479"/>
      <c r="AF141" s="479"/>
      <c r="AI141" s="479"/>
      <c r="AJ141" s="479"/>
      <c r="AK141" s="485"/>
      <c r="AL141" s="479"/>
      <c r="AM141" s="472"/>
      <c r="AN141" s="472"/>
    </row>
    <row r="142" spans="3:40">
      <c r="C142" s="455"/>
      <c r="F142" s="470"/>
      <c r="H142" s="470"/>
      <c r="I142" s="470"/>
      <c r="J142" s="484"/>
      <c r="K142" s="484"/>
      <c r="L142" s="470"/>
      <c r="M142" s="470"/>
      <c r="N142" s="470"/>
      <c r="O142" s="470"/>
      <c r="P142" s="470"/>
      <c r="Q142" s="470"/>
      <c r="R142" s="470"/>
      <c r="T142" s="455"/>
      <c r="V142" s="470"/>
      <c r="Y142" s="470"/>
      <c r="Z142" s="484"/>
      <c r="AA142" s="470"/>
      <c r="AB142" s="470"/>
      <c r="AC142" s="470"/>
      <c r="AD142" s="470"/>
      <c r="AE142" s="470"/>
      <c r="AF142" s="470"/>
      <c r="AH142" s="529"/>
      <c r="AI142" s="470"/>
      <c r="AJ142" s="470"/>
      <c r="AL142" s="470"/>
      <c r="AM142" s="472"/>
      <c r="AN142" s="472"/>
    </row>
    <row r="143" spans="3:40">
      <c r="C143" s="455"/>
      <c r="F143" s="470"/>
      <c r="H143" s="476"/>
      <c r="I143" s="476"/>
      <c r="J143" s="531"/>
      <c r="K143" s="531"/>
      <c r="L143" s="470"/>
      <c r="M143" s="470"/>
      <c r="N143" s="472"/>
      <c r="O143" s="472"/>
      <c r="P143" s="470"/>
      <c r="Q143" s="470"/>
      <c r="R143" s="470"/>
      <c r="T143" s="455"/>
      <c r="V143" s="470"/>
      <c r="Y143" s="470"/>
      <c r="Z143" s="531"/>
      <c r="AA143" s="470"/>
      <c r="AB143" s="470"/>
      <c r="AC143" s="472"/>
      <c r="AD143" s="472"/>
      <c r="AE143" s="470"/>
      <c r="AF143" s="470"/>
      <c r="AH143" s="529"/>
      <c r="AI143" s="470"/>
      <c r="AJ143" s="470"/>
      <c r="AL143" s="470"/>
      <c r="AM143" s="472"/>
      <c r="AN143" s="472"/>
    </row>
    <row r="144" spans="3:40">
      <c r="C144" s="455"/>
      <c r="H144" s="476"/>
      <c r="I144" s="476"/>
      <c r="J144" s="531"/>
      <c r="K144" s="531"/>
      <c r="L144" s="470"/>
      <c r="M144" s="470"/>
      <c r="N144" s="472"/>
      <c r="O144" s="472"/>
      <c r="P144" s="470"/>
      <c r="Q144" s="470"/>
      <c r="R144" s="470"/>
      <c r="T144" s="455"/>
      <c r="Y144" s="470"/>
      <c r="Z144" s="531"/>
      <c r="AA144" s="470"/>
      <c r="AB144" s="470"/>
      <c r="AC144" s="472"/>
      <c r="AD144" s="472"/>
      <c r="AE144" s="470"/>
      <c r="AF144" s="470"/>
      <c r="AH144" s="529"/>
      <c r="AI144" s="470"/>
      <c r="AJ144" s="470"/>
      <c r="AL144" s="470"/>
      <c r="AM144" s="472"/>
      <c r="AN144" s="472"/>
    </row>
    <row r="145" spans="3:40">
      <c r="F145" s="470"/>
      <c r="H145" s="470"/>
      <c r="I145" s="470"/>
      <c r="J145" s="484"/>
      <c r="K145" s="484"/>
      <c r="L145" s="479"/>
      <c r="M145" s="479"/>
      <c r="N145" s="479"/>
      <c r="O145" s="479"/>
      <c r="P145" s="479"/>
      <c r="Q145" s="479"/>
      <c r="R145" s="479"/>
      <c r="V145" s="470"/>
      <c r="Y145" s="470"/>
      <c r="Z145" s="484"/>
      <c r="AA145" s="479"/>
      <c r="AB145" s="479"/>
      <c r="AC145" s="479"/>
      <c r="AD145" s="479"/>
      <c r="AE145" s="479"/>
      <c r="AF145" s="479"/>
      <c r="AI145" s="479"/>
      <c r="AJ145" s="479"/>
      <c r="AK145" s="485"/>
      <c r="AL145" s="479"/>
      <c r="AM145" s="472"/>
      <c r="AN145" s="472"/>
    </row>
    <row r="146" spans="3:40">
      <c r="C146" s="455"/>
      <c r="F146" s="470"/>
      <c r="H146" s="470"/>
      <c r="I146" s="470"/>
      <c r="J146" s="503"/>
      <c r="K146" s="503"/>
      <c r="L146" s="470"/>
      <c r="M146" s="470"/>
      <c r="N146" s="472"/>
      <c r="O146" s="472"/>
      <c r="P146" s="470"/>
      <c r="Q146" s="470"/>
      <c r="R146" s="470"/>
      <c r="T146" s="455"/>
      <c r="V146" s="470"/>
      <c r="Y146" s="470"/>
      <c r="Z146" s="503"/>
      <c r="AA146" s="470"/>
      <c r="AB146" s="470"/>
      <c r="AC146" s="472"/>
      <c r="AD146" s="472"/>
      <c r="AE146" s="470"/>
      <c r="AF146" s="470"/>
      <c r="AH146" s="529"/>
      <c r="AI146" s="470"/>
      <c r="AJ146" s="470"/>
      <c r="AL146" s="470"/>
      <c r="AM146" s="472"/>
      <c r="AN146" s="472"/>
    </row>
    <row r="147" spans="3:40">
      <c r="F147" s="470"/>
      <c r="H147" s="470"/>
      <c r="I147" s="470"/>
      <c r="J147" s="484"/>
      <c r="K147" s="484"/>
      <c r="L147" s="479"/>
      <c r="M147" s="479"/>
      <c r="N147" s="479"/>
      <c r="O147" s="479"/>
      <c r="P147" s="479"/>
      <c r="Q147" s="479"/>
      <c r="R147" s="479"/>
      <c r="V147" s="470"/>
      <c r="Y147" s="470"/>
      <c r="Z147" s="484"/>
      <c r="AA147" s="479"/>
      <c r="AB147" s="479"/>
      <c r="AC147" s="479"/>
      <c r="AD147" s="479"/>
      <c r="AE147" s="479"/>
      <c r="AF147" s="479"/>
      <c r="AI147" s="479"/>
      <c r="AJ147" s="479"/>
      <c r="AK147" s="485"/>
      <c r="AL147" s="479"/>
      <c r="AM147" s="472"/>
      <c r="AN147" s="472"/>
    </row>
    <row r="148" spans="3:40">
      <c r="C148" s="455"/>
      <c r="F148" s="470"/>
      <c r="H148" s="470"/>
      <c r="I148" s="470"/>
      <c r="J148" s="503"/>
      <c r="K148" s="503"/>
      <c r="L148" s="470"/>
      <c r="M148" s="470"/>
      <c r="N148" s="472"/>
      <c r="O148" s="472"/>
      <c r="P148" s="470"/>
      <c r="Q148" s="470"/>
      <c r="R148" s="470"/>
      <c r="T148" s="455"/>
      <c r="V148" s="470"/>
      <c r="Y148" s="470"/>
      <c r="Z148" s="503"/>
      <c r="AA148" s="470"/>
      <c r="AB148" s="470"/>
      <c r="AC148" s="472"/>
      <c r="AD148" s="472"/>
      <c r="AE148" s="470"/>
      <c r="AF148" s="470"/>
      <c r="AH148" s="529"/>
      <c r="AI148" s="470"/>
      <c r="AJ148" s="470"/>
      <c r="AL148" s="470"/>
      <c r="AM148" s="472"/>
      <c r="AN148" s="472"/>
    </row>
    <row r="149" spans="3:40">
      <c r="C149" s="455"/>
      <c r="F149" s="470"/>
      <c r="H149" s="476"/>
      <c r="I149" s="476"/>
      <c r="J149" s="518"/>
      <c r="K149" s="518"/>
      <c r="L149" s="470"/>
      <c r="M149" s="470"/>
      <c r="N149" s="472"/>
      <c r="O149" s="472"/>
      <c r="P149" s="470"/>
      <c r="Q149" s="470"/>
      <c r="R149" s="470"/>
      <c r="T149" s="455"/>
      <c r="V149" s="476"/>
      <c r="Y149" s="470"/>
      <c r="Z149" s="518"/>
      <c r="AA149" s="470"/>
      <c r="AB149" s="470"/>
      <c r="AC149" s="472"/>
      <c r="AD149" s="472"/>
      <c r="AE149" s="470"/>
      <c r="AF149" s="470"/>
      <c r="AH149" s="529"/>
      <c r="AI149" s="470"/>
      <c r="AJ149" s="470"/>
      <c r="AL149" s="470"/>
      <c r="AM149" s="472"/>
      <c r="AN149" s="472"/>
    </row>
    <row r="150" spans="3:40">
      <c r="F150" s="479"/>
      <c r="H150" s="479"/>
      <c r="I150" s="479"/>
      <c r="J150" s="484"/>
      <c r="K150" s="484"/>
      <c r="L150" s="479"/>
      <c r="M150" s="479"/>
      <c r="N150" s="479"/>
      <c r="O150" s="479"/>
      <c r="P150" s="479"/>
      <c r="Q150" s="479"/>
      <c r="R150" s="479"/>
      <c r="V150" s="479"/>
      <c r="Y150" s="479"/>
      <c r="Z150" s="484"/>
      <c r="AA150" s="479"/>
      <c r="AB150" s="479"/>
      <c r="AC150" s="479"/>
      <c r="AD150" s="479"/>
      <c r="AE150" s="479"/>
      <c r="AF150" s="479"/>
      <c r="AI150" s="479"/>
      <c r="AJ150" s="479"/>
      <c r="AK150" s="485"/>
      <c r="AL150" s="479"/>
      <c r="AM150" s="472"/>
      <c r="AN150" s="472"/>
    </row>
    <row r="151" spans="3:40">
      <c r="C151" s="455"/>
      <c r="F151" s="470"/>
      <c r="H151" s="470"/>
      <c r="I151" s="470"/>
      <c r="J151" s="484"/>
      <c r="K151" s="484"/>
      <c r="L151" s="470"/>
      <c r="M151" s="470"/>
      <c r="N151" s="472"/>
      <c r="O151" s="472"/>
      <c r="P151" s="470"/>
      <c r="Q151" s="470"/>
      <c r="R151" s="470"/>
      <c r="S151" s="470"/>
      <c r="T151" s="455"/>
      <c r="V151" s="470"/>
      <c r="Y151" s="470"/>
      <c r="Z151" s="484"/>
      <c r="AA151" s="470"/>
      <c r="AB151" s="470"/>
      <c r="AC151" s="472"/>
      <c r="AD151" s="472"/>
      <c r="AE151" s="470"/>
      <c r="AF151" s="470"/>
      <c r="AH151" s="472"/>
      <c r="AI151" s="470"/>
      <c r="AJ151" s="470"/>
      <c r="AL151" s="470"/>
      <c r="AM151" s="472"/>
      <c r="AN151" s="472"/>
    </row>
    <row r="152" spans="3:40">
      <c r="F152" s="479"/>
      <c r="H152" s="479"/>
      <c r="I152" s="479"/>
      <c r="J152" s="484"/>
      <c r="K152" s="484"/>
      <c r="L152" s="479"/>
      <c r="M152" s="479"/>
      <c r="N152" s="479"/>
      <c r="O152" s="479"/>
      <c r="P152" s="479"/>
      <c r="Q152" s="479"/>
      <c r="R152" s="479"/>
      <c r="S152" s="470"/>
      <c r="V152" s="479"/>
      <c r="Y152" s="479"/>
      <c r="Z152" s="484"/>
      <c r="AA152" s="479"/>
      <c r="AB152" s="479"/>
      <c r="AC152" s="479"/>
      <c r="AD152" s="479"/>
      <c r="AE152" s="479"/>
      <c r="AF152" s="479"/>
      <c r="AI152" s="479"/>
      <c r="AJ152" s="479"/>
      <c r="AK152" s="485"/>
      <c r="AL152" s="479"/>
      <c r="AM152" s="472"/>
      <c r="AN152" s="472"/>
    </row>
    <row r="153" spans="3:40">
      <c r="C153" s="455"/>
      <c r="F153" s="476"/>
      <c r="H153" s="532"/>
      <c r="I153" s="532"/>
      <c r="J153" s="484"/>
      <c r="K153" s="484"/>
      <c r="L153" s="470"/>
      <c r="M153" s="470"/>
      <c r="N153" s="472"/>
      <c r="O153" s="472"/>
      <c r="P153" s="470"/>
      <c r="Q153" s="470"/>
      <c r="R153" s="470"/>
      <c r="S153" s="470"/>
      <c r="T153" s="455"/>
      <c r="V153" s="476"/>
      <c r="Y153" s="476"/>
      <c r="Z153" s="484"/>
      <c r="AA153" s="470"/>
      <c r="AB153" s="470"/>
      <c r="AC153" s="472"/>
      <c r="AD153" s="472"/>
      <c r="AE153" s="470"/>
      <c r="AF153" s="470"/>
      <c r="AI153" s="470"/>
      <c r="AJ153" s="470"/>
      <c r="AL153" s="470"/>
      <c r="AM153" s="472"/>
      <c r="AN153" s="472"/>
    </row>
    <row r="155" spans="3:40">
      <c r="C155" s="455"/>
      <c r="T155" s="455"/>
    </row>
    <row r="156" spans="3:40">
      <c r="C156" s="455"/>
      <c r="F156" s="476"/>
      <c r="H156" s="476"/>
      <c r="I156" s="476"/>
      <c r="J156" s="471"/>
      <c r="K156" s="471"/>
      <c r="L156" s="470"/>
      <c r="M156" s="470"/>
      <c r="N156" s="472"/>
      <c r="O156" s="472"/>
      <c r="R156" s="470"/>
      <c r="T156" s="455"/>
      <c r="V156" s="470"/>
      <c r="Y156" s="476"/>
      <c r="Z156" s="471"/>
      <c r="AA156" s="470"/>
      <c r="AB156" s="470"/>
      <c r="AC156" s="472"/>
      <c r="AD156" s="472"/>
      <c r="AE156" s="470"/>
      <c r="AF156" s="470"/>
      <c r="AG156" s="526"/>
      <c r="AH156" s="527"/>
      <c r="AL156" s="470"/>
      <c r="AM156" s="528"/>
      <c r="AN156" s="528"/>
    </row>
    <row r="157" spans="3:40">
      <c r="C157" s="455"/>
      <c r="F157" s="476"/>
      <c r="H157" s="476"/>
      <c r="I157" s="476"/>
      <c r="J157" s="471"/>
      <c r="K157" s="471"/>
      <c r="L157" s="470"/>
      <c r="M157" s="470"/>
      <c r="N157" s="472"/>
      <c r="O157" s="472"/>
      <c r="R157" s="470"/>
      <c r="T157" s="455"/>
      <c r="V157" s="470"/>
      <c r="Y157" s="476"/>
      <c r="Z157" s="471"/>
      <c r="AA157" s="470"/>
      <c r="AB157" s="470"/>
      <c r="AC157" s="472"/>
      <c r="AD157" s="472"/>
      <c r="AE157" s="470"/>
      <c r="AF157" s="470"/>
      <c r="AH157" s="529"/>
      <c r="AL157" s="470"/>
      <c r="AM157" s="472"/>
      <c r="AN157" s="472"/>
    </row>
    <row r="158" spans="3:40">
      <c r="C158" s="455"/>
      <c r="F158" s="476"/>
      <c r="H158" s="476"/>
      <c r="I158" s="476"/>
      <c r="J158" s="471"/>
      <c r="K158" s="471"/>
      <c r="L158" s="470"/>
      <c r="M158" s="470"/>
      <c r="N158" s="472"/>
      <c r="O158" s="472"/>
      <c r="R158" s="470"/>
      <c r="T158" s="455"/>
      <c r="V158" s="470"/>
      <c r="Y158" s="476"/>
      <c r="Z158" s="471"/>
      <c r="AA158" s="470"/>
      <c r="AB158" s="470"/>
      <c r="AC158" s="472"/>
      <c r="AD158" s="472"/>
      <c r="AE158" s="470"/>
      <c r="AF158" s="470"/>
      <c r="AH158" s="529"/>
      <c r="AL158" s="470"/>
      <c r="AM158" s="472"/>
      <c r="AN158" s="472"/>
    </row>
    <row r="159" spans="3:40">
      <c r="F159" s="479"/>
      <c r="H159" s="470"/>
      <c r="I159" s="470"/>
      <c r="J159" s="484"/>
      <c r="K159" s="484"/>
      <c r="L159" s="479"/>
      <c r="M159" s="479"/>
      <c r="N159" s="479"/>
      <c r="O159" s="479"/>
      <c r="P159" s="479"/>
      <c r="Q159" s="479"/>
      <c r="R159" s="479"/>
      <c r="V159" s="479"/>
      <c r="Y159" s="470"/>
      <c r="Z159" s="484"/>
      <c r="AA159" s="479"/>
      <c r="AB159" s="479"/>
      <c r="AC159" s="479"/>
      <c r="AD159" s="479"/>
      <c r="AE159" s="479"/>
      <c r="AF159" s="479"/>
      <c r="AI159" s="479"/>
      <c r="AJ159" s="479"/>
      <c r="AK159" s="485"/>
      <c r="AL159" s="479"/>
      <c r="AM159" s="472"/>
      <c r="AN159" s="472"/>
    </row>
    <row r="160" spans="3:40">
      <c r="C160" s="455"/>
      <c r="F160" s="470"/>
      <c r="H160" s="470"/>
      <c r="I160" s="470"/>
      <c r="J160" s="484"/>
      <c r="K160" s="484"/>
      <c r="L160" s="470"/>
      <c r="M160" s="470"/>
      <c r="N160" s="472"/>
      <c r="O160" s="472"/>
      <c r="P160" s="470"/>
      <c r="Q160" s="470"/>
      <c r="R160" s="470"/>
      <c r="T160" s="455"/>
      <c r="V160" s="470"/>
      <c r="Y160" s="470"/>
      <c r="Z160" s="484"/>
      <c r="AA160" s="470"/>
      <c r="AB160" s="470"/>
      <c r="AC160" s="472"/>
      <c r="AD160" s="472"/>
      <c r="AE160" s="470"/>
      <c r="AF160" s="470"/>
      <c r="AH160" s="529"/>
      <c r="AI160" s="470"/>
      <c r="AJ160" s="470"/>
      <c r="AL160" s="470"/>
      <c r="AM160" s="472"/>
      <c r="AN160" s="472"/>
    </row>
    <row r="161" spans="3:40">
      <c r="F161" s="479"/>
      <c r="H161" s="470"/>
      <c r="I161" s="470"/>
      <c r="J161" s="484"/>
      <c r="K161" s="484"/>
      <c r="L161" s="479"/>
      <c r="M161" s="479"/>
      <c r="N161" s="479"/>
      <c r="O161" s="479"/>
      <c r="P161" s="479"/>
      <c r="Q161" s="479"/>
      <c r="R161" s="479"/>
      <c r="V161" s="479"/>
      <c r="Y161" s="470"/>
      <c r="Z161" s="484"/>
      <c r="AA161" s="479"/>
      <c r="AB161" s="479"/>
      <c r="AC161" s="479"/>
      <c r="AD161" s="479"/>
      <c r="AE161" s="479"/>
      <c r="AF161" s="479"/>
      <c r="AI161" s="479"/>
      <c r="AJ161" s="479"/>
      <c r="AK161" s="485"/>
      <c r="AL161" s="479"/>
      <c r="AM161" s="472"/>
      <c r="AN161" s="472"/>
    </row>
    <row r="162" spans="3:40">
      <c r="C162" s="455"/>
      <c r="F162" s="476"/>
      <c r="H162" s="476"/>
      <c r="I162" s="476"/>
      <c r="J162" s="530"/>
      <c r="K162" s="530"/>
      <c r="L162" s="470"/>
      <c r="M162" s="470"/>
      <c r="N162" s="472"/>
      <c r="O162" s="472"/>
      <c r="P162" s="470"/>
      <c r="Q162" s="470"/>
      <c r="R162" s="470"/>
      <c r="S162" s="470"/>
      <c r="T162" s="455"/>
      <c r="V162" s="476"/>
      <c r="Y162" s="476"/>
      <c r="Z162" s="530"/>
      <c r="AA162" s="470"/>
      <c r="AB162" s="470"/>
      <c r="AC162" s="472"/>
      <c r="AD162" s="472"/>
      <c r="AE162" s="470"/>
      <c r="AF162" s="470"/>
      <c r="AH162" s="472"/>
      <c r="AI162" s="470"/>
      <c r="AJ162" s="470"/>
      <c r="AL162" s="470"/>
      <c r="AM162" s="472"/>
      <c r="AN162" s="472"/>
    </row>
    <row r="163" spans="3:40">
      <c r="C163" s="455"/>
      <c r="F163" s="476"/>
      <c r="H163" s="476"/>
      <c r="I163" s="476"/>
      <c r="J163" s="471"/>
      <c r="K163" s="471"/>
      <c r="L163" s="470"/>
      <c r="M163" s="470"/>
      <c r="N163" s="472"/>
      <c r="O163" s="472"/>
      <c r="P163" s="470"/>
      <c r="Q163" s="470"/>
      <c r="R163" s="470"/>
      <c r="T163" s="455"/>
      <c r="V163" s="476"/>
      <c r="Y163" s="470"/>
      <c r="Z163" s="471"/>
      <c r="AA163" s="470"/>
      <c r="AB163" s="470"/>
      <c r="AC163" s="472"/>
      <c r="AD163" s="472"/>
      <c r="AE163" s="470"/>
      <c r="AF163" s="470"/>
      <c r="AH163" s="529"/>
      <c r="AI163" s="470"/>
      <c r="AJ163" s="470"/>
      <c r="AL163" s="470"/>
      <c r="AM163" s="472"/>
      <c r="AN163" s="472"/>
    </row>
    <row r="164" spans="3:40">
      <c r="C164" s="455"/>
      <c r="F164" s="476"/>
      <c r="H164" s="476"/>
      <c r="I164" s="476"/>
      <c r="J164" s="471"/>
      <c r="K164" s="471"/>
      <c r="L164" s="470"/>
      <c r="M164" s="470"/>
      <c r="N164" s="472"/>
      <c r="O164" s="472"/>
      <c r="P164" s="470"/>
      <c r="Q164" s="470"/>
      <c r="R164" s="470"/>
      <c r="T164" s="455"/>
      <c r="V164" s="476"/>
      <c r="Y164" s="470"/>
      <c r="Z164" s="471"/>
      <c r="AA164" s="470"/>
      <c r="AB164" s="470"/>
      <c r="AC164" s="472"/>
      <c r="AD164" s="472"/>
      <c r="AE164" s="470"/>
      <c r="AF164" s="470"/>
      <c r="AH164" s="529"/>
      <c r="AI164" s="470"/>
      <c r="AJ164" s="470"/>
      <c r="AL164" s="470"/>
      <c r="AM164" s="472"/>
      <c r="AN164" s="472"/>
    </row>
    <row r="165" spans="3:40">
      <c r="F165" s="470"/>
      <c r="H165" s="479"/>
      <c r="I165" s="479"/>
      <c r="J165" s="484"/>
      <c r="K165" s="484"/>
      <c r="L165" s="479"/>
      <c r="M165" s="479"/>
      <c r="N165" s="479"/>
      <c r="O165" s="479"/>
      <c r="P165" s="479"/>
      <c r="Q165" s="479"/>
      <c r="R165" s="479"/>
      <c r="V165" s="470"/>
      <c r="Y165" s="479"/>
      <c r="Z165" s="484"/>
      <c r="AA165" s="479"/>
      <c r="AB165" s="479"/>
      <c r="AC165" s="479"/>
      <c r="AD165" s="479"/>
      <c r="AE165" s="479"/>
      <c r="AF165" s="479"/>
      <c r="AI165" s="479"/>
      <c r="AJ165" s="479"/>
      <c r="AK165" s="485"/>
      <c r="AL165" s="479"/>
      <c r="AM165" s="472"/>
      <c r="AN165" s="472"/>
    </row>
    <row r="166" spans="3:40">
      <c r="C166" s="455"/>
      <c r="F166" s="470"/>
      <c r="H166" s="470"/>
      <c r="I166" s="470"/>
      <c r="J166" s="484"/>
      <c r="K166" s="484"/>
      <c r="L166" s="470"/>
      <c r="M166" s="470"/>
      <c r="N166" s="472"/>
      <c r="O166" s="472"/>
      <c r="P166" s="470"/>
      <c r="Q166" s="470"/>
      <c r="R166" s="470"/>
      <c r="T166" s="455"/>
      <c r="V166" s="470"/>
      <c r="Y166" s="470"/>
      <c r="Z166" s="484"/>
      <c r="AA166" s="470"/>
      <c r="AB166" s="470"/>
      <c r="AC166" s="472"/>
      <c r="AD166" s="472"/>
      <c r="AE166" s="470"/>
      <c r="AF166" s="470"/>
      <c r="AH166" s="529"/>
      <c r="AI166" s="470"/>
      <c r="AJ166" s="470"/>
      <c r="AL166" s="470"/>
      <c r="AM166" s="472"/>
      <c r="AN166" s="472"/>
    </row>
    <row r="167" spans="3:40">
      <c r="F167" s="470"/>
      <c r="H167" s="479"/>
      <c r="I167" s="479"/>
      <c r="J167" s="484"/>
      <c r="K167" s="484"/>
      <c r="L167" s="479"/>
      <c r="M167" s="479"/>
      <c r="N167" s="479"/>
      <c r="O167" s="479"/>
      <c r="P167" s="479"/>
      <c r="Q167" s="479"/>
      <c r="R167" s="479"/>
      <c r="V167" s="470"/>
      <c r="Y167" s="479"/>
      <c r="Z167" s="484"/>
      <c r="AA167" s="479"/>
      <c r="AB167" s="479"/>
      <c r="AC167" s="479"/>
      <c r="AD167" s="479"/>
      <c r="AE167" s="479"/>
      <c r="AF167" s="479"/>
      <c r="AI167" s="479"/>
      <c r="AJ167" s="479"/>
      <c r="AK167" s="485"/>
      <c r="AL167" s="479"/>
      <c r="AM167" s="472"/>
      <c r="AN167" s="472"/>
    </row>
    <row r="168" spans="3:40">
      <c r="C168" s="455"/>
      <c r="F168" s="470"/>
      <c r="H168" s="470"/>
      <c r="I168" s="470"/>
      <c r="J168" s="484"/>
      <c r="K168" s="484"/>
      <c r="L168" s="470"/>
      <c r="M168" s="470"/>
      <c r="N168" s="470"/>
      <c r="O168" s="470"/>
      <c r="P168" s="470"/>
      <c r="Q168" s="470"/>
      <c r="R168" s="470"/>
      <c r="T168" s="455"/>
      <c r="V168" s="470"/>
      <c r="Y168" s="470"/>
      <c r="Z168" s="484"/>
      <c r="AA168" s="470"/>
      <c r="AB168" s="470"/>
      <c r="AC168" s="470"/>
      <c r="AD168" s="470"/>
      <c r="AE168" s="470"/>
      <c r="AF168" s="470"/>
      <c r="AH168" s="529"/>
      <c r="AI168" s="470"/>
      <c r="AJ168" s="470"/>
      <c r="AL168" s="470"/>
      <c r="AM168" s="472"/>
      <c r="AN168" s="472"/>
    </row>
    <row r="169" spans="3:40">
      <c r="C169" s="455"/>
      <c r="F169" s="470"/>
      <c r="H169" s="476"/>
      <c r="I169" s="476"/>
      <c r="J169" s="531"/>
      <c r="K169" s="531"/>
      <c r="L169" s="470"/>
      <c r="M169" s="470"/>
      <c r="N169" s="472"/>
      <c r="O169" s="472"/>
      <c r="P169" s="470"/>
      <c r="Q169" s="470"/>
      <c r="R169" s="470"/>
      <c r="T169" s="455"/>
      <c r="V169" s="470"/>
      <c r="Y169" s="470"/>
      <c r="Z169" s="531"/>
      <c r="AA169" s="470"/>
      <c r="AB169" s="470"/>
      <c r="AC169" s="472"/>
      <c r="AD169" s="472"/>
      <c r="AE169" s="470"/>
      <c r="AF169" s="470"/>
      <c r="AH169" s="529"/>
      <c r="AI169" s="470"/>
      <c r="AJ169" s="470"/>
      <c r="AL169" s="470"/>
      <c r="AM169" s="472"/>
      <c r="AN169" s="472"/>
    </row>
    <row r="170" spans="3:40">
      <c r="C170" s="455"/>
      <c r="H170" s="476"/>
      <c r="I170" s="476"/>
      <c r="J170" s="531"/>
      <c r="K170" s="531"/>
      <c r="L170" s="470"/>
      <c r="M170" s="470"/>
      <c r="N170" s="472"/>
      <c r="O170" s="472"/>
      <c r="P170" s="470"/>
      <c r="Q170" s="470"/>
      <c r="R170" s="470"/>
      <c r="T170" s="455"/>
      <c r="Y170" s="470"/>
      <c r="Z170" s="531"/>
      <c r="AA170" s="470"/>
      <c r="AB170" s="470"/>
      <c r="AC170" s="472"/>
      <c r="AD170" s="472"/>
      <c r="AE170" s="470"/>
      <c r="AF170" s="470"/>
      <c r="AH170" s="529"/>
      <c r="AI170" s="470"/>
      <c r="AJ170" s="470"/>
      <c r="AL170" s="470"/>
      <c r="AM170" s="472"/>
      <c r="AN170" s="472"/>
    </row>
    <row r="171" spans="3:40">
      <c r="F171" s="470"/>
      <c r="H171" s="470"/>
      <c r="I171" s="470"/>
      <c r="J171" s="484"/>
      <c r="K171" s="484"/>
      <c r="L171" s="479"/>
      <c r="M171" s="479"/>
      <c r="N171" s="479"/>
      <c r="O171" s="479"/>
      <c r="P171" s="479"/>
      <c r="Q171" s="479"/>
      <c r="R171" s="479"/>
      <c r="V171" s="470"/>
      <c r="Y171" s="470"/>
      <c r="Z171" s="484"/>
      <c r="AA171" s="479"/>
      <c r="AB171" s="479"/>
      <c r="AC171" s="479"/>
      <c r="AD171" s="479"/>
      <c r="AE171" s="479"/>
      <c r="AF171" s="479"/>
      <c r="AI171" s="479"/>
      <c r="AJ171" s="479"/>
      <c r="AK171" s="485"/>
      <c r="AL171" s="479"/>
      <c r="AM171" s="472"/>
      <c r="AN171" s="472"/>
    </row>
    <row r="172" spans="3:40">
      <c r="C172" s="455"/>
      <c r="F172" s="470"/>
      <c r="H172" s="470"/>
      <c r="I172" s="470"/>
      <c r="J172" s="503"/>
      <c r="K172" s="503"/>
      <c r="L172" s="470"/>
      <c r="M172" s="470"/>
      <c r="N172" s="472"/>
      <c r="O172" s="472"/>
      <c r="P172" s="470"/>
      <c r="Q172" s="470"/>
      <c r="R172" s="470"/>
      <c r="T172" s="455"/>
      <c r="V172" s="470"/>
      <c r="Y172" s="470"/>
      <c r="Z172" s="503"/>
      <c r="AA172" s="470"/>
      <c r="AB172" s="470"/>
      <c r="AC172" s="472"/>
      <c r="AD172" s="472"/>
      <c r="AE172" s="470"/>
      <c r="AF172" s="470"/>
      <c r="AH172" s="529"/>
      <c r="AI172" s="470"/>
      <c r="AJ172" s="470"/>
      <c r="AL172" s="470"/>
      <c r="AM172" s="472"/>
      <c r="AN172" s="472"/>
    </row>
    <row r="173" spans="3:40">
      <c r="F173" s="470"/>
      <c r="H173" s="470"/>
      <c r="I173" s="470"/>
      <c r="J173" s="484"/>
      <c r="K173" s="484"/>
      <c r="L173" s="479"/>
      <c r="M173" s="479"/>
      <c r="N173" s="479"/>
      <c r="O173" s="479"/>
      <c r="P173" s="479"/>
      <c r="Q173" s="479"/>
      <c r="R173" s="479"/>
      <c r="V173" s="470"/>
      <c r="Y173" s="470"/>
      <c r="Z173" s="484"/>
      <c r="AA173" s="479"/>
      <c r="AB173" s="479"/>
      <c r="AC173" s="479"/>
      <c r="AD173" s="479"/>
      <c r="AE173" s="479"/>
      <c r="AF173" s="479"/>
      <c r="AI173" s="479"/>
      <c r="AJ173" s="479"/>
      <c r="AK173" s="485"/>
      <c r="AL173" s="479"/>
      <c r="AM173" s="472"/>
      <c r="AN173" s="472"/>
    </row>
    <row r="174" spans="3:40">
      <c r="C174" s="455"/>
      <c r="F174" s="470"/>
      <c r="H174" s="470"/>
      <c r="I174" s="470"/>
      <c r="J174" s="503"/>
      <c r="K174" s="503"/>
      <c r="L174" s="470"/>
      <c r="M174" s="470"/>
      <c r="N174" s="472"/>
      <c r="O174" s="472"/>
      <c r="P174" s="470"/>
      <c r="Q174" s="470"/>
      <c r="R174" s="470"/>
      <c r="T174" s="455"/>
      <c r="V174" s="470"/>
      <c r="Y174" s="470"/>
      <c r="Z174" s="503"/>
      <c r="AA174" s="470"/>
      <c r="AB174" s="470"/>
      <c r="AC174" s="472"/>
      <c r="AD174" s="472"/>
      <c r="AE174" s="470"/>
      <c r="AF174" s="470"/>
      <c r="AH174" s="529"/>
      <c r="AI174" s="470"/>
      <c r="AJ174" s="470"/>
      <c r="AL174" s="470"/>
      <c r="AM174" s="472"/>
      <c r="AN174" s="472"/>
    </row>
    <row r="175" spans="3:40">
      <c r="C175" s="455"/>
      <c r="F175" s="476"/>
      <c r="H175" s="476"/>
      <c r="I175" s="476"/>
      <c r="J175" s="518"/>
      <c r="K175" s="518"/>
      <c r="L175" s="470"/>
      <c r="M175" s="470"/>
      <c r="N175" s="472"/>
      <c r="O175" s="472"/>
      <c r="P175" s="470"/>
      <c r="Q175" s="470"/>
      <c r="R175" s="470"/>
      <c r="T175" s="455"/>
      <c r="V175" s="476"/>
      <c r="Y175" s="470"/>
      <c r="Z175" s="518"/>
      <c r="AA175" s="470"/>
      <c r="AB175" s="470"/>
      <c r="AC175" s="472"/>
      <c r="AD175" s="472"/>
      <c r="AE175" s="470"/>
      <c r="AF175" s="470"/>
      <c r="AH175" s="529"/>
      <c r="AI175" s="470"/>
      <c r="AJ175" s="470"/>
      <c r="AL175" s="470"/>
      <c r="AM175" s="472"/>
      <c r="AN175" s="472"/>
    </row>
    <row r="176" spans="3:40">
      <c r="F176" s="479"/>
      <c r="H176" s="479"/>
      <c r="I176" s="479"/>
      <c r="J176" s="484"/>
      <c r="K176" s="484"/>
      <c r="L176" s="479"/>
      <c r="M176" s="479"/>
      <c r="N176" s="479"/>
      <c r="O176" s="479"/>
      <c r="P176" s="479"/>
      <c r="Q176" s="479"/>
      <c r="R176" s="479"/>
      <c r="V176" s="479"/>
      <c r="Y176" s="479"/>
      <c r="Z176" s="484"/>
      <c r="AA176" s="479"/>
      <c r="AB176" s="479"/>
      <c r="AC176" s="479"/>
      <c r="AD176" s="479"/>
      <c r="AE176" s="479"/>
      <c r="AF176" s="479"/>
      <c r="AI176" s="479"/>
      <c r="AJ176" s="479"/>
      <c r="AK176" s="485"/>
      <c r="AL176" s="479"/>
      <c r="AM176" s="472"/>
      <c r="AN176" s="472"/>
    </row>
    <row r="177" spans="1:40">
      <c r="C177" s="455"/>
      <c r="F177" s="470"/>
      <c r="H177" s="470"/>
      <c r="I177" s="470"/>
      <c r="J177" s="484"/>
      <c r="K177" s="484"/>
      <c r="L177" s="470"/>
      <c r="M177" s="470"/>
      <c r="N177" s="472"/>
      <c r="O177" s="472"/>
      <c r="P177" s="470"/>
      <c r="Q177" s="470"/>
      <c r="R177" s="470"/>
      <c r="S177" s="470"/>
      <c r="T177" s="455"/>
      <c r="V177" s="470"/>
      <c r="Y177" s="470"/>
      <c r="Z177" s="484"/>
      <c r="AA177" s="470"/>
      <c r="AB177" s="470"/>
      <c r="AC177" s="472"/>
      <c r="AD177" s="472"/>
      <c r="AE177" s="470"/>
      <c r="AF177" s="470"/>
      <c r="AH177" s="472"/>
      <c r="AI177" s="470"/>
      <c r="AJ177" s="470"/>
      <c r="AL177" s="470"/>
      <c r="AM177" s="472"/>
      <c r="AN177" s="472"/>
    </row>
    <row r="178" spans="1:40">
      <c r="F178" s="479"/>
      <c r="H178" s="479"/>
      <c r="I178" s="479"/>
      <c r="J178" s="484"/>
      <c r="K178" s="484"/>
      <c r="L178" s="479"/>
      <c r="M178" s="479"/>
      <c r="N178" s="479"/>
      <c r="O178" s="479"/>
      <c r="P178" s="479"/>
      <c r="Q178" s="479"/>
      <c r="R178" s="479"/>
      <c r="S178" s="470"/>
      <c r="V178" s="479"/>
      <c r="Y178" s="479"/>
      <c r="Z178" s="484"/>
      <c r="AA178" s="479"/>
      <c r="AB178" s="479"/>
      <c r="AC178" s="479"/>
      <c r="AD178" s="479"/>
      <c r="AE178" s="479"/>
      <c r="AF178" s="479"/>
      <c r="AI178" s="479"/>
      <c r="AJ178" s="479"/>
      <c r="AK178" s="485"/>
      <c r="AL178" s="479"/>
      <c r="AM178" s="472"/>
      <c r="AN178" s="472"/>
    </row>
    <row r="179" spans="1:40">
      <c r="C179" s="455"/>
      <c r="T179" s="455"/>
    </row>
    <row r="180" spans="1:40">
      <c r="C180" s="455"/>
      <c r="F180" s="470"/>
      <c r="H180" s="470"/>
      <c r="I180" s="470"/>
      <c r="L180" s="470"/>
      <c r="M180" s="470"/>
      <c r="N180" s="472"/>
      <c r="O180" s="472"/>
      <c r="P180" s="476"/>
      <c r="Q180" s="476"/>
      <c r="R180" s="470"/>
      <c r="T180" s="455"/>
      <c r="V180" s="470"/>
      <c r="Y180" s="470"/>
      <c r="AA180" s="470"/>
      <c r="AB180" s="470"/>
      <c r="AC180" s="472"/>
      <c r="AD180" s="472"/>
      <c r="AE180" s="470"/>
      <c r="AF180" s="470"/>
      <c r="AH180" s="472"/>
      <c r="AI180" s="476"/>
      <c r="AJ180" s="476"/>
      <c r="AL180" s="470"/>
      <c r="AM180" s="472"/>
      <c r="AN180" s="472"/>
    </row>
    <row r="181" spans="1:40">
      <c r="F181" s="479"/>
      <c r="H181" s="479"/>
      <c r="I181" s="479"/>
      <c r="J181" s="484"/>
      <c r="K181" s="484"/>
      <c r="L181" s="479"/>
      <c r="M181" s="479"/>
      <c r="N181" s="479"/>
      <c r="O181" s="479"/>
      <c r="P181" s="479"/>
      <c r="Q181" s="479"/>
      <c r="R181" s="479"/>
      <c r="V181" s="479"/>
      <c r="Y181" s="479"/>
      <c r="Z181" s="484"/>
      <c r="AA181" s="479"/>
      <c r="AB181" s="479"/>
      <c r="AC181" s="479"/>
      <c r="AD181" s="479"/>
      <c r="AE181" s="479"/>
      <c r="AF181" s="479"/>
      <c r="AI181" s="479"/>
      <c r="AJ181" s="479"/>
      <c r="AK181" s="485"/>
      <c r="AL181" s="479"/>
    </row>
    <row r="183" spans="1:40">
      <c r="C183" s="455"/>
      <c r="L183" s="470"/>
      <c r="M183" s="470"/>
      <c r="N183" s="470"/>
      <c r="O183" s="470"/>
      <c r="P183" s="470"/>
      <c r="Q183" s="470"/>
      <c r="R183" s="470"/>
      <c r="S183" s="470"/>
      <c r="T183" s="455"/>
      <c r="AA183" s="470"/>
      <c r="AB183" s="470"/>
      <c r="AC183" s="470"/>
      <c r="AD183" s="470"/>
      <c r="AI183" s="470"/>
      <c r="AJ183" s="470"/>
      <c r="AL183" s="470"/>
    </row>
    <row r="184" spans="1:40">
      <c r="A184" s="455"/>
    </row>
    <row r="186" spans="1:40">
      <c r="H186" s="455"/>
      <c r="I186" s="455"/>
      <c r="Y186" s="455"/>
    </row>
    <row r="188" spans="1:40">
      <c r="L188" s="455"/>
      <c r="M188" s="455"/>
      <c r="AA188" s="455"/>
      <c r="AB188" s="455"/>
    </row>
    <row r="189" spans="1:40">
      <c r="R189" s="455"/>
      <c r="AK189" s="456"/>
      <c r="AL189" s="455"/>
    </row>
    <row r="190" spans="1:40">
      <c r="R190" s="455"/>
      <c r="AK190" s="456"/>
      <c r="AL190" s="455"/>
    </row>
    <row r="191" spans="1:40">
      <c r="A191" s="455"/>
      <c r="R191" s="455"/>
      <c r="AK191" s="456"/>
      <c r="AL191" s="455"/>
    </row>
    <row r="192" spans="1:40">
      <c r="L192" s="455"/>
      <c r="M192" s="455"/>
      <c r="AA192" s="455"/>
      <c r="AB192" s="455"/>
    </row>
    <row r="193" spans="1:40">
      <c r="A193" s="460"/>
      <c r="B193" s="460"/>
      <c r="C193" s="460"/>
      <c r="D193" s="460"/>
      <c r="E193" s="460"/>
      <c r="F193" s="460"/>
      <c r="G193" s="460"/>
      <c r="H193" s="460"/>
      <c r="I193" s="460"/>
      <c r="J193" s="460"/>
      <c r="K193" s="460"/>
      <c r="L193" s="460"/>
      <c r="M193" s="460"/>
      <c r="N193" s="460"/>
      <c r="O193" s="460"/>
      <c r="P193" s="460"/>
      <c r="Q193" s="460"/>
      <c r="R193" s="460"/>
      <c r="T193" s="460"/>
      <c r="U193" s="460"/>
      <c r="V193" s="460"/>
      <c r="W193" s="460"/>
      <c r="X193" s="460"/>
      <c r="Y193" s="460"/>
      <c r="Z193" s="460"/>
      <c r="AA193" s="460"/>
      <c r="AB193" s="460"/>
      <c r="AC193" s="460"/>
      <c r="AD193" s="460"/>
      <c r="AE193" s="460"/>
      <c r="AF193" s="460"/>
      <c r="AG193" s="461"/>
      <c r="AH193" s="460"/>
      <c r="AI193" s="460"/>
      <c r="AJ193" s="460"/>
      <c r="AK193" s="461"/>
      <c r="AL193" s="460"/>
      <c r="AM193" s="460"/>
      <c r="AN193" s="460"/>
    </row>
    <row r="194" spans="1:40">
      <c r="L194" s="462"/>
      <c r="M194" s="462"/>
      <c r="N194" s="462"/>
      <c r="O194" s="462"/>
      <c r="R194" s="462"/>
      <c r="AA194" s="462"/>
      <c r="AB194" s="462"/>
      <c r="AC194" s="462"/>
      <c r="AD194" s="462"/>
      <c r="AE194" s="462"/>
      <c r="AF194" s="462"/>
      <c r="AG194" s="463"/>
      <c r="AH194" s="462"/>
      <c r="AK194" s="463"/>
      <c r="AL194" s="462"/>
      <c r="AM194" s="462"/>
      <c r="AN194" s="462"/>
    </row>
    <row r="195" spans="1:40">
      <c r="L195" s="462"/>
      <c r="M195" s="462"/>
      <c r="N195" s="462"/>
      <c r="O195" s="462"/>
      <c r="R195" s="462"/>
      <c r="Z195" s="462"/>
      <c r="AA195" s="462"/>
      <c r="AB195" s="462"/>
      <c r="AC195" s="462"/>
      <c r="AD195" s="462"/>
      <c r="AE195" s="462"/>
      <c r="AF195" s="462"/>
      <c r="AG195" s="463"/>
      <c r="AH195" s="462"/>
      <c r="AK195" s="463"/>
      <c r="AL195" s="462"/>
      <c r="AM195" s="462"/>
      <c r="AN195" s="462"/>
    </row>
    <row r="196" spans="1:40">
      <c r="A196" s="462"/>
      <c r="C196" s="462"/>
      <c r="D196" s="462"/>
      <c r="E196" s="462"/>
      <c r="F196" s="462"/>
      <c r="J196" s="462"/>
      <c r="K196" s="462"/>
      <c r="L196" s="462"/>
      <c r="M196" s="462"/>
      <c r="N196" s="462"/>
      <c r="O196" s="462"/>
      <c r="P196" s="462"/>
      <c r="Q196" s="462"/>
      <c r="R196" s="462"/>
      <c r="T196" s="462"/>
      <c r="U196" s="462"/>
      <c r="V196" s="462"/>
      <c r="Z196" s="462"/>
      <c r="AA196" s="462"/>
      <c r="AB196" s="462"/>
      <c r="AC196" s="462"/>
      <c r="AD196" s="462"/>
      <c r="AE196" s="462"/>
      <c r="AF196" s="462"/>
      <c r="AG196" s="463"/>
      <c r="AH196" s="462"/>
      <c r="AI196" s="462"/>
      <c r="AJ196" s="462"/>
      <c r="AK196" s="463"/>
      <c r="AL196" s="462"/>
      <c r="AM196" s="462"/>
      <c r="AN196" s="462"/>
    </row>
    <row r="197" spans="1:40">
      <c r="A197" s="462"/>
      <c r="C197" s="462"/>
      <c r="D197" s="462"/>
      <c r="E197" s="462"/>
      <c r="F197" s="462"/>
      <c r="H197" s="462"/>
      <c r="I197" s="462"/>
      <c r="J197" s="462"/>
      <c r="K197" s="462"/>
      <c r="L197" s="462"/>
      <c r="M197" s="462"/>
      <c r="N197" s="462"/>
      <c r="O197" s="462"/>
      <c r="P197" s="462"/>
      <c r="Q197" s="462"/>
      <c r="R197" s="462"/>
      <c r="T197" s="462"/>
      <c r="U197" s="462"/>
      <c r="V197" s="462"/>
      <c r="Y197" s="462"/>
      <c r="Z197" s="462"/>
      <c r="AA197" s="462"/>
      <c r="AB197" s="462"/>
      <c r="AC197" s="462"/>
      <c r="AD197" s="462"/>
      <c r="AE197" s="462"/>
      <c r="AF197" s="462"/>
      <c r="AG197" s="463"/>
      <c r="AH197" s="462"/>
      <c r="AI197" s="462"/>
      <c r="AJ197" s="462"/>
      <c r="AK197" s="463"/>
      <c r="AL197" s="462"/>
      <c r="AM197" s="462"/>
      <c r="AN197" s="462"/>
    </row>
    <row r="198" spans="1:40">
      <c r="C198" s="462"/>
      <c r="D198" s="462"/>
      <c r="E198" s="462"/>
      <c r="F198" s="462"/>
      <c r="H198" s="462"/>
      <c r="I198" s="462"/>
      <c r="J198" s="462"/>
      <c r="K198" s="462"/>
      <c r="L198" s="462"/>
      <c r="M198" s="462"/>
      <c r="N198" s="462"/>
      <c r="O198" s="462"/>
      <c r="P198" s="462"/>
      <c r="Q198" s="462"/>
      <c r="R198" s="462"/>
      <c r="T198" s="462"/>
      <c r="U198" s="462"/>
      <c r="V198" s="462"/>
      <c r="Y198" s="462"/>
      <c r="Z198" s="462"/>
      <c r="AA198" s="462"/>
      <c r="AB198" s="462"/>
      <c r="AC198" s="462"/>
      <c r="AD198" s="462"/>
      <c r="AE198" s="462"/>
      <c r="AF198" s="462"/>
      <c r="AG198" s="463"/>
      <c r="AH198" s="462"/>
      <c r="AI198" s="462"/>
      <c r="AJ198" s="462"/>
      <c r="AK198" s="463"/>
      <c r="AL198" s="462"/>
      <c r="AM198" s="462"/>
      <c r="AN198" s="462"/>
    </row>
    <row r="199" spans="1:40">
      <c r="A199" s="460"/>
      <c r="B199" s="460"/>
      <c r="C199" s="460"/>
      <c r="D199" s="460"/>
      <c r="E199" s="460"/>
      <c r="F199" s="460"/>
      <c r="G199" s="460"/>
      <c r="H199" s="460"/>
      <c r="I199" s="460"/>
      <c r="J199" s="460"/>
      <c r="K199" s="460"/>
      <c r="L199" s="460"/>
      <c r="M199" s="460"/>
      <c r="N199" s="460"/>
      <c r="O199" s="460"/>
      <c r="P199" s="460"/>
      <c r="Q199" s="460"/>
      <c r="R199" s="460"/>
      <c r="T199" s="460"/>
      <c r="U199" s="460"/>
      <c r="V199" s="460"/>
      <c r="W199" s="460"/>
      <c r="X199" s="460"/>
      <c r="Y199" s="460"/>
      <c r="Z199" s="460"/>
      <c r="AA199" s="460"/>
      <c r="AB199" s="460"/>
      <c r="AC199" s="460"/>
      <c r="AD199" s="460"/>
      <c r="AE199" s="460"/>
      <c r="AF199" s="460"/>
      <c r="AG199" s="461"/>
      <c r="AH199" s="460"/>
      <c r="AI199" s="460"/>
      <c r="AJ199" s="460"/>
      <c r="AK199" s="461"/>
      <c r="AL199" s="460"/>
      <c r="AM199" s="460"/>
      <c r="AN199" s="460"/>
    </row>
    <row r="200" spans="1:40">
      <c r="H200" s="462"/>
      <c r="I200" s="462"/>
      <c r="J200" s="462"/>
      <c r="K200" s="462"/>
      <c r="L200" s="462"/>
      <c r="M200" s="462"/>
      <c r="N200" s="462"/>
      <c r="O200" s="462"/>
      <c r="P200" s="462"/>
      <c r="Q200" s="462"/>
      <c r="R200" s="462"/>
      <c r="Y200" s="462"/>
      <c r="Z200" s="462"/>
      <c r="AA200" s="462"/>
      <c r="AB200" s="462"/>
      <c r="AC200" s="462"/>
      <c r="AD200" s="462"/>
      <c r="AE200" s="462"/>
      <c r="AF200" s="462"/>
      <c r="AG200" s="463"/>
      <c r="AH200" s="462"/>
      <c r="AI200" s="462"/>
      <c r="AJ200" s="462"/>
      <c r="AK200" s="463"/>
      <c r="AL200" s="462"/>
      <c r="AM200" s="462"/>
      <c r="AN200" s="462"/>
    </row>
    <row r="201" spans="1:40">
      <c r="C201" s="455"/>
      <c r="D201" s="455"/>
      <c r="E201" s="455"/>
      <c r="T201" s="455"/>
      <c r="U201" s="455"/>
    </row>
    <row r="202" spans="1:40">
      <c r="D202" s="455"/>
      <c r="E202" s="455"/>
      <c r="U202" s="455"/>
    </row>
    <row r="204" spans="1:40">
      <c r="C204" s="455"/>
      <c r="F204" s="476"/>
      <c r="H204" s="476"/>
      <c r="I204" s="476"/>
      <c r="J204" s="471"/>
      <c r="K204" s="471"/>
      <c r="L204" s="470"/>
      <c r="M204" s="470"/>
      <c r="N204" s="472"/>
      <c r="O204" s="472"/>
      <c r="R204" s="470"/>
      <c r="T204" s="455"/>
      <c r="V204" s="470"/>
      <c r="Y204" s="476"/>
      <c r="Z204" s="471"/>
      <c r="AA204" s="470"/>
      <c r="AB204" s="470"/>
      <c r="AC204" s="472"/>
      <c r="AD204" s="472"/>
      <c r="AE204" s="470"/>
      <c r="AF204" s="470"/>
      <c r="AG204" s="526"/>
      <c r="AH204" s="527"/>
      <c r="AL204" s="470"/>
      <c r="AM204" s="528"/>
      <c r="AN204" s="528"/>
    </row>
    <row r="205" spans="1:40">
      <c r="C205" s="455"/>
      <c r="F205" s="476"/>
      <c r="H205" s="476"/>
      <c r="I205" s="476"/>
      <c r="J205" s="471"/>
      <c r="K205" s="471"/>
      <c r="L205" s="470"/>
      <c r="M205" s="470"/>
      <c r="N205" s="472"/>
      <c r="O205" s="472"/>
      <c r="R205" s="470"/>
      <c r="T205" s="455"/>
      <c r="V205" s="470"/>
      <c r="Y205" s="476"/>
      <c r="Z205" s="471"/>
      <c r="AA205" s="470"/>
      <c r="AB205" s="470"/>
      <c r="AC205" s="472"/>
      <c r="AD205" s="472"/>
      <c r="AE205" s="470"/>
      <c r="AF205" s="470"/>
      <c r="AH205" s="529"/>
      <c r="AL205" s="470"/>
      <c r="AM205" s="472"/>
      <c r="AN205" s="472"/>
    </row>
    <row r="206" spans="1:40">
      <c r="F206" s="479"/>
      <c r="H206" s="470"/>
      <c r="I206" s="470"/>
      <c r="J206" s="484"/>
      <c r="K206" s="484"/>
      <c r="L206" s="479"/>
      <c r="M206" s="479"/>
      <c r="N206" s="479"/>
      <c r="O206" s="479"/>
      <c r="P206" s="479"/>
      <c r="Q206" s="479"/>
      <c r="R206" s="479"/>
      <c r="V206" s="479"/>
      <c r="Y206" s="470"/>
      <c r="Z206" s="484"/>
      <c r="AA206" s="479"/>
      <c r="AB206" s="479"/>
      <c r="AC206" s="479"/>
      <c r="AD206" s="479"/>
      <c r="AE206" s="479"/>
      <c r="AF206" s="479"/>
      <c r="AI206" s="479"/>
      <c r="AJ206" s="479"/>
      <c r="AK206" s="485"/>
      <c r="AL206" s="479"/>
      <c r="AM206" s="472"/>
      <c r="AN206" s="472"/>
    </row>
    <row r="207" spans="1:40">
      <c r="C207" s="455"/>
      <c r="F207" s="470"/>
      <c r="H207" s="470"/>
      <c r="I207" s="470"/>
      <c r="J207" s="484"/>
      <c r="K207" s="484"/>
      <c r="L207" s="470"/>
      <c r="M207" s="470"/>
      <c r="N207" s="472"/>
      <c r="O207" s="472"/>
      <c r="P207" s="470"/>
      <c r="Q207" s="470"/>
      <c r="R207" s="470"/>
      <c r="T207" s="455"/>
      <c r="V207" s="470"/>
      <c r="Y207" s="470"/>
      <c r="Z207" s="503"/>
      <c r="AA207" s="470"/>
      <c r="AB207" s="470"/>
      <c r="AC207" s="472"/>
      <c r="AD207" s="472"/>
      <c r="AE207" s="470"/>
      <c r="AF207" s="470"/>
      <c r="AH207" s="529"/>
      <c r="AI207" s="470"/>
      <c r="AJ207" s="470"/>
      <c r="AL207" s="470"/>
      <c r="AM207" s="472"/>
      <c r="AN207" s="472"/>
    </row>
    <row r="208" spans="1:40">
      <c r="F208" s="479"/>
      <c r="H208" s="470"/>
      <c r="I208" s="470"/>
      <c r="J208" s="484"/>
      <c r="K208" s="484"/>
      <c r="L208" s="479"/>
      <c r="M208" s="479"/>
      <c r="N208" s="479"/>
      <c r="O208" s="479"/>
      <c r="P208" s="479"/>
      <c r="Q208" s="479"/>
      <c r="R208" s="479"/>
      <c r="V208" s="479"/>
      <c r="Y208" s="470"/>
      <c r="Z208" s="484"/>
      <c r="AA208" s="479"/>
      <c r="AB208" s="479"/>
      <c r="AC208" s="479"/>
      <c r="AD208" s="479"/>
      <c r="AE208" s="479"/>
      <c r="AF208" s="479"/>
      <c r="AI208" s="479"/>
      <c r="AJ208" s="479"/>
      <c r="AK208" s="485"/>
      <c r="AL208" s="479"/>
      <c r="AM208" s="472"/>
      <c r="AN208" s="472"/>
    </row>
    <row r="209" spans="3:40">
      <c r="F209" s="470"/>
      <c r="H209" s="470"/>
      <c r="I209" s="470"/>
      <c r="J209" s="484"/>
      <c r="K209" s="484"/>
      <c r="L209" s="470"/>
      <c r="M209" s="470"/>
      <c r="N209" s="472"/>
      <c r="O209" s="472"/>
      <c r="P209" s="470"/>
      <c r="Q209" s="470"/>
      <c r="R209" s="470"/>
      <c r="V209" s="470"/>
      <c r="Y209" s="470"/>
      <c r="Z209" s="503"/>
      <c r="AA209" s="470"/>
      <c r="AB209" s="470"/>
      <c r="AC209" s="472"/>
      <c r="AD209" s="472"/>
      <c r="AE209" s="470"/>
      <c r="AF209" s="470"/>
      <c r="AH209" s="529"/>
      <c r="AI209" s="470"/>
      <c r="AJ209" s="470"/>
      <c r="AL209" s="470"/>
      <c r="AM209" s="472"/>
      <c r="AN209" s="472"/>
    </row>
    <row r="210" spans="3:40">
      <c r="C210" s="455"/>
      <c r="F210" s="476"/>
      <c r="H210" s="476"/>
      <c r="I210" s="476"/>
      <c r="J210" s="471"/>
      <c r="K210" s="471"/>
      <c r="L210" s="470"/>
      <c r="M210" s="470"/>
      <c r="N210" s="472"/>
      <c r="O210" s="472"/>
      <c r="P210" s="470"/>
      <c r="Q210" s="470"/>
      <c r="R210" s="470"/>
      <c r="T210" s="455"/>
      <c r="V210" s="476"/>
      <c r="Y210" s="470"/>
      <c r="Z210" s="471"/>
      <c r="AA210" s="470"/>
      <c r="AB210" s="470"/>
      <c r="AC210" s="472"/>
      <c r="AD210" s="472"/>
      <c r="AE210" s="470"/>
      <c r="AF210" s="470"/>
      <c r="AG210" s="526"/>
      <c r="AH210" s="527"/>
      <c r="AI210" s="470"/>
      <c r="AJ210" s="470"/>
      <c r="AL210" s="470"/>
      <c r="AM210" s="528"/>
      <c r="AN210" s="528"/>
    </row>
    <row r="211" spans="3:40">
      <c r="C211" s="455"/>
      <c r="F211" s="476"/>
      <c r="H211" s="476"/>
      <c r="I211" s="476"/>
      <c r="J211" s="471"/>
      <c r="K211" s="471"/>
      <c r="L211" s="470"/>
      <c r="M211" s="470"/>
      <c r="N211" s="472"/>
      <c r="O211" s="472"/>
      <c r="P211" s="470"/>
      <c r="Q211" s="470"/>
      <c r="R211" s="470"/>
      <c r="T211" s="455"/>
      <c r="V211" s="476"/>
      <c r="Y211" s="470"/>
      <c r="Z211" s="471"/>
      <c r="AA211" s="470"/>
      <c r="AB211" s="470"/>
      <c r="AC211" s="472"/>
      <c r="AD211" s="472"/>
      <c r="AE211" s="470"/>
      <c r="AF211" s="470"/>
      <c r="AH211" s="529"/>
      <c r="AI211" s="470"/>
      <c r="AJ211" s="470"/>
      <c r="AL211" s="470"/>
      <c r="AM211" s="472"/>
      <c r="AN211" s="472"/>
    </row>
    <row r="212" spans="3:40">
      <c r="F212" s="470"/>
      <c r="H212" s="479"/>
      <c r="I212" s="479"/>
      <c r="J212" s="484"/>
      <c r="K212" s="484"/>
      <c r="L212" s="479"/>
      <c r="M212" s="479"/>
      <c r="N212" s="479"/>
      <c r="O212" s="479"/>
      <c r="P212" s="479"/>
      <c r="Q212" s="479"/>
      <c r="R212" s="479"/>
      <c r="V212" s="470"/>
      <c r="Y212" s="479"/>
      <c r="Z212" s="484"/>
      <c r="AA212" s="479"/>
      <c r="AB212" s="479"/>
      <c r="AC212" s="479"/>
      <c r="AD212" s="479"/>
      <c r="AE212" s="479"/>
      <c r="AF212" s="479"/>
      <c r="AI212" s="479"/>
      <c r="AJ212" s="479"/>
      <c r="AK212" s="485"/>
      <c r="AL212" s="479"/>
      <c r="AM212" s="472"/>
      <c r="AN212" s="472"/>
    </row>
    <row r="213" spans="3:40">
      <c r="C213" s="455"/>
      <c r="F213" s="470"/>
      <c r="H213" s="470"/>
      <c r="I213" s="470"/>
      <c r="J213" s="484"/>
      <c r="K213" s="484"/>
      <c r="L213" s="470"/>
      <c r="M213" s="470"/>
      <c r="N213" s="472"/>
      <c r="O213" s="472"/>
      <c r="P213" s="470"/>
      <c r="Q213" s="470"/>
      <c r="R213" s="470"/>
      <c r="T213" s="455"/>
      <c r="V213" s="470"/>
      <c r="Y213" s="470"/>
      <c r="Z213" s="484"/>
      <c r="AA213" s="470"/>
      <c r="AB213" s="470"/>
      <c r="AC213" s="472"/>
      <c r="AD213" s="472"/>
      <c r="AE213" s="470"/>
      <c r="AF213" s="470"/>
      <c r="AH213" s="529"/>
      <c r="AI213" s="470"/>
      <c r="AJ213" s="470"/>
      <c r="AL213" s="470"/>
      <c r="AM213" s="472"/>
      <c r="AN213" s="472"/>
    </row>
    <row r="214" spans="3:40">
      <c r="F214" s="470"/>
      <c r="H214" s="479"/>
      <c r="I214" s="479"/>
      <c r="J214" s="484"/>
      <c r="K214" s="484"/>
      <c r="L214" s="479"/>
      <c r="M214" s="479"/>
      <c r="N214" s="479"/>
      <c r="O214" s="479"/>
      <c r="P214" s="479"/>
      <c r="Q214" s="479"/>
      <c r="R214" s="479"/>
      <c r="V214" s="470"/>
      <c r="Y214" s="479"/>
      <c r="Z214" s="484"/>
      <c r="AA214" s="479"/>
      <c r="AB214" s="479"/>
      <c r="AC214" s="479"/>
      <c r="AD214" s="479"/>
      <c r="AE214" s="479"/>
      <c r="AF214" s="479"/>
      <c r="AI214" s="479"/>
      <c r="AJ214" s="479"/>
      <c r="AK214" s="485"/>
      <c r="AL214" s="479"/>
      <c r="AM214" s="472"/>
      <c r="AN214" s="472"/>
    </row>
    <row r="215" spans="3:40">
      <c r="F215" s="470"/>
      <c r="H215" s="470"/>
      <c r="I215" s="470"/>
      <c r="J215" s="484"/>
      <c r="K215" s="484"/>
      <c r="L215" s="470"/>
      <c r="M215" s="470"/>
      <c r="N215" s="470"/>
      <c r="O215" s="470"/>
      <c r="P215" s="470"/>
      <c r="Q215" s="470"/>
      <c r="R215" s="470"/>
      <c r="V215" s="470"/>
      <c r="Y215" s="470"/>
      <c r="Z215" s="484"/>
      <c r="AA215" s="470"/>
      <c r="AB215" s="470"/>
      <c r="AC215" s="470"/>
      <c r="AD215" s="470"/>
      <c r="AE215" s="470"/>
      <c r="AF215" s="470"/>
      <c r="AH215" s="529"/>
      <c r="AI215" s="470"/>
      <c r="AJ215" s="470"/>
      <c r="AL215" s="470"/>
      <c r="AM215" s="472"/>
      <c r="AN215" s="472"/>
    </row>
    <row r="216" spans="3:40">
      <c r="C216" s="455"/>
      <c r="F216" s="476"/>
      <c r="H216" s="476"/>
      <c r="I216" s="476"/>
      <c r="J216" s="518"/>
      <c r="K216" s="518"/>
      <c r="L216" s="470"/>
      <c r="M216" s="470"/>
      <c r="N216" s="472"/>
      <c r="O216" s="472"/>
      <c r="P216" s="476"/>
      <c r="Q216" s="476"/>
      <c r="R216" s="470"/>
      <c r="T216" s="455"/>
      <c r="V216" s="476"/>
      <c r="Y216" s="476"/>
      <c r="Z216" s="530"/>
      <c r="AA216" s="470"/>
      <c r="AB216" s="470"/>
      <c r="AC216" s="472"/>
      <c r="AD216" s="472"/>
      <c r="AE216" s="470"/>
      <c r="AF216" s="470"/>
      <c r="AH216" s="529"/>
      <c r="AI216" s="476"/>
      <c r="AJ216" s="476"/>
      <c r="AL216" s="470"/>
      <c r="AM216" s="472"/>
      <c r="AN216" s="472"/>
    </row>
    <row r="217" spans="3:40">
      <c r="C217" s="455"/>
      <c r="F217" s="476"/>
      <c r="H217" s="476"/>
      <c r="I217" s="476"/>
      <c r="J217" s="518"/>
      <c r="K217" s="518"/>
      <c r="L217" s="470"/>
      <c r="M217" s="470"/>
      <c r="N217" s="472"/>
      <c r="O217" s="472"/>
      <c r="P217" s="476"/>
      <c r="Q217" s="476"/>
      <c r="R217" s="470"/>
      <c r="T217" s="455"/>
      <c r="V217" s="476"/>
      <c r="Y217" s="470"/>
      <c r="Z217" s="483"/>
      <c r="AA217" s="470"/>
      <c r="AB217" s="470"/>
      <c r="AC217" s="472"/>
      <c r="AD217" s="472"/>
      <c r="AE217" s="470"/>
      <c r="AF217" s="470"/>
      <c r="AH217" s="529"/>
      <c r="AI217" s="476"/>
      <c r="AJ217" s="476"/>
      <c r="AL217" s="470"/>
      <c r="AM217" s="472"/>
      <c r="AN217" s="472"/>
    </row>
    <row r="218" spans="3:40">
      <c r="C218" s="455"/>
      <c r="F218" s="476"/>
      <c r="H218" s="476"/>
      <c r="I218" s="476"/>
      <c r="J218" s="518"/>
      <c r="K218" s="518"/>
      <c r="L218" s="470"/>
      <c r="M218" s="470"/>
      <c r="N218" s="472"/>
      <c r="O218" s="472"/>
      <c r="P218" s="476"/>
      <c r="Q218" s="476"/>
      <c r="R218" s="470"/>
      <c r="T218" s="455"/>
      <c r="V218" s="476"/>
      <c r="Y218" s="470"/>
      <c r="Z218" s="483"/>
      <c r="AA218" s="470"/>
      <c r="AB218" s="470"/>
      <c r="AC218" s="472"/>
      <c r="AD218" s="472"/>
      <c r="AE218" s="470"/>
      <c r="AF218" s="470"/>
      <c r="AH218" s="529"/>
      <c r="AI218" s="476"/>
      <c r="AJ218" s="476"/>
      <c r="AL218" s="470"/>
      <c r="AM218" s="472"/>
      <c r="AN218" s="472"/>
    </row>
    <row r="219" spans="3:40">
      <c r="F219" s="479"/>
      <c r="H219" s="479"/>
      <c r="I219" s="479"/>
      <c r="J219" s="484"/>
      <c r="K219" s="484"/>
      <c r="L219" s="479"/>
      <c r="M219" s="479"/>
      <c r="N219" s="479"/>
      <c r="O219" s="479"/>
      <c r="P219" s="479"/>
      <c r="Q219" s="479"/>
      <c r="R219" s="479"/>
      <c r="V219" s="479"/>
      <c r="Y219" s="479"/>
      <c r="Z219" s="484"/>
      <c r="AA219" s="479"/>
      <c r="AB219" s="479"/>
      <c r="AC219" s="479"/>
      <c r="AD219" s="479"/>
      <c r="AE219" s="479"/>
      <c r="AF219" s="479"/>
      <c r="AI219" s="479"/>
      <c r="AJ219" s="479"/>
      <c r="AK219" s="485"/>
      <c r="AL219" s="479"/>
      <c r="AM219" s="472"/>
      <c r="AN219" s="472"/>
    </row>
    <row r="220" spans="3:40">
      <c r="C220" s="455"/>
      <c r="F220" s="470"/>
      <c r="H220" s="470"/>
      <c r="I220" s="470"/>
      <c r="J220" s="503"/>
      <c r="K220" s="503"/>
      <c r="L220" s="470"/>
      <c r="M220" s="470"/>
      <c r="N220" s="472"/>
      <c r="O220" s="472"/>
      <c r="P220" s="470"/>
      <c r="Q220" s="470"/>
      <c r="R220" s="470"/>
      <c r="T220" s="455"/>
      <c r="V220" s="470"/>
      <c r="Y220" s="470"/>
      <c r="Z220" s="503"/>
      <c r="AA220" s="470"/>
      <c r="AB220" s="470"/>
      <c r="AC220" s="472"/>
      <c r="AD220" s="472"/>
      <c r="AE220" s="470"/>
      <c r="AF220" s="470"/>
      <c r="AH220" s="529"/>
      <c r="AI220" s="470"/>
      <c r="AJ220" s="470"/>
      <c r="AL220" s="470"/>
      <c r="AM220" s="472"/>
      <c r="AN220" s="472"/>
    </row>
    <row r="221" spans="3:40">
      <c r="F221" s="479"/>
      <c r="H221" s="479"/>
      <c r="I221" s="479"/>
      <c r="J221" s="484"/>
      <c r="K221" s="484"/>
      <c r="L221" s="479"/>
      <c r="M221" s="479"/>
      <c r="N221" s="479"/>
      <c r="O221" s="479"/>
      <c r="P221" s="479"/>
      <c r="Q221" s="479"/>
      <c r="R221" s="479"/>
      <c r="V221" s="479"/>
      <c r="Y221" s="479"/>
      <c r="Z221" s="484"/>
      <c r="AA221" s="479"/>
      <c r="AB221" s="479"/>
      <c r="AC221" s="479"/>
      <c r="AD221" s="479"/>
      <c r="AE221" s="479"/>
      <c r="AF221" s="479"/>
      <c r="AI221" s="479"/>
      <c r="AJ221" s="479"/>
      <c r="AK221" s="485"/>
      <c r="AL221" s="479"/>
      <c r="AM221" s="472"/>
      <c r="AN221" s="472"/>
    </row>
    <row r="222" spans="3:40">
      <c r="C222" s="455"/>
      <c r="F222" s="470"/>
      <c r="H222" s="470"/>
      <c r="I222" s="470"/>
      <c r="J222" s="503"/>
      <c r="K222" s="503"/>
      <c r="L222" s="470"/>
      <c r="M222" s="470"/>
      <c r="N222" s="472"/>
      <c r="O222" s="472"/>
      <c r="P222" s="470"/>
      <c r="Q222" s="470"/>
      <c r="R222" s="470"/>
      <c r="T222" s="455"/>
      <c r="V222" s="470"/>
      <c r="Y222" s="470"/>
      <c r="Z222" s="503"/>
      <c r="AA222" s="470"/>
      <c r="AB222" s="470"/>
      <c r="AC222" s="472"/>
      <c r="AD222" s="472"/>
      <c r="AE222" s="470"/>
      <c r="AF222" s="470"/>
      <c r="AH222" s="529"/>
      <c r="AI222" s="470"/>
      <c r="AJ222" s="470"/>
      <c r="AL222" s="470"/>
      <c r="AM222" s="472"/>
      <c r="AN222" s="472"/>
    </row>
    <row r="223" spans="3:40">
      <c r="C223" s="455"/>
      <c r="F223" s="470"/>
      <c r="H223" s="470"/>
      <c r="I223" s="470"/>
      <c r="J223" s="503"/>
      <c r="K223" s="503"/>
      <c r="L223" s="470"/>
      <c r="M223" s="470"/>
      <c r="N223" s="472"/>
      <c r="O223" s="472"/>
      <c r="P223" s="470"/>
      <c r="Q223" s="470"/>
      <c r="R223" s="470"/>
      <c r="T223" s="455"/>
      <c r="V223" s="470"/>
      <c r="Y223" s="470"/>
      <c r="Z223" s="503"/>
      <c r="AA223" s="470"/>
      <c r="AB223" s="470"/>
      <c r="AC223" s="472"/>
      <c r="AD223" s="472"/>
      <c r="AE223" s="470"/>
      <c r="AF223" s="470"/>
      <c r="AH223" s="529"/>
      <c r="AI223" s="470"/>
      <c r="AJ223" s="470"/>
      <c r="AL223" s="470"/>
      <c r="AM223" s="472"/>
      <c r="AN223" s="472"/>
    </row>
    <row r="224" spans="3:40">
      <c r="F224" s="479"/>
      <c r="H224" s="479"/>
      <c r="I224" s="479"/>
      <c r="J224" s="484"/>
      <c r="K224" s="484"/>
      <c r="L224" s="479"/>
      <c r="M224" s="479"/>
      <c r="N224" s="479"/>
      <c r="O224" s="479"/>
      <c r="P224" s="479"/>
      <c r="Q224" s="479"/>
      <c r="R224" s="479"/>
      <c r="V224" s="479"/>
      <c r="Y224" s="479"/>
      <c r="Z224" s="484"/>
      <c r="AA224" s="479"/>
      <c r="AB224" s="479"/>
      <c r="AC224" s="479"/>
      <c r="AD224" s="479"/>
      <c r="AE224" s="479"/>
      <c r="AF224" s="479"/>
      <c r="AI224" s="479"/>
      <c r="AJ224" s="479"/>
      <c r="AK224" s="485"/>
      <c r="AL224" s="479"/>
      <c r="AM224" s="470"/>
      <c r="AN224" s="470"/>
    </row>
    <row r="225" spans="1:40">
      <c r="F225" s="470"/>
      <c r="H225" s="470"/>
      <c r="I225" s="470"/>
      <c r="J225" s="503"/>
      <c r="K225" s="503"/>
      <c r="L225" s="470"/>
      <c r="M225" s="470"/>
      <c r="N225" s="470"/>
      <c r="O225" s="470"/>
      <c r="P225" s="470"/>
      <c r="Q225" s="470"/>
      <c r="R225" s="470"/>
      <c r="V225" s="470"/>
      <c r="Y225" s="470"/>
      <c r="Z225" s="503"/>
      <c r="AA225" s="470"/>
      <c r="AB225" s="470"/>
      <c r="AC225" s="470"/>
      <c r="AD225" s="470"/>
    </row>
    <row r="226" spans="1:40">
      <c r="C226" s="455"/>
      <c r="F226" s="470"/>
      <c r="H226" s="470"/>
      <c r="I226" s="470"/>
      <c r="J226" s="503"/>
      <c r="K226" s="503"/>
      <c r="L226" s="470"/>
      <c r="M226" s="470"/>
      <c r="N226" s="470"/>
      <c r="O226" s="470"/>
      <c r="P226" s="470"/>
      <c r="Q226" s="470"/>
      <c r="R226" s="470"/>
      <c r="T226" s="455"/>
      <c r="V226" s="470"/>
      <c r="Y226" s="470"/>
      <c r="Z226" s="503"/>
      <c r="AA226" s="470"/>
      <c r="AB226" s="470"/>
      <c r="AC226" s="470"/>
      <c r="AD226" s="470"/>
    </row>
    <row r="227" spans="1:40">
      <c r="A227" s="455"/>
    </row>
    <row r="229" spans="1:40">
      <c r="H229" s="455"/>
      <c r="I229" s="455"/>
      <c r="Y229" s="455"/>
    </row>
    <row r="231" spans="1:40">
      <c r="L231" s="455"/>
      <c r="M231" s="455"/>
      <c r="AA231" s="455"/>
      <c r="AB231" s="455"/>
    </row>
    <row r="232" spans="1:40">
      <c r="R232" s="455"/>
      <c r="AK232" s="456"/>
      <c r="AL232" s="455"/>
    </row>
    <row r="233" spans="1:40">
      <c r="R233" s="455"/>
      <c r="AK233" s="456"/>
      <c r="AL233" s="455"/>
    </row>
    <row r="234" spans="1:40">
      <c r="A234" s="455"/>
      <c r="R234" s="455"/>
      <c r="AK234" s="456"/>
      <c r="AL234" s="455"/>
    </row>
    <row r="235" spans="1:40">
      <c r="L235" s="455"/>
      <c r="M235" s="455"/>
      <c r="AA235" s="455"/>
      <c r="AB235" s="455"/>
    </row>
    <row r="236" spans="1:40">
      <c r="A236" s="460"/>
      <c r="B236" s="460"/>
      <c r="C236" s="460"/>
      <c r="D236" s="460"/>
      <c r="E236" s="460"/>
      <c r="F236" s="460"/>
      <c r="G236" s="460"/>
      <c r="H236" s="460"/>
      <c r="I236" s="460"/>
      <c r="J236" s="460"/>
      <c r="K236" s="460"/>
      <c r="L236" s="460"/>
      <c r="M236" s="460"/>
      <c r="N236" s="460"/>
      <c r="O236" s="460"/>
      <c r="P236" s="460"/>
      <c r="Q236" s="460"/>
      <c r="R236" s="460"/>
      <c r="T236" s="460"/>
      <c r="U236" s="460"/>
      <c r="V236" s="460"/>
      <c r="W236" s="460"/>
      <c r="X236" s="460"/>
      <c r="Y236" s="460"/>
      <c r="Z236" s="460"/>
      <c r="AA236" s="460"/>
      <c r="AB236" s="460"/>
      <c r="AC236" s="460"/>
      <c r="AD236" s="460"/>
      <c r="AE236" s="460"/>
      <c r="AF236" s="460"/>
      <c r="AG236" s="461"/>
      <c r="AH236" s="460"/>
      <c r="AI236" s="460"/>
      <c r="AJ236" s="460"/>
      <c r="AK236" s="461"/>
      <c r="AL236" s="460"/>
      <c r="AM236" s="460"/>
      <c r="AN236" s="460"/>
    </row>
    <row r="237" spans="1:40">
      <c r="L237" s="462"/>
      <c r="M237" s="462"/>
      <c r="N237" s="462"/>
      <c r="O237" s="462"/>
      <c r="R237" s="462"/>
      <c r="AA237" s="462"/>
      <c r="AB237" s="462"/>
      <c r="AC237" s="462"/>
      <c r="AD237" s="462"/>
      <c r="AE237" s="462"/>
      <c r="AF237" s="462"/>
      <c r="AG237" s="463"/>
      <c r="AH237" s="462"/>
      <c r="AK237" s="463"/>
      <c r="AL237" s="462"/>
      <c r="AM237" s="462"/>
      <c r="AN237" s="462"/>
    </row>
    <row r="238" spans="1:40">
      <c r="L238" s="462"/>
      <c r="M238" s="462"/>
      <c r="N238" s="462"/>
      <c r="O238" s="462"/>
      <c r="R238" s="462"/>
      <c r="Z238" s="462"/>
      <c r="AA238" s="462"/>
      <c r="AB238" s="462"/>
      <c r="AC238" s="462"/>
      <c r="AD238" s="462"/>
      <c r="AE238" s="462"/>
      <c r="AF238" s="462"/>
      <c r="AG238" s="463"/>
      <c r="AH238" s="462"/>
      <c r="AK238" s="463"/>
      <c r="AL238" s="462"/>
      <c r="AM238" s="462"/>
      <c r="AN238" s="462"/>
    </row>
    <row r="239" spans="1:40">
      <c r="A239" s="462"/>
      <c r="C239" s="462"/>
      <c r="D239" s="462"/>
      <c r="E239" s="462"/>
      <c r="F239" s="462"/>
      <c r="J239" s="462"/>
      <c r="K239" s="462"/>
      <c r="L239" s="462"/>
      <c r="M239" s="462"/>
      <c r="N239" s="462"/>
      <c r="O239" s="462"/>
      <c r="P239" s="462"/>
      <c r="Q239" s="462"/>
      <c r="R239" s="462"/>
      <c r="T239" s="462"/>
      <c r="U239" s="462"/>
      <c r="V239" s="462"/>
      <c r="Z239" s="462"/>
      <c r="AA239" s="462"/>
      <c r="AB239" s="462"/>
      <c r="AC239" s="462"/>
      <c r="AD239" s="462"/>
      <c r="AE239" s="462"/>
      <c r="AF239" s="462"/>
      <c r="AG239" s="463"/>
      <c r="AH239" s="462"/>
      <c r="AI239" s="462"/>
      <c r="AJ239" s="462"/>
      <c r="AK239" s="463"/>
      <c r="AL239" s="462"/>
      <c r="AM239" s="462"/>
      <c r="AN239" s="462"/>
    </row>
    <row r="240" spans="1:40">
      <c r="A240" s="462"/>
      <c r="C240" s="462"/>
      <c r="D240" s="462"/>
      <c r="E240" s="462"/>
      <c r="F240" s="462"/>
      <c r="H240" s="462"/>
      <c r="I240" s="462"/>
      <c r="J240" s="462"/>
      <c r="K240" s="462"/>
      <c r="L240" s="462"/>
      <c r="M240" s="462"/>
      <c r="N240" s="462"/>
      <c r="O240" s="462"/>
      <c r="P240" s="462"/>
      <c r="Q240" s="462"/>
      <c r="R240" s="462"/>
      <c r="T240" s="462"/>
      <c r="U240" s="462"/>
      <c r="V240" s="462"/>
      <c r="Y240" s="462"/>
      <c r="Z240" s="462"/>
      <c r="AA240" s="462"/>
      <c r="AB240" s="462"/>
      <c r="AC240" s="462"/>
      <c r="AD240" s="462"/>
      <c r="AE240" s="462"/>
      <c r="AF240" s="462"/>
      <c r="AG240" s="463"/>
      <c r="AH240" s="462"/>
      <c r="AI240" s="462"/>
      <c r="AJ240" s="462"/>
      <c r="AK240" s="463"/>
      <c r="AL240" s="462"/>
      <c r="AM240" s="462"/>
      <c r="AN240" s="462"/>
    </row>
    <row r="241" spans="1:40">
      <c r="C241" s="462"/>
      <c r="D241" s="462"/>
      <c r="E241" s="462"/>
      <c r="F241" s="462"/>
      <c r="H241" s="462"/>
      <c r="I241" s="462"/>
      <c r="J241" s="462"/>
      <c r="K241" s="462"/>
      <c r="L241" s="462"/>
      <c r="M241" s="462"/>
      <c r="N241" s="462"/>
      <c r="O241" s="462"/>
      <c r="P241" s="462"/>
      <c r="Q241" s="462"/>
      <c r="R241" s="462"/>
      <c r="T241" s="462"/>
      <c r="U241" s="462"/>
      <c r="V241" s="462"/>
      <c r="Y241" s="462"/>
      <c r="Z241" s="462"/>
      <c r="AA241" s="462"/>
      <c r="AB241" s="462"/>
      <c r="AC241" s="462"/>
      <c r="AD241" s="462"/>
      <c r="AE241" s="462"/>
      <c r="AF241" s="462"/>
      <c r="AG241" s="463"/>
      <c r="AH241" s="462"/>
      <c r="AI241" s="462"/>
      <c r="AJ241" s="462"/>
      <c r="AK241" s="463"/>
      <c r="AL241" s="462"/>
      <c r="AM241" s="462"/>
      <c r="AN241" s="462"/>
    </row>
    <row r="242" spans="1:40">
      <c r="A242" s="460"/>
      <c r="B242" s="460"/>
      <c r="C242" s="460"/>
      <c r="D242" s="460"/>
      <c r="E242" s="460"/>
      <c r="F242" s="460"/>
      <c r="G242" s="460"/>
      <c r="H242" s="460"/>
      <c r="I242" s="460"/>
      <c r="J242" s="460"/>
      <c r="K242" s="460"/>
      <c r="L242" s="460"/>
      <c r="M242" s="460"/>
      <c r="N242" s="460"/>
      <c r="O242" s="460"/>
      <c r="P242" s="460"/>
      <c r="Q242" s="460"/>
      <c r="R242" s="460"/>
      <c r="T242" s="460"/>
      <c r="U242" s="460"/>
      <c r="V242" s="460"/>
      <c r="W242" s="460"/>
      <c r="X242" s="460"/>
      <c r="Y242" s="460"/>
      <c r="Z242" s="460"/>
      <c r="AA242" s="460"/>
      <c r="AB242" s="460"/>
      <c r="AC242" s="460"/>
      <c r="AD242" s="460"/>
      <c r="AE242" s="460"/>
      <c r="AF242" s="460"/>
      <c r="AG242" s="461"/>
      <c r="AH242" s="460"/>
      <c r="AI242" s="460"/>
      <c r="AJ242" s="460"/>
      <c r="AK242" s="461"/>
      <c r="AL242" s="460"/>
      <c r="AM242" s="460"/>
      <c r="AN242" s="460"/>
    </row>
    <row r="243" spans="1:40">
      <c r="H243" s="462"/>
      <c r="I243" s="462"/>
      <c r="J243" s="462"/>
      <c r="K243" s="462"/>
      <c r="L243" s="462"/>
      <c r="M243" s="462"/>
      <c r="N243" s="462"/>
      <c r="O243" s="462"/>
      <c r="P243" s="462"/>
      <c r="Q243" s="462"/>
      <c r="R243" s="462"/>
      <c r="Y243" s="462"/>
      <c r="Z243" s="462"/>
      <c r="AA243" s="462"/>
      <c r="AB243" s="462"/>
      <c r="AC243" s="462"/>
      <c r="AD243" s="462"/>
      <c r="AE243" s="462"/>
      <c r="AF243" s="462"/>
      <c r="AG243" s="463"/>
      <c r="AH243" s="462"/>
      <c r="AI243" s="462"/>
      <c r="AJ243" s="462"/>
      <c r="AK243" s="463"/>
      <c r="AL243" s="462"/>
      <c r="AM243" s="462"/>
      <c r="AN243" s="462"/>
    </row>
    <row r="244" spans="1:40">
      <c r="C244" s="455"/>
      <c r="D244" s="455"/>
      <c r="E244" s="455"/>
      <c r="T244" s="455"/>
      <c r="U244" s="455"/>
    </row>
    <row r="246" spans="1:40">
      <c r="C246" s="455"/>
      <c r="F246" s="476"/>
      <c r="H246" s="513"/>
      <c r="I246" s="513"/>
      <c r="J246" s="471"/>
      <c r="K246" s="471"/>
      <c r="L246" s="470"/>
      <c r="M246" s="470"/>
      <c r="R246" s="470"/>
      <c r="T246" s="455"/>
      <c r="V246" s="470"/>
      <c r="Z246" s="471"/>
      <c r="AA246" s="470"/>
      <c r="AB246" s="470"/>
      <c r="AE246" s="470"/>
      <c r="AF246" s="470"/>
      <c r="AG246" s="526"/>
      <c r="AH246" s="527"/>
      <c r="AI246" s="470"/>
      <c r="AJ246" s="470"/>
      <c r="AL246" s="470"/>
      <c r="AM246" s="528"/>
      <c r="AN246" s="528"/>
    </row>
    <row r="247" spans="1:40">
      <c r="F247" s="476"/>
      <c r="H247" s="513"/>
      <c r="I247" s="513"/>
      <c r="J247" s="513"/>
      <c r="K247" s="513"/>
      <c r="R247" s="470"/>
      <c r="V247" s="470"/>
      <c r="Z247" s="513"/>
    </row>
    <row r="248" spans="1:40">
      <c r="C248" s="455"/>
      <c r="F248" s="476"/>
      <c r="H248" s="476"/>
      <c r="I248" s="476"/>
      <c r="J248" s="518"/>
      <c r="K248" s="518"/>
      <c r="L248" s="470"/>
      <c r="M248" s="470"/>
      <c r="N248" s="472"/>
      <c r="O248" s="472"/>
      <c r="P248" s="476"/>
      <c r="Q248" s="476"/>
      <c r="R248" s="470"/>
      <c r="T248" s="455"/>
      <c r="V248" s="470"/>
      <c r="Y248" s="470"/>
      <c r="Z248" s="483"/>
      <c r="AA248" s="470"/>
      <c r="AB248" s="470"/>
      <c r="AC248" s="472"/>
      <c r="AD248" s="472"/>
      <c r="AE248" s="470"/>
      <c r="AF248" s="470"/>
      <c r="AH248" s="529"/>
      <c r="AI248" s="476"/>
      <c r="AJ248" s="476"/>
      <c r="AL248" s="470"/>
      <c r="AM248" s="472"/>
      <c r="AN248" s="472"/>
    </row>
    <row r="249" spans="1:40">
      <c r="F249" s="479"/>
      <c r="H249" s="479"/>
      <c r="I249" s="479"/>
      <c r="J249" s="484"/>
      <c r="K249" s="484"/>
      <c r="L249" s="479"/>
      <c r="M249" s="479"/>
      <c r="N249" s="479"/>
      <c r="O249" s="479"/>
      <c r="P249" s="479"/>
      <c r="Q249" s="479"/>
      <c r="R249" s="479"/>
      <c r="V249" s="479"/>
      <c r="Y249" s="479"/>
      <c r="Z249" s="484"/>
      <c r="AA249" s="479"/>
      <c r="AB249" s="479"/>
      <c r="AC249" s="479"/>
      <c r="AD249" s="479"/>
      <c r="AE249" s="479"/>
      <c r="AF249" s="479"/>
      <c r="AI249" s="479"/>
      <c r="AJ249" s="479"/>
      <c r="AK249" s="485"/>
      <c r="AL249" s="479"/>
    </row>
    <row r="250" spans="1:40">
      <c r="D250" s="455"/>
      <c r="E250" s="455"/>
      <c r="F250" s="470"/>
      <c r="H250" s="470"/>
      <c r="I250" s="470"/>
      <c r="J250" s="503"/>
      <c r="K250" s="503"/>
      <c r="L250" s="470"/>
      <c r="M250" s="470"/>
      <c r="N250" s="472"/>
      <c r="O250" s="472"/>
      <c r="P250" s="470"/>
      <c r="Q250" s="470"/>
      <c r="R250" s="470"/>
      <c r="U250" s="455"/>
      <c r="V250" s="470"/>
      <c r="Y250" s="470"/>
      <c r="Z250" s="503"/>
      <c r="AA250" s="470"/>
      <c r="AB250" s="470"/>
      <c r="AC250" s="472"/>
      <c r="AD250" s="472"/>
      <c r="AE250" s="470"/>
      <c r="AF250" s="470"/>
      <c r="AH250" s="529"/>
      <c r="AI250" s="470"/>
      <c r="AJ250" s="470"/>
      <c r="AL250" s="470"/>
      <c r="AM250" s="472"/>
      <c r="AN250" s="472"/>
    </row>
    <row r="251" spans="1:40">
      <c r="F251" s="479"/>
      <c r="H251" s="479"/>
      <c r="I251" s="479"/>
      <c r="J251" s="484"/>
      <c r="K251" s="484"/>
      <c r="L251" s="479"/>
      <c r="M251" s="479"/>
      <c r="N251" s="479"/>
      <c r="O251" s="479"/>
      <c r="P251" s="479"/>
      <c r="Q251" s="479"/>
      <c r="R251" s="479"/>
      <c r="V251" s="479"/>
      <c r="Y251" s="479"/>
      <c r="Z251" s="484"/>
      <c r="AA251" s="479"/>
      <c r="AB251" s="479"/>
      <c r="AC251" s="479"/>
      <c r="AD251" s="479"/>
      <c r="AE251" s="479"/>
      <c r="AF251" s="479"/>
      <c r="AI251" s="479"/>
      <c r="AJ251" s="479"/>
      <c r="AK251" s="485"/>
      <c r="AL251" s="479"/>
    </row>
    <row r="252" spans="1:40">
      <c r="R252" s="470"/>
    </row>
    <row r="253" spans="1:40">
      <c r="R253" s="470"/>
    </row>
    <row r="254" spans="1:40">
      <c r="R254" s="470"/>
    </row>
    <row r="255" spans="1:40">
      <c r="C255" s="455"/>
      <c r="D255" s="455"/>
      <c r="E255" s="455"/>
      <c r="H255" s="470"/>
      <c r="I255" s="470"/>
      <c r="J255" s="503"/>
      <c r="K255" s="503"/>
      <c r="L255" s="470"/>
      <c r="M255" s="470"/>
      <c r="N255" s="472"/>
      <c r="O255" s="472"/>
      <c r="P255" s="470"/>
      <c r="Q255" s="470"/>
      <c r="R255" s="470"/>
      <c r="T255" s="455"/>
      <c r="U255" s="455"/>
      <c r="Y255" s="470"/>
      <c r="Z255" s="503"/>
      <c r="AA255" s="470"/>
      <c r="AB255" s="470"/>
      <c r="AC255" s="472"/>
      <c r="AD255" s="472"/>
    </row>
    <row r="256" spans="1:40">
      <c r="H256" s="470"/>
      <c r="I256" s="470"/>
      <c r="J256" s="503"/>
      <c r="K256" s="503"/>
      <c r="L256" s="470"/>
      <c r="M256" s="470"/>
      <c r="N256" s="472"/>
      <c r="O256" s="472"/>
      <c r="P256" s="470"/>
      <c r="Q256" s="470"/>
      <c r="R256" s="470"/>
      <c r="Y256" s="470"/>
      <c r="Z256" s="503"/>
      <c r="AA256" s="470"/>
      <c r="AB256" s="470"/>
      <c r="AC256" s="472"/>
      <c r="AD256" s="472"/>
    </row>
    <row r="257" spans="1:40">
      <c r="C257" s="455"/>
      <c r="F257" s="476"/>
      <c r="H257" s="476"/>
      <c r="I257" s="476"/>
      <c r="J257" s="533"/>
      <c r="K257" s="533"/>
      <c r="L257" s="476"/>
      <c r="M257" s="476"/>
      <c r="N257" s="472"/>
      <c r="O257" s="472"/>
      <c r="P257" s="470"/>
      <c r="Q257" s="470"/>
      <c r="R257" s="470"/>
      <c r="T257" s="455"/>
      <c r="V257" s="470"/>
      <c r="Y257" s="470"/>
      <c r="Z257" s="533"/>
      <c r="AA257" s="470"/>
      <c r="AB257" s="470"/>
      <c r="AC257" s="472"/>
      <c r="AD257" s="472"/>
      <c r="AE257" s="470"/>
      <c r="AF257" s="470"/>
      <c r="AH257" s="529"/>
      <c r="AI257" s="470"/>
      <c r="AJ257" s="470"/>
      <c r="AL257" s="470"/>
      <c r="AM257" s="472"/>
      <c r="AN257" s="472"/>
    </row>
    <row r="258" spans="1:40">
      <c r="F258" s="476"/>
      <c r="H258" s="513"/>
      <c r="I258" s="513"/>
      <c r="J258" s="513"/>
      <c r="K258" s="513"/>
      <c r="R258" s="470"/>
      <c r="V258" s="470"/>
      <c r="Z258" s="513"/>
    </row>
    <row r="259" spans="1:40">
      <c r="C259" s="455"/>
      <c r="F259" s="476"/>
      <c r="H259" s="476"/>
      <c r="I259" s="476"/>
      <c r="J259" s="471"/>
      <c r="K259" s="471"/>
      <c r="L259" s="470"/>
      <c r="M259" s="470"/>
      <c r="N259" s="472"/>
      <c r="O259" s="472"/>
      <c r="P259" s="470"/>
      <c r="Q259" s="470"/>
      <c r="R259" s="470"/>
      <c r="T259" s="455"/>
      <c r="V259" s="470"/>
      <c r="Y259" s="470"/>
      <c r="Z259" s="471"/>
      <c r="AA259" s="470"/>
      <c r="AB259" s="470"/>
      <c r="AC259" s="472"/>
      <c r="AD259" s="472"/>
      <c r="AE259" s="470"/>
      <c r="AF259" s="470"/>
      <c r="AH259" s="529"/>
      <c r="AI259" s="470"/>
      <c r="AJ259" s="470"/>
      <c r="AL259" s="470"/>
      <c r="AM259" s="472"/>
      <c r="AN259" s="472"/>
    </row>
    <row r="260" spans="1:40">
      <c r="F260" s="476"/>
      <c r="H260" s="513"/>
      <c r="I260" s="513"/>
      <c r="J260" s="513"/>
      <c r="K260" s="513"/>
      <c r="R260" s="470"/>
      <c r="V260" s="470"/>
      <c r="Z260" s="513"/>
    </row>
    <row r="261" spans="1:40">
      <c r="C261" s="455"/>
      <c r="F261" s="476"/>
      <c r="H261" s="476"/>
      <c r="I261" s="476"/>
      <c r="J261" s="518"/>
      <c r="K261" s="518"/>
      <c r="L261" s="470"/>
      <c r="M261" s="470"/>
      <c r="N261" s="472"/>
      <c r="O261" s="472"/>
      <c r="P261" s="470"/>
      <c r="Q261" s="470"/>
      <c r="R261" s="470"/>
      <c r="T261" s="455"/>
      <c r="V261" s="470"/>
      <c r="Y261" s="470"/>
      <c r="Z261" s="483"/>
      <c r="AA261" s="470"/>
      <c r="AB261" s="470"/>
      <c r="AC261" s="472"/>
      <c r="AD261" s="472"/>
      <c r="AE261" s="470"/>
      <c r="AF261" s="470"/>
      <c r="AH261" s="529"/>
      <c r="AI261" s="470"/>
      <c r="AJ261" s="470"/>
      <c r="AL261" s="470"/>
      <c r="AM261" s="472"/>
      <c r="AN261" s="472"/>
    </row>
    <row r="262" spans="1:40">
      <c r="F262" s="479"/>
      <c r="H262" s="479"/>
      <c r="I262" s="479"/>
      <c r="J262" s="484"/>
      <c r="K262" s="484"/>
      <c r="L262" s="479"/>
      <c r="M262" s="479"/>
      <c r="N262" s="479"/>
      <c r="O262" s="479"/>
      <c r="P262" s="479"/>
      <c r="Q262" s="479"/>
      <c r="R262" s="479"/>
      <c r="S262" s="470"/>
      <c r="V262" s="479"/>
      <c r="Y262" s="479"/>
      <c r="Z262" s="484"/>
      <c r="AA262" s="479"/>
      <c r="AB262" s="479"/>
      <c r="AC262" s="479"/>
      <c r="AD262" s="479"/>
      <c r="AE262" s="479"/>
      <c r="AF262" s="479"/>
      <c r="AI262" s="479"/>
      <c r="AJ262" s="479"/>
      <c r="AK262" s="485"/>
      <c r="AL262" s="479"/>
    </row>
    <row r="263" spans="1:40">
      <c r="D263" s="455"/>
      <c r="E263" s="455"/>
      <c r="F263" s="470"/>
      <c r="H263" s="470"/>
      <c r="I263" s="470"/>
      <c r="J263" s="503"/>
      <c r="K263" s="503"/>
      <c r="L263" s="470"/>
      <c r="M263" s="470"/>
      <c r="N263" s="472"/>
      <c r="O263" s="472"/>
      <c r="P263" s="476"/>
      <c r="Q263" s="476"/>
      <c r="R263" s="470"/>
      <c r="S263" s="470"/>
      <c r="U263" s="455"/>
      <c r="V263" s="470"/>
      <c r="Y263" s="470"/>
      <c r="Z263" s="503"/>
      <c r="AA263" s="470"/>
      <c r="AB263" s="470"/>
      <c r="AC263" s="472"/>
      <c r="AD263" s="472"/>
      <c r="AE263" s="470"/>
      <c r="AF263" s="470"/>
      <c r="AH263" s="529"/>
      <c r="AI263" s="476"/>
      <c r="AJ263" s="476"/>
      <c r="AL263" s="470"/>
      <c r="AM263" s="472"/>
      <c r="AN263" s="472"/>
    </row>
    <row r="264" spans="1:40">
      <c r="F264" s="479"/>
      <c r="H264" s="479"/>
      <c r="I264" s="479"/>
      <c r="J264" s="484"/>
      <c r="K264" s="484"/>
      <c r="L264" s="479"/>
      <c r="M264" s="479"/>
      <c r="N264" s="479"/>
      <c r="O264" s="479"/>
      <c r="P264" s="479"/>
      <c r="Q264" s="479"/>
      <c r="R264" s="479"/>
      <c r="S264" s="470"/>
      <c r="V264" s="479"/>
      <c r="Y264" s="479"/>
      <c r="Z264" s="484"/>
      <c r="AA264" s="479"/>
      <c r="AB264" s="479"/>
      <c r="AC264" s="479"/>
      <c r="AD264" s="479"/>
      <c r="AE264" s="479"/>
      <c r="AF264" s="479"/>
      <c r="AI264" s="479"/>
      <c r="AJ264" s="479"/>
      <c r="AK264" s="485"/>
      <c r="AL264" s="479"/>
    </row>
    <row r="265" spans="1:40">
      <c r="R265" s="470"/>
    </row>
    <row r="266" spans="1:40">
      <c r="F266" s="470"/>
      <c r="H266" s="470"/>
      <c r="I266" s="470"/>
      <c r="J266" s="503"/>
      <c r="K266" s="503"/>
      <c r="L266" s="470"/>
      <c r="M266" s="470"/>
      <c r="N266" s="470"/>
      <c r="O266" s="470"/>
      <c r="P266" s="470"/>
      <c r="Q266" s="470"/>
      <c r="R266" s="470"/>
      <c r="V266" s="470"/>
      <c r="Y266" s="470"/>
      <c r="Z266" s="503"/>
      <c r="AA266" s="470"/>
      <c r="AB266" s="470"/>
      <c r="AC266" s="470"/>
      <c r="AD266" s="470"/>
    </row>
    <row r="267" spans="1:40">
      <c r="C267" s="455"/>
      <c r="F267" s="470"/>
      <c r="H267" s="470"/>
      <c r="I267" s="470"/>
      <c r="J267" s="503"/>
      <c r="K267" s="503"/>
      <c r="L267" s="470"/>
      <c r="M267" s="470"/>
      <c r="N267" s="470"/>
      <c r="O267" s="470"/>
      <c r="P267" s="470"/>
      <c r="Q267" s="470"/>
      <c r="R267" s="470"/>
      <c r="T267" s="455"/>
      <c r="V267" s="470"/>
      <c r="Y267" s="470"/>
      <c r="Z267" s="503"/>
      <c r="AA267" s="470"/>
      <c r="AB267" s="470"/>
      <c r="AC267" s="470"/>
      <c r="AD267" s="470"/>
    </row>
    <row r="268" spans="1:40">
      <c r="C268" s="455"/>
      <c r="T268" s="455"/>
    </row>
    <row r="269" spans="1:40">
      <c r="A269" s="455"/>
    </row>
    <row r="272" spans="1:40">
      <c r="H272" s="455"/>
      <c r="I272" s="455"/>
      <c r="Y272" s="455"/>
    </row>
    <row r="274" spans="1:40">
      <c r="L274" s="455"/>
      <c r="M274" s="455"/>
      <c r="AA274" s="455"/>
      <c r="AB274" s="455"/>
    </row>
    <row r="275" spans="1:40">
      <c r="R275" s="455"/>
      <c r="AK275" s="456"/>
      <c r="AL275" s="455"/>
    </row>
    <row r="276" spans="1:40">
      <c r="R276" s="455"/>
      <c r="AK276" s="456"/>
      <c r="AL276" s="455"/>
    </row>
    <row r="277" spans="1:40">
      <c r="A277" s="455"/>
      <c r="R277" s="455"/>
      <c r="AK277" s="456"/>
      <c r="AL277" s="455"/>
    </row>
    <row r="278" spans="1:40">
      <c r="L278" s="455"/>
      <c r="M278" s="455"/>
      <c r="AA278" s="455"/>
      <c r="AB278" s="455"/>
    </row>
    <row r="279" spans="1:40">
      <c r="A279" s="460"/>
      <c r="B279" s="460"/>
      <c r="C279" s="460"/>
      <c r="D279" s="460"/>
      <c r="E279" s="460"/>
      <c r="F279" s="460"/>
      <c r="G279" s="460"/>
      <c r="H279" s="460"/>
      <c r="I279" s="460"/>
      <c r="J279" s="460"/>
      <c r="K279" s="460"/>
      <c r="L279" s="460"/>
      <c r="M279" s="460"/>
      <c r="N279" s="460"/>
      <c r="O279" s="460"/>
      <c r="P279" s="460"/>
      <c r="Q279" s="460"/>
      <c r="R279" s="460"/>
      <c r="T279" s="460"/>
      <c r="U279" s="460"/>
      <c r="V279" s="460"/>
      <c r="W279" s="460"/>
      <c r="X279" s="460"/>
      <c r="Y279" s="460"/>
      <c r="Z279" s="460"/>
      <c r="AA279" s="460"/>
      <c r="AB279" s="460"/>
      <c r="AC279" s="460"/>
      <c r="AD279" s="460"/>
      <c r="AE279" s="460"/>
      <c r="AF279" s="460"/>
      <c r="AG279" s="461"/>
      <c r="AH279" s="460"/>
      <c r="AI279" s="460"/>
      <c r="AJ279" s="460"/>
      <c r="AK279" s="461"/>
      <c r="AL279" s="460"/>
      <c r="AM279" s="460"/>
      <c r="AN279" s="460"/>
    </row>
    <row r="280" spans="1:40">
      <c r="L280" s="462"/>
      <c r="M280" s="462"/>
      <c r="N280" s="462"/>
      <c r="O280" s="462"/>
      <c r="R280" s="462"/>
      <c r="AA280" s="462"/>
      <c r="AB280" s="462"/>
      <c r="AC280" s="462"/>
      <c r="AD280" s="462"/>
      <c r="AE280" s="462"/>
      <c r="AF280" s="462"/>
      <c r="AG280" s="463"/>
      <c r="AH280" s="462"/>
      <c r="AK280" s="463"/>
      <c r="AL280" s="462"/>
      <c r="AM280" s="462"/>
      <c r="AN280" s="462"/>
    </row>
    <row r="281" spans="1:40">
      <c r="L281" s="462"/>
      <c r="M281" s="462"/>
      <c r="N281" s="462"/>
      <c r="O281" s="462"/>
      <c r="R281" s="462"/>
      <c r="Z281" s="462"/>
      <c r="AA281" s="462"/>
      <c r="AB281" s="462"/>
      <c r="AC281" s="462"/>
      <c r="AD281" s="462"/>
      <c r="AE281" s="462"/>
      <c r="AF281" s="462"/>
      <c r="AG281" s="463"/>
      <c r="AH281" s="462"/>
      <c r="AK281" s="463"/>
      <c r="AL281" s="462"/>
      <c r="AM281" s="462"/>
      <c r="AN281" s="462"/>
    </row>
    <row r="282" spans="1:40">
      <c r="A282" s="462"/>
      <c r="C282" s="462"/>
      <c r="D282" s="462"/>
      <c r="E282" s="462"/>
      <c r="F282" s="462"/>
      <c r="J282" s="462"/>
      <c r="K282" s="462"/>
      <c r="L282" s="462"/>
      <c r="M282" s="462"/>
      <c r="N282" s="462"/>
      <c r="O282" s="462"/>
      <c r="P282" s="462"/>
      <c r="Q282" s="462"/>
      <c r="R282" s="462"/>
      <c r="T282" s="462"/>
      <c r="U282" s="462"/>
      <c r="V282" s="462"/>
      <c r="Z282" s="462"/>
      <c r="AA282" s="462"/>
      <c r="AB282" s="462"/>
      <c r="AC282" s="462"/>
      <c r="AD282" s="462"/>
      <c r="AE282" s="462"/>
      <c r="AF282" s="462"/>
      <c r="AG282" s="463"/>
      <c r="AH282" s="462"/>
      <c r="AI282" s="462"/>
      <c r="AJ282" s="462"/>
      <c r="AK282" s="463"/>
      <c r="AL282" s="462"/>
      <c r="AM282" s="462"/>
      <c r="AN282" s="462"/>
    </row>
    <row r="283" spans="1:40">
      <c r="A283" s="462"/>
      <c r="C283" s="462"/>
      <c r="D283" s="462"/>
      <c r="E283" s="462"/>
      <c r="F283" s="462"/>
      <c r="H283" s="462"/>
      <c r="I283" s="462"/>
      <c r="J283" s="462"/>
      <c r="K283" s="462"/>
      <c r="L283" s="462"/>
      <c r="M283" s="462"/>
      <c r="N283" s="462"/>
      <c r="O283" s="462"/>
      <c r="P283" s="462"/>
      <c r="Q283" s="462"/>
      <c r="R283" s="462"/>
      <c r="T283" s="462"/>
      <c r="U283" s="462"/>
      <c r="V283" s="462"/>
      <c r="Y283" s="462"/>
      <c r="Z283" s="462"/>
      <c r="AA283" s="462"/>
      <c r="AB283" s="462"/>
      <c r="AC283" s="462"/>
      <c r="AD283" s="462"/>
      <c r="AE283" s="462"/>
      <c r="AF283" s="462"/>
      <c r="AG283" s="463"/>
      <c r="AH283" s="462"/>
      <c r="AI283" s="462"/>
      <c r="AJ283" s="462"/>
      <c r="AK283" s="463"/>
      <c r="AL283" s="462"/>
      <c r="AM283" s="462"/>
      <c r="AN283" s="462"/>
    </row>
    <row r="284" spans="1:40">
      <c r="C284" s="462"/>
      <c r="D284" s="462"/>
      <c r="E284" s="462"/>
      <c r="F284" s="462"/>
      <c r="H284" s="462"/>
      <c r="I284" s="462"/>
      <c r="J284" s="462"/>
      <c r="K284" s="462"/>
      <c r="L284" s="462"/>
      <c r="M284" s="462"/>
      <c r="N284" s="462"/>
      <c r="O284" s="462"/>
      <c r="P284" s="462"/>
      <c r="Q284" s="462"/>
      <c r="R284" s="462"/>
      <c r="T284" s="462"/>
      <c r="U284" s="462"/>
      <c r="V284" s="462"/>
      <c r="Y284" s="462"/>
      <c r="Z284" s="462"/>
      <c r="AA284" s="462"/>
      <c r="AB284" s="462"/>
      <c r="AC284" s="462"/>
      <c r="AD284" s="462"/>
      <c r="AE284" s="462"/>
      <c r="AF284" s="462"/>
      <c r="AG284" s="463"/>
      <c r="AH284" s="462"/>
      <c r="AI284" s="462"/>
      <c r="AJ284" s="462"/>
      <c r="AK284" s="463"/>
      <c r="AL284" s="462"/>
      <c r="AM284" s="462"/>
      <c r="AN284" s="462"/>
    </row>
    <row r="285" spans="1:40">
      <c r="A285" s="460"/>
      <c r="B285" s="460"/>
      <c r="C285" s="460"/>
      <c r="D285" s="460"/>
      <c r="E285" s="460"/>
      <c r="F285" s="460"/>
      <c r="G285" s="460"/>
      <c r="H285" s="460"/>
      <c r="I285" s="460"/>
      <c r="J285" s="460"/>
      <c r="K285" s="460"/>
      <c r="L285" s="460"/>
      <c r="M285" s="460"/>
      <c r="N285" s="460"/>
      <c r="O285" s="460"/>
      <c r="P285" s="460"/>
      <c r="Q285" s="460"/>
      <c r="R285" s="460"/>
      <c r="T285" s="460"/>
      <c r="U285" s="460"/>
      <c r="V285" s="460"/>
      <c r="W285" s="460"/>
      <c r="X285" s="460"/>
      <c r="Y285" s="460"/>
      <c r="Z285" s="460"/>
      <c r="AA285" s="460"/>
      <c r="AB285" s="460"/>
      <c r="AC285" s="460"/>
      <c r="AD285" s="460"/>
      <c r="AE285" s="460"/>
      <c r="AF285" s="460"/>
      <c r="AG285" s="461"/>
      <c r="AH285" s="460"/>
      <c r="AI285" s="460"/>
      <c r="AJ285" s="460"/>
      <c r="AK285" s="461"/>
      <c r="AL285" s="460"/>
      <c r="AM285" s="460"/>
      <c r="AN285" s="460"/>
    </row>
    <row r="286" spans="1:40">
      <c r="H286" s="462"/>
      <c r="I286" s="462"/>
      <c r="J286" s="462"/>
      <c r="K286" s="462"/>
      <c r="L286" s="462"/>
      <c r="M286" s="462"/>
      <c r="N286" s="462"/>
      <c r="O286" s="462"/>
      <c r="P286" s="462"/>
      <c r="Q286" s="462"/>
      <c r="R286" s="462"/>
      <c r="Y286" s="462"/>
      <c r="Z286" s="462"/>
      <c r="AA286" s="462"/>
      <c r="AB286" s="462"/>
      <c r="AC286" s="462"/>
      <c r="AD286" s="462"/>
      <c r="AE286" s="462"/>
      <c r="AF286" s="462"/>
      <c r="AG286" s="463"/>
      <c r="AH286" s="462"/>
      <c r="AI286" s="462"/>
      <c r="AJ286" s="462"/>
      <c r="AK286" s="463"/>
      <c r="AL286" s="462"/>
      <c r="AM286" s="462"/>
      <c r="AN286" s="462"/>
    </row>
    <row r="287" spans="1:40">
      <c r="C287" s="455"/>
      <c r="D287" s="455"/>
      <c r="E287" s="455"/>
      <c r="T287" s="455"/>
      <c r="U287" s="455"/>
    </row>
    <row r="288" spans="1:40">
      <c r="D288" s="455"/>
      <c r="E288" s="455"/>
      <c r="U288" s="455"/>
    </row>
    <row r="290" spans="3:40">
      <c r="C290" s="455"/>
      <c r="F290" s="470"/>
      <c r="J290" s="473"/>
      <c r="K290" s="473"/>
      <c r="L290" s="470"/>
      <c r="M290" s="470"/>
      <c r="R290" s="470"/>
      <c r="T290" s="455"/>
      <c r="V290" s="470"/>
      <c r="Z290" s="473"/>
      <c r="AA290" s="470"/>
      <c r="AB290" s="470"/>
      <c r="AL290" s="470"/>
    </row>
    <row r="291" spans="3:40">
      <c r="F291" s="470"/>
      <c r="R291" s="470"/>
      <c r="V291" s="470"/>
      <c r="AL291" s="470"/>
    </row>
    <row r="292" spans="3:40">
      <c r="C292" s="455"/>
      <c r="F292" s="476"/>
      <c r="H292" s="476"/>
      <c r="I292" s="476"/>
      <c r="J292" s="471"/>
      <c r="K292" s="471"/>
      <c r="L292" s="470"/>
      <c r="M292" s="470"/>
      <c r="N292" s="472"/>
      <c r="O292" s="472"/>
      <c r="P292" s="470"/>
      <c r="Q292" s="470"/>
      <c r="R292" s="470"/>
      <c r="T292" s="455"/>
      <c r="V292" s="470"/>
      <c r="Y292" s="470"/>
      <c r="Z292" s="471"/>
      <c r="AA292" s="470"/>
      <c r="AB292" s="470"/>
      <c r="AC292" s="472"/>
      <c r="AD292" s="472"/>
      <c r="AE292" s="470"/>
      <c r="AF292" s="470"/>
      <c r="AH292" s="529"/>
      <c r="AI292" s="470"/>
      <c r="AJ292" s="470"/>
      <c r="AL292" s="470"/>
      <c r="AM292" s="472"/>
      <c r="AN292" s="472"/>
    </row>
    <row r="293" spans="3:40">
      <c r="C293" s="455"/>
      <c r="F293" s="476"/>
      <c r="H293" s="513"/>
      <c r="I293" s="513"/>
      <c r="J293" s="471"/>
      <c r="K293" s="471"/>
      <c r="L293" s="470"/>
      <c r="M293" s="470"/>
      <c r="N293" s="472"/>
      <c r="O293" s="472"/>
      <c r="P293" s="470"/>
      <c r="Q293" s="470"/>
      <c r="R293" s="470"/>
      <c r="T293" s="455"/>
      <c r="V293" s="470"/>
      <c r="Y293" s="470"/>
      <c r="Z293" s="471"/>
      <c r="AA293" s="470"/>
      <c r="AB293" s="470"/>
      <c r="AC293" s="472"/>
      <c r="AD293" s="472"/>
      <c r="AE293" s="470"/>
      <c r="AF293" s="470"/>
      <c r="AH293" s="529"/>
      <c r="AI293" s="470"/>
      <c r="AJ293" s="470"/>
      <c r="AL293" s="470"/>
      <c r="AM293" s="472"/>
      <c r="AN293" s="472"/>
    </row>
    <row r="294" spans="3:40">
      <c r="F294" s="479"/>
      <c r="H294" s="470"/>
      <c r="I294" s="470"/>
      <c r="J294" s="484"/>
      <c r="K294" s="484"/>
      <c r="L294" s="479"/>
      <c r="M294" s="479"/>
      <c r="N294" s="479"/>
      <c r="O294" s="479"/>
      <c r="P294" s="479"/>
      <c r="Q294" s="479"/>
      <c r="R294" s="479"/>
      <c r="V294" s="479"/>
      <c r="Y294" s="470"/>
      <c r="Z294" s="484"/>
      <c r="AA294" s="479"/>
      <c r="AB294" s="479"/>
      <c r="AC294" s="479"/>
      <c r="AD294" s="479"/>
      <c r="AE294" s="479"/>
      <c r="AF294" s="479"/>
      <c r="AI294" s="479"/>
      <c r="AJ294" s="479"/>
      <c r="AK294" s="485"/>
      <c r="AL294" s="479"/>
    </row>
    <row r="295" spans="3:40">
      <c r="C295" s="455"/>
      <c r="F295" s="470"/>
      <c r="H295" s="470"/>
      <c r="I295" s="470"/>
      <c r="J295" s="503"/>
      <c r="K295" s="503"/>
      <c r="L295" s="470"/>
      <c r="M295" s="470"/>
      <c r="N295" s="472"/>
      <c r="O295" s="472"/>
      <c r="P295" s="470"/>
      <c r="Q295" s="470"/>
      <c r="R295" s="470"/>
      <c r="T295" s="455"/>
      <c r="V295" s="470"/>
      <c r="Y295" s="470"/>
      <c r="Z295" s="503"/>
      <c r="AA295" s="470"/>
      <c r="AB295" s="470"/>
      <c r="AC295" s="472"/>
      <c r="AD295" s="472"/>
      <c r="AE295" s="470"/>
      <c r="AF295" s="470"/>
      <c r="AH295" s="529"/>
      <c r="AI295" s="470"/>
      <c r="AJ295" s="470"/>
      <c r="AL295" s="470"/>
      <c r="AM295" s="472"/>
      <c r="AN295" s="472"/>
    </row>
    <row r="296" spans="3:40">
      <c r="F296" s="479"/>
      <c r="H296" s="470"/>
      <c r="I296" s="470"/>
      <c r="J296" s="484"/>
      <c r="K296" s="484"/>
      <c r="L296" s="479"/>
      <c r="M296" s="479"/>
      <c r="N296" s="479"/>
      <c r="O296" s="479"/>
      <c r="P296" s="479"/>
      <c r="Q296" s="479"/>
      <c r="R296" s="479"/>
      <c r="V296" s="479"/>
      <c r="Y296" s="470"/>
      <c r="Z296" s="484"/>
      <c r="AA296" s="479"/>
      <c r="AB296" s="479"/>
      <c r="AC296" s="479"/>
      <c r="AD296" s="479"/>
      <c r="AE296" s="479"/>
      <c r="AF296" s="479"/>
      <c r="AI296" s="479"/>
      <c r="AJ296" s="479"/>
      <c r="AK296" s="485"/>
      <c r="AL296" s="479"/>
    </row>
    <row r="297" spans="3:40">
      <c r="F297" s="470"/>
      <c r="R297" s="470"/>
      <c r="V297" s="470"/>
      <c r="AL297" s="470"/>
    </row>
    <row r="298" spans="3:40">
      <c r="C298" s="455"/>
      <c r="F298" s="470"/>
      <c r="R298" s="470"/>
      <c r="T298" s="455"/>
      <c r="V298" s="470"/>
      <c r="AL298" s="470"/>
    </row>
    <row r="299" spans="3:40">
      <c r="F299" s="470"/>
      <c r="R299" s="470"/>
      <c r="V299" s="470"/>
      <c r="AL299" s="470"/>
    </row>
    <row r="300" spans="3:40">
      <c r="C300" s="455"/>
      <c r="F300" s="470"/>
      <c r="H300" s="476"/>
      <c r="I300" s="476"/>
      <c r="J300" s="518"/>
      <c r="K300" s="518"/>
      <c r="L300" s="470"/>
      <c r="M300" s="470"/>
      <c r="N300" s="472"/>
      <c r="O300" s="472"/>
      <c r="P300" s="476"/>
      <c r="Q300" s="476"/>
      <c r="R300" s="470"/>
      <c r="T300" s="455"/>
      <c r="V300" s="470"/>
      <c r="Y300" s="470"/>
      <c r="Z300" s="483"/>
      <c r="AA300" s="470"/>
      <c r="AB300" s="470"/>
      <c r="AC300" s="472"/>
      <c r="AD300" s="472"/>
      <c r="AE300" s="470"/>
      <c r="AF300" s="470"/>
      <c r="AH300" s="529"/>
      <c r="AI300" s="476"/>
      <c r="AJ300" s="476"/>
      <c r="AL300" s="470"/>
      <c r="AM300" s="472"/>
      <c r="AN300" s="472"/>
    </row>
    <row r="301" spans="3:40">
      <c r="F301" s="479"/>
      <c r="H301" s="479"/>
      <c r="I301" s="479"/>
      <c r="J301" s="484"/>
      <c r="K301" s="484"/>
      <c r="L301" s="479"/>
      <c r="M301" s="479"/>
      <c r="N301" s="479"/>
      <c r="O301" s="479"/>
      <c r="P301" s="479"/>
      <c r="Q301" s="479"/>
      <c r="R301" s="479"/>
      <c r="V301" s="479"/>
      <c r="Y301" s="479"/>
      <c r="Z301" s="484"/>
      <c r="AA301" s="479"/>
      <c r="AB301" s="479"/>
      <c r="AC301" s="479"/>
      <c r="AD301" s="479"/>
      <c r="AE301" s="479"/>
      <c r="AF301" s="479"/>
      <c r="AI301" s="479"/>
      <c r="AJ301" s="479"/>
      <c r="AK301" s="485"/>
      <c r="AL301" s="479"/>
    </row>
    <row r="303" spans="3:40">
      <c r="C303" s="455"/>
      <c r="F303" s="470"/>
      <c r="H303" s="470"/>
      <c r="I303" s="470"/>
      <c r="J303" s="473"/>
      <c r="K303" s="473"/>
      <c r="L303" s="470"/>
      <c r="M303" s="470"/>
      <c r="N303" s="472"/>
      <c r="O303" s="472"/>
      <c r="P303" s="470"/>
      <c r="Q303" s="470"/>
      <c r="R303" s="470"/>
      <c r="T303" s="455"/>
      <c r="V303" s="470"/>
      <c r="Y303" s="470"/>
      <c r="Z303" s="473"/>
      <c r="AA303" s="470"/>
      <c r="AB303" s="470"/>
      <c r="AC303" s="472"/>
      <c r="AD303" s="472"/>
      <c r="AE303" s="470"/>
      <c r="AF303" s="470"/>
      <c r="AH303" s="529"/>
      <c r="AI303" s="470"/>
      <c r="AJ303" s="470"/>
      <c r="AL303" s="470"/>
      <c r="AM303" s="472"/>
      <c r="AN303" s="472"/>
    </row>
    <row r="304" spans="3:40">
      <c r="F304" s="479"/>
      <c r="H304" s="479"/>
      <c r="I304" s="479"/>
      <c r="J304" s="484"/>
      <c r="K304" s="484"/>
      <c r="L304" s="479"/>
      <c r="M304" s="479"/>
      <c r="N304" s="479"/>
      <c r="O304" s="479"/>
      <c r="P304" s="479"/>
      <c r="Q304" s="479"/>
      <c r="R304" s="479"/>
      <c r="V304" s="479"/>
      <c r="Y304" s="479"/>
      <c r="Z304" s="484"/>
      <c r="AA304" s="479"/>
      <c r="AB304" s="479"/>
      <c r="AC304" s="479"/>
      <c r="AD304" s="479"/>
      <c r="AE304" s="479"/>
      <c r="AF304" s="479"/>
      <c r="AI304" s="479"/>
      <c r="AJ304" s="479"/>
      <c r="AK304" s="485"/>
      <c r="AL304" s="479"/>
    </row>
    <row r="305" spans="1:40">
      <c r="R305" s="470"/>
      <c r="AH305" s="470"/>
    </row>
    <row r="306" spans="1:40">
      <c r="F306" s="470"/>
      <c r="H306" s="470"/>
      <c r="I306" s="470"/>
      <c r="J306" s="503"/>
      <c r="K306" s="503"/>
      <c r="L306" s="470"/>
      <c r="M306" s="470"/>
      <c r="N306" s="470"/>
      <c r="O306" s="470"/>
      <c r="P306" s="470"/>
      <c r="Q306" s="470"/>
      <c r="R306" s="470"/>
      <c r="V306" s="470"/>
      <c r="Y306" s="470"/>
      <c r="Z306" s="503"/>
      <c r="AA306" s="470"/>
      <c r="AB306" s="470"/>
      <c r="AC306" s="470"/>
      <c r="AD306" s="470"/>
      <c r="AE306" s="470"/>
      <c r="AF306" s="470"/>
      <c r="AH306" s="470"/>
    </row>
    <row r="307" spans="1:40">
      <c r="C307" s="455"/>
      <c r="F307" s="470"/>
      <c r="H307" s="470"/>
      <c r="I307" s="470"/>
      <c r="J307" s="503"/>
      <c r="K307" s="503"/>
      <c r="L307" s="470"/>
      <c r="M307" s="470"/>
      <c r="N307" s="470"/>
      <c r="O307" s="470"/>
      <c r="P307" s="470"/>
      <c r="Q307" s="470"/>
      <c r="R307" s="470"/>
      <c r="T307" s="455"/>
      <c r="V307" s="470"/>
      <c r="Y307" s="470"/>
      <c r="Z307" s="503"/>
      <c r="AA307" s="470"/>
      <c r="AB307" s="470"/>
      <c r="AC307" s="470"/>
      <c r="AD307" s="470"/>
      <c r="AE307" s="470"/>
      <c r="AF307" s="470"/>
      <c r="AH307" s="470"/>
    </row>
    <row r="308" spans="1:40">
      <c r="A308" s="455"/>
    </row>
    <row r="311" spans="1:40">
      <c r="H311" s="455"/>
      <c r="I311" s="455"/>
      <c r="Y311" s="455"/>
    </row>
    <row r="313" spans="1:40">
      <c r="L313" s="455"/>
      <c r="M313" s="455"/>
      <c r="AA313" s="455"/>
      <c r="AB313" s="455"/>
    </row>
    <row r="314" spans="1:40">
      <c r="R314" s="455"/>
      <c r="AK314" s="456"/>
      <c r="AL314" s="455"/>
    </row>
    <row r="315" spans="1:40">
      <c r="R315" s="455"/>
      <c r="AK315" s="456"/>
      <c r="AL315" s="455"/>
    </row>
    <row r="316" spans="1:40">
      <c r="A316" s="455"/>
      <c r="R316" s="455"/>
      <c r="AK316" s="456"/>
      <c r="AL316" s="455"/>
    </row>
    <row r="317" spans="1:40">
      <c r="L317" s="455"/>
      <c r="M317" s="455"/>
      <c r="AA317" s="455"/>
      <c r="AB317" s="455"/>
    </row>
    <row r="318" spans="1:40">
      <c r="A318" s="460"/>
      <c r="B318" s="460"/>
      <c r="C318" s="460"/>
      <c r="D318" s="460"/>
      <c r="E318" s="460"/>
      <c r="F318" s="460"/>
      <c r="G318" s="460"/>
      <c r="H318" s="460"/>
      <c r="I318" s="460"/>
      <c r="J318" s="460"/>
      <c r="K318" s="460"/>
      <c r="L318" s="460"/>
      <c r="M318" s="460"/>
      <c r="N318" s="460"/>
      <c r="O318" s="460"/>
      <c r="P318" s="460"/>
      <c r="Q318" s="460"/>
      <c r="R318" s="460"/>
      <c r="T318" s="460"/>
      <c r="U318" s="460"/>
      <c r="V318" s="460"/>
      <c r="W318" s="460"/>
      <c r="X318" s="460"/>
      <c r="Y318" s="460"/>
      <c r="Z318" s="460"/>
      <c r="AA318" s="460"/>
      <c r="AB318" s="460"/>
      <c r="AC318" s="460"/>
      <c r="AD318" s="460"/>
      <c r="AE318" s="460"/>
      <c r="AF318" s="460"/>
      <c r="AG318" s="461"/>
      <c r="AH318" s="460"/>
      <c r="AI318" s="460"/>
      <c r="AJ318" s="460"/>
      <c r="AK318" s="461"/>
      <c r="AL318" s="460"/>
      <c r="AM318" s="460"/>
      <c r="AN318" s="460"/>
    </row>
    <row r="319" spans="1:40">
      <c r="L319" s="462"/>
      <c r="M319" s="462"/>
      <c r="N319" s="462"/>
      <c r="O319" s="462"/>
      <c r="R319" s="462"/>
      <c r="AA319" s="462"/>
      <c r="AB319" s="462"/>
      <c r="AC319" s="462"/>
      <c r="AD319" s="462"/>
      <c r="AE319" s="462"/>
      <c r="AF319" s="462"/>
      <c r="AG319" s="463"/>
      <c r="AH319" s="462"/>
      <c r="AK319" s="463"/>
      <c r="AL319" s="462"/>
      <c r="AM319" s="462"/>
      <c r="AN319" s="462"/>
    </row>
    <row r="320" spans="1:40">
      <c r="L320" s="462"/>
      <c r="M320" s="462"/>
      <c r="N320" s="462"/>
      <c r="O320" s="462"/>
      <c r="R320" s="462"/>
      <c r="Z320" s="462"/>
      <c r="AA320" s="462"/>
      <c r="AB320" s="462"/>
      <c r="AC320" s="462"/>
      <c r="AD320" s="462"/>
      <c r="AE320" s="462"/>
      <c r="AF320" s="462"/>
      <c r="AG320" s="463"/>
      <c r="AH320" s="462"/>
      <c r="AK320" s="463"/>
      <c r="AL320" s="462"/>
      <c r="AM320" s="462"/>
      <c r="AN320" s="462"/>
    </row>
    <row r="321" spans="1:40">
      <c r="A321" s="462"/>
      <c r="C321" s="462"/>
      <c r="D321" s="462"/>
      <c r="E321" s="462"/>
      <c r="F321" s="462"/>
      <c r="J321" s="462"/>
      <c r="K321" s="462"/>
      <c r="L321" s="462"/>
      <c r="M321" s="462"/>
      <c r="N321" s="462"/>
      <c r="O321" s="462"/>
      <c r="P321" s="462"/>
      <c r="Q321" s="462"/>
      <c r="R321" s="462"/>
      <c r="T321" s="462"/>
      <c r="U321" s="462"/>
      <c r="V321" s="462"/>
      <c r="Z321" s="462"/>
      <c r="AA321" s="462"/>
      <c r="AB321" s="462"/>
      <c r="AC321" s="462"/>
      <c r="AD321" s="462"/>
      <c r="AE321" s="462"/>
      <c r="AF321" s="462"/>
      <c r="AG321" s="463"/>
      <c r="AH321" s="462"/>
      <c r="AI321" s="462"/>
      <c r="AJ321" s="462"/>
      <c r="AK321" s="463"/>
      <c r="AL321" s="462"/>
      <c r="AM321" s="462"/>
      <c r="AN321" s="462"/>
    </row>
    <row r="322" spans="1:40">
      <c r="A322" s="462"/>
      <c r="C322" s="462"/>
      <c r="D322" s="462"/>
      <c r="E322" s="462"/>
      <c r="F322" s="462"/>
      <c r="H322" s="462"/>
      <c r="I322" s="462"/>
      <c r="J322" s="462"/>
      <c r="K322" s="462"/>
      <c r="L322" s="462"/>
      <c r="M322" s="462"/>
      <c r="N322" s="462"/>
      <c r="O322" s="462"/>
      <c r="P322" s="462"/>
      <c r="Q322" s="462"/>
      <c r="R322" s="462"/>
      <c r="T322" s="462"/>
      <c r="U322" s="462"/>
      <c r="V322" s="462"/>
      <c r="Y322" s="462"/>
      <c r="Z322" s="462"/>
      <c r="AA322" s="462"/>
      <c r="AB322" s="462"/>
      <c r="AC322" s="462"/>
      <c r="AD322" s="462"/>
      <c r="AE322" s="462"/>
      <c r="AF322" s="462"/>
      <c r="AG322" s="463"/>
      <c r="AH322" s="462"/>
      <c r="AI322" s="462"/>
      <c r="AJ322" s="462"/>
      <c r="AK322" s="463"/>
      <c r="AL322" s="462"/>
      <c r="AM322" s="462"/>
      <c r="AN322" s="462"/>
    </row>
    <row r="323" spans="1:40">
      <c r="C323" s="462"/>
      <c r="D323" s="462"/>
      <c r="E323" s="462"/>
      <c r="F323" s="462"/>
      <c r="H323" s="462"/>
      <c r="I323" s="462"/>
      <c r="J323" s="462"/>
      <c r="K323" s="462"/>
      <c r="L323" s="462"/>
      <c r="M323" s="462"/>
      <c r="N323" s="462"/>
      <c r="O323" s="462"/>
      <c r="P323" s="462"/>
      <c r="Q323" s="462"/>
      <c r="R323" s="462"/>
      <c r="T323" s="462"/>
      <c r="U323" s="462"/>
      <c r="V323" s="462"/>
      <c r="Y323" s="462"/>
      <c r="Z323" s="462"/>
      <c r="AA323" s="462"/>
      <c r="AB323" s="462"/>
      <c r="AC323" s="462"/>
      <c r="AD323" s="462"/>
      <c r="AE323" s="462"/>
      <c r="AF323" s="462"/>
      <c r="AG323" s="463"/>
      <c r="AH323" s="462"/>
      <c r="AI323" s="462"/>
      <c r="AJ323" s="462"/>
      <c r="AK323" s="463"/>
      <c r="AL323" s="462"/>
      <c r="AM323" s="462"/>
      <c r="AN323" s="462"/>
    </row>
    <row r="324" spans="1:40">
      <c r="A324" s="460"/>
      <c r="B324" s="460"/>
      <c r="C324" s="460"/>
      <c r="D324" s="460"/>
      <c r="E324" s="460"/>
      <c r="F324" s="460"/>
      <c r="G324" s="460"/>
      <c r="H324" s="460"/>
      <c r="I324" s="460"/>
      <c r="J324" s="460"/>
      <c r="K324" s="460"/>
      <c r="L324" s="460"/>
      <c r="M324" s="460"/>
      <c r="N324" s="460"/>
      <c r="O324" s="460"/>
      <c r="P324" s="460"/>
      <c r="Q324" s="460"/>
      <c r="R324" s="460"/>
      <c r="T324" s="460"/>
      <c r="U324" s="460"/>
      <c r="V324" s="460"/>
      <c r="W324" s="460"/>
      <c r="X324" s="460"/>
      <c r="Y324" s="460"/>
      <c r="Z324" s="460"/>
      <c r="AA324" s="460"/>
      <c r="AB324" s="460"/>
      <c r="AC324" s="460"/>
      <c r="AD324" s="460"/>
      <c r="AE324" s="460"/>
      <c r="AF324" s="460"/>
      <c r="AG324" s="461"/>
      <c r="AH324" s="460"/>
      <c r="AI324" s="460"/>
      <c r="AJ324" s="460"/>
      <c r="AK324" s="461"/>
      <c r="AL324" s="460"/>
      <c r="AM324" s="460"/>
      <c r="AN324" s="460"/>
    </row>
    <row r="325" spans="1:40">
      <c r="H325" s="462"/>
      <c r="I325" s="462"/>
      <c r="J325" s="462"/>
      <c r="K325" s="462"/>
      <c r="L325" s="462"/>
      <c r="M325" s="462"/>
      <c r="N325" s="462"/>
      <c r="O325" s="462"/>
      <c r="P325" s="462"/>
      <c r="Q325" s="462"/>
      <c r="R325" s="462"/>
      <c r="Y325" s="462"/>
      <c r="Z325" s="462"/>
      <c r="AA325" s="462"/>
      <c r="AB325" s="462"/>
      <c r="AC325" s="462"/>
      <c r="AD325" s="462"/>
      <c r="AE325" s="462"/>
      <c r="AF325" s="462"/>
      <c r="AG325" s="463"/>
      <c r="AH325" s="462"/>
      <c r="AI325" s="462"/>
      <c r="AJ325" s="462"/>
      <c r="AK325" s="463"/>
      <c r="AL325" s="462"/>
      <c r="AM325" s="462"/>
      <c r="AN325" s="462"/>
    </row>
    <row r="326" spans="1:40">
      <c r="C326" s="455"/>
      <c r="D326" s="455"/>
      <c r="E326" s="455"/>
      <c r="T326" s="455"/>
      <c r="U326" s="455"/>
    </row>
    <row r="327" spans="1:40">
      <c r="C327" s="455"/>
      <c r="T327" s="455"/>
    </row>
    <row r="329" spans="1:40">
      <c r="C329" s="455"/>
      <c r="F329" s="476"/>
      <c r="H329" s="476"/>
      <c r="I329" s="476"/>
      <c r="J329" s="471"/>
      <c r="K329" s="471"/>
      <c r="L329" s="470"/>
      <c r="M329" s="470"/>
      <c r="N329" s="472"/>
      <c r="O329" s="472"/>
      <c r="R329" s="470"/>
      <c r="T329" s="455"/>
      <c r="V329" s="470"/>
      <c r="Y329" s="476"/>
      <c r="Z329" s="471"/>
      <c r="AA329" s="470"/>
      <c r="AB329" s="470"/>
      <c r="AC329" s="472"/>
      <c r="AD329" s="472"/>
      <c r="AE329" s="470"/>
      <c r="AF329" s="470"/>
      <c r="AH329" s="529"/>
      <c r="AL329" s="470"/>
      <c r="AM329" s="472"/>
      <c r="AN329" s="472"/>
    </row>
    <row r="330" spans="1:40">
      <c r="F330" s="479"/>
      <c r="H330" s="470"/>
      <c r="I330" s="470"/>
      <c r="J330" s="484"/>
      <c r="K330" s="484"/>
      <c r="L330" s="479"/>
      <c r="M330" s="479"/>
      <c r="N330" s="479"/>
      <c r="O330" s="479"/>
      <c r="P330" s="479"/>
      <c r="Q330" s="479"/>
      <c r="R330" s="479"/>
      <c r="V330" s="479"/>
      <c r="Y330" s="470"/>
      <c r="Z330" s="484"/>
      <c r="AA330" s="479"/>
      <c r="AB330" s="479"/>
      <c r="AC330" s="479"/>
      <c r="AD330" s="479"/>
      <c r="AE330" s="479"/>
      <c r="AF330" s="479"/>
      <c r="AI330" s="479"/>
      <c r="AJ330" s="479"/>
      <c r="AK330" s="485"/>
      <c r="AL330" s="479"/>
      <c r="AM330" s="472"/>
      <c r="AN330" s="472"/>
    </row>
    <row r="331" spans="1:40">
      <c r="C331" s="455"/>
      <c r="F331" s="476"/>
      <c r="H331" s="476"/>
      <c r="I331" s="476"/>
      <c r="J331" s="530"/>
      <c r="K331" s="530"/>
      <c r="L331" s="470"/>
      <c r="M331" s="470"/>
      <c r="N331" s="472"/>
      <c r="O331" s="472"/>
      <c r="P331" s="470"/>
      <c r="Q331" s="470"/>
      <c r="R331" s="470"/>
      <c r="S331" s="470"/>
      <c r="T331" s="455"/>
      <c r="V331" s="476"/>
      <c r="Y331" s="476"/>
      <c r="Z331" s="530"/>
      <c r="AA331" s="470"/>
      <c r="AB331" s="470"/>
      <c r="AC331" s="472"/>
      <c r="AD331" s="472"/>
      <c r="AE331" s="470"/>
      <c r="AF331" s="470"/>
      <c r="AH331" s="472"/>
      <c r="AI331" s="470"/>
      <c r="AJ331" s="470"/>
      <c r="AL331" s="470"/>
      <c r="AM331" s="472"/>
      <c r="AN331" s="472"/>
    </row>
    <row r="332" spans="1:40">
      <c r="C332" s="455"/>
      <c r="F332" s="476"/>
      <c r="H332" s="476"/>
      <c r="I332" s="476"/>
      <c r="J332" s="471"/>
      <c r="K332" s="471"/>
      <c r="L332" s="470"/>
      <c r="M332" s="470"/>
      <c r="N332" s="472"/>
      <c r="O332" s="472"/>
      <c r="P332" s="470"/>
      <c r="Q332" s="470"/>
      <c r="R332" s="470"/>
      <c r="T332" s="455"/>
      <c r="V332" s="476"/>
      <c r="Y332" s="470"/>
      <c r="Z332" s="471"/>
      <c r="AA332" s="470"/>
      <c r="AB332" s="470"/>
      <c r="AC332" s="472"/>
      <c r="AD332" s="472"/>
      <c r="AE332" s="470"/>
      <c r="AF332" s="470"/>
      <c r="AH332" s="529"/>
      <c r="AI332" s="470"/>
      <c r="AJ332" s="470"/>
      <c r="AL332" s="470"/>
      <c r="AM332" s="472"/>
      <c r="AN332" s="472"/>
    </row>
    <row r="333" spans="1:40">
      <c r="C333" s="455"/>
      <c r="F333" s="476"/>
      <c r="H333" s="476"/>
      <c r="I333" s="476"/>
      <c r="J333" s="471"/>
      <c r="K333" s="471"/>
      <c r="L333" s="470"/>
      <c r="M333" s="470"/>
      <c r="N333" s="472"/>
      <c r="O333" s="472"/>
      <c r="P333" s="470"/>
      <c r="Q333" s="470"/>
      <c r="R333" s="470"/>
      <c r="T333" s="455"/>
      <c r="V333" s="476"/>
      <c r="Y333" s="470"/>
      <c r="Z333" s="471"/>
      <c r="AA333" s="470"/>
      <c r="AB333" s="470"/>
      <c r="AC333" s="472"/>
      <c r="AD333" s="472"/>
      <c r="AE333" s="470"/>
      <c r="AF333" s="470"/>
      <c r="AH333" s="529"/>
      <c r="AI333" s="470"/>
      <c r="AJ333" s="470"/>
      <c r="AL333" s="470"/>
      <c r="AM333" s="472"/>
      <c r="AN333" s="472"/>
    </row>
    <row r="334" spans="1:40">
      <c r="F334" s="479"/>
      <c r="H334" s="479"/>
      <c r="I334" s="479"/>
      <c r="J334" s="484"/>
      <c r="K334" s="484"/>
      <c r="L334" s="479"/>
      <c r="M334" s="479"/>
      <c r="N334" s="479"/>
      <c r="O334" s="479"/>
      <c r="P334" s="479"/>
      <c r="Q334" s="479"/>
      <c r="R334" s="479"/>
      <c r="V334" s="479"/>
      <c r="Y334" s="479"/>
      <c r="Z334" s="484"/>
      <c r="AA334" s="479"/>
      <c r="AB334" s="479"/>
      <c r="AC334" s="479"/>
      <c r="AD334" s="479"/>
      <c r="AE334" s="479"/>
      <c r="AF334" s="479"/>
      <c r="AI334" s="479"/>
      <c r="AJ334" s="479"/>
      <c r="AK334" s="485"/>
      <c r="AL334" s="479"/>
      <c r="AM334" s="472"/>
      <c r="AN334" s="472"/>
    </row>
    <row r="335" spans="1:40">
      <c r="C335" s="455"/>
      <c r="F335" s="470"/>
      <c r="H335" s="470"/>
      <c r="I335" s="470"/>
      <c r="J335" s="503"/>
      <c r="K335" s="503"/>
      <c r="L335" s="470"/>
      <c r="M335" s="470"/>
      <c r="N335" s="472"/>
      <c r="O335" s="472"/>
      <c r="P335" s="470"/>
      <c r="Q335" s="470"/>
      <c r="R335" s="470"/>
      <c r="T335" s="455"/>
      <c r="V335" s="470"/>
      <c r="Y335" s="470"/>
      <c r="Z335" s="503"/>
      <c r="AA335" s="470"/>
      <c r="AB335" s="470"/>
      <c r="AC335" s="472"/>
      <c r="AD335" s="472"/>
      <c r="AE335" s="470"/>
      <c r="AF335" s="470"/>
      <c r="AH335" s="529"/>
      <c r="AI335" s="470"/>
      <c r="AJ335" s="470"/>
      <c r="AL335" s="470"/>
      <c r="AM335" s="472"/>
      <c r="AN335" s="472"/>
    </row>
    <row r="336" spans="1:40">
      <c r="F336" s="479"/>
      <c r="H336" s="479"/>
      <c r="I336" s="479"/>
      <c r="J336" s="484"/>
      <c r="K336" s="484"/>
      <c r="L336" s="479"/>
      <c r="M336" s="479"/>
      <c r="N336" s="479"/>
      <c r="O336" s="479"/>
      <c r="P336" s="479"/>
      <c r="Q336" s="479"/>
      <c r="R336" s="479"/>
      <c r="V336" s="479"/>
      <c r="Y336" s="479"/>
      <c r="Z336" s="484"/>
      <c r="AA336" s="479"/>
      <c r="AB336" s="479"/>
      <c r="AC336" s="479"/>
      <c r="AD336" s="479"/>
      <c r="AE336" s="479"/>
      <c r="AF336" s="479"/>
      <c r="AI336" s="479"/>
      <c r="AJ336" s="479"/>
      <c r="AK336" s="485"/>
      <c r="AL336" s="479"/>
      <c r="AM336" s="472"/>
      <c r="AN336" s="472"/>
    </row>
    <row r="337" spans="3:40">
      <c r="C337" s="455"/>
      <c r="F337" s="470"/>
      <c r="H337" s="470"/>
      <c r="I337" s="470"/>
      <c r="J337" s="503"/>
      <c r="K337" s="503"/>
      <c r="L337" s="470"/>
      <c r="M337" s="470"/>
      <c r="N337" s="472"/>
      <c r="O337" s="472"/>
      <c r="P337" s="470"/>
      <c r="Q337" s="470"/>
      <c r="R337" s="470"/>
      <c r="T337" s="455"/>
      <c r="V337" s="470"/>
      <c r="Y337" s="470"/>
      <c r="Z337" s="503"/>
      <c r="AA337" s="470"/>
      <c r="AB337" s="470"/>
      <c r="AC337" s="472"/>
      <c r="AD337" s="472"/>
      <c r="AE337" s="470"/>
      <c r="AF337" s="470"/>
      <c r="AH337" s="529"/>
      <c r="AI337" s="470"/>
      <c r="AJ337" s="470"/>
      <c r="AL337" s="470"/>
      <c r="AM337" s="472"/>
      <c r="AN337" s="472"/>
    </row>
    <row r="338" spans="3:40">
      <c r="C338" s="455"/>
      <c r="F338" s="470"/>
      <c r="H338" s="476"/>
      <c r="I338" s="476"/>
      <c r="J338" s="518"/>
      <c r="K338" s="518"/>
      <c r="L338" s="470"/>
      <c r="M338" s="470"/>
      <c r="N338" s="472"/>
      <c r="O338" s="472"/>
      <c r="P338" s="470"/>
      <c r="Q338" s="470"/>
      <c r="R338" s="470"/>
      <c r="T338" s="455"/>
      <c r="V338" s="470"/>
      <c r="Y338" s="470"/>
      <c r="Z338" s="483"/>
      <c r="AA338" s="470"/>
      <c r="AB338" s="470"/>
      <c r="AC338" s="472"/>
      <c r="AD338" s="472"/>
      <c r="AE338" s="470"/>
      <c r="AF338" s="470"/>
      <c r="AH338" s="529"/>
      <c r="AI338" s="470"/>
      <c r="AJ338" s="470"/>
      <c r="AL338" s="470"/>
      <c r="AM338" s="472"/>
      <c r="AN338" s="472"/>
    </row>
    <row r="339" spans="3:40">
      <c r="F339" s="479"/>
      <c r="H339" s="479"/>
      <c r="I339" s="479"/>
      <c r="J339" s="484"/>
      <c r="K339" s="484"/>
      <c r="L339" s="479"/>
      <c r="M339" s="479"/>
      <c r="N339" s="479"/>
      <c r="O339" s="479"/>
      <c r="P339" s="479"/>
      <c r="Q339" s="479"/>
      <c r="R339" s="479"/>
      <c r="V339" s="479"/>
      <c r="Y339" s="479"/>
      <c r="Z339" s="484"/>
      <c r="AA339" s="479"/>
      <c r="AB339" s="479"/>
      <c r="AC339" s="479"/>
      <c r="AD339" s="479"/>
      <c r="AE339" s="479"/>
      <c r="AF339" s="479"/>
      <c r="AI339" s="479"/>
      <c r="AJ339" s="479"/>
      <c r="AK339" s="485"/>
      <c r="AL339" s="479"/>
      <c r="AM339" s="472"/>
      <c r="AN339" s="472"/>
    </row>
    <row r="341" spans="3:40">
      <c r="C341" s="455"/>
      <c r="F341" s="470"/>
      <c r="H341" s="470"/>
      <c r="I341" s="470"/>
      <c r="J341" s="484"/>
      <c r="K341" s="484"/>
      <c r="L341" s="470"/>
      <c r="M341" s="470"/>
      <c r="N341" s="472"/>
      <c r="O341" s="472"/>
      <c r="P341" s="470"/>
      <c r="Q341" s="470"/>
      <c r="R341" s="470"/>
      <c r="S341" s="470"/>
      <c r="T341" s="455"/>
      <c r="V341" s="470"/>
      <c r="Y341" s="470"/>
      <c r="Z341" s="484"/>
      <c r="AA341" s="470"/>
      <c r="AB341" s="470"/>
      <c r="AC341" s="472"/>
      <c r="AD341" s="472"/>
      <c r="AE341" s="470"/>
      <c r="AF341" s="470"/>
      <c r="AH341" s="472"/>
      <c r="AI341" s="470"/>
      <c r="AJ341" s="470"/>
      <c r="AL341" s="470"/>
      <c r="AM341" s="472"/>
      <c r="AN341" s="472"/>
    </row>
    <row r="342" spans="3:40">
      <c r="F342" s="479"/>
      <c r="H342" s="479"/>
      <c r="I342" s="479"/>
      <c r="J342" s="484"/>
      <c r="K342" s="484"/>
      <c r="L342" s="479"/>
      <c r="M342" s="479"/>
      <c r="N342" s="479"/>
      <c r="O342" s="479"/>
      <c r="P342" s="479"/>
      <c r="Q342" s="479"/>
      <c r="R342" s="479"/>
      <c r="S342" s="470"/>
      <c r="V342" s="479"/>
      <c r="Y342" s="479"/>
      <c r="Z342" s="484"/>
      <c r="AA342" s="479"/>
      <c r="AB342" s="479"/>
      <c r="AC342" s="479"/>
      <c r="AD342" s="479"/>
      <c r="AE342" s="479"/>
      <c r="AF342" s="479"/>
      <c r="AI342" s="479"/>
      <c r="AJ342" s="479"/>
      <c r="AK342" s="485"/>
      <c r="AL342" s="479"/>
      <c r="AM342" s="472"/>
      <c r="AN342" s="472"/>
    </row>
    <row r="343" spans="3:40">
      <c r="C343" s="455"/>
      <c r="F343" s="476"/>
      <c r="H343" s="476"/>
      <c r="I343" s="476"/>
      <c r="J343" s="484"/>
      <c r="K343" s="484"/>
      <c r="L343" s="470"/>
      <c r="M343" s="470"/>
      <c r="N343" s="472"/>
      <c r="O343" s="472"/>
      <c r="P343" s="470"/>
      <c r="Q343" s="470"/>
      <c r="R343" s="470"/>
      <c r="S343" s="470"/>
      <c r="T343" s="455"/>
      <c r="V343" s="476"/>
      <c r="Y343" s="476"/>
      <c r="Z343" s="484"/>
      <c r="AA343" s="470"/>
      <c r="AB343" s="470"/>
      <c r="AC343" s="472"/>
      <c r="AD343" s="472"/>
      <c r="AE343" s="470"/>
      <c r="AF343" s="470"/>
      <c r="AI343" s="470"/>
      <c r="AJ343" s="470"/>
      <c r="AL343" s="470"/>
      <c r="AM343" s="472"/>
      <c r="AN343" s="472"/>
    </row>
    <row r="345" spans="3:40">
      <c r="C345" s="455"/>
      <c r="F345" s="476"/>
      <c r="H345" s="476"/>
      <c r="I345" s="476"/>
      <c r="J345" s="471"/>
      <c r="K345" s="471"/>
      <c r="L345" s="470"/>
      <c r="M345" s="470"/>
      <c r="N345" s="472"/>
      <c r="O345" s="472"/>
      <c r="R345" s="470"/>
      <c r="T345" s="455"/>
      <c r="V345" s="470"/>
      <c r="Y345" s="476"/>
      <c r="Z345" s="471"/>
      <c r="AA345" s="470"/>
      <c r="AB345" s="470"/>
      <c r="AC345" s="472"/>
      <c r="AD345" s="472"/>
      <c r="AE345" s="470"/>
      <c r="AF345" s="470"/>
      <c r="AH345" s="529"/>
      <c r="AL345" s="470"/>
      <c r="AM345" s="472"/>
      <c r="AN345" s="472"/>
    </row>
    <row r="346" spans="3:40">
      <c r="F346" s="479"/>
      <c r="H346" s="470"/>
      <c r="I346" s="470"/>
      <c r="J346" s="484"/>
      <c r="K346" s="484"/>
      <c r="L346" s="479"/>
      <c r="M346" s="479"/>
      <c r="N346" s="479"/>
      <c r="O346" s="479"/>
      <c r="P346" s="479"/>
      <c r="Q346" s="479"/>
      <c r="R346" s="479"/>
      <c r="V346" s="479"/>
      <c r="Y346" s="470"/>
      <c r="Z346" s="484"/>
      <c r="AA346" s="479"/>
      <c r="AB346" s="479"/>
      <c r="AC346" s="479"/>
      <c r="AD346" s="479"/>
      <c r="AE346" s="479"/>
      <c r="AF346" s="479"/>
      <c r="AI346" s="479"/>
      <c r="AJ346" s="479"/>
      <c r="AK346" s="485"/>
      <c r="AL346" s="479"/>
      <c r="AM346" s="472"/>
      <c r="AN346" s="472"/>
    </row>
    <row r="347" spans="3:40">
      <c r="C347" s="455"/>
      <c r="F347" s="476"/>
      <c r="H347" s="476"/>
      <c r="I347" s="476"/>
      <c r="J347" s="530"/>
      <c r="K347" s="530"/>
      <c r="L347" s="470"/>
      <c r="M347" s="470"/>
      <c r="N347" s="472"/>
      <c r="O347" s="472"/>
      <c r="P347" s="470"/>
      <c r="Q347" s="470"/>
      <c r="R347" s="470"/>
      <c r="S347" s="470"/>
      <c r="T347" s="455"/>
      <c r="V347" s="476"/>
      <c r="Y347" s="476"/>
      <c r="Z347" s="530"/>
      <c r="AA347" s="470"/>
      <c r="AB347" s="470"/>
      <c r="AC347" s="472"/>
      <c r="AD347" s="472"/>
      <c r="AE347" s="470"/>
      <c r="AF347" s="470"/>
      <c r="AH347" s="472"/>
      <c r="AI347" s="470"/>
      <c r="AJ347" s="470"/>
      <c r="AL347" s="470"/>
      <c r="AM347" s="472"/>
      <c r="AN347" s="472"/>
    </row>
    <row r="348" spans="3:40">
      <c r="C348" s="455"/>
      <c r="F348" s="476"/>
      <c r="H348" s="476"/>
      <c r="I348" s="476"/>
      <c r="J348" s="471"/>
      <c r="K348" s="471"/>
      <c r="L348" s="470"/>
      <c r="M348" s="470"/>
      <c r="N348" s="472"/>
      <c r="O348" s="472"/>
      <c r="P348" s="470"/>
      <c r="Q348" s="470"/>
      <c r="R348" s="470"/>
      <c r="T348" s="455"/>
      <c r="V348" s="476"/>
      <c r="Y348" s="470"/>
      <c r="Z348" s="471"/>
      <c r="AA348" s="470"/>
      <c r="AB348" s="470"/>
      <c r="AC348" s="472"/>
      <c r="AD348" s="472"/>
      <c r="AE348" s="470"/>
      <c r="AF348" s="470"/>
      <c r="AH348" s="529"/>
      <c r="AI348" s="470"/>
      <c r="AJ348" s="470"/>
      <c r="AL348" s="470"/>
      <c r="AM348" s="472"/>
      <c r="AN348" s="472"/>
    </row>
    <row r="349" spans="3:40">
      <c r="C349" s="455"/>
      <c r="F349" s="476"/>
      <c r="H349" s="476"/>
      <c r="I349" s="476"/>
      <c r="J349" s="471"/>
      <c r="K349" s="471"/>
      <c r="L349" s="470"/>
      <c r="M349" s="470"/>
      <c r="N349" s="472"/>
      <c r="O349" s="472"/>
      <c r="P349" s="470"/>
      <c r="Q349" s="470"/>
      <c r="R349" s="470"/>
      <c r="T349" s="455"/>
      <c r="V349" s="476"/>
      <c r="Y349" s="470"/>
      <c r="Z349" s="471"/>
      <c r="AA349" s="470"/>
      <c r="AB349" s="470"/>
      <c r="AC349" s="472"/>
      <c r="AD349" s="472"/>
      <c r="AE349" s="470"/>
      <c r="AF349" s="470"/>
      <c r="AH349" s="529"/>
      <c r="AI349" s="470"/>
      <c r="AJ349" s="470"/>
      <c r="AL349" s="470"/>
      <c r="AM349" s="472"/>
      <c r="AN349" s="472"/>
    </row>
    <row r="350" spans="3:40">
      <c r="F350" s="479"/>
      <c r="H350" s="479"/>
      <c r="I350" s="479"/>
      <c r="J350" s="484"/>
      <c r="K350" s="484"/>
      <c r="L350" s="479"/>
      <c r="M350" s="479"/>
      <c r="N350" s="479"/>
      <c r="O350" s="479"/>
      <c r="P350" s="479"/>
      <c r="Q350" s="479"/>
      <c r="R350" s="479"/>
      <c r="V350" s="479"/>
      <c r="Y350" s="479"/>
      <c r="Z350" s="484"/>
      <c r="AA350" s="479"/>
      <c r="AB350" s="479"/>
      <c r="AC350" s="479"/>
      <c r="AD350" s="479"/>
      <c r="AE350" s="479"/>
      <c r="AF350" s="479"/>
      <c r="AI350" s="479"/>
      <c r="AJ350" s="479"/>
      <c r="AK350" s="485"/>
      <c r="AL350" s="479"/>
      <c r="AM350" s="472"/>
      <c r="AN350" s="472"/>
    </row>
    <row r="351" spans="3:40">
      <c r="C351" s="455"/>
      <c r="F351" s="470"/>
      <c r="H351" s="470"/>
      <c r="I351" s="470"/>
      <c r="J351" s="503"/>
      <c r="K351" s="503"/>
      <c r="L351" s="470"/>
      <c r="M351" s="470"/>
      <c r="N351" s="472"/>
      <c r="O351" s="472"/>
      <c r="P351" s="470"/>
      <c r="Q351" s="470"/>
      <c r="R351" s="470"/>
      <c r="T351" s="455"/>
      <c r="V351" s="470"/>
      <c r="Y351" s="470"/>
      <c r="Z351" s="503"/>
      <c r="AA351" s="470"/>
      <c r="AB351" s="470"/>
      <c r="AC351" s="472"/>
      <c r="AD351" s="472"/>
      <c r="AE351" s="470"/>
      <c r="AF351" s="470"/>
      <c r="AH351" s="529"/>
      <c r="AI351" s="470"/>
      <c r="AJ351" s="470"/>
      <c r="AL351" s="470"/>
      <c r="AM351" s="472"/>
      <c r="AN351" s="472"/>
    </row>
    <row r="352" spans="3:40">
      <c r="F352" s="479"/>
      <c r="H352" s="479"/>
      <c r="I352" s="479"/>
      <c r="J352" s="484"/>
      <c r="K352" s="484"/>
      <c r="L352" s="479"/>
      <c r="M352" s="479"/>
      <c r="N352" s="479"/>
      <c r="O352" s="479"/>
      <c r="P352" s="479"/>
      <c r="Q352" s="479"/>
      <c r="R352" s="479"/>
      <c r="V352" s="479"/>
      <c r="Y352" s="479"/>
      <c r="Z352" s="484"/>
      <c r="AA352" s="479"/>
      <c r="AB352" s="479"/>
      <c r="AC352" s="479"/>
      <c r="AD352" s="479"/>
      <c r="AE352" s="479"/>
      <c r="AF352" s="479"/>
      <c r="AI352" s="479"/>
      <c r="AJ352" s="479"/>
      <c r="AK352" s="485"/>
      <c r="AL352" s="479"/>
      <c r="AM352" s="472"/>
      <c r="AN352" s="472"/>
    </row>
    <row r="353" spans="1:40">
      <c r="C353" s="455"/>
      <c r="F353" s="470"/>
      <c r="H353" s="470"/>
      <c r="I353" s="470"/>
      <c r="J353" s="503"/>
      <c r="K353" s="503"/>
      <c r="L353" s="470"/>
      <c r="M353" s="470"/>
      <c r="N353" s="472"/>
      <c r="O353" s="472"/>
      <c r="P353" s="470"/>
      <c r="Q353" s="470"/>
      <c r="R353" s="470"/>
      <c r="T353" s="455"/>
      <c r="V353" s="470"/>
      <c r="Y353" s="470"/>
      <c r="Z353" s="503"/>
      <c r="AA353" s="470"/>
      <c r="AB353" s="470"/>
      <c r="AC353" s="472"/>
      <c r="AD353" s="472"/>
      <c r="AE353" s="470"/>
      <c r="AF353" s="470"/>
      <c r="AH353" s="529"/>
      <c r="AI353" s="470"/>
      <c r="AJ353" s="470"/>
      <c r="AL353" s="470"/>
      <c r="AM353" s="472"/>
      <c r="AN353" s="472"/>
    </row>
    <row r="354" spans="1:40">
      <c r="C354" s="455"/>
      <c r="F354" s="470"/>
      <c r="H354" s="476"/>
      <c r="I354" s="476"/>
      <c r="J354" s="518"/>
      <c r="K354" s="518"/>
      <c r="L354" s="470"/>
      <c r="M354" s="470"/>
      <c r="N354" s="472"/>
      <c r="O354" s="472"/>
      <c r="P354" s="470"/>
      <c r="Q354" s="470"/>
      <c r="R354" s="470"/>
      <c r="T354" s="455"/>
      <c r="V354" s="470"/>
      <c r="Y354" s="470"/>
      <c r="Z354" s="483"/>
      <c r="AA354" s="470"/>
      <c r="AB354" s="470"/>
      <c r="AC354" s="472"/>
      <c r="AD354" s="472"/>
      <c r="AE354" s="470"/>
      <c r="AF354" s="470"/>
      <c r="AH354" s="529"/>
      <c r="AI354" s="470"/>
      <c r="AJ354" s="470"/>
      <c r="AL354" s="470"/>
      <c r="AM354" s="472"/>
      <c r="AN354" s="472"/>
    </row>
    <row r="355" spans="1:40">
      <c r="F355" s="479"/>
      <c r="H355" s="479"/>
      <c r="I355" s="479"/>
      <c r="J355" s="484"/>
      <c r="K355" s="484"/>
      <c r="L355" s="479"/>
      <c r="M355" s="479"/>
      <c r="N355" s="479"/>
      <c r="O355" s="479"/>
      <c r="P355" s="479"/>
      <c r="Q355" s="479"/>
      <c r="R355" s="479"/>
      <c r="V355" s="479"/>
      <c r="Y355" s="479"/>
      <c r="Z355" s="484"/>
      <c r="AA355" s="479"/>
      <c r="AB355" s="479"/>
      <c r="AC355" s="479"/>
      <c r="AD355" s="479"/>
      <c r="AE355" s="479"/>
      <c r="AF355" s="479"/>
      <c r="AI355" s="479"/>
      <c r="AJ355" s="479"/>
      <c r="AK355" s="485"/>
      <c r="AL355" s="479"/>
      <c r="AM355" s="472"/>
      <c r="AN355" s="472"/>
    </row>
    <row r="357" spans="1:40">
      <c r="C357" s="455"/>
      <c r="F357" s="470"/>
      <c r="H357" s="470"/>
      <c r="I357" s="470"/>
      <c r="J357" s="484"/>
      <c r="K357" s="484"/>
      <c r="L357" s="470"/>
      <c r="M357" s="470"/>
      <c r="N357" s="472"/>
      <c r="O357" s="472"/>
      <c r="P357" s="470"/>
      <c r="Q357" s="470"/>
      <c r="R357" s="470"/>
      <c r="S357" s="470"/>
      <c r="T357" s="455"/>
      <c r="V357" s="470"/>
      <c r="Y357" s="470"/>
      <c r="Z357" s="484"/>
      <c r="AA357" s="470"/>
      <c r="AB357" s="470"/>
      <c r="AC357" s="472"/>
      <c r="AD357" s="472"/>
      <c r="AE357" s="470"/>
      <c r="AF357" s="470"/>
      <c r="AH357" s="472"/>
      <c r="AI357" s="470"/>
      <c r="AJ357" s="470"/>
      <c r="AL357" s="470"/>
      <c r="AM357" s="472"/>
      <c r="AN357" s="472"/>
    </row>
    <row r="358" spans="1:40">
      <c r="F358" s="479"/>
      <c r="H358" s="479"/>
      <c r="I358" s="479"/>
      <c r="J358" s="484"/>
      <c r="K358" s="484"/>
      <c r="L358" s="479"/>
      <c r="M358" s="479"/>
      <c r="N358" s="479"/>
      <c r="O358" s="479"/>
      <c r="P358" s="479"/>
      <c r="Q358" s="479"/>
      <c r="R358" s="479"/>
      <c r="S358" s="470"/>
      <c r="V358" s="479"/>
      <c r="Y358" s="479"/>
      <c r="Z358" s="484"/>
      <c r="AA358" s="479"/>
      <c r="AB358" s="479"/>
      <c r="AC358" s="479"/>
      <c r="AD358" s="479"/>
      <c r="AE358" s="479"/>
      <c r="AF358" s="479"/>
      <c r="AI358" s="479"/>
      <c r="AJ358" s="479"/>
      <c r="AK358" s="485"/>
      <c r="AL358" s="479"/>
      <c r="AM358" s="472"/>
      <c r="AN358" s="472"/>
    </row>
    <row r="359" spans="1:40">
      <c r="C359" s="455"/>
      <c r="T359" s="455"/>
    </row>
    <row r="360" spans="1:40">
      <c r="C360" s="455"/>
      <c r="F360" s="470"/>
      <c r="H360" s="470"/>
      <c r="I360" s="470"/>
      <c r="L360" s="470"/>
      <c r="M360" s="470"/>
      <c r="N360" s="472"/>
      <c r="O360" s="472"/>
      <c r="P360" s="476"/>
      <c r="Q360" s="476"/>
      <c r="R360" s="470"/>
      <c r="T360" s="455"/>
      <c r="V360" s="470"/>
      <c r="Y360" s="470"/>
      <c r="AA360" s="470"/>
      <c r="AB360" s="470"/>
      <c r="AC360" s="472"/>
      <c r="AD360" s="472"/>
      <c r="AE360" s="470"/>
      <c r="AF360" s="470"/>
      <c r="AH360" s="472"/>
      <c r="AI360" s="476"/>
      <c r="AJ360" s="476"/>
      <c r="AL360" s="470"/>
      <c r="AM360" s="472"/>
      <c r="AN360" s="472"/>
    </row>
    <row r="361" spans="1:40">
      <c r="F361" s="479"/>
      <c r="H361" s="479"/>
      <c r="I361" s="479"/>
      <c r="J361" s="484"/>
      <c r="K361" s="484"/>
      <c r="L361" s="479"/>
      <c r="M361" s="479"/>
      <c r="N361" s="479"/>
      <c r="O361" s="479"/>
      <c r="P361" s="479"/>
      <c r="Q361" s="479"/>
      <c r="R361" s="479"/>
      <c r="V361" s="479"/>
      <c r="Y361" s="479"/>
      <c r="Z361" s="484"/>
      <c r="AA361" s="479"/>
      <c r="AB361" s="479"/>
      <c r="AC361" s="479"/>
      <c r="AD361" s="479"/>
      <c r="AE361" s="479"/>
      <c r="AF361" s="479"/>
      <c r="AI361" s="479"/>
      <c r="AJ361" s="479"/>
      <c r="AK361" s="485"/>
      <c r="AL361" s="479"/>
    </row>
    <row r="363" spans="1:40">
      <c r="C363" s="455"/>
      <c r="L363" s="470"/>
      <c r="M363" s="470"/>
      <c r="N363" s="470"/>
      <c r="O363" s="470"/>
      <c r="P363" s="470"/>
      <c r="Q363" s="470"/>
      <c r="R363" s="470"/>
      <c r="S363" s="470"/>
      <c r="T363" s="455"/>
      <c r="AA363" s="470"/>
      <c r="AB363" s="470"/>
      <c r="AC363" s="470"/>
      <c r="AD363" s="470"/>
      <c r="AI363" s="470"/>
      <c r="AJ363" s="470"/>
      <c r="AL363" s="470"/>
    </row>
    <row r="364" spans="1:40">
      <c r="A364" s="455"/>
    </row>
    <row r="366" spans="1:40">
      <c r="H366" s="455"/>
      <c r="I366" s="455"/>
      <c r="Y366" s="455"/>
    </row>
    <row r="368" spans="1:40">
      <c r="L368" s="455"/>
      <c r="M368" s="455"/>
      <c r="AA368" s="455"/>
      <c r="AB368" s="455"/>
    </row>
    <row r="369" spans="1:40">
      <c r="R369" s="455"/>
      <c r="AK369" s="456"/>
      <c r="AL369" s="455"/>
    </row>
    <row r="370" spans="1:40">
      <c r="R370" s="455"/>
      <c r="AK370" s="456"/>
      <c r="AL370" s="455"/>
    </row>
    <row r="371" spans="1:40">
      <c r="A371" s="455"/>
      <c r="R371" s="455"/>
      <c r="AK371" s="456"/>
      <c r="AL371" s="455"/>
    </row>
    <row r="372" spans="1:40">
      <c r="L372" s="455"/>
      <c r="M372" s="455"/>
      <c r="AA372" s="455"/>
      <c r="AB372" s="455"/>
    </row>
    <row r="373" spans="1:40">
      <c r="A373" s="460"/>
      <c r="B373" s="460"/>
      <c r="C373" s="460"/>
      <c r="D373" s="460"/>
      <c r="E373" s="460"/>
      <c r="F373" s="460"/>
      <c r="G373" s="460"/>
      <c r="H373" s="460"/>
      <c r="I373" s="460"/>
      <c r="J373" s="460"/>
      <c r="K373" s="460"/>
      <c r="L373" s="460"/>
      <c r="M373" s="460"/>
      <c r="N373" s="460"/>
      <c r="O373" s="460"/>
      <c r="P373" s="460"/>
      <c r="Q373" s="460"/>
      <c r="R373" s="460"/>
      <c r="T373" s="460"/>
      <c r="U373" s="460"/>
      <c r="V373" s="460"/>
      <c r="W373" s="460"/>
      <c r="X373" s="460"/>
      <c r="Y373" s="460"/>
      <c r="Z373" s="460"/>
      <c r="AA373" s="460"/>
      <c r="AB373" s="460"/>
      <c r="AC373" s="460"/>
      <c r="AD373" s="460"/>
      <c r="AE373" s="460"/>
      <c r="AF373" s="460"/>
      <c r="AG373" s="461"/>
      <c r="AH373" s="460"/>
      <c r="AI373" s="460"/>
      <c r="AJ373" s="460"/>
      <c r="AK373" s="461"/>
      <c r="AL373" s="460"/>
      <c r="AM373" s="460"/>
      <c r="AN373" s="460"/>
    </row>
    <row r="374" spans="1:40">
      <c r="L374" s="462"/>
      <c r="M374" s="462"/>
      <c r="N374" s="462"/>
      <c r="O374" s="462"/>
      <c r="R374" s="462"/>
      <c r="AA374" s="462"/>
      <c r="AB374" s="462"/>
      <c r="AC374" s="462"/>
      <c r="AD374" s="462"/>
      <c r="AE374" s="462"/>
      <c r="AF374" s="462"/>
      <c r="AG374" s="463"/>
      <c r="AH374" s="462"/>
      <c r="AK374" s="463"/>
      <c r="AL374" s="462"/>
      <c r="AM374" s="462"/>
      <c r="AN374" s="462"/>
    </row>
    <row r="375" spans="1:40">
      <c r="L375" s="462"/>
      <c r="M375" s="462"/>
      <c r="N375" s="462"/>
      <c r="O375" s="462"/>
      <c r="R375" s="462"/>
      <c r="Z375" s="462"/>
      <c r="AA375" s="462"/>
      <c r="AB375" s="462"/>
      <c r="AC375" s="462"/>
      <c r="AD375" s="462"/>
      <c r="AE375" s="462"/>
      <c r="AF375" s="462"/>
      <c r="AG375" s="463"/>
      <c r="AH375" s="462"/>
      <c r="AK375" s="463"/>
      <c r="AL375" s="462"/>
      <c r="AM375" s="462"/>
      <c r="AN375" s="462"/>
    </row>
    <row r="376" spans="1:40">
      <c r="A376" s="462"/>
      <c r="C376" s="462"/>
      <c r="D376" s="462"/>
      <c r="E376" s="462"/>
      <c r="F376" s="462"/>
      <c r="J376" s="462"/>
      <c r="K376" s="462"/>
      <c r="L376" s="462"/>
      <c r="M376" s="462"/>
      <c r="N376" s="462"/>
      <c r="O376" s="462"/>
      <c r="P376" s="462"/>
      <c r="Q376" s="462"/>
      <c r="R376" s="462"/>
      <c r="T376" s="462"/>
      <c r="U376" s="462"/>
      <c r="V376" s="462"/>
      <c r="Z376" s="462"/>
      <c r="AA376" s="462"/>
      <c r="AB376" s="462"/>
      <c r="AC376" s="462"/>
      <c r="AD376" s="462"/>
      <c r="AE376" s="462"/>
      <c r="AF376" s="462"/>
      <c r="AG376" s="463"/>
      <c r="AH376" s="462"/>
      <c r="AI376" s="462"/>
      <c r="AJ376" s="462"/>
      <c r="AK376" s="463"/>
      <c r="AL376" s="462"/>
      <c r="AM376" s="462"/>
      <c r="AN376" s="462"/>
    </row>
    <row r="377" spans="1:40">
      <c r="A377" s="462"/>
      <c r="C377" s="462"/>
      <c r="D377" s="462"/>
      <c r="E377" s="462"/>
      <c r="F377" s="462"/>
      <c r="H377" s="462"/>
      <c r="I377" s="462"/>
      <c r="J377" s="462"/>
      <c r="K377" s="462"/>
      <c r="L377" s="462"/>
      <c r="M377" s="462"/>
      <c r="N377" s="462"/>
      <c r="O377" s="462"/>
      <c r="P377" s="462"/>
      <c r="Q377" s="462"/>
      <c r="R377" s="462"/>
      <c r="T377" s="462"/>
      <c r="U377" s="462"/>
      <c r="V377" s="462"/>
      <c r="Y377" s="462"/>
      <c r="Z377" s="462"/>
      <c r="AA377" s="462"/>
      <c r="AB377" s="462"/>
      <c r="AC377" s="462"/>
      <c r="AD377" s="462"/>
      <c r="AE377" s="462"/>
      <c r="AF377" s="462"/>
      <c r="AG377" s="463"/>
      <c r="AH377" s="462"/>
      <c r="AI377" s="462"/>
      <c r="AJ377" s="462"/>
      <c r="AK377" s="463"/>
      <c r="AL377" s="462"/>
      <c r="AM377" s="462"/>
      <c r="AN377" s="462"/>
    </row>
    <row r="378" spans="1:40">
      <c r="C378" s="462"/>
      <c r="D378" s="462"/>
      <c r="E378" s="462"/>
      <c r="F378" s="462"/>
      <c r="H378" s="462"/>
      <c r="I378" s="462"/>
      <c r="J378" s="462"/>
      <c r="K378" s="462"/>
      <c r="L378" s="462"/>
      <c r="M378" s="462"/>
      <c r="N378" s="462"/>
      <c r="O378" s="462"/>
      <c r="P378" s="462"/>
      <c r="Q378" s="462"/>
      <c r="R378" s="462"/>
      <c r="T378" s="462"/>
      <c r="U378" s="462"/>
      <c r="V378" s="462"/>
      <c r="Y378" s="462"/>
      <c r="Z378" s="462"/>
      <c r="AA378" s="462"/>
      <c r="AB378" s="462"/>
      <c r="AC378" s="462"/>
      <c r="AD378" s="462"/>
      <c r="AE378" s="462"/>
      <c r="AF378" s="462"/>
      <c r="AG378" s="463"/>
      <c r="AH378" s="462"/>
      <c r="AI378" s="462"/>
      <c r="AJ378" s="462"/>
      <c r="AK378" s="463"/>
      <c r="AL378" s="462"/>
      <c r="AM378" s="462"/>
      <c r="AN378" s="462"/>
    </row>
    <row r="379" spans="1:40">
      <c r="A379" s="460"/>
      <c r="B379" s="460"/>
      <c r="C379" s="460"/>
      <c r="D379" s="460"/>
      <c r="E379" s="460"/>
      <c r="F379" s="460"/>
      <c r="G379" s="460"/>
      <c r="H379" s="460"/>
      <c r="I379" s="460"/>
      <c r="J379" s="460"/>
      <c r="K379" s="460"/>
      <c r="L379" s="460"/>
      <c r="M379" s="460"/>
      <c r="N379" s="460"/>
      <c r="O379" s="460"/>
      <c r="P379" s="460"/>
      <c r="Q379" s="460"/>
      <c r="R379" s="460"/>
      <c r="T379" s="460"/>
      <c r="U379" s="460"/>
      <c r="V379" s="460"/>
      <c r="W379" s="460"/>
      <c r="X379" s="460"/>
      <c r="Y379" s="460"/>
      <c r="Z379" s="460"/>
      <c r="AA379" s="460"/>
      <c r="AB379" s="460"/>
      <c r="AC379" s="460"/>
      <c r="AD379" s="460"/>
      <c r="AE379" s="460"/>
      <c r="AF379" s="460"/>
      <c r="AG379" s="461"/>
      <c r="AH379" s="460"/>
      <c r="AI379" s="460"/>
      <c r="AJ379" s="460"/>
      <c r="AK379" s="461"/>
      <c r="AL379" s="460"/>
      <c r="AM379" s="460"/>
      <c r="AN379" s="460"/>
    </row>
    <row r="380" spans="1:40">
      <c r="H380" s="462"/>
      <c r="I380" s="462"/>
      <c r="J380" s="462"/>
      <c r="K380" s="462"/>
      <c r="L380" s="462"/>
      <c r="M380" s="462"/>
      <c r="N380" s="462"/>
      <c r="O380" s="462"/>
      <c r="P380" s="462"/>
      <c r="Q380" s="462"/>
      <c r="R380" s="462"/>
      <c r="Y380" s="462"/>
      <c r="Z380" s="462"/>
      <c r="AA380" s="462"/>
      <c r="AB380" s="462"/>
      <c r="AC380" s="462"/>
      <c r="AD380" s="462"/>
      <c r="AE380" s="462"/>
      <c r="AF380" s="462"/>
      <c r="AG380" s="463"/>
      <c r="AH380" s="462"/>
      <c r="AI380" s="462"/>
      <c r="AJ380" s="462"/>
      <c r="AK380" s="463"/>
      <c r="AL380" s="462"/>
      <c r="AM380" s="462"/>
      <c r="AN380" s="462"/>
    </row>
    <row r="381" spans="1:40">
      <c r="C381" s="455"/>
      <c r="D381" s="455"/>
      <c r="E381" s="455"/>
      <c r="T381" s="455"/>
      <c r="U381" s="455"/>
    </row>
    <row r="382" spans="1:40">
      <c r="D382" s="455"/>
      <c r="E382" s="455"/>
      <c r="U382" s="455"/>
    </row>
    <row r="384" spans="1:40">
      <c r="C384" s="455"/>
      <c r="T384" s="455"/>
    </row>
    <row r="385" spans="3:40">
      <c r="C385" s="455"/>
      <c r="F385" s="476"/>
      <c r="H385" s="476"/>
      <c r="I385" s="476"/>
      <c r="J385" s="531"/>
      <c r="K385" s="531"/>
      <c r="L385" s="470"/>
      <c r="M385" s="470"/>
      <c r="N385" s="472"/>
      <c r="O385" s="472"/>
      <c r="P385" s="470"/>
      <c r="Q385" s="470"/>
      <c r="R385" s="470"/>
      <c r="T385" s="455"/>
      <c r="V385" s="476"/>
      <c r="W385" s="470"/>
      <c r="X385" s="470"/>
      <c r="Y385" s="476"/>
      <c r="Z385" s="531"/>
      <c r="AA385" s="470"/>
      <c r="AB385" s="470"/>
      <c r="AC385" s="472"/>
      <c r="AD385" s="472"/>
      <c r="AE385" s="470"/>
      <c r="AF385" s="470"/>
      <c r="AH385" s="529"/>
      <c r="AI385" s="470"/>
      <c r="AJ385" s="470"/>
      <c r="AL385" s="470"/>
      <c r="AM385" s="472"/>
      <c r="AN385" s="472"/>
    </row>
    <row r="386" spans="3:40">
      <c r="C386" s="455"/>
      <c r="F386" s="470"/>
      <c r="H386" s="470"/>
      <c r="I386" s="470"/>
      <c r="J386" s="484"/>
      <c r="K386" s="484"/>
      <c r="L386" s="470"/>
      <c r="M386" s="470"/>
      <c r="N386" s="472"/>
      <c r="O386" s="472"/>
      <c r="P386" s="470"/>
      <c r="Q386" s="470"/>
      <c r="R386" s="470"/>
      <c r="T386" s="455"/>
      <c r="V386" s="476"/>
      <c r="W386" s="470"/>
      <c r="X386" s="470"/>
      <c r="Y386" s="476"/>
      <c r="Z386" s="484"/>
      <c r="AA386" s="470"/>
      <c r="AB386" s="470"/>
      <c r="AC386" s="472"/>
      <c r="AD386" s="472"/>
      <c r="AE386" s="470"/>
      <c r="AF386" s="470"/>
      <c r="AH386" s="529"/>
      <c r="AI386" s="470"/>
      <c r="AJ386" s="470"/>
      <c r="AL386" s="470"/>
      <c r="AM386" s="472"/>
      <c r="AN386" s="472"/>
    </row>
    <row r="387" spans="3:40">
      <c r="C387" s="455"/>
      <c r="F387" s="476"/>
      <c r="H387" s="476"/>
      <c r="I387" s="476"/>
      <c r="J387" s="531"/>
      <c r="K387" s="531"/>
      <c r="L387" s="470"/>
      <c r="M387" s="470"/>
      <c r="N387" s="472"/>
      <c r="O387" s="472"/>
      <c r="P387" s="470"/>
      <c r="Q387" s="470"/>
      <c r="R387" s="470"/>
      <c r="T387" s="455"/>
      <c r="V387" s="476"/>
      <c r="W387" s="470"/>
      <c r="X387" s="470"/>
      <c r="Y387" s="476"/>
      <c r="Z387" s="531"/>
      <c r="AA387" s="470"/>
      <c r="AB387" s="470"/>
      <c r="AC387" s="472"/>
      <c r="AD387" s="472"/>
      <c r="AE387" s="470"/>
      <c r="AF387" s="470"/>
      <c r="AH387" s="529"/>
      <c r="AI387" s="470"/>
      <c r="AJ387" s="470"/>
      <c r="AL387" s="470"/>
      <c r="AM387" s="472"/>
      <c r="AN387" s="472"/>
    </row>
    <row r="388" spans="3:40">
      <c r="C388" s="455"/>
      <c r="F388" s="476"/>
      <c r="H388" s="476"/>
      <c r="I388" s="476"/>
      <c r="J388" s="531"/>
      <c r="K388" s="531"/>
      <c r="L388" s="470"/>
      <c r="M388" s="470"/>
      <c r="N388" s="472"/>
      <c r="O388" s="472"/>
      <c r="P388" s="470"/>
      <c r="Q388" s="470"/>
      <c r="R388" s="470"/>
      <c r="T388" s="455"/>
      <c r="V388" s="476"/>
      <c r="W388" s="470"/>
      <c r="X388" s="470"/>
      <c r="Y388" s="476"/>
      <c r="Z388" s="531"/>
      <c r="AA388" s="470"/>
      <c r="AB388" s="470"/>
      <c r="AC388" s="472"/>
      <c r="AD388" s="472"/>
      <c r="AE388" s="470"/>
      <c r="AF388" s="470"/>
      <c r="AH388" s="529"/>
      <c r="AI388" s="470"/>
      <c r="AJ388" s="470"/>
      <c r="AL388" s="470"/>
      <c r="AM388" s="472"/>
      <c r="AN388" s="472"/>
    </row>
    <row r="389" spans="3:40">
      <c r="C389" s="455"/>
      <c r="F389" s="476"/>
      <c r="H389" s="476"/>
      <c r="I389" s="476"/>
      <c r="J389" s="531"/>
      <c r="K389" s="531"/>
      <c r="L389" s="470"/>
      <c r="M389" s="470"/>
      <c r="N389" s="472"/>
      <c r="O389" s="472"/>
      <c r="P389" s="470"/>
      <c r="Q389" s="470"/>
      <c r="R389" s="470"/>
      <c r="T389" s="455"/>
      <c r="V389" s="476"/>
      <c r="W389" s="470"/>
      <c r="X389" s="470"/>
      <c r="Y389" s="476"/>
      <c r="Z389" s="531"/>
      <c r="AA389" s="470"/>
      <c r="AB389" s="470"/>
      <c r="AC389" s="472"/>
      <c r="AD389" s="472"/>
      <c r="AE389" s="470"/>
      <c r="AF389" s="470"/>
      <c r="AH389" s="529"/>
      <c r="AI389" s="470"/>
      <c r="AJ389" s="470"/>
      <c r="AL389" s="470"/>
      <c r="AM389" s="472"/>
      <c r="AN389" s="472"/>
    </row>
    <row r="390" spans="3:40">
      <c r="C390" s="455"/>
      <c r="F390" s="470"/>
      <c r="H390" s="470"/>
      <c r="I390" s="470"/>
      <c r="J390" s="531"/>
      <c r="K390" s="531"/>
      <c r="L390" s="470"/>
      <c r="M390" s="470"/>
      <c r="N390" s="472"/>
      <c r="O390" s="472"/>
      <c r="P390" s="470"/>
      <c r="Q390" s="470"/>
      <c r="R390" s="470"/>
      <c r="T390" s="455"/>
      <c r="V390" s="476"/>
      <c r="W390" s="470"/>
      <c r="X390" s="470"/>
      <c r="Y390" s="476"/>
      <c r="Z390" s="531"/>
      <c r="AA390" s="470"/>
      <c r="AB390" s="470"/>
      <c r="AC390" s="472"/>
      <c r="AD390" s="472"/>
      <c r="AE390" s="470"/>
      <c r="AF390" s="470"/>
      <c r="AH390" s="529"/>
      <c r="AI390" s="470"/>
      <c r="AJ390" s="470"/>
      <c r="AL390" s="470"/>
      <c r="AM390" s="472"/>
      <c r="AN390" s="472"/>
    </row>
    <row r="391" spans="3:40">
      <c r="C391" s="455"/>
      <c r="F391" s="470"/>
      <c r="H391" s="470"/>
      <c r="I391" s="470"/>
      <c r="J391" s="531"/>
      <c r="K391" s="531"/>
      <c r="L391" s="470"/>
      <c r="M391" s="470"/>
      <c r="N391" s="472"/>
      <c r="O391" s="472"/>
      <c r="P391" s="470"/>
      <c r="Q391" s="470"/>
      <c r="R391" s="470"/>
      <c r="T391" s="455"/>
      <c r="V391" s="476"/>
      <c r="W391" s="470"/>
      <c r="X391" s="470"/>
      <c r="Y391" s="476"/>
      <c r="Z391" s="531"/>
      <c r="AA391" s="470"/>
      <c r="AB391" s="470"/>
      <c r="AC391" s="472"/>
      <c r="AD391" s="472"/>
      <c r="AE391" s="470"/>
      <c r="AF391" s="470"/>
      <c r="AH391" s="529"/>
      <c r="AI391" s="470"/>
      <c r="AJ391" s="470"/>
      <c r="AL391" s="470"/>
      <c r="AM391" s="472"/>
      <c r="AN391" s="472"/>
    </row>
    <row r="392" spans="3:40">
      <c r="F392" s="534"/>
      <c r="H392" s="535"/>
      <c r="I392" s="535"/>
      <c r="J392" s="531"/>
      <c r="K392" s="531"/>
      <c r="L392" s="534"/>
      <c r="M392" s="534"/>
      <c r="N392" s="479"/>
      <c r="O392" s="479"/>
      <c r="P392" s="534"/>
      <c r="Q392" s="534"/>
      <c r="R392" s="534"/>
      <c r="V392" s="534"/>
      <c r="W392" s="470"/>
      <c r="X392" s="470"/>
      <c r="Y392" s="534"/>
      <c r="Z392" s="531"/>
      <c r="AA392" s="534"/>
      <c r="AB392" s="534"/>
      <c r="AC392" s="536"/>
      <c r="AD392" s="536"/>
      <c r="AE392" s="534"/>
      <c r="AF392" s="534"/>
      <c r="AH392" s="529"/>
      <c r="AI392" s="534"/>
      <c r="AJ392" s="534"/>
      <c r="AK392" s="461"/>
      <c r="AL392" s="534"/>
      <c r="AM392" s="472"/>
      <c r="AN392" s="472"/>
    </row>
    <row r="393" spans="3:40">
      <c r="C393" s="455"/>
      <c r="F393" s="470"/>
      <c r="H393" s="470"/>
      <c r="I393" s="470"/>
      <c r="J393" s="531"/>
      <c r="K393" s="531"/>
      <c r="L393" s="470"/>
      <c r="M393" s="470"/>
      <c r="N393" s="529"/>
      <c r="O393" s="529"/>
      <c r="P393" s="470"/>
      <c r="Q393" s="470"/>
      <c r="R393" s="470"/>
      <c r="T393" s="462"/>
      <c r="V393" s="470"/>
      <c r="W393" s="470"/>
      <c r="X393" s="470"/>
      <c r="Y393" s="470"/>
      <c r="Z393" s="531"/>
      <c r="AA393" s="470"/>
      <c r="AB393" s="470"/>
      <c r="AC393" s="529"/>
      <c r="AD393" s="529"/>
      <c r="AE393" s="470"/>
      <c r="AF393" s="470"/>
      <c r="AH393" s="529"/>
      <c r="AI393" s="470"/>
      <c r="AJ393" s="470"/>
      <c r="AL393" s="470"/>
      <c r="AM393" s="472"/>
      <c r="AN393" s="472"/>
    </row>
    <row r="394" spans="3:40">
      <c r="F394" s="460"/>
      <c r="H394" s="460"/>
      <c r="I394" s="460"/>
      <c r="L394" s="460"/>
      <c r="M394" s="460"/>
      <c r="N394" s="536"/>
      <c r="O394" s="536"/>
      <c r="P394" s="534"/>
      <c r="Q394" s="534"/>
      <c r="R394" s="534"/>
      <c r="V394" s="534"/>
      <c r="Y394" s="534"/>
      <c r="Z394" s="484"/>
      <c r="AA394" s="534"/>
      <c r="AB394" s="534"/>
      <c r="AC394" s="534"/>
      <c r="AD394" s="534"/>
      <c r="AE394" s="534"/>
      <c r="AF394" s="534"/>
      <c r="AI394" s="534"/>
      <c r="AJ394" s="534"/>
      <c r="AK394" s="461"/>
      <c r="AL394" s="534"/>
      <c r="AM394" s="536"/>
      <c r="AN394" s="536"/>
    </row>
    <row r="399" spans="3:40">
      <c r="N399" s="470"/>
      <c r="O399" s="470"/>
      <c r="P399" s="470"/>
      <c r="Q399" s="470"/>
      <c r="R399" s="470"/>
      <c r="V399" s="470"/>
      <c r="Y399" s="470"/>
      <c r="Z399" s="503"/>
      <c r="AA399" s="470"/>
      <c r="AB399" s="470"/>
      <c r="AC399" s="472"/>
      <c r="AD399" s="472"/>
      <c r="AE399" s="470"/>
      <c r="AF399" s="470"/>
      <c r="AH399" s="529"/>
      <c r="AI399" s="470"/>
      <c r="AJ399" s="470"/>
      <c r="AL399" s="470"/>
      <c r="AM399" s="472"/>
      <c r="AN399" s="472"/>
    </row>
    <row r="400" spans="3:40">
      <c r="C400" s="455"/>
      <c r="D400" s="455"/>
      <c r="E400" s="455"/>
      <c r="J400" s="537"/>
      <c r="K400" s="537"/>
      <c r="T400" s="455"/>
      <c r="U400" s="455"/>
      <c r="Z400" s="537"/>
      <c r="AE400" s="470"/>
      <c r="AF400" s="470"/>
      <c r="AI400" s="470"/>
      <c r="AJ400" s="470"/>
      <c r="AL400" s="470"/>
      <c r="AM400" s="472"/>
      <c r="AN400" s="472"/>
    </row>
    <row r="401" spans="1:40">
      <c r="D401" s="455"/>
      <c r="E401" s="455"/>
      <c r="F401" s="470"/>
      <c r="H401" s="470"/>
      <c r="I401" s="470"/>
      <c r="J401" s="531"/>
      <c r="K401" s="531"/>
      <c r="L401" s="470"/>
      <c r="M401" s="470"/>
      <c r="N401" s="472"/>
      <c r="O401" s="472"/>
      <c r="P401" s="470"/>
      <c r="Q401" s="470"/>
      <c r="R401" s="470"/>
      <c r="U401" s="455"/>
      <c r="V401" s="470"/>
      <c r="Y401" s="470"/>
      <c r="Z401" s="531"/>
      <c r="AA401" s="470"/>
      <c r="AB401" s="470"/>
      <c r="AC401" s="472"/>
      <c r="AD401" s="472"/>
      <c r="AE401" s="470"/>
      <c r="AF401" s="470"/>
      <c r="AH401" s="529"/>
      <c r="AI401" s="470"/>
      <c r="AJ401" s="470"/>
      <c r="AL401" s="470"/>
      <c r="AM401" s="472"/>
      <c r="AN401" s="472"/>
    </row>
    <row r="402" spans="1:40">
      <c r="F402" s="470"/>
      <c r="H402" s="470"/>
      <c r="I402" s="470"/>
      <c r="J402" s="484"/>
      <c r="K402" s="484"/>
      <c r="L402" s="470"/>
      <c r="M402" s="470"/>
      <c r="N402" s="470"/>
      <c r="O402" s="470"/>
      <c r="P402" s="470"/>
      <c r="Q402" s="470"/>
      <c r="R402" s="470"/>
      <c r="V402" s="470"/>
      <c r="Y402" s="470"/>
      <c r="Z402" s="484"/>
      <c r="AA402" s="470"/>
      <c r="AB402" s="470"/>
      <c r="AC402" s="470"/>
      <c r="AD402" s="470"/>
      <c r="AE402" s="470"/>
      <c r="AF402" s="470"/>
      <c r="AH402" s="529"/>
      <c r="AI402" s="476"/>
      <c r="AJ402" s="476"/>
      <c r="AL402" s="470"/>
      <c r="AM402" s="472"/>
      <c r="AN402" s="472"/>
    </row>
    <row r="403" spans="1:40">
      <c r="C403" s="455"/>
      <c r="F403" s="476"/>
      <c r="H403" s="476"/>
      <c r="I403" s="476"/>
      <c r="J403" s="483"/>
      <c r="K403" s="483"/>
      <c r="L403" s="470"/>
      <c r="M403" s="470"/>
      <c r="N403" s="472"/>
      <c r="O403" s="472"/>
      <c r="P403" s="470"/>
      <c r="Q403" s="470"/>
      <c r="R403" s="470"/>
      <c r="T403" s="455"/>
      <c r="V403" s="476"/>
      <c r="Y403" s="476"/>
      <c r="Z403" s="483"/>
      <c r="AA403" s="470"/>
      <c r="AB403" s="470"/>
      <c r="AC403" s="472"/>
      <c r="AD403" s="472"/>
      <c r="AE403" s="470"/>
      <c r="AF403" s="470"/>
      <c r="AH403" s="529"/>
      <c r="AI403" s="470"/>
      <c r="AJ403" s="470"/>
      <c r="AL403" s="470"/>
      <c r="AM403" s="472"/>
      <c r="AN403" s="472"/>
    </row>
    <row r="404" spans="1:40">
      <c r="F404" s="460"/>
      <c r="H404" s="460"/>
      <c r="I404" s="460"/>
      <c r="L404" s="460"/>
      <c r="M404" s="460"/>
      <c r="N404" s="460"/>
      <c r="O404" s="460"/>
      <c r="P404" s="460"/>
      <c r="Q404" s="460"/>
      <c r="R404" s="460"/>
      <c r="V404" s="460"/>
      <c r="Y404" s="460"/>
      <c r="AA404" s="460"/>
      <c r="AB404" s="460"/>
      <c r="AC404" s="460"/>
      <c r="AD404" s="460"/>
      <c r="AE404" s="460"/>
      <c r="AF404" s="460"/>
      <c r="AG404" s="461"/>
      <c r="AH404" s="460"/>
      <c r="AI404" s="460"/>
      <c r="AJ404" s="460"/>
      <c r="AK404" s="461"/>
      <c r="AL404" s="460"/>
      <c r="AM404" s="460"/>
      <c r="AN404" s="460"/>
    </row>
    <row r="405" spans="1:40">
      <c r="C405" s="462"/>
      <c r="F405" s="476"/>
      <c r="H405" s="476"/>
      <c r="I405" s="476"/>
      <c r="J405" s="471"/>
      <c r="K405" s="471"/>
      <c r="L405" s="476"/>
      <c r="M405" s="476"/>
      <c r="N405" s="472"/>
      <c r="O405" s="472"/>
      <c r="P405" s="476"/>
      <c r="Q405" s="476"/>
      <c r="R405" s="476"/>
      <c r="T405" s="462"/>
      <c r="V405" s="470"/>
      <c r="Y405" s="470"/>
      <c r="Z405" s="503"/>
      <c r="AA405" s="470"/>
      <c r="AB405" s="470"/>
      <c r="AC405" s="472"/>
      <c r="AD405" s="472"/>
      <c r="AH405" s="529"/>
      <c r="AI405" s="470"/>
      <c r="AJ405" s="470"/>
      <c r="AL405" s="470"/>
      <c r="AM405" s="472"/>
      <c r="AN405" s="472"/>
    </row>
    <row r="406" spans="1:40">
      <c r="F406" s="534"/>
      <c r="H406" s="534"/>
      <c r="I406" s="534"/>
      <c r="J406" s="484"/>
      <c r="K406" s="484"/>
      <c r="L406" s="534"/>
      <c r="M406" s="534"/>
      <c r="N406" s="534"/>
      <c r="O406" s="534"/>
      <c r="P406" s="534"/>
      <c r="Q406" s="534"/>
      <c r="R406" s="534"/>
      <c r="V406" s="460"/>
      <c r="Y406" s="460"/>
      <c r="AA406" s="460"/>
      <c r="AB406" s="460"/>
      <c r="AC406" s="460"/>
      <c r="AD406" s="460"/>
      <c r="AE406" s="460"/>
      <c r="AF406" s="460"/>
      <c r="AG406" s="461"/>
      <c r="AH406" s="460"/>
      <c r="AI406" s="460"/>
      <c r="AJ406" s="460"/>
      <c r="AK406" s="461"/>
      <c r="AL406" s="460"/>
      <c r="AM406" s="460"/>
      <c r="AN406" s="460"/>
    </row>
    <row r="407" spans="1:40">
      <c r="F407" s="476"/>
      <c r="H407" s="476"/>
      <c r="I407" s="476"/>
      <c r="J407" s="530"/>
      <c r="K407" s="530"/>
      <c r="L407" s="470"/>
      <c r="M407" s="470"/>
      <c r="N407" s="472"/>
      <c r="O407" s="472"/>
      <c r="P407" s="470"/>
      <c r="Q407" s="470"/>
      <c r="R407" s="470"/>
    </row>
    <row r="408" spans="1:40">
      <c r="A408" s="455"/>
      <c r="F408" s="476"/>
      <c r="H408" s="476"/>
      <c r="I408" s="476"/>
      <c r="J408" s="471"/>
      <c r="K408" s="471"/>
      <c r="L408" s="470"/>
      <c r="M408" s="470"/>
      <c r="N408" s="472"/>
      <c r="O408" s="472"/>
      <c r="P408" s="470"/>
      <c r="Q408" s="470"/>
      <c r="R408" s="470"/>
    </row>
    <row r="409" spans="1:40">
      <c r="F409" s="476"/>
      <c r="H409" s="476"/>
      <c r="I409" s="476"/>
      <c r="J409" s="471"/>
      <c r="K409" s="471"/>
      <c r="L409" s="470"/>
      <c r="M409" s="470"/>
      <c r="N409" s="472"/>
      <c r="O409" s="472"/>
      <c r="P409" s="470"/>
      <c r="Q409" s="470"/>
      <c r="R409" s="470"/>
    </row>
    <row r="410" spans="1:40">
      <c r="A410" s="455"/>
    </row>
    <row r="413" spans="1:40">
      <c r="H413" s="455"/>
      <c r="I413" s="455"/>
      <c r="Y413" s="455"/>
    </row>
    <row r="415" spans="1:40">
      <c r="L415" s="455"/>
      <c r="M415" s="455"/>
      <c r="AA415" s="455"/>
      <c r="AB415" s="455"/>
    </row>
    <row r="416" spans="1:40">
      <c r="R416" s="455"/>
      <c r="AK416" s="456"/>
      <c r="AL416" s="455"/>
    </row>
    <row r="417" spans="1:40">
      <c r="R417" s="455"/>
      <c r="AK417" s="456"/>
      <c r="AL417" s="455"/>
    </row>
    <row r="418" spans="1:40">
      <c r="A418" s="455"/>
      <c r="R418" s="455"/>
      <c r="AK418" s="456"/>
      <c r="AL418" s="455"/>
    </row>
    <row r="419" spans="1:40">
      <c r="L419" s="455"/>
      <c r="M419" s="455"/>
      <c r="AA419" s="455"/>
      <c r="AB419" s="455"/>
    </row>
    <row r="420" spans="1:40">
      <c r="A420" s="460"/>
      <c r="B420" s="460"/>
      <c r="C420" s="460"/>
      <c r="D420" s="460"/>
      <c r="E420" s="460"/>
      <c r="F420" s="460"/>
      <c r="G420" s="460"/>
      <c r="H420" s="460"/>
      <c r="I420" s="460"/>
      <c r="J420" s="460"/>
      <c r="K420" s="460"/>
      <c r="L420" s="460"/>
      <c r="M420" s="460"/>
      <c r="N420" s="460"/>
      <c r="O420" s="460"/>
      <c r="P420" s="460"/>
      <c r="Q420" s="460"/>
      <c r="R420" s="460"/>
      <c r="T420" s="460"/>
      <c r="U420" s="460"/>
      <c r="V420" s="460"/>
      <c r="W420" s="460"/>
      <c r="X420" s="460"/>
      <c r="Y420" s="460"/>
      <c r="Z420" s="460"/>
      <c r="AA420" s="460"/>
      <c r="AB420" s="460"/>
      <c r="AC420" s="460"/>
      <c r="AD420" s="460"/>
      <c r="AE420" s="460"/>
      <c r="AF420" s="460"/>
      <c r="AG420" s="461"/>
      <c r="AH420" s="460"/>
      <c r="AI420" s="460"/>
      <c r="AJ420" s="460"/>
      <c r="AK420" s="461"/>
      <c r="AL420" s="460"/>
      <c r="AM420" s="460"/>
      <c r="AN420" s="460"/>
    </row>
    <row r="421" spans="1:40">
      <c r="L421" s="462"/>
      <c r="M421" s="462"/>
      <c r="N421" s="462"/>
      <c r="O421" s="462"/>
      <c r="R421" s="462"/>
      <c r="AA421" s="462"/>
      <c r="AB421" s="462"/>
      <c r="AC421" s="462"/>
      <c r="AD421" s="462"/>
      <c r="AE421" s="462"/>
      <c r="AF421" s="462"/>
      <c r="AG421" s="463"/>
      <c r="AH421" s="462"/>
      <c r="AK421" s="463"/>
      <c r="AL421" s="462"/>
      <c r="AM421" s="462"/>
      <c r="AN421" s="462"/>
    </row>
    <row r="422" spans="1:40">
      <c r="L422" s="462"/>
      <c r="M422" s="462"/>
      <c r="N422" s="462"/>
      <c r="O422" s="462"/>
      <c r="R422" s="462"/>
      <c r="Z422" s="462"/>
      <c r="AA422" s="462"/>
      <c r="AB422" s="462"/>
      <c r="AC422" s="462"/>
      <c r="AD422" s="462"/>
      <c r="AE422" s="462"/>
      <c r="AF422" s="462"/>
      <c r="AG422" s="463"/>
      <c r="AH422" s="462"/>
      <c r="AK422" s="463"/>
      <c r="AL422" s="462"/>
      <c r="AM422" s="462"/>
      <c r="AN422" s="462"/>
    </row>
    <row r="423" spans="1:40">
      <c r="A423" s="462"/>
      <c r="C423" s="462"/>
      <c r="D423" s="462"/>
      <c r="E423" s="462"/>
      <c r="F423" s="462"/>
      <c r="J423" s="462"/>
      <c r="K423" s="462"/>
      <c r="L423" s="462"/>
      <c r="M423" s="462"/>
      <c r="N423" s="462"/>
      <c r="O423" s="462"/>
      <c r="P423" s="462"/>
      <c r="Q423" s="462"/>
      <c r="R423" s="462"/>
      <c r="T423" s="462"/>
      <c r="U423" s="462"/>
      <c r="V423" s="462"/>
      <c r="Z423" s="462"/>
      <c r="AA423" s="462"/>
      <c r="AB423" s="462"/>
      <c r="AC423" s="462"/>
      <c r="AD423" s="462"/>
      <c r="AE423" s="462"/>
      <c r="AF423" s="462"/>
      <c r="AG423" s="463"/>
      <c r="AH423" s="462"/>
      <c r="AI423" s="462"/>
      <c r="AJ423" s="462"/>
      <c r="AK423" s="463"/>
      <c r="AL423" s="462"/>
      <c r="AM423" s="462"/>
      <c r="AN423" s="462"/>
    </row>
    <row r="424" spans="1:40">
      <c r="A424" s="462"/>
      <c r="C424" s="462"/>
      <c r="D424" s="462"/>
      <c r="E424" s="462"/>
      <c r="F424" s="462"/>
      <c r="H424" s="462"/>
      <c r="I424" s="462"/>
      <c r="J424" s="462"/>
      <c r="K424" s="462"/>
      <c r="L424" s="462"/>
      <c r="M424" s="462"/>
      <c r="N424" s="462"/>
      <c r="O424" s="462"/>
      <c r="P424" s="462"/>
      <c r="Q424" s="462"/>
      <c r="R424" s="462"/>
      <c r="T424" s="462"/>
      <c r="U424" s="462"/>
      <c r="V424" s="462"/>
      <c r="Y424" s="462"/>
      <c r="Z424" s="462"/>
      <c r="AA424" s="462"/>
      <c r="AB424" s="462"/>
      <c r="AC424" s="462"/>
      <c r="AD424" s="462"/>
      <c r="AE424" s="462"/>
      <c r="AF424" s="462"/>
      <c r="AG424" s="463"/>
      <c r="AH424" s="462"/>
      <c r="AI424" s="462"/>
      <c r="AJ424" s="462"/>
      <c r="AK424" s="463"/>
      <c r="AL424" s="462"/>
      <c r="AM424" s="462"/>
      <c r="AN424" s="462"/>
    </row>
    <row r="425" spans="1:40">
      <c r="C425" s="462"/>
      <c r="D425" s="462"/>
      <c r="E425" s="462"/>
      <c r="F425" s="462"/>
      <c r="H425" s="462"/>
      <c r="I425" s="462"/>
      <c r="J425" s="462"/>
      <c r="K425" s="462"/>
      <c r="L425" s="462"/>
      <c r="M425" s="462"/>
      <c r="N425" s="462"/>
      <c r="O425" s="462"/>
      <c r="P425" s="462"/>
      <c r="Q425" s="462"/>
      <c r="R425" s="462"/>
      <c r="T425" s="462"/>
      <c r="U425" s="462"/>
      <c r="V425" s="462"/>
      <c r="Y425" s="462"/>
      <c r="Z425" s="462"/>
      <c r="AA425" s="462"/>
      <c r="AB425" s="462"/>
      <c r="AC425" s="462"/>
      <c r="AD425" s="462"/>
      <c r="AE425" s="462"/>
      <c r="AF425" s="462"/>
      <c r="AG425" s="463"/>
      <c r="AH425" s="462"/>
      <c r="AI425" s="462"/>
      <c r="AJ425" s="462"/>
      <c r="AK425" s="463"/>
      <c r="AL425" s="462"/>
      <c r="AM425" s="462"/>
      <c r="AN425" s="462"/>
    </row>
    <row r="426" spans="1:40">
      <c r="A426" s="460"/>
      <c r="B426" s="460"/>
      <c r="C426" s="460"/>
      <c r="D426" s="460"/>
      <c r="E426" s="460"/>
      <c r="F426" s="460"/>
      <c r="G426" s="460"/>
      <c r="H426" s="460"/>
      <c r="I426" s="460"/>
      <c r="J426" s="460"/>
      <c r="K426" s="460"/>
      <c r="L426" s="460"/>
      <c r="M426" s="460"/>
      <c r="N426" s="460"/>
      <c r="O426" s="460"/>
      <c r="P426" s="460"/>
      <c r="Q426" s="460"/>
      <c r="R426" s="460"/>
      <c r="T426" s="460"/>
      <c r="U426" s="460"/>
      <c r="V426" s="460"/>
      <c r="W426" s="460"/>
      <c r="X426" s="460"/>
      <c r="Y426" s="460"/>
      <c r="Z426" s="460"/>
      <c r="AA426" s="460"/>
      <c r="AB426" s="460"/>
      <c r="AC426" s="460"/>
      <c r="AD426" s="460"/>
      <c r="AE426" s="460"/>
      <c r="AF426" s="460"/>
      <c r="AG426" s="461"/>
      <c r="AH426" s="460"/>
      <c r="AI426" s="460"/>
      <c r="AJ426" s="460"/>
      <c r="AK426" s="461"/>
      <c r="AL426" s="460"/>
      <c r="AM426" s="460"/>
      <c r="AN426" s="460"/>
    </row>
    <row r="427" spans="1:40">
      <c r="H427" s="462"/>
      <c r="I427" s="462"/>
      <c r="J427" s="462"/>
      <c r="K427" s="462"/>
      <c r="L427" s="462"/>
      <c r="M427" s="462"/>
      <c r="N427" s="462"/>
      <c r="O427" s="462"/>
      <c r="P427" s="462"/>
      <c r="Q427" s="462"/>
      <c r="R427" s="462"/>
      <c r="Y427" s="462"/>
      <c r="Z427" s="462"/>
      <c r="AA427" s="462"/>
      <c r="AB427" s="462"/>
      <c r="AC427" s="462"/>
      <c r="AD427" s="462"/>
      <c r="AE427" s="462"/>
      <c r="AF427" s="462"/>
      <c r="AG427" s="463"/>
      <c r="AH427" s="462"/>
      <c r="AI427" s="462"/>
      <c r="AJ427" s="462"/>
      <c r="AK427" s="463"/>
      <c r="AL427" s="462"/>
      <c r="AM427" s="462"/>
      <c r="AN427" s="462"/>
    </row>
    <row r="428" spans="1:40">
      <c r="C428" s="455"/>
      <c r="D428" s="455"/>
      <c r="E428" s="455"/>
      <c r="T428" s="455"/>
      <c r="U428" s="455"/>
    </row>
    <row r="430" spans="1:40">
      <c r="C430" s="455"/>
      <c r="T430" s="455"/>
    </row>
    <row r="431" spans="1:40">
      <c r="C431" s="455"/>
      <c r="F431" s="476"/>
      <c r="H431" s="476"/>
      <c r="I431" s="476"/>
      <c r="J431" s="484"/>
      <c r="K431" s="484"/>
      <c r="L431" s="470"/>
      <c r="M431" s="470"/>
      <c r="N431" s="472"/>
      <c r="O431" s="472"/>
      <c r="P431" s="470"/>
      <c r="Q431" s="470"/>
      <c r="R431" s="470"/>
      <c r="T431" s="455"/>
      <c r="V431" s="476"/>
      <c r="Y431" s="476"/>
      <c r="Z431" s="484"/>
      <c r="AA431" s="470"/>
      <c r="AB431" s="470"/>
      <c r="AC431" s="472"/>
      <c r="AD431" s="472"/>
      <c r="AE431" s="470"/>
      <c r="AF431" s="470"/>
      <c r="AH431" s="529"/>
      <c r="AI431" s="470"/>
      <c r="AJ431" s="470"/>
      <c r="AL431" s="470"/>
      <c r="AM431" s="472"/>
      <c r="AN431" s="472"/>
    </row>
    <row r="432" spans="1:40">
      <c r="C432" s="455"/>
      <c r="T432" s="455"/>
    </row>
    <row r="433" spans="3:40">
      <c r="C433" s="455"/>
      <c r="F433" s="476"/>
      <c r="H433" s="476"/>
      <c r="I433" s="476"/>
      <c r="J433" s="531"/>
      <c r="K433" s="531"/>
      <c r="L433" s="470"/>
      <c r="M433" s="470"/>
      <c r="N433" s="472"/>
      <c r="O433" s="472"/>
      <c r="P433" s="470"/>
      <c r="Q433" s="470"/>
      <c r="R433" s="470"/>
      <c r="T433" s="455"/>
      <c r="V433" s="470"/>
      <c r="Y433" s="470"/>
      <c r="Z433" s="531"/>
      <c r="AA433" s="470"/>
      <c r="AB433" s="470"/>
      <c r="AC433" s="472"/>
      <c r="AD433" s="472"/>
      <c r="AE433" s="470"/>
      <c r="AF433" s="470"/>
      <c r="AH433" s="529"/>
      <c r="AI433" s="470"/>
      <c r="AJ433" s="470"/>
      <c r="AL433" s="470"/>
      <c r="AM433" s="472"/>
      <c r="AN433" s="472"/>
    </row>
    <row r="434" spans="3:40">
      <c r="C434" s="455"/>
      <c r="F434" s="476"/>
      <c r="H434" s="476"/>
      <c r="I434" s="476"/>
      <c r="J434" s="531"/>
      <c r="K434" s="531"/>
      <c r="L434" s="470"/>
      <c r="M434" s="470"/>
      <c r="N434" s="472"/>
      <c r="O434" s="472"/>
      <c r="P434" s="470"/>
      <c r="Q434" s="470"/>
      <c r="R434" s="470"/>
      <c r="T434" s="455"/>
      <c r="V434" s="470"/>
      <c r="Y434" s="470"/>
      <c r="Z434" s="531"/>
      <c r="AA434" s="470"/>
      <c r="AB434" s="470"/>
      <c r="AC434" s="472"/>
      <c r="AD434" s="472"/>
      <c r="AE434" s="470"/>
      <c r="AF434" s="470"/>
      <c r="AH434" s="529"/>
      <c r="AI434" s="470"/>
      <c r="AJ434" s="470"/>
      <c r="AL434" s="470"/>
      <c r="AM434" s="472"/>
      <c r="AN434" s="472"/>
    </row>
    <row r="435" spans="3:40">
      <c r="C435" s="455"/>
      <c r="F435" s="476"/>
      <c r="H435" s="476"/>
      <c r="I435" s="476"/>
      <c r="J435" s="531"/>
      <c r="K435" s="531"/>
      <c r="L435" s="470"/>
      <c r="M435" s="470"/>
      <c r="N435" s="472"/>
      <c r="O435" s="472"/>
      <c r="P435" s="470"/>
      <c r="Q435" s="470"/>
      <c r="R435" s="470"/>
      <c r="T435" s="455"/>
      <c r="V435" s="470"/>
      <c r="Y435" s="470"/>
      <c r="Z435" s="531"/>
      <c r="AA435" s="470"/>
      <c r="AB435" s="470"/>
      <c r="AC435" s="472"/>
      <c r="AD435" s="472"/>
      <c r="AE435" s="470"/>
      <c r="AF435" s="470"/>
      <c r="AH435" s="529"/>
      <c r="AI435" s="470"/>
      <c r="AJ435" s="470"/>
      <c r="AL435" s="470"/>
      <c r="AM435" s="472"/>
      <c r="AN435" s="472"/>
    </row>
    <row r="436" spans="3:40">
      <c r="C436" s="455"/>
      <c r="F436" s="476"/>
      <c r="H436" s="476"/>
      <c r="I436" s="476"/>
      <c r="J436" s="531"/>
      <c r="K436" s="531"/>
      <c r="L436" s="470"/>
      <c r="M436" s="470"/>
      <c r="N436" s="472"/>
      <c r="O436" s="472"/>
      <c r="P436" s="470"/>
      <c r="Q436" s="470"/>
      <c r="R436" s="470"/>
      <c r="T436" s="455"/>
      <c r="V436" s="470"/>
      <c r="Y436" s="470"/>
      <c r="Z436" s="531"/>
      <c r="AA436" s="470"/>
      <c r="AB436" s="470"/>
      <c r="AC436" s="472"/>
      <c r="AD436" s="472"/>
      <c r="AE436" s="470"/>
      <c r="AF436" s="470"/>
      <c r="AH436" s="529"/>
      <c r="AI436" s="470"/>
      <c r="AJ436" s="470"/>
      <c r="AL436" s="470"/>
      <c r="AM436" s="472"/>
      <c r="AN436" s="472"/>
    </row>
    <row r="437" spans="3:40">
      <c r="C437" s="455"/>
      <c r="J437" s="537"/>
      <c r="K437" s="537"/>
      <c r="T437" s="455"/>
      <c r="Z437" s="537"/>
    </row>
    <row r="438" spans="3:40">
      <c r="C438" s="455"/>
      <c r="F438" s="476"/>
      <c r="H438" s="476"/>
      <c r="I438" s="476"/>
      <c r="J438" s="531"/>
      <c r="K438" s="531"/>
      <c r="L438" s="470"/>
      <c r="M438" s="470"/>
      <c r="N438" s="472"/>
      <c r="O438" s="472"/>
      <c r="P438" s="470"/>
      <c r="Q438" s="470"/>
      <c r="R438" s="470"/>
      <c r="T438" s="455"/>
      <c r="V438" s="470"/>
      <c r="Y438" s="470"/>
      <c r="Z438" s="531"/>
      <c r="AA438" s="470"/>
      <c r="AB438" s="470"/>
      <c r="AC438" s="472"/>
      <c r="AD438" s="472"/>
      <c r="AE438" s="470"/>
      <c r="AF438" s="470"/>
      <c r="AH438" s="529"/>
      <c r="AI438" s="470"/>
      <c r="AJ438" s="470"/>
      <c r="AL438" s="470"/>
      <c r="AM438" s="472"/>
      <c r="AN438" s="472"/>
    </row>
    <row r="439" spans="3:40">
      <c r="C439" s="455"/>
      <c r="F439" s="476"/>
      <c r="H439" s="476"/>
      <c r="I439" s="476"/>
      <c r="J439" s="531"/>
      <c r="K439" s="531"/>
      <c r="L439" s="470"/>
      <c r="M439" s="470"/>
      <c r="N439" s="472"/>
      <c r="O439" s="472"/>
      <c r="P439" s="470"/>
      <c r="Q439" s="470"/>
      <c r="R439" s="470"/>
      <c r="T439" s="455"/>
      <c r="V439" s="470"/>
      <c r="Y439" s="470"/>
      <c r="Z439" s="531"/>
      <c r="AA439" s="470"/>
      <c r="AB439" s="470"/>
      <c r="AC439" s="472"/>
      <c r="AD439" s="472"/>
      <c r="AE439" s="470"/>
      <c r="AF439" s="470"/>
      <c r="AH439" s="529"/>
      <c r="AI439" s="470"/>
      <c r="AJ439" s="470"/>
      <c r="AL439" s="470"/>
      <c r="AM439" s="472"/>
      <c r="AN439" s="472"/>
    </row>
    <row r="440" spans="3:40">
      <c r="C440" s="455"/>
      <c r="F440" s="476"/>
      <c r="H440" s="476"/>
      <c r="I440" s="476"/>
      <c r="J440" s="531"/>
      <c r="K440" s="531"/>
      <c r="L440" s="470"/>
      <c r="M440" s="470"/>
      <c r="N440" s="472"/>
      <c r="O440" s="472"/>
      <c r="P440" s="470"/>
      <c r="Q440" s="470"/>
      <c r="R440" s="470"/>
      <c r="T440" s="455"/>
      <c r="V440" s="470"/>
      <c r="Y440" s="470"/>
      <c r="Z440" s="531"/>
      <c r="AA440" s="470"/>
      <c r="AB440" s="470"/>
      <c r="AC440" s="472"/>
      <c r="AD440" s="472"/>
      <c r="AE440" s="470"/>
      <c r="AF440" s="470"/>
      <c r="AH440" s="529"/>
      <c r="AI440" s="470"/>
      <c r="AJ440" s="470"/>
      <c r="AL440" s="470"/>
      <c r="AM440" s="472"/>
      <c r="AN440" s="472"/>
    </row>
    <row r="441" spans="3:40">
      <c r="C441" s="455"/>
      <c r="J441" s="537"/>
      <c r="K441" s="537"/>
      <c r="T441" s="455"/>
      <c r="Z441" s="537"/>
    </row>
    <row r="442" spans="3:40">
      <c r="C442" s="455"/>
      <c r="F442" s="476"/>
      <c r="H442" s="476"/>
      <c r="I442" s="476"/>
      <c r="J442" s="531"/>
      <c r="K442" s="531"/>
      <c r="L442" s="470"/>
      <c r="M442" s="470"/>
      <c r="N442" s="472"/>
      <c r="O442" s="472"/>
      <c r="P442" s="470"/>
      <c r="Q442" s="470"/>
      <c r="R442" s="470"/>
      <c r="T442" s="455"/>
      <c r="V442" s="470"/>
      <c r="Y442" s="470"/>
      <c r="Z442" s="531"/>
      <c r="AA442" s="470"/>
      <c r="AB442" s="470"/>
      <c r="AC442" s="472"/>
      <c r="AD442" s="472"/>
      <c r="AE442" s="470"/>
      <c r="AF442" s="470"/>
      <c r="AH442" s="529"/>
      <c r="AI442" s="470"/>
      <c r="AJ442" s="470"/>
      <c r="AL442" s="470"/>
      <c r="AM442" s="472"/>
      <c r="AN442" s="472"/>
    </row>
    <row r="443" spans="3:40">
      <c r="C443" s="455"/>
      <c r="F443" s="476"/>
      <c r="H443" s="476"/>
      <c r="I443" s="476"/>
      <c r="J443" s="531"/>
      <c r="K443" s="531"/>
      <c r="L443" s="470"/>
      <c r="M443" s="470"/>
      <c r="N443" s="472"/>
      <c r="O443" s="472"/>
      <c r="P443" s="470"/>
      <c r="Q443" s="470"/>
      <c r="R443" s="470"/>
      <c r="T443" s="455"/>
      <c r="V443" s="470"/>
      <c r="Y443" s="470"/>
      <c r="Z443" s="531"/>
      <c r="AA443" s="470"/>
      <c r="AB443" s="470"/>
      <c r="AC443" s="472"/>
      <c r="AD443" s="472"/>
      <c r="AE443" s="470"/>
      <c r="AF443" s="470"/>
      <c r="AH443" s="529"/>
      <c r="AI443" s="470"/>
      <c r="AJ443" s="470"/>
      <c r="AL443" s="470"/>
      <c r="AM443" s="472"/>
      <c r="AN443" s="472"/>
    </row>
    <row r="444" spans="3:40">
      <c r="C444" s="455"/>
      <c r="J444" s="537"/>
      <c r="K444" s="537"/>
      <c r="T444" s="455"/>
      <c r="Z444" s="537"/>
    </row>
    <row r="445" spans="3:40">
      <c r="C445" s="455"/>
      <c r="F445" s="476"/>
      <c r="H445" s="476"/>
      <c r="I445" s="476"/>
      <c r="J445" s="531"/>
      <c r="K445" s="531"/>
      <c r="L445" s="470"/>
      <c r="M445" s="470"/>
      <c r="N445" s="472"/>
      <c r="O445" s="472"/>
      <c r="P445" s="470"/>
      <c r="Q445" s="470"/>
      <c r="R445" s="470"/>
      <c r="T445" s="455"/>
      <c r="V445" s="470"/>
      <c r="Y445" s="470"/>
      <c r="Z445" s="531"/>
      <c r="AA445" s="470"/>
      <c r="AB445" s="470"/>
      <c r="AC445" s="472"/>
      <c r="AD445" s="472"/>
      <c r="AE445" s="470"/>
      <c r="AF445" s="470"/>
      <c r="AH445" s="529"/>
      <c r="AI445" s="470"/>
      <c r="AJ445" s="470"/>
      <c r="AL445" s="470"/>
      <c r="AM445" s="472"/>
      <c r="AN445" s="472"/>
    </row>
    <row r="446" spans="3:40">
      <c r="C446" s="455"/>
      <c r="F446" s="476"/>
      <c r="H446" s="476"/>
      <c r="I446" s="476"/>
      <c r="J446" s="531"/>
      <c r="K446" s="531"/>
      <c r="L446" s="470"/>
      <c r="M446" s="470"/>
      <c r="N446" s="472"/>
      <c r="O446" s="472"/>
      <c r="P446" s="470"/>
      <c r="Q446" s="470"/>
      <c r="R446" s="470"/>
      <c r="T446" s="455"/>
      <c r="V446" s="470"/>
      <c r="Y446" s="470"/>
      <c r="Z446" s="531"/>
      <c r="AA446" s="470"/>
      <c r="AB446" s="470"/>
      <c r="AC446" s="472"/>
      <c r="AD446" s="472"/>
      <c r="AE446" s="470"/>
      <c r="AF446" s="470"/>
      <c r="AH446" s="529"/>
      <c r="AI446" s="470"/>
      <c r="AJ446" s="470"/>
      <c r="AL446" s="470"/>
      <c r="AM446" s="472"/>
      <c r="AN446" s="472"/>
    </row>
    <row r="447" spans="3:40">
      <c r="C447" s="455"/>
      <c r="F447" s="476"/>
      <c r="H447" s="476"/>
      <c r="I447" s="476"/>
      <c r="J447" s="531"/>
      <c r="K447" s="531"/>
      <c r="L447" s="470"/>
      <c r="M447" s="470"/>
      <c r="N447" s="472"/>
      <c r="O447" s="472"/>
      <c r="P447" s="470"/>
      <c r="Q447" s="470"/>
      <c r="R447" s="470"/>
      <c r="T447" s="455"/>
      <c r="V447" s="470"/>
      <c r="Y447" s="470"/>
      <c r="Z447" s="531"/>
      <c r="AA447" s="470"/>
      <c r="AB447" s="470"/>
      <c r="AC447" s="472"/>
      <c r="AD447" s="472"/>
      <c r="AE447" s="470"/>
      <c r="AF447" s="470"/>
      <c r="AH447" s="529"/>
      <c r="AI447" s="470"/>
      <c r="AJ447" s="470"/>
      <c r="AL447" s="470"/>
      <c r="AM447" s="472"/>
      <c r="AN447" s="472"/>
    </row>
    <row r="448" spans="3:40">
      <c r="F448" s="479"/>
      <c r="H448" s="479"/>
      <c r="I448" s="479"/>
      <c r="J448" s="531"/>
      <c r="K448" s="531"/>
      <c r="L448" s="479"/>
      <c r="M448" s="479"/>
      <c r="N448" s="479"/>
      <c r="O448" s="479"/>
      <c r="P448" s="479"/>
      <c r="Q448" s="479"/>
      <c r="R448" s="479"/>
      <c r="V448" s="479"/>
      <c r="Y448" s="479"/>
      <c r="Z448" s="531"/>
      <c r="AA448" s="479"/>
      <c r="AB448" s="479"/>
      <c r="AC448" s="479"/>
      <c r="AD448" s="479"/>
      <c r="AE448" s="479"/>
      <c r="AF448" s="479"/>
      <c r="AI448" s="479"/>
      <c r="AJ448" s="479"/>
      <c r="AK448" s="485"/>
      <c r="AL448" s="479"/>
    </row>
    <row r="449" spans="3:40">
      <c r="C449" s="462"/>
      <c r="F449" s="470"/>
      <c r="H449" s="470"/>
      <c r="I449" s="470"/>
      <c r="J449" s="537"/>
      <c r="K449" s="537"/>
      <c r="L449" s="470"/>
      <c r="M449" s="470"/>
      <c r="N449" s="529"/>
      <c r="O449" s="529"/>
      <c r="P449" s="470"/>
      <c r="Q449" s="470"/>
      <c r="R449" s="470"/>
      <c r="T449" s="462"/>
      <c r="V449" s="470"/>
      <c r="Y449" s="470"/>
      <c r="Z449" s="537"/>
      <c r="AA449" s="470"/>
      <c r="AB449" s="470"/>
      <c r="AC449" s="470"/>
      <c r="AD449" s="470"/>
      <c r="AE449" s="470"/>
      <c r="AF449" s="470"/>
      <c r="AH449" s="529"/>
      <c r="AI449" s="470"/>
      <c r="AJ449" s="470"/>
      <c r="AL449" s="470"/>
      <c r="AM449" s="472"/>
      <c r="AN449" s="472"/>
    </row>
    <row r="450" spans="3:40">
      <c r="F450" s="479"/>
      <c r="H450" s="479"/>
      <c r="I450" s="479"/>
      <c r="J450" s="531"/>
      <c r="K450" s="531"/>
      <c r="L450" s="479"/>
      <c r="M450" s="479"/>
      <c r="N450" s="479"/>
      <c r="O450" s="479"/>
      <c r="P450" s="479"/>
      <c r="Q450" s="479"/>
      <c r="R450" s="479"/>
      <c r="V450" s="479"/>
      <c r="Y450" s="479"/>
      <c r="Z450" s="531"/>
      <c r="AA450" s="479"/>
      <c r="AB450" s="479"/>
      <c r="AC450" s="479"/>
      <c r="AD450" s="479"/>
      <c r="AE450" s="479"/>
      <c r="AF450" s="479"/>
      <c r="AI450" s="479"/>
      <c r="AJ450" s="479"/>
      <c r="AK450" s="485"/>
      <c r="AL450" s="479"/>
    </row>
    <row r="451" spans="3:40">
      <c r="C451" s="455"/>
      <c r="J451" s="537"/>
      <c r="K451" s="537"/>
      <c r="T451" s="455"/>
      <c r="Z451" s="537"/>
    </row>
    <row r="452" spans="3:40">
      <c r="C452" s="455"/>
      <c r="J452" s="537"/>
      <c r="K452" s="537"/>
      <c r="T452" s="455"/>
      <c r="Z452" s="537"/>
    </row>
    <row r="453" spans="3:40">
      <c r="C453" s="455"/>
      <c r="F453" s="476"/>
      <c r="H453" s="476"/>
      <c r="I453" s="476"/>
      <c r="J453" s="531"/>
      <c r="K453" s="531"/>
      <c r="L453" s="470"/>
      <c r="M453" s="470"/>
      <c r="N453" s="472"/>
      <c r="O453" s="472"/>
      <c r="P453" s="470"/>
      <c r="Q453" s="470"/>
      <c r="R453" s="470"/>
      <c r="T453" s="455"/>
      <c r="V453" s="470"/>
      <c r="Y453" s="470"/>
      <c r="Z453" s="531"/>
      <c r="AA453" s="470"/>
      <c r="AB453" s="470"/>
      <c r="AC453" s="472"/>
      <c r="AD453" s="472"/>
      <c r="AE453" s="470"/>
      <c r="AF453" s="470"/>
      <c r="AH453" s="529"/>
      <c r="AI453" s="470"/>
      <c r="AJ453" s="470"/>
      <c r="AL453" s="470"/>
      <c r="AM453" s="472"/>
      <c r="AN453" s="472"/>
    </row>
    <row r="454" spans="3:40">
      <c r="C454" s="455"/>
      <c r="F454" s="476"/>
      <c r="H454" s="476"/>
      <c r="I454" s="476"/>
      <c r="J454" s="531"/>
      <c r="K454" s="531"/>
      <c r="L454" s="470"/>
      <c r="M454" s="470"/>
      <c r="N454" s="472"/>
      <c r="O454" s="472"/>
      <c r="P454" s="470"/>
      <c r="Q454" s="470"/>
      <c r="R454" s="470"/>
      <c r="T454" s="455"/>
      <c r="V454" s="470"/>
      <c r="Y454" s="470"/>
      <c r="Z454" s="531"/>
      <c r="AA454" s="470"/>
      <c r="AB454" s="470"/>
      <c r="AC454" s="472"/>
      <c r="AD454" s="472"/>
      <c r="AE454" s="470"/>
      <c r="AF454" s="470"/>
      <c r="AH454" s="529"/>
      <c r="AI454" s="470"/>
      <c r="AJ454" s="470"/>
      <c r="AL454" s="470"/>
      <c r="AM454" s="472"/>
      <c r="AN454" s="472"/>
    </row>
    <row r="455" spans="3:40">
      <c r="C455" s="455"/>
      <c r="F455" s="476"/>
      <c r="H455" s="476"/>
      <c r="I455" s="476"/>
      <c r="J455" s="531"/>
      <c r="K455" s="531"/>
      <c r="L455" s="470"/>
      <c r="M455" s="470"/>
      <c r="N455" s="472"/>
      <c r="O455" s="472"/>
      <c r="P455" s="470"/>
      <c r="Q455" s="470"/>
      <c r="R455" s="470"/>
      <c r="T455" s="455"/>
      <c r="V455" s="470"/>
      <c r="Y455" s="470"/>
      <c r="Z455" s="531"/>
      <c r="AA455" s="470"/>
      <c r="AB455" s="470"/>
      <c r="AC455" s="472"/>
      <c r="AD455" s="472"/>
      <c r="AE455" s="470"/>
      <c r="AF455" s="470"/>
      <c r="AH455" s="529"/>
      <c r="AI455" s="470"/>
      <c r="AJ455" s="470"/>
      <c r="AL455" s="470"/>
      <c r="AM455" s="472"/>
      <c r="AN455" s="472"/>
    </row>
    <row r="456" spans="3:40">
      <c r="C456" s="455"/>
      <c r="F456" s="476"/>
      <c r="H456" s="476"/>
      <c r="I456" s="476"/>
      <c r="J456" s="531"/>
      <c r="K456" s="531"/>
      <c r="L456" s="470"/>
      <c r="M456" s="470"/>
      <c r="N456" s="472"/>
      <c r="O456" s="472"/>
      <c r="P456" s="470"/>
      <c r="Q456" s="470"/>
      <c r="R456" s="470"/>
      <c r="T456" s="455"/>
      <c r="V456" s="470"/>
      <c r="Y456" s="470"/>
      <c r="Z456" s="531"/>
      <c r="AA456" s="470"/>
      <c r="AB456" s="470"/>
      <c r="AC456" s="472"/>
      <c r="AD456" s="472"/>
      <c r="AE456" s="470"/>
      <c r="AF456" s="470"/>
      <c r="AH456" s="529"/>
      <c r="AI456" s="470"/>
      <c r="AJ456" s="470"/>
      <c r="AL456" s="470"/>
      <c r="AM456" s="472"/>
      <c r="AN456" s="472"/>
    </row>
    <row r="457" spans="3:40">
      <c r="C457" s="455"/>
      <c r="F457" s="476"/>
      <c r="H457" s="476"/>
      <c r="I457" s="476"/>
      <c r="J457" s="531"/>
      <c r="K457" s="531"/>
      <c r="L457" s="470"/>
      <c r="M457" s="470"/>
      <c r="N457" s="472"/>
      <c r="O457" s="472"/>
      <c r="P457" s="470"/>
      <c r="Q457" s="470"/>
      <c r="R457" s="470"/>
      <c r="T457" s="455"/>
      <c r="V457" s="470"/>
      <c r="Y457" s="470"/>
      <c r="Z457" s="531"/>
      <c r="AA457" s="470"/>
      <c r="AB457" s="470"/>
      <c r="AC457" s="472"/>
      <c r="AD457" s="472"/>
      <c r="AE457" s="470"/>
      <c r="AF457" s="470"/>
      <c r="AH457" s="529"/>
      <c r="AI457" s="470"/>
      <c r="AJ457" s="470"/>
      <c r="AL457" s="470"/>
      <c r="AM457" s="472"/>
      <c r="AN457" s="472"/>
    </row>
    <row r="458" spans="3:40">
      <c r="C458" s="455"/>
      <c r="F458" s="476"/>
      <c r="H458" s="476"/>
      <c r="I458" s="476"/>
      <c r="J458" s="531"/>
      <c r="K458" s="531"/>
      <c r="L458" s="470"/>
      <c r="M458" s="470"/>
      <c r="N458" s="472"/>
      <c r="O458" s="472"/>
      <c r="P458" s="470"/>
      <c r="Q458" s="470"/>
      <c r="R458" s="470"/>
      <c r="T458" s="455"/>
      <c r="V458" s="470"/>
      <c r="Y458" s="470"/>
      <c r="Z458" s="531"/>
      <c r="AA458" s="470"/>
      <c r="AB458" s="470"/>
      <c r="AC458" s="472"/>
      <c r="AD458" s="472"/>
      <c r="AE458" s="470"/>
      <c r="AF458" s="470"/>
      <c r="AH458" s="529"/>
      <c r="AI458" s="470"/>
      <c r="AJ458" s="470"/>
      <c r="AL458" s="470"/>
      <c r="AM458" s="472"/>
      <c r="AN458" s="472"/>
    </row>
    <row r="459" spans="3:40">
      <c r="C459" s="455"/>
      <c r="F459" s="476"/>
      <c r="H459" s="476"/>
      <c r="I459" s="476"/>
      <c r="J459" s="531"/>
      <c r="K459" s="531"/>
      <c r="L459" s="470"/>
      <c r="M459" s="470"/>
      <c r="N459" s="472"/>
      <c r="O459" s="472"/>
      <c r="P459" s="470"/>
      <c r="Q459" s="470"/>
      <c r="R459" s="470"/>
      <c r="T459" s="455"/>
      <c r="V459" s="470"/>
      <c r="Y459" s="470"/>
      <c r="Z459" s="531"/>
      <c r="AA459" s="470"/>
      <c r="AB459" s="470"/>
      <c r="AC459" s="472"/>
      <c r="AD459" s="472"/>
      <c r="AE459" s="470"/>
      <c r="AF459" s="470"/>
      <c r="AH459" s="529"/>
      <c r="AI459" s="470"/>
      <c r="AJ459" s="470"/>
      <c r="AL459" s="470"/>
      <c r="AM459" s="472"/>
      <c r="AN459" s="472"/>
    </row>
    <row r="460" spans="3:40">
      <c r="C460" s="455"/>
      <c r="J460" s="537"/>
      <c r="K460" s="537"/>
      <c r="T460" s="455"/>
      <c r="Z460" s="537"/>
    </row>
    <row r="461" spans="3:40">
      <c r="C461" s="455"/>
      <c r="F461" s="476"/>
      <c r="H461" s="476"/>
      <c r="I461" s="476"/>
      <c r="J461" s="531"/>
      <c r="K461" s="531"/>
      <c r="L461" s="470"/>
      <c r="M461" s="470"/>
      <c r="N461" s="472"/>
      <c r="O461" s="472"/>
      <c r="P461" s="470"/>
      <c r="Q461" s="470"/>
      <c r="R461" s="470"/>
      <c r="T461" s="455"/>
      <c r="V461" s="470"/>
      <c r="Y461" s="470"/>
      <c r="Z461" s="531"/>
      <c r="AA461" s="470"/>
      <c r="AB461" s="470"/>
      <c r="AC461" s="472"/>
      <c r="AD461" s="472"/>
      <c r="AE461" s="470"/>
      <c r="AF461" s="470"/>
      <c r="AH461" s="529"/>
      <c r="AI461" s="470"/>
      <c r="AJ461" s="470"/>
      <c r="AL461" s="470"/>
      <c r="AM461" s="472"/>
      <c r="AN461" s="472"/>
    </row>
    <row r="462" spans="3:40">
      <c r="C462" s="455"/>
      <c r="F462" s="476"/>
      <c r="H462" s="476"/>
      <c r="I462" s="476"/>
      <c r="J462" s="531"/>
      <c r="K462" s="531"/>
      <c r="L462" s="470"/>
      <c r="M462" s="470"/>
      <c r="N462" s="472"/>
      <c r="O462" s="472"/>
      <c r="P462" s="470"/>
      <c r="Q462" s="470"/>
      <c r="R462" s="470"/>
      <c r="T462" s="455"/>
      <c r="V462" s="470"/>
      <c r="Y462" s="470"/>
      <c r="Z462" s="531"/>
      <c r="AA462" s="470"/>
      <c r="AB462" s="470"/>
      <c r="AC462" s="472"/>
      <c r="AD462" s="472"/>
      <c r="AE462" s="470"/>
      <c r="AF462" s="470"/>
      <c r="AH462" s="529"/>
      <c r="AI462" s="470"/>
      <c r="AJ462" s="470"/>
      <c r="AL462" s="470"/>
      <c r="AM462" s="472"/>
      <c r="AN462" s="472"/>
    </row>
    <row r="463" spans="3:40">
      <c r="C463" s="455"/>
      <c r="F463" s="476"/>
      <c r="H463" s="476"/>
      <c r="I463" s="476"/>
      <c r="J463" s="531"/>
      <c r="K463" s="531"/>
      <c r="L463" s="470"/>
      <c r="M463" s="470"/>
      <c r="N463" s="472"/>
      <c r="O463" s="472"/>
      <c r="P463" s="470"/>
      <c r="Q463" s="470"/>
      <c r="R463" s="470"/>
      <c r="T463" s="455"/>
      <c r="V463" s="470"/>
      <c r="Y463" s="470"/>
      <c r="Z463" s="531"/>
      <c r="AA463" s="470"/>
      <c r="AB463" s="470"/>
      <c r="AC463" s="472"/>
      <c r="AD463" s="472"/>
      <c r="AE463" s="470"/>
      <c r="AF463" s="470"/>
      <c r="AH463" s="529"/>
      <c r="AI463" s="470"/>
      <c r="AJ463" s="470"/>
      <c r="AL463" s="470"/>
      <c r="AM463" s="472"/>
      <c r="AN463" s="472"/>
    </row>
    <row r="464" spans="3:40">
      <c r="C464" s="455"/>
      <c r="F464" s="476"/>
      <c r="H464" s="476"/>
      <c r="I464" s="476"/>
      <c r="J464" s="531"/>
      <c r="K464" s="531"/>
      <c r="L464" s="470"/>
      <c r="M464" s="470"/>
      <c r="N464" s="472"/>
      <c r="O464" s="472"/>
      <c r="P464" s="470"/>
      <c r="Q464" s="470"/>
      <c r="R464" s="470"/>
      <c r="T464" s="455"/>
      <c r="V464" s="470"/>
      <c r="Y464" s="470"/>
      <c r="Z464" s="531"/>
      <c r="AA464" s="470"/>
      <c r="AB464" s="470"/>
      <c r="AC464" s="472"/>
      <c r="AD464" s="472"/>
      <c r="AE464" s="470"/>
      <c r="AF464" s="470"/>
      <c r="AH464" s="529"/>
      <c r="AI464" s="470"/>
      <c r="AJ464" s="470"/>
      <c r="AL464" s="470"/>
      <c r="AM464" s="472"/>
      <c r="AN464" s="472"/>
    </row>
    <row r="465" spans="3:40">
      <c r="C465" s="455"/>
      <c r="J465" s="537"/>
      <c r="K465" s="537"/>
      <c r="T465" s="455"/>
      <c r="Z465" s="537"/>
    </row>
    <row r="466" spans="3:40">
      <c r="C466" s="455"/>
      <c r="F466" s="476"/>
      <c r="H466" s="476"/>
      <c r="I466" s="476"/>
      <c r="J466" s="531"/>
      <c r="K466" s="531"/>
      <c r="L466" s="470"/>
      <c r="M466" s="470"/>
      <c r="N466" s="472"/>
      <c r="O466" s="472"/>
      <c r="P466" s="470"/>
      <c r="Q466" s="470"/>
      <c r="R466" s="470"/>
      <c r="T466" s="455"/>
      <c r="V466" s="470"/>
      <c r="Y466" s="470"/>
      <c r="Z466" s="531"/>
      <c r="AA466" s="470"/>
      <c r="AB466" s="470"/>
      <c r="AC466" s="472"/>
      <c r="AD466" s="472"/>
      <c r="AE466" s="470"/>
      <c r="AF466" s="470"/>
      <c r="AH466" s="529"/>
      <c r="AI466" s="470"/>
      <c r="AJ466" s="470"/>
      <c r="AL466" s="470"/>
      <c r="AM466" s="472"/>
      <c r="AN466" s="472"/>
    </row>
    <row r="467" spans="3:40">
      <c r="C467" s="455"/>
      <c r="F467" s="476"/>
      <c r="H467" s="476"/>
      <c r="I467" s="476"/>
      <c r="J467" s="531"/>
      <c r="K467" s="531"/>
      <c r="L467" s="470"/>
      <c r="M467" s="470"/>
      <c r="N467" s="472"/>
      <c r="O467" s="472"/>
      <c r="P467" s="470"/>
      <c r="Q467" s="470"/>
      <c r="R467" s="470"/>
      <c r="T467" s="455"/>
      <c r="V467" s="470"/>
      <c r="Y467" s="470"/>
      <c r="Z467" s="531"/>
      <c r="AA467" s="470"/>
      <c r="AB467" s="470"/>
      <c r="AC467" s="472"/>
      <c r="AD467" s="472"/>
      <c r="AE467" s="470"/>
      <c r="AF467" s="470"/>
      <c r="AH467" s="529"/>
      <c r="AI467" s="470"/>
      <c r="AJ467" s="470"/>
      <c r="AL467" s="470"/>
      <c r="AM467" s="472"/>
      <c r="AN467" s="472"/>
    </row>
    <row r="468" spans="3:40">
      <c r="C468" s="455"/>
      <c r="F468" s="476"/>
      <c r="H468" s="476"/>
      <c r="I468" s="476"/>
      <c r="J468" s="531"/>
      <c r="K468" s="531"/>
      <c r="L468" s="470"/>
      <c r="M468" s="470"/>
      <c r="N468" s="472"/>
      <c r="O468" s="472"/>
      <c r="P468" s="470"/>
      <c r="Q468" s="470"/>
      <c r="R468" s="470"/>
      <c r="T468" s="455"/>
      <c r="V468" s="470"/>
      <c r="Y468" s="470"/>
      <c r="Z468" s="531"/>
      <c r="AA468" s="470"/>
      <c r="AB468" s="470"/>
      <c r="AC468" s="472"/>
      <c r="AD468" s="472"/>
      <c r="AE468" s="470"/>
      <c r="AF468" s="470"/>
      <c r="AH468" s="529"/>
      <c r="AI468" s="470"/>
      <c r="AJ468" s="470"/>
      <c r="AL468" s="470"/>
      <c r="AM468" s="472"/>
      <c r="AN468" s="472"/>
    </row>
    <row r="469" spans="3:40">
      <c r="C469" s="455"/>
      <c r="F469" s="476"/>
      <c r="H469" s="476"/>
      <c r="I469" s="476"/>
      <c r="J469" s="531"/>
      <c r="K469" s="531"/>
      <c r="L469" s="470"/>
      <c r="M469" s="470"/>
      <c r="N469" s="472"/>
      <c r="O469" s="472"/>
      <c r="P469" s="470"/>
      <c r="Q469" s="470"/>
      <c r="R469" s="470"/>
      <c r="T469" s="455"/>
      <c r="V469" s="470"/>
      <c r="Y469" s="470"/>
      <c r="Z469" s="531"/>
      <c r="AA469" s="470"/>
      <c r="AB469" s="470"/>
      <c r="AC469" s="472"/>
      <c r="AD469" s="472"/>
      <c r="AE469" s="470"/>
      <c r="AF469" s="470"/>
      <c r="AH469" s="529"/>
      <c r="AI469" s="470"/>
      <c r="AJ469" s="470"/>
      <c r="AL469" s="470"/>
      <c r="AM469" s="472"/>
      <c r="AN469" s="472"/>
    </row>
    <row r="470" spans="3:40">
      <c r="C470" s="455"/>
      <c r="F470" s="476"/>
      <c r="H470" s="476"/>
      <c r="I470" s="476"/>
      <c r="J470" s="531"/>
      <c r="K470" s="531"/>
      <c r="L470" s="470"/>
      <c r="M470" s="470"/>
      <c r="N470" s="472"/>
      <c r="O470" s="472"/>
      <c r="P470" s="470"/>
      <c r="Q470" s="470"/>
      <c r="R470" s="470"/>
      <c r="T470" s="455"/>
      <c r="V470" s="470"/>
      <c r="Y470" s="470"/>
      <c r="Z470" s="531"/>
      <c r="AA470" s="470"/>
      <c r="AB470" s="470"/>
      <c r="AC470" s="472"/>
      <c r="AD470" s="472"/>
      <c r="AE470" s="470"/>
      <c r="AF470" s="470"/>
      <c r="AH470" s="529"/>
      <c r="AI470" s="470"/>
      <c r="AJ470" s="470"/>
      <c r="AL470" s="470"/>
      <c r="AM470" s="472"/>
      <c r="AN470" s="472"/>
    </row>
    <row r="471" spans="3:40">
      <c r="F471" s="479"/>
      <c r="H471" s="479"/>
      <c r="I471" s="479"/>
      <c r="J471" s="484"/>
      <c r="K471" s="484"/>
      <c r="L471" s="479"/>
      <c r="M471" s="479"/>
      <c r="N471" s="479"/>
      <c r="O471" s="479"/>
      <c r="P471" s="479"/>
      <c r="Q471" s="479"/>
      <c r="R471" s="479"/>
      <c r="V471" s="479"/>
      <c r="Y471" s="479"/>
      <c r="Z471" s="531"/>
      <c r="AA471" s="479"/>
      <c r="AB471" s="479"/>
      <c r="AC471" s="479"/>
      <c r="AD471" s="479"/>
      <c r="AE471" s="479"/>
      <c r="AF471" s="479"/>
      <c r="AI471" s="479"/>
      <c r="AJ471" s="479"/>
      <c r="AK471" s="485"/>
      <c r="AL471" s="479"/>
    </row>
    <row r="472" spans="3:40">
      <c r="C472" s="455"/>
      <c r="F472" s="470"/>
      <c r="H472" s="470"/>
      <c r="I472" s="470"/>
      <c r="L472" s="470"/>
      <c r="M472" s="470"/>
      <c r="N472" s="529"/>
      <c r="O472" s="529"/>
      <c r="P472" s="470"/>
      <c r="Q472" s="470"/>
      <c r="R472" s="470"/>
      <c r="T472" s="455"/>
      <c r="V472" s="470"/>
      <c r="Y472" s="470"/>
      <c r="AA472" s="470"/>
      <c r="AB472" s="470"/>
      <c r="AC472" s="472"/>
      <c r="AD472" s="472"/>
      <c r="AE472" s="470"/>
      <c r="AF472" s="470"/>
      <c r="AH472" s="529"/>
      <c r="AI472" s="470"/>
      <c r="AJ472" s="470"/>
      <c r="AL472" s="470"/>
      <c r="AM472" s="472"/>
      <c r="AN472" s="472"/>
    </row>
    <row r="473" spans="3:40">
      <c r="F473" s="479"/>
      <c r="H473" s="479"/>
      <c r="I473" s="479"/>
      <c r="J473" s="484"/>
      <c r="K473" s="484"/>
      <c r="L473" s="479"/>
      <c r="M473" s="479"/>
      <c r="N473" s="479"/>
      <c r="O473" s="479"/>
      <c r="P473" s="479"/>
      <c r="Q473" s="479"/>
      <c r="R473" s="479"/>
      <c r="V473" s="479"/>
      <c r="Y473" s="479"/>
      <c r="Z473" s="484"/>
      <c r="AA473" s="479"/>
      <c r="AB473" s="479"/>
      <c r="AC473" s="479"/>
      <c r="AD473" s="479"/>
      <c r="AE473" s="479"/>
      <c r="AF473" s="479"/>
      <c r="AI473" s="479"/>
      <c r="AJ473" s="479"/>
      <c r="AK473" s="485"/>
      <c r="AL473" s="479"/>
    </row>
    <row r="474" spans="3:40">
      <c r="C474" s="455"/>
      <c r="T474" s="455"/>
    </row>
    <row r="475" spans="3:40">
      <c r="C475" s="455"/>
      <c r="F475" s="476"/>
      <c r="H475" s="476"/>
      <c r="I475" s="476"/>
      <c r="J475" s="471"/>
      <c r="K475" s="471"/>
      <c r="L475" s="470"/>
      <c r="M475" s="470"/>
      <c r="N475" s="472"/>
      <c r="O475" s="472"/>
      <c r="P475" s="470"/>
      <c r="Q475" s="470"/>
      <c r="R475" s="470"/>
      <c r="T475" s="455"/>
      <c r="V475" s="470"/>
      <c r="Y475" s="470"/>
      <c r="Z475" s="471"/>
      <c r="AA475" s="470"/>
      <c r="AB475" s="470"/>
      <c r="AC475" s="472"/>
      <c r="AD475" s="472"/>
      <c r="AE475" s="470"/>
      <c r="AF475" s="470"/>
      <c r="AH475" s="529"/>
      <c r="AI475" s="470"/>
      <c r="AJ475" s="470"/>
      <c r="AL475" s="470"/>
      <c r="AM475" s="472"/>
      <c r="AN475" s="472"/>
    </row>
    <row r="476" spans="3:40">
      <c r="C476" s="455"/>
      <c r="F476" s="476"/>
      <c r="H476" s="476"/>
      <c r="I476" s="476"/>
      <c r="J476" s="471"/>
      <c r="K476" s="471"/>
      <c r="L476" s="470"/>
      <c r="M476" s="470"/>
      <c r="N476" s="472"/>
      <c r="O476" s="472"/>
      <c r="P476" s="470"/>
      <c r="Q476" s="470"/>
      <c r="R476" s="470"/>
      <c r="T476" s="455"/>
      <c r="V476" s="470"/>
      <c r="Y476" s="470"/>
      <c r="Z476" s="471"/>
      <c r="AA476" s="470"/>
      <c r="AB476" s="470"/>
      <c r="AC476" s="472"/>
      <c r="AD476" s="472"/>
      <c r="AE476" s="470"/>
      <c r="AF476" s="470"/>
      <c r="AH476" s="529"/>
      <c r="AI476" s="470"/>
      <c r="AJ476" s="470"/>
      <c r="AL476" s="470"/>
      <c r="AM476" s="472"/>
      <c r="AN476" s="472"/>
    </row>
    <row r="477" spans="3:40">
      <c r="F477" s="479"/>
      <c r="H477" s="470"/>
      <c r="I477" s="470"/>
      <c r="J477" s="484"/>
      <c r="K477" s="484"/>
      <c r="L477" s="479"/>
      <c r="M477" s="479"/>
      <c r="N477" s="479"/>
      <c r="O477" s="479"/>
      <c r="P477" s="479"/>
      <c r="Q477" s="479"/>
      <c r="R477" s="479"/>
      <c r="V477" s="479"/>
      <c r="Y477" s="470"/>
      <c r="Z477" s="484"/>
      <c r="AA477" s="479"/>
      <c r="AB477" s="479"/>
      <c r="AC477" s="479"/>
      <c r="AD477" s="479"/>
      <c r="AE477" s="479"/>
      <c r="AF477" s="479"/>
      <c r="AI477" s="479"/>
      <c r="AJ477" s="479"/>
      <c r="AK477" s="485"/>
      <c r="AL477" s="479"/>
    </row>
    <row r="478" spans="3:40">
      <c r="F478" s="470"/>
      <c r="H478" s="470"/>
      <c r="I478" s="470"/>
      <c r="J478" s="484"/>
      <c r="K478" s="484"/>
      <c r="L478" s="470"/>
      <c r="M478" s="470"/>
      <c r="N478" s="470"/>
      <c r="O478" s="470"/>
      <c r="P478" s="470"/>
      <c r="Q478" s="470"/>
      <c r="R478" s="470"/>
      <c r="V478" s="470"/>
      <c r="Y478" s="470"/>
      <c r="Z478" s="484"/>
      <c r="AA478" s="470"/>
      <c r="AB478" s="470"/>
      <c r="AC478" s="470"/>
      <c r="AD478" s="470"/>
      <c r="AE478" s="470"/>
      <c r="AF478" s="470"/>
      <c r="AI478" s="470"/>
      <c r="AJ478" s="470"/>
      <c r="AL478" s="470"/>
    </row>
    <row r="479" spans="3:40">
      <c r="C479" s="455"/>
      <c r="F479" s="470"/>
      <c r="H479" s="470"/>
      <c r="I479" s="470"/>
      <c r="L479" s="470"/>
      <c r="M479" s="470"/>
      <c r="N479" s="472"/>
      <c r="O479" s="472"/>
      <c r="P479" s="470"/>
      <c r="Q479" s="470"/>
      <c r="R479" s="470"/>
      <c r="T479" s="455"/>
      <c r="V479" s="470"/>
      <c r="Y479" s="470"/>
      <c r="AA479" s="470"/>
      <c r="AB479" s="470"/>
      <c r="AC479" s="472"/>
      <c r="AD479" s="472"/>
      <c r="AE479" s="470"/>
      <c r="AF479" s="470"/>
      <c r="AH479" s="529"/>
      <c r="AI479" s="476"/>
      <c r="AJ479" s="476"/>
      <c r="AL479" s="470"/>
      <c r="AM479" s="472"/>
      <c r="AN479" s="472"/>
    </row>
    <row r="480" spans="3:40">
      <c r="F480" s="479"/>
      <c r="H480" s="479"/>
      <c r="I480" s="479"/>
      <c r="J480" s="484"/>
      <c r="K480" s="484"/>
      <c r="L480" s="479"/>
      <c r="M480" s="479"/>
      <c r="N480" s="479"/>
      <c r="O480" s="479"/>
      <c r="P480" s="479"/>
      <c r="Q480" s="479"/>
      <c r="R480" s="479"/>
      <c r="V480" s="479"/>
      <c r="Y480" s="479"/>
      <c r="Z480" s="484"/>
      <c r="AA480" s="479"/>
      <c r="AB480" s="479"/>
      <c r="AC480" s="479"/>
      <c r="AD480" s="479"/>
      <c r="AE480" s="479"/>
      <c r="AF480" s="479"/>
      <c r="AI480" s="479"/>
      <c r="AJ480" s="479"/>
      <c r="AK480" s="485"/>
      <c r="AL480" s="479"/>
    </row>
    <row r="482" spans="1:28">
      <c r="A482" s="455"/>
      <c r="T482" s="455"/>
    </row>
    <row r="483" spans="1:28">
      <c r="A483" s="455"/>
      <c r="T483" s="455"/>
    </row>
    <row r="484" spans="1:28">
      <c r="A484" s="455"/>
      <c r="T484" s="455"/>
    </row>
    <row r="485" spans="1:28">
      <c r="A485" s="455"/>
      <c r="T485" s="455"/>
    </row>
    <row r="486" spans="1:28">
      <c r="A486" s="455"/>
      <c r="T486" s="455"/>
    </row>
    <row r="487" spans="1:28">
      <c r="A487" s="455"/>
      <c r="T487" s="455"/>
    </row>
    <row r="488" spans="1:28">
      <c r="A488" s="455"/>
      <c r="T488" s="455"/>
    </row>
    <row r="489" spans="1:28">
      <c r="A489" s="455"/>
      <c r="T489" s="455"/>
    </row>
    <row r="490" spans="1:28">
      <c r="A490" s="455"/>
      <c r="T490" s="455"/>
    </row>
    <row r="492" spans="1:28">
      <c r="A492" s="455"/>
    </row>
    <row r="494" spans="1:28">
      <c r="H494" s="455"/>
      <c r="I494" s="455"/>
      <c r="Y494" s="455"/>
    </row>
    <row r="496" spans="1:28">
      <c r="L496" s="455"/>
      <c r="M496" s="455"/>
      <c r="AA496" s="455"/>
      <c r="AB496" s="455"/>
    </row>
    <row r="497" spans="1:40">
      <c r="R497" s="455"/>
      <c r="AK497" s="456"/>
      <c r="AL497" s="455"/>
    </row>
    <row r="498" spans="1:40">
      <c r="R498" s="455"/>
      <c r="AK498" s="456"/>
      <c r="AL498" s="455"/>
    </row>
    <row r="499" spans="1:40">
      <c r="A499" s="455"/>
      <c r="R499" s="455"/>
      <c r="AK499" s="456"/>
      <c r="AL499" s="455"/>
    </row>
    <row r="500" spans="1:40">
      <c r="L500" s="455"/>
      <c r="M500" s="455"/>
      <c r="AA500" s="455"/>
      <c r="AB500" s="455"/>
    </row>
    <row r="501" spans="1:40">
      <c r="A501" s="460"/>
      <c r="B501" s="460"/>
      <c r="C501" s="460"/>
      <c r="D501" s="460"/>
      <c r="E501" s="460"/>
      <c r="F501" s="460"/>
      <c r="G501" s="460"/>
      <c r="H501" s="460"/>
      <c r="I501" s="460"/>
      <c r="J501" s="460"/>
      <c r="K501" s="460"/>
      <c r="L501" s="460"/>
      <c r="M501" s="460"/>
      <c r="N501" s="460"/>
      <c r="O501" s="460"/>
      <c r="P501" s="460"/>
      <c r="Q501" s="460"/>
      <c r="R501" s="460"/>
      <c r="T501" s="460"/>
      <c r="U501" s="460"/>
      <c r="V501" s="460"/>
      <c r="W501" s="460"/>
      <c r="X501" s="460"/>
      <c r="Y501" s="460"/>
      <c r="Z501" s="460"/>
      <c r="AA501" s="460"/>
      <c r="AB501" s="460"/>
      <c r="AC501" s="460"/>
      <c r="AD501" s="460"/>
      <c r="AE501" s="460"/>
      <c r="AF501" s="460"/>
      <c r="AG501" s="461"/>
      <c r="AH501" s="460"/>
      <c r="AI501" s="460"/>
      <c r="AJ501" s="460"/>
      <c r="AK501" s="461"/>
      <c r="AL501" s="460"/>
      <c r="AM501" s="460"/>
      <c r="AN501" s="460"/>
    </row>
    <row r="502" spans="1:40">
      <c r="L502" s="462"/>
      <c r="M502" s="462"/>
      <c r="N502" s="462"/>
      <c r="O502" s="462"/>
      <c r="R502" s="462"/>
      <c r="AA502" s="462"/>
      <c r="AB502" s="462"/>
      <c r="AC502" s="462"/>
      <c r="AD502" s="462"/>
      <c r="AE502" s="462"/>
      <c r="AF502" s="462"/>
      <c r="AG502" s="463"/>
      <c r="AH502" s="462"/>
      <c r="AK502" s="463"/>
      <c r="AL502" s="462"/>
      <c r="AM502" s="462"/>
      <c r="AN502" s="462"/>
    </row>
    <row r="503" spans="1:40">
      <c r="L503" s="462"/>
      <c r="M503" s="462"/>
      <c r="N503" s="462"/>
      <c r="O503" s="462"/>
      <c r="R503" s="462"/>
      <c r="Z503" s="462"/>
      <c r="AA503" s="462"/>
      <c r="AB503" s="462"/>
      <c r="AC503" s="462"/>
      <c r="AD503" s="462"/>
      <c r="AE503" s="462"/>
      <c r="AF503" s="462"/>
      <c r="AG503" s="463"/>
      <c r="AH503" s="462"/>
      <c r="AK503" s="463"/>
      <c r="AL503" s="462"/>
      <c r="AM503" s="462"/>
      <c r="AN503" s="462"/>
    </row>
    <row r="504" spans="1:40">
      <c r="A504" s="462"/>
      <c r="C504" s="462"/>
      <c r="D504" s="462"/>
      <c r="E504" s="462"/>
      <c r="F504" s="462"/>
      <c r="J504" s="462"/>
      <c r="K504" s="462"/>
      <c r="L504" s="462"/>
      <c r="M504" s="462"/>
      <c r="N504" s="462"/>
      <c r="O504" s="462"/>
      <c r="P504" s="462"/>
      <c r="Q504" s="462"/>
      <c r="R504" s="462"/>
      <c r="T504" s="462"/>
      <c r="U504" s="462"/>
      <c r="V504" s="462"/>
      <c r="Z504" s="462"/>
      <c r="AA504" s="462"/>
      <c r="AB504" s="462"/>
      <c r="AC504" s="462"/>
      <c r="AD504" s="462"/>
      <c r="AE504" s="462"/>
      <c r="AF504" s="462"/>
      <c r="AG504" s="463"/>
      <c r="AH504" s="462"/>
      <c r="AI504" s="462"/>
      <c r="AJ504" s="462"/>
      <c r="AK504" s="463"/>
      <c r="AL504" s="462"/>
      <c r="AM504" s="462"/>
      <c r="AN504" s="462"/>
    </row>
    <row r="505" spans="1:40">
      <c r="A505" s="462"/>
      <c r="C505" s="462"/>
      <c r="D505" s="462"/>
      <c r="E505" s="462"/>
      <c r="F505" s="462"/>
      <c r="H505" s="462"/>
      <c r="I505" s="462"/>
      <c r="J505" s="462"/>
      <c r="K505" s="462"/>
      <c r="L505" s="462"/>
      <c r="M505" s="462"/>
      <c r="N505" s="462"/>
      <c r="O505" s="462"/>
      <c r="P505" s="462"/>
      <c r="Q505" s="462"/>
      <c r="R505" s="462"/>
      <c r="T505" s="462"/>
      <c r="U505" s="462"/>
      <c r="V505" s="462"/>
      <c r="Y505" s="462"/>
      <c r="Z505" s="462"/>
      <c r="AA505" s="462"/>
      <c r="AB505" s="462"/>
      <c r="AC505" s="462"/>
      <c r="AD505" s="462"/>
      <c r="AE505" s="462"/>
      <c r="AF505" s="462"/>
      <c r="AG505" s="463"/>
      <c r="AH505" s="462"/>
      <c r="AI505" s="462"/>
      <c r="AJ505" s="462"/>
      <c r="AK505" s="463"/>
      <c r="AL505" s="462"/>
      <c r="AM505" s="462"/>
      <c r="AN505" s="462"/>
    </row>
    <row r="506" spans="1:40">
      <c r="C506" s="462"/>
      <c r="D506" s="462"/>
      <c r="E506" s="462"/>
      <c r="F506" s="462"/>
      <c r="H506" s="462"/>
      <c r="I506" s="462"/>
      <c r="J506" s="462"/>
      <c r="K506" s="462"/>
      <c r="L506" s="462"/>
      <c r="M506" s="462"/>
      <c r="N506" s="462"/>
      <c r="O506" s="462"/>
      <c r="P506" s="462"/>
      <c r="Q506" s="462"/>
      <c r="R506" s="462"/>
      <c r="T506" s="462"/>
      <c r="U506" s="462"/>
      <c r="V506" s="462"/>
      <c r="Y506" s="462"/>
      <c r="Z506" s="462"/>
      <c r="AA506" s="462"/>
      <c r="AB506" s="462"/>
      <c r="AC506" s="462"/>
      <c r="AD506" s="462"/>
      <c r="AE506" s="462"/>
      <c r="AF506" s="462"/>
      <c r="AG506" s="463"/>
      <c r="AH506" s="462"/>
      <c r="AI506" s="462"/>
      <c r="AJ506" s="462"/>
      <c r="AK506" s="463"/>
      <c r="AL506" s="462"/>
      <c r="AM506" s="462"/>
      <c r="AN506" s="462"/>
    </row>
    <row r="507" spans="1:40">
      <c r="A507" s="460"/>
      <c r="B507" s="460"/>
      <c r="C507" s="460"/>
      <c r="D507" s="460"/>
      <c r="E507" s="460"/>
      <c r="F507" s="460"/>
      <c r="G507" s="460"/>
      <c r="H507" s="460"/>
      <c r="I507" s="460"/>
      <c r="J507" s="460"/>
      <c r="K507" s="460"/>
      <c r="L507" s="460"/>
      <c r="M507" s="460"/>
      <c r="N507" s="460"/>
      <c r="O507" s="460"/>
      <c r="P507" s="460"/>
      <c r="Q507" s="460"/>
      <c r="R507" s="460"/>
      <c r="T507" s="460"/>
      <c r="U507" s="460"/>
      <c r="V507" s="460"/>
      <c r="W507" s="460"/>
      <c r="X507" s="460"/>
      <c r="Y507" s="460"/>
      <c r="Z507" s="460"/>
      <c r="AA507" s="460"/>
      <c r="AB507" s="460"/>
      <c r="AC507" s="460"/>
      <c r="AD507" s="460"/>
      <c r="AE507" s="460"/>
      <c r="AF507" s="460"/>
      <c r="AG507" s="461"/>
      <c r="AH507" s="460"/>
      <c r="AI507" s="460"/>
      <c r="AJ507" s="460"/>
      <c r="AK507" s="461"/>
      <c r="AL507" s="460"/>
      <c r="AM507" s="460"/>
      <c r="AN507" s="460"/>
    </row>
    <row r="508" spans="1:40">
      <c r="H508" s="462"/>
      <c r="I508" s="462"/>
      <c r="J508" s="462"/>
      <c r="K508" s="462"/>
      <c r="L508" s="462"/>
      <c r="M508" s="462"/>
      <c r="N508" s="462"/>
      <c r="O508" s="462"/>
      <c r="P508" s="462"/>
      <c r="Q508" s="462"/>
      <c r="R508" s="462"/>
      <c r="Y508" s="462"/>
      <c r="Z508" s="462"/>
      <c r="AA508" s="462"/>
      <c r="AB508" s="462"/>
      <c r="AC508" s="462"/>
      <c r="AD508" s="462"/>
      <c r="AE508" s="462"/>
      <c r="AF508" s="462"/>
      <c r="AG508" s="463"/>
      <c r="AH508" s="462"/>
      <c r="AI508" s="462"/>
      <c r="AJ508" s="462"/>
      <c r="AK508" s="463"/>
      <c r="AL508" s="462"/>
      <c r="AM508" s="462"/>
      <c r="AN508" s="462"/>
    </row>
    <row r="509" spans="1:40">
      <c r="C509" s="455"/>
      <c r="D509" s="455"/>
      <c r="E509" s="455"/>
      <c r="T509" s="455"/>
      <c r="U509" s="455"/>
    </row>
    <row r="510" spans="1:40">
      <c r="D510" s="455"/>
      <c r="E510" s="455"/>
      <c r="U510" s="455"/>
    </row>
    <row r="512" spans="1:40">
      <c r="C512" s="455"/>
      <c r="F512" s="470"/>
      <c r="J512" s="473"/>
      <c r="K512" s="473"/>
      <c r="L512" s="470"/>
      <c r="M512" s="470"/>
      <c r="R512" s="470"/>
      <c r="T512" s="455"/>
      <c r="V512" s="470"/>
      <c r="Z512" s="473"/>
      <c r="AA512" s="470"/>
      <c r="AB512" s="470"/>
      <c r="AH512" s="470"/>
      <c r="AL512" s="470"/>
    </row>
    <row r="513" spans="3:40">
      <c r="C513" s="455"/>
      <c r="F513" s="470"/>
      <c r="R513" s="470"/>
      <c r="T513" s="455"/>
      <c r="V513" s="470"/>
      <c r="AH513" s="470"/>
      <c r="AL513" s="470"/>
    </row>
    <row r="514" spans="3:40">
      <c r="AI514" s="470"/>
      <c r="AJ514" s="470"/>
      <c r="AL514" s="470"/>
      <c r="AM514" s="472"/>
      <c r="AN514" s="472"/>
    </row>
    <row r="515" spans="3:40">
      <c r="C515" s="455"/>
      <c r="F515" s="476"/>
      <c r="H515" s="476"/>
      <c r="I515" s="476"/>
      <c r="J515" s="530"/>
      <c r="K515" s="530"/>
      <c r="L515" s="470"/>
      <c r="M515" s="470"/>
      <c r="N515" s="472"/>
      <c r="O515" s="472"/>
      <c r="P515" s="470"/>
      <c r="Q515" s="470"/>
      <c r="R515" s="470"/>
      <c r="T515" s="455"/>
      <c r="V515" s="470"/>
      <c r="Y515" s="470"/>
      <c r="Z515" s="530"/>
      <c r="AA515" s="470"/>
      <c r="AB515" s="470"/>
      <c r="AC515" s="472"/>
      <c r="AD515" s="472"/>
      <c r="AE515" s="470"/>
      <c r="AF515" s="470"/>
      <c r="AH515" s="529"/>
      <c r="AI515" s="470"/>
      <c r="AJ515" s="470"/>
      <c r="AL515" s="470"/>
      <c r="AM515" s="472"/>
      <c r="AN515" s="472"/>
    </row>
    <row r="516" spans="3:40">
      <c r="F516" s="470"/>
      <c r="H516" s="470"/>
      <c r="I516" s="470"/>
      <c r="J516" s="503"/>
      <c r="K516" s="503"/>
      <c r="L516" s="470"/>
      <c r="M516" s="470"/>
      <c r="P516" s="470"/>
      <c r="Q516" s="470"/>
      <c r="R516" s="470"/>
      <c r="V516" s="470"/>
      <c r="Y516" s="470"/>
      <c r="Z516" s="503"/>
      <c r="AA516" s="470"/>
      <c r="AB516" s="470"/>
      <c r="AI516" s="470"/>
      <c r="AJ516" s="470"/>
      <c r="AL516" s="470"/>
      <c r="AM516" s="472"/>
      <c r="AN516" s="472"/>
    </row>
    <row r="517" spans="3:40">
      <c r="F517" s="470"/>
      <c r="R517" s="470"/>
      <c r="V517" s="470"/>
      <c r="AL517" s="470"/>
      <c r="AM517" s="472"/>
      <c r="AN517" s="472"/>
    </row>
    <row r="518" spans="3:40">
      <c r="C518" s="455"/>
      <c r="F518" s="470"/>
      <c r="J518" s="473"/>
      <c r="K518" s="473"/>
      <c r="L518" s="470"/>
      <c r="M518" s="470"/>
      <c r="N518" s="472"/>
      <c r="O518" s="472"/>
      <c r="R518" s="470"/>
      <c r="T518" s="455"/>
      <c r="V518" s="470"/>
      <c r="Z518" s="473"/>
      <c r="AA518" s="470"/>
      <c r="AB518" s="470"/>
      <c r="AC518" s="472"/>
      <c r="AD518" s="472"/>
      <c r="AL518" s="470"/>
      <c r="AM518" s="472"/>
      <c r="AN518" s="472"/>
    </row>
    <row r="519" spans="3:40">
      <c r="C519" s="455"/>
      <c r="F519" s="470"/>
      <c r="H519" s="470"/>
      <c r="I519" s="470"/>
      <c r="J519" s="473"/>
      <c r="K519" s="473"/>
      <c r="L519" s="470"/>
      <c r="M519" s="470"/>
      <c r="N519" s="472"/>
      <c r="O519" s="472"/>
      <c r="P519" s="470"/>
      <c r="Q519" s="470"/>
      <c r="R519" s="470"/>
      <c r="T519" s="455"/>
      <c r="V519" s="470"/>
      <c r="Y519" s="470"/>
      <c r="Z519" s="473"/>
      <c r="AA519" s="470"/>
      <c r="AB519" s="470"/>
      <c r="AC519" s="472"/>
      <c r="AD519" s="472"/>
      <c r="AI519" s="470"/>
      <c r="AJ519" s="470"/>
      <c r="AL519" s="470"/>
      <c r="AM519" s="472"/>
      <c r="AN519" s="472"/>
    </row>
    <row r="520" spans="3:40">
      <c r="C520" s="455"/>
      <c r="T520" s="455"/>
      <c r="AM520" s="472"/>
      <c r="AN520" s="472"/>
    </row>
    <row r="521" spans="3:40">
      <c r="C521" s="455"/>
      <c r="T521" s="455"/>
      <c r="AM521" s="472"/>
      <c r="AN521" s="472"/>
    </row>
    <row r="522" spans="3:40">
      <c r="AM522" s="472"/>
      <c r="AN522" s="472"/>
    </row>
    <row r="523" spans="3:40">
      <c r="C523" s="455"/>
      <c r="F523" s="476"/>
      <c r="H523" s="476"/>
      <c r="I523" s="476"/>
      <c r="J523" s="530"/>
      <c r="K523" s="530"/>
      <c r="L523" s="470"/>
      <c r="M523" s="470"/>
      <c r="N523" s="472"/>
      <c r="O523" s="472"/>
      <c r="P523" s="470"/>
      <c r="Q523" s="470"/>
      <c r="R523" s="470"/>
      <c r="T523" s="455"/>
      <c r="V523" s="470"/>
      <c r="Y523" s="470"/>
      <c r="Z523" s="530"/>
      <c r="AA523" s="470"/>
      <c r="AB523" s="470"/>
      <c r="AC523" s="472"/>
      <c r="AD523" s="472"/>
      <c r="AE523" s="470"/>
      <c r="AF523" s="470"/>
      <c r="AH523" s="529"/>
      <c r="AI523" s="470"/>
      <c r="AJ523" s="470"/>
      <c r="AL523" s="470"/>
      <c r="AM523" s="472"/>
      <c r="AN523" s="472"/>
    </row>
    <row r="524" spans="3:40">
      <c r="F524" s="479"/>
      <c r="H524" s="479"/>
      <c r="I524" s="479"/>
      <c r="J524" s="484"/>
      <c r="K524" s="484"/>
      <c r="L524" s="479"/>
      <c r="M524" s="479"/>
      <c r="N524" s="479"/>
      <c r="O524" s="479"/>
      <c r="P524" s="479"/>
      <c r="Q524" s="479"/>
      <c r="R524" s="479"/>
      <c r="V524" s="479"/>
      <c r="Y524" s="479"/>
      <c r="Z524" s="484"/>
      <c r="AA524" s="479"/>
      <c r="AB524" s="479"/>
      <c r="AC524" s="479"/>
      <c r="AD524" s="479"/>
      <c r="AE524" s="479"/>
      <c r="AF524" s="479"/>
      <c r="AI524" s="479"/>
      <c r="AJ524" s="479"/>
      <c r="AK524" s="485"/>
      <c r="AL524" s="479"/>
      <c r="AM524" s="472"/>
      <c r="AN524" s="472"/>
    </row>
    <row r="525" spans="3:40">
      <c r="H525" s="470"/>
      <c r="I525" s="470"/>
      <c r="Y525" s="470"/>
      <c r="AM525" s="472"/>
      <c r="AN525" s="472"/>
    </row>
    <row r="526" spans="3:40">
      <c r="C526" s="455"/>
      <c r="F526" s="470"/>
      <c r="H526" s="470"/>
      <c r="I526" s="470"/>
      <c r="L526" s="470"/>
      <c r="M526" s="470"/>
      <c r="N526" s="472"/>
      <c r="O526" s="472"/>
      <c r="P526" s="476"/>
      <c r="Q526" s="476"/>
      <c r="R526" s="470"/>
      <c r="T526" s="455"/>
      <c r="V526" s="470"/>
      <c r="Y526" s="470"/>
      <c r="AA526" s="470"/>
      <c r="AB526" s="470"/>
      <c r="AC526" s="472"/>
      <c r="AD526" s="472"/>
      <c r="AE526" s="470"/>
      <c r="AF526" s="470"/>
      <c r="AH526" s="529"/>
      <c r="AI526" s="476"/>
      <c r="AJ526" s="476"/>
      <c r="AL526" s="470"/>
      <c r="AM526" s="472"/>
      <c r="AN526" s="472"/>
    </row>
    <row r="527" spans="3:40">
      <c r="F527" s="479"/>
      <c r="H527" s="479"/>
      <c r="I527" s="479"/>
      <c r="J527" s="484"/>
      <c r="K527" s="484"/>
      <c r="L527" s="479"/>
      <c r="M527" s="479"/>
      <c r="N527" s="479"/>
      <c r="O527" s="479"/>
      <c r="P527" s="479"/>
      <c r="Q527" s="479"/>
      <c r="R527" s="479"/>
      <c r="V527" s="479"/>
      <c r="Y527" s="479"/>
      <c r="Z527" s="484"/>
      <c r="AA527" s="479"/>
      <c r="AB527" s="479"/>
      <c r="AC527" s="479"/>
      <c r="AD527" s="479"/>
      <c r="AE527" s="479"/>
      <c r="AF527" s="479"/>
      <c r="AI527" s="479"/>
      <c r="AJ527" s="479"/>
      <c r="AK527" s="485"/>
      <c r="AL527" s="479"/>
      <c r="AM527" s="472"/>
      <c r="AN527" s="472"/>
    </row>
    <row r="529" spans="1:40">
      <c r="F529" s="470"/>
      <c r="H529" s="470"/>
      <c r="I529" s="470"/>
      <c r="J529" s="503"/>
      <c r="K529" s="503"/>
      <c r="L529" s="470"/>
      <c r="M529" s="470"/>
      <c r="N529" s="470"/>
      <c r="O529" s="470"/>
      <c r="P529" s="470"/>
      <c r="Q529" s="470"/>
      <c r="R529" s="470"/>
      <c r="V529" s="470"/>
      <c r="Y529" s="470"/>
      <c r="Z529" s="503"/>
      <c r="AA529" s="470"/>
      <c r="AB529" s="470"/>
      <c r="AC529" s="470"/>
      <c r="AD529" s="470"/>
      <c r="AE529" s="470"/>
      <c r="AF529" s="470"/>
      <c r="AH529" s="470"/>
      <c r="AI529" s="470"/>
      <c r="AJ529" s="470"/>
      <c r="AL529" s="470"/>
    </row>
    <row r="530" spans="1:40">
      <c r="A530" s="455"/>
    </row>
    <row r="532" spans="1:40">
      <c r="H532" s="455"/>
      <c r="I532" s="455"/>
      <c r="Y532" s="455"/>
    </row>
    <row r="534" spans="1:40">
      <c r="L534" s="455"/>
      <c r="M534" s="455"/>
      <c r="AA534" s="455"/>
      <c r="AB534" s="455"/>
    </row>
    <row r="535" spans="1:40">
      <c r="R535" s="455"/>
      <c r="AK535" s="456"/>
      <c r="AL535" s="455"/>
    </row>
    <row r="536" spans="1:40">
      <c r="R536" s="455"/>
      <c r="AK536" s="456"/>
      <c r="AL536" s="455"/>
    </row>
    <row r="537" spans="1:40">
      <c r="A537" s="455"/>
      <c r="R537" s="455"/>
      <c r="AK537" s="456"/>
      <c r="AL537" s="455"/>
    </row>
    <row r="538" spans="1:40">
      <c r="L538" s="455"/>
      <c r="M538" s="455"/>
      <c r="AA538" s="455"/>
      <c r="AB538" s="455"/>
    </row>
    <row r="539" spans="1:40">
      <c r="A539" s="460"/>
      <c r="B539" s="460"/>
      <c r="C539" s="460"/>
      <c r="D539" s="460"/>
      <c r="E539" s="460"/>
      <c r="F539" s="460"/>
      <c r="G539" s="460"/>
      <c r="H539" s="460"/>
      <c r="I539" s="460"/>
      <c r="J539" s="460"/>
      <c r="K539" s="460"/>
      <c r="L539" s="460"/>
      <c r="M539" s="460"/>
      <c r="N539" s="460"/>
      <c r="O539" s="460"/>
      <c r="P539" s="460"/>
      <c r="Q539" s="460"/>
      <c r="R539" s="460"/>
      <c r="T539" s="460"/>
      <c r="U539" s="460"/>
      <c r="V539" s="460"/>
      <c r="W539" s="460"/>
      <c r="X539" s="460"/>
      <c r="Y539" s="460"/>
      <c r="Z539" s="460"/>
      <c r="AA539" s="460"/>
      <c r="AB539" s="460"/>
      <c r="AC539" s="460"/>
      <c r="AD539" s="460"/>
      <c r="AE539" s="460"/>
      <c r="AF539" s="460"/>
      <c r="AG539" s="461"/>
      <c r="AH539" s="460"/>
      <c r="AI539" s="460"/>
      <c r="AJ539" s="460"/>
      <c r="AK539" s="461"/>
      <c r="AL539" s="460"/>
      <c r="AM539" s="460"/>
      <c r="AN539" s="460"/>
    </row>
    <row r="540" spans="1:40">
      <c r="L540" s="462"/>
      <c r="M540" s="462"/>
      <c r="N540" s="462"/>
      <c r="O540" s="462"/>
      <c r="R540" s="462"/>
      <c r="AA540" s="462"/>
      <c r="AB540" s="462"/>
      <c r="AC540" s="462"/>
      <c r="AD540" s="462"/>
      <c r="AE540" s="462"/>
      <c r="AF540" s="462"/>
      <c r="AG540" s="463"/>
      <c r="AH540" s="462"/>
      <c r="AK540" s="463"/>
      <c r="AL540" s="462"/>
      <c r="AM540" s="462"/>
      <c r="AN540" s="462"/>
    </row>
    <row r="541" spans="1:40">
      <c r="L541" s="462"/>
      <c r="M541" s="462"/>
      <c r="N541" s="462"/>
      <c r="O541" s="462"/>
      <c r="R541" s="462"/>
      <c r="Z541" s="462"/>
      <c r="AA541" s="462"/>
      <c r="AB541" s="462"/>
      <c r="AC541" s="462"/>
      <c r="AD541" s="462"/>
      <c r="AE541" s="462"/>
      <c r="AF541" s="462"/>
      <c r="AG541" s="463"/>
      <c r="AH541" s="462"/>
      <c r="AK541" s="463"/>
      <c r="AL541" s="462"/>
      <c r="AM541" s="462"/>
      <c r="AN541" s="462"/>
    </row>
    <row r="542" spans="1:40">
      <c r="A542" s="462"/>
      <c r="C542" s="462"/>
      <c r="D542" s="462"/>
      <c r="E542" s="462"/>
      <c r="F542" s="462"/>
      <c r="J542" s="462"/>
      <c r="K542" s="462"/>
      <c r="L542" s="462"/>
      <c r="M542" s="462"/>
      <c r="N542" s="462"/>
      <c r="O542" s="462"/>
      <c r="P542" s="462"/>
      <c r="Q542" s="462"/>
      <c r="R542" s="462"/>
      <c r="T542" s="462"/>
      <c r="U542" s="462"/>
      <c r="V542" s="462"/>
      <c r="Z542" s="462"/>
      <c r="AA542" s="462"/>
      <c r="AB542" s="462"/>
      <c r="AC542" s="462"/>
      <c r="AD542" s="462"/>
      <c r="AE542" s="462"/>
      <c r="AF542" s="462"/>
      <c r="AG542" s="463"/>
      <c r="AH542" s="462"/>
      <c r="AI542" s="462"/>
      <c r="AJ542" s="462"/>
      <c r="AK542" s="463"/>
      <c r="AL542" s="462"/>
      <c r="AM542" s="462"/>
      <c r="AN542" s="462"/>
    </row>
    <row r="543" spans="1:40">
      <c r="A543" s="462"/>
      <c r="C543" s="462"/>
      <c r="D543" s="462"/>
      <c r="E543" s="462"/>
      <c r="F543" s="462"/>
      <c r="H543" s="462"/>
      <c r="I543" s="462"/>
      <c r="J543" s="462"/>
      <c r="K543" s="462"/>
      <c r="L543" s="462"/>
      <c r="M543" s="462"/>
      <c r="N543" s="462"/>
      <c r="O543" s="462"/>
      <c r="P543" s="462"/>
      <c r="Q543" s="462"/>
      <c r="R543" s="462"/>
      <c r="T543" s="462"/>
      <c r="U543" s="462"/>
      <c r="V543" s="462"/>
      <c r="Y543" s="462"/>
      <c r="Z543" s="462"/>
      <c r="AA543" s="462"/>
      <c r="AB543" s="462"/>
      <c r="AC543" s="462"/>
      <c r="AD543" s="462"/>
      <c r="AE543" s="462"/>
      <c r="AF543" s="462"/>
      <c r="AG543" s="463"/>
      <c r="AH543" s="462"/>
      <c r="AI543" s="462"/>
      <c r="AJ543" s="462"/>
      <c r="AK543" s="463"/>
      <c r="AL543" s="462"/>
      <c r="AM543" s="462"/>
      <c r="AN543" s="462"/>
    </row>
    <row r="544" spans="1:40">
      <c r="C544" s="462"/>
      <c r="D544" s="462"/>
      <c r="E544" s="462"/>
      <c r="F544" s="462"/>
      <c r="H544" s="462"/>
      <c r="I544" s="462"/>
      <c r="J544" s="462"/>
      <c r="K544" s="462"/>
      <c r="L544" s="462"/>
      <c r="M544" s="462"/>
      <c r="N544" s="462"/>
      <c r="O544" s="462"/>
      <c r="P544" s="462"/>
      <c r="Q544" s="462"/>
      <c r="R544" s="462"/>
      <c r="T544" s="462"/>
      <c r="U544" s="462"/>
      <c r="V544" s="462"/>
      <c r="Y544" s="462"/>
      <c r="Z544" s="462"/>
      <c r="AA544" s="462"/>
      <c r="AB544" s="462"/>
      <c r="AC544" s="462"/>
      <c r="AD544" s="462"/>
      <c r="AE544" s="462"/>
      <c r="AF544" s="462"/>
      <c r="AG544" s="463"/>
      <c r="AH544" s="462"/>
      <c r="AI544" s="462"/>
      <c r="AJ544" s="462"/>
      <c r="AK544" s="463"/>
      <c r="AL544" s="462"/>
      <c r="AM544" s="462"/>
      <c r="AN544" s="462"/>
    </row>
    <row r="545" spans="1:40">
      <c r="A545" s="460"/>
      <c r="B545" s="460"/>
      <c r="C545" s="460"/>
      <c r="D545" s="460"/>
      <c r="E545" s="460"/>
      <c r="F545" s="460"/>
      <c r="G545" s="460"/>
      <c r="H545" s="460"/>
      <c r="I545" s="460"/>
      <c r="J545" s="460"/>
      <c r="K545" s="460"/>
      <c r="L545" s="460"/>
      <c r="M545" s="460"/>
      <c r="N545" s="460"/>
      <c r="O545" s="460"/>
      <c r="P545" s="460"/>
      <c r="Q545" s="460"/>
      <c r="R545" s="460"/>
      <c r="T545" s="460"/>
      <c r="U545" s="460"/>
      <c r="V545" s="460"/>
      <c r="W545" s="460"/>
      <c r="X545" s="460"/>
      <c r="Y545" s="460"/>
      <c r="Z545" s="460"/>
      <c r="AA545" s="460"/>
      <c r="AB545" s="460"/>
      <c r="AC545" s="460"/>
      <c r="AD545" s="460"/>
      <c r="AE545" s="460"/>
      <c r="AF545" s="460"/>
      <c r="AG545" s="461"/>
      <c r="AH545" s="460"/>
      <c r="AI545" s="460"/>
      <c r="AJ545" s="460"/>
      <c r="AK545" s="461"/>
      <c r="AL545" s="460"/>
      <c r="AM545" s="460"/>
      <c r="AN545" s="460"/>
    </row>
    <row r="546" spans="1:40">
      <c r="H546" s="462"/>
      <c r="I546" s="462"/>
      <c r="J546" s="462"/>
      <c r="K546" s="462"/>
      <c r="L546" s="462"/>
      <c r="M546" s="462"/>
      <c r="N546" s="462"/>
      <c r="O546" s="462"/>
      <c r="P546" s="462"/>
      <c r="Q546" s="462"/>
      <c r="R546" s="462"/>
      <c r="Y546" s="462"/>
      <c r="Z546" s="462"/>
      <c r="AA546" s="462"/>
      <c r="AB546" s="462"/>
      <c r="AC546" s="462"/>
      <c r="AD546" s="462"/>
      <c r="AE546" s="462"/>
      <c r="AF546" s="462"/>
      <c r="AG546" s="463"/>
      <c r="AH546" s="462"/>
      <c r="AI546" s="462"/>
      <c r="AJ546" s="462"/>
      <c r="AK546" s="463"/>
      <c r="AL546" s="462"/>
      <c r="AM546" s="462"/>
      <c r="AN546" s="462"/>
    </row>
    <row r="547" spans="1:40">
      <c r="C547" s="455"/>
      <c r="D547" s="455"/>
      <c r="E547" s="455"/>
      <c r="T547" s="455"/>
      <c r="U547" s="455"/>
      <c r="V547" s="470"/>
      <c r="W547" s="470"/>
      <c r="X547" s="470"/>
      <c r="Y547" s="470"/>
      <c r="Z547" s="530"/>
    </row>
    <row r="549" spans="1:40">
      <c r="C549" s="455"/>
      <c r="T549" s="455"/>
      <c r="V549" s="470"/>
      <c r="W549" s="470"/>
      <c r="X549" s="470"/>
      <c r="Y549" s="470"/>
      <c r="Z549" s="530"/>
    </row>
    <row r="550" spans="1:40">
      <c r="C550" s="455"/>
      <c r="F550" s="476"/>
      <c r="H550" s="476"/>
      <c r="I550" s="476"/>
      <c r="J550" s="531"/>
      <c r="K550" s="531"/>
      <c r="L550" s="470"/>
      <c r="M550" s="470"/>
      <c r="N550" s="472"/>
      <c r="O550" s="472"/>
      <c r="P550" s="470"/>
      <c r="Q550" s="470"/>
      <c r="R550" s="470"/>
      <c r="T550" s="455"/>
      <c r="V550" s="470"/>
      <c r="W550" s="470"/>
      <c r="X550" s="470"/>
      <c r="Y550" s="470"/>
      <c r="Z550" s="531"/>
      <c r="AA550" s="470"/>
      <c r="AB550" s="470"/>
      <c r="AC550" s="472"/>
      <c r="AD550" s="472"/>
      <c r="AE550" s="470"/>
      <c r="AF550" s="470"/>
      <c r="AH550" s="529"/>
      <c r="AI550" s="470"/>
      <c r="AJ550" s="470"/>
      <c r="AL550" s="470"/>
      <c r="AM550" s="472"/>
      <c r="AN550" s="472"/>
    </row>
    <row r="551" spans="1:40">
      <c r="C551" s="455"/>
      <c r="F551" s="476"/>
      <c r="H551" s="476"/>
      <c r="I551" s="476"/>
      <c r="J551" s="531"/>
      <c r="K551" s="531"/>
      <c r="L551" s="470"/>
      <c r="M551" s="470"/>
      <c r="N551" s="472"/>
      <c r="O551" s="472"/>
      <c r="P551" s="470"/>
      <c r="Q551" s="470"/>
      <c r="R551" s="470"/>
      <c r="T551" s="455"/>
      <c r="V551" s="470"/>
      <c r="W551" s="470"/>
      <c r="X551" s="470"/>
      <c r="Y551" s="470"/>
      <c r="Z551" s="531"/>
      <c r="AA551" s="470"/>
      <c r="AB551" s="470"/>
      <c r="AC551" s="472"/>
      <c r="AD551" s="472"/>
      <c r="AE551" s="470"/>
      <c r="AF551" s="470"/>
      <c r="AH551" s="529"/>
      <c r="AI551" s="470"/>
      <c r="AJ551" s="470"/>
      <c r="AL551" s="470"/>
      <c r="AM551" s="472"/>
      <c r="AN551" s="472"/>
    </row>
    <row r="552" spans="1:40">
      <c r="C552" s="455"/>
      <c r="F552" s="476"/>
      <c r="H552" s="476"/>
      <c r="I552" s="476"/>
      <c r="J552" s="531"/>
      <c r="K552" s="531"/>
      <c r="L552" s="470"/>
      <c r="M552" s="470"/>
      <c r="N552" s="472"/>
      <c r="O552" s="472"/>
      <c r="P552" s="470"/>
      <c r="Q552" s="470"/>
      <c r="R552" s="470"/>
      <c r="T552" s="455"/>
      <c r="V552" s="470"/>
      <c r="W552" s="470"/>
      <c r="X552" s="470"/>
      <c r="Y552" s="470"/>
      <c r="Z552" s="531"/>
      <c r="AA552" s="470"/>
      <c r="AB552" s="470"/>
      <c r="AC552" s="472"/>
      <c r="AD552" s="472"/>
      <c r="AE552" s="470"/>
      <c r="AF552" s="470"/>
      <c r="AH552" s="529"/>
      <c r="AI552" s="470"/>
      <c r="AJ552" s="470"/>
      <c r="AL552" s="470"/>
      <c r="AM552" s="472"/>
      <c r="AN552" s="472"/>
    </row>
    <row r="553" spans="1:40">
      <c r="C553" s="455"/>
      <c r="F553" s="476"/>
      <c r="H553" s="476"/>
      <c r="I553" s="476"/>
      <c r="J553" s="531"/>
      <c r="K553" s="531"/>
      <c r="L553" s="470"/>
      <c r="M553" s="470"/>
      <c r="N553" s="472"/>
      <c r="O553" s="472"/>
      <c r="P553" s="470"/>
      <c r="Q553" s="470"/>
      <c r="R553" s="470"/>
      <c r="T553" s="455"/>
      <c r="V553" s="470"/>
      <c r="W553" s="470"/>
      <c r="X553" s="470"/>
      <c r="Y553" s="470"/>
      <c r="Z553" s="531"/>
      <c r="AA553" s="470"/>
      <c r="AB553" s="470"/>
      <c r="AC553" s="472"/>
      <c r="AD553" s="472"/>
      <c r="AE553" s="470"/>
      <c r="AF553" s="470"/>
      <c r="AH553" s="529"/>
      <c r="AI553" s="470"/>
      <c r="AJ553" s="470"/>
      <c r="AL553" s="470"/>
      <c r="AM553" s="472"/>
      <c r="AN553" s="472"/>
    </row>
    <row r="554" spans="1:40">
      <c r="J554" s="537"/>
      <c r="K554" s="537"/>
      <c r="V554" s="470"/>
      <c r="W554" s="470"/>
      <c r="X554" s="470"/>
      <c r="Y554" s="470"/>
      <c r="Z554" s="531"/>
    </row>
    <row r="555" spans="1:40">
      <c r="C555" s="455"/>
      <c r="F555" s="476"/>
      <c r="H555" s="476"/>
      <c r="I555" s="476"/>
      <c r="J555" s="531"/>
      <c r="K555" s="531"/>
      <c r="L555" s="470"/>
      <c r="M555" s="470"/>
      <c r="N555" s="472"/>
      <c r="O555" s="472"/>
      <c r="P555" s="470"/>
      <c r="Q555" s="470"/>
      <c r="R555" s="470"/>
      <c r="T555" s="455"/>
      <c r="V555" s="470"/>
      <c r="W555" s="470"/>
      <c r="X555" s="470"/>
      <c r="Y555" s="470"/>
      <c r="Z555" s="531"/>
      <c r="AA555" s="470"/>
      <c r="AB555" s="470"/>
      <c r="AC555" s="472"/>
      <c r="AD555" s="472"/>
      <c r="AE555" s="470"/>
      <c r="AF555" s="470"/>
      <c r="AH555" s="529"/>
      <c r="AI555" s="470"/>
      <c r="AJ555" s="470"/>
      <c r="AL555" s="470"/>
      <c r="AM555" s="529"/>
      <c r="AN555" s="529"/>
    </row>
    <row r="556" spans="1:40">
      <c r="C556" s="455"/>
      <c r="J556" s="537"/>
      <c r="K556" s="537"/>
      <c r="T556" s="455"/>
      <c r="V556" s="470"/>
      <c r="W556" s="470"/>
      <c r="X556" s="470"/>
      <c r="Y556" s="470"/>
      <c r="Z556" s="531"/>
    </row>
    <row r="557" spans="1:40">
      <c r="C557" s="455"/>
      <c r="F557" s="476"/>
      <c r="H557" s="476"/>
      <c r="I557" s="476"/>
      <c r="J557" s="531"/>
      <c r="K557" s="531"/>
      <c r="L557" s="470"/>
      <c r="M557" s="470"/>
      <c r="N557" s="472"/>
      <c r="O557" s="472"/>
      <c r="P557" s="470"/>
      <c r="Q557" s="470"/>
      <c r="R557" s="470"/>
      <c r="T557" s="455"/>
      <c r="V557" s="470"/>
      <c r="W557" s="470"/>
      <c r="X557" s="470"/>
      <c r="Y557" s="470"/>
      <c r="Z557" s="531"/>
      <c r="AA557" s="470"/>
      <c r="AB557" s="470"/>
      <c r="AC557" s="472"/>
      <c r="AD557" s="472"/>
      <c r="AE557" s="470"/>
      <c r="AF557" s="470"/>
      <c r="AH557" s="529"/>
      <c r="AI557" s="470"/>
      <c r="AJ557" s="470"/>
      <c r="AL557" s="470"/>
      <c r="AM557" s="529"/>
      <c r="AN557" s="529"/>
    </row>
    <row r="558" spans="1:40">
      <c r="J558" s="537"/>
      <c r="K558" s="537"/>
      <c r="Z558" s="537"/>
    </row>
    <row r="559" spans="1:40">
      <c r="C559" s="455"/>
      <c r="J559" s="537"/>
      <c r="K559" s="537"/>
      <c r="T559" s="455"/>
      <c r="V559" s="470"/>
      <c r="W559" s="470"/>
      <c r="X559" s="470"/>
      <c r="Y559" s="470"/>
      <c r="Z559" s="531"/>
    </row>
    <row r="560" spans="1:40">
      <c r="C560" s="455"/>
      <c r="F560" s="476"/>
      <c r="H560" s="476"/>
      <c r="I560" s="476"/>
      <c r="J560" s="531"/>
      <c r="K560" s="531"/>
      <c r="L560" s="470"/>
      <c r="M560" s="470"/>
      <c r="N560" s="472"/>
      <c r="O560" s="472"/>
      <c r="P560" s="470"/>
      <c r="Q560" s="470"/>
      <c r="R560" s="470"/>
      <c r="T560" s="455"/>
      <c r="V560" s="470"/>
      <c r="W560" s="470"/>
      <c r="X560" s="470"/>
      <c r="Y560" s="470"/>
      <c r="Z560" s="531"/>
      <c r="AA560" s="470"/>
      <c r="AB560" s="470"/>
      <c r="AC560" s="472"/>
      <c r="AD560" s="472"/>
      <c r="AE560" s="470"/>
      <c r="AF560" s="470"/>
      <c r="AH560" s="529"/>
      <c r="AI560" s="470"/>
      <c r="AJ560" s="470"/>
      <c r="AL560" s="470"/>
      <c r="AM560" s="529"/>
      <c r="AN560" s="529"/>
    </row>
    <row r="561" spans="1:40">
      <c r="C561" s="455"/>
      <c r="F561" s="476"/>
      <c r="H561" s="476"/>
      <c r="I561" s="476"/>
      <c r="J561" s="531"/>
      <c r="K561" s="531"/>
      <c r="L561" s="470"/>
      <c r="M561" s="470"/>
      <c r="N561" s="472"/>
      <c r="O561" s="472"/>
      <c r="P561" s="470"/>
      <c r="Q561" s="470"/>
      <c r="R561" s="470"/>
      <c r="T561" s="455"/>
      <c r="V561" s="470"/>
      <c r="W561" s="470"/>
      <c r="X561" s="470"/>
      <c r="Y561" s="470"/>
      <c r="Z561" s="531"/>
      <c r="AA561" s="470"/>
      <c r="AB561" s="470"/>
      <c r="AC561" s="472"/>
      <c r="AD561" s="472"/>
      <c r="AE561" s="470"/>
      <c r="AF561" s="470"/>
      <c r="AH561" s="529"/>
      <c r="AI561" s="470"/>
      <c r="AJ561" s="470"/>
      <c r="AL561" s="470"/>
      <c r="AM561" s="529"/>
      <c r="AN561" s="529"/>
    </row>
    <row r="562" spans="1:40">
      <c r="F562" s="479"/>
      <c r="H562" s="479"/>
      <c r="I562" s="479"/>
      <c r="J562" s="531"/>
      <c r="K562" s="531"/>
      <c r="L562" s="479"/>
      <c r="M562" s="479"/>
      <c r="N562" s="479"/>
      <c r="O562" s="479"/>
      <c r="P562" s="479"/>
      <c r="Q562" s="479"/>
      <c r="R562" s="479"/>
      <c r="V562" s="479"/>
      <c r="Y562" s="479"/>
      <c r="Z562" s="484"/>
      <c r="AA562" s="479"/>
      <c r="AB562" s="479"/>
      <c r="AC562" s="479"/>
      <c r="AD562" s="479"/>
      <c r="AE562" s="479"/>
      <c r="AF562" s="479"/>
      <c r="AI562" s="479"/>
      <c r="AJ562" s="479"/>
      <c r="AK562" s="485"/>
      <c r="AL562" s="479"/>
    </row>
    <row r="563" spans="1:40">
      <c r="C563" s="455"/>
      <c r="F563" s="470"/>
      <c r="H563" s="470"/>
      <c r="I563" s="470"/>
      <c r="L563" s="470"/>
      <c r="M563" s="470"/>
      <c r="N563" s="472"/>
      <c r="O563" s="472"/>
      <c r="P563" s="476"/>
      <c r="Q563" s="476"/>
      <c r="R563" s="470"/>
      <c r="T563" s="455"/>
      <c r="V563" s="470"/>
      <c r="W563" s="470"/>
      <c r="X563" s="470"/>
      <c r="Y563" s="470"/>
      <c r="Z563" s="530"/>
      <c r="AA563" s="470"/>
      <c r="AB563" s="470"/>
      <c r="AC563" s="472"/>
      <c r="AD563" s="472"/>
      <c r="AE563" s="470"/>
      <c r="AF563" s="470"/>
      <c r="AH563" s="529"/>
      <c r="AI563" s="476"/>
      <c r="AJ563" s="476"/>
      <c r="AL563" s="470"/>
      <c r="AM563" s="529"/>
      <c r="AN563" s="529"/>
    </row>
    <row r="564" spans="1:40">
      <c r="F564" s="479"/>
      <c r="H564" s="479"/>
      <c r="I564" s="479"/>
      <c r="J564" s="484"/>
      <c r="K564" s="484"/>
      <c r="L564" s="479"/>
      <c r="M564" s="479"/>
      <c r="N564" s="479"/>
      <c r="O564" s="479"/>
      <c r="P564" s="479"/>
      <c r="Q564" s="479"/>
      <c r="R564" s="479"/>
      <c r="V564" s="479"/>
      <c r="Y564" s="479"/>
      <c r="Z564" s="484"/>
      <c r="AA564" s="479"/>
      <c r="AB564" s="479"/>
      <c r="AC564" s="479"/>
      <c r="AD564" s="479"/>
      <c r="AE564" s="479"/>
      <c r="AF564" s="479"/>
      <c r="AI564" s="479"/>
      <c r="AJ564" s="479"/>
      <c r="AK564" s="485"/>
      <c r="AL564" s="479"/>
    </row>
    <row r="567" spans="1:40">
      <c r="A567" s="455"/>
    </row>
    <row r="569" spans="1:40">
      <c r="H569" s="455"/>
      <c r="I569" s="455"/>
      <c r="Y569" s="455"/>
    </row>
    <row r="571" spans="1:40">
      <c r="L571" s="455"/>
      <c r="M571" s="455"/>
      <c r="AA571" s="455"/>
      <c r="AB571" s="455"/>
    </row>
    <row r="572" spans="1:40">
      <c r="R572" s="455"/>
      <c r="AK572" s="456"/>
      <c r="AL572" s="455"/>
    </row>
    <row r="573" spans="1:40">
      <c r="R573" s="455"/>
      <c r="AK573" s="456"/>
      <c r="AL573" s="455"/>
    </row>
    <row r="574" spans="1:40">
      <c r="A574" s="455"/>
      <c r="R574" s="455"/>
      <c r="AK574" s="456"/>
      <c r="AL574" s="455"/>
    </row>
    <row r="575" spans="1:40">
      <c r="L575" s="455"/>
      <c r="M575" s="455"/>
      <c r="AA575" s="455"/>
      <c r="AB575" s="455"/>
    </row>
    <row r="576" spans="1:40">
      <c r="A576" s="460"/>
      <c r="B576" s="460"/>
      <c r="C576" s="460"/>
      <c r="D576" s="460"/>
      <c r="E576" s="460"/>
      <c r="F576" s="460"/>
      <c r="G576" s="460"/>
      <c r="H576" s="460"/>
      <c r="I576" s="460"/>
      <c r="J576" s="460"/>
      <c r="K576" s="460"/>
      <c r="L576" s="460"/>
      <c r="M576" s="460"/>
      <c r="N576" s="460"/>
      <c r="O576" s="460"/>
      <c r="P576" s="460"/>
      <c r="Q576" s="460"/>
      <c r="R576" s="460"/>
      <c r="T576" s="460"/>
      <c r="U576" s="460"/>
      <c r="V576" s="460"/>
      <c r="W576" s="460"/>
      <c r="X576" s="460"/>
      <c r="Y576" s="460"/>
      <c r="Z576" s="460"/>
      <c r="AA576" s="460"/>
      <c r="AB576" s="460"/>
      <c r="AC576" s="460"/>
      <c r="AD576" s="460"/>
      <c r="AE576" s="460"/>
      <c r="AF576" s="460"/>
      <c r="AG576" s="461"/>
      <c r="AH576" s="460"/>
      <c r="AI576" s="460"/>
      <c r="AJ576" s="460"/>
      <c r="AK576" s="461"/>
      <c r="AL576" s="460"/>
      <c r="AM576" s="460"/>
      <c r="AN576" s="460"/>
    </row>
    <row r="577" spans="1:40">
      <c r="L577" s="462"/>
      <c r="M577" s="462"/>
      <c r="N577" s="462"/>
      <c r="O577" s="462"/>
      <c r="R577" s="462"/>
      <c r="AA577" s="462"/>
      <c r="AB577" s="462"/>
      <c r="AC577" s="462"/>
      <c r="AD577" s="462"/>
      <c r="AE577" s="462"/>
      <c r="AF577" s="462"/>
      <c r="AG577" s="463"/>
      <c r="AH577" s="462"/>
      <c r="AK577" s="463"/>
      <c r="AL577" s="462"/>
      <c r="AM577" s="462"/>
      <c r="AN577" s="462"/>
    </row>
    <row r="578" spans="1:40">
      <c r="L578" s="462"/>
      <c r="M578" s="462"/>
      <c r="N578" s="462"/>
      <c r="O578" s="462"/>
      <c r="R578" s="462"/>
      <c r="Z578" s="462"/>
      <c r="AA578" s="462"/>
      <c r="AB578" s="462"/>
      <c r="AC578" s="462"/>
      <c r="AD578" s="462"/>
      <c r="AE578" s="462"/>
      <c r="AF578" s="462"/>
      <c r="AG578" s="463"/>
      <c r="AH578" s="462"/>
      <c r="AK578" s="463"/>
      <c r="AL578" s="462"/>
      <c r="AM578" s="462"/>
      <c r="AN578" s="462"/>
    </row>
    <row r="579" spans="1:40">
      <c r="A579" s="462"/>
      <c r="C579" s="462"/>
      <c r="D579" s="462"/>
      <c r="E579" s="462"/>
      <c r="F579" s="462"/>
      <c r="J579" s="462"/>
      <c r="K579" s="462"/>
      <c r="L579" s="462"/>
      <c r="M579" s="462"/>
      <c r="N579" s="462"/>
      <c r="O579" s="462"/>
      <c r="P579" s="462"/>
      <c r="Q579" s="462"/>
      <c r="R579" s="462"/>
      <c r="T579" s="462"/>
      <c r="U579" s="462"/>
      <c r="V579" s="462"/>
      <c r="Z579" s="462"/>
      <c r="AA579" s="462"/>
      <c r="AB579" s="462"/>
      <c r="AC579" s="462"/>
      <c r="AD579" s="462"/>
      <c r="AE579" s="462"/>
      <c r="AF579" s="462"/>
      <c r="AG579" s="463"/>
      <c r="AH579" s="462"/>
      <c r="AI579" s="462"/>
      <c r="AJ579" s="462"/>
      <c r="AK579" s="463"/>
      <c r="AL579" s="462"/>
      <c r="AM579" s="462"/>
      <c r="AN579" s="462"/>
    </row>
    <row r="580" spans="1:40">
      <c r="A580" s="462"/>
      <c r="C580" s="462"/>
      <c r="D580" s="462"/>
      <c r="E580" s="462"/>
      <c r="F580" s="462"/>
      <c r="H580" s="462"/>
      <c r="I580" s="462"/>
      <c r="J580" s="462"/>
      <c r="K580" s="462"/>
      <c r="L580" s="462"/>
      <c r="M580" s="462"/>
      <c r="N580" s="462"/>
      <c r="O580" s="462"/>
      <c r="P580" s="462"/>
      <c r="Q580" s="462"/>
      <c r="R580" s="462"/>
      <c r="T580" s="462"/>
      <c r="U580" s="462"/>
      <c r="V580" s="462"/>
      <c r="Y580" s="462"/>
      <c r="Z580" s="462"/>
      <c r="AA580" s="462"/>
      <c r="AB580" s="462"/>
      <c r="AC580" s="462"/>
      <c r="AD580" s="462"/>
      <c r="AE580" s="462"/>
      <c r="AF580" s="462"/>
      <c r="AG580" s="463"/>
      <c r="AH580" s="462"/>
      <c r="AI580" s="462"/>
      <c r="AJ580" s="462"/>
      <c r="AK580" s="463"/>
      <c r="AL580" s="462"/>
      <c r="AM580" s="462"/>
      <c r="AN580" s="462"/>
    </row>
    <row r="581" spans="1:40">
      <c r="C581" s="462"/>
      <c r="D581" s="462"/>
      <c r="E581" s="462"/>
      <c r="F581" s="462"/>
      <c r="H581" s="462"/>
      <c r="I581" s="462"/>
      <c r="J581" s="462"/>
      <c r="K581" s="462"/>
      <c r="L581" s="462"/>
      <c r="M581" s="462"/>
      <c r="N581" s="462"/>
      <c r="O581" s="462"/>
      <c r="P581" s="462"/>
      <c r="Q581" s="462"/>
      <c r="R581" s="462"/>
      <c r="T581" s="462"/>
      <c r="U581" s="462"/>
      <c r="V581" s="462"/>
      <c r="Y581" s="462"/>
      <c r="Z581" s="462"/>
      <c r="AA581" s="462"/>
      <c r="AB581" s="462"/>
      <c r="AC581" s="462"/>
      <c r="AD581" s="462"/>
      <c r="AE581" s="462"/>
      <c r="AF581" s="462"/>
      <c r="AG581" s="463"/>
      <c r="AH581" s="462"/>
      <c r="AI581" s="462"/>
      <c r="AJ581" s="462"/>
      <c r="AK581" s="463"/>
      <c r="AL581" s="462"/>
      <c r="AM581" s="462"/>
      <c r="AN581" s="462"/>
    </row>
    <row r="582" spans="1:40">
      <c r="A582" s="460"/>
      <c r="B582" s="460"/>
      <c r="C582" s="460"/>
      <c r="D582" s="460"/>
      <c r="E582" s="460"/>
      <c r="F582" s="460"/>
      <c r="G582" s="460"/>
      <c r="H582" s="460"/>
      <c r="I582" s="460"/>
      <c r="J582" s="460"/>
      <c r="K582" s="460"/>
      <c r="L582" s="460"/>
      <c r="M582" s="460"/>
      <c r="N582" s="460"/>
      <c r="O582" s="460"/>
      <c r="P582" s="460"/>
      <c r="Q582" s="460"/>
      <c r="R582" s="460"/>
      <c r="T582" s="460"/>
      <c r="U582" s="460"/>
      <c r="V582" s="460"/>
      <c r="W582" s="460"/>
      <c r="X582" s="460"/>
      <c r="Y582" s="460"/>
      <c r="Z582" s="460"/>
      <c r="AA582" s="460"/>
      <c r="AB582" s="460"/>
      <c r="AC582" s="460"/>
      <c r="AD582" s="460"/>
      <c r="AE582" s="460"/>
      <c r="AF582" s="460"/>
      <c r="AG582" s="461"/>
      <c r="AH582" s="460"/>
      <c r="AI582" s="460"/>
      <c r="AJ582" s="460"/>
      <c r="AK582" s="461"/>
      <c r="AL582" s="460"/>
      <c r="AM582" s="460"/>
      <c r="AN582" s="460"/>
    </row>
    <row r="583" spans="1:40">
      <c r="H583" s="462"/>
      <c r="I583" s="462"/>
      <c r="J583" s="462"/>
      <c r="K583" s="462"/>
      <c r="L583" s="462"/>
      <c r="M583" s="462"/>
      <c r="N583" s="462"/>
      <c r="O583" s="462"/>
      <c r="P583" s="462"/>
      <c r="Q583" s="462"/>
      <c r="R583" s="462"/>
      <c r="Y583" s="462"/>
      <c r="Z583" s="462"/>
      <c r="AA583" s="462"/>
      <c r="AB583" s="462"/>
      <c r="AC583" s="462"/>
      <c r="AD583" s="462"/>
      <c r="AE583" s="462"/>
      <c r="AF583" s="462"/>
      <c r="AG583" s="463"/>
      <c r="AH583" s="462"/>
      <c r="AI583" s="462"/>
      <c r="AJ583" s="462"/>
      <c r="AK583" s="463"/>
      <c r="AL583" s="462"/>
      <c r="AM583" s="462"/>
      <c r="AN583" s="462"/>
    </row>
    <row r="584" spans="1:40">
      <c r="C584" s="455"/>
      <c r="D584" s="455"/>
      <c r="E584" s="455"/>
      <c r="T584" s="455"/>
      <c r="U584" s="455"/>
    </row>
    <row r="586" spans="1:40">
      <c r="C586" s="455"/>
      <c r="T586" s="455"/>
    </row>
    <row r="587" spans="1:40">
      <c r="C587" s="455"/>
      <c r="T587" s="455"/>
    </row>
    <row r="588" spans="1:40">
      <c r="C588" s="455"/>
      <c r="F588" s="476"/>
      <c r="H588" s="476"/>
      <c r="I588" s="476"/>
      <c r="J588" s="531"/>
      <c r="K588" s="531"/>
      <c r="L588" s="470"/>
      <c r="M588" s="470"/>
      <c r="N588" s="472"/>
      <c r="O588" s="472"/>
      <c r="P588" s="470"/>
      <c r="Q588" s="470"/>
      <c r="R588" s="470"/>
      <c r="T588" s="455"/>
      <c r="V588" s="470"/>
      <c r="W588" s="470"/>
      <c r="X588" s="470"/>
      <c r="Y588" s="470"/>
      <c r="Z588" s="531"/>
      <c r="AA588" s="470"/>
      <c r="AB588" s="470"/>
      <c r="AC588" s="472"/>
      <c r="AD588" s="472"/>
      <c r="AE588" s="470"/>
      <c r="AF588" s="470"/>
      <c r="AH588" s="529"/>
      <c r="AI588" s="470"/>
      <c r="AJ588" s="470"/>
      <c r="AL588" s="470"/>
      <c r="AM588" s="529"/>
      <c r="AN588" s="529"/>
    </row>
    <row r="589" spans="1:40">
      <c r="C589" s="455"/>
      <c r="F589" s="470"/>
      <c r="H589" s="470"/>
      <c r="I589" s="470"/>
      <c r="J589" s="537"/>
      <c r="K589" s="537"/>
      <c r="L589" s="470"/>
      <c r="M589" s="470"/>
      <c r="N589" s="472"/>
      <c r="O589" s="472"/>
      <c r="P589" s="470"/>
      <c r="Q589" s="470"/>
      <c r="R589" s="470"/>
      <c r="T589" s="455"/>
      <c r="V589" s="470"/>
      <c r="W589" s="470"/>
      <c r="X589" s="470"/>
      <c r="Y589" s="470"/>
      <c r="Z589" s="537"/>
      <c r="AA589" s="470"/>
      <c r="AB589" s="470"/>
      <c r="AC589" s="472"/>
      <c r="AD589" s="472"/>
      <c r="AE589" s="470"/>
      <c r="AF589" s="470"/>
      <c r="AH589" s="529"/>
      <c r="AI589" s="470"/>
      <c r="AJ589" s="470"/>
      <c r="AL589" s="470"/>
      <c r="AM589" s="529"/>
      <c r="AN589" s="529"/>
    </row>
    <row r="590" spans="1:40">
      <c r="C590" s="455"/>
      <c r="F590" s="470"/>
      <c r="H590" s="470"/>
      <c r="I590" s="470"/>
      <c r="J590" s="537"/>
      <c r="K590" s="537"/>
      <c r="L590" s="470"/>
      <c r="M590" s="470"/>
      <c r="N590" s="472"/>
      <c r="O590" s="472"/>
      <c r="P590" s="470"/>
      <c r="Q590" s="470"/>
      <c r="R590" s="470"/>
      <c r="T590" s="455"/>
      <c r="V590" s="470"/>
      <c r="W590" s="470"/>
      <c r="X590" s="470"/>
      <c r="Y590" s="470"/>
      <c r="Z590" s="537"/>
      <c r="AA590" s="470"/>
      <c r="AB590" s="470"/>
      <c r="AC590" s="472"/>
      <c r="AD590" s="472"/>
      <c r="AE590" s="470"/>
      <c r="AF590" s="470"/>
      <c r="AH590" s="529"/>
      <c r="AI590" s="470"/>
      <c r="AJ590" s="470"/>
      <c r="AL590" s="470"/>
      <c r="AM590" s="529"/>
      <c r="AN590" s="529"/>
    </row>
    <row r="591" spans="1:40">
      <c r="C591" s="455"/>
      <c r="F591" s="470"/>
      <c r="H591" s="470"/>
      <c r="I591" s="470"/>
      <c r="J591" s="537"/>
      <c r="K591" s="537"/>
      <c r="T591" s="455"/>
      <c r="V591" s="470"/>
      <c r="Z591" s="537"/>
    </row>
    <row r="592" spans="1:40">
      <c r="C592" s="455"/>
      <c r="F592" s="476"/>
      <c r="H592" s="476"/>
      <c r="I592" s="476"/>
      <c r="J592" s="531"/>
      <c r="K592" s="531"/>
      <c r="L592" s="470"/>
      <c r="M592" s="470"/>
      <c r="N592" s="472"/>
      <c r="O592" s="472"/>
      <c r="P592" s="470"/>
      <c r="Q592" s="470"/>
      <c r="R592" s="470"/>
      <c r="T592" s="455"/>
      <c r="V592" s="470"/>
      <c r="W592" s="470"/>
      <c r="X592" s="470"/>
      <c r="Y592" s="470"/>
      <c r="Z592" s="531"/>
      <c r="AA592" s="470"/>
      <c r="AB592" s="470"/>
      <c r="AC592" s="472"/>
      <c r="AD592" s="472"/>
      <c r="AE592" s="470"/>
      <c r="AF592" s="470"/>
      <c r="AH592" s="529"/>
      <c r="AI592" s="470"/>
      <c r="AJ592" s="470"/>
      <c r="AL592" s="470"/>
      <c r="AM592" s="529"/>
      <c r="AN592" s="529"/>
    </row>
    <row r="593" spans="3:40">
      <c r="C593" s="455"/>
      <c r="F593" s="470"/>
      <c r="H593" s="470"/>
      <c r="I593" s="470"/>
      <c r="J593" s="537"/>
      <c r="K593" s="537"/>
      <c r="T593" s="455"/>
      <c r="V593" s="470"/>
      <c r="W593" s="470"/>
      <c r="X593" s="470"/>
      <c r="Y593" s="470"/>
      <c r="Z593" s="537"/>
      <c r="AC593" s="472"/>
      <c r="AD593" s="472"/>
      <c r="AE593" s="470"/>
      <c r="AF593" s="470"/>
      <c r="AH593" s="529"/>
      <c r="AI593" s="470"/>
      <c r="AJ593" s="470"/>
      <c r="AL593" s="470"/>
      <c r="AM593" s="529"/>
      <c r="AN593" s="529"/>
    </row>
    <row r="594" spans="3:40">
      <c r="C594" s="455"/>
      <c r="F594" s="476"/>
      <c r="H594" s="476"/>
      <c r="I594" s="476"/>
      <c r="J594" s="531"/>
      <c r="K594" s="531"/>
      <c r="L594" s="470"/>
      <c r="M594" s="470"/>
      <c r="N594" s="472"/>
      <c r="O594" s="472"/>
      <c r="P594" s="470"/>
      <c r="Q594" s="470"/>
      <c r="R594" s="470"/>
      <c r="T594" s="455"/>
      <c r="V594" s="470"/>
      <c r="W594" s="470"/>
      <c r="X594" s="470"/>
      <c r="Y594" s="470"/>
      <c r="Z594" s="531"/>
      <c r="AA594" s="470"/>
      <c r="AB594" s="470"/>
      <c r="AC594" s="472"/>
      <c r="AD594" s="472"/>
      <c r="AE594" s="470"/>
      <c r="AF594" s="470"/>
      <c r="AH594" s="529"/>
      <c r="AI594" s="470"/>
      <c r="AJ594" s="470"/>
      <c r="AL594" s="470"/>
      <c r="AM594" s="529"/>
      <c r="AN594" s="529"/>
    </row>
    <row r="595" spans="3:40">
      <c r="C595" s="455"/>
      <c r="F595" s="470"/>
      <c r="H595" s="470"/>
      <c r="I595" s="470"/>
      <c r="J595" s="537"/>
      <c r="K595" s="537"/>
      <c r="L595" s="470"/>
      <c r="M595" s="470"/>
      <c r="N595" s="472"/>
      <c r="O595" s="472"/>
      <c r="P595" s="470"/>
      <c r="Q595" s="470"/>
      <c r="R595" s="470"/>
      <c r="T595" s="455"/>
      <c r="V595" s="470"/>
      <c r="W595" s="470"/>
      <c r="X595" s="470"/>
      <c r="Y595" s="470"/>
      <c r="Z595" s="537"/>
      <c r="AA595" s="470"/>
      <c r="AB595" s="470"/>
      <c r="AC595" s="472"/>
      <c r="AD595" s="472"/>
      <c r="AE595" s="470"/>
      <c r="AF595" s="470"/>
      <c r="AH595" s="529"/>
      <c r="AI595" s="470"/>
      <c r="AJ595" s="470"/>
      <c r="AL595" s="470"/>
      <c r="AM595" s="529"/>
      <c r="AN595" s="529"/>
    </row>
    <row r="596" spans="3:40">
      <c r="F596" s="470"/>
      <c r="H596" s="470"/>
      <c r="I596" s="470"/>
      <c r="J596" s="537"/>
      <c r="K596" s="537"/>
      <c r="Z596" s="537"/>
    </row>
    <row r="597" spans="3:40">
      <c r="C597" s="455"/>
      <c r="F597" s="470"/>
      <c r="H597" s="476"/>
      <c r="I597" s="476"/>
      <c r="J597" s="531"/>
      <c r="K597" s="531"/>
      <c r="L597" s="470"/>
      <c r="M597" s="470"/>
      <c r="N597" s="472"/>
      <c r="O597" s="472"/>
      <c r="P597" s="470"/>
      <c r="Q597" s="470"/>
      <c r="R597" s="470"/>
      <c r="T597" s="455"/>
      <c r="V597" s="470"/>
      <c r="W597" s="470"/>
      <c r="X597" s="470"/>
      <c r="Y597" s="470"/>
      <c r="Z597" s="531"/>
      <c r="AA597" s="470"/>
      <c r="AB597" s="470"/>
      <c r="AC597" s="472"/>
      <c r="AD597" s="472"/>
      <c r="AE597" s="470"/>
      <c r="AF597" s="470"/>
      <c r="AH597" s="529"/>
      <c r="AI597" s="470"/>
      <c r="AJ597" s="470"/>
      <c r="AL597" s="470"/>
      <c r="AM597" s="529"/>
      <c r="AN597" s="529"/>
    </row>
    <row r="598" spans="3:40">
      <c r="F598" s="479"/>
      <c r="H598" s="479"/>
      <c r="I598" s="479"/>
      <c r="J598" s="531"/>
      <c r="K598" s="531"/>
      <c r="L598" s="479"/>
      <c r="M598" s="479"/>
      <c r="N598" s="479"/>
      <c r="O598" s="479"/>
      <c r="P598" s="479"/>
      <c r="Q598" s="479"/>
      <c r="R598" s="479"/>
      <c r="V598" s="479"/>
      <c r="Y598" s="479"/>
      <c r="Z598" s="531"/>
      <c r="AA598" s="479"/>
      <c r="AB598" s="479"/>
      <c r="AC598" s="479"/>
      <c r="AD598" s="479"/>
      <c r="AE598" s="479"/>
      <c r="AF598" s="479"/>
      <c r="AI598" s="479"/>
      <c r="AJ598" s="479"/>
      <c r="AK598" s="485"/>
      <c r="AL598" s="479"/>
    </row>
    <row r="599" spans="3:40">
      <c r="C599" s="455"/>
      <c r="F599" s="470"/>
      <c r="H599" s="470"/>
      <c r="I599" s="470"/>
      <c r="J599" s="537"/>
      <c r="K599" s="537"/>
      <c r="L599" s="470"/>
      <c r="M599" s="470"/>
      <c r="P599" s="470"/>
      <c r="Q599" s="470"/>
      <c r="R599" s="470"/>
      <c r="T599" s="455"/>
      <c r="V599" s="470"/>
      <c r="Y599" s="470"/>
      <c r="Z599" s="537"/>
      <c r="AA599" s="470"/>
      <c r="AB599" s="470"/>
      <c r="AC599" s="529"/>
      <c r="AD599" s="529"/>
      <c r="AE599" s="470"/>
      <c r="AF599" s="470"/>
      <c r="AH599" s="529"/>
      <c r="AI599" s="470"/>
      <c r="AJ599" s="470"/>
      <c r="AL599" s="470"/>
      <c r="AM599" s="529"/>
      <c r="AN599" s="529"/>
    </row>
    <row r="600" spans="3:40">
      <c r="F600" s="479"/>
      <c r="H600" s="479"/>
      <c r="I600" s="479"/>
      <c r="J600" s="531"/>
      <c r="K600" s="531"/>
      <c r="L600" s="479"/>
      <c r="M600" s="479"/>
      <c r="N600" s="479"/>
      <c r="O600" s="479"/>
      <c r="P600" s="479"/>
      <c r="Q600" s="479"/>
      <c r="R600" s="479"/>
      <c r="V600" s="479"/>
      <c r="Y600" s="479"/>
      <c r="Z600" s="531"/>
      <c r="AA600" s="479"/>
      <c r="AB600" s="479"/>
      <c r="AC600" s="479"/>
      <c r="AD600" s="479"/>
      <c r="AE600" s="479"/>
      <c r="AF600" s="479"/>
      <c r="AI600" s="479"/>
      <c r="AJ600" s="479"/>
      <c r="AK600" s="485"/>
      <c r="AL600" s="479"/>
    </row>
    <row r="601" spans="3:40">
      <c r="J601" s="537"/>
      <c r="K601" s="537"/>
      <c r="Z601" s="537"/>
    </row>
    <row r="602" spans="3:40">
      <c r="C602" s="455"/>
      <c r="J602" s="537"/>
      <c r="K602" s="537"/>
      <c r="T602" s="455"/>
      <c r="Z602" s="537"/>
    </row>
    <row r="603" spans="3:40">
      <c r="C603" s="455"/>
      <c r="J603" s="537"/>
      <c r="K603" s="537"/>
      <c r="T603" s="455"/>
      <c r="Z603" s="537"/>
    </row>
    <row r="604" spans="3:40">
      <c r="C604" s="455"/>
      <c r="F604" s="476"/>
      <c r="H604" s="476"/>
      <c r="I604" s="476"/>
      <c r="J604" s="531"/>
      <c r="K604" s="531"/>
      <c r="L604" s="470"/>
      <c r="M604" s="470"/>
      <c r="N604" s="472"/>
      <c r="O604" s="472"/>
      <c r="P604" s="470"/>
      <c r="Q604" s="470"/>
      <c r="R604" s="470"/>
      <c r="T604" s="455"/>
      <c r="V604" s="470"/>
      <c r="W604" s="470"/>
      <c r="X604" s="470"/>
      <c r="Y604" s="470"/>
      <c r="Z604" s="531"/>
      <c r="AA604" s="470"/>
      <c r="AB604" s="470"/>
      <c r="AC604" s="472"/>
      <c r="AD604" s="472"/>
      <c r="AE604" s="470"/>
      <c r="AF604" s="470"/>
      <c r="AH604" s="529"/>
      <c r="AI604" s="470"/>
      <c r="AJ604" s="470"/>
      <c r="AL604" s="470"/>
      <c r="AM604" s="529"/>
      <c r="AN604" s="529"/>
    </row>
    <row r="605" spans="3:40">
      <c r="C605" s="455"/>
      <c r="J605" s="537"/>
      <c r="K605" s="537"/>
      <c r="T605" s="455"/>
      <c r="Z605" s="537"/>
    </row>
    <row r="606" spans="3:40">
      <c r="C606" s="455"/>
      <c r="F606" s="476"/>
      <c r="H606" s="476"/>
      <c r="I606" s="476"/>
      <c r="J606" s="531"/>
      <c r="K606" s="531"/>
      <c r="L606" s="470"/>
      <c r="M606" s="470"/>
      <c r="N606" s="472"/>
      <c r="O606" s="472"/>
      <c r="P606" s="470"/>
      <c r="Q606" s="470"/>
      <c r="R606" s="470"/>
      <c r="T606" s="455"/>
      <c r="V606" s="470"/>
      <c r="W606" s="470"/>
      <c r="X606" s="470"/>
      <c r="Y606" s="470"/>
      <c r="Z606" s="531"/>
      <c r="AA606" s="470"/>
      <c r="AB606" s="470"/>
      <c r="AC606" s="472"/>
      <c r="AD606" s="472"/>
      <c r="AE606" s="470"/>
      <c r="AF606" s="470"/>
      <c r="AH606" s="529"/>
      <c r="AI606" s="470"/>
      <c r="AJ606" s="470"/>
      <c r="AL606" s="470"/>
      <c r="AM606" s="529"/>
      <c r="AN606" s="529"/>
    </row>
    <row r="607" spans="3:40">
      <c r="F607" s="479"/>
      <c r="H607" s="479"/>
      <c r="I607" s="479"/>
      <c r="J607" s="531"/>
      <c r="K607" s="531"/>
      <c r="L607" s="479"/>
      <c r="M607" s="479"/>
      <c r="N607" s="479"/>
      <c r="O607" s="479"/>
      <c r="P607" s="479"/>
      <c r="Q607" s="479"/>
      <c r="R607" s="479"/>
      <c r="V607" s="479"/>
      <c r="Y607" s="479"/>
      <c r="Z607" s="531"/>
      <c r="AA607" s="479"/>
      <c r="AB607" s="479"/>
      <c r="AC607" s="479"/>
      <c r="AD607" s="479"/>
      <c r="AE607" s="479"/>
      <c r="AF607" s="479"/>
      <c r="AI607" s="479"/>
      <c r="AJ607" s="479"/>
      <c r="AK607" s="485"/>
      <c r="AL607" s="479"/>
    </row>
    <row r="608" spans="3:40">
      <c r="C608" s="455"/>
      <c r="F608" s="470"/>
      <c r="H608" s="470"/>
      <c r="I608" s="470"/>
      <c r="J608" s="537"/>
      <c r="K608" s="537"/>
      <c r="L608" s="470"/>
      <c r="M608" s="470"/>
      <c r="N608" s="529"/>
      <c r="O608" s="529"/>
      <c r="P608" s="470"/>
      <c r="Q608" s="470"/>
      <c r="R608" s="470"/>
      <c r="T608" s="455"/>
      <c r="V608" s="470"/>
      <c r="Y608" s="470"/>
      <c r="Z608" s="537"/>
      <c r="AA608" s="470"/>
      <c r="AB608" s="470"/>
      <c r="AC608" s="529"/>
      <c r="AD608" s="529"/>
      <c r="AE608" s="470"/>
      <c r="AF608" s="470"/>
      <c r="AH608" s="529"/>
      <c r="AI608" s="470"/>
      <c r="AJ608" s="470"/>
      <c r="AL608" s="470"/>
      <c r="AM608" s="529"/>
      <c r="AN608" s="529"/>
    </row>
    <row r="609" spans="1:40">
      <c r="F609" s="479"/>
      <c r="H609" s="479"/>
      <c r="I609" s="479"/>
      <c r="J609" s="531"/>
      <c r="K609" s="531"/>
      <c r="L609" s="479"/>
      <c r="M609" s="479"/>
      <c r="N609" s="479"/>
      <c r="O609" s="479"/>
      <c r="P609" s="479"/>
      <c r="Q609" s="479"/>
      <c r="R609" s="479"/>
      <c r="V609" s="479"/>
      <c r="Y609" s="479"/>
      <c r="Z609" s="484"/>
      <c r="AA609" s="479"/>
      <c r="AB609" s="479"/>
      <c r="AC609" s="479"/>
      <c r="AD609" s="479"/>
      <c r="AE609" s="479"/>
      <c r="AF609" s="479"/>
      <c r="AI609" s="479"/>
      <c r="AJ609" s="479"/>
      <c r="AK609" s="485"/>
      <c r="AL609" s="479"/>
    </row>
    <row r="610" spans="1:40">
      <c r="J610" s="537"/>
      <c r="K610" s="537"/>
    </row>
    <row r="611" spans="1:40">
      <c r="C611" s="455"/>
      <c r="F611" s="470"/>
      <c r="H611" s="470"/>
      <c r="I611" s="470"/>
      <c r="J611" s="537"/>
      <c r="K611" s="537"/>
      <c r="L611" s="470"/>
      <c r="M611" s="470"/>
      <c r="N611" s="472"/>
      <c r="O611" s="472"/>
      <c r="P611" s="476"/>
      <c r="Q611" s="476"/>
      <c r="R611" s="470"/>
      <c r="T611" s="455"/>
      <c r="V611" s="470"/>
      <c r="Y611" s="470"/>
      <c r="AA611" s="470"/>
      <c r="AB611" s="470"/>
      <c r="AC611" s="529"/>
      <c r="AD611" s="529"/>
      <c r="AE611" s="470"/>
      <c r="AF611" s="470"/>
      <c r="AH611" s="529"/>
      <c r="AI611" s="476"/>
      <c r="AJ611" s="476"/>
      <c r="AL611" s="470"/>
      <c r="AM611" s="529"/>
      <c r="AN611" s="529"/>
    </row>
    <row r="612" spans="1:40">
      <c r="F612" s="479"/>
      <c r="H612" s="479"/>
      <c r="I612" s="479"/>
      <c r="J612" s="531"/>
      <c r="K612" s="531"/>
      <c r="L612" s="479"/>
      <c r="M612" s="479"/>
      <c r="N612" s="479"/>
      <c r="O612" s="479"/>
      <c r="P612" s="479"/>
      <c r="Q612" s="479"/>
      <c r="R612" s="479"/>
      <c r="V612" s="479"/>
      <c r="Y612" s="479"/>
      <c r="Z612" s="484"/>
      <c r="AA612" s="479"/>
      <c r="AB612" s="479"/>
      <c r="AC612" s="479"/>
      <c r="AD612" s="479"/>
      <c r="AE612" s="479"/>
      <c r="AF612" s="479"/>
      <c r="AI612" s="479"/>
      <c r="AJ612" s="479"/>
      <c r="AK612" s="485"/>
      <c r="AL612" s="479"/>
    </row>
    <row r="615" spans="1:40">
      <c r="A615" s="455"/>
    </row>
    <row r="617" spans="1:40">
      <c r="H617" s="455"/>
      <c r="I617" s="455"/>
      <c r="Y617" s="455"/>
    </row>
    <row r="619" spans="1:40">
      <c r="L619" s="455"/>
      <c r="M619" s="455"/>
      <c r="AA619" s="455"/>
      <c r="AB619" s="455"/>
    </row>
    <row r="620" spans="1:40">
      <c r="R620" s="455"/>
      <c r="AK620" s="456"/>
      <c r="AL620" s="455"/>
    </row>
    <row r="621" spans="1:40">
      <c r="R621" s="455"/>
      <c r="AK621" s="456"/>
      <c r="AL621" s="455"/>
    </row>
    <row r="622" spans="1:40">
      <c r="A622" s="455"/>
      <c r="R622" s="455"/>
      <c r="AK622" s="456"/>
      <c r="AL622" s="455"/>
    </row>
    <row r="623" spans="1:40">
      <c r="L623" s="455"/>
      <c r="M623" s="455"/>
      <c r="AA623" s="455"/>
      <c r="AB623" s="455"/>
    </row>
    <row r="624" spans="1:40">
      <c r="A624" s="460"/>
      <c r="B624" s="460"/>
      <c r="C624" s="460"/>
      <c r="D624" s="460"/>
      <c r="E624" s="460"/>
      <c r="F624" s="460"/>
      <c r="G624" s="460"/>
      <c r="H624" s="460"/>
      <c r="I624" s="460"/>
      <c r="J624" s="460"/>
      <c r="K624" s="460"/>
      <c r="L624" s="460"/>
      <c r="M624" s="460"/>
      <c r="N624" s="460"/>
      <c r="O624" s="460"/>
      <c r="P624" s="460"/>
      <c r="Q624" s="460"/>
      <c r="R624" s="460"/>
      <c r="T624" s="460"/>
      <c r="U624" s="460"/>
      <c r="V624" s="460"/>
      <c r="W624" s="460"/>
      <c r="X624" s="460"/>
      <c r="Y624" s="460"/>
      <c r="Z624" s="460"/>
      <c r="AA624" s="460"/>
      <c r="AB624" s="460"/>
      <c r="AC624" s="460"/>
      <c r="AD624" s="460"/>
      <c r="AE624" s="460"/>
      <c r="AF624" s="460"/>
      <c r="AG624" s="461"/>
      <c r="AH624" s="460"/>
      <c r="AI624" s="460"/>
      <c r="AJ624" s="460"/>
      <c r="AK624" s="461"/>
      <c r="AL624" s="460"/>
      <c r="AM624" s="460"/>
      <c r="AN624" s="460"/>
    </row>
    <row r="625" spans="1:40">
      <c r="L625" s="462"/>
      <c r="M625" s="462"/>
      <c r="N625" s="462"/>
      <c r="O625" s="462"/>
      <c r="R625" s="462"/>
      <c r="AA625" s="462"/>
      <c r="AB625" s="462"/>
      <c r="AC625" s="462"/>
      <c r="AD625" s="462"/>
      <c r="AE625" s="462"/>
      <c r="AF625" s="462"/>
      <c r="AG625" s="463"/>
      <c r="AH625" s="462"/>
      <c r="AK625" s="463"/>
      <c r="AL625" s="462"/>
      <c r="AM625" s="462"/>
      <c r="AN625" s="462"/>
    </row>
    <row r="626" spans="1:40">
      <c r="L626" s="462"/>
      <c r="M626" s="462"/>
      <c r="N626" s="462"/>
      <c r="O626" s="462"/>
      <c r="R626" s="462"/>
      <c r="Z626" s="462"/>
      <c r="AA626" s="462"/>
      <c r="AB626" s="462"/>
      <c r="AC626" s="462"/>
      <c r="AD626" s="462"/>
      <c r="AE626" s="462"/>
      <c r="AF626" s="462"/>
      <c r="AG626" s="463"/>
      <c r="AH626" s="462"/>
      <c r="AK626" s="463"/>
      <c r="AL626" s="462"/>
      <c r="AM626" s="462"/>
      <c r="AN626" s="462"/>
    </row>
    <row r="627" spans="1:40">
      <c r="A627" s="462"/>
      <c r="C627" s="462"/>
      <c r="D627" s="462"/>
      <c r="E627" s="462"/>
      <c r="F627" s="462"/>
      <c r="J627" s="462"/>
      <c r="K627" s="462"/>
      <c r="L627" s="462"/>
      <c r="M627" s="462"/>
      <c r="N627" s="462"/>
      <c r="O627" s="462"/>
      <c r="P627" s="462"/>
      <c r="Q627" s="462"/>
      <c r="R627" s="462"/>
      <c r="T627" s="462"/>
      <c r="U627" s="462"/>
      <c r="V627" s="462"/>
      <c r="Z627" s="462"/>
      <c r="AA627" s="462"/>
      <c r="AB627" s="462"/>
      <c r="AC627" s="462"/>
      <c r="AD627" s="462"/>
      <c r="AE627" s="462"/>
      <c r="AF627" s="462"/>
      <c r="AG627" s="463"/>
      <c r="AH627" s="462"/>
      <c r="AI627" s="462"/>
      <c r="AJ627" s="462"/>
      <c r="AK627" s="463"/>
      <c r="AL627" s="462"/>
      <c r="AM627" s="462"/>
      <c r="AN627" s="462"/>
    </row>
    <row r="628" spans="1:40">
      <c r="A628" s="462"/>
      <c r="C628" s="462"/>
      <c r="D628" s="462"/>
      <c r="E628" s="462"/>
      <c r="F628" s="462"/>
      <c r="H628" s="462"/>
      <c r="I628" s="462"/>
      <c r="J628" s="462"/>
      <c r="K628" s="462"/>
      <c r="L628" s="462"/>
      <c r="M628" s="462"/>
      <c r="N628" s="462"/>
      <c r="O628" s="462"/>
      <c r="P628" s="462"/>
      <c r="Q628" s="462"/>
      <c r="R628" s="462"/>
      <c r="T628" s="462"/>
      <c r="U628" s="462"/>
      <c r="V628" s="462"/>
      <c r="Y628" s="462"/>
      <c r="Z628" s="462"/>
      <c r="AA628" s="462"/>
      <c r="AB628" s="462"/>
      <c r="AC628" s="462"/>
      <c r="AD628" s="462"/>
      <c r="AE628" s="462"/>
      <c r="AF628" s="462"/>
      <c r="AG628" s="463"/>
      <c r="AH628" s="462"/>
      <c r="AI628" s="462"/>
      <c r="AJ628" s="462"/>
      <c r="AK628" s="463"/>
      <c r="AL628" s="462"/>
      <c r="AM628" s="462"/>
      <c r="AN628" s="462"/>
    </row>
    <row r="629" spans="1:40">
      <c r="C629" s="462"/>
      <c r="D629" s="462"/>
      <c r="E629" s="462"/>
      <c r="F629" s="462"/>
      <c r="H629" s="462"/>
      <c r="I629" s="462"/>
      <c r="J629" s="462"/>
      <c r="K629" s="462"/>
      <c r="L629" s="462"/>
      <c r="M629" s="462"/>
      <c r="N629" s="462"/>
      <c r="O629" s="462"/>
      <c r="P629" s="462"/>
      <c r="Q629" s="462"/>
      <c r="R629" s="462"/>
      <c r="T629" s="462"/>
      <c r="U629" s="462"/>
      <c r="V629" s="462"/>
      <c r="Y629" s="462"/>
      <c r="Z629" s="462"/>
      <c r="AA629" s="462"/>
      <c r="AB629" s="462"/>
      <c r="AC629" s="462"/>
      <c r="AD629" s="462"/>
      <c r="AE629" s="462"/>
      <c r="AF629" s="462"/>
      <c r="AG629" s="463"/>
      <c r="AH629" s="462"/>
      <c r="AI629" s="462"/>
      <c r="AJ629" s="462"/>
      <c r="AK629" s="463"/>
      <c r="AL629" s="462"/>
      <c r="AM629" s="462"/>
      <c r="AN629" s="462"/>
    </row>
    <row r="630" spans="1:40">
      <c r="A630" s="460"/>
      <c r="B630" s="460"/>
      <c r="C630" s="460"/>
      <c r="D630" s="460"/>
      <c r="E630" s="460"/>
      <c r="F630" s="460"/>
      <c r="G630" s="460"/>
      <c r="H630" s="460"/>
      <c r="I630" s="460"/>
      <c r="J630" s="460"/>
      <c r="K630" s="460"/>
      <c r="L630" s="460"/>
      <c r="M630" s="460"/>
      <c r="N630" s="460"/>
      <c r="O630" s="460"/>
      <c r="P630" s="460"/>
      <c r="Q630" s="460"/>
      <c r="R630" s="460"/>
      <c r="T630" s="460"/>
      <c r="U630" s="460"/>
      <c r="V630" s="460"/>
      <c r="W630" s="460"/>
      <c r="X630" s="460"/>
      <c r="Y630" s="460"/>
      <c r="Z630" s="460"/>
      <c r="AA630" s="460"/>
      <c r="AB630" s="460"/>
      <c r="AC630" s="460"/>
      <c r="AD630" s="460"/>
      <c r="AE630" s="460"/>
      <c r="AF630" s="460"/>
      <c r="AG630" s="461"/>
      <c r="AH630" s="460"/>
      <c r="AI630" s="460"/>
      <c r="AJ630" s="460"/>
      <c r="AK630" s="461"/>
      <c r="AL630" s="460"/>
      <c r="AM630" s="460"/>
      <c r="AN630" s="460"/>
    </row>
    <row r="631" spans="1:40">
      <c r="H631" s="462"/>
      <c r="I631" s="462"/>
      <c r="J631" s="462"/>
      <c r="K631" s="462"/>
      <c r="L631" s="462"/>
      <c r="M631" s="462"/>
      <c r="N631" s="462"/>
      <c r="O631" s="462"/>
      <c r="P631" s="462"/>
      <c r="Q631" s="462"/>
      <c r="R631" s="462"/>
      <c r="Y631" s="462"/>
      <c r="Z631" s="462"/>
      <c r="AA631" s="462"/>
      <c r="AB631" s="462"/>
      <c r="AC631" s="462"/>
      <c r="AD631" s="462"/>
      <c r="AE631" s="462"/>
      <c r="AF631" s="462"/>
      <c r="AG631" s="463"/>
      <c r="AH631" s="462"/>
      <c r="AI631" s="462"/>
      <c r="AJ631" s="462"/>
      <c r="AK631" s="463"/>
      <c r="AL631" s="462"/>
      <c r="AM631" s="462"/>
      <c r="AN631" s="462"/>
    </row>
    <row r="632" spans="1:40">
      <c r="C632" s="455"/>
      <c r="D632" s="455"/>
      <c r="E632" s="455"/>
      <c r="T632" s="455"/>
      <c r="U632" s="455"/>
    </row>
    <row r="634" spans="1:40">
      <c r="C634" s="455"/>
      <c r="D634" s="455"/>
      <c r="E634" s="455"/>
      <c r="T634" s="455"/>
      <c r="U634" s="455"/>
    </row>
    <row r="635" spans="1:40">
      <c r="C635" s="455"/>
      <c r="T635" s="455"/>
    </row>
    <row r="636" spans="1:40">
      <c r="C636" s="455"/>
      <c r="T636" s="455"/>
    </row>
    <row r="637" spans="1:40">
      <c r="C637" s="455"/>
      <c r="F637" s="476"/>
      <c r="H637" s="476"/>
      <c r="I637" s="476"/>
      <c r="J637" s="531"/>
      <c r="K637" s="531"/>
      <c r="L637" s="470"/>
      <c r="M637" s="470"/>
      <c r="N637" s="472"/>
      <c r="O637" s="472"/>
      <c r="P637" s="470"/>
      <c r="Q637" s="470"/>
      <c r="R637" s="470"/>
      <c r="T637" s="455"/>
      <c r="V637" s="470"/>
      <c r="W637" s="470"/>
      <c r="X637" s="470"/>
      <c r="Y637" s="470"/>
      <c r="Z637" s="531"/>
      <c r="AA637" s="470"/>
      <c r="AB637" s="470"/>
      <c r="AC637" s="472"/>
      <c r="AD637" s="472"/>
      <c r="AE637" s="470"/>
      <c r="AF637" s="470"/>
      <c r="AH637" s="529"/>
      <c r="AI637" s="470"/>
      <c r="AJ637" s="470"/>
      <c r="AL637" s="470"/>
      <c r="AM637" s="472"/>
      <c r="AN637" s="472"/>
    </row>
    <row r="638" spans="1:40">
      <c r="C638" s="455"/>
      <c r="J638" s="537"/>
      <c r="K638" s="537"/>
      <c r="T638" s="455"/>
      <c r="V638" s="470"/>
      <c r="W638" s="470"/>
      <c r="X638" s="470"/>
      <c r="Y638" s="470"/>
      <c r="Z638" s="531"/>
    </row>
    <row r="639" spans="1:40">
      <c r="C639" s="455"/>
      <c r="F639" s="476"/>
      <c r="H639" s="476"/>
      <c r="I639" s="476"/>
      <c r="J639" s="531"/>
      <c r="K639" s="531"/>
      <c r="L639" s="470"/>
      <c r="M639" s="470"/>
      <c r="N639" s="472"/>
      <c r="O639" s="472"/>
      <c r="P639" s="470"/>
      <c r="Q639" s="470"/>
      <c r="R639" s="470"/>
      <c r="T639" s="455"/>
      <c r="V639" s="470"/>
      <c r="W639" s="470"/>
      <c r="X639" s="470"/>
      <c r="Y639" s="470"/>
      <c r="Z639" s="531"/>
      <c r="AA639" s="470"/>
      <c r="AB639" s="470"/>
      <c r="AC639" s="472"/>
      <c r="AD639" s="472"/>
      <c r="AE639" s="470"/>
      <c r="AF639" s="470"/>
      <c r="AH639" s="529"/>
      <c r="AI639" s="470"/>
      <c r="AJ639" s="470"/>
      <c r="AL639" s="470"/>
      <c r="AM639" s="472"/>
      <c r="AN639" s="472"/>
    </row>
    <row r="640" spans="1:40">
      <c r="C640" s="455"/>
      <c r="J640" s="537"/>
      <c r="K640" s="537"/>
      <c r="T640" s="455"/>
      <c r="V640" s="470"/>
      <c r="W640" s="470"/>
      <c r="X640" s="470"/>
      <c r="Y640" s="470"/>
      <c r="Z640" s="531"/>
    </row>
    <row r="641" spans="3:40">
      <c r="C641" s="455"/>
      <c r="F641" s="476"/>
      <c r="H641" s="476"/>
      <c r="I641" s="476"/>
      <c r="J641" s="531"/>
      <c r="K641" s="531"/>
      <c r="L641" s="470"/>
      <c r="M641" s="470"/>
      <c r="N641" s="472"/>
      <c r="O641" s="472"/>
      <c r="P641" s="470"/>
      <c r="Q641" s="470"/>
      <c r="R641" s="470"/>
      <c r="T641" s="455"/>
      <c r="V641" s="470"/>
      <c r="W641" s="470"/>
      <c r="X641" s="470"/>
      <c r="Y641" s="470"/>
      <c r="Z641" s="531"/>
      <c r="AA641" s="470"/>
      <c r="AB641" s="470"/>
      <c r="AC641" s="472"/>
      <c r="AD641" s="472"/>
      <c r="AE641" s="470"/>
      <c r="AF641" s="470"/>
      <c r="AH641" s="529"/>
      <c r="AI641" s="470"/>
      <c r="AJ641" s="470"/>
      <c r="AL641" s="470"/>
      <c r="AM641" s="472"/>
      <c r="AN641" s="472"/>
    </row>
    <row r="642" spans="3:40">
      <c r="C642" s="455"/>
      <c r="J642" s="537"/>
      <c r="K642" s="537"/>
      <c r="T642" s="455"/>
      <c r="V642" s="470"/>
      <c r="W642" s="470"/>
      <c r="X642" s="470"/>
      <c r="Y642" s="470"/>
      <c r="Z642" s="531"/>
    </row>
    <row r="643" spans="3:40">
      <c r="C643" s="455"/>
      <c r="F643" s="476"/>
      <c r="H643" s="476"/>
      <c r="I643" s="476"/>
      <c r="J643" s="531"/>
      <c r="K643" s="531"/>
      <c r="L643" s="470"/>
      <c r="M643" s="470"/>
      <c r="N643" s="472"/>
      <c r="O643" s="472"/>
      <c r="P643" s="470"/>
      <c r="Q643" s="470"/>
      <c r="R643" s="470"/>
      <c r="T643" s="455"/>
      <c r="V643" s="470"/>
      <c r="W643" s="470"/>
      <c r="X643" s="470"/>
      <c r="Y643" s="470"/>
      <c r="Z643" s="531"/>
      <c r="AA643" s="470"/>
      <c r="AB643" s="470"/>
      <c r="AC643" s="472"/>
      <c r="AD643" s="472"/>
      <c r="AE643" s="470"/>
      <c r="AF643" s="470"/>
      <c r="AH643" s="529"/>
      <c r="AI643" s="470"/>
      <c r="AJ643" s="470"/>
      <c r="AL643" s="470"/>
      <c r="AM643" s="472"/>
      <c r="AN643" s="472"/>
    </row>
    <row r="644" spans="3:40">
      <c r="C644" s="455"/>
      <c r="J644" s="537"/>
      <c r="K644" s="537"/>
      <c r="T644" s="455"/>
      <c r="V644" s="470"/>
      <c r="W644" s="470"/>
      <c r="X644" s="470"/>
      <c r="Y644" s="470"/>
      <c r="Z644" s="531"/>
    </row>
    <row r="645" spans="3:40">
      <c r="C645" s="455"/>
      <c r="F645" s="476"/>
      <c r="H645" s="476"/>
      <c r="I645" s="476"/>
      <c r="J645" s="531"/>
      <c r="K645" s="531"/>
      <c r="L645" s="470"/>
      <c r="M645" s="470"/>
      <c r="N645" s="472"/>
      <c r="O645" s="472"/>
      <c r="P645" s="470"/>
      <c r="Q645" s="470"/>
      <c r="R645" s="470"/>
      <c r="T645" s="455"/>
      <c r="V645" s="470"/>
      <c r="W645" s="470"/>
      <c r="X645" s="470"/>
      <c r="Y645" s="470"/>
      <c r="Z645" s="531"/>
      <c r="AA645" s="470"/>
      <c r="AB645" s="470"/>
      <c r="AC645" s="472"/>
      <c r="AD645" s="472"/>
      <c r="AE645" s="470"/>
      <c r="AF645" s="470"/>
      <c r="AH645" s="529"/>
      <c r="AI645" s="470"/>
      <c r="AJ645" s="470"/>
      <c r="AL645" s="470"/>
      <c r="AM645" s="472"/>
      <c r="AN645" s="472"/>
    </row>
    <row r="646" spans="3:40">
      <c r="C646" s="455"/>
      <c r="J646" s="537"/>
      <c r="K646" s="537"/>
      <c r="T646" s="455"/>
      <c r="V646" s="470"/>
      <c r="W646" s="470"/>
      <c r="X646" s="470"/>
      <c r="Y646" s="470"/>
      <c r="Z646" s="531"/>
    </row>
    <row r="647" spans="3:40">
      <c r="C647" s="455"/>
      <c r="F647" s="476"/>
      <c r="H647" s="476"/>
      <c r="I647" s="476"/>
      <c r="J647" s="531"/>
      <c r="K647" s="531"/>
      <c r="L647" s="470"/>
      <c r="M647" s="470"/>
      <c r="N647" s="472"/>
      <c r="O647" s="472"/>
      <c r="P647" s="470"/>
      <c r="Q647" s="470"/>
      <c r="R647" s="470"/>
      <c r="T647" s="455"/>
      <c r="V647" s="470"/>
      <c r="W647" s="470"/>
      <c r="X647" s="470"/>
      <c r="Y647" s="470"/>
      <c r="Z647" s="531"/>
      <c r="AA647" s="470"/>
      <c r="AB647" s="470"/>
      <c r="AC647" s="472"/>
      <c r="AD647" s="472"/>
      <c r="AE647" s="470"/>
      <c r="AF647" s="470"/>
      <c r="AH647" s="529"/>
      <c r="AI647" s="470"/>
      <c r="AJ647" s="470"/>
      <c r="AL647" s="470"/>
      <c r="AM647" s="472"/>
      <c r="AN647" s="472"/>
    </row>
    <row r="648" spans="3:40">
      <c r="F648" s="479"/>
      <c r="H648" s="479"/>
      <c r="I648" s="479"/>
      <c r="J648" s="531"/>
      <c r="K648" s="531"/>
      <c r="L648" s="479"/>
      <c r="M648" s="479"/>
      <c r="N648" s="479"/>
      <c r="O648" s="479"/>
      <c r="P648" s="479"/>
      <c r="Q648" s="479"/>
      <c r="R648" s="479"/>
      <c r="V648" s="479"/>
      <c r="Y648" s="479"/>
      <c r="Z648" s="531"/>
      <c r="AA648" s="479"/>
      <c r="AB648" s="479"/>
      <c r="AC648" s="479"/>
      <c r="AD648" s="479"/>
      <c r="AE648" s="479"/>
      <c r="AF648" s="479"/>
      <c r="AI648" s="479"/>
      <c r="AJ648" s="479"/>
      <c r="AK648" s="485"/>
      <c r="AL648" s="479"/>
      <c r="AM648" s="472"/>
      <c r="AN648" s="472"/>
    </row>
    <row r="649" spans="3:40">
      <c r="C649" s="455"/>
      <c r="F649" s="470"/>
      <c r="H649" s="470"/>
      <c r="I649" s="470"/>
      <c r="J649" s="537"/>
      <c r="K649" s="537"/>
      <c r="L649" s="470"/>
      <c r="M649" s="470"/>
      <c r="N649" s="472"/>
      <c r="O649" s="472"/>
      <c r="P649" s="476"/>
      <c r="Q649" s="476"/>
      <c r="R649" s="470"/>
      <c r="T649" s="455"/>
      <c r="V649" s="470"/>
      <c r="W649" s="470"/>
      <c r="X649" s="470"/>
      <c r="Y649" s="470"/>
      <c r="Z649" s="531"/>
      <c r="AA649" s="470"/>
      <c r="AB649" s="470"/>
      <c r="AC649" s="472"/>
      <c r="AD649" s="472"/>
      <c r="AE649" s="470"/>
      <c r="AF649" s="470"/>
      <c r="AH649" s="529"/>
      <c r="AI649" s="476"/>
      <c r="AJ649" s="476"/>
      <c r="AL649" s="470"/>
      <c r="AM649" s="472"/>
      <c r="AN649" s="472"/>
    </row>
    <row r="650" spans="3:40">
      <c r="F650" s="479"/>
      <c r="H650" s="479"/>
      <c r="I650" s="479"/>
      <c r="J650" s="531"/>
      <c r="K650" s="531"/>
      <c r="L650" s="479"/>
      <c r="M650" s="479"/>
      <c r="N650" s="479"/>
      <c r="O650" s="479"/>
      <c r="P650" s="479"/>
      <c r="Q650" s="479"/>
      <c r="R650" s="479"/>
      <c r="V650" s="479"/>
      <c r="Y650" s="479"/>
      <c r="Z650" s="531"/>
      <c r="AA650" s="479"/>
      <c r="AB650" s="479"/>
      <c r="AC650" s="479"/>
      <c r="AD650" s="479"/>
      <c r="AE650" s="479"/>
      <c r="AF650" s="479"/>
      <c r="AI650" s="479"/>
      <c r="AJ650" s="479"/>
      <c r="AK650" s="485"/>
      <c r="AL650" s="479"/>
    </row>
    <row r="651" spans="3:40">
      <c r="C651" s="455"/>
      <c r="D651" s="455"/>
      <c r="E651" s="455"/>
      <c r="J651" s="537"/>
      <c r="K651" s="537"/>
      <c r="T651" s="455"/>
      <c r="U651" s="455"/>
      <c r="V651" s="470"/>
      <c r="W651" s="470"/>
      <c r="X651" s="470"/>
      <c r="Y651" s="470"/>
      <c r="Z651" s="531"/>
    </row>
    <row r="652" spans="3:40">
      <c r="C652" s="455"/>
      <c r="J652" s="537"/>
      <c r="K652" s="537"/>
      <c r="T652" s="455"/>
      <c r="V652" s="470"/>
      <c r="W652" s="470"/>
      <c r="X652" s="470"/>
      <c r="Y652" s="470"/>
      <c r="Z652" s="531"/>
    </row>
    <row r="653" spans="3:40">
      <c r="C653" s="455"/>
      <c r="J653" s="537"/>
      <c r="K653" s="537"/>
      <c r="T653" s="455"/>
      <c r="V653" s="470"/>
      <c r="W653" s="470"/>
      <c r="X653" s="470"/>
      <c r="Y653" s="470"/>
      <c r="Z653" s="531"/>
    </row>
    <row r="654" spans="3:40">
      <c r="C654" s="455"/>
      <c r="F654" s="476"/>
      <c r="H654" s="476"/>
      <c r="I654" s="476"/>
      <c r="J654" s="531"/>
      <c r="K654" s="531"/>
      <c r="L654" s="470"/>
      <c r="M654" s="470"/>
      <c r="N654" s="472"/>
      <c r="O654" s="472"/>
      <c r="P654" s="470"/>
      <c r="Q654" s="470"/>
      <c r="R654" s="470"/>
      <c r="T654" s="455"/>
      <c r="V654" s="470"/>
      <c r="W654" s="470"/>
      <c r="X654" s="470"/>
      <c r="Y654" s="470"/>
      <c r="Z654" s="531"/>
      <c r="AA654" s="470"/>
      <c r="AB654" s="470"/>
      <c r="AC654" s="472"/>
      <c r="AD654" s="472"/>
      <c r="AE654" s="470"/>
      <c r="AF654" s="470"/>
      <c r="AH654" s="529"/>
      <c r="AI654" s="470"/>
      <c r="AJ654" s="470"/>
      <c r="AL654" s="470"/>
      <c r="AM654" s="472"/>
      <c r="AN654" s="472"/>
    </row>
    <row r="655" spans="3:40">
      <c r="C655" s="455"/>
      <c r="J655" s="537"/>
      <c r="K655" s="537"/>
      <c r="T655" s="455"/>
      <c r="V655" s="470"/>
      <c r="W655" s="470"/>
      <c r="X655" s="470"/>
      <c r="Y655" s="470"/>
      <c r="Z655" s="531"/>
    </row>
    <row r="656" spans="3:40">
      <c r="C656" s="455"/>
      <c r="F656" s="476"/>
      <c r="H656" s="476"/>
      <c r="I656" s="476"/>
      <c r="J656" s="531"/>
      <c r="K656" s="531"/>
      <c r="L656" s="470"/>
      <c r="M656" s="470"/>
      <c r="N656" s="472"/>
      <c r="O656" s="472"/>
      <c r="P656" s="470"/>
      <c r="Q656" s="470"/>
      <c r="R656" s="470"/>
      <c r="T656" s="455"/>
      <c r="V656" s="470"/>
      <c r="W656" s="470"/>
      <c r="X656" s="470"/>
      <c r="Y656" s="470"/>
      <c r="Z656" s="531"/>
      <c r="AA656" s="470"/>
      <c r="AB656" s="470"/>
      <c r="AC656" s="472"/>
      <c r="AD656" s="472"/>
      <c r="AE656" s="470"/>
      <c r="AF656" s="470"/>
      <c r="AH656" s="529"/>
      <c r="AI656" s="470"/>
      <c r="AJ656" s="470"/>
      <c r="AL656" s="470"/>
      <c r="AM656" s="472"/>
      <c r="AN656" s="472"/>
    </row>
    <row r="657" spans="3:40">
      <c r="F657" s="479"/>
      <c r="H657" s="479"/>
      <c r="I657" s="479"/>
      <c r="J657" s="531"/>
      <c r="K657" s="531"/>
      <c r="L657" s="479"/>
      <c r="M657" s="479"/>
      <c r="N657" s="479"/>
      <c r="O657" s="479"/>
      <c r="P657" s="479"/>
      <c r="Q657" s="479"/>
      <c r="R657" s="479"/>
      <c r="V657" s="479"/>
      <c r="Y657" s="479"/>
      <c r="Z657" s="484"/>
      <c r="AA657" s="479"/>
      <c r="AB657" s="479"/>
      <c r="AC657" s="479"/>
      <c r="AD657" s="479"/>
      <c r="AE657" s="479"/>
      <c r="AF657" s="479"/>
      <c r="AI657" s="479"/>
      <c r="AJ657" s="479"/>
      <c r="AK657" s="485"/>
      <c r="AL657" s="479"/>
    </row>
    <row r="658" spans="3:40">
      <c r="C658" s="455"/>
      <c r="F658" s="470"/>
      <c r="H658" s="470"/>
      <c r="I658" s="470"/>
      <c r="L658" s="470"/>
      <c r="M658" s="470"/>
      <c r="N658" s="472"/>
      <c r="O658" s="472"/>
      <c r="P658" s="476"/>
      <c r="Q658" s="476"/>
      <c r="R658" s="470"/>
      <c r="T658" s="455"/>
      <c r="V658" s="470"/>
      <c r="W658" s="470"/>
      <c r="X658" s="470"/>
      <c r="Y658" s="470"/>
      <c r="Z658" s="530"/>
      <c r="AA658" s="470"/>
      <c r="AB658" s="470"/>
      <c r="AC658" s="472"/>
      <c r="AD658" s="472"/>
      <c r="AE658" s="470"/>
      <c r="AF658" s="470"/>
      <c r="AH658" s="529"/>
      <c r="AI658" s="476"/>
      <c r="AJ658" s="476"/>
      <c r="AL658" s="470"/>
      <c r="AM658" s="472"/>
      <c r="AN658" s="472"/>
    </row>
    <row r="659" spans="3:40">
      <c r="F659" s="479"/>
      <c r="H659" s="479"/>
      <c r="I659" s="479"/>
      <c r="J659" s="484"/>
      <c r="K659" s="484"/>
      <c r="L659" s="479"/>
      <c r="M659" s="479"/>
      <c r="N659" s="479"/>
      <c r="O659" s="479"/>
      <c r="P659" s="479"/>
      <c r="Q659" s="479"/>
      <c r="R659" s="479"/>
      <c r="V659" s="479"/>
      <c r="Y659" s="479"/>
      <c r="Z659" s="484"/>
      <c r="AA659" s="479"/>
      <c r="AB659" s="479"/>
      <c r="AC659" s="479"/>
      <c r="AD659" s="479"/>
      <c r="AE659" s="479"/>
      <c r="AF659" s="479"/>
      <c r="AI659" s="479"/>
      <c r="AJ659" s="479"/>
      <c r="AK659" s="485"/>
      <c r="AL659" s="479"/>
    </row>
    <row r="660" spans="3:40">
      <c r="C660" s="455"/>
      <c r="D660" s="455"/>
      <c r="E660" s="455"/>
      <c r="T660" s="455"/>
      <c r="U660" s="455"/>
      <c r="V660" s="470"/>
      <c r="W660" s="470"/>
      <c r="X660" s="470"/>
      <c r="Y660" s="470"/>
      <c r="Z660" s="530"/>
    </row>
    <row r="661" spans="3:40">
      <c r="C661" s="455"/>
      <c r="T661" s="455"/>
      <c r="V661" s="470"/>
      <c r="W661" s="470"/>
      <c r="X661" s="470"/>
      <c r="Y661" s="470"/>
      <c r="Z661" s="530"/>
    </row>
    <row r="662" spans="3:40">
      <c r="C662" s="455"/>
      <c r="F662" s="476"/>
      <c r="H662" s="476"/>
      <c r="I662" s="476"/>
      <c r="J662" s="530"/>
      <c r="K662" s="530"/>
      <c r="L662" s="470"/>
      <c r="M662" s="470"/>
      <c r="N662" s="472"/>
      <c r="O662" s="472"/>
      <c r="P662" s="470"/>
      <c r="Q662" s="470"/>
      <c r="R662" s="470"/>
      <c r="T662" s="455"/>
      <c r="V662" s="470"/>
      <c r="W662" s="470"/>
      <c r="X662" s="470"/>
      <c r="Y662" s="470"/>
      <c r="Z662" s="530"/>
      <c r="AA662" s="470"/>
      <c r="AB662" s="470"/>
      <c r="AC662" s="472"/>
      <c r="AD662" s="472"/>
      <c r="AE662" s="470"/>
      <c r="AF662" s="470"/>
      <c r="AH662" s="529"/>
      <c r="AI662" s="470"/>
      <c r="AJ662" s="470"/>
      <c r="AL662" s="470"/>
      <c r="AM662" s="472"/>
      <c r="AN662" s="472"/>
    </row>
    <row r="663" spans="3:40">
      <c r="C663" s="455"/>
      <c r="T663" s="455"/>
      <c r="V663" s="470"/>
      <c r="W663" s="470"/>
      <c r="X663" s="470"/>
      <c r="Y663" s="470"/>
      <c r="Z663" s="530"/>
    </row>
    <row r="664" spans="3:40">
      <c r="C664" s="455"/>
      <c r="F664" s="476"/>
      <c r="H664" s="476"/>
      <c r="I664" s="476"/>
      <c r="J664" s="530"/>
      <c r="K664" s="530"/>
      <c r="L664" s="470"/>
      <c r="M664" s="470"/>
      <c r="N664" s="472"/>
      <c r="O664" s="472"/>
      <c r="P664" s="470"/>
      <c r="Q664" s="470"/>
      <c r="R664" s="470"/>
      <c r="T664" s="455"/>
      <c r="V664" s="470"/>
      <c r="W664" s="470"/>
      <c r="X664" s="470"/>
      <c r="Y664" s="470"/>
      <c r="Z664" s="530"/>
      <c r="AA664" s="470"/>
      <c r="AB664" s="470"/>
      <c r="AC664" s="472"/>
      <c r="AD664" s="472"/>
      <c r="AE664" s="470"/>
      <c r="AF664" s="470"/>
      <c r="AH664" s="529"/>
      <c r="AI664" s="470"/>
      <c r="AJ664" s="470"/>
      <c r="AL664" s="470"/>
      <c r="AM664" s="472"/>
      <c r="AN664" s="472"/>
    </row>
    <row r="665" spans="3:40">
      <c r="C665" s="455"/>
      <c r="T665" s="455"/>
      <c r="V665" s="470"/>
      <c r="W665" s="470"/>
      <c r="X665" s="470"/>
      <c r="Y665" s="470"/>
      <c r="Z665" s="530"/>
    </row>
    <row r="666" spans="3:40">
      <c r="C666" s="455"/>
      <c r="F666" s="476"/>
      <c r="H666" s="476"/>
      <c r="I666" s="476"/>
      <c r="J666" s="530"/>
      <c r="K666" s="530"/>
      <c r="L666" s="470"/>
      <c r="M666" s="470"/>
      <c r="N666" s="472"/>
      <c r="O666" s="472"/>
      <c r="P666" s="470"/>
      <c r="Q666" s="470"/>
      <c r="R666" s="470"/>
      <c r="T666" s="455"/>
      <c r="V666" s="470"/>
      <c r="W666" s="470"/>
      <c r="X666" s="470"/>
      <c r="Y666" s="470"/>
      <c r="Z666" s="530"/>
      <c r="AA666" s="470"/>
      <c r="AB666" s="470"/>
      <c r="AC666" s="472"/>
      <c r="AD666" s="472"/>
      <c r="AE666" s="470"/>
      <c r="AF666" s="470"/>
      <c r="AH666" s="529"/>
      <c r="AI666" s="470"/>
      <c r="AJ666" s="470"/>
      <c r="AL666" s="470"/>
      <c r="AM666" s="472"/>
      <c r="AN666" s="472"/>
    </row>
    <row r="667" spans="3:40">
      <c r="C667" s="455"/>
      <c r="T667" s="455"/>
      <c r="V667" s="470"/>
      <c r="W667" s="470"/>
      <c r="X667" s="470"/>
      <c r="Y667" s="470"/>
      <c r="Z667" s="530"/>
    </row>
    <row r="668" spans="3:40">
      <c r="C668" s="455"/>
      <c r="F668" s="476"/>
      <c r="H668" s="476"/>
      <c r="I668" s="476"/>
      <c r="J668" s="530"/>
      <c r="K668" s="530"/>
      <c r="L668" s="470"/>
      <c r="M668" s="470"/>
      <c r="N668" s="472"/>
      <c r="O668" s="472"/>
      <c r="P668" s="470"/>
      <c r="Q668" s="470"/>
      <c r="R668" s="470"/>
      <c r="T668" s="455"/>
      <c r="V668" s="470"/>
      <c r="W668" s="470"/>
      <c r="X668" s="470"/>
      <c r="Y668" s="470"/>
      <c r="Z668" s="530"/>
      <c r="AA668" s="470"/>
      <c r="AB668" s="470"/>
      <c r="AC668" s="472"/>
      <c r="AD668" s="472"/>
      <c r="AE668" s="470"/>
      <c r="AF668" s="470"/>
      <c r="AH668" s="529"/>
      <c r="AI668" s="470"/>
      <c r="AJ668" s="470"/>
      <c r="AL668" s="470"/>
      <c r="AM668" s="472"/>
      <c r="AN668" s="472"/>
    </row>
    <row r="669" spans="3:40">
      <c r="F669" s="479"/>
      <c r="H669" s="479"/>
      <c r="I669" s="479"/>
      <c r="J669" s="484"/>
      <c r="K669" s="484"/>
      <c r="L669" s="479"/>
      <c r="M669" s="479"/>
      <c r="N669" s="479"/>
      <c r="O669" s="479"/>
      <c r="P669" s="479"/>
      <c r="Q669" s="479"/>
      <c r="R669" s="479"/>
      <c r="V669" s="479"/>
      <c r="Y669" s="479"/>
      <c r="Z669" s="484"/>
      <c r="AA669" s="479"/>
      <c r="AB669" s="479"/>
      <c r="AC669" s="479"/>
      <c r="AD669" s="479"/>
      <c r="AE669" s="479"/>
      <c r="AF669" s="479"/>
      <c r="AI669" s="479"/>
      <c r="AJ669" s="479"/>
      <c r="AK669" s="485"/>
      <c r="AL669" s="479"/>
    </row>
    <row r="670" spans="3:40">
      <c r="C670" s="455"/>
      <c r="F670" s="470"/>
      <c r="H670" s="470"/>
      <c r="I670" s="470"/>
      <c r="L670" s="470"/>
      <c r="M670" s="470"/>
      <c r="N670" s="472"/>
      <c r="O670" s="472"/>
      <c r="P670" s="476"/>
      <c r="Q670" s="476"/>
      <c r="R670" s="470"/>
      <c r="T670" s="455"/>
      <c r="V670" s="470"/>
      <c r="W670" s="470"/>
      <c r="X670" s="470"/>
      <c r="Y670" s="470"/>
      <c r="Z670" s="530"/>
      <c r="AA670" s="470"/>
      <c r="AB670" s="470"/>
      <c r="AC670" s="472"/>
      <c r="AD670" s="472"/>
      <c r="AE670" s="470"/>
      <c r="AF670" s="470"/>
      <c r="AH670" s="529"/>
      <c r="AI670" s="476"/>
      <c r="AJ670" s="476"/>
      <c r="AL670" s="470"/>
      <c r="AM670" s="472"/>
      <c r="AN670" s="472"/>
    </row>
    <row r="671" spans="3:40">
      <c r="F671" s="479"/>
      <c r="H671" s="479"/>
      <c r="I671" s="479"/>
      <c r="J671" s="484"/>
      <c r="K671" s="484"/>
      <c r="L671" s="479"/>
      <c r="M671" s="479"/>
      <c r="N671" s="479"/>
      <c r="O671" s="479"/>
      <c r="P671" s="479"/>
      <c r="Q671" s="479"/>
      <c r="R671" s="479"/>
      <c r="V671" s="479"/>
      <c r="Y671" s="479"/>
      <c r="Z671" s="484"/>
      <c r="AA671" s="479"/>
      <c r="AB671" s="479"/>
      <c r="AC671" s="479"/>
      <c r="AD671" s="479"/>
      <c r="AE671" s="479"/>
      <c r="AF671" s="479"/>
      <c r="AI671" s="479"/>
      <c r="AJ671" s="479"/>
      <c r="AK671" s="485"/>
      <c r="AL671" s="479"/>
    </row>
    <row r="672" spans="3:40">
      <c r="C672" s="455"/>
      <c r="F672" s="470"/>
      <c r="H672" s="470"/>
      <c r="I672" s="470"/>
      <c r="L672" s="470"/>
      <c r="M672" s="470"/>
      <c r="N672" s="472"/>
      <c r="O672" s="472"/>
      <c r="P672" s="470"/>
      <c r="Q672" s="470"/>
      <c r="R672" s="470"/>
      <c r="T672" s="455"/>
      <c r="V672" s="470"/>
      <c r="W672" s="470"/>
      <c r="X672" s="470"/>
      <c r="Y672" s="470"/>
      <c r="AA672" s="470"/>
      <c r="AB672" s="470"/>
      <c r="AC672" s="472"/>
      <c r="AD672" s="472"/>
      <c r="AE672" s="470"/>
      <c r="AF672" s="470"/>
      <c r="AH672" s="529"/>
      <c r="AI672" s="470"/>
      <c r="AJ672" s="470"/>
      <c r="AL672" s="470"/>
      <c r="AM672" s="529"/>
      <c r="AN672" s="529"/>
    </row>
    <row r="673" spans="1:40">
      <c r="F673" s="479"/>
      <c r="H673" s="479"/>
      <c r="I673" s="479"/>
      <c r="J673" s="484"/>
      <c r="K673" s="484"/>
      <c r="L673" s="479"/>
      <c r="M673" s="479"/>
      <c r="N673" s="479"/>
      <c r="O673" s="479"/>
      <c r="P673" s="479"/>
      <c r="Q673" s="479"/>
      <c r="R673" s="479"/>
      <c r="V673" s="479"/>
      <c r="Y673" s="479"/>
      <c r="Z673" s="484"/>
      <c r="AA673" s="479"/>
      <c r="AB673" s="479"/>
      <c r="AC673" s="479"/>
      <c r="AD673" s="479"/>
      <c r="AE673" s="479"/>
      <c r="AF673" s="479"/>
      <c r="AI673" s="479"/>
      <c r="AJ673" s="479"/>
      <c r="AK673" s="485"/>
      <c r="AL673" s="479"/>
    </row>
    <row r="676" spans="1:40">
      <c r="A676" s="455"/>
    </row>
    <row r="678" spans="1:40">
      <c r="H678" s="455"/>
      <c r="I678" s="455"/>
      <c r="Y678" s="455"/>
    </row>
    <row r="680" spans="1:40">
      <c r="L680" s="455"/>
      <c r="M680" s="455"/>
      <c r="AA680" s="455"/>
      <c r="AB680" s="455"/>
    </row>
    <row r="681" spans="1:40">
      <c r="R681" s="455"/>
      <c r="AK681" s="456"/>
      <c r="AL681" s="455"/>
    </row>
    <row r="682" spans="1:40">
      <c r="R682" s="455"/>
      <c r="AK682" s="456"/>
      <c r="AL682" s="455"/>
    </row>
    <row r="683" spans="1:40">
      <c r="A683" s="455"/>
      <c r="R683" s="455"/>
      <c r="AK683" s="456"/>
      <c r="AL683" s="455"/>
    </row>
    <row r="684" spans="1:40">
      <c r="L684" s="455"/>
      <c r="M684" s="455"/>
      <c r="AA684" s="455"/>
      <c r="AB684" s="455"/>
    </row>
    <row r="685" spans="1:40">
      <c r="A685" s="460"/>
      <c r="B685" s="460"/>
      <c r="C685" s="460"/>
      <c r="D685" s="460"/>
      <c r="E685" s="460"/>
      <c r="F685" s="460"/>
      <c r="G685" s="460"/>
      <c r="H685" s="460"/>
      <c r="I685" s="460"/>
      <c r="J685" s="460"/>
      <c r="K685" s="460"/>
      <c r="L685" s="460"/>
      <c r="M685" s="460"/>
      <c r="N685" s="460"/>
      <c r="O685" s="460"/>
      <c r="P685" s="460"/>
      <c r="Q685" s="460"/>
      <c r="R685" s="460"/>
      <c r="T685" s="460"/>
      <c r="U685" s="460"/>
      <c r="V685" s="460"/>
      <c r="W685" s="460"/>
      <c r="X685" s="460"/>
      <c r="Y685" s="460"/>
      <c r="Z685" s="460"/>
      <c r="AA685" s="460"/>
      <c r="AB685" s="460"/>
      <c r="AC685" s="460"/>
      <c r="AD685" s="460"/>
      <c r="AE685" s="460"/>
      <c r="AF685" s="460"/>
      <c r="AG685" s="461"/>
      <c r="AH685" s="460"/>
      <c r="AI685" s="460"/>
      <c r="AJ685" s="460"/>
      <c r="AK685" s="461"/>
      <c r="AL685" s="460"/>
      <c r="AM685" s="460"/>
      <c r="AN685" s="460"/>
    </row>
    <row r="686" spans="1:40">
      <c r="L686" s="462"/>
      <c r="M686" s="462"/>
      <c r="N686" s="462"/>
      <c r="O686" s="462"/>
      <c r="R686" s="462"/>
      <c r="AA686" s="462"/>
      <c r="AB686" s="462"/>
      <c r="AC686" s="462"/>
      <c r="AD686" s="462"/>
      <c r="AE686" s="462"/>
      <c r="AF686" s="462"/>
      <c r="AG686" s="463"/>
      <c r="AH686" s="462"/>
      <c r="AK686" s="463"/>
      <c r="AL686" s="462"/>
      <c r="AM686" s="462"/>
      <c r="AN686" s="462"/>
    </row>
    <row r="687" spans="1:40">
      <c r="L687" s="462"/>
      <c r="M687" s="462"/>
      <c r="N687" s="462"/>
      <c r="O687" s="462"/>
      <c r="R687" s="462"/>
      <c r="Z687" s="462"/>
      <c r="AA687" s="462"/>
      <c r="AB687" s="462"/>
      <c r="AC687" s="462"/>
      <c r="AD687" s="462"/>
      <c r="AE687" s="462"/>
      <c r="AF687" s="462"/>
      <c r="AG687" s="463"/>
      <c r="AH687" s="462"/>
      <c r="AK687" s="463"/>
      <c r="AL687" s="462"/>
      <c r="AM687" s="462"/>
      <c r="AN687" s="462"/>
    </row>
    <row r="688" spans="1:40">
      <c r="A688" s="462"/>
      <c r="C688" s="462"/>
      <c r="D688" s="462"/>
      <c r="E688" s="462"/>
      <c r="F688" s="462"/>
      <c r="J688" s="462"/>
      <c r="K688" s="462"/>
      <c r="L688" s="462"/>
      <c r="M688" s="462"/>
      <c r="N688" s="462"/>
      <c r="O688" s="462"/>
      <c r="P688" s="462"/>
      <c r="Q688" s="462"/>
      <c r="R688" s="462"/>
      <c r="T688" s="462"/>
      <c r="U688" s="462"/>
      <c r="V688" s="462"/>
      <c r="Z688" s="462"/>
      <c r="AA688" s="462"/>
      <c r="AB688" s="462"/>
      <c r="AC688" s="462"/>
      <c r="AD688" s="462"/>
      <c r="AE688" s="462"/>
      <c r="AF688" s="462"/>
      <c r="AG688" s="463"/>
      <c r="AH688" s="462"/>
      <c r="AI688" s="462"/>
      <c r="AJ688" s="462"/>
      <c r="AK688" s="463"/>
      <c r="AL688" s="462"/>
      <c r="AM688" s="462"/>
      <c r="AN688" s="462"/>
    </row>
    <row r="689" spans="1:40">
      <c r="A689" s="462"/>
      <c r="C689" s="462"/>
      <c r="D689" s="462"/>
      <c r="E689" s="462"/>
      <c r="F689" s="462"/>
      <c r="H689" s="462"/>
      <c r="I689" s="462"/>
      <c r="J689" s="462"/>
      <c r="K689" s="462"/>
      <c r="L689" s="462"/>
      <c r="M689" s="462"/>
      <c r="N689" s="462"/>
      <c r="O689" s="462"/>
      <c r="P689" s="462"/>
      <c r="Q689" s="462"/>
      <c r="R689" s="462"/>
      <c r="T689" s="462"/>
      <c r="U689" s="462"/>
      <c r="V689" s="462"/>
      <c r="Y689" s="462"/>
      <c r="Z689" s="462"/>
      <c r="AA689" s="462"/>
      <c r="AB689" s="462"/>
      <c r="AC689" s="462"/>
      <c r="AD689" s="462"/>
      <c r="AE689" s="462"/>
      <c r="AF689" s="462"/>
      <c r="AG689" s="463"/>
      <c r="AH689" s="462"/>
      <c r="AI689" s="462"/>
      <c r="AJ689" s="462"/>
      <c r="AK689" s="463"/>
      <c r="AL689" s="462"/>
      <c r="AM689" s="462"/>
      <c r="AN689" s="462"/>
    </row>
    <row r="690" spans="1:40">
      <c r="C690" s="462"/>
      <c r="D690" s="462"/>
      <c r="E690" s="462"/>
      <c r="F690" s="462"/>
      <c r="H690" s="462"/>
      <c r="I690" s="462"/>
      <c r="J690" s="462"/>
      <c r="K690" s="462"/>
      <c r="L690" s="462"/>
      <c r="M690" s="462"/>
      <c r="N690" s="462"/>
      <c r="O690" s="462"/>
      <c r="P690" s="462"/>
      <c r="Q690" s="462"/>
      <c r="R690" s="462"/>
      <c r="T690" s="462"/>
      <c r="U690" s="462"/>
      <c r="V690" s="462"/>
      <c r="Y690" s="462"/>
      <c r="Z690" s="462"/>
      <c r="AA690" s="462"/>
      <c r="AB690" s="462"/>
      <c r="AC690" s="462"/>
      <c r="AD690" s="462"/>
      <c r="AE690" s="462"/>
      <c r="AF690" s="462"/>
      <c r="AG690" s="463"/>
      <c r="AH690" s="462"/>
      <c r="AI690" s="462"/>
      <c r="AJ690" s="462"/>
      <c r="AK690" s="463"/>
      <c r="AL690" s="462"/>
      <c r="AM690" s="462"/>
      <c r="AN690" s="462"/>
    </row>
    <row r="691" spans="1:40">
      <c r="A691" s="460"/>
      <c r="B691" s="460"/>
      <c r="C691" s="460"/>
      <c r="D691" s="460"/>
      <c r="E691" s="460"/>
      <c r="F691" s="460"/>
      <c r="G691" s="460"/>
      <c r="H691" s="460"/>
      <c r="I691" s="460"/>
      <c r="J691" s="460"/>
      <c r="K691" s="460"/>
      <c r="L691" s="460"/>
      <c r="M691" s="460"/>
      <c r="N691" s="460"/>
      <c r="O691" s="460"/>
      <c r="P691" s="460"/>
      <c r="Q691" s="460"/>
      <c r="R691" s="460"/>
      <c r="T691" s="460"/>
      <c r="U691" s="460"/>
      <c r="V691" s="460"/>
      <c r="W691" s="460"/>
      <c r="X691" s="460"/>
      <c r="Y691" s="460"/>
      <c r="Z691" s="460"/>
      <c r="AA691" s="460"/>
      <c r="AB691" s="460"/>
      <c r="AC691" s="460"/>
      <c r="AD691" s="460"/>
      <c r="AE691" s="460"/>
      <c r="AF691" s="460"/>
      <c r="AG691" s="461"/>
      <c r="AH691" s="460"/>
      <c r="AI691" s="460"/>
      <c r="AJ691" s="460"/>
      <c r="AK691" s="461"/>
      <c r="AL691" s="460"/>
      <c r="AM691" s="460"/>
      <c r="AN691" s="460"/>
    </row>
    <row r="692" spans="1:40">
      <c r="H692" s="462"/>
      <c r="I692" s="462"/>
      <c r="J692" s="462"/>
      <c r="K692" s="462"/>
      <c r="L692" s="462"/>
      <c r="M692" s="462"/>
      <c r="N692" s="462"/>
      <c r="O692" s="462"/>
      <c r="P692" s="462"/>
      <c r="Q692" s="462"/>
      <c r="R692" s="462"/>
      <c r="Y692" s="462"/>
      <c r="Z692" s="462"/>
      <c r="AA692" s="462"/>
      <c r="AB692" s="462"/>
      <c r="AC692" s="462"/>
      <c r="AD692" s="462"/>
      <c r="AE692" s="462"/>
      <c r="AF692" s="462"/>
      <c r="AG692" s="463"/>
      <c r="AH692" s="462"/>
      <c r="AI692" s="462"/>
      <c r="AJ692" s="462"/>
      <c r="AK692" s="463"/>
      <c r="AL692" s="462"/>
      <c r="AM692" s="462"/>
      <c r="AN692" s="462"/>
    </row>
    <row r="693" spans="1:40">
      <c r="C693" s="455"/>
      <c r="D693" s="455"/>
      <c r="E693" s="455"/>
      <c r="F693" s="470"/>
      <c r="H693" s="470"/>
      <c r="I693" s="470"/>
      <c r="J693" s="503"/>
      <c r="K693" s="503"/>
      <c r="L693" s="470"/>
      <c r="M693" s="470"/>
      <c r="N693" s="503"/>
      <c r="O693" s="503"/>
      <c r="P693" s="470"/>
      <c r="Q693" s="470"/>
      <c r="R693" s="470"/>
      <c r="T693" s="455"/>
      <c r="U693" s="455"/>
      <c r="V693" s="470"/>
      <c r="Y693" s="470"/>
      <c r="Z693" s="503"/>
      <c r="AA693" s="470"/>
      <c r="AB693" s="470"/>
      <c r="AC693" s="503"/>
      <c r="AD693" s="503"/>
      <c r="AE693" s="470"/>
      <c r="AF693" s="470"/>
      <c r="AH693" s="529"/>
      <c r="AI693" s="470"/>
      <c r="AJ693" s="470"/>
      <c r="AL693" s="470"/>
      <c r="AM693" s="472"/>
      <c r="AN693" s="472"/>
    </row>
    <row r="694" spans="1:40">
      <c r="F694" s="479"/>
      <c r="H694" s="479"/>
      <c r="I694" s="479"/>
      <c r="J694" s="484"/>
      <c r="K694" s="484"/>
      <c r="L694" s="479"/>
      <c r="M694" s="479"/>
      <c r="N694" s="479"/>
      <c r="O694" s="479"/>
      <c r="P694" s="479"/>
      <c r="Q694" s="479"/>
      <c r="R694" s="479"/>
      <c r="V694" s="479"/>
      <c r="Y694" s="479"/>
      <c r="Z694" s="484"/>
      <c r="AA694" s="479"/>
      <c r="AB694" s="479"/>
      <c r="AC694" s="479"/>
      <c r="AD694" s="479"/>
      <c r="AE694" s="479"/>
      <c r="AF694" s="479"/>
      <c r="AI694" s="479"/>
      <c r="AJ694" s="479"/>
      <c r="AK694" s="485"/>
      <c r="AL694" s="479"/>
      <c r="AM694" s="472"/>
      <c r="AN694" s="472"/>
    </row>
    <row r="695" spans="1:40">
      <c r="C695" s="455"/>
      <c r="F695" s="470"/>
      <c r="H695" s="470"/>
      <c r="I695" s="470"/>
      <c r="J695" s="503"/>
      <c r="K695" s="503"/>
      <c r="L695" s="470"/>
      <c r="M695" s="470"/>
      <c r="N695" s="503"/>
      <c r="O695" s="503"/>
      <c r="P695" s="470"/>
      <c r="Q695" s="470"/>
      <c r="R695" s="470"/>
      <c r="T695" s="455"/>
      <c r="V695" s="470"/>
      <c r="Y695" s="470"/>
      <c r="Z695" s="503"/>
      <c r="AA695" s="470"/>
      <c r="AB695" s="470"/>
      <c r="AC695" s="503"/>
      <c r="AD695" s="503"/>
      <c r="AE695" s="470"/>
      <c r="AF695" s="470"/>
      <c r="AH695" s="529"/>
      <c r="AI695" s="470"/>
      <c r="AJ695" s="470"/>
      <c r="AL695" s="470"/>
      <c r="AM695" s="472"/>
      <c r="AN695" s="472"/>
    </row>
    <row r="696" spans="1:40">
      <c r="F696" s="470"/>
      <c r="H696" s="470"/>
      <c r="I696" s="470"/>
      <c r="J696" s="503"/>
      <c r="K696" s="503"/>
      <c r="L696" s="470"/>
      <c r="M696" s="470"/>
      <c r="N696" s="503"/>
      <c r="O696" s="503"/>
      <c r="P696" s="470"/>
      <c r="Q696" s="470"/>
      <c r="R696" s="470"/>
      <c r="V696" s="470"/>
      <c r="Y696" s="470"/>
      <c r="Z696" s="503"/>
      <c r="AA696" s="470"/>
      <c r="AB696" s="470"/>
      <c r="AC696" s="503"/>
      <c r="AD696" s="503"/>
      <c r="AH696" s="529"/>
      <c r="AI696" s="470"/>
      <c r="AJ696" s="470"/>
      <c r="AL696" s="470"/>
      <c r="AM696" s="472"/>
      <c r="AN696" s="472"/>
    </row>
    <row r="697" spans="1:40">
      <c r="C697" s="455"/>
      <c r="D697" s="455"/>
      <c r="E697" s="455"/>
      <c r="F697" s="470"/>
      <c r="H697" s="470"/>
      <c r="I697" s="470"/>
      <c r="J697" s="503"/>
      <c r="K697" s="503"/>
      <c r="L697" s="470"/>
      <c r="M697" s="470"/>
      <c r="N697" s="503"/>
      <c r="O697" s="503"/>
      <c r="P697" s="470"/>
      <c r="Q697" s="470"/>
      <c r="R697" s="470"/>
      <c r="T697" s="455"/>
      <c r="U697" s="455"/>
      <c r="V697" s="470"/>
      <c r="Y697" s="470"/>
      <c r="Z697" s="503"/>
      <c r="AA697" s="470"/>
      <c r="AB697" s="470"/>
      <c r="AC697" s="503"/>
      <c r="AD697" s="503"/>
      <c r="AE697" s="470"/>
      <c r="AF697" s="470"/>
      <c r="AH697" s="529"/>
      <c r="AI697" s="470"/>
      <c r="AJ697" s="470"/>
      <c r="AL697" s="470"/>
      <c r="AM697" s="472"/>
      <c r="AN697" s="472"/>
    </row>
    <row r="698" spans="1:40">
      <c r="C698" s="455"/>
      <c r="D698" s="455"/>
      <c r="E698" s="455"/>
      <c r="F698" s="470"/>
      <c r="H698" s="470"/>
      <c r="I698" s="470"/>
      <c r="J698" s="503"/>
      <c r="K698" s="503"/>
      <c r="L698" s="470"/>
      <c r="M698" s="470"/>
      <c r="N698" s="503"/>
      <c r="O698" s="503"/>
      <c r="P698" s="470"/>
      <c r="Q698" s="470"/>
      <c r="R698" s="470"/>
      <c r="T698" s="455"/>
      <c r="U698" s="455"/>
      <c r="V698" s="470"/>
      <c r="Y698" s="470"/>
      <c r="Z698" s="503"/>
      <c r="AA698" s="470"/>
      <c r="AB698" s="470"/>
      <c r="AC698" s="503"/>
      <c r="AD698" s="503"/>
      <c r="AE698" s="470"/>
      <c r="AF698" s="470"/>
      <c r="AH698" s="529"/>
      <c r="AI698" s="470"/>
      <c r="AJ698" s="470"/>
      <c r="AL698" s="470"/>
      <c r="AM698" s="472"/>
      <c r="AN698" s="472"/>
    </row>
    <row r="699" spans="1:40">
      <c r="C699" s="455"/>
      <c r="D699" s="455"/>
      <c r="E699" s="455"/>
      <c r="F699" s="470"/>
      <c r="H699" s="470"/>
      <c r="I699" s="470"/>
      <c r="J699" s="503"/>
      <c r="K699" s="503"/>
      <c r="L699" s="470"/>
      <c r="M699" s="470"/>
      <c r="N699" s="503"/>
      <c r="O699" s="503"/>
      <c r="P699" s="470"/>
      <c r="Q699" s="470"/>
      <c r="R699" s="470"/>
      <c r="T699" s="455"/>
      <c r="U699" s="455"/>
      <c r="V699" s="470"/>
      <c r="Y699" s="470"/>
      <c r="Z699" s="503"/>
      <c r="AA699" s="470"/>
      <c r="AB699" s="470"/>
      <c r="AC699" s="503"/>
      <c r="AD699" s="503"/>
      <c r="AE699" s="470"/>
      <c r="AF699" s="470"/>
      <c r="AH699" s="529"/>
      <c r="AI699" s="470"/>
      <c r="AJ699" s="470"/>
      <c r="AL699" s="470"/>
      <c r="AM699" s="472"/>
      <c r="AN699" s="472"/>
    </row>
    <row r="700" spans="1:40">
      <c r="C700" s="455"/>
      <c r="D700" s="455"/>
      <c r="E700" s="455"/>
      <c r="F700" s="470"/>
      <c r="H700" s="470"/>
      <c r="I700" s="470"/>
      <c r="J700" s="503"/>
      <c r="K700" s="503"/>
      <c r="L700" s="470"/>
      <c r="M700" s="470"/>
      <c r="N700" s="503"/>
      <c r="O700" s="503"/>
      <c r="P700" s="470"/>
      <c r="Q700" s="470"/>
      <c r="R700" s="470"/>
      <c r="T700" s="455"/>
      <c r="U700" s="455"/>
      <c r="V700" s="470"/>
      <c r="Y700" s="470"/>
      <c r="Z700" s="503"/>
      <c r="AA700" s="470"/>
      <c r="AB700" s="470"/>
      <c r="AC700" s="503"/>
      <c r="AD700" s="503"/>
      <c r="AE700" s="470"/>
      <c r="AF700" s="470"/>
      <c r="AH700" s="529"/>
      <c r="AI700" s="470"/>
      <c r="AJ700" s="470"/>
      <c r="AL700" s="470"/>
      <c r="AM700" s="472"/>
      <c r="AN700" s="472"/>
    </row>
    <row r="701" spans="1:40">
      <c r="C701" s="455"/>
      <c r="D701" s="455"/>
      <c r="E701" s="455"/>
      <c r="F701" s="470"/>
      <c r="H701" s="470"/>
      <c r="I701" s="470"/>
      <c r="J701" s="503"/>
      <c r="K701" s="503"/>
      <c r="L701" s="470"/>
      <c r="M701" s="470"/>
      <c r="N701" s="503"/>
      <c r="O701" s="503"/>
      <c r="P701" s="470"/>
      <c r="Q701" s="470"/>
      <c r="R701" s="470"/>
      <c r="T701" s="455"/>
      <c r="U701" s="455"/>
      <c r="V701" s="470"/>
      <c r="Y701" s="470"/>
      <c r="Z701" s="503"/>
      <c r="AA701" s="470"/>
      <c r="AB701" s="470"/>
      <c r="AC701" s="503"/>
      <c r="AD701" s="503"/>
      <c r="AE701" s="470"/>
      <c r="AF701" s="470"/>
      <c r="AH701" s="529"/>
      <c r="AI701" s="470"/>
      <c r="AJ701" s="470"/>
      <c r="AL701" s="470"/>
      <c r="AM701" s="472"/>
      <c r="AN701" s="472"/>
    </row>
    <row r="702" spans="1:40">
      <c r="C702" s="455"/>
      <c r="D702" s="455"/>
      <c r="E702" s="455"/>
      <c r="F702" s="470"/>
      <c r="H702" s="470"/>
      <c r="I702" s="470"/>
      <c r="J702" s="503"/>
      <c r="K702" s="503"/>
      <c r="L702" s="470"/>
      <c r="M702" s="470"/>
      <c r="N702" s="503"/>
      <c r="O702" s="503"/>
      <c r="P702" s="470"/>
      <c r="Q702" s="470"/>
      <c r="R702" s="470"/>
      <c r="T702" s="455"/>
      <c r="U702" s="455"/>
      <c r="V702" s="470"/>
      <c r="Y702" s="470"/>
      <c r="Z702" s="503"/>
      <c r="AA702" s="470"/>
      <c r="AB702" s="470"/>
      <c r="AC702" s="503"/>
      <c r="AD702" s="503"/>
      <c r="AE702" s="470"/>
      <c r="AF702" s="470"/>
      <c r="AH702" s="529"/>
      <c r="AI702" s="470"/>
      <c r="AJ702" s="470"/>
      <c r="AL702" s="470"/>
      <c r="AM702" s="472"/>
      <c r="AN702" s="472"/>
    </row>
    <row r="703" spans="1:40">
      <c r="F703" s="479"/>
      <c r="H703" s="479"/>
      <c r="I703" s="479"/>
      <c r="J703" s="484"/>
      <c r="K703" s="484"/>
      <c r="L703" s="479"/>
      <c r="M703" s="479"/>
      <c r="N703" s="479"/>
      <c r="O703" s="479"/>
      <c r="P703" s="479"/>
      <c r="Q703" s="479"/>
      <c r="R703" s="479"/>
      <c r="V703" s="479"/>
      <c r="Y703" s="479"/>
      <c r="Z703" s="484"/>
      <c r="AA703" s="479"/>
      <c r="AB703" s="479"/>
      <c r="AC703" s="479"/>
      <c r="AD703" s="479"/>
      <c r="AE703" s="479"/>
      <c r="AF703" s="479"/>
      <c r="AI703" s="479"/>
      <c r="AJ703" s="479"/>
      <c r="AK703" s="485"/>
      <c r="AL703" s="479"/>
      <c r="AM703" s="472"/>
      <c r="AN703" s="472"/>
    </row>
    <row r="704" spans="1:40">
      <c r="C704" s="455"/>
      <c r="F704" s="470"/>
      <c r="H704" s="470"/>
      <c r="I704" s="470"/>
      <c r="J704" s="503"/>
      <c r="K704" s="503"/>
      <c r="L704" s="470"/>
      <c r="M704" s="470"/>
      <c r="N704" s="503"/>
      <c r="O704" s="503"/>
      <c r="P704" s="470"/>
      <c r="Q704" s="470"/>
      <c r="R704" s="470"/>
      <c r="T704" s="455"/>
      <c r="V704" s="470"/>
      <c r="Y704" s="470"/>
      <c r="Z704" s="503"/>
      <c r="AA704" s="470"/>
      <c r="AB704" s="470"/>
      <c r="AC704" s="503"/>
      <c r="AD704" s="503"/>
      <c r="AE704" s="470"/>
      <c r="AF704" s="470"/>
      <c r="AH704" s="529"/>
      <c r="AI704" s="470"/>
      <c r="AJ704" s="470"/>
      <c r="AL704" s="470"/>
      <c r="AM704" s="472"/>
      <c r="AN704" s="472"/>
    </row>
    <row r="705" spans="3:40">
      <c r="F705" s="470"/>
      <c r="H705" s="470"/>
      <c r="I705" s="470"/>
      <c r="J705" s="503"/>
      <c r="K705" s="503"/>
      <c r="L705" s="470"/>
      <c r="M705" s="470"/>
      <c r="N705" s="503"/>
      <c r="O705" s="503"/>
      <c r="P705" s="470"/>
      <c r="Q705" s="470"/>
      <c r="R705" s="470"/>
      <c r="V705" s="470"/>
      <c r="Y705" s="470"/>
      <c r="Z705" s="503"/>
      <c r="AA705" s="470"/>
      <c r="AB705" s="470"/>
      <c r="AC705" s="503"/>
      <c r="AD705" s="503"/>
      <c r="AH705" s="529"/>
      <c r="AI705" s="470"/>
      <c r="AJ705" s="470"/>
      <c r="AL705" s="470"/>
      <c r="AM705" s="472"/>
      <c r="AN705" s="472"/>
    </row>
    <row r="706" spans="3:40">
      <c r="C706" s="455"/>
      <c r="D706" s="455"/>
      <c r="E706" s="455"/>
      <c r="F706" s="470"/>
      <c r="H706" s="470"/>
      <c r="I706" s="470"/>
      <c r="J706" s="503"/>
      <c r="K706" s="503"/>
      <c r="L706" s="470"/>
      <c r="M706" s="470"/>
      <c r="N706" s="503"/>
      <c r="O706" s="503"/>
      <c r="P706" s="470"/>
      <c r="Q706" s="470"/>
      <c r="R706" s="470"/>
      <c r="T706" s="455"/>
      <c r="U706" s="455"/>
      <c r="V706" s="470"/>
      <c r="Y706" s="470"/>
      <c r="Z706" s="503"/>
      <c r="AA706" s="470"/>
      <c r="AB706" s="470"/>
      <c r="AC706" s="503"/>
      <c r="AD706" s="503"/>
      <c r="AE706" s="470"/>
      <c r="AF706" s="470"/>
      <c r="AH706" s="529"/>
      <c r="AI706" s="470"/>
      <c r="AJ706" s="470"/>
      <c r="AL706" s="470"/>
      <c r="AM706" s="472"/>
      <c r="AN706" s="472"/>
    </row>
    <row r="707" spans="3:40">
      <c r="F707" s="479"/>
      <c r="H707" s="479"/>
      <c r="I707" s="479"/>
      <c r="J707" s="484"/>
      <c r="K707" s="484"/>
      <c r="L707" s="479"/>
      <c r="M707" s="479"/>
      <c r="N707" s="479"/>
      <c r="O707" s="479"/>
      <c r="P707" s="479"/>
      <c r="Q707" s="479"/>
      <c r="R707" s="479"/>
      <c r="V707" s="479"/>
      <c r="Y707" s="479"/>
      <c r="Z707" s="484"/>
      <c r="AA707" s="479"/>
      <c r="AB707" s="479"/>
      <c r="AC707" s="479"/>
      <c r="AD707" s="479"/>
      <c r="AE707" s="479"/>
      <c r="AF707" s="479"/>
      <c r="AI707" s="479"/>
      <c r="AJ707" s="479"/>
      <c r="AK707" s="485"/>
      <c r="AL707" s="479"/>
      <c r="AM707" s="472"/>
      <c r="AN707" s="472"/>
    </row>
    <row r="708" spans="3:40">
      <c r="C708" s="455"/>
      <c r="F708" s="470"/>
      <c r="H708" s="470"/>
      <c r="I708" s="470"/>
      <c r="J708" s="503"/>
      <c r="K708" s="503"/>
      <c r="L708" s="470"/>
      <c r="M708" s="470"/>
      <c r="N708" s="503"/>
      <c r="O708" s="503"/>
      <c r="P708" s="470"/>
      <c r="Q708" s="470"/>
      <c r="R708" s="470"/>
      <c r="T708" s="455"/>
      <c r="V708" s="470"/>
      <c r="Y708" s="470"/>
      <c r="Z708" s="503"/>
      <c r="AA708" s="470"/>
      <c r="AB708" s="470"/>
      <c r="AC708" s="503"/>
      <c r="AD708" s="503"/>
      <c r="AE708" s="470"/>
      <c r="AF708" s="470"/>
      <c r="AH708" s="529"/>
      <c r="AI708" s="470"/>
      <c r="AJ708" s="470"/>
      <c r="AL708" s="470"/>
      <c r="AM708" s="472"/>
      <c r="AN708" s="472"/>
    </row>
    <row r="709" spans="3:40">
      <c r="F709" s="470"/>
      <c r="H709" s="470"/>
      <c r="I709" s="470"/>
      <c r="J709" s="503"/>
      <c r="K709" s="503"/>
      <c r="L709" s="470"/>
      <c r="M709" s="470"/>
      <c r="N709" s="503"/>
      <c r="O709" s="503"/>
      <c r="P709" s="470"/>
      <c r="Q709" s="470"/>
      <c r="R709" s="470"/>
      <c r="V709" s="470"/>
      <c r="Y709" s="470"/>
      <c r="Z709" s="503"/>
      <c r="AA709" s="470"/>
      <c r="AB709" s="470"/>
      <c r="AC709" s="503"/>
      <c r="AD709" s="503"/>
      <c r="AH709" s="529"/>
      <c r="AI709" s="470"/>
      <c r="AJ709" s="470"/>
      <c r="AL709" s="470"/>
      <c r="AM709" s="472"/>
      <c r="AN709" s="472"/>
    </row>
    <row r="710" spans="3:40">
      <c r="C710" s="455"/>
      <c r="D710" s="455"/>
      <c r="E710" s="455"/>
      <c r="F710" s="470"/>
      <c r="H710" s="470"/>
      <c r="I710" s="470"/>
      <c r="J710" s="503"/>
      <c r="K710" s="503"/>
      <c r="L710" s="470"/>
      <c r="M710" s="470"/>
      <c r="N710" s="503"/>
      <c r="O710" s="503"/>
      <c r="P710" s="470"/>
      <c r="Q710" s="470"/>
      <c r="R710" s="470"/>
      <c r="T710" s="455"/>
      <c r="U710" s="455"/>
      <c r="V710" s="470"/>
      <c r="Y710" s="470"/>
      <c r="Z710" s="503"/>
      <c r="AA710" s="470"/>
      <c r="AB710" s="470"/>
      <c r="AC710" s="503"/>
      <c r="AD710" s="503"/>
      <c r="AE710" s="470"/>
      <c r="AF710" s="470"/>
      <c r="AH710" s="529"/>
      <c r="AI710" s="470"/>
      <c r="AJ710" s="470"/>
      <c r="AL710" s="470"/>
      <c r="AM710" s="472"/>
      <c r="AN710" s="472"/>
    </row>
    <row r="711" spans="3:40">
      <c r="C711" s="455"/>
      <c r="D711" s="455"/>
      <c r="E711" s="455"/>
      <c r="F711" s="470"/>
      <c r="G711" s="470"/>
      <c r="H711" s="470"/>
      <c r="I711" s="470"/>
      <c r="J711" s="503"/>
      <c r="K711" s="503"/>
      <c r="L711" s="470"/>
      <c r="M711" s="470"/>
      <c r="N711" s="503"/>
      <c r="O711" s="503"/>
      <c r="P711" s="470"/>
      <c r="Q711" s="470"/>
      <c r="R711" s="470"/>
      <c r="T711" s="455"/>
      <c r="U711" s="455"/>
      <c r="V711" s="470"/>
      <c r="W711" s="470"/>
      <c r="X711" s="470"/>
      <c r="Y711" s="470"/>
      <c r="Z711" s="503"/>
      <c r="AA711" s="470"/>
      <c r="AB711" s="470"/>
      <c r="AC711" s="503"/>
      <c r="AD711" s="503"/>
      <c r="AE711" s="470"/>
      <c r="AF711" s="470"/>
      <c r="AH711" s="529"/>
      <c r="AI711" s="470"/>
      <c r="AJ711" s="470"/>
      <c r="AL711" s="470"/>
      <c r="AM711" s="472"/>
      <c r="AN711" s="472"/>
    </row>
    <row r="712" spans="3:40">
      <c r="C712" s="455"/>
      <c r="D712" s="455"/>
      <c r="E712" s="455"/>
      <c r="F712" s="470"/>
      <c r="G712" s="470"/>
      <c r="H712" s="470"/>
      <c r="I712" s="470"/>
      <c r="J712" s="503"/>
      <c r="K712" s="503"/>
      <c r="L712" s="470"/>
      <c r="M712" s="470"/>
      <c r="N712" s="503"/>
      <c r="O712" s="503"/>
      <c r="P712" s="470"/>
      <c r="Q712" s="470"/>
      <c r="R712" s="470"/>
      <c r="T712" s="455"/>
      <c r="U712" s="455"/>
      <c r="V712" s="470"/>
      <c r="W712" s="470"/>
      <c r="X712" s="470"/>
      <c r="Y712" s="470"/>
      <c r="Z712" s="503"/>
      <c r="AA712" s="470"/>
      <c r="AB712" s="470"/>
      <c r="AC712" s="503"/>
      <c r="AD712" s="503"/>
      <c r="AE712" s="470"/>
      <c r="AF712" s="470"/>
      <c r="AH712" s="529"/>
      <c r="AI712" s="470"/>
      <c r="AJ712" s="470"/>
      <c r="AL712" s="470"/>
      <c r="AM712" s="472"/>
      <c r="AN712" s="472"/>
    </row>
    <row r="713" spans="3:40">
      <c r="C713" s="455"/>
      <c r="D713" s="455"/>
      <c r="E713" s="455"/>
      <c r="F713" s="470"/>
      <c r="H713" s="470"/>
      <c r="I713" s="470"/>
      <c r="J713" s="503"/>
      <c r="K713" s="503"/>
      <c r="L713" s="470"/>
      <c r="M713" s="470"/>
      <c r="N713" s="503"/>
      <c r="O713" s="503"/>
      <c r="P713" s="470"/>
      <c r="Q713" s="470"/>
      <c r="R713" s="470"/>
      <c r="T713" s="455"/>
      <c r="U713" s="455"/>
      <c r="V713" s="470"/>
      <c r="Y713" s="470"/>
      <c r="Z713" s="503"/>
      <c r="AA713" s="470"/>
      <c r="AB713" s="470"/>
      <c r="AC713" s="503"/>
      <c r="AD713" s="503"/>
      <c r="AE713" s="470"/>
      <c r="AF713" s="470"/>
      <c r="AH713" s="529"/>
      <c r="AI713" s="470"/>
      <c r="AJ713" s="470"/>
      <c r="AL713" s="470"/>
      <c r="AM713" s="472"/>
      <c r="AN713" s="472"/>
    </row>
    <row r="714" spans="3:40">
      <c r="C714" s="455"/>
      <c r="D714" s="455"/>
      <c r="E714" s="455"/>
      <c r="F714" s="470"/>
      <c r="H714" s="470"/>
      <c r="I714" s="470"/>
      <c r="J714" s="503"/>
      <c r="K714" s="503"/>
      <c r="L714" s="470"/>
      <c r="M714" s="470"/>
      <c r="N714" s="503"/>
      <c r="O714" s="503"/>
      <c r="P714" s="470"/>
      <c r="Q714" s="470"/>
      <c r="R714" s="470"/>
      <c r="T714" s="455"/>
      <c r="U714" s="455"/>
      <c r="V714" s="470"/>
      <c r="Y714" s="470"/>
      <c r="Z714" s="503"/>
      <c r="AA714" s="470"/>
      <c r="AB714" s="470"/>
      <c r="AC714" s="503"/>
      <c r="AD714" s="503"/>
      <c r="AE714" s="470"/>
      <c r="AF714" s="470"/>
      <c r="AH714" s="529"/>
      <c r="AI714" s="470"/>
      <c r="AJ714" s="470"/>
      <c r="AL714" s="470"/>
      <c r="AM714" s="472"/>
      <c r="AN714" s="472"/>
    </row>
    <row r="715" spans="3:40">
      <c r="C715" s="455"/>
      <c r="D715" s="455"/>
      <c r="E715" s="455"/>
      <c r="F715" s="470"/>
      <c r="H715" s="470"/>
      <c r="I715" s="470"/>
      <c r="J715" s="503"/>
      <c r="K715" s="503"/>
      <c r="L715" s="470"/>
      <c r="M715" s="470"/>
      <c r="N715" s="503"/>
      <c r="O715" s="503"/>
      <c r="P715" s="470"/>
      <c r="Q715" s="470"/>
      <c r="R715" s="470"/>
      <c r="T715" s="455"/>
      <c r="U715" s="455"/>
      <c r="V715" s="470"/>
      <c r="Y715" s="470"/>
      <c r="Z715" s="503"/>
      <c r="AA715" s="470"/>
      <c r="AB715" s="470"/>
      <c r="AC715" s="503"/>
      <c r="AD715" s="503"/>
      <c r="AE715" s="470"/>
      <c r="AF715" s="470"/>
      <c r="AH715" s="529"/>
      <c r="AI715" s="470"/>
      <c r="AJ715" s="470"/>
      <c r="AL715" s="470"/>
      <c r="AM715" s="472"/>
      <c r="AN715" s="472"/>
    </row>
    <row r="716" spans="3:40">
      <c r="C716" s="455"/>
      <c r="D716" s="455"/>
      <c r="E716" s="455"/>
      <c r="F716" s="470"/>
      <c r="H716" s="470"/>
      <c r="I716" s="470"/>
      <c r="J716" s="503"/>
      <c r="K716" s="503"/>
      <c r="L716" s="470"/>
      <c r="M716" s="470"/>
      <c r="N716" s="503"/>
      <c r="O716" s="503"/>
      <c r="P716" s="470"/>
      <c r="Q716" s="470"/>
      <c r="R716" s="470"/>
      <c r="T716" s="455"/>
      <c r="U716" s="455"/>
      <c r="V716" s="470"/>
      <c r="Y716" s="470"/>
      <c r="Z716" s="503"/>
      <c r="AA716" s="470"/>
      <c r="AB716" s="470"/>
      <c r="AC716" s="503"/>
      <c r="AD716" s="503"/>
      <c r="AE716" s="470"/>
      <c r="AF716" s="470"/>
      <c r="AH716" s="529"/>
      <c r="AI716" s="470"/>
      <c r="AJ716" s="470"/>
      <c r="AL716" s="470"/>
      <c r="AM716" s="472"/>
      <c r="AN716" s="472"/>
    </row>
    <row r="717" spans="3:40">
      <c r="F717" s="479"/>
      <c r="H717" s="479"/>
      <c r="I717" s="479"/>
      <c r="J717" s="484"/>
      <c r="K717" s="484"/>
      <c r="L717" s="479"/>
      <c r="M717" s="479"/>
      <c r="N717" s="479"/>
      <c r="O717" s="479"/>
      <c r="P717" s="479"/>
      <c r="Q717" s="479"/>
      <c r="R717" s="479"/>
      <c r="V717" s="479"/>
      <c r="Y717" s="479"/>
      <c r="Z717" s="484"/>
      <c r="AA717" s="479"/>
      <c r="AB717" s="479"/>
      <c r="AC717" s="479"/>
      <c r="AD717" s="479"/>
      <c r="AE717" s="479"/>
      <c r="AF717" s="479"/>
      <c r="AI717" s="479"/>
      <c r="AJ717" s="479"/>
      <c r="AK717" s="485"/>
      <c r="AL717" s="479"/>
      <c r="AM717" s="472"/>
      <c r="AN717" s="472"/>
    </row>
    <row r="718" spans="3:40">
      <c r="C718" s="455"/>
      <c r="F718" s="470"/>
      <c r="H718" s="470"/>
      <c r="I718" s="470"/>
      <c r="J718" s="503"/>
      <c r="K718" s="503"/>
      <c r="L718" s="470"/>
      <c r="M718" s="470"/>
      <c r="N718" s="503"/>
      <c r="O718" s="503"/>
      <c r="P718" s="470"/>
      <c r="Q718" s="470"/>
      <c r="R718" s="470"/>
      <c r="T718" s="455"/>
      <c r="V718" s="470"/>
      <c r="Y718" s="470"/>
      <c r="Z718" s="503"/>
      <c r="AA718" s="470"/>
      <c r="AB718" s="470"/>
      <c r="AC718" s="503"/>
      <c r="AD718" s="503"/>
      <c r="AE718" s="470"/>
      <c r="AF718" s="470"/>
      <c r="AH718" s="529"/>
      <c r="AI718" s="470"/>
      <c r="AJ718" s="470"/>
      <c r="AL718" s="470"/>
      <c r="AM718" s="472"/>
      <c r="AN718" s="472"/>
    </row>
    <row r="719" spans="3:40">
      <c r="V719" s="470"/>
      <c r="Y719" s="470"/>
      <c r="Z719" s="484"/>
      <c r="AA719" s="470"/>
      <c r="AB719" s="470"/>
      <c r="AC719" s="470"/>
      <c r="AD719" s="470"/>
      <c r="AE719" s="470"/>
      <c r="AF719" s="470"/>
      <c r="AI719" s="470"/>
      <c r="AJ719" s="470"/>
      <c r="AL719" s="470"/>
      <c r="AM719" s="472"/>
      <c r="AN719" s="472"/>
    </row>
    <row r="720" spans="3:40">
      <c r="C720" s="455"/>
      <c r="D720" s="455"/>
      <c r="E720" s="455"/>
      <c r="L720" s="470"/>
      <c r="M720" s="470"/>
      <c r="N720" s="503"/>
      <c r="O720" s="503"/>
      <c r="R720" s="470"/>
      <c r="T720" s="455"/>
      <c r="U720" s="455"/>
      <c r="AA720" s="470"/>
      <c r="AB720" s="470"/>
      <c r="AC720" s="503"/>
      <c r="AD720" s="503"/>
      <c r="AE720" s="470"/>
      <c r="AF720" s="470"/>
      <c r="AH720" s="529"/>
      <c r="AL720" s="470"/>
      <c r="AM720" s="472"/>
      <c r="AN720" s="472"/>
    </row>
    <row r="721" spans="1:40">
      <c r="D721" s="455"/>
      <c r="E721" s="455"/>
      <c r="F721" s="476"/>
      <c r="H721" s="476"/>
      <c r="I721" s="476"/>
      <c r="J721" s="503"/>
      <c r="K721" s="503"/>
      <c r="L721" s="470"/>
      <c r="M721" s="470"/>
      <c r="N721" s="503"/>
      <c r="O721" s="503"/>
      <c r="P721" s="476"/>
      <c r="Q721" s="476"/>
      <c r="R721" s="470"/>
      <c r="U721" s="455"/>
      <c r="V721" s="470"/>
      <c r="Y721" s="470"/>
      <c r="Z721" s="503"/>
      <c r="AA721" s="470"/>
      <c r="AB721" s="470"/>
      <c r="AC721" s="503"/>
      <c r="AD721" s="503"/>
      <c r="AE721" s="470"/>
      <c r="AF721" s="470"/>
      <c r="AH721" s="529"/>
      <c r="AI721" s="470"/>
      <c r="AJ721" s="470"/>
      <c r="AL721" s="470"/>
      <c r="AM721" s="472"/>
      <c r="AN721" s="472"/>
    </row>
    <row r="722" spans="1:40">
      <c r="F722" s="479"/>
      <c r="H722" s="479"/>
      <c r="I722" s="479"/>
      <c r="J722" s="484"/>
      <c r="K722" s="484"/>
      <c r="L722" s="479"/>
      <c r="M722" s="479"/>
      <c r="N722" s="479"/>
      <c r="O722" s="479"/>
      <c r="P722" s="479"/>
      <c r="Q722" s="479"/>
      <c r="R722" s="479"/>
      <c r="V722" s="479"/>
      <c r="Y722" s="479"/>
      <c r="Z722" s="484"/>
      <c r="AA722" s="479"/>
      <c r="AB722" s="479"/>
      <c r="AC722" s="479"/>
      <c r="AD722" s="479"/>
      <c r="AE722" s="479"/>
      <c r="AF722" s="479"/>
      <c r="AI722" s="479"/>
      <c r="AJ722" s="479"/>
      <c r="AK722" s="485"/>
      <c r="AL722" s="479"/>
      <c r="AM722" s="472"/>
      <c r="AN722" s="472"/>
    </row>
    <row r="723" spans="1:40">
      <c r="C723" s="455"/>
      <c r="F723" s="470"/>
      <c r="H723" s="470"/>
      <c r="I723" s="470"/>
      <c r="J723" s="503"/>
      <c r="K723" s="503"/>
      <c r="L723" s="470"/>
      <c r="M723" s="470"/>
      <c r="N723" s="503"/>
      <c r="O723" s="503"/>
      <c r="P723" s="470"/>
      <c r="Q723" s="470"/>
      <c r="R723" s="470"/>
      <c r="T723" s="455"/>
      <c r="V723" s="470"/>
      <c r="Y723" s="470"/>
      <c r="Z723" s="503"/>
      <c r="AA723" s="470"/>
      <c r="AB723" s="470"/>
      <c r="AC723" s="503"/>
      <c r="AD723" s="503"/>
      <c r="AE723" s="470"/>
      <c r="AF723" s="470"/>
      <c r="AH723" s="529"/>
      <c r="AI723" s="470"/>
      <c r="AJ723" s="470"/>
      <c r="AL723" s="470"/>
      <c r="AM723" s="472"/>
      <c r="AN723" s="472"/>
    </row>
    <row r="724" spans="1:40">
      <c r="F724" s="470"/>
      <c r="H724" s="470"/>
      <c r="I724" s="470"/>
      <c r="J724" s="503"/>
      <c r="K724" s="503"/>
      <c r="L724" s="470"/>
      <c r="M724" s="470"/>
      <c r="N724" s="503"/>
      <c r="O724" s="503"/>
      <c r="P724" s="470"/>
      <c r="Q724" s="470"/>
      <c r="R724" s="470"/>
      <c r="V724" s="470"/>
      <c r="Y724" s="470"/>
      <c r="Z724" s="503"/>
      <c r="AA724" s="470"/>
      <c r="AB724" s="470"/>
      <c r="AC724" s="503"/>
      <c r="AD724" s="503"/>
      <c r="AH724" s="529"/>
      <c r="AI724" s="470"/>
      <c r="AJ724" s="470"/>
      <c r="AL724" s="470"/>
      <c r="AM724" s="472"/>
      <c r="AN724" s="472"/>
    </row>
    <row r="725" spans="1:40">
      <c r="D725" s="455"/>
      <c r="E725" s="455"/>
      <c r="F725" s="470"/>
      <c r="H725" s="470"/>
      <c r="I725" s="470"/>
      <c r="J725" s="503"/>
      <c r="K725" s="503"/>
      <c r="L725" s="476"/>
      <c r="M725" s="476"/>
      <c r="N725" s="503"/>
      <c r="O725" s="503"/>
      <c r="P725" s="470"/>
      <c r="Q725" s="470"/>
      <c r="R725" s="470"/>
      <c r="U725" s="455"/>
      <c r="V725" s="470"/>
      <c r="Y725" s="470"/>
      <c r="Z725" s="503"/>
      <c r="AA725" s="476"/>
      <c r="AB725" s="476"/>
      <c r="AC725" s="503"/>
      <c r="AD725" s="503"/>
      <c r="AE725" s="470"/>
      <c r="AF725" s="470"/>
      <c r="AH725" s="529"/>
      <c r="AI725" s="470"/>
      <c r="AJ725" s="470"/>
      <c r="AL725" s="470"/>
      <c r="AM725" s="472"/>
      <c r="AN725" s="472"/>
    </row>
    <row r="726" spans="1:40">
      <c r="D726" s="455"/>
      <c r="E726" s="455"/>
      <c r="F726" s="470"/>
      <c r="H726" s="470"/>
      <c r="I726" s="470"/>
      <c r="J726" s="503"/>
      <c r="K726" s="503"/>
      <c r="L726" s="476"/>
      <c r="M726" s="476"/>
      <c r="N726" s="503"/>
      <c r="O726" s="503"/>
      <c r="P726" s="470"/>
      <c r="Q726" s="470"/>
      <c r="R726" s="470"/>
      <c r="U726" s="455"/>
      <c r="V726" s="470"/>
      <c r="Y726" s="470"/>
      <c r="Z726" s="503"/>
      <c r="AA726" s="476"/>
      <c r="AB726" s="476"/>
      <c r="AC726" s="503"/>
      <c r="AD726" s="503"/>
      <c r="AE726" s="470"/>
      <c r="AF726" s="470"/>
      <c r="AH726" s="529"/>
      <c r="AI726" s="470"/>
      <c r="AJ726" s="470"/>
      <c r="AL726" s="470"/>
      <c r="AM726" s="472"/>
      <c r="AN726" s="472"/>
    </row>
    <row r="727" spans="1:40">
      <c r="D727" s="455"/>
      <c r="E727" s="455"/>
      <c r="F727" s="470"/>
      <c r="H727" s="470"/>
      <c r="I727" s="470"/>
      <c r="J727" s="503"/>
      <c r="K727" s="503"/>
      <c r="L727" s="476"/>
      <c r="M727" s="476"/>
      <c r="N727" s="503"/>
      <c r="O727" s="503"/>
      <c r="P727" s="470"/>
      <c r="Q727" s="470"/>
      <c r="R727" s="470"/>
      <c r="U727" s="455"/>
      <c r="V727" s="470"/>
      <c r="Y727" s="470"/>
      <c r="Z727" s="503"/>
      <c r="AA727" s="476"/>
      <c r="AB727" s="476"/>
      <c r="AC727" s="503"/>
      <c r="AD727" s="503"/>
      <c r="AE727" s="470"/>
      <c r="AF727" s="470"/>
      <c r="AH727" s="529"/>
      <c r="AI727" s="470"/>
      <c r="AJ727" s="470"/>
      <c r="AL727" s="470"/>
      <c r="AM727" s="472"/>
      <c r="AN727" s="472"/>
    </row>
    <row r="728" spans="1:40">
      <c r="F728" s="479"/>
      <c r="H728" s="479"/>
      <c r="I728" s="479"/>
      <c r="J728" s="484"/>
      <c r="K728" s="484"/>
      <c r="L728" s="479"/>
      <c r="M728" s="479"/>
      <c r="N728" s="479"/>
      <c r="O728" s="479"/>
      <c r="P728" s="479"/>
      <c r="Q728" s="479"/>
      <c r="R728" s="479"/>
      <c r="V728" s="479"/>
      <c r="Y728" s="479"/>
      <c r="Z728" s="484"/>
      <c r="AA728" s="479"/>
      <c r="AB728" s="479"/>
      <c r="AC728" s="479"/>
      <c r="AD728" s="479"/>
      <c r="AE728" s="479"/>
      <c r="AF728" s="479"/>
      <c r="AI728" s="479"/>
      <c r="AJ728" s="479"/>
      <c r="AK728" s="485"/>
      <c r="AL728" s="479"/>
      <c r="AM728" s="472"/>
      <c r="AN728" s="472"/>
    </row>
    <row r="729" spans="1:40">
      <c r="C729" s="455"/>
      <c r="F729" s="470"/>
      <c r="H729" s="470"/>
      <c r="I729" s="470"/>
      <c r="J729" s="503"/>
      <c r="K729" s="503"/>
      <c r="L729" s="470"/>
      <c r="M729" s="470"/>
      <c r="N729" s="503"/>
      <c r="O729" s="503"/>
      <c r="P729" s="470"/>
      <c r="Q729" s="470"/>
      <c r="R729" s="470"/>
      <c r="T729" s="455"/>
      <c r="V729" s="470"/>
      <c r="Y729" s="470"/>
      <c r="Z729" s="503"/>
      <c r="AA729" s="470"/>
      <c r="AB729" s="470"/>
      <c r="AC729" s="503"/>
      <c r="AD729" s="503"/>
      <c r="AE729" s="470"/>
      <c r="AF729" s="470"/>
      <c r="AH729" s="529"/>
      <c r="AI729" s="470"/>
      <c r="AJ729" s="470"/>
      <c r="AL729" s="470"/>
      <c r="AM729" s="472"/>
      <c r="AN729" s="472"/>
    </row>
    <row r="730" spans="1:40">
      <c r="F730" s="470"/>
      <c r="H730" s="470"/>
      <c r="I730" s="470"/>
      <c r="J730" s="503"/>
      <c r="K730" s="503"/>
      <c r="L730" s="470"/>
      <c r="M730" s="470"/>
      <c r="N730" s="503"/>
      <c r="O730" s="503"/>
      <c r="P730" s="470"/>
      <c r="Q730" s="470"/>
      <c r="R730" s="470"/>
      <c r="V730" s="470"/>
      <c r="Y730" s="470"/>
      <c r="Z730" s="503"/>
      <c r="AA730" s="470"/>
      <c r="AB730" s="470"/>
      <c r="AC730" s="503"/>
      <c r="AD730" s="503"/>
      <c r="AH730" s="529"/>
      <c r="AI730" s="470"/>
      <c r="AJ730" s="470"/>
      <c r="AL730" s="470"/>
      <c r="AM730" s="472"/>
      <c r="AN730" s="472"/>
    </row>
    <row r="731" spans="1:40">
      <c r="C731" s="455"/>
      <c r="F731" s="470"/>
      <c r="H731" s="470"/>
      <c r="I731" s="470"/>
      <c r="J731" s="503"/>
      <c r="K731" s="503"/>
      <c r="L731" s="470"/>
      <c r="M731" s="470"/>
      <c r="N731" s="503"/>
      <c r="O731" s="503"/>
      <c r="P731" s="470"/>
      <c r="Q731" s="470"/>
      <c r="R731" s="470"/>
      <c r="T731" s="455"/>
      <c r="V731" s="470"/>
      <c r="Y731" s="470"/>
      <c r="Z731" s="503"/>
      <c r="AA731" s="470"/>
      <c r="AB731" s="470"/>
      <c r="AC731" s="503"/>
      <c r="AD731" s="503"/>
      <c r="AE731" s="470"/>
      <c r="AF731" s="470"/>
      <c r="AH731" s="529"/>
      <c r="AI731" s="470"/>
      <c r="AJ731" s="470"/>
      <c r="AL731" s="470"/>
      <c r="AM731" s="472"/>
      <c r="AN731" s="472"/>
    </row>
    <row r="732" spans="1:40">
      <c r="F732" s="479"/>
      <c r="H732" s="479"/>
      <c r="I732" s="479"/>
      <c r="J732" s="484"/>
      <c r="K732" s="484"/>
      <c r="L732" s="479"/>
      <c r="M732" s="479"/>
      <c r="N732" s="479"/>
      <c r="O732" s="479"/>
      <c r="P732" s="479"/>
      <c r="Q732" s="479"/>
      <c r="R732" s="479"/>
      <c r="V732" s="479"/>
      <c r="Y732" s="479"/>
      <c r="Z732" s="484"/>
      <c r="AA732" s="479"/>
      <c r="AB732" s="479"/>
      <c r="AC732" s="479"/>
      <c r="AD732" s="479"/>
      <c r="AE732" s="479"/>
      <c r="AF732" s="479"/>
      <c r="AI732" s="479"/>
      <c r="AJ732" s="479"/>
      <c r="AK732" s="485"/>
      <c r="AL732" s="479"/>
    </row>
    <row r="734" spans="1:40">
      <c r="C734" s="455"/>
      <c r="L734" s="470"/>
      <c r="M734" s="470"/>
      <c r="P734" s="470"/>
      <c r="Q734" s="470"/>
      <c r="R734" s="470"/>
      <c r="T734" s="455"/>
    </row>
    <row r="735" spans="1:40">
      <c r="A735" s="455"/>
      <c r="L735" s="470"/>
      <c r="M735" s="470"/>
      <c r="P735" s="470"/>
      <c r="Q735" s="470"/>
      <c r="R735" s="470"/>
    </row>
    <row r="736" spans="1:40">
      <c r="L736" s="470"/>
      <c r="M736" s="470"/>
      <c r="P736" s="470"/>
      <c r="Q736" s="470"/>
      <c r="R736" s="470"/>
    </row>
    <row r="737" spans="12:18">
      <c r="L737" s="470"/>
      <c r="M737" s="470"/>
      <c r="P737" s="470"/>
      <c r="Q737" s="470"/>
      <c r="R737" s="470"/>
    </row>
    <row r="738" spans="12:18">
      <c r="L738" s="470"/>
      <c r="M738" s="470"/>
      <c r="P738" s="470"/>
      <c r="Q738" s="470"/>
      <c r="R738" s="470"/>
    </row>
    <row r="739" spans="12:18">
      <c r="L739" s="470"/>
      <c r="M739" s="470"/>
      <c r="P739" s="470"/>
      <c r="Q739" s="470"/>
      <c r="R739" s="470"/>
    </row>
    <row r="740" spans="12:18">
      <c r="L740" s="470"/>
      <c r="M740" s="470"/>
      <c r="P740" s="470"/>
      <c r="Q740" s="470"/>
      <c r="R740" s="470"/>
    </row>
    <row r="773" spans="49:49">
      <c r="AW773" s="470"/>
    </row>
    <row r="774" spans="49:49">
      <c r="AW774" s="470"/>
    </row>
    <row r="775" spans="49:49">
      <c r="AW775" s="470"/>
    </row>
    <row r="776" spans="49:49">
      <c r="AW776" s="470"/>
    </row>
    <row r="777" spans="49:49">
      <c r="AW777" s="470"/>
    </row>
    <row r="778" spans="49:49">
      <c r="AW778" s="470"/>
    </row>
    <row r="781" spans="49:49">
      <c r="AW781" s="470"/>
    </row>
    <row r="782" spans="49:49">
      <c r="AW782" s="470"/>
    </row>
    <row r="783" spans="49:49">
      <c r="AW783" s="470"/>
    </row>
    <row r="784" spans="49:49">
      <c r="AW784" s="470"/>
    </row>
    <row r="785" spans="49:49">
      <c r="AW785" s="470"/>
    </row>
    <row r="786" spans="49:49">
      <c r="AW786" s="470"/>
    </row>
    <row r="787" spans="49:49">
      <c r="AW787" s="470"/>
    </row>
    <row r="788" spans="49:49">
      <c r="AW788" s="470"/>
    </row>
    <row r="791" spans="49:49">
      <c r="AW791" s="470"/>
    </row>
    <row r="792" spans="49:49">
      <c r="AW792" s="470"/>
    </row>
    <row r="795" spans="49:49">
      <c r="AW795" s="470"/>
    </row>
    <row r="796" spans="49:49">
      <c r="AW796" s="470"/>
    </row>
    <row r="797" spans="49:49">
      <c r="AW797" s="470"/>
    </row>
    <row r="798" spans="49:49">
      <c r="AW798" s="470"/>
    </row>
    <row r="806" spans="45:69">
      <c r="AY806" s="455"/>
    </row>
    <row r="807" spans="45:69">
      <c r="AY807" s="455"/>
    </row>
    <row r="808" spans="45:69">
      <c r="BD808" s="455"/>
    </row>
    <row r="809" spans="45:69">
      <c r="BD809" s="455"/>
    </row>
    <row r="810" spans="45:69">
      <c r="AS810" s="455"/>
      <c r="BD810" s="455"/>
    </row>
    <row r="812" spans="45:69">
      <c r="AS812" s="460"/>
      <c r="AT812" s="460"/>
      <c r="AU812" s="460"/>
      <c r="AV812" s="460"/>
      <c r="AW812" s="460"/>
      <c r="AX812" s="460"/>
      <c r="AY812" s="460"/>
      <c r="AZ812" s="460"/>
      <c r="BA812" s="460"/>
      <c r="BB812" s="460"/>
      <c r="BC812" s="460"/>
      <c r="BD812" s="460"/>
      <c r="BE812" s="460"/>
    </row>
    <row r="813" spans="45:69">
      <c r="AX813" s="455"/>
    </row>
    <row r="814" spans="45:69">
      <c r="AX814" s="460"/>
      <c r="AY814" s="460"/>
      <c r="AZ814" s="460"/>
      <c r="BA814" s="460"/>
      <c r="BC814" s="462"/>
      <c r="BD814" s="462"/>
    </row>
    <row r="815" spans="45:69">
      <c r="AV815" s="462"/>
      <c r="AW815" s="462"/>
      <c r="AZ815" s="462"/>
      <c r="BA815" s="462"/>
      <c r="BC815" s="462"/>
      <c r="BD815" s="462"/>
      <c r="BE815" s="462"/>
      <c r="BG815" s="460"/>
      <c r="BH815" s="455"/>
      <c r="BK815" s="460"/>
      <c r="BM815" s="460"/>
      <c r="BN815" s="455"/>
      <c r="BQ815" s="460"/>
    </row>
    <row r="816" spans="45:69">
      <c r="AV816" s="462"/>
      <c r="AW816" s="462"/>
      <c r="AX816" s="462"/>
      <c r="AY816" s="462"/>
      <c r="AZ816" s="462"/>
      <c r="BA816" s="462"/>
      <c r="BB816" s="462"/>
      <c r="BC816" s="462"/>
      <c r="BD816" s="462"/>
      <c r="BE816" s="462"/>
      <c r="BH816" s="462"/>
      <c r="BI816" s="462"/>
      <c r="BJ816" s="462"/>
      <c r="BN816" s="462"/>
      <c r="BO816" s="462"/>
      <c r="BP816" s="462"/>
    </row>
    <row r="817" spans="45:69">
      <c r="AS817" s="462"/>
      <c r="AU817" s="455"/>
      <c r="AV817" s="462"/>
      <c r="AW817" s="462"/>
      <c r="AX817" s="462"/>
      <c r="AY817" s="462"/>
      <c r="AZ817" s="462"/>
      <c r="BA817" s="462"/>
      <c r="BB817" s="462"/>
      <c r="BC817" s="462"/>
      <c r="BD817" s="462"/>
      <c r="BE817" s="462"/>
      <c r="BG817" s="462"/>
      <c r="BH817" s="462"/>
      <c r="BI817" s="462"/>
      <c r="BJ817" s="462"/>
      <c r="BK817" s="462"/>
      <c r="BM817" s="462"/>
      <c r="BN817" s="462"/>
      <c r="BO817" s="462"/>
      <c r="BP817" s="462"/>
      <c r="BQ817" s="462"/>
    </row>
    <row r="818" spans="45:69">
      <c r="AS818" s="462"/>
      <c r="AU818" s="455"/>
      <c r="AV818" s="462"/>
      <c r="AW818" s="462"/>
      <c r="AX818" s="462"/>
      <c r="AY818" s="462"/>
      <c r="AZ818" s="462"/>
      <c r="BA818" s="462"/>
      <c r="BB818" s="462"/>
      <c r="BC818" s="462"/>
      <c r="BD818" s="462"/>
      <c r="BE818" s="462"/>
      <c r="BG818" s="462"/>
      <c r="BH818" s="462"/>
      <c r="BI818" s="462"/>
      <c r="BJ818" s="462"/>
      <c r="BK818" s="462"/>
      <c r="BM818" s="462"/>
      <c r="BN818" s="462"/>
      <c r="BO818" s="462"/>
      <c r="BP818" s="462"/>
      <c r="BQ818" s="462"/>
    </row>
    <row r="819" spans="45:69">
      <c r="AS819" s="460"/>
      <c r="AT819" s="460"/>
      <c r="AU819" s="460"/>
      <c r="AV819" s="460"/>
      <c r="AW819" s="460"/>
      <c r="AX819" s="460"/>
      <c r="AY819" s="460"/>
      <c r="AZ819" s="460"/>
      <c r="BA819" s="460"/>
      <c r="BB819" s="460"/>
      <c r="BC819" s="460"/>
      <c r="BD819" s="460"/>
      <c r="BE819" s="460"/>
      <c r="BG819" s="460"/>
      <c r="BH819" s="460"/>
      <c r="BI819" s="460"/>
      <c r="BJ819" s="460"/>
      <c r="BK819" s="460"/>
      <c r="BM819" s="460"/>
      <c r="BN819" s="460"/>
      <c r="BO819" s="460"/>
      <c r="BP819" s="460"/>
      <c r="BQ819" s="460"/>
    </row>
    <row r="820" spans="45:69">
      <c r="AV820" s="462"/>
      <c r="AW820" s="462"/>
      <c r="AX820" s="462"/>
      <c r="AY820" s="462"/>
      <c r="AZ820" s="462"/>
      <c r="BA820" s="462"/>
      <c r="BB820" s="462"/>
      <c r="BC820" s="462"/>
      <c r="BD820" s="462"/>
      <c r="BE820" s="462"/>
    </row>
    <row r="821" spans="45:69">
      <c r="AU821" s="455"/>
      <c r="AV821" s="462"/>
      <c r="AY821" s="503"/>
    </row>
    <row r="822" spans="45:69">
      <c r="AV822" s="462"/>
      <c r="AW822" s="470"/>
      <c r="AX822" s="537"/>
      <c r="AY822" s="537"/>
      <c r="AZ822" s="537"/>
      <c r="BA822" s="472"/>
      <c r="BB822" s="537"/>
      <c r="BC822" s="503"/>
      <c r="BD822" s="503"/>
      <c r="BE822" s="472"/>
      <c r="BG822" s="537"/>
      <c r="BH822" s="537"/>
      <c r="BI822" s="537"/>
      <c r="BJ822" s="537"/>
      <c r="BK822" s="537"/>
      <c r="BM822" s="537"/>
      <c r="BN822" s="537"/>
      <c r="BO822" s="537"/>
      <c r="BP822" s="537"/>
      <c r="BQ822" s="537"/>
    </row>
    <row r="823" spans="45:69">
      <c r="AV823" s="462"/>
      <c r="AW823" s="470"/>
      <c r="AX823" s="537"/>
      <c r="AY823" s="537"/>
      <c r="AZ823" s="537"/>
      <c r="BA823" s="472"/>
      <c r="BB823" s="537"/>
      <c r="BC823" s="503"/>
      <c r="BD823" s="503"/>
      <c r="BE823" s="472"/>
      <c r="BG823" s="537"/>
      <c r="BH823" s="537"/>
      <c r="BI823" s="537"/>
      <c r="BJ823" s="537"/>
      <c r="BK823" s="537"/>
      <c r="BM823" s="537"/>
      <c r="BN823" s="537"/>
      <c r="BO823" s="537"/>
      <c r="BP823" s="537"/>
      <c r="BQ823" s="537"/>
    </row>
    <row r="824" spans="45:69">
      <c r="AV824" s="462"/>
      <c r="AW824" s="470"/>
      <c r="AX824" s="537"/>
      <c r="AY824" s="537"/>
      <c r="AZ824" s="537"/>
      <c r="BA824" s="472"/>
      <c r="BB824" s="537"/>
      <c r="BC824" s="503"/>
      <c r="BD824" s="503"/>
      <c r="BE824" s="472"/>
      <c r="BG824" s="537"/>
      <c r="BH824" s="537"/>
      <c r="BI824" s="537"/>
      <c r="BJ824" s="537"/>
      <c r="BK824" s="537"/>
      <c r="BM824" s="537"/>
      <c r="BN824" s="537"/>
      <c r="BO824" s="537"/>
      <c r="BP824" s="537"/>
      <c r="BQ824" s="537"/>
    </row>
    <row r="825" spans="45:69">
      <c r="AV825" s="462"/>
      <c r="AW825" s="470"/>
      <c r="AX825" s="537"/>
      <c r="AY825" s="537"/>
      <c r="AZ825" s="537"/>
      <c r="BA825" s="472"/>
      <c r="BB825" s="537"/>
      <c r="BC825" s="503"/>
      <c r="BD825" s="503"/>
      <c r="BE825" s="472"/>
      <c r="BG825" s="537"/>
      <c r="BH825" s="537"/>
      <c r="BI825" s="537"/>
      <c r="BJ825" s="537"/>
      <c r="BK825" s="537"/>
      <c r="BM825" s="537"/>
      <c r="BN825" s="537"/>
      <c r="BO825" s="537"/>
      <c r="BP825" s="537"/>
      <c r="BQ825" s="537"/>
    </row>
    <row r="826" spans="45:69">
      <c r="AV826" s="462"/>
      <c r="AW826" s="470"/>
      <c r="AX826" s="537"/>
      <c r="AY826" s="537"/>
      <c r="AZ826" s="537"/>
      <c r="BA826" s="472"/>
      <c r="BB826" s="537"/>
      <c r="BC826" s="503"/>
      <c r="BD826" s="503"/>
      <c r="BE826" s="472"/>
      <c r="BG826" s="537"/>
      <c r="BH826" s="537"/>
      <c r="BI826" s="537"/>
      <c r="BJ826" s="537"/>
      <c r="BK826" s="537"/>
      <c r="BM826" s="537"/>
      <c r="BN826" s="537"/>
      <c r="BO826" s="537"/>
      <c r="BP826" s="537"/>
      <c r="BQ826" s="537"/>
    </row>
    <row r="827" spans="45:69">
      <c r="AV827" s="462"/>
      <c r="AW827" s="470"/>
      <c r="AX827" s="537"/>
      <c r="AY827" s="537"/>
      <c r="AZ827" s="537"/>
      <c r="BA827" s="472"/>
      <c r="BB827" s="537"/>
      <c r="BC827" s="503"/>
      <c r="BD827" s="503"/>
      <c r="BE827" s="472"/>
      <c r="BG827" s="537"/>
      <c r="BH827" s="537"/>
      <c r="BI827" s="537"/>
      <c r="BJ827" s="537"/>
      <c r="BK827" s="537"/>
      <c r="BM827" s="537"/>
      <c r="BN827" s="537"/>
      <c r="BO827" s="537"/>
      <c r="BP827" s="537"/>
      <c r="BQ827" s="537"/>
    </row>
    <row r="828" spans="45:69">
      <c r="AV828" s="462"/>
      <c r="AW828" s="470"/>
      <c r="AX828" s="537"/>
      <c r="AY828" s="537"/>
      <c r="AZ828" s="537"/>
      <c r="BA828" s="472"/>
      <c r="BB828" s="537"/>
      <c r="BC828" s="503"/>
      <c r="BD828" s="503"/>
      <c r="BE828" s="472"/>
      <c r="BG828" s="537"/>
      <c r="BH828" s="537"/>
      <c r="BI828" s="537"/>
      <c r="BJ828" s="537"/>
      <c r="BK828" s="537"/>
      <c r="BM828" s="537"/>
      <c r="BN828" s="537"/>
      <c r="BO828" s="537"/>
      <c r="BP828" s="537"/>
      <c r="BQ828" s="537"/>
    </row>
    <row r="829" spans="45:69">
      <c r="AY829" s="503"/>
      <c r="AZ829" s="537"/>
      <c r="BA829" s="472"/>
      <c r="BB829" s="537"/>
      <c r="BC829" s="503"/>
      <c r="BD829" s="503"/>
      <c r="BE829" s="472"/>
      <c r="BK829" s="537"/>
      <c r="BQ829" s="537"/>
    </row>
    <row r="830" spans="45:69">
      <c r="AV830" s="462"/>
      <c r="AY830" s="503"/>
      <c r="AZ830" s="537"/>
      <c r="BA830" s="472"/>
      <c r="BB830" s="537"/>
      <c r="BC830" s="503"/>
      <c r="BD830" s="503"/>
      <c r="BE830" s="472"/>
      <c r="BK830" s="537"/>
      <c r="BQ830" s="537"/>
    </row>
    <row r="831" spans="45:69">
      <c r="AV831" s="462"/>
      <c r="AW831" s="470"/>
      <c r="AX831" s="537"/>
      <c r="AY831" s="537"/>
      <c r="AZ831" s="537"/>
      <c r="BA831" s="472"/>
      <c r="BB831" s="537"/>
      <c r="BC831" s="503"/>
      <c r="BD831" s="503"/>
      <c r="BE831" s="472"/>
      <c r="BG831" s="537"/>
      <c r="BH831" s="537"/>
      <c r="BI831" s="537"/>
      <c r="BJ831" s="537"/>
      <c r="BK831" s="537"/>
      <c r="BM831" s="537"/>
      <c r="BN831" s="537"/>
      <c r="BO831" s="537"/>
      <c r="BP831" s="537"/>
      <c r="BQ831" s="537"/>
    </row>
    <row r="832" spans="45:69">
      <c r="AV832" s="462"/>
      <c r="AW832" s="470"/>
      <c r="AX832" s="537"/>
      <c r="AY832" s="537"/>
      <c r="AZ832" s="537"/>
      <c r="BA832" s="472"/>
      <c r="BB832" s="537"/>
      <c r="BC832" s="503"/>
      <c r="BD832" s="503"/>
      <c r="BE832" s="472"/>
      <c r="BG832" s="537"/>
      <c r="BH832" s="537"/>
      <c r="BI832" s="537"/>
      <c r="BJ832" s="537"/>
      <c r="BK832" s="537"/>
      <c r="BM832" s="537"/>
      <c r="BN832" s="537"/>
      <c r="BO832" s="537"/>
      <c r="BP832" s="537"/>
      <c r="BQ832" s="537"/>
    </row>
    <row r="833" spans="45:69">
      <c r="AV833" s="462"/>
      <c r="AW833" s="470"/>
      <c r="AX833" s="537"/>
      <c r="AY833" s="537"/>
      <c r="AZ833" s="537"/>
      <c r="BA833" s="472"/>
      <c r="BB833" s="537"/>
      <c r="BC833" s="503"/>
      <c r="BD833" s="503"/>
      <c r="BE833" s="472"/>
      <c r="BG833" s="537"/>
      <c r="BH833" s="537"/>
      <c r="BI833" s="537"/>
      <c r="BJ833" s="537"/>
      <c r="BK833" s="537"/>
      <c r="BM833" s="537"/>
      <c r="BN833" s="537"/>
      <c r="BO833" s="537"/>
      <c r="BP833" s="537"/>
      <c r="BQ833" s="537"/>
    </row>
    <row r="834" spans="45:69">
      <c r="AV834" s="462"/>
      <c r="AW834" s="470"/>
      <c r="AX834" s="537"/>
      <c r="AY834" s="537"/>
      <c r="AZ834" s="537"/>
      <c r="BA834" s="472"/>
      <c r="BB834" s="537"/>
      <c r="BC834" s="503"/>
      <c r="BD834" s="503"/>
      <c r="BE834" s="472"/>
      <c r="BG834" s="537"/>
      <c r="BH834" s="537"/>
      <c r="BI834" s="537"/>
      <c r="BJ834" s="537"/>
      <c r="BK834" s="537"/>
      <c r="BM834" s="537"/>
      <c r="BN834" s="537"/>
      <c r="BO834" s="537"/>
      <c r="BP834" s="537"/>
      <c r="BQ834" s="537"/>
    </row>
    <row r="835" spans="45:69">
      <c r="AV835" s="462"/>
      <c r="AW835" s="470"/>
      <c r="AX835" s="537"/>
      <c r="AY835" s="537"/>
      <c r="AZ835" s="537"/>
      <c r="BA835" s="472"/>
      <c r="BB835" s="537"/>
      <c r="BC835" s="503"/>
      <c r="BD835" s="503"/>
      <c r="BE835" s="472"/>
      <c r="BG835" s="537"/>
      <c r="BH835" s="537"/>
      <c r="BI835" s="537"/>
      <c r="BJ835" s="537"/>
      <c r="BK835" s="537"/>
      <c r="BM835" s="537"/>
      <c r="BN835" s="537"/>
      <c r="BO835" s="537"/>
      <c r="BP835" s="537"/>
      <c r="BQ835" s="537"/>
    </row>
    <row r="836" spans="45:69">
      <c r="AV836" s="462"/>
      <c r="AW836" s="470"/>
      <c r="AX836" s="537"/>
      <c r="AY836" s="537"/>
      <c r="AZ836" s="537"/>
      <c r="BA836" s="472"/>
      <c r="BB836" s="537"/>
      <c r="BC836" s="503"/>
      <c r="BD836" s="503"/>
      <c r="BE836" s="472"/>
      <c r="BG836" s="537"/>
      <c r="BH836" s="537"/>
      <c r="BI836" s="537"/>
      <c r="BJ836" s="537"/>
      <c r="BK836" s="537"/>
      <c r="BM836" s="537"/>
      <c r="BN836" s="537"/>
      <c r="BO836" s="537"/>
      <c r="BP836" s="537"/>
      <c r="BQ836" s="537"/>
    </row>
    <row r="837" spans="45:69">
      <c r="AV837" s="462"/>
      <c r="AW837" s="470"/>
      <c r="AX837" s="537"/>
      <c r="AY837" s="537"/>
      <c r="AZ837" s="537"/>
      <c r="BA837" s="472"/>
      <c r="BB837" s="537"/>
      <c r="BC837" s="503"/>
      <c r="BD837" s="503"/>
      <c r="BE837" s="472"/>
      <c r="BG837" s="537"/>
      <c r="BH837" s="537"/>
      <c r="BI837" s="537"/>
      <c r="BJ837" s="537"/>
      <c r="BK837" s="537"/>
      <c r="BM837" s="537"/>
      <c r="BN837" s="537"/>
      <c r="BO837" s="537"/>
      <c r="BP837" s="537"/>
      <c r="BQ837" s="537"/>
    </row>
    <row r="838" spans="45:69">
      <c r="AV838" s="462"/>
      <c r="AW838" s="470"/>
      <c r="AX838" s="537"/>
      <c r="AY838" s="537"/>
      <c r="AZ838" s="537"/>
      <c r="BA838" s="472"/>
      <c r="BB838" s="537"/>
      <c r="BC838" s="503"/>
      <c r="BD838" s="503"/>
      <c r="BE838" s="472"/>
      <c r="BG838" s="537"/>
      <c r="BH838" s="537"/>
      <c r="BI838" s="537"/>
      <c r="BJ838" s="537"/>
      <c r="BK838" s="537"/>
      <c r="BM838" s="537"/>
      <c r="BN838" s="537"/>
      <c r="BO838" s="537"/>
      <c r="BP838" s="537"/>
      <c r="BQ838" s="537"/>
    </row>
    <row r="839" spans="45:69">
      <c r="AY839" s="503"/>
      <c r="AZ839" s="537"/>
      <c r="BA839" s="472"/>
      <c r="BB839" s="537"/>
      <c r="BC839" s="503"/>
      <c r="BD839" s="503"/>
      <c r="BE839" s="472"/>
      <c r="BK839" s="537"/>
      <c r="BQ839" s="537"/>
    </row>
    <row r="840" spans="45:69">
      <c r="AU840" s="455"/>
      <c r="AZ840" s="537"/>
      <c r="BB840" s="537"/>
      <c r="BG840" s="537"/>
      <c r="BH840" s="537"/>
      <c r="BJ840" s="537"/>
      <c r="BK840" s="537"/>
    </row>
    <row r="841" spans="45:69">
      <c r="AZ841" s="537"/>
      <c r="BB841" s="537"/>
    </row>
    <row r="842" spans="45:69">
      <c r="AS842" s="455"/>
      <c r="AZ842" s="537"/>
      <c r="BB842" s="537"/>
      <c r="BI842" s="537"/>
    </row>
    <row r="843" spans="45:69">
      <c r="AZ843" s="537"/>
      <c r="BB843" s="537"/>
    </row>
    <row r="844" spans="45:69">
      <c r="AY844" s="537"/>
      <c r="BB844" s="537"/>
    </row>
    <row r="845" spans="45:69">
      <c r="AY845" s="455"/>
      <c r="AZ845" s="537"/>
      <c r="BB845" s="537"/>
    </row>
    <row r="846" spans="45:69">
      <c r="AY846" s="455"/>
      <c r="AZ846" s="537"/>
      <c r="BB846" s="537"/>
    </row>
    <row r="847" spans="45:69">
      <c r="AZ847" s="537"/>
      <c r="BB847" s="537"/>
      <c r="BD847" s="455"/>
    </row>
    <row r="848" spans="45:69">
      <c r="AZ848" s="537"/>
      <c r="BB848" s="537"/>
      <c r="BD848" s="455"/>
    </row>
    <row r="849" spans="45:75">
      <c r="AS849" s="455"/>
      <c r="AZ849" s="537"/>
      <c r="BB849" s="537"/>
      <c r="BD849" s="455"/>
    </row>
    <row r="850" spans="45:75">
      <c r="AZ850" s="537"/>
      <c r="BB850" s="537"/>
    </row>
    <row r="851" spans="45:75">
      <c r="AS851" s="460"/>
      <c r="AT851" s="460"/>
      <c r="AU851" s="460"/>
      <c r="AV851" s="460"/>
      <c r="AW851" s="460"/>
      <c r="AX851" s="460"/>
      <c r="AY851" s="460"/>
      <c r="AZ851" s="538"/>
      <c r="BA851" s="460"/>
      <c r="BB851" s="538"/>
      <c r="BC851" s="460"/>
      <c r="BD851" s="460"/>
      <c r="BE851" s="460"/>
    </row>
    <row r="852" spans="45:75">
      <c r="AX852" s="455"/>
      <c r="AZ852" s="537"/>
      <c r="BB852" s="537"/>
    </row>
    <row r="853" spans="45:75">
      <c r="AX853" s="460"/>
      <c r="AY853" s="460"/>
      <c r="AZ853" s="538"/>
      <c r="BA853" s="460"/>
      <c r="BB853" s="537"/>
      <c r="BC853" s="462"/>
      <c r="BD853" s="462"/>
    </row>
    <row r="854" spans="45:75">
      <c r="AV854" s="462"/>
      <c r="AW854" s="462"/>
      <c r="AZ854" s="539"/>
      <c r="BA854" s="462"/>
      <c r="BB854" s="537"/>
      <c r="BC854" s="462"/>
      <c r="BD854" s="462"/>
      <c r="BE854" s="462"/>
      <c r="BG854" s="460"/>
      <c r="BH854" s="460"/>
      <c r="BI854" s="455"/>
      <c r="BM854" s="460"/>
      <c r="BN854" s="460"/>
      <c r="BP854" s="460"/>
      <c r="BQ854" s="460"/>
      <c r="BR854" s="455"/>
      <c r="BV854" s="460"/>
      <c r="BW854" s="460"/>
    </row>
    <row r="855" spans="45:75">
      <c r="AV855" s="462"/>
      <c r="AW855" s="462"/>
      <c r="AX855" s="462"/>
      <c r="AY855" s="462"/>
      <c r="AZ855" s="539"/>
      <c r="BA855" s="462"/>
      <c r="BB855" s="539"/>
      <c r="BC855" s="462"/>
      <c r="BD855" s="462"/>
      <c r="BE855" s="462"/>
      <c r="BH855" s="462"/>
      <c r="BI855" s="462"/>
      <c r="BJ855" s="462"/>
      <c r="BK855" s="462"/>
      <c r="BL855" s="462"/>
      <c r="BM855" s="462"/>
      <c r="BQ855" s="462"/>
      <c r="BR855" s="462"/>
      <c r="BS855" s="462"/>
      <c r="BT855" s="462"/>
      <c r="BU855" s="462"/>
      <c r="BV855" s="462"/>
    </row>
    <row r="856" spans="45:75">
      <c r="AS856" s="462"/>
      <c r="AU856" s="455"/>
      <c r="AV856" s="462"/>
      <c r="AW856" s="462"/>
      <c r="AX856" s="462"/>
      <c r="AY856" s="462"/>
      <c r="AZ856" s="539"/>
      <c r="BA856" s="462"/>
      <c r="BB856" s="539"/>
      <c r="BC856" s="462"/>
      <c r="BD856" s="462"/>
      <c r="BE856" s="462"/>
      <c r="BG856" s="462"/>
      <c r="BH856" s="462"/>
      <c r="BI856" s="462"/>
      <c r="BJ856" s="462"/>
      <c r="BK856" s="462"/>
      <c r="BL856" s="462"/>
      <c r="BM856" s="462"/>
      <c r="BN856" s="462"/>
      <c r="BP856" s="462"/>
      <c r="BQ856" s="462"/>
      <c r="BR856" s="462"/>
      <c r="BS856" s="462"/>
      <c r="BT856" s="462"/>
      <c r="BU856" s="462"/>
      <c r="BV856" s="462"/>
      <c r="BW856" s="462"/>
    </row>
    <row r="857" spans="45:75">
      <c r="AS857" s="462"/>
      <c r="AU857" s="455"/>
      <c r="AV857" s="462"/>
      <c r="AW857" s="462"/>
      <c r="AX857" s="462"/>
      <c r="AY857" s="462"/>
      <c r="AZ857" s="539"/>
      <c r="BA857" s="462"/>
      <c r="BB857" s="539"/>
      <c r="BC857" s="462"/>
      <c r="BD857" s="462"/>
      <c r="BE857" s="462"/>
      <c r="BG857" s="462"/>
      <c r="BH857" s="462"/>
      <c r="BI857" s="462"/>
      <c r="BJ857" s="462"/>
      <c r="BK857" s="462"/>
      <c r="BL857" s="462"/>
      <c r="BM857" s="462"/>
      <c r="BN857" s="462"/>
      <c r="BP857" s="462"/>
      <c r="BQ857" s="462"/>
      <c r="BR857" s="462"/>
      <c r="BS857" s="462"/>
      <c r="BT857" s="462"/>
      <c r="BU857" s="462"/>
      <c r="BV857" s="462"/>
      <c r="BW857" s="462"/>
    </row>
    <row r="858" spans="45:75">
      <c r="AS858" s="460"/>
      <c r="AT858" s="460"/>
      <c r="AU858" s="460"/>
      <c r="AV858" s="460"/>
      <c r="AW858" s="460"/>
      <c r="AX858" s="460"/>
      <c r="AY858" s="460"/>
      <c r="AZ858" s="538"/>
      <c r="BA858" s="460"/>
      <c r="BB858" s="538"/>
      <c r="BC858" s="460"/>
      <c r="BD858" s="460"/>
      <c r="BE858" s="460"/>
      <c r="BG858" s="460"/>
      <c r="BH858" s="460"/>
      <c r="BI858" s="460"/>
      <c r="BJ858" s="460"/>
      <c r="BK858" s="460"/>
      <c r="BL858" s="460"/>
      <c r="BM858" s="460"/>
      <c r="BN858" s="460"/>
      <c r="BP858" s="460"/>
      <c r="BQ858" s="460"/>
      <c r="BR858" s="460"/>
      <c r="BS858" s="460"/>
      <c r="BT858" s="460"/>
      <c r="BU858" s="460"/>
      <c r="BV858" s="460"/>
      <c r="BW858" s="460"/>
    </row>
    <row r="859" spans="45:75">
      <c r="AV859" s="462"/>
      <c r="AW859" s="462"/>
      <c r="AX859" s="462"/>
      <c r="AY859" s="462"/>
      <c r="AZ859" s="539"/>
      <c r="BA859" s="462"/>
      <c r="BB859" s="539"/>
      <c r="BC859" s="462"/>
      <c r="BD859" s="462"/>
      <c r="BE859" s="462"/>
      <c r="BG859" s="537"/>
      <c r="BH859" s="537"/>
      <c r="BI859" s="537"/>
      <c r="BJ859" s="537"/>
      <c r="BK859" s="537"/>
      <c r="BL859" s="537"/>
      <c r="BM859" s="537"/>
      <c r="BN859" s="537"/>
      <c r="BO859" s="537"/>
      <c r="BP859" s="537"/>
      <c r="BQ859" s="537"/>
      <c r="BR859" s="537"/>
      <c r="BS859" s="537"/>
      <c r="BT859" s="537"/>
      <c r="BU859" s="537"/>
      <c r="BV859" s="537"/>
      <c r="BW859" s="537"/>
    </row>
    <row r="860" spans="45:75">
      <c r="AU860" s="455"/>
      <c r="AW860" s="470"/>
      <c r="AX860" s="537"/>
      <c r="AY860" s="537"/>
      <c r="AZ860" s="537"/>
      <c r="BA860" s="529"/>
      <c r="BB860" s="537"/>
      <c r="BC860" s="537"/>
      <c r="BD860" s="537"/>
      <c r="BE860" s="529"/>
      <c r="BG860" s="537"/>
      <c r="BH860" s="537"/>
      <c r="BI860" s="537"/>
      <c r="BJ860" s="537"/>
      <c r="BK860" s="537"/>
      <c r="BL860" s="537"/>
      <c r="BM860" s="537"/>
      <c r="BN860" s="537"/>
      <c r="BO860" s="537"/>
      <c r="BP860" s="537"/>
      <c r="BQ860" s="537"/>
      <c r="BR860" s="537"/>
      <c r="BS860" s="537"/>
      <c r="BT860" s="537"/>
      <c r="BU860" s="537"/>
      <c r="BV860" s="537"/>
      <c r="BW860" s="537"/>
    </row>
    <row r="861" spans="45:75">
      <c r="AW861" s="470"/>
      <c r="AX861" s="537"/>
      <c r="AY861" s="537"/>
      <c r="AZ861" s="537"/>
      <c r="BA861" s="529"/>
      <c r="BB861" s="537"/>
      <c r="BC861" s="537"/>
      <c r="BD861" s="537"/>
      <c r="BE861" s="529"/>
      <c r="BG861" s="537"/>
      <c r="BH861" s="537"/>
      <c r="BI861" s="537"/>
      <c r="BJ861" s="537"/>
      <c r="BK861" s="537"/>
      <c r="BL861" s="537"/>
      <c r="BM861" s="537"/>
      <c r="BN861" s="537"/>
      <c r="BO861" s="537"/>
      <c r="BP861" s="537"/>
      <c r="BQ861" s="537"/>
      <c r="BR861" s="537"/>
      <c r="BS861" s="537"/>
      <c r="BT861" s="537"/>
      <c r="BU861" s="537"/>
      <c r="BV861" s="537"/>
      <c r="BW861" s="537"/>
    </row>
    <row r="862" spans="45:75">
      <c r="AW862" s="470"/>
      <c r="AX862" s="537"/>
      <c r="AY862" s="537"/>
      <c r="AZ862" s="537"/>
      <c r="BA862" s="529"/>
      <c r="BB862" s="537"/>
      <c r="BC862" s="537"/>
      <c r="BD862" s="537"/>
      <c r="BE862" s="529"/>
      <c r="BG862" s="537"/>
      <c r="BH862" s="537"/>
      <c r="BI862" s="537"/>
      <c r="BJ862" s="537"/>
      <c r="BK862" s="537"/>
      <c r="BL862" s="537"/>
      <c r="BM862" s="537"/>
      <c r="BN862" s="537"/>
      <c r="BO862" s="537"/>
      <c r="BP862" s="537"/>
      <c r="BQ862" s="537"/>
      <c r="BR862" s="537"/>
      <c r="BS862" s="537"/>
      <c r="BT862" s="537"/>
      <c r="BU862" s="537"/>
      <c r="BV862" s="537"/>
      <c r="BW862" s="537"/>
    </row>
    <row r="863" spans="45:75">
      <c r="AW863" s="470"/>
      <c r="AX863" s="537"/>
      <c r="AY863" s="537"/>
      <c r="AZ863" s="537"/>
      <c r="BA863" s="529"/>
      <c r="BB863" s="537"/>
      <c r="BC863" s="537"/>
      <c r="BD863" s="537"/>
      <c r="BE863" s="529"/>
      <c r="BG863" s="537"/>
      <c r="BH863" s="537"/>
      <c r="BI863" s="537"/>
      <c r="BJ863" s="537"/>
      <c r="BK863" s="537"/>
      <c r="BL863" s="537"/>
      <c r="BM863" s="537"/>
      <c r="BN863" s="537"/>
      <c r="BO863" s="537"/>
      <c r="BP863" s="537"/>
      <c r="BQ863" s="537"/>
      <c r="BR863" s="537"/>
      <c r="BS863" s="537"/>
      <c r="BT863" s="537"/>
      <c r="BU863" s="537"/>
      <c r="BV863" s="537"/>
      <c r="BW863" s="537"/>
    </row>
    <row r="864" spans="45:75">
      <c r="AW864" s="470"/>
      <c r="AX864" s="537"/>
      <c r="AY864" s="537"/>
      <c r="AZ864" s="537"/>
      <c r="BA864" s="529"/>
      <c r="BB864" s="537"/>
      <c r="BC864" s="537"/>
      <c r="BD864" s="537"/>
      <c r="BE864" s="529"/>
      <c r="BG864" s="537"/>
      <c r="BH864" s="537"/>
      <c r="BI864" s="537"/>
      <c r="BJ864" s="537"/>
      <c r="BK864" s="537"/>
      <c r="BL864" s="537"/>
      <c r="BM864" s="537"/>
      <c r="BN864" s="537"/>
      <c r="BO864" s="537"/>
      <c r="BP864" s="537"/>
      <c r="BQ864" s="537"/>
      <c r="BR864" s="537"/>
      <c r="BS864" s="537"/>
      <c r="BT864" s="537"/>
      <c r="BU864" s="537"/>
      <c r="BV864" s="537"/>
      <c r="BW864" s="537"/>
    </row>
    <row r="865" spans="49:75">
      <c r="AW865" s="470"/>
      <c r="AX865" s="537"/>
      <c r="AY865" s="537"/>
      <c r="AZ865" s="537"/>
      <c r="BA865" s="529"/>
      <c r="BB865" s="537"/>
      <c r="BC865" s="537"/>
      <c r="BD865" s="537"/>
      <c r="BE865" s="529"/>
      <c r="BG865" s="537"/>
      <c r="BH865" s="537"/>
      <c r="BI865" s="537"/>
      <c r="BJ865" s="537"/>
      <c r="BK865" s="537"/>
      <c r="BL865" s="537"/>
      <c r="BM865" s="537"/>
      <c r="BN865" s="537"/>
      <c r="BO865" s="537"/>
      <c r="BP865" s="537"/>
      <c r="BQ865" s="537"/>
      <c r="BR865" s="537"/>
      <c r="BS865" s="537"/>
      <c r="BT865" s="537"/>
      <c r="BU865" s="537"/>
      <c r="BV865" s="537"/>
      <c r="BW865" s="537"/>
    </row>
    <row r="866" spans="49:75">
      <c r="AW866" s="470"/>
      <c r="AX866" s="537"/>
      <c r="AY866" s="537"/>
      <c r="AZ866" s="537"/>
      <c r="BA866" s="529"/>
      <c r="BB866" s="537"/>
      <c r="BC866" s="537"/>
      <c r="BD866" s="537"/>
      <c r="BE866" s="529"/>
      <c r="BG866" s="537"/>
      <c r="BH866" s="537"/>
      <c r="BI866" s="537"/>
      <c r="BJ866" s="537"/>
      <c r="BK866" s="537"/>
      <c r="BL866" s="537"/>
      <c r="BM866" s="537"/>
      <c r="BN866" s="537"/>
      <c r="BO866" s="537"/>
      <c r="BP866" s="537"/>
      <c r="BQ866" s="537"/>
      <c r="BR866" s="537"/>
      <c r="BS866" s="537"/>
      <c r="BT866" s="537"/>
      <c r="BU866" s="537"/>
      <c r="BV866" s="537"/>
      <c r="BW866" s="537"/>
    </row>
    <row r="867" spans="49:75">
      <c r="AW867" s="470"/>
      <c r="AX867" s="537"/>
      <c r="AY867" s="537"/>
      <c r="AZ867" s="537"/>
      <c r="BA867" s="529"/>
      <c r="BB867" s="537"/>
      <c r="BC867" s="537"/>
      <c r="BD867" s="537"/>
      <c r="BE867" s="529"/>
      <c r="BG867" s="537"/>
      <c r="BH867" s="537"/>
      <c r="BI867" s="537"/>
      <c r="BJ867" s="537"/>
      <c r="BK867" s="537"/>
      <c r="BL867" s="537"/>
      <c r="BM867" s="537"/>
      <c r="BN867" s="537"/>
      <c r="BO867" s="537"/>
      <c r="BP867" s="537"/>
      <c r="BQ867" s="537"/>
      <c r="BR867" s="537"/>
      <c r="BS867" s="537"/>
      <c r="BT867" s="537"/>
      <c r="BU867" s="537"/>
      <c r="BV867" s="537"/>
      <c r="BW867" s="537"/>
    </row>
    <row r="868" spans="49:75">
      <c r="AW868" s="470"/>
      <c r="AX868" s="537"/>
      <c r="AY868" s="537"/>
      <c r="AZ868" s="537"/>
      <c r="BA868" s="529"/>
      <c r="BB868" s="537"/>
      <c r="BC868" s="537"/>
      <c r="BD868" s="537"/>
      <c r="BE868" s="529"/>
      <c r="BG868" s="537"/>
      <c r="BH868" s="537"/>
      <c r="BI868" s="537"/>
      <c r="BJ868" s="537"/>
      <c r="BK868" s="537"/>
      <c r="BL868" s="537"/>
      <c r="BM868" s="537"/>
      <c r="BN868" s="537"/>
      <c r="BO868" s="537"/>
      <c r="BP868" s="537"/>
      <c r="BQ868" s="537"/>
      <c r="BR868" s="537"/>
      <c r="BS868" s="537"/>
      <c r="BT868" s="537"/>
      <c r="BU868" s="537"/>
      <c r="BV868" s="537"/>
      <c r="BW868" s="537"/>
    </row>
    <row r="869" spans="49:75">
      <c r="AW869" s="470"/>
      <c r="AX869" s="537"/>
      <c r="AY869" s="537"/>
      <c r="AZ869" s="537"/>
      <c r="BA869" s="529"/>
      <c r="BB869" s="537"/>
      <c r="BC869" s="537"/>
      <c r="BD869" s="537"/>
      <c r="BE869" s="529"/>
      <c r="BG869" s="537"/>
      <c r="BH869" s="537"/>
      <c r="BI869" s="537"/>
      <c r="BJ869" s="537"/>
      <c r="BK869" s="537"/>
      <c r="BL869" s="537"/>
      <c r="BM869" s="537"/>
      <c r="BN869" s="537"/>
      <c r="BO869" s="537"/>
      <c r="BP869" s="537"/>
      <c r="BQ869" s="537"/>
      <c r="BR869" s="537"/>
      <c r="BS869" s="537"/>
      <c r="BT869" s="537"/>
      <c r="BU869" s="537"/>
      <c r="BV869" s="537"/>
      <c r="BW869" s="537"/>
    </row>
    <row r="870" spans="49:75">
      <c r="AW870" s="470"/>
      <c r="AX870" s="537"/>
      <c r="AY870" s="537"/>
      <c r="AZ870" s="537"/>
      <c r="BA870" s="529"/>
      <c r="BB870" s="537"/>
      <c r="BC870" s="537"/>
      <c r="BD870" s="537"/>
      <c r="BE870" s="529"/>
      <c r="BG870" s="537"/>
      <c r="BH870" s="537"/>
      <c r="BI870" s="537"/>
      <c r="BJ870" s="537"/>
      <c r="BK870" s="537"/>
      <c r="BL870" s="537"/>
      <c r="BM870" s="537"/>
      <c r="BN870" s="537"/>
      <c r="BO870" s="537"/>
      <c r="BP870" s="537"/>
      <c r="BQ870" s="537"/>
      <c r="BR870" s="537"/>
      <c r="BS870" s="537"/>
      <c r="BT870" s="537"/>
      <c r="BU870" s="537"/>
      <c r="BV870" s="537"/>
      <c r="BW870" s="537"/>
    </row>
    <row r="871" spans="49:75">
      <c r="AW871" s="470"/>
      <c r="AX871" s="537"/>
      <c r="AY871" s="537"/>
      <c r="AZ871" s="537"/>
      <c r="BA871" s="529"/>
      <c r="BB871" s="537"/>
      <c r="BC871" s="537"/>
      <c r="BD871" s="537"/>
      <c r="BE871" s="529"/>
      <c r="BG871" s="537"/>
      <c r="BH871" s="537"/>
      <c r="BI871" s="537"/>
      <c r="BJ871" s="537"/>
      <c r="BK871" s="537"/>
      <c r="BL871" s="537"/>
      <c r="BM871" s="537"/>
      <c r="BN871" s="537"/>
      <c r="BO871" s="537"/>
      <c r="BP871" s="537"/>
      <c r="BQ871" s="537"/>
      <c r="BR871" s="537"/>
      <c r="BS871" s="537"/>
      <c r="BT871" s="537"/>
      <c r="BU871" s="537"/>
      <c r="BV871" s="537"/>
      <c r="BW871" s="537"/>
    </row>
    <row r="872" spans="49:75">
      <c r="AW872" s="470"/>
      <c r="AX872" s="537"/>
      <c r="AY872" s="537"/>
      <c r="AZ872" s="537"/>
      <c r="BA872" s="529"/>
      <c r="BB872" s="537"/>
      <c r="BC872" s="537"/>
      <c r="BD872" s="537"/>
      <c r="BE872" s="529"/>
      <c r="BG872" s="537"/>
      <c r="BH872" s="537"/>
      <c r="BI872" s="537"/>
      <c r="BJ872" s="537"/>
      <c r="BK872" s="537"/>
      <c r="BL872" s="537"/>
      <c r="BM872" s="537"/>
      <c r="BN872" s="537"/>
      <c r="BO872" s="537"/>
      <c r="BP872" s="537"/>
      <c r="BQ872" s="537"/>
      <c r="BR872" s="537"/>
      <c r="BS872" s="537"/>
      <c r="BT872" s="537"/>
      <c r="BU872" s="537"/>
      <c r="BV872" s="537"/>
      <c r="BW872" s="537"/>
    </row>
    <row r="873" spans="49:75">
      <c r="AW873" s="470"/>
      <c r="AX873" s="537"/>
      <c r="AY873" s="537"/>
      <c r="AZ873" s="537"/>
      <c r="BA873" s="529"/>
      <c r="BB873" s="537"/>
      <c r="BC873" s="537"/>
      <c r="BD873" s="537"/>
      <c r="BE873" s="529"/>
      <c r="BG873" s="537"/>
      <c r="BH873" s="537"/>
      <c r="BI873" s="537"/>
      <c r="BJ873" s="537"/>
      <c r="BK873" s="537"/>
      <c r="BL873" s="537"/>
      <c r="BM873" s="537"/>
      <c r="BN873" s="537"/>
      <c r="BO873" s="537"/>
      <c r="BP873" s="537"/>
      <c r="BQ873" s="537"/>
      <c r="BR873" s="537"/>
      <c r="BS873" s="537"/>
      <c r="BT873" s="537"/>
      <c r="BU873" s="537"/>
      <c r="BV873" s="537"/>
      <c r="BW873" s="537"/>
    </row>
    <row r="874" spans="49:75">
      <c r="AW874" s="470"/>
      <c r="AX874" s="537"/>
      <c r="AY874" s="537"/>
      <c r="AZ874" s="537"/>
      <c r="BA874" s="529"/>
      <c r="BB874" s="537"/>
      <c r="BC874" s="537"/>
      <c r="BD874" s="537"/>
      <c r="BE874" s="529"/>
      <c r="BG874" s="537"/>
      <c r="BH874" s="537"/>
      <c r="BI874" s="537"/>
      <c r="BJ874" s="537"/>
      <c r="BK874" s="537"/>
      <c r="BL874" s="537"/>
      <c r="BM874" s="537"/>
      <c r="BN874" s="537"/>
      <c r="BO874" s="537"/>
      <c r="BP874" s="537"/>
      <c r="BQ874" s="537"/>
      <c r="BR874" s="537"/>
      <c r="BS874" s="537"/>
      <c r="BT874" s="537"/>
      <c r="BU874" s="537"/>
      <c r="BV874" s="537"/>
      <c r="BW874" s="537"/>
    </row>
    <row r="875" spans="49:75">
      <c r="AW875" s="470"/>
      <c r="AX875" s="537"/>
      <c r="AY875" s="537"/>
      <c r="AZ875" s="537"/>
      <c r="BA875" s="529"/>
      <c r="BB875" s="537"/>
      <c r="BC875" s="537"/>
      <c r="BD875" s="537"/>
      <c r="BE875" s="529"/>
      <c r="BG875" s="537"/>
      <c r="BH875" s="537"/>
      <c r="BI875" s="537"/>
      <c r="BJ875" s="537"/>
      <c r="BK875" s="537"/>
      <c r="BL875" s="537"/>
      <c r="BM875" s="537"/>
      <c r="BN875" s="537"/>
      <c r="BO875" s="537"/>
      <c r="BP875" s="537"/>
      <c r="BQ875" s="537"/>
      <c r="BR875" s="537"/>
      <c r="BS875" s="537"/>
      <c r="BT875" s="537"/>
      <c r="BU875" s="537"/>
      <c r="BV875" s="537"/>
      <c r="BW875" s="537"/>
    </row>
    <row r="876" spans="49:75">
      <c r="AW876" s="470"/>
      <c r="AX876" s="537"/>
      <c r="AY876" s="537"/>
      <c r="AZ876" s="537"/>
      <c r="BA876" s="529"/>
      <c r="BB876" s="537"/>
      <c r="BC876" s="537"/>
      <c r="BD876" s="537"/>
      <c r="BE876" s="529"/>
      <c r="BG876" s="537"/>
      <c r="BH876" s="537"/>
      <c r="BI876" s="537"/>
      <c r="BJ876" s="537"/>
      <c r="BK876" s="537"/>
      <c r="BL876" s="537"/>
      <c r="BM876" s="537"/>
      <c r="BN876" s="537"/>
      <c r="BO876" s="537"/>
      <c r="BP876" s="537"/>
      <c r="BQ876" s="537"/>
      <c r="BR876" s="537"/>
      <c r="BS876" s="537"/>
      <c r="BT876" s="537"/>
      <c r="BU876" s="537"/>
      <c r="BV876" s="537"/>
      <c r="BW876" s="537"/>
    </row>
    <row r="877" spans="49:75">
      <c r="AW877" s="470"/>
      <c r="AX877" s="537"/>
      <c r="AY877" s="537"/>
      <c r="AZ877" s="537"/>
      <c r="BA877" s="529"/>
      <c r="BB877" s="537"/>
      <c r="BC877" s="537"/>
      <c r="BD877" s="537"/>
      <c r="BE877" s="529"/>
      <c r="BG877" s="537"/>
      <c r="BH877" s="537"/>
      <c r="BI877" s="537"/>
      <c r="BJ877" s="537"/>
      <c r="BK877" s="537"/>
      <c r="BL877" s="537"/>
      <c r="BM877" s="537"/>
      <c r="BN877" s="537"/>
      <c r="BO877" s="537"/>
      <c r="BP877" s="537"/>
      <c r="BQ877" s="537"/>
      <c r="BR877" s="537"/>
      <c r="BS877" s="537"/>
      <c r="BT877" s="537"/>
      <c r="BU877" s="537"/>
      <c r="BV877" s="537"/>
      <c r="BW877" s="537"/>
    </row>
    <row r="878" spans="49:75">
      <c r="AW878" s="470"/>
      <c r="AX878" s="537"/>
      <c r="AY878" s="537"/>
      <c r="AZ878" s="537"/>
      <c r="BA878" s="529"/>
      <c r="BB878" s="537"/>
      <c r="BC878" s="537"/>
      <c r="BD878" s="537"/>
      <c r="BE878" s="529"/>
      <c r="BG878" s="537"/>
      <c r="BH878" s="537"/>
      <c r="BI878" s="537"/>
      <c r="BJ878" s="537"/>
      <c r="BK878" s="537"/>
      <c r="BL878" s="537"/>
      <c r="BM878" s="537"/>
      <c r="BN878" s="537"/>
      <c r="BO878" s="537"/>
      <c r="BP878" s="537"/>
      <c r="BQ878" s="537"/>
      <c r="BR878" s="537"/>
      <c r="BS878" s="537"/>
      <c r="BT878" s="537"/>
      <c r="BU878" s="537"/>
      <c r="BV878" s="537"/>
      <c r="BW878" s="537"/>
    </row>
    <row r="879" spans="49:75">
      <c r="AW879" s="470"/>
      <c r="AX879" s="537"/>
      <c r="AY879" s="537"/>
      <c r="AZ879" s="537"/>
      <c r="BA879" s="529"/>
      <c r="BB879" s="537"/>
      <c r="BC879" s="537"/>
      <c r="BD879" s="537"/>
      <c r="BE879" s="529"/>
      <c r="BG879" s="537"/>
      <c r="BH879" s="537"/>
      <c r="BI879" s="537"/>
      <c r="BJ879" s="537"/>
      <c r="BK879" s="537"/>
      <c r="BL879" s="537"/>
      <c r="BM879" s="537"/>
      <c r="BN879" s="537"/>
      <c r="BO879" s="537"/>
      <c r="BP879" s="537"/>
      <c r="BQ879" s="537"/>
      <c r="BR879" s="537"/>
      <c r="BS879" s="537"/>
      <c r="BT879" s="537"/>
      <c r="BU879" s="537"/>
      <c r="BV879" s="537"/>
      <c r="BW879" s="537"/>
    </row>
    <row r="880" spans="49:75">
      <c r="AW880" s="470"/>
      <c r="AX880" s="537"/>
      <c r="AY880" s="537"/>
      <c r="AZ880" s="537"/>
      <c r="BA880" s="529"/>
      <c r="BB880" s="537"/>
      <c r="BC880" s="537"/>
      <c r="BD880" s="537"/>
      <c r="BE880" s="529"/>
      <c r="BG880" s="537"/>
      <c r="BH880" s="537"/>
      <c r="BI880" s="537"/>
      <c r="BJ880" s="537"/>
      <c r="BK880" s="537"/>
      <c r="BL880" s="537"/>
      <c r="BM880" s="537"/>
      <c r="BN880" s="537"/>
      <c r="BO880" s="537"/>
      <c r="BP880" s="537"/>
      <c r="BQ880" s="537"/>
      <c r="BR880" s="537"/>
      <c r="BS880" s="537"/>
      <c r="BT880" s="537"/>
      <c r="BU880" s="537"/>
      <c r="BV880" s="537"/>
      <c r="BW880" s="537"/>
    </row>
    <row r="881" spans="45:75">
      <c r="AW881" s="470"/>
      <c r="AX881" s="537"/>
      <c r="AY881" s="537"/>
      <c r="AZ881" s="537"/>
      <c r="BA881" s="529"/>
      <c r="BB881" s="537"/>
      <c r="BC881" s="537"/>
      <c r="BD881" s="537"/>
      <c r="BE881" s="529"/>
      <c r="BG881" s="460"/>
      <c r="BH881" s="460"/>
      <c r="BI881" s="455"/>
      <c r="BM881" s="460"/>
      <c r="BN881" s="460"/>
      <c r="BO881" s="537"/>
      <c r="BP881" s="460"/>
      <c r="BQ881" s="460"/>
      <c r="BR881" s="455"/>
      <c r="BV881" s="460"/>
      <c r="BW881" s="460"/>
    </row>
    <row r="882" spans="45:75">
      <c r="AU882" s="455"/>
      <c r="AV882" s="462"/>
      <c r="AW882" s="470"/>
      <c r="AX882" s="537"/>
      <c r="AY882" s="537"/>
      <c r="AZ882" s="537"/>
      <c r="BA882" s="529"/>
      <c r="BB882" s="537"/>
      <c r="BC882" s="537"/>
      <c r="BD882" s="537"/>
      <c r="BE882" s="529"/>
      <c r="BG882" s="539"/>
      <c r="BH882" s="537"/>
      <c r="BI882" s="537"/>
      <c r="BJ882" s="537"/>
      <c r="BK882" s="539"/>
      <c r="BL882" s="540"/>
      <c r="BM882" s="537"/>
      <c r="BN882" s="539"/>
      <c r="BO882" s="537"/>
      <c r="BP882" s="539"/>
      <c r="BQ882" s="537"/>
      <c r="BR882" s="537"/>
      <c r="BS882" s="537"/>
      <c r="BT882" s="539"/>
      <c r="BU882" s="540"/>
      <c r="BV882" s="537"/>
      <c r="BW882" s="539"/>
    </row>
    <row r="883" spans="45:75">
      <c r="AV883" s="462"/>
      <c r="AW883" s="470"/>
      <c r="AX883" s="537"/>
      <c r="AY883" s="537"/>
      <c r="AZ883" s="537"/>
      <c r="BA883" s="529"/>
      <c r="BB883" s="537"/>
      <c r="BC883" s="537"/>
      <c r="BD883" s="537"/>
      <c r="BE883" s="529"/>
      <c r="BG883" s="537"/>
      <c r="BH883" s="537"/>
      <c r="BI883" s="537"/>
      <c r="BJ883" s="537"/>
      <c r="BK883" s="537"/>
      <c r="BL883" s="540"/>
      <c r="BM883" s="537"/>
      <c r="BN883" s="537"/>
      <c r="BO883" s="537"/>
      <c r="BP883" s="537"/>
      <c r="BQ883" s="537"/>
      <c r="BR883" s="537"/>
      <c r="BS883" s="537"/>
      <c r="BT883" s="537"/>
      <c r="BU883" s="540"/>
      <c r="BV883" s="537"/>
      <c r="BW883" s="537"/>
    </row>
    <row r="884" spans="45:75">
      <c r="AV884" s="462"/>
      <c r="AW884" s="470"/>
      <c r="AX884" s="537"/>
      <c r="AY884" s="537"/>
      <c r="AZ884" s="537"/>
      <c r="BA884" s="529"/>
      <c r="BB884" s="537"/>
      <c r="BC884" s="537"/>
      <c r="BD884" s="537"/>
      <c r="BE884" s="529"/>
      <c r="BG884" s="537"/>
      <c r="BH884" s="537"/>
      <c r="BI884" s="537"/>
      <c r="BJ884" s="537"/>
      <c r="BK884" s="537"/>
      <c r="BL884" s="540"/>
      <c r="BM884" s="537"/>
      <c r="BN884" s="537"/>
      <c r="BO884" s="537"/>
      <c r="BP884" s="537"/>
      <c r="BQ884" s="537"/>
      <c r="BR884" s="537"/>
      <c r="BS884" s="537"/>
      <c r="BT884" s="537"/>
      <c r="BU884" s="540"/>
      <c r="BV884" s="537"/>
      <c r="BW884" s="537"/>
    </row>
    <row r="885" spans="45:75">
      <c r="AV885" s="462"/>
      <c r="AW885" s="470"/>
      <c r="AX885" s="537"/>
      <c r="AY885" s="537"/>
      <c r="AZ885" s="537"/>
      <c r="BA885" s="529"/>
      <c r="BB885" s="537"/>
      <c r="BC885" s="537"/>
      <c r="BD885" s="537"/>
      <c r="BE885" s="529"/>
      <c r="BG885" s="537"/>
      <c r="BH885" s="537"/>
      <c r="BI885" s="537"/>
      <c r="BJ885" s="537"/>
      <c r="BK885" s="537"/>
      <c r="BL885" s="540"/>
      <c r="BM885" s="537"/>
      <c r="BN885" s="537"/>
      <c r="BO885" s="537"/>
      <c r="BP885" s="537"/>
      <c r="BQ885" s="537"/>
      <c r="BR885" s="537"/>
      <c r="BS885" s="537"/>
      <c r="BT885" s="537"/>
      <c r="BU885" s="540"/>
      <c r="BV885" s="537"/>
      <c r="BW885" s="537"/>
    </row>
    <row r="886" spans="45:75">
      <c r="AX886" s="537"/>
      <c r="AY886" s="537"/>
      <c r="AZ886" s="537"/>
      <c r="BA886" s="529"/>
      <c r="BB886" s="537"/>
      <c r="BC886" s="537"/>
      <c r="BD886" s="537"/>
      <c r="BE886" s="529"/>
      <c r="BG886" s="537"/>
      <c r="BH886" s="537"/>
      <c r="BI886" s="537"/>
      <c r="BJ886" s="537"/>
      <c r="BK886" s="537"/>
      <c r="BL886" s="537"/>
      <c r="BM886" s="537"/>
      <c r="BN886" s="537"/>
      <c r="BO886" s="537"/>
      <c r="BP886" s="537"/>
      <c r="BQ886" s="537"/>
      <c r="BR886" s="537"/>
      <c r="BS886" s="537"/>
      <c r="BT886" s="537"/>
      <c r="BU886" s="537"/>
      <c r="BV886" s="537"/>
    </row>
    <row r="887" spans="45:75">
      <c r="AU887" s="455"/>
    </row>
    <row r="888" spans="45:75">
      <c r="AU888" s="455"/>
      <c r="AZ888" s="537"/>
      <c r="BA888" s="529"/>
      <c r="BB888" s="537"/>
      <c r="BC888" s="537"/>
      <c r="BD888" s="537"/>
      <c r="BE888" s="529"/>
      <c r="BG888" s="537"/>
      <c r="BH888" s="537"/>
      <c r="BI888" s="537"/>
      <c r="BJ888" s="537"/>
      <c r="BK888" s="537"/>
      <c r="BL888" s="537"/>
      <c r="BM888" s="537"/>
      <c r="BN888" s="537"/>
      <c r="BO888" s="537"/>
      <c r="BP888" s="537"/>
      <c r="BQ888" s="537"/>
      <c r="BR888" s="537"/>
      <c r="BS888" s="537"/>
      <c r="BT888" s="537"/>
      <c r="BU888" s="537"/>
      <c r="BV888" s="537"/>
    </row>
    <row r="889" spans="45:75">
      <c r="AS889" s="455"/>
      <c r="AZ889" s="537"/>
      <c r="BB889" s="537"/>
    </row>
    <row r="890" spans="45:75">
      <c r="AZ890" s="537"/>
      <c r="BB890" s="537"/>
      <c r="BO890" s="537"/>
      <c r="BP890" s="537"/>
      <c r="BQ890" s="537"/>
      <c r="BR890" s="537"/>
      <c r="BS890" s="537"/>
      <c r="BT890" s="537"/>
      <c r="BU890" s="537"/>
      <c r="BV890" s="537"/>
    </row>
    <row r="891" spans="45:75">
      <c r="AY891" s="537"/>
      <c r="AZ891" s="537"/>
      <c r="BB891" s="537"/>
      <c r="BO891" s="537"/>
      <c r="BP891" s="537"/>
      <c r="BQ891" s="537"/>
      <c r="BR891" s="537"/>
      <c r="BS891" s="537"/>
      <c r="BT891" s="537"/>
      <c r="BU891" s="537"/>
      <c r="BV891" s="537"/>
    </row>
    <row r="892" spans="45:75">
      <c r="AY892" s="455"/>
      <c r="AZ892" s="537"/>
      <c r="BB892" s="537"/>
      <c r="BO892" s="537"/>
      <c r="BP892" s="537"/>
      <c r="BQ892" s="537"/>
      <c r="BR892" s="537"/>
      <c r="BS892" s="537"/>
      <c r="BT892" s="537"/>
      <c r="BU892" s="537"/>
      <c r="BV892" s="537"/>
    </row>
    <row r="893" spans="45:75">
      <c r="AY893" s="455"/>
      <c r="AZ893" s="537"/>
      <c r="BB893" s="537"/>
      <c r="BO893" s="537"/>
      <c r="BP893" s="537"/>
      <c r="BQ893" s="537"/>
      <c r="BR893" s="537"/>
      <c r="BS893" s="537"/>
      <c r="BT893" s="537"/>
      <c r="BU893" s="537"/>
      <c r="BV893" s="537"/>
    </row>
    <row r="894" spans="45:75">
      <c r="AZ894" s="537"/>
      <c r="BB894" s="537"/>
      <c r="BD894" s="455"/>
      <c r="BO894" s="537"/>
      <c r="BP894" s="537"/>
      <c r="BQ894" s="537"/>
      <c r="BR894" s="537"/>
      <c r="BS894" s="537"/>
      <c r="BT894" s="537"/>
      <c r="BU894" s="537"/>
      <c r="BV894" s="537"/>
    </row>
    <row r="895" spans="45:75">
      <c r="AZ895" s="537"/>
      <c r="BB895" s="537"/>
      <c r="BD895" s="455"/>
      <c r="BO895" s="537"/>
      <c r="BP895" s="537"/>
      <c r="BQ895" s="537"/>
      <c r="BR895" s="537"/>
      <c r="BS895" s="537"/>
      <c r="BT895" s="537"/>
      <c r="BU895" s="537"/>
      <c r="BV895" s="537"/>
    </row>
    <row r="896" spans="45:75">
      <c r="AS896" s="455"/>
      <c r="AZ896" s="537"/>
      <c r="BB896" s="537"/>
      <c r="BD896" s="455"/>
      <c r="BO896" s="537"/>
      <c r="BP896" s="537"/>
      <c r="BQ896" s="537"/>
      <c r="BR896" s="537"/>
      <c r="BS896" s="537"/>
      <c r="BT896" s="537"/>
      <c r="BU896" s="537"/>
      <c r="BV896" s="537"/>
    </row>
    <row r="897" spans="45:74">
      <c r="AZ897" s="537"/>
      <c r="BB897" s="537"/>
      <c r="BO897" s="537"/>
      <c r="BP897" s="537"/>
      <c r="BQ897" s="537"/>
      <c r="BR897" s="537"/>
      <c r="BS897" s="537"/>
      <c r="BT897" s="537"/>
      <c r="BU897" s="537"/>
      <c r="BV897" s="537"/>
    </row>
    <row r="898" spans="45:74">
      <c r="AS898" s="460"/>
      <c r="AT898" s="460"/>
      <c r="AU898" s="460"/>
      <c r="AV898" s="460"/>
      <c r="AW898" s="460"/>
      <c r="AX898" s="460"/>
      <c r="AY898" s="460"/>
      <c r="AZ898" s="538"/>
      <c r="BA898" s="460"/>
      <c r="BB898" s="538"/>
      <c r="BC898" s="460"/>
      <c r="BD898" s="460"/>
      <c r="BE898" s="460"/>
      <c r="BO898" s="537"/>
      <c r="BP898" s="537"/>
      <c r="BQ898" s="537"/>
      <c r="BR898" s="537"/>
      <c r="BS898" s="537"/>
      <c r="BT898" s="537"/>
      <c r="BU898" s="537"/>
      <c r="BV898" s="537"/>
    </row>
    <row r="899" spans="45:74">
      <c r="AX899" s="455"/>
      <c r="AZ899" s="537"/>
      <c r="BB899" s="537"/>
      <c r="BO899" s="537"/>
      <c r="BP899" s="537"/>
      <c r="BQ899" s="537"/>
      <c r="BR899" s="537"/>
      <c r="BS899" s="537"/>
      <c r="BT899" s="537"/>
      <c r="BU899" s="537"/>
      <c r="BV899" s="537"/>
    </row>
    <row r="900" spans="45:74">
      <c r="AX900" s="460"/>
      <c r="AY900" s="460"/>
      <c r="AZ900" s="538"/>
      <c r="BA900" s="460"/>
      <c r="BB900" s="537"/>
      <c r="BC900" s="462"/>
      <c r="BD900" s="462"/>
      <c r="BO900" s="537"/>
      <c r="BP900" s="537"/>
      <c r="BQ900" s="537"/>
      <c r="BR900" s="537"/>
      <c r="BS900" s="537"/>
      <c r="BT900" s="537"/>
      <c r="BU900" s="537"/>
      <c r="BV900" s="537"/>
    </row>
    <row r="901" spans="45:74">
      <c r="AV901" s="462"/>
      <c r="AW901" s="462"/>
      <c r="AZ901" s="539"/>
      <c r="BA901" s="462"/>
      <c r="BB901" s="537"/>
      <c r="BC901" s="462"/>
      <c r="BD901" s="462"/>
      <c r="BE901" s="462"/>
      <c r="BG901" s="460"/>
      <c r="BH901" s="455"/>
      <c r="BK901" s="460"/>
      <c r="BM901" s="460"/>
      <c r="BN901" s="455"/>
      <c r="BQ901" s="460"/>
    </row>
    <row r="902" spans="45:74">
      <c r="AV902" s="462"/>
      <c r="AW902" s="462"/>
      <c r="AX902" s="462"/>
      <c r="AY902" s="462"/>
      <c r="AZ902" s="539"/>
      <c r="BA902" s="462"/>
      <c r="BB902" s="539"/>
      <c r="BC902" s="462"/>
      <c r="BD902" s="462"/>
      <c r="BE902" s="462"/>
      <c r="BH902" s="462"/>
      <c r="BI902" s="462"/>
      <c r="BN902" s="462"/>
      <c r="BO902" s="462"/>
    </row>
    <row r="903" spans="45:74">
      <c r="AS903" s="462"/>
      <c r="AU903" s="455"/>
      <c r="AV903" s="462"/>
      <c r="AW903" s="462"/>
      <c r="AX903" s="462"/>
      <c r="AY903" s="462"/>
      <c r="AZ903" s="539"/>
      <c r="BA903" s="462"/>
      <c r="BB903" s="539"/>
      <c r="BC903" s="462"/>
      <c r="BD903" s="462"/>
      <c r="BE903" s="462"/>
      <c r="BG903" s="462"/>
      <c r="BH903" s="462"/>
      <c r="BI903" s="462"/>
      <c r="BJ903" s="462"/>
      <c r="BK903" s="462"/>
      <c r="BM903" s="462"/>
      <c r="BN903" s="462"/>
      <c r="BO903" s="462"/>
      <c r="BP903" s="462"/>
      <c r="BQ903" s="462"/>
    </row>
    <row r="904" spans="45:74">
      <c r="AS904" s="462"/>
      <c r="AU904" s="455"/>
      <c r="AV904" s="462"/>
      <c r="AW904" s="462"/>
      <c r="AX904" s="462"/>
      <c r="AY904" s="462"/>
      <c r="AZ904" s="539"/>
      <c r="BA904" s="462"/>
      <c r="BB904" s="539"/>
      <c r="BC904" s="462"/>
      <c r="BD904" s="462"/>
      <c r="BE904" s="462"/>
      <c r="BG904" s="462"/>
      <c r="BH904" s="462"/>
      <c r="BI904" s="462"/>
      <c r="BJ904" s="462"/>
      <c r="BK904" s="462"/>
      <c r="BM904" s="462"/>
      <c r="BN904" s="462"/>
      <c r="BO904" s="462"/>
      <c r="BP904" s="462"/>
      <c r="BQ904" s="462"/>
    </row>
    <row r="905" spans="45:74">
      <c r="AS905" s="460"/>
      <c r="AT905" s="460"/>
      <c r="AU905" s="460"/>
      <c r="AV905" s="460"/>
      <c r="AW905" s="460"/>
      <c r="AX905" s="460"/>
      <c r="AY905" s="460"/>
      <c r="AZ905" s="538"/>
      <c r="BA905" s="460"/>
      <c r="BB905" s="538"/>
      <c r="BC905" s="460"/>
      <c r="BD905" s="460"/>
      <c r="BE905" s="460"/>
      <c r="BG905" s="460"/>
      <c r="BH905" s="460"/>
      <c r="BI905" s="460"/>
      <c r="BJ905" s="460"/>
      <c r="BK905" s="460"/>
      <c r="BM905" s="460"/>
      <c r="BN905" s="460"/>
      <c r="BO905" s="460"/>
      <c r="BP905" s="460"/>
      <c r="BQ905" s="460"/>
    </row>
    <row r="906" spans="45:74">
      <c r="AV906" s="462"/>
      <c r="AW906" s="462"/>
      <c r="AX906" s="462"/>
      <c r="AY906" s="462"/>
      <c r="AZ906" s="539"/>
      <c r="BA906" s="462"/>
      <c r="BB906" s="539"/>
      <c r="BC906" s="462"/>
      <c r="BD906" s="462"/>
      <c r="BE906" s="462"/>
      <c r="BG906" s="537"/>
      <c r="BH906" s="537"/>
      <c r="BI906" s="537"/>
      <c r="BJ906" s="537"/>
      <c r="BK906" s="537"/>
      <c r="BL906" s="537"/>
      <c r="BM906" s="537"/>
      <c r="BN906" s="537"/>
      <c r="BO906" s="537"/>
      <c r="BP906" s="537"/>
      <c r="BQ906" s="537"/>
    </row>
    <row r="907" spans="45:74">
      <c r="AT907" s="455"/>
      <c r="AV907" s="470"/>
      <c r="AW907" s="470"/>
      <c r="AX907" s="537"/>
      <c r="AY907" s="537"/>
      <c r="AZ907" s="537"/>
      <c r="BA907" s="529"/>
      <c r="BB907" s="537"/>
      <c r="BC907" s="537"/>
      <c r="BD907" s="537"/>
      <c r="BE907" s="529"/>
      <c r="BG907" s="537"/>
      <c r="BH907" s="537"/>
      <c r="BI907" s="537"/>
      <c r="BJ907" s="537"/>
      <c r="BK907" s="537"/>
      <c r="BL907" s="537"/>
      <c r="BM907" s="537"/>
      <c r="BN907" s="537"/>
      <c r="BO907" s="537"/>
      <c r="BP907" s="537"/>
      <c r="BQ907" s="537"/>
      <c r="BR907" s="537"/>
      <c r="BS907" s="537"/>
    </row>
    <row r="908" spans="45:74">
      <c r="AV908" s="470"/>
      <c r="AW908" s="470"/>
      <c r="AX908" s="537"/>
      <c r="AY908" s="537"/>
      <c r="AZ908" s="537"/>
      <c r="BA908" s="529"/>
      <c r="BB908" s="537"/>
      <c r="BC908" s="537"/>
      <c r="BD908" s="537"/>
      <c r="BE908" s="529"/>
      <c r="BG908" s="537"/>
      <c r="BH908" s="537"/>
      <c r="BI908" s="537"/>
      <c r="BJ908" s="537"/>
      <c r="BK908" s="537"/>
      <c r="BL908" s="537"/>
      <c r="BM908" s="537"/>
      <c r="BN908" s="537"/>
      <c r="BO908" s="537"/>
      <c r="BP908" s="537"/>
      <c r="BQ908" s="537"/>
      <c r="BR908" s="537"/>
      <c r="BS908" s="537"/>
    </row>
    <row r="909" spans="45:74">
      <c r="AV909" s="470"/>
      <c r="AW909" s="470"/>
      <c r="AX909" s="537"/>
      <c r="AY909" s="537"/>
      <c r="AZ909" s="537"/>
      <c r="BA909" s="529"/>
      <c r="BB909" s="537"/>
      <c r="BC909" s="537"/>
      <c r="BD909" s="537"/>
      <c r="BE909" s="529"/>
      <c r="BG909" s="537"/>
      <c r="BH909" s="537"/>
      <c r="BI909" s="537"/>
      <c r="BJ909" s="537"/>
      <c r="BK909" s="537"/>
      <c r="BL909" s="537"/>
      <c r="BM909" s="537"/>
      <c r="BN909" s="537"/>
      <c r="BO909" s="537"/>
      <c r="BP909" s="537"/>
      <c r="BQ909" s="537"/>
      <c r="BR909" s="537"/>
      <c r="BS909" s="537"/>
    </row>
    <row r="910" spans="45:74">
      <c r="AV910" s="470"/>
      <c r="AW910" s="470"/>
      <c r="AX910" s="537"/>
      <c r="AY910" s="537"/>
      <c r="AZ910" s="537"/>
      <c r="BA910" s="529"/>
      <c r="BB910" s="537"/>
      <c r="BC910" s="537"/>
      <c r="BD910" s="537"/>
      <c r="BE910" s="529"/>
      <c r="BG910" s="537"/>
      <c r="BH910" s="537"/>
      <c r="BI910" s="537"/>
      <c r="BJ910" s="537"/>
      <c r="BK910" s="537"/>
      <c r="BL910" s="537"/>
      <c r="BM910" s="537"/>
      <c r="BN910" s="537"/>
      <c r="BO910" s="537"/>
      <c r="BP910" s="537"/>
      <c r="BQ910" s="537"/>
      <c r="BR910" s="537"/>
      <c r="BS910" s="537"/>
    </row>
    <row r="911" spans="45:74">
      <c r="AV911" s="470"/>
      <c r="AW911" s="470"/>
      <c r="AX911" s="537"/>
      <c r="AY911" s="537"/>
      <c r="AZ911" s="537"/>
      <c r="BA911" s="529"/>
      <c r="BB911" s="537"/>
      <c r="BC911" s="537"/>
      <c r="BD911" s="537"/>
      <c r="BE911" s="529"/>
      <c r="BG911" s="537"/>
      <c r="BH911" s="537"/>
      <c r="BI911" s="537"/>
      <c r="BJ911" s="537"/>
      <c r="BK911" s="537"/>
      <c r="BL911" s="537"/>
      <c r="BM911" s="537"/>
      <c r="BN911" s="537"/>
      <c r="BO911" s="537"/>
      <c r="BP911" s="537"/>
      <c r="BQ911" s="537"/>
      <c r="BR911" s="537"/>
      <c r="BS911" s="537"/>
    </row>
    <row r="912" spans="45:74">
      <c r="AV912" s="470"/>
      <c r="AW912" s="470"/>
      <c r="AX912" s="537"/>
      <c r="AY912" s="537"/>
      <c r="AZ912" s="537"/>
      <c r="BA912" s="529"/>
      <c r="BB912" s="537"/>
      <c r="BC912" s="537"/>
      <c r="BD912" s="537"/>
      <c r="BE912" s="529"/>
      <c r="BG912" s="537"/>
      <c r="BH912" s="537"/>
      <c r="BI912" s="537"/>
      <c r="BJ912" s="537"/>
      <c r="BK912" s="537"/>
      <c r="BL912" s="537"/>
      <c r="BM912" s="537"/>
      <c r="BN912" s="537"/>
      <c r="BO912" s="537"/>
      <c r="BP912" s="537"/>
      <c r="BQ912" s="537"/>
      <c r="BR912" s="537"/>
      <c r="BS912" s="537"/>
    </row>
    <row r="913" spans="46:71">
      <c r="AV913" s="470"/>
      <c r="AW913" s="470"/>
      <c r="AX913" s="537"/>
      <c r="AY913" s="537"/>
      <c r="AZ913" s="537"/>
      <c r="BA913" s="529"/>
      <c r="BB913" s="537"/>
      <c r="BC913" s="537"/>
      <c r="BD913" s="537"/>
      <c r="BE913" s="529"/>
      <c r="BG913" s="537"/>
      <c r="BH913" s="537"/>
      <c r="BI913" s="537"/>
      <c r="BJ913" s="537"/>
      <c r="BK913" s="537"/>
      <c r="BL913" s="537"/>
      <c r="BM913" s="537"/>
      <c r="BN913" s="537"/>
      <c r="BO913" s="537"/>
      <c r="BP913" s="537"/>
      <c r="BQ913" s="537"/>
      <c r="BR913" s="537"/>
      <c r="BS913" s="537"/>
    </row>
    <row r="914" spans="46:71">
      <c r="AV914" s="470"/>
      <c r="AW914" s="470"/>
      <c r="AX914" s="537"/>
      <c r="AY914" s="537"/>
      <c r="AZ914" s="537"/>
      <c r="BA914" s="529"/>
      <c r="BB914" s="537"/>
      <c r="BC914" s="537"/>
      <c r="BD914" s="537"/>
      <c r="BE914" s="529"/>
      <c r="BG914" s="537"/>
      <c r="BH914" s="537"/>
      <c r="BI914" s="537"/>
      <c r="BJ914" s="537"/>
      <c r="BK914" s="537"/>
      <c r="BL914" s="537"/>
      <c r="BM914" s="537"/>
      <c r="BN914" s="537"/>
      <c r="BO914" s="537"/>
      <c r="BP914" s="537"/>
      <c r="BQ914" s="537"/>
      <c r="BR914" s="537"/>
      <c r="BS914" s="537"/>
    </row>
    <row r="915" spans="46:71">
      <c r="AV915" s="470"/>
      <c r="AW915" s="470"/>
      <c r="AX915" s="537"/>
      <c r="AY915" s="537"/>
      <c r="AZ915" s="537"/>
      <c r="BA915" s="529"/>
      <c r="BB915" s="537"/>
      <c r="BC915" s="537"/>
      <c r="BD915" s="537"/>
      <c r="BE915" s="529"/>
      <c r="BG915" s="537"/>
      <c r="BH915" s="537"/>
      <c r="BI915" s="537"/>
      <c r="BJ915" s="537"/>
      <c r="BK915" s="537"/>
      <c r="BL915" s="537"/>
      <c r="BM915" s="537"/>
      <c r="BN915" s="537"/>
      <c r="BO915" s="537"/>
      <c r="BP915" s="537"/>
      <c r="BQ915" s="537"/>
      <c r="BR915" s="537"/>
      <c r="BS915" s="537"/>
    </row>
    <row r="916" spans="46:71">
      <c r="AV916" s="470"/>
      <c r="AW916" s="470"/>
      <c r="AX916" s="537"/>
      <c r="AY916" s="537"/>
      <c r="AZ916" s="537"/>
      <c r="BA916" s="529"/>
      <c r="BB916" s="537"/>
      <c r="BC916" s="537"/>
      <c r="BD916" s="537"/>
      <c r="BE916" s="529"/>
      <c r="BG916" s="537"/>
      <c r="BH916" s="537"/>
      <c r="BI916" s="537"/>
      <c r="BJ916" s="537"/>
      <c r="BK916" s="537"/>
      <c r="BL916" s="537"/>
      <c r="BM916" s="537"/>
      <c r="BN916" s="537"/>
      <c r="BO916" s="537"/>
      <c r="BP916" s="537"/>
      <c r="BQ916" s="537"/>
      <c r="BR916" s="537"/>
      <c r="BS916" s="537"/>
    </row>
    <row r="917" spans="46:71">
      <c r="AV917" s="470"/>
      <c r="AW917" s="470"/>
      <c r="AX917" s="537"/>
      <c r="AY917" s="537"/>
      <c r="AZ917" s="537"/>
      <c r="BA917" s="529"/>
      <c r="BB917" s="537"/>
      <c r="BC917" s="537"/>
      <c r="BD917" s="537"/>
      <c r="BE917" s="529"/>
      <c r="BG917" s="537"/>
      <c r="BH917" s="537"/>
      <c r="BI917" s="537"/>
      <c r="BJ917" s="537"/>
      <c r="BK917" s="537"/>
      <c r="BL917" s="537"/>
      <c r="BM917" s="537"/>
      <c r="BN917" s="537"/>
      <c r="BO917" s="537"/>
      <c r="BP917" s="537"/>
      <c r="BQ917" s="537"/>
      <c r="BR917" s="537"/>
      <c r="BS917" s="537"/>
    </row>
    <row r="918" spans="46:71">
      <c r="AV918" s="470"/>
      <c r="AW918" s="470"/>
      <c r="AX918" s="537"/>
      <c r="AY918" s="537"/>
      <c r="AZ918" s="537"/>
      <c r="BA918" s="529"/>
      <c r="BB918" s="537"/>
      <c r="BC918" s="537"/>
      <c r="BD918" s="537"/>
      <c r="BE918" s="529"/>
      <c r="BG918" s="537"/>
      <c r="BH918" s="537"/>
      <c r="BI918" s="537"/>
      <c r="BJ918" s="537"/>
      <c r="BK918" s="537"/>
      <c r="BL918" s="537"/>
      <c r="BM918" s="537"/>
      <c r="BN918" s="537"/>
      <c r="BO918" s="537"/>
      <c r="BP918" s="537"/>
      <c r="BQ918" s="537"/>
      <c r="BR918" s="537"/>
      <c r="BS918" s="537"/>
    </row>
    <row r="919" spans="46:71">
      <c r="AV919" s="470"/>
      <c r="AW919" s="470"/>
      <c r="AX919" s="537"/>
      <c r="AY919" s="537"/>
      <c r="AZ919" s="537"/>
      <c r="BA919" s="529"/>
      <c r="BB919" s="537"/>
      <c r="BC919" s="537"/>
      <c r="BD919" s="537"/>
      <c r="BE919" s="529"/>
      <c r="BG919" s="537"/>
      <c r="BH919" s="537"/>
      <c r="BI919" s="537"/>
      <c r="BJ919" s="537"/>
      <c r="BK919" s="537"/>
      <c r="BL919" s="537"/>
      <c r="BM919" s="537"/>
      <c r="BN919" s="537"/>
      <c r="BO919" s="537"/>
      <c r="BP919" s="537"/>
      <c r="BQ919" s="537"/>
      <c r="BR919" s="537"/>
      <c r="BS919" s="537"/>
    </row>
    <row r="920" spans="46:71">
      <c r="AV920" s="470"/>
      <c r="AW920" s="470"/>
      <c r="AX920" s="537"/>
      <c r="AY920" s="537"/>
      <c r="AZ920" s="537"/>
      <c r="BA920" s="529"/>
      <c r="BB920" s="537"/>
      <c r="BC920" s="537"/>
      <c r="BD920" s="537"/>
      <c r="BE920" s="529"/>
      <c r="BG920" s="537"/>
      <c r="BH920" s="537"/>
      <c r="BI920" s="537"/>
      <c r="BJ920" s="537"/>
      <c r="BK920" s="537"/>
      <c r="BL920" s="537"/>
      <c r="BM920" s="537"/>
      <c r="BN920" s="537"/>
      <c r="BO920" s="537"/>
      <c r="BP920" s="537"/>
      <c r="BQ920" s="537"/>
      <c r="BR920" s="537"/>
      <c r="BS920" s="537"/>
    </row>
    <row r="921" spans="46:71">
      <c r="AV921" s="470"/>
      <c r="AW921" s="470"/>
      <c r="AX921" s="537"/>
      <c r="AY921" s="537"/>
      <c r="AZ921" s="537"/>
      <c r="BA921" s="529"/>
      <c r="BB921" s="537"/>
      <c r="BC921" s="537"/>
      <c r="BD921" s="537"/>
      <c r="BE921" s="529"/>
      <c r="BG921" s="537"/>
      <c r="BH921" s="537"/>
      <c r="BI921" s="537"/>
      <c r="BJ921" s="537"/>
      <c r="BK921" s="537"/>
      <c r="BL921" s="537"/>
      <c r="BM921" s="537"/>
      <c r="BN921" s="537"/>
      <c r="BO921" s="537"/>
      <c r="BP921" s="537"/>
      <c r="BQ921" s="537"/>
      <c r="BR921" s="537"/>
      <c r="BS921" s="537"/>
    </row>
    <row r="922" spans="46:71">
      <c r="AV922" s="470"/>
      <c r="AW922" s="470"/>
      <c r="AX922" s="537"/>
      <c r="AY922" s="537"/>
      <c r="AZ922" s="537"/>
      <c r="BA922" s="529"/>
      <c r="BB922" s="537"/>
      <c r="BC922" s="537"/>
      <c r="BD922" s="537"/>
      <c r="BE922" s="529"/>
      <c r="BG922" s="537"/>
      <c r="BH922" s="537"/>
      <c r="BI922" s="537"/>
      <c r="BJ922" s="537"/>
      <c r="BK922" s="537"/>
      <c r="BL922" s="537"/>
      <c r="BM922" s="537"/>
      <c r="BN922" s="537"/>
      <c r="BO922" s="537"/>
      <c r="BP922" s="537"/>
      <c r="BQ922" s="537"/>
      <c r="BR922" s="537"/>
      <c r="BS922" s="537"/>
    </row>
    <row r="923" spans="46:71">
      <c r="AV923" s="470"/>
      <c r="AW923" s="470"/>
      <c r="AX923" s="537"/>
      <c r="AY923" s="537"/>
      <c r="AZ923" s="537"/>
      <c r="BA923" s="529"/>
      <c r="BB923" s="537"/>
      <c r="BC923" s="537"/>
      <c r="BD923" s="537"/>
      <c r="BE923" s="529"/>
      <c r="BG923" s="537"/>
      <c r="BH923" s="537"/>
      <c r="BI923" s="537"/>
      <c r="BJ923" s="537"/>
      <c r="BK923" s="537"/>
      <c r="BL923" s="537"/>
      <c r="BM923" s="537"/>
      <c r="BN923" s="537"/>
      <c r="BO923" s="537"/>
      <c r="BP923" s="537"/>
      <c r="BQ923" s="537"/>
      <c r="BR923" s="537"/>
      <c r="BS923" s="537"/>
    </row>
    <row r="924" spans="46:71">
      <c r="AV924" s="470"/>
      <c r="AW924" s="470"/>
      <c r="AX924" s="537"/>
      <c r="AY924" s="537"/>
      <c r="AZ924" s="537"/>
      <c r="BA924" s="529"/>
      <c r="BB924" s="537"/>
      <c r="BC924" s="537"/>
      <c r="BD924" s="537"/>
      <c r="BE924" s="529"/>
      <c r="BG924" s="537"/>
      <c r="BH924" s="537"/>
      <c r="BI924" s="537"/>
      <c r="BJ924" s="537"/>
      <c r="BK924" s="537"/>
      <c r="BL924" s="537"/>
      <c r="BM924" s="537"/>
      <c r="BN924" s="537"/>
      <c r="BO924" s="537"/>
      <c r="BP924" s="537"/>
      <c r="BQ924" s="537"/>
      <c r="BR924" s="537"/>
      <c r="BS924" s="537"/>
    </row>
    <row r="925" spans="46:71">
      <c r="AZ925" s="537"/>
      <c r="BB925" s="537"/>
      <c r="BC925" s="537"/>
      <c r="BD925" s="537"/>
      <c r="BG925" s="537"/>
      <c r="BH925" s="537"/>
      <c r="BI925" s="537"/>
      <c r="BJ925" s="537"/>
      <c r="BK925" s="537"/>
      <c r="BL925" s="537"/>
      <c r="BM925" s="537"/>
      <c r="BN925" s="537"/>
      <c r="BO925" s="537"/>
      <c r="BP925" s="537"/>
      <c r="BQ925" s="537"/>
      <c r="BR925" s="537"/>
      <c r="BS925" s="537"/>
    </row>
    <row r="926" spans="46:71">
      <c r="AT926" s="455"/>
      <c r="AV926" s="470"/>
      <c r="AW926" s="470"/>
      <c r="AX926" s="537"/>
      <c r="AY926" s="537"/>
      <c r="AZ926" s="537"/>
      <c r="BA926" s="529"/>
      <c r="BB926" s="537"/>
      <c r="BC926" s="537"/>
      <c r="BD926" s="537"/>
      <c r="BE926" s="529"/>
    </row>
    <row r="927" spans="46:71">
      <c r="AV927" s="470"/>
      <c r="AW927" s="470"/>
      <c r="AX927" s="537"/>
      <c r="AY927" s="537"/>
      <c r="AZ927" s="537"/>
      <c r="BA927" s="529"/>
      <c r="BB927" s="537"/>
      <c r="BC927" s="537"/>
      <c r="BD927" s="537"/>
      <c r="BE927" s="529"/>
    </row>
    <row r="928" spans="46:71">
      <c r="AV928" s="470"/>
      <c r="AW928" s="470"/>
      <c r="AX928" s="537"/>
      <c r="AY928" s="537"/>
      <c r="AZ928" s="537"/>
      <c r="BA928" s="529"/>
      <c r="BB928" s="537"/>
      <c r="BC928" s="537"/>
      <c r="BD928" s="537"/>
      <c r="BE928" s="529"/>
    </row>
    <row r="929" spans="48:57">
      <c r="AV929" s="470"/>
      <c r="AW929" s="470"/>
      <c r="AX929" s="537"/>
      <c r="AY929" s="537"/>
      <c r="AZ929" s="537"/>
      <c r="BA929" s="529"/>
      <c r="BB929" s="537"/>
      <c r="BC929" s="537"/>
      <c r="BD929" s="537"/>
      <c r="BE929" s="529"/>
    </row>
    <row r="930" spans="48:57">
      <c r="AV930" s="470"/>
      <c r="AW930" s="470"/>
      <c r="AX930" s="537"/>
      <c r="AY930" s="537"/>
      <c r="AZ930" s="537"/>
      <c r="BA930" s="529"/>
      <c r="BB930" s="537"/>
      <c r="BC930" s="537"/>
      <c r="BD930" s="537"/>
      <c r="BE930" s="529"/>
    </row>
    <row r="931" spans="48:57">
      <c r="AV931" s="470"/>
      <c r="AW931" s="470"/>
      <c r="AX931" s="537"/>
      <c r="AY931" s="537"/>
      <c r="AZ931" s="537"/>
      <c r="BA931" s="529"/>
      <c r="BB931" s="537"/>
      <c r="BC931" s="537"/>
      <c r="BD931" s="537"/>
      <c r="BE931" s="529"/>
    </row>
    <row r="932" spans="48:57">
      <c r="AV932" s="470"/>
      <c r="AW932" s="470"/>
      <c r="AX932" s="537"/>
      <c r="AY932" s="537"/>
      <c r="AZ932" s="537"/>
      <c r="BA932" s="529"/>
      <c r="BB932" s="537"/>
      <c r="BC932" s="537"/>
      <c r="BD932" s="537"/>
      <c r="BE932" s="529"/>
    </row>
    <row r="933" spans="48:57">
      <c r="AV933" s="470"/>
      <c r="AW933" s="470"/>
      <c r="AX933" s="537"/>
      <c r="AY933" s="537"/>
      <c r="AZ933" s="537"/>
      <c r="BA933" s="529"/>
      <c r="BB933" s="537"/>
      <c r="BC933" s="537"/>
      <c r="BD933" s="537"/>
      <c r="BE933" s="529"/>
    </row>
    <row r="934" spans="48:57">
      <c r="AV934" s="470"/>
      <c r="AW934" s="470"/>
      <c r="AX934" s="537"/>
      <c r="AY934" s="537"/>
      <c r="AZ934" s="537"/>
      <c r="BA934" s="529"/>
      <c r="BB934" s="537"/>
      <c r="BC934" s="537"/>
      <c r="BD934" s="537"/>
      <c r="BE934" s="529"/>
    </row>
    <row r="935" spans="48:57">
      <c r="AV935" s="470"/>
      <c r="AW935" s="470"/>
      <c r="AX935" s="537"/>
      <c r="AY935" s="537"/>
      <c r="AZ935" s="537"/>
      <c r="BA935" s="529"/>
      <c r="BB935" s="537"/>
      <c r="BC935" s="537"/>
      <c r="BD935" s="537"/>
      <c r="BE935" s="529"/>
    </row>
    <row r="936" spans="48:57">
      <c r="AV936" s="470"/>
      <c r="AW936" s="470"/>
      <c r="AX936" s="537"/>
      <c r="AY936" s="537"/>
      <c r="AZ936" s="537"/>
      <c r="BA936" s="529"/>
      <c r="BB936" s="537"/>
      <c r="BC936" s="537"/>
      <c r="BD936" s="537"/>
      <c r="BE936" s="529"/>
    </row>
    <row r="937" spans="48:57">
      <c r="AV937" s="470"/>
      <c r="AW937" s="470"/>
      <c r="AX937" s="537"/>
      <c r="AY937" s="537"/>
      <c r="AZ937" s="537"/>
      <c r="BA937" s="529"/>
      <c r="BB937" s="537"/>
      <c r="BC937" s="537"/>
      <c r="BD937" s="537"/>
      <c r="BE937" s="529"/>
    </row>
    <row r="938" spans="48:57">
      <c r="AV938" s="470"/>
      <c r="AW938" s="470"/>
      <c r="AX938" s="537"/>
      <c r="AY938" s="537"/>
      <c r="AZ938" s="537"/>
      <c r="BA938" s="529"/>
      <c r="BB938" s="537"/>
      <c r="BC938" s="537"/>
      <c r="BD938" s="537"/>
      <c r="BE938" s="529"/>
    </row>
    <row r="939" spans="48:57">
      <c r="AV939" s="470"/>
      <c r="AW939" s="470"/>
      <c r="AX939" s="537"/>
      <c r="AY939" s="537"/>
      <c r="AZ939" s="537"/>
      <c r="BA939" s="529"/>
      <c r="BB939" s="537"/>
      <c r="BC939" s="537"/>
      <c r="BD939" s="537"/>
      <c r="BE939" s="529"/>
    </row>
    <row r="940" spans="48:57">
      <c r="AV940" s="470"/>
      <c r="AW940" s="470"/>
      <c r="AX940" s="537"/>
      <c r="AY940" s="537"/>
      <c r="AZ940" s="537"/>
      <c r="BA940" s="529"/>
      <c r="BB940" s="537"/>
      <c r="BC940" s="537"/>
      <c r="BD940" s="537"/>
      <c r="BE940" s="529"/>
    </row>
    <row r="941" spans="48:57">
      <c r="AV941" s="470"/>
      <c r="AW941" s="470"/>
      <c r="AX941" s="537"/>
      <c r="AY941" s="537"/>
      <c r="AZ941" s="537"/>
      <c r="BA941" s="529"/>
      <c r="BB941" s="537"/>
      <c r="BC941" s="537"/>
      <c r="BD941" s="537"/>
      <c r="BE941" s="529"/>
    </row>
    <row r="942" spans="48:57">
      <c r="AV942" s="470"/>
      <c r="AW942" s="470"/>
      <c r="AX942" s="537"/>
      <c r="AY942" s="537"/>
      <c r="AZ942" s="537"/>
      <c r="BA942" s="529"/>
      <c r="BB942" s="537"/>
      <c r="BC942" s="537"/>
      <c r="BD942" s="537"/>
      <c r="BE942" s="529"/>
    </row>
    <row r="943" spans="48:57">
      <c r="AV943" s="470"/>
      <c r="AW943" s="470"/>
      <c r="AX943" s="537"/>
      <c r="AY943" s="537"/>
      <c r="AZ943" s="537"/>
      <c r="BA943" s="529"/>
      <c r="BB943" s="537"/>
      <c r="BC943" s="537"/>
      <c r="BD943" s="537"/>
      <c r="BE943" s="529"/>
    </row>
    <row r="944" spans="48:57">
      <c r="BB944" s="537"/>
    </row>
    <row r="945" spans="45:57">
      <c r="AU945" s="455"/>
      <c r="BB945" s="537"/>
    </row>
    <row r="946" spans="45:57">
      <c r="AU946" s="455"/>
    </row>
    <row r="947" spans="45:57">
      <c r="AU947" s="455"/>
      <c r="BB947" s="537"/>
    </row>
    <row r="948" spans="45:57">
      <c r="AS948" s="455"/>
      <c r="AZ948" s="537"/>
      <c r="BB948" s="537"/>
    </row>
    <row r="949" spans="45:57">
      <c r="AZ949" s="537"/>
      <c r="BB949" s="537"/>
    </row>
    <row r="950" spans="45:57">
      <c r="AY950" s="537"/>
      <c r="AZ950" s="537"/>
      <c r="BB950" s="537"/>
    </row>
    <row r="951" spans="45:57">
      <c r="AY951" s="455"/>
      <c r="AZ951" s="537"/>
      <c r="BB951" s="537"/>
    </row>
    <row r="952" spans="45:57">
      <c r="AY952" s="455"/>
      <c r="AZ952" s="537"/>
      <c r="BB952" s="537"/>
    </row>
    <row r="953" spans="45:57">
      <c r="AZ953" s="537"/>
      <c r="BB953" s="537"/>
      <c r="BD953" s="455"/>
    </row>
    <row r="954" spans="45:57">
      <c r="AZ954" s="537"/>
      <c r="BB954" s="537"/>
      <c r="BD954" s="455"/>
    </row>
    <row r="955" spans="45:57">
      <c r="AS955" s="455"/>
      <c r="AZ955" s="537"/>
      <c r="BB955" s="537"/>
      <c r="BD955" s="455"/>
    </row>
    <row r="956" spans="45:57">
      <c r="AZ956" s="537"/>
      <c r="BB956" s="537"/>
    </row>
    <row r="957" spans="45:57">
      <c r="AS957" s="460"/>
      <c r="AT957" s="460"/>
      <c r="AU957" s="460"/>
      <c r="AV957" s="460"/>
      <c r="AW957" s="460"/>
      <c r="AX957" s="460"/>
      <c r="AY957" s="460"/>
      <c r="AZ957" s="538"/>
      <c r="BA957" s="460"/>
      <c r="BB957" s="538"/>
      <c r="BC957" s="460"/>
      <c r="BD957" s="460"/>
      <c r="BE957" s="460"/>
    </row>
    <row r="958" spans="45:57">
      <c r="AX958" s="455"/>
      <c r="AZ958" s="537"/>
      <c r="BB958" s="537"/>
    </row>
    <row r="959" spans="45:57">
      <c r="AX959" s="460"/>
      <c r="AY959" s="460"/>
      <c r="AZ959" s="538"/>
      <c r="BA959" s="460"/>
      <c r="BB959" s="537"/>
      <c r="BC959" s="462"/>
      <c r="BD959" s="462"/>
    </row>
    <row r="960" spans="45:57">
      <c r="AV960" s="462"/>
      <c r="AW960" s="462"/>
      <c r="AZ960" s="539"/>
      <c r="BA960" s="462"/>
      <c r="BB960" s="537"/>
      <c r="BC960" s="462"/>
      <c r="BD960" s="462"/>
      <c r="BE960" s="462"/>
    </row>
    <row r="961" spans="45:57">
      <c r="AV961" s="462"/>
      <c r="AW961" s="462"/>
      <c r="AX961" s="462"/>
      <c r="AY961" s="462"/>
      <c r="AZ961" s="539"/>
      <c r="BA961" s="462"/>
      <c r="BB961" s="539"/>
      <c r="BC961" s="462"/>
      <c r="BD961" s="462"/>
      <c r="BE961" s="462"/>
    </row>
    <row r="962" spans="45:57">
      <c r="AS962" s="462"/>
      <c r="AU962" s="455"/>
      <c r="AV962" s="462"/>
      <c r="AW962" s="462"/>
      <c r="AX962" s="462"/>
      <c r="AY962" s="462"/>
      <c r="AZ962" s="539"/>
      <c r="BA962" s="462"/>
      <c r="BB962" s="539"/>
      <c r="BC962" s="462"/>
      <c r="BD962" s="462"/>
      <c r="BE962" s="462"/>
    </row>
    <row r="963" spans="45:57">
      <c r="AS963" s="462"/>
      <c r="AU963" s="455"/>
      <c r="AV963" s="462"/>
      <c r="AW963" s="462"/>
      <c r="AX963" s="462"/>
      <c r="AY963" s="462"/>
      <c r="AZ963" s="539"/>
      <c r="BA963" s="462"/>
      <c r="BB963" s="539"/>
      <c r="BC963" s="462"/>
      <c r="BD963" s="462"/>
      <c r="BE963" s="462"/>
    </row>
    <row r="964" spans="45:57">
      <c r="AS964" s="460"/>
      <c r="AT964" s="460"/>
      <c r="AU964" s="460"/>
      <c r="AV964" s="460"/>
      <c r="AW964" s="460"/>
      <c r="AX964" s="460"/>
      <c r="AY964" s="460"/>
      <c r="AZ964" s="538"/>
      <c r="BA964" s="460"/>
      <c r="BB964" s="538"/>
      <c r="BC964" s="460"/>
      <c r="BD964" s="460"/>
      <c r="BE964" s="460"/>
    </row>
    <row r="965" spans="45:57">
      <c r="AV965" s="462"/>
      <c r="AW965" s="462"/>
      <c r="AX965" s="462"/>
      <c r="AY965" s="462"/>
      <c r="AZ965" s="539"/>
      <c r="BA965" s="462"/>
      <c r="BB965" s="539"/>
      <c r="BC965" s="462"/>
      <c r="BD965" s="462"/>
      <c r="BE965" s="462"/>
    </row>
    <row r="966" spans="45:57">
      <c r="AT966" s="455"/>
      <c r="AV966" s="470"/>
      <c r="AW966" s="470"/>
      <c r="AX966" s="537"/>
      <c r="AY966" s="537"/>
      <c r="AZ966" s="537"/>
      <c r="BA966" s="529"/>
      <c r="BB966" s="537"/>
      <c r="BC966" s="537"/>
      <c r="BD966" s="537"/>
      <c r="BE966" s="529"/>
    </row>
    <row r="967" spans="45:57">
      <c r="AV967" s="470"/>
      <c r="AW967" s="470"/>
      <c r="AX967" s="537"/>
      <c r="AY967" s="537"/>
      <c r="AZ967" s="537"/>
      <c r="BA967" s="529"/>
      <c r="BB967" s="537"/>
      <c r="BC967" s="537"/>
      <c r="BD967" s="537"/>
      <c r="BE967" s="529"/>
    </row>
    <row r="968" spans="45:57">
      <c r="AV968" s="470"/>
      <c r="AW968" s="470"/>
      <c r="AX968" s="537"/>
      <c r="AY968" s="537"/>
      <c r="AZ968" s="537"/>
      <c r="BA968" s="529"/>
      <c r="BB968" s="537"/>
      <c r="BC968" s="537"/>
      <c r="BD968" s="537"/>
      <c r="BE968" s="529"/>
    </row>
    <row r="969" spans="45:57">
      <c r="AV969" s="470"/>
      <c r="AW969" s="470"/>
      <c r="AX969" s="537"/>
      <c r="AY969" s="537"/>
      <c r="AZ969" s="537"/>
      <c r="BA969" s="529"/>
      <c r="BB969" s="537"/>
      <c r="BC969" s="537"/>
      <c r="BD969" s="537"/>
      <c r="BE969" s="529"/>
    </row>
    <row r="970" spans="45:57">
      <c r="AV970" s="470"/>
      <c r="AW970" s="470"/>
      <c r="AX970" s="537"/>
      <c r="AY970" s="537"/>
      <c r="AZ970" s="537"/>
      <c r="BA970" s="529"/>
      <c r="BB970" s="537"/>
      <c r="BC970" s="537"/>
      <c r="BD970" s="537"/>
      <c r="BE970" s="529"/>
    </row>
    <row r="971" spans="45:57">
      <c r="AV971" s="470"/>
      <c r="AW971" s="470"/>
      <c r="AX971" s="537"/>
      <c r="AY971" s="537"/>
      <c r="AZ971" s="537"/>
      <c r="BA971" s="529"/>
      <c r="BB971" s="537"/>
      <c r="BC971" s="537"/>
      <c r="BD971" s="537"/>
      <c r="BE971" s="529"/>
    </row>
    <row r="972" spans="45:57">
      <c r="AV972" s="470"/>
      <c r="AW972" s="470"/>
      <c r="AX972" s="537"/>
      <c r="AY972" s="537"/>
      <c r="AZ972" s="537"/>
      <c r="BA972" s="529"/>
      <c r="BB972" s="537"/>
      <c r="BC972" s="537"/>
      <c r="BD972" s="537"/>
      <c r="BE972" s="529"/>
    </row>
    <row r="973" spans="45:57">
      <c r="AV973" s="470"/>
      <c r="AW973" s="470"/>
      <c r="AX973" s="537"/>
      <c r="AY973" s="537"/>
      <c r="AZ973" s="537"/>
      <c r="BA973" s="529"/>
      <c r="BB973" s="537"/>
      <c r="BC973" s="537"/>
      <c r="BD973" s="537"/>
      <c r="BE973" s="529"/>
    </row>
    <row r="974" spans="45:57">
      <c r="AV974" s="470"/>
      <c r="AW974" s="470"/>
      <c r="AX974" s="537"/>
      <c r="AY974" s="537"/>
      <c r="AZ974" s="537"/>
      <c r="BA974" s="529"/>
      <c r="BB974" s="537"/>
      <c r="BC974" s="537"/>
      <c r="BD974" s="537"/>
      <c r="BE974" s="529"/>
    </row>
    <row r="975" spans="45:57">
      <c r="AV975" s="470"/>
      <c r="AW975" s="470"/>
      <c r="AX975" s="537"/>
      <c r="AY975" s="537"/>
      <c r="AZ975" s="537"/>
      <c r="BA975" s="529"/>
      <c r="BB975" s="537"/>
      <c r="BC975" s="537"/>
      <c r="BD975" s="537"/>
      <c r="BE975" s="529"/>
    </row>
    <row r="976" spans="45:57">
      <c r="AV976" s="470"/>
      <c r="AW976" s="470"/>
      <c r="BB976" s="537"/>
    </row>
    <row r="977" spans="45:57">
      <c r="AT977" s="455"/>
      <c r="AV977" s="470"/>
      <c r="AW977" s="470"/>
      <c r="AX977" s="537"/>
      <c r="AY977" s="537"/>
      <c r="AZ977" s="537"/>
      <c r="BA977" s="529"/>
      <c r="BB977" s="537"/>
      <c r="BC977" s="537"/>
      <c r="BD977" s="537"/>
      <c r="BE977" s="529"/>
    </row>
    <row r="978" spans="45:57">
      <c r="AV978" s="470"/>
      <c r="AW978" s="470"/>
      <c r="AX978" s="537"/>
      <c r="AY978" s="537"/>
      <c r="AZ978" s="537"/>
      <c r="BA978" s="529"/>
      <c r="BB978" s="537"/>
      <c r="BC978" s="537"/>
      <c r="BD978" s="537"/>
      <c r="BE978" s="529"/>
    </row>
    <row r="979" spans="45:57">
      <c r="AV979" s="470"/>
      <c r="AW979" s="470"/>
      <c r="AX979" s="537"/>
      <c r="AY979" s="537"/>
      <c r="AZ979" s="537"/>
      <c r="BA979" s="529"/>
      <c r="BB979" s="537"/>
      <c r="BC979" s="537"/>
      <c r="BD979" s="537"/>
      <c r="BE979" s="529"/>
    </row>
    <row r="980" spans="45:57">
      <c r="AV980" s="470"/>
      <c r="AW980" s="470"/>
      <c r="AX980" s="537"/>
      <c r="AY980" s="537"/>
      <c r="AZ980" s="537"/>
      <c r="BA980" s="529"/>
      <c r="BB980" s="537"/>
      <c r="BC980" s="537"/>
      <c r="BD980" s="537"/>
      <c r="BE980" s="529"/>
    </row>
    <row r="981" spans="45:57">
      <c r="AV981" s="470"/>
      <c r="AW981" s="470"/>
      <c r="AX981" s="537"/>
      <c r="AY981" s="537"/>
      <c r="AZ981" s="537"/>
      <c r="BA981" s="529"/>
      <c r="BB981" s="537"/>
      <c r="BC981" s="537"/>
      <c r="BD981" s="537"/>
      <c r="BE981" s="529"/>
    </row>
    <row r="982" spans="45:57">
      <c r="AV982" s="470"/>
      <c r="AW982" s="470"/>
      <c r="AX982" s="537"/>
      <c r="AY982" s="537"/>
      <c r="AZ982" s="537"/>
      <c r="BA982" s="529"/>
      <c r="BB982" s="537"/>
      <c r="BC982" s="537"/>
      <c r="BD982" s="537"/>
      <c r="BE982" s="529"/>
    </row>
    <row r="983" spans="45:57">
      <c r="AV983" s="470"/>
      <c r="AW983" s="470"/>
      <c r="AX983" s="537"/>
      <c r="AY983" s="537"/>
      <c r="AZ983" s="537"/>
      <c r="BA983" s="529"/>
      <c r="BB983" s="537"/>
      <c r="BC983" s="537"/>
      <c r="BD983" s="537"/>
      <c r="BE983" s="529"/>
    </row>
    <row r="984" spans="45:57">
      <c r="AV984" s="470"/>
      <c r="AW984" s="470"/>
      <c r="AX984" s="537"/>
      <c r="AY984" s="537"/>
      <c r="AZ984" s="537"/>
      <c r="BA984" s="529"/>
      <c r="BB984" s="537"/>
      <c r="BC984" s="537"/>
      <c r="BD984" s="537"/>
      <c r="BE984" s="529"/>
    </row>
    <row r="985" spans="45:57">
      <c r="AV985" s="470"/>
      <c r="AW985" s="470"/>
      <c r="AX985" s="537"/>
      <c r="AY985" s="537"/>
      <c r="AZ985" s="537"/>
      <c r="BA985" s="529"/>
      <c r="BB985" s="537"/>
      <c r="BC985" s="537"/>
      <c r="BD985" s="537"/>
      <c r="BE985" s="529"/>
    </row>
    <row r="986" spans="45:57">
      <c r="AV986" s="470"/>
      <c r="AW986" s="470"/>
      <c r="AX986" s="537"/>
      <c r="AY986" s="537"/>
      <c r="AZ986" s="537"/>
      <c r="BA986" s="529"/>
      <c r="BB986" s="537"/>
      <c r="BC986" s="537"/>
      <c r="BD986" s="537"/>
      <c r="BE986" s="529"/>
    </row>
    <row r="988" spans="45:57">
      <c r="AU988" s="455"/>
    </row>
    <row r="989" spans="45:57">
      <c r="AU989" s="455"/>
    </row>
    <row r="990" spans="45:57">
      <c r="AU990" s="455"/>
    </row>
    <row r="991" spans="45:57">
      <c r="AS991" s="455"/>
    </row>
    <row r="1012" spans="52:71">
      <c r="AZ1012" s="537"/>
      <c r="BB1012" s="537"/>
      <c r="BC1012" s="537"/>
      <c r="BD1012" s="537"/>
      <c r="BG1012" s="537"/>
      <c r="BH1012" s="537"/>
      <c r="BI1012" s="537"/>
      <c r="BJ1012" s="537"/>
      <c r="BK1012" s="537"/>
      <c r="BL1012" s="537"/>
      <c r="BM1012" s="537"/>
      <c r="BN1012" s="537"/>
      <c r="BO1012" s="537"/>
      <c r="BP1012" s="537"/>
      <c r="BQ1012" s="537"/>
      <c r="BR1012" s="537"/>
      <c r="BS1012" s="537"/>
    </row>
    <row r="1013" spans="52:71">
      <c r="AZ1013" s="537"/>
      <c r="BB1013" s="537"/>
      <c r="BC1013" s="537"/>
      <c r="BD1013" s="537"/>
      <c r="BG1013" s="537"/>
      <c r="BH1013" s="537"/>
      <c r="BI1013" s="537"/>
      <c r="BJ1013" s="537"/>
      <c r="BK1013" s="537"/>
      <c r="BL1013" s="537"/>
      <c r="BM1013" s="537"/>
      <c r="BN1013" s="537"/>
      <c r="BO1013" s="537"/>
      <c r="BP1013" s="537"/>
      <c r="BQ1013" s="537"/>
      <c r="BR1013" s="537"/>
      <c r="BS1013" s="537"/>
    </row>
    <row r="1014" spans="52:71">
      <c r="AZ1014" s="537"/>
      <c r="BB1014" s="537"/>
      <c r="BC1014" s="537"/>
      <c r="BD1014" s="537"/>
      <c r="BG1014" s="537"/>
      <c r="BH1014" s="537"/>
      <c r="BI1014" s="537"/>
      <c r="BJ1014" s="537"/>
      <c r="BK1014" s="537"/>
      <c r="BL1014" s="537"/>
      <c r="BM1014" s="537"/>
      <c r="BN1014" s="537"/>
      <c r="BO1014" s="537"/>
      <c r="BP1014" s="537"/>
      <c r="BQ1014" s="537"/>
      <c r="BR1014" s="537"/>
      <c r="BS1014" s="537"/>
    </row>
    <row r="1015" spans="52:71">
      <c r="AZ1015" s="537"/>
      <c r="BB1015" s="537"/>
      <c r="BC1015" s="537"/>
      <c r="BD1015" s="537"/>
      <c r="BG1015" s="537"/>
      <c r="BH1015" s="537"/>
      <c r="BI1015" s="537"/>
      <c r="BJ1015" s="537"/>
      <c r="BK1015" s="537"/>
      <c r="BL1015" s="537"/>
      <c r="BM1015" s="537"/>
      <c r="BN1015" s="537"/>
      <c r="BO1015" s="537"/>
      <c r="BP1015" s="537"/>
      <c r="BQ1015" s="537"/>
      <c r="BR1015" s="537"/>
      <c r="BS1015" s="537"/>
    </row>
    <row r="1016" spans="52:71">
      <c r="AZ1016" s="537"/>
      <c r="BB1016" s="537"/>
      <c r="BC1016" s="537"/>
      <c r="BD1016" s="537"/>
      <c r="BG1016" s="537"/>
      <c r="BH1016" s="537"/>
      <c r="BI1016" s="537"/>
      <c r="BJ1016" s="537"/>
      <c r="BK1016" s="537"/>
      <c r="BL1016" s="537"/>
      <c r="BM1016" s="537"/>
      <c r="BN1016" s="537"/>
      <c r="BO1016" s="537"/>
      <c r="BP1016" s="537"/>
      <c r="BQ1016" s="537"/>
      <c r="BR1016" s="537"/>
      <c r="BS1016" s="537"/>
    </row>
    <row r="1017" spans="52:71">
      <c r="AZ1017" s="537"/>
      <c r="BB1017" s="537"/>
      <c r="BC1017" s="537"/>
      <c r="BD1017" s="537"/>
      <c r="BG1017" s="537"/>
      <c r="BH1017" s="537"/>
      <c r="BI1017" s="537"/>
      <c r="BJ1017" s="537"/>
      <c r="BK1017" s="537"/>
      <c r="BL1017" s="537"/>
      <c r="BM1017" s="537"/>
      <c r="BN1017" s="537"/>
      <c r="BO1017" s="537"/>
      <c r="BP1017" s="537"/>
      <c r="BQ1017" s="537"/>
      <c r="BR1017" s="537"/>
      <c r="BS1017" s="537"/>
    </row>
    <row r="1018" spans="52:71">
      <c r="AZ1018" s="537"/>
      <c r="BB1018" s="537"/>
      <c r="BC1018" s="537"/>
      <c r="BD1018" s="537"/>
      <c r="BG1018" s="537"/>
      <c r="BH1018" s="537"/>
      <c r="BI1018" s="537"/>
      <c r="BJ1018" s="537"/>
      <c r="BK1018" s="537"/>
      <c r="BL1018" s="537"/>
      <c r="BM1018" s="537"/>
      <c r="BN1018" s="537"/>
      <c r="BO1018" s="537"/>
      <c r="BP1018" s="537"/>
      <c r="BQ1018" s="537"/>
      <c r="BR1018" s="537"/>
      <c r="BS1018" s="537"/>
    </row>
    <row r="1019" spans="52:71">
      <c r="AZ1019" s="537"/>
      <c r="BB1019" s="537"/>
      <c r="BC1019" s="537"/>
      <c r="BD1019" s="537"/>
      <c r="BG1019" s="537"/>
      <c r="BH1019" s="537"/>
      <c r="BI1019" s="537"/>
      <c r="BJ1019" s="537"/>
      <c r="BK1019" s="537"/>
      <c r="BL1019" s="537"/>
      <c r="BM1019" s="537"/>
      <c r="BN1019" s="537"/>
      <c r="BO1019" s="537"/>
      <c r="BP1019" s="537"/>
      <c r="BQ1019" s="537"/>
      <c r="BR1019" s="537"/>
      <c r="BS1019" s="537"/>
    </row>
    <row r="1020" spans="52:71">
      <c r="AZ1020" s="537"/>
      <c r="BB1020" s="537"/>
      <c r="BC1020" s="537"/>
      <c r="BD1020" s="537"/>
      <c r="BG1020" s="537"/>
      <c r="BH1020" s="537"/>
      <c r="BI1020" s="537"/>
      <c r="BJ1020" s="537"/>
      <c r="BK1020" s="537"/>
      <c r="BL1020" s="537"/>
      <c r="BM1020" s="537"/>
      <c r="BN1020" s="537"/>
      <c r="BO1020" s="537"/>
      <c r="BP1020" s="537"/>
      <c r="BQ1020" s="537"/>
      <c r="BR1020" s="537"/>
      <c r="BS1020" s="537"/>
    </row>
    <row r="1021" spans="52:71">
      <c r="AZ1021" s="537"/>
      <c r="BB1021" s="537"/>
      <c r="BC1021" s="537"/>
      <c r="BD1021" s="537"/>
      <c r="BG1021" s="537"/>
      <c r="BH1021" s="537"/>
      <c r="BI1021" s="537"/>
      <c r="BJ1021" s="537"/>
      <c r="BK1021" s="537"/>
      <c r="BL1021" s="537"/>
      <c r="BM1021" s="537"/>
      <c r="BN1021" s="537"/>
      <c r="BO1021" s="537"/>
      <c r="BP1021" s="537"/>
      <c r="BQ1021" s="537"/>
      <c r="BR1021" s="537"/>
      <c r="BS1021" s="537"/>
    </row>
    <row r="1022" spans="52:71">
      <c r="AZ1022" s="537"/>
      <c r="BB1022" s="537"/>
      <c r="BC1022" s="537"/>
      <c r="BD1022" s="537"/>
      <c r="BG1022" s="537"/>
      <c r="BH1022" s="537"/>
      <c r="BI1022" s="537"/>
      <c r="BJ1022" s="537"/>
      <c r="BK1022" s="537"/>
      <c r="BL1022" s="537"/>
      <c r="BM1022" s="537"/>
      <c r="BN1022" s="537"/>
      <c r="BO1022" s="537"/>
      <c r="BP1022" s="537"/>
      <c r="BQ1022" s="537"/>
      <c r="BR1022" s="537"/>
      <c r="BS1022" s="537"/>
    </row>
    <row r="1023" spans="52:71">
      <c r="AZ1023" s="537"/>
      <c r="BB1023" s="537"/>
      <c r="BC1023" s="537"/>
      <c r="BD1023" s="537"/>
      <c r="BG1023" s="537"/>
      <c r="BH1023" s="537"/>
      <c r="BI1023" s="537"/>
      <c r="BJ1023" s="537"/>
      <c r="BK1023" s="537"/>
      <c r="BL1023" s="537"/>
      <c r="BM1023" s="537"/>
      <c r="BN1023" s="537"/>
      <c r="BO1023" s="537"/>
      <c r="BP1023" s="537"/>
      <c r="BQ1023" s="537"/>
      <c r="BR1023" s="537"/>
      <c r="BS1023" s="537"/>
    </row>
    <row r="1024" spans="52:71">
      <c r="AZ1024" s="537"/>
      <c r="BG1024" s="537"/>
      <c r="BH1024" s="537"/>
      <c r="BI1024" s="537"/>
      <c r="BJ1024" s="537"/>
      <c r="BK1024" s="537"/>
      <c r="BL1024" s="537"/>
      <c r="BM1024" s="537"/>
      <c r="BN1024" s="537"/>
      <c r="BO1024" s="537"/>
      <c r="BP1024" s="537"/>
      <c r="BQ1024" s="537"/>
      <c r="BR1024" s="537"/>
      <c r="BS1024" s="537"/>
    </row>
    <row r="1025" spans="52:71">
      <c r="AZ1025" s="537"/>
      <c r="BG1025" s="537"/>
      <c r="BH1025" s="537"/>
      <c r="BI1025" s="537"/>
      <c r="BJ1025" s="537"/>
      <c r="BK1025" s="537"/>
      <c r="BL1025" s="537"/>
      <c r="BM1025" s="537"/>
      <c r="BN1025" s="537"/>
      <c r="BO1025" s="537"/>
      <c r="BP1025" s="537"/>
      <c r="BQ1025" s="537"/>
      <c r="BR1025" s="537"/>
      <c r="BS1025" s="537"/>
    </row>
    <row r="1026" spans="52:71">
      <c r="AZ1026" s="537"/>
      <c r="BG1026" s="537"/>
      <c r="BH1026" s="537"/>
      <c r="BI1026" s="537"/>
      <c r="BJ1026" s="537"/>
      <c r="BK1026" s="537"/>
      <c r="BL1026" s="537"/>
      <c r="BM1026" s="537"/>
      <c r="BN1026" s="537"/>
      <c r="BO1026" s="537"/>
      <c r="BP1026" s="537"/>
      <c r="BQ1026" s="537"/>
      <c r="BR1026" s="537"/>
      <c r="BS1026" s="537"/>
    </row>
    <row r="1027" spans="52:71">
      <c r="AZ1027" s="537"/>
      <c r="BG1027" s="537"/>
      <c r="BH1027" s="537"/>
      <c r="BI1027" s="537"/>
      <c r="BJ1027" s="537"/>
      <c r="BK1027" s="537"/>
      <c r="BL1027" s="537"/>
      <c r="BM1027" s="537"/>
      <c r="BN1027" s="537"/>
      <c r="BO1027" s="537"/>
      <c r="BP1027" s="537"/>
      <c r="BQ1027" s="537"/>
      <c r="BR1027" s="537"/>
      <c r="BS1027" s="537"/>
    </row>
    <row r="1028" spans="52:71">
      <c r="AZ1028" s="537"/>
      <c r="BG1028" s="537"/>
      <c r="BH1028" s="537"/>
      <c r="BI1028" s="537"/>
      <c r="BJ1028" s="537"/>
      <c r="BK1028" s="537"/>
      <c r="BL1028" s="537"/>
      <c r="BM1028" s="537"/>
      <c r="BN1028" s="537"/>
      <c r="BO1028" s="537"/>
      <c r="BP1028" s="537"/>
      <c r="BQ1028" s="537"/>
      <c r="BR1028" s="537"/>
      <c r="BS1028" s="537"/>
    </row>
    <row r="1029" spans="52:71">
      <c r="AZ1029" s="537"/>
      <c r="BG1029" s="537"/>
      <c r="BH1029" s="537"/>
      <c r="BI1029" s="537"/>
      <c r="BJ1029" s="537"/>
      <c r="BK1029" s="537"/>
      <c r="BL1029" s="537"/>
      <c r="BM1029" s="537"/>
      <c r="BN1029" s="537"/>
      <c r="BO1029" s="537"/>
      <c r="BP1029" s="537"/>
      <c r="BQ1029" s="537"/>
      <c r="BR1029" s="537"/>
      <c r="BS1029" s="537"/>
    </row>
    <row r="1030" spans="52:71">
      <c r="AZ1030" s="537"/>
      <c r="BG1030" s="537"/>
      <c r="BH1030" s="537"/>
      <c r="BI1030" s="537"/>
      <c r="BJ1030" s="537"/>
      <c r="BK1030" s="537"/>
      <c r="BL1030" s="537"/>
      <c r="BM1030" s="537"/>
      <c r="BN1030" s="537"/>
      <c r="BO1030" s="537"/>
      <c r="BP1030" s="537"/>
      <c r="BQ1030" s="537"/>
      <c r="BR1030" s="537"/>
      <c r="BS1030" s="537"/>
    </row>
    <row r="1031" spans="52:71">
      <c r="AZ1031" s="537"/>
    </row>
    <row r="1032" spans="52:71">
      <c r="AZ1032" s="537"/>
    </row>
    <row r="1046" spans="1:28">
      <c r="A1046" s="455"/>
    </row>
    <row r="1049" spans="1:28">
      <c r="Y1049" s="455"/>
    </row>
    <row r="1050" spans="1:28">
      <c r="A1050" s="455"/>
      <c r="H1050" s="455"/>
      <c r="I1050" s="455"/>
    </row>
    <row r="1051" spans="1:28">
      <c r="A1051" s="455"/>
      <c r="V1051" s="462"/>
      <c r="AA1051" s="462"/>
      <c r="AB1051" s="462"/>
    </row>
    <row r="1052" spans="1:28">
      <c r="A1052" s="455"/>
      <c r="V1052" s="460"/>
      <c r="AA1052" s="460"/>
      <c r="AB1052" s="460"/>
    </row>
    <row r="1053" spans="1:28">
      <c r="A1053" s="455"/>
      <c r="U1053" s="455"/>
      <c r="AA1053" s="462"/>
      <c r="AB1053" s="462"/>
    </row>
    <row r="1054" spans="1:28">
      <c r="A1054" s="455"/>
    </row>
    <row r="1055" spans="1:28">
      <c r="A1055" s="455"/>
      <c r="U1055" s="455"/>
      <c r="AA1055" s="462"/>
      <c r="AB1055" s="462"/>
    </row>
    <row r="1056" spans="1:28">
      <c r="A1056" s="455"/>
    </row>
    <row r="1057" spans="1:28">
      <c r="A1057" s="455"/>
      <c r="U1057" s="455"/>
      <c r="V1057" s="541"/>
      <c r="AA1057" s="462"/>
      <c r="AB1057" s="462"/>
    </row>
    <row r="1058" spans="1:28">
      <c r="A1058" s="455"/>
    </row>
    <row r="1059" spans="1:28">
      <c r="A1059" s="455"/>
      <c r="U1059" s="455"/>
      <c r="AA1059" s="462"/>
      <c r="AB1059" s="462"/>
    </row>
    <row r="1060" spans="1:28">
      <c r="A1060" s="455"/>
    </row>
    <row r="1061" spans="1:28">
      <c r="A1061" s="455"/>
      <c r="U1061" s="455"/>
      <c r="AA1061" s="462"/>
      <c r="AB1061" s="462"/>
    </row>
    <row r="1062" spans="1:28">
      <c r="A1062" s="455"/>
    </row>
    <row r="1063" spans="1:28">
      <c r="A1063" s="455"/>
    </row>
    <row r="1064" spans="1:28">
      <c r="A1064" s="455"/>
    </row>
    <row r="1065" spans="1:28">
      <c r="A1065" s="455"/>
    </row>
    <row r="1066" spans="1:28">
      <c r="A1066" s="455"/>
    </row>
    <row r="1067" spans="1:28">
      <c r="A1067" s="455"/>
    </row>
    <row r="1068" spans="1:28">
      <c r="A1068" s="455"/>
    </row>
    <row r="1069" spans="1:28">
      <c r="A1069" s="455"/>
    </row>
    <row r="1070" spans="1:28">
      <c r="A1070" s="455"/>
    </row>
    <row r="1071" spans="1:28">
      <c r="A1071" s="455"/>
    </row>
    <row r="1072" spans="1:28">
      <c r="A1072" s="455"/>
      <c r="H1072" s="455"/>
      <c r="I1072" s="455"/>
    </row>
    <row r="1075" spans="1:1">
      <c r="A1075" s="455"/>
    </row>
    <row r="1078" spans="1:1">
      <c r="A1078" s="455"/>
    </row>
    <row r="1081" spans="1:1">
      <c r="A1081" s="455"/>
    </row>
    <row r="1082" spans="1:1">
      <c r="A1082" s="455"/>
    </row>
    <row r="1083" spans="1:1">
      <c r="A1083" s="455"/>
    </row>
    <row r="1084" spans="1:1">
      <c r="A1084" s="455"/>
    </row>
    <row r="1085" spans="1:1">
      <c r="A1085" s="455"/>
    </row>
    <row r="1086" spans="1:1">
      <c r="A1086" s="455"/>
    </row>
    <row r="1087" spans="1:1">
      <c r="A1087" s="455"/>
    </row>
    <row r="1088" spans="1:1">
      <c r="A1088" s="455"/>
    </row>
    <row r="1089" spans="1:1">
      <c r="A1089" s="455"/>
    </row>
    <row r="1090" spans="1:1">
      <c r="A1090" s="455"/>
    </row>
    <row r="1091" spans="1:1">
      <c r="A1091" s="455"/>
    </row>
    <row r="1092" spans="1:1">
      <c r="A1092" s="455"/>
    </row>
    <row r="1093" spans="1:1">
      <c r="A1093" s="455"/>
    </row>
    <row r="1094" spans="1:1">
      <c r="A1094" s="455"/>
    </row>
    <row r="1095" spans="1:1">
      <c r="A1095" s="455"/>
    </row>
    <row r="1096" spans="1:1">
      <c r="A1096" s="455"/>
    </row>
    <row r="1097" spans="1:1">
      <c r="A1097" s="455"/>
    </row>
    <row r="1098" spans="1:1">
      <c r="A1098" s="455"/>
    </row>
    <row r="1099" spans="1:1">
      <c r="A1099" s="455"/>
    </row>
    <row r="1100" spans="1:1">
      <c r="A1100" s="455"/>
    </row>
    <row r="1101" spans="1:1">
      <c r="A1101" s="455"/>
    </row>
    <row r="1102" spans="1:1">
      <c r="A1102" s="455"/>
    </row>
    <row r="1103" spans="1:1">
      <c r="A1103" s="455"/>
    </row>
    <row r="1104" spans="1:1">
      <c r="A1104" s="455"/>
    </row>
    <row r="1105" spans="1:1">
      <c r="A1105" s="455"/>
    </row>
    <row r="1106" spans="1:1">
      <c r="A1106" s="455"/>
    </row>
    <row r="1107" spans="1:1">
      <c r="A1107" s="455"/>
    </row>
    <row r="1108" spans="1:1">
      <c r="A1108" s="455"/>
    </row>
    <row r="1109" spans="1:1">
      <c r="A1109" s="455"/>
    </row>
    <row r="1110" spans="1:1">
      <c r="A1110" s="455"/>
    </row>
    <row r="1111" spans="1:1">
      <c r="A1111" s="455"/>
    </row>
    <row r="1112" spans="1:1">
      <c r="A1112" s="455"/>
    </row>
    <row r="1113" spans="1:1">
      <c r="A1113" s="455"/>
    </row>
    <row r="1114" spans="1:1">
      <c r="A1114" s="455"/>
    </row>
    <row r="1115" spans="1:1">
      <c r="A1115" s="455"/>
    </row>
    <row r="1120" spans="1:1">
      <c r="A1120" s="455"/>
    </row>
    <row r="1121" spans="1:1">
      <c r="A1121" s="455"/>
    </row>
    <row r="1124" spans="1:1">
      <c r="A1124" s="455"/>
    </row>
    <row r="1126" spans="1:1">
      <c r="A1126" s="455"/>
    </row>
    <row r="1128" spans="1:1">
      <c r="A1128" s="455"/>
    </row>
    <row r="1130" spans="1:1">
      <c r="A1130" s="455"/>
    </row>
    <row r="1133" spans="1:1">
      <c r="A1133" s="455"/>
    </row>
    <row r="1134" spans="1:1">
      <c r="A1134" s="455"/>
    </row>
    <row r="1135" spans="1:1">
      <c r="A1135" s="455"/>
    </row>
    <row r="1136" spans="1:1">
      <c r="A1136" s="455"/>
    </row>
    <row r="1137" spans="1:1">
      <c r="A1137" s="455"/>
    </row>
    <row r="1138" spans="1:1">
      <c r="A1138" s="455"/>
    </row>
    <row r="1139" spans="1:1">
      <c r="A1139" s="455"/>
    </row>
    <row r="1140" spans="1:1">
      <c r="A1140" s="455"/>
    </row>
  </sheetData>
  <pageMargins left="0.5" right="0.5" top="1" bottom="0" header="0" footer="0"/>
  <pageSetup scale="55" orientation="landscape" r:id="rId1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 transitionEntry="1" codeName="Sheet72">
    <pageSetUpPr fitToPage="1"/>
  </sheetPr>
  <dimension ref="A1:BW1117"/>
  <sheetViews>
    <sheetView workbookViewId="0"/>
  </sheetViews>
  <sheetFormatPr defaultColWidth="9.69921875" defaultRowHeight="15.75"/>
  <cols>
    <col min="1" max="1" width="4" style="41" customWidth="1"/>
    <col min="2" max="2" width="0.69921875" style="41" customWidth="1"/>
    <col min="3" max="3" width="8.59765625" style="41" customWidth="1"/>
    <col min="4" max="4" width="39.09765625" style="41" customWidth="1"/>
    <col min="5" max="5" width="0.39843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4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8.3984375" style="41" customWidth="1"/>
    <col min="19" max="19" width="8.69921875" style="41" customWidth="1"/>
    <col min="20" max="20" width="5.3984375" style="41" customWidth="1"/>
    <col min="21" max="21" width="0.59765625" style="41" customWidth="1"/>
    <col min="22" max="22" width="8" style="41" customWidth="1"/>
    <col min="23" max="23" width="38.09765625" style="41" customWidth="1"/>
    <col min="24" max="24" width="0.3984375" style="41" customWidth="1"/>
    <col min="25" max="25" width="11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2.8984375" style="41" customWidth="1"/>
    <col min="30" max="30" width="0.5976562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8984375" style="41" customWidth="1"/>
    <col min="37" max="37" width="14.59765625" style="99" customWidth="1"/>
    <col min="38" max="38" width="0.6992187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11 OF "&amp;TEXT(Page_Num_2.3,"00")</f>
        <v>PAGE 11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>
      <c r="A10" s="133" t="str">
        <f>INPUT!B5</f>
        <v xml:space="preserve"> </v>
      </c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>
      <c r="H19" s="309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A20" s="41">
        <v>1</v>
      </c>
      <c r="C20" s="133" t="s">
        <v>307</v>
      </c>
      <c r="D20" s="133" t="s">
        <v>131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>
      <c r="A21" s="41">
        <v>2</v>
      </c>
      <c r="C21" s="130"/>
      <c r="D21" s="133" t="s">
        <v>132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ht="21" customHeight="1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>
      <c r="A23" s="41">
        <v>3</v>
      </c>
      <c r="C23" s="133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>
      <c r="A24" s="41">
        <v>4</v>
      </c>
      <c r="C24" s="42" t="s">
        <v>311</v>
      </c>
      <c r="F24" s="164">
        <f>'[10]Forecast BILLS'!$G$71</f>
        <v>12</v>
      </c>
      <c r="G24" s="1"/>
      <c r="H24" s="68"/>
      <c r="I24" s="68"/>
      <c r="J24" s="316">
        <f>INPUT!D154</f>
        <v>183</v>
      </c>
      <c r="K24" s="76"/>
      <c r="L24" s="3">
        <f>ROUND(F24*J24,0)</f>
        <v>2196</v>
      </c>
      <c r="M24" s="3"/>
      <c r="N24" s="4">
        <f>ROUND((L24/L$39)*100,1)</f>
        <v>111</v>
      </c>
      <c r="O24" s="4"/>
      <c r="P24" s="3"/>
      <c r="Q24" s="1"/>
      <c r="R24" s="3">
        <f>L24+P24</f>
        <v>2196</v>
      </c>
      <c r="S24" s="45"/>
      <c r="V24" s="45"/>
      <c r="Y24" s="45"/>
      <c r="Z24" s="164"/>
      <c r="AA24" s="45"/>
      <c r="AB24" s="45"/>
      <c r="AC24" s="46"/>
      <c r="AD24" s="46"/>
      <c r="AE24" s="45"/>
      <c r="AF24" s="45"/>
      <c r="AI24" s="45"/>
      <c r="AJ24" s="45"/>
      <c r="AL24" s="45"/>
    </row>
    <row r="25" spans="1:40" ht="20.100000000000001" customHeight="1">
      <c r="A25" s="41">
        <v>5</v>
      </c>
      <c r="C25" s="133" t="s">
        <v>136</v>
      </c>
      <c r="F25" s="3"/>
      <c r="G25" s="1"/>
      <c r="H25" s="3"/>
      <c r="I25" s="3"/>
      <c r="J25" s="326"/>
      <c r="K25" s="314"/>
      <c r="L25" s="72">
        <f>SUM(L24:L24)</f>
        <v>2196</v>
      </c>
      <c r="M25" s="3"/>
      <c r="N25" s="74">
        <f>ROUND((L25/L$39)*100,1)</f>
        <v>111</v>
      </c>
      <c r="O25" s="4"/>
      <c r="P25" s="72"/>
      <c r="Q25" s="3"/>
      <c r="R25" s="72">
        <f>SUM(R24:R24)</f>
        <v>2196</v>
      </c>
      <c r="S25" s="45"/>
      <c r="T25" s="42"/>
      <c r="V25" s="45"/>
      <c r="Y25" s="45"/>
      <c r="Z25" s="325"/>
      <c r="AA25" s="45"/>
      <c r="AB25" s="45"/>
      <c r="AC25" s="46"/>
      <c r="AD25" s="46"/>
      <c r="AE25" s="45"/>
      <c r="AF25" s="45"/>
      <c r="AH25" s="46"/>
      <c r="AI25" s="45"/>
      <c r="AJ25" s="45"/>
      <c r="AL25" s="45"/>
      <c r="AM25" s="46"/>
      <c r="AN25" s="46"/>
    </row>
    <row r="26" spans="1:40" ht="24" customHeight="1">
      <c r="C26" s="42"/>
      <c r="F26" s="3"/>
      <c r="G26" s="1"/>
      <c r="H26" s="3"/>
      <c r="I26" s="3"/>
      <c r="J26" s="326"/>
      <c r="K26" s="314"/>
      <c r="L26" s="3"/>
      <c r="M26" s="3"/>
      <c r="N26" s="4"/>
      <c r="O26" s="4"/>
      <c r="P26" s="3"/>
      <c r="Q26" s="3"/>
      <c r="R26" s="3"/>
      <c r="S26" s="45"/>
      <c r="V26" s="50"/>
      <c r="Y26" s="164"/>
      <c r="Z26" s="326"/>
      <c r="AA26" s="45"/>
      <c r="AB26" s="45"/>
      <c r="AC26" s="46"/>
      <c r="AD26" s="46"/>
      <c r="AE26" s="45"/>
      <c r="AF26" s="45"/>
      <c r="AH26" s="46"/>
      <c r="AI26" s="45"/>
      <c r="AJ26" s="45"/>
      <c r="AL26" s="45"/>
      <c r="AM26" s="46"/>
      <c r="AN26" s="46"/>
    </row>
    <row r="27" spans="1:40">
      <c r="A27" s="41">
        <v>6</v>
      </c>
      <c r="C27" s="133" t="s">
        <v>67</v>
      </c>
      <c r="F27" s="3"/>
      <c r="G27" s="1"/>
      <c r="H27" s="3"/>
      <c r="I27" s="3"/>
      <c r="J27" s="47"/>
      <c r="K27" s="7"/>
      <c r="L27" s="3"/>
      <c r="M27" s="3"/>
      <c r="N27" s="4"/>
      <c r="O27" s="4"/>
      <c r="P27" s="3"/>
      <c r="Q27" s="3"/>
      <c r="R27" s="3"/>
      <c r="S27" s="45"/>
      <c r="T27" s="42"/>
      <c r="V27" s="164"/>
      <c r="Y27" s="45"/>
      <c r="Z27" s="325"/>
      <c r="AA27" s="45"/>
      <c r="AB27" s="45"/>
      <c r="AC27" s="46"/>
      <c r="AD27" s="46"/>
      <c r="AE27" s="45"/>
      <c r="AF27" s="45"/>
      <c r="AH27" s="46"/>
      <c r="AI27" s="45"/>
      <c r="AJ27" s="45"/>
      <c r="AL27" s="45"/>
      <c r="AM27" s="46"/>
      <c r="AN27" s="46"/>
    </row>
    <row r="28" spans="1:40">
      <c r="A28" s="41">
        <v>7</v>
      </c>
      <c r="C28" s="42" t="s">
        <v>381</v>
      </c>
      <c r="F28" s="68"/>
      <c r="G28" s="1"/>
      <c r="H28" s="164">
        <f>'[10]Forecast KWH'!$G$70</f>
        <v>-2961</v>
      </c>
      <c r="I28" s="68"/>
      <c r="J28" s="323">
        <f>INPUT!D156</f>
        <v>3.3517999999999999E-2</v>
      </c>
      <c r="K28" s="319"/>
      <c r="L28" s="3">
        <f>ROUND((H28*J28),0)</f>
        <v>-99</v>
      </c>
      <c r="M28" s="3"/>
      <c r="N28" s="4">
        <f>ROUND((L28/L$39)*100,1)</f>
        <v>-5</v>
      </c>
      <c r="O28" s="4"/>
      <c r="P28" s="68"/>
      <c r="Q28" s="68"/>
      <c r="R28" s="3">
        <f>L28+P28</f>
        <v>-99</v>
      </c>
      <c r="S28" s="45"/>
      <c r="T28" s="42"/>
      <c r="V28" s="164"/>
      <c r="Y28" s="45"/>
      <c r="Z28" s="325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>
      <c r="A29" s="41">
        <v>8</v>
      </c>
      <c r="C29" s="42" t="s">
        <v>370</v>
      </c>
      <c r="F29" s="68"/>
      <c r="G29" s="1"/>
      <c r="H29" s="68">
        <f>H28</f>
        <v>-2961</v>
      </c>
      <c r="I29" s="68"/>
      <c r="J29" s="323">
        <f>INPUT!D160</f>
        <v>3.8117999999999999E-2</v>
      </c>
      <c r="K29" s="319"/>
      <c r="L29" s="3">
        <f>ROUND((H29*J29),0)</f>
        <v>-113</v>
      </c>
      <c r="M29" s="3"/>
      <c r="N29" s="4">
        <f>ROUND((L29/L$39)*100,1)</f>
        <v>-5.7</v>
      </c>
      <c r="O29" s="4"/>
      <c r="P29" s="45">
        <v>0</v>
      </c>
      <c r="Q29" s="68"/>
      <c r="R29" s="3">
        <f>L29+P29</f>
        <v>-113</v>
      </c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 ht="20.100000000000001" customHeight="1">
      <c r="A30" s="41">
        <v>9</v>
      </c>
      <c r="C30" s="133" t="s">
        <v>142</v>
      </c>
      <c r="F30" s="66"/>
      <c r="G30" s="1"/>
      <c r="H30" s="72">
        <f>H28</f>
        <v>-2961</v>
      </c>
      <c r="I30" s="3"/>
      <c r="J30" s="154"/>
      <c r="K30" s="7"/>
      <c r="L30" s="72">
        <f>SUM(L28:L29)</f>
        <v>-212</v>
      </c>
      <c r="M30" s="3"/>
      <c r="N30" s="74">
        <f>ROUND((L30/L$39)*100,1)</f>
        <v>-10.7</v>
      </c>
      <c r="O30" s="4"/>
      <c r="P30" s="71">
        <f>P29</f>
        <v>0</v>
      </c>
      <c r="Q30" s="3"/>
      <c r="R30" s="72">
        <f>SUM(R28:R29)</f>
        <v>-212</v>
      </c>
      <c r="S30" s="45"/>
      <c r="V30" s="50"/>
      <c r="Y30" s="50"/>
      <c r="Z30" s="326"/>
      <c r="AA30" s="50"/>
      <c r="AB30" s="50"/>
      <c r="AC30" s="50"/>
      <c r="AD30" s="50"/>
      <c r="AE30" s="50"/>
      <c r="AF30" s="50"/>
      <c r="AI30" s="50"/>
      <c r="AJ30" s="50"/>
      <c r="AK30" s="111"/>
      <c r="AL30" s="50"/>
    </row>
    <row r="31" spans="1:40" ht="20.100000000000001" customHeight="1">
      <c r="A31" s="41">
        <v>10</v>
      </c>
      <c r="C31" s="310" t="s">
        <v>460</v>
      </c>
      <c r="F31" s="72">
        <f>F24</f>
        <v>12</v>
      </c>
      <c r="G31" s="1"/>
      <c r="H31" s="72">
        <f>H30</f>
        <v>-2961</v>
      </c>
      <c r="I31" s="3"/>
      <c r="J31" s="154"/>
      <c r="K31" s="7"/>
      <c r="L31" s="72">
        <f>L30+L25</f>
        <v>1984</v>
      </c>
      <c r="M31" s="3"/>
      <c r="N31" s="74">
        <f>ROUND((L31/L$39)*100,1)-0.1</f>
        <v>100.2</v>
      </c>
      <c r="O31" s="4"/>
      <c r="P31" s="71">
        <f>P30+P25</f>
        <v>0</v>
      </c>
      <c r="Q31" s="3"/>
      <c r="R31" s="72">
        <f>R30+R25</f>
        <v>1984</v>
      </c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</row>
    <row r="32" spans="1:40" ht="15.75" customHeight="1">
      <c r="C32" s="42"/>
      <c r="F32" s="3"/>
      <c r="G32" s="1"/>
      <c r="H32" s="3"/>
      <c r="I32" s="3"/>
      <c r="J32" s="154"/>
      <c r="K32" s="7"/>
      <c r="L32" s="3"/>
      <c r="M32" s="3"/>
      <c r="N32" s="4"/>
      <c r="O32" s="4"/>
      <c r="P32" s="68"/>
      <c r="Q32" s="3"/>
      <c r="R32" s="3"/>
      <c r="S32" s="45"/>
      <c r="V32" s="50"/>
      <c r="Y32" s="50"/>
      <c r="Z32" s="326"/>
      <c r="AA32" s="50"/>
      <c r="AB32" s="50"/>
      <c r="AC32" s="50"/>
      <c r="AD32" s="50"/>
      <c r="AE32" s="50"/>
      <c r="AF32" s="50"/>
      <c r="AI32" s="50"/>
      <c r="AJ32" s="50"/>
      <c r="AK32" s="111"/>
      <c r="AL32" s="50"/>
    </row>
    <row r="33" spans="1:43" ht="15.75" customHeight="1">
      <c r="A33" s="41">
        <v>11</v>
      </c>
      <c r="C33" s="133" t="s">
        <v>430</v>
      </c>
      <c r="F33" s="3"/>
      <c r="G33" s="1"/>
      <c r="H33" s="3"/>
      <c r="I33" s="3"/>
      <c r="J33" s="154"/>
      <c r="K33" s="7"/>
      <c r="L33" s="3"/>
      <c r="M33" s="3"/>
      <c r="N33" s="4"/>
      <c r="O33" s="4"/>
      <c r="P33" s="68"/>
      <c r="Q33" s="3"/>
      <c r="R33" s="3"/>
      <c r="S33" s="45"/>
      <c r="V33" s="50"/>
      <c r="Y33" s="50"/>
      <c r="Z33" s="326"/>
      <c r="AA33" s="50"/>
      <c r="AB33" s="50"/>
      <c r="AC33" s="50"/>
      <c r="AD33" s="50"/>
      <c r="AE33" s="50"/>
      <c r="AF33" s="50"/>
      <c r="AI33" s="50"/>
      <c r="AJ33" s="50"/>
      <c r="AK33" s="111"/>
      <c r="AL33" s="50"/>
    </row>
    <row r="34" spans="1:43" ht="15.75" customHeight="1">
      <c r="A34" s="41">
        <v>12</v>
      </c>
      <c r="C34" s="128" t="str">
        <f>DSMR_Name</f>
        <v>DEMAND SIDE MANAGEMENT RIDER (DSMR)</v>
      </c>
      <c r="F34" s="3"/>
      <c r="G34" s="1"/>
      <c r="H34" s="3"/>
      <c r="I34" s="3"/>
      <c r="J34" s="323">
        <f>PRO_DSM_DIST</f>
        <v>3.503E-3</v>
      </c>
      <c r="K34" s="7"/>
      <c r="L34" s="3">
        <f>ROUND($H$31*J34,0)</f>
        <v>-10</v>
      </c>
      <c r="M34" s="3"/>
      <c r="N34" s="103">
        <f>ROUND((L34/L$39)*100,1)</f>
        <v>-0.5</v>
      </c>
      <c r="O34" s="4"/>
      <c r="P34" s="68"/>
      <c r="Q34" s="3"/>
      <c r="R34" s="3">
        <f>L34+P34</f>
        <v>-10</v>
      </c>
      <c r="S34" s="45"/>
      <c r="V34" s="50"/>
      <c r="Y34" s="50"/>
      <c r="Z34" s="326"/>
      <c r="AA34" s="50"/>
      <c r="AB34" s="50"/>
      <c r="AC34" s="50"/>
      <c r="AD34" s="50"/>
      <c r="AE34" s="50"/>
      <c r="AF34" s="50"/>
      <c r="AI34" s="50"/>
      <c r="AJ34" s="50"/>
      <c r="AK34" s="111"/>
      <c r="AL34" s="50"/>
    </row>
    <row r="35" spans="1:43" ht="15.75" customHeight="1">
      <c r="A35" s="41">
        <v>13</v>
      </c>
      <c r="C35" s="128" t="str">
        <f>ESM_Name</f>
        <v>ENVIRONMENTAL SURCHARGE MECHANISM RIDER (ESM)</v>
      </c>
      <c r="F35" s="3"/>
      <c r="G35" s="1"/>
      <c r="H35" s="3"/>
      <c r="I35" s="3"/>
      <c r="J35" s="134">
        <f>PRO_ESM_NONRES</f>
        <v>5.4606095773317587E-3</v>
      </c>
      <c r="K35" s="7"/>
      <c r="L35" s="3">
        <f>ROUND((R31-(PRO_BASE_FUEL*H31)+R34+R36)*J35,0)</f>
        <v>11</v>
      </c>
      <c r="M35" s="3"/>
      <c r="N35" s="103">
        <f>ROUND((L35/L$39)*100,1)</f>
        <v>0.6</v>
      </c>
      <c r="O35" s="4"/>
      <c r="P35" s="68"/>
      <c r="Q35" s="3"/>
      <c r="R35" s="3">
        <f>L35+P35</f>
        <v>11</v>
      </c>
      <c r="S35" s="45"/>
      <c r="V35" s="50"/>
      <c r="Y35" s="50"/>
      <c r="Z35" s="326"/>
      <c r="AA35" s="50"/>
      <c r="AB35" s="50"/>
      <c r="AC35" s="50"/>
      <c r="AD35" s="50"/>
      <c r="AE35" s="50"/>
      <c r="AF35" s="50"/>
      <c r="AI35" s="50"/>
      <c r="AJ35" s="50"/>
      <c r="AK35" s="111"/>
      <c r="AL35" s="50"/>
    </row>
    <row r="36" spans="1:43" ht="15.75" customHeight="1">
      <c r="A36" s="41">
        <v>14</v>
      </c>
      <c r="C36" s="128" t="str">
        <f>PSM_Name</f>
        <v>PROFIT SHARING MECHANISM (PSM)</v>
      </c>
      <c r="F36" s="3"/>
      <c r="G36" s="1"/>
      <c r="H36" s="3"/>
      <c r="I36" s="3"/>
      <c r="J36" s="323">
        <f>PRO_PSM</f>
        <v>2.4750000000000002E-3</v>
      </c>
      <c r="K36" s="7"/>
      <c r="L36" s="3">
        <f>ROUND(H31*PRO_PSM,0)</f>
        <v>-7</v>
      </c>
      <c r="M36" s="3"/>
      <c r="N36" s="104">
        <f>ROUND((L36/L$39)*100,1)</f>
        <v>-0.4</v>
      </c>
      <c r="O36" s="4"/>
      <c r="P36" s="68"/>
      <c r="Q36" s="3"/>
      <c r="R36" s="66">
        <f>L36+P36</f>
        <v>-7</v>
      </c>
      <c r="S36" s="45"/>
      <c r="V36" s="50"/>
      <c r="Y36" s="50"/>
      <c r="Z36" s="326"/>
      <c r="AA36" s="50"/>
      <c r="AB36" s="50"/>
      <c r="AC36" s="50"/>
      <c r="AD36" s="50"/>
      <c r="AE36" s="50"/>
      <c r="AF36" s="50"/>
      <c r="AI36" s="50"/>
      <c r="AJ36" s="50"/>
      <c r="AK36" s="111"/>
      <c r="AL36" s="50"/>
    </row>
    <row r="37" spans="1:43" ht="20.100000000000001" customHeight="1">
      <c r="A37" s="41">
        <v>15</v>
      </c>
      <c r="C37" s="133" t="s">
        <v>435</v>
      </c>
      <c r="F37" s="66"/>
      <c r="G37" s="1"/>
      <c r="H37" s="66"/>
      <c r="I37" s="3"/>
      <c r="J37" s="7"/>
      <c r="K37" s="7"/>
      <c r="L37" s="72">
        <f>SUM(L34:L36)</f>
        <v>-6</v>
      </c>
      <c r="M37" s="3"/>
      <c r="N37" s="105">
        <f>ROUND((L37/L$39)*100,1)+0.1</f>
        <v>-0.19999999999999998</v>
      </c>
      <c r="O37" s="4"/>
      <c r="P37" s="72">
        <f>SUM(P34:P36)</f>
        <v>0</v>
      </c>
      <c r="Q37" s="3"/>
      <c r="R37" s="72">
        <f>SUM(R34:R36)</f>
        <v>-6</v>
      </c>
      <c r="S37" s="45"/>
      <c r="V37" s="50"/>
      <c r="Y37" s="50"/>
      <c r="Z37" s="326"/>
      <c r="AA37" s="50"/>
      <c r="AB37" s="50"/>
      <c r="AC37" s="50"/>
      <c r="AD37" s="50"/>
      <c r="AE37" s="50"/>
      <c r="AF37" s="50"/>
      <c r="AI37" s="50"/>
      <c r="AJ37" s="50"/>
      <c r="AK37" s="111"/>
      <c r="AL37" s="50"/>
    </row>
    <row r="38" spans="1:43" ht="15.75" customHeight="1">
      <c r="C38" s="133"/>
      <c r="F38" s="3"/>
      <c r="G38" s="1"/>
      <c r="H38" s="3"/>
      <c r="I38" s="3"/>
      <c r="J38" s="7"/>
      <c r="K38" s="7"/>
      <c r="L38" s="3"/>
      <c r="M38" s="3"/>
      <c r="N38" s="4"/>
      <c r="O38" s="4"/>
      <c r="P38" s="68"/>
      <c r="Q38" s="3"/>
      <c r="R38" s="3"/>
      <c r="S38" s="45"/>
      <c r="V38" s="50"/>
      <c r="Y38" s="50"/>
      <c r="Z38" s="326"/>
      <c r="AA38" s="50"/>
      <c r="AB38" s="50"/>
      <c r="AC38" s="50"/>
      <c r="AD38" s="50"/>
      <c r="AE38" s="50"/>
      <c r="AF38" s="50"/>
      <c r="AI38" s="50"/>
      <c r="AJ38" s="50"/>
      <c r="AK38" s="111"/>
      <c r="AL38" s="50"/>
    </row>
    <row r="39" spans="1:43" ht="20.100000000000001" customHeight="1" thickBot="1">
      <c r="A39" s="41">
        <v>16</v>
      </c>
      <c r="C39" s="310" t="s">
        <v>459</v>
      </c>
      <c r="F39" s="67">
        <f>F31</f>
        <v>12</v>
      </c>
      <c r="G39" s="1"/>
      <c r="H39" s="67">
        <f>H31</f>
        <v>-2961</v>
      </c>
      <c r="I39" s="3"/>
      <c r="J39" s="7"/>
      <c r="K39" s="7"/>
      <c r="L39" s="67">
        <f>L37+L31</f>
        <v>1978</v>
      </c>
      <c r="M39" s="3"/>
      <c r="N39" s="73">
        <v>100</v>
      </c>
      <c r="O39" s="4"/>
      <c r="P39" s="67">
        <f>P37+P31</f>
        <v>0</v>
      </c>
      <c r="Q39" s="3"/>
      <c r="R39" s="67">
        <f>R37+R31</f>
        <v>1978</v>
      </c>
      <c r="S39" s="45"/>
      <c r="AA39" s="45"/>
      <c r="AB39" s="45"/>
      <c r="AC39" s="45"/>
      <c r="AD39" s="45"/>
      <c r="AI39" s="45"/>
      <c r="AJ39" s="45"/>
      <c r="AL39" s="45"/>
    </row>
    <row r="40" spans="1:43" ht="18.75" customHeight="1" thickTop="1">
      <c r="F40" s="3"/>
      <c r="G40" s="1"/>
      <c r="H40" s="3"/>
      <c r="I40" s="3"/>
      <c r="J40" s="7"/>
      <c r="K40" s="7"/>
      <c r="L40" s="3"/>
      <c r="M40" s="3"/>
      <c r="N40" s="3"/>
      <c r="O40" s="3"/>
      <c r="P40" s="3"/>
      <c r="Q40" s="3"/>
      <c r="R40" s="3"/>
    </row>
    <row r="41" spans="1:43">
      <c r="C41" s="140" t="s">
        <v>59</v>
      </c>
      <c r="F41" s="45"/>
      <c r="H41" s="45"/>
      <c r="I41" s="45"/>
      <c r="J41" s="47"/>
      <c r="K41" s="47"/>
      <c r="L41" s="45"/>
      <c r="M41" s="45"/>
      <c r="N41" s="45"/>
      <c r="O41" s="45"/>
      <c r="P41" s="45"/>
      <c r="Q41" s="45"/>
      <c r="R41" s="45"/>
      <c r="Y41" s="42"/>
    </row>
    <row r="42" spans="1:43">
      <c r="A42" s="42"/>
      <c r="C42" s="42"/>
      <c r="F42" s="45"/>
      <c r="H42" s="45"/>
      <c r="I42" s="45"/>
      <c r="J42" s="47"/>
      <c r="K42" s="47"/>
      <c r="L42" s="45"/>
      <c r="M42" s="45"/>
      <c r="N42" s="45"/>
      <c r="O42" s="45"/>
      <c r="P42" s="45"/>
      <c r="Q42" s="45"/>
      <c r="R42" s="45"/>
    </row>
    <row r="43" spans="1:43">
      <c r="H43" s="45"/>
      <c r="L43" s="42"/>
      <c r="M43" s="42"/>
      <c r="AA43" s="42"/>
      <c r="AB43" s="42"/>
    </row>
    <row r="44" spans="1:43">
      <c r="R44" s="42"/>
      <c r="AK44" s="110"/>
      <c r="AL44" s="42"/>
    </row>
    <row r="45" spans="1:43">
      <c r="R45" s="42"/>
      <c r="T45" s="40" t="str">
        <f>NAME</f>
        <v>DUKE ENERGY KENTUCKY, INC.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</row>
    <row r="46" spans="1:43">
      <c r="R46" s="42"/>
      <c r="T46" s="40" t="str">
        <f>CASE_NO</f>
        <v>CASE NO.   2024-00354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100"/>
      <c r="AH46" s="40"/>
      <c r="AI46" s="40"/>
      <c r="AJ46" s="40"/>
      <c r="AK46" s="100"/>
      <c r="AL46" s="40"/>
      <c r="AM46" s="40"/>
      <c r="AN46" s="40"/>
      <c r="AO46" s="40"/>
      <c r="AP46" s="40"/>
      <c r="AQ46" s="100"/>
    </row>
    <row r="47" spans="1:43">
      <c r="A47" s="42"/>
      <c r="R47" s="42"/>
      <c r="T47" s="40" t="str">
        <f>TITLE</f>
        <v>ANNUALIZED TEST YEAR REVENUES AT PROPOSED VS. MOST CURRENT RATES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00"/>
      <c r="AH47" s="40"/>
      <c r="AI47" s="40"/>
      <c r="AJ47" s="40"/>
      <c r="AK47" s="100"/>
      <c r="AL47" s="40"/>
      <c r="AM47" s="40"/>
      <c r="AN47" s="40"/>
      <c r="AO47" s="40"/>
      <c r="AP47" s="40"/>
      <c r="AQ47" s="100"/>
    </row>
    <row r="48" spans="1:43">
      <c r="L48" s="42"/>
      <c r="M48" s="42"/>
      <c r="T48" s="40" t="str">
        <f>DATE</f>
        <v>FOR THE TWELVE MONTHS ENDED June 30, 2026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00"/>
      <c r="AH48" s="40"/>
      <c r="AI48" s="40"/>
      <c r="AJ48" s="40"/>
      <c r="AK48" s="100"/>
      <c r="AL48" s="40"/>
      <c r="AM48" s="40"/>
      <c r="AN48" s="40"/>
      <c r="AO48" s="40"/>
      <c r="AP48" s="40"/>
      <c r="AQ48" s="100"/>
    </row>
    <row r="49" spans="1:4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T49" s="40" t="str">
        <f>SERVICE</f>
        <v>(ELECTRIC SERVICE)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</row>
    <row r="50" spans="1:43">
      <c r="L50" s="44"/>
      <c r="M50" s="44"/>
      <c r="N50" s="44"/>
      <c r="O50" s="44"/>
      <c r="R50" s="44"/>
      <c r="T50" s="41" t="str">
        <f>DATA_PERIOD</f>
        <v>DATA: ____ BASE PERIOD   __X__FORECASTED PERIOD</v>
      </c>
      <c r="AO50" s="42" t="s">
        <v>157</v>
      </c>
      <c r="AP50" s="42"/>
    </row>
    <row r="51" spans="1:43">
      <c r="L51" s="44"/>
      <c r="M51" s="44"/>
      <c r="N51" s="44"/>
      <c r="O51" s="44"/>
      <c r="R51" s="44"/>
      <c r="T51" s="41" t="str">
        <f>TYPE</f>
        <v>TYPE OF FILING: _X_ ORIGINAL   ___UPDATED  ___ REVISED</v>
      </c>
      <c r="AO51" s="48" t="str">
        <f>"PAGE 11 OF "&amp;TEXT(Page_Num_2.2,"00")</f>
        <v>PAGE 11 OF 24</v>
      </c>
      <c r="AP51" s="42"/>
    </row>
    <row r="52" spans="1:43">
      <c r="A52" s="44"/>
      <c r="C52" s="44"/>
      <c r="D52" s="44"/>
      <c r="E52" s="44"/>
      <c r="F52" s="44"/>
      <c r="J52" s="44"/>
      <c r="K52" s="44"/>
      <c r="L52" s="44"/>
      <c r="M52" s="44"/>
      <c r="N52" s="44"/>
      <c r="O52" s="44"/>
      <c r="P52" s="44"/>
      <c r="Q52" s="44"/>
      <c r="R52" s="44"/>
      <c r="T52" s="42" t="s">
        <v>170</v>
      </c>
      <c r="AO52" s="42" t="s">
        <v>3</v>
      </c>
      <c r="AP52" s="42"/>
    </row>
    <row r="53" spans="1:43">
      <c r="A53" s="44"/>
      <c r="C53" s="44"/>
      <c r="D53" s="44"/>
      <c r="E53" s="44"/>
      <c r="F53" s="44"/>
      <c r="J53" s="44"/>
      <c r="K53" s="44"/>
      <c r="L53" s="44"/>
      <c r="M53" s="44"/>
      <c r="N53" s="44"/>
      <c r="O53" s="44"/>
      <c r="P53" s="44"/>
      <c r="Q53" s="44"/>
      <c r="R53" s="44"/>
      <c r="T53" s="133" t="str">
        <f>TIME</f>
        <v>12 Months Projected with Riders</v>
      </c>
      <c r="AO53" s="41" t="str">
        <f>WIT</f>
        <v>B. L. Sailers</v>
      </c>
    </row>
    <row r="54" spans="1:43">
      <c r="A54" s="44"/>
      <c r="C54" s="44"/>
      <c r="D54" s="44"/>
      <c r="E54" s="44"/>
      <c r="F54" s="44"/>
      <c r="J54" s="44"/>
      <c r="K54" s="44"/>
      <c r="L54" s="44"/>
      <c r="M54" s="44"/>
      <c r="N54" s="44"/>
      <c r="O54" s="44"/>
      <c r="P54" s="44"/>
      <c r="Q54" s="44"/>
      <c r="R54" s="44"/>
      <c r="T54" s="133" t="str">
        <f>INPUT!B5</f>
        <v xml:space="preserve"> </v>
      </c>
    </row>
    <row r="55" spans="1:43">
      <c r="A55" s="44"/>
      <c r="C55" s="44"/>
      <c r="D55" s="44"/>
      <c r="E55" s="44"/>
      <c r="F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T55" s="40" t="s">
        <v>130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</row>
    <row r="56" spans="1:43">
      <c r="C56" s="44"/>
      <c r="D56" s="44"/>
      <c r="E56" s="44"/>
      <c r="F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01"/>
      <c r="AH56" s="43"/>
      <c r="AI56" s="43"/>
      <c r="AJ56" s="43"/>
      <c r="AK56" s="101"/>
      <c r="AL56" s="43"/>
      <c r="AM56" s="43"/>
      <c r="AN56" s="43"/>
      <c r="AO56" s="43"/>
      <c r="AP56" s="43"/>
      <c r="AQ56" s="101"/>
    </row>
    <row r="57" spans="1:43" ht="18" customHeight="1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AE57" s="44" t="s">
        <v>8</v>
      </c>
      <c r="AF57" s="44"/>
      <c r="AG57" s="102" t="s">
        <v>7</v>
      </c>
      <c r="AH57" s="44"/>
      <c r="AI57" s="44" t="s">
        <v>9</v>
      </c>
      <c r="AJ57" s="44"/>
      <c r="AK57" s="102" t="s">
        <v>10</v>
      </c>
      <c r="AL57" s="44"/>
      <c r="AO57" s="44" t="s">
        <v>8</v>
      </c>
      <c r="AP57" s="44"/>
      <c r="AQ57" s="102" t="s">
        <v>11</v>
      </c>
    </row>
    <row r="58" spans="1:43"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AC58" s="44" t="s">
        <v>14</v>
      </c>
      <c r="AD58" s="44"/>
      <c r="AE58" s="44" t="s">
        <v>12</v>
      </c>
      <c r="AF58" s="44"/>
      <c r="AG58" s="102" t="s">
        <v>13</v>
      </c>
      <c r="AH58" s="44"/>
      <c r="AI58" s="44" t="s">
        <v>15</v>
      </c>
      <c r="AJ58" s="44"/>
      <c r="AK58" s="102" t="s">
        <v>16</v>
      </c>
      <c r="AL58" s="44"/>
      <c r="AO58" s="44" t="s">
        <v>11</v>
      </c>
      <c r="AP58" s="44"/>
      <c r="AQ58" s="102" t="s">
        <v>9</v>
      </c>
    </row>
    <row r="59" spans="1:43">
      <c r="C59" s="42"/>
      <c r="D59" s="42"/>
      <c r="E59" s="42"/>
      <c r="T59" s="44" t="s">
        <v>17</v>
      </c>
      <c r="V59" s="44" t="s">
        <v>18</v>
      </c>
      <c r="W59" s="44" t="s">
        <v>19</v>
      </c>
      <c r="X59" s="44"/>
      <c r="Y59" s="44" t="s">
        <v>20</v>
      </c>
      <c r="AC59" s="44" t="s">
        <v>8</v>
      </c>
      <c r="AD59" s="44"/>
      <c r="AE59" s="44" t="s">
        <v>841</v>
      </c>
      <c r="AF59" s="44"/>
      <c r="AG59" s="102" t="s">
        <v>841</v>
      </c>
      <c r="AH59" s="44"/>
      <c r="AI59" s="60" t="s">
        <v>964</v>
      </c>
      <c r="AJ59" s="44"/>
      <c r="AK59" s="277" t="s">
        <v>964</v>
      </c>
      <c r="AL59" s="44"/>
      <c r="AM59" s="44" t="s">
        <v>841</v>
      </c>
      <c r="AN59" s="44"/>
      <c r="AO59" s="44" t="s">
        <v>9</v>
      </c>
      <c r="AP59" s="44"/>
      <c r="AQ59" s="102" t="s">
        <v>21</v>
      </c>
    </row>
    <row r="60" spans="1:43">
      <c r="D60" s="42"/>
      <c r="E60" s="42"/>
      <c r="T60" s="44" t="s">
        <v>22</v>
      </c>
      <c r="V60" s="44" t="s">
        <v>23</v>
      </c>
      <c r="W60" s="44" t="s">
        <v>24</v>
      </c>
      <c r="X60" s="44"/>
      <c r="Y60" s="44" t="s">
        <v>25</v>
      </c>
      <c r="AA60" s="44" t="s">
        <v>26</v>
      </c>
      <c r="AB60" s="44"/>
      <c r="AC60" s="44" t="s">
        <v>27</v>
      </c>
      <c r="AD60" s="44"/>
      <c r="AE60" s="44" t="s">
        <v>9</v>
      </c>
      <c r="AF60" s="44"/>
      <c r="AG60" s="102" t="s">
        <v>9</v>
      </c>
      <c r="AH60" s="44"/>
      <c r="AI60" s="304" t="s">
        <v>29</v>
      </c>
      <c r="AJ60" s="304"/>
      <c r="AK60" s="311" t="s">
        <v>30</v>
      </c>
      <c r="AL60" s="44"/>
      <c r="AM60" s="44" t="s">
        <v>365</v>
      </c>
      <c r="AN60" s="44"/>
      <c r="AO60" s="304" t="s">
        <v>31</v>
      </c>
      <c r="AP60" s="44"/>
      <c r="AQ60" s="311" t="s">
        <v>32</v>
      </c>
    </row>
    <row r="61" spans="1:43">
      <c r="V61" s="304" t="s">
        <v>33</v>
      </c>
      <c r="W61" s="304" t="s">
        <v>34</v>
      </c>
      <c r="X61" s="304"/>
      <c r="Y61" s="304" t="s">
        <v>35</v>
      </c>
      <c r="Z61" s="130"/>
      <c r="AA61" s="304" t="s">
        <v>36</v>
      </c>
      <c r="AB61" s="304"/>
      <c r="AC61" s="304" t="s">
        <v>42</v>
      </c>
      <c r="AD61" s="304"/>
      <c r="AE61" s="304" t="s">
        <v>43</v>
      </c>
      <c r="AF61" s="304"/>
      <c r="AG61" s="311" t="s">
        <v>44</v>
      </c>
      <c r="AH61" s="304"/>
      <c r="AI61" s="304" t="s">
        <v>45</v>
      </c>
      <c r="AJ61" s="304"/>
      <c r="AK61" s="311" t="s">
        <v>46</v>
      </c>
      <c r="AL61" s="304"/>
      <c r="AM61" s="304" t="s">
        <v>40</v>
      </c>
      <c r="AN61" s="44"/>
      <c r="AO61" s="304" t="s">
        <v>47</v>
      </c>
      <c r="AP61" s="44"/>
      <c r="AQ61" s="311" t="s">
        <v>48</v>
      </c>
    </row>
    <row r="62" spans="1:43">
      <c r="C62" s="42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01"/>
      <c r="AH62" s="43"/>
      <c r="AI62" s="43"/>
      <c r="AJ62" s="43"/>
      <c r="AK62" s="101"/>
      <c r="AL62" s="43"/>
      <c r="AM62" s="43"/>
      <c r="AN62" s="43"/>
      <c r="AO62" s="43"/>
      <c r="AP62" s="43"/>
      <c r="AQ62" s="101"/>
    </row>
    <row r="63" spans="1:43" ht="17.100000000000001" customHeight="1">
      <c r="C63" s="42"/>
      <c r="F63" s="164"/>
      <c r="H63" s="164"/>
      <c r="I63" s="164"/>
      <c r="J63" s="316"/>
      <c r="K63" s="316"/>
      <c r="L63" s="45"/>
      <c r="M63" s="45"/>
      <c r="N63" s="46"/>
      <c r="O63" s="46"/>
      <c r="R63" s="45"/>
      <c r="AA63" s="309" t="s">
        <v>49</v>
      </c>
      <c r="AB63" s="308"/>
      <c r="AC63" s="309" t="s">
        <v>312</v>
      </c>
      <c r="AD63" s="308"/>
      <c r="AE63" s="308" t="s">
        <v>50</v>
      </c>
      <c r="AF63" s="308"/>
      <c r="AG63" s="312" t="s">
        <v>51</v>
      </c>
      <c r="AH63" s="308"/>
      <c r="AI63" s="308" t="s">
        <v>50</v>
      </c>
      <c r="AJ63" s="308"/>
      <c r="AK63" s="312" t="s">
        <v>51</v>
      </c>
      <c r="AL63" s="308"/>
      <c r="AM63" s="308" t="s">
        <v>50</v>
      </c>
      <c r="AN63" s="308"/>
      <c r="AO63" s="308" t="s">
        <v>50</v>
      </c>
      <c r="AP63" s="308"/>
      <c r="AQ63" s="312" t="s">
        <v>51</v>
      </c>
    </row>
    <row r="64" spans="1:43">
      <c r="C64" s="42"/>
      <c r="F64" s="164"/>
      <c r="H64" s="164"/>
      <c r="I64" s="164"/>
      <c r="J64" s="316"/>
      <c r="K64" s="316"/>
      <c r="L64" s="45"/>
      <c r="M64" s="45"/>
      <c r="N64" s="46"/>
      <c r="O64" s="46"/>
      <c r="R64" s="45"/>
      <c r="T64" s="41">
        <f t="shared" ref="T64:T75" si="0">A20</f>
        <v>1</v>
      </c>
      <c r="V64" s="133" t="s">
        <v>308</v>
      </c>
      <c r="W64" s="133" t="s">
        <v>131</v>
      </c>
      <c r="X64" s="42"/>
      <c r="Y64" s="1"/>
      <c r="Z64" s="1"/>
      <c r="AA64" s="1"/>
      <c r="AB64" s="1"/>
      <c r="AC64" s="1"/>
      <c r="AD64" s="1"/>
      <c r="AE64" s="1"/>
      <c r="AF64" s="1"/>
      <c r="AG64" s="103"/>
      <c r="AH64" s="1"/>
      <c r="AI64" s="1"/>
      <c r="AJ64" s="1"/>
      <c r="AK64" s="103"/>
      <c r="AL64" s="1"/>
      <c r="AM64" s="1"/>
      <c r="AN64" s="1"/>
      <c r="AO64" s="1"/>
      <c r="AP64" s="1"/>
      <c r="AQ64" s="103"/>
    </row>
    <row r="65" spans="3:43">
      <c r="F65" s="50"/>
      <c r="H65" s="45"/>
      <c r="I65" s="45"/>
      <c r="J65" s="326"/>
      <c r="K65" s="326"/>
      <c r="L65" s="50"/>
      <c r="M65" s="50"/>
      <c r="N65" s="50"/>
      <c r="O65" s="50"/>
      <c r="P65" s="50"/>
      <c r="Q65" s="50"/>
      <c r="R65" s="50"/>
      <c r="T65" s="41">
        <f t="shared" si="0"/>
        <v>2</v>
      </c>
      <c r="V65" s="130"/>
      <c r="W65" s="133" t="s">
        <v>132</v>
      </c>
      <c r="X65" s="42"/>
      <c r="Y65" s="1"/>
      <c r="Z65" s="1"/>
      <c r="AA65" s="1"/>
      <c r="AB65" s="1"/>
      <c r="AC65" s="1"/>
      <c r="AD65" s="1"/>
      <c r="AE65" s="1"/>
      <c r="AF65" s="1"/>
      <c r="AG65" s="103"/>
      <c r="AH65" s="1"/>
      <c r="AI65" s="1"/>
      <c r="AJ65" s="1"/>
      <c r="AK65" s="103"/>
      <c r="AL65" s="1"/>
      <c r="AM65" s="1"/>
      <c r="AN65" s="1"/>
      <c r="AO65" s="1"/>
      <c r="AP65" s="1"/>
      <c r="AQ65" s="103"/>
    </row>
    <row r="66" spans="3:43" ht="24.75" customHeight="1">
      <c r="C66" s="42"/>
      <c r="F66" s="45"/>
      <c r="H66" s="45"/>
      <c r="I66" s="45"/>
      <c r="J66" s="326"/>
      <c r="K66" s="326"/>
      <c r="L66" s="45"/>
      <c r="M66" s="45"/>
      <c r="N66" s="46"/>
      <c r="O66" s="46"/>
      <c r="P66" s="45"/>
      <c r="Q66" s="45"/>
      <c r="R66" s="45"/>
      <c r="Y66" s="1"/>
      <c r="Z66" s="1"/>
      <c r="AA66" s="1"/>
      <c r="AB66" s="1"/>
      <c r="AC66" s="1"/>
      <c r="AD66" s="1"/>
      <c r="AE66" s="1"/>
      <c r="AF66" s="1"/>
      <c r="AG66" s="103"/>
      <c r="AH66" s="1"/>
      <c r="AI66" s="1"/>
      <c r="AJ66" s="1"/>
      <c r="AK66" s="103"/>
      <c r="AL66" s="1"/>
      <c r="AM66" s="1"/>
      <c r="AN66" s="1"/>
      <c r="AO66" s="1"/>
      <c r="AP66" s="1"/>
      <c r="AQ66" s="103"/>
    </row>
    <row r="67" spans="3:43">
      <c r="F67" s="50"/>
      <c r="H67" s="45"/>
      <c r="I67" s="45"/>
      <c r="J67" s="326"/>
      <c r="K67" s="326"/>
      <c r="L67" s="50"/>
      <c r="M67" s="50"/>
      <c r="N67" s="50"/>
      <c r="O67" s="50"/>
      <c r="P67" s="50"/>
      <c r="Q67" s="50"/>
      <c r="R67" s="50"/>
      <c r="T67" s="41">
        <f t="shared" si="0"/>
        <v>3</v>
      </c>
      <c r="V67" s="133" t="s">
        <v>133</v>
      </c>
      <c r="Y67" s="1"/>
      <c r="Z67" s="1"/>
      <c r="AA67" s="1"/>
      <c r="AB67" s="1"/>
      <c r="AC67" s="1"/>
      <c r="AD67" s="1"/>
      <c r="AE67" s="1"/>
      <c r="AF67" s="1"/>
      <c r="AG67" s="103"/>
      <c r="AH67" s="1"/>
      <c r="AI67" s="1"/>
      <c r="AJ67" s="1"/>
      <c r="AK67" s="103"/>
      <c r="AL67" s="1"/>
      <c r="AM67" s="1"/>
      <c r="AN67" s="1"/>
      <c r="AO67" s="1"/>
      <c r="AP67" s="1"/>
      <c r="AQ67" s="103"/>
    </row>
    <row r="68" spans="3:43">
      <c r="C68" s="42"/>
      <c r="F68" s="45"/>
      <c r="H68" s="45"/>
      <c r="I68" s="45"/>
      <c r="J68" s="326"/>
      <c r="K68" s="326"/>
      <c r="L68" s="45"/>
      <c r="M68" s="45"/>
      <c r="N68" s="46"/>
      <c r="O68" s="46"/>
      <c r="P68" s="45"/>
      <c r="Q68" s="45"/>
      <c r="R68" s="45"/>
      <c r="T68" s="41">
        <f t="shared" si="0"/>
        <v>4</v>
      </c>
      <c r="V68" s="42" t="s">
        <v>311</v>
      </c>
      <c r="Y68" s="3">
        <f>F24</f>
        <v>12</v>
      </c>
      <c r="Z68" s="1"/>
      <c r="AA68" s="68"/>
      <c r="AB68" s="68"/>
      <c r="AC68" s="316">
        <f>INPUT!C154</f>
        <v>183</v>
      </c>
      <c r="AD68" s="76"/>
      <c r="AE68" s="3">
        <f>ROUND(Y68*AC68,0)</f>
        <v>2196</v>
      </c>
      <c r="AF68" s="3"/>
      <c r="AG68" s="103">
        <f>ROUND((AE68/AE$83)*100,1)</f>
        <v>108.7</v>
      </c>
      <c r="AH68" s="4"/>
      <c r="AI68" s="3">
        <f>L24-AE68</f>
        <v>0</v>
      </c>
      <c r="AJ68" s="3"/>
      <c r="AK68" s="104">
        <f>ROUND((AI68/AE68)*100,1)</f>
        <v>0</v>
      </c>
      <c r="AL68" s="6"/>
      <c r="AM68" s="3"/>
      <c r="AN68" s="1"/>
      <c r="AO68" s="3">
        <f>AE68+AM68</f>
        <v>2196</v>
      </c>
      <c r="AP68" s="3"/>
      <c r="AQ68" s="113">
        <f>IF(AO68=0,"0.0 ",ROUND((AI68/AO68)*100,1))</f>
        <v>0</v>
      </c>
    </row>
    <row r="69" spans="3:43" ht="20.100000000000001" customHeight="1">
      <c r="C69" s="42"/>
      <c r="F69" s="164"/>
      <c r="H69" s="164"/>
      <c r="I69" s="164"/>
      <c r="J69" s="316"/>
      <c r="K69" s="316"/>
      <c r="L69" s="45"/>
      <c r="M69" s="45"/>
      <c r="N69" s="46"/>
      <c r="O69" s="46"/>
      <c r="P69" s="45"/>
      <c r="Q69" s="45"/>
      <c r="R69" s="45"/>
      <c r="T69" s="41">
        <f t="shared" si="0"/>
        <v>5</v>
      </c>
      <c r="V69" s="133" t="s">
        <v>136</v>
      </c>
      <c r="Y69" s="3"/>
      <c r="Z69" s="1"/>
      <c r="AA69" s="3"/>
      <c r="AB69" s="3"/>
      <c r="AC69" s="7"/>
      <c r="AD69" s="7"/>
      <c r="AE69" s="72">
        <f>SUM(AE68:AE68)</f>
        <v>2196</v>
      </c>
      <c r="AF69" s="3"/>
      <c r="AG69" s="105">
        <f>ROUND((AE69/AE$83)*100,1)</f>
        <v>108.7</v>
      </c>
      <c r="AH69" s="4"/>
      <c r="AI69" s="72">
        <f>SUM(AI68:AI68)</f>
        <v>0</v>
      </c>
      <c r="AJ69" s="3"/>
      <c r="AK69" s="105">
        <f>ROUND((AI69/AE69)*100,1)</f>
        <v>0</v>
      </c>
      <c r="AL69" s="6"/>
      <c r="AM69" s="72"/>
      <c r="AN69" s="3"/>
      <c r="AO69" s="72">
        <f>SUM(AO68:AO68)</f>
        <v>2196</v>
      </c>
      <c r="AP69" s="3"/>
      <c r="AQ69" s="113">
        <f>IF(AO69=0,"0.0 ",ROUND((AI69/AO69)*100,1))</f>
        <v>0</v>
      </c>
    </row>
    <row r="70" spans="3:43" ht="24.75" customHeight="1">
      <c r="C70" s="42"/>
      <c r="F70" s="164"/>
      <c r="H70" s="164"/>
      <c r="I70" s="164"/>
      <c r="J70" s="331"/>
      <c r="K70" s="331"/>
      <c r="L70" s="45"/>
      <c r="M70" s="45"/>
      <c r="N70" s="46"/>
      <c r="O70" s="46"/>
      <c r="P70" s="164"/>
      <c r="Q70" s="164"/>
      <c r="R70" s="45"/>
      <c r="V70" s="42"/>
      <c r="Y70" s="3"/>
      <c r="Z70" s="1"/>
      <c r="AA70" s="3"/>
      <c r="AB70" s="3"/>
      <c r="AC70" s="314"/>
      <c r="AD70" s="314"/>
      <c r="AE70" s="3"/>
      <c r="AF70" s="3"/>
      <c r="AG70" s="103"/>
      <c r="AH70" s="4"/>
      <c r="AI70" s="3"/>
      <c r="AJ70" s="3"/>
      <c r="AK70" s="103"/>
      <c r="AL70" s="6"/>
      <c r="AM70" s="3"/>
      <c r="AN70" s="3"/>
      <c r="AO70" s="3"/>
      <c r="AP70" s="3"/>
      <c r="AQ70" s="103"/>
    </row>
    <row r="71" spans="3:43">
      <c r="C71" s="42"/>
      <c r="H71" s="164"/>
      <c r="I71" s="164"/>
      <c r="J71" s="331"/>
      <c r="K71" s="331"/>
      <c r="L71" s="45"/>
      <c r="M71" s="45"/>
      <c r="N71" s="46"/>
      <c r="O71" s="46"/>
      <c r="P71" s="164"/>
      <c r="Q71" s="164"/>
      <c r="R71" s="45"/>
      <c r="T71" s="41">
        <f t="shared" si="0"/>
        <v>6</v>
      </c>
      <c r="V71" s="133" t="s">
        <v>67</v>
      </c>
      <c r="Y71" s="3"/>
      <c r="Z71" s="1"/>
      <c r="AA71" s="3"/>
      <c r="AB71" s="3"/>
      <c r="AC71" s="7"/>
      <c r="AD71" s="7"/>
      <c r="AE71" s="3"/>
      <c r="AF71" s="3"/>
      <c r="AG71" s="103"/>
      <c r="AH71" s="4"/>
      <c r="AI71" s="3"/>
      <c r="AJ71" s="3"/>
      <c r="AK71" s="103"/>
      <c r="AL71" s="6"/>
      <c r="AM71" s="3"/>
      <c r="AN71" s="3"/>
      <c r="AO71" s="3"/>
      <c r="AP71" s="3"/>
      <c r="AQ71" s="103"/>
    </row>
    <row r="72" spans="3:43">
      <c r="F72" s="50"/>
      <c r="H72" s="50"/>
      <c r="I72" s="50"/>
      <c r="J72" s="326"/>
      <c r="K72" s="326"/>
      <c r="L72" s="50"/>
      <c r="M72" s="50"/>
      <c r="N72" s="50"/>
      <c r="O72" s="50"/>
      <c r="P72" s="50"/>
      <c r="Q72" s="50"/>
      <c r="R72" s="50"/>
      <c r="T72" s="41">
        <f t="shared" si="0"/>
        <v>7</v>
      </c>
      <c r="V72" s="42" t="s">
        <v>381</v>
      </c>
      <c r="Y72" s="68"/>
      <c r="Z72" s="1"/>
      <c r="AA72" s="3">
        <f>H28</f>
        <v>-2961</v>
      </c>
      <c r="AB72" s="3"/>
      <c r="AC72" s="323">
        <f>INPUT!C156</f>
        <v>2.0034E-2</v>
      </c>
      <c r="AD72" s="322"/>
      <c r="AE72" s="3">
        <f>ROUND((AA72*AC72),0)</f>
        <v>-59</v>
      </c>
      <c r="AF72" s="3"/>
      <c r="AG72" s="103">
        <f>ROUND((AE72/AE$83)*100,1)</f>
        <v>-2.9</v>
      </c>
      <c r="AH72" s="4"/>
      <c r="AI72" s="3">
        <f>L28-AE72</f>
        <v>-40</v>
      </c>
      <c r="AJ72" s="3"/>
      <c r="AK72" s="103">
        <f>ROUND((AI72/AE72)*100,1)</f>
        <v>67.8</v>
      </c>
      <c r="AL72" s="6"/>
      <c r="AM72" s="68"/>
      <c r="AN72" s="68"/>
      <c r="AO72" s="3">
        <f>AE72+AM72</f>
        <v>-59</v>
      </c>
      <c r="AP72" s="3"/>
      <c r="AQ72" s="113">
        <f>IF(AO72=0,"0.0 ",ROUND((AI72/AO72)*100,1))</f>
        <v>67.8</v>
      </c>
    </row>
    <row r="73" spans="3:43">
      <c r="C73" s="42"/>
      <c r="F73" s="45"/>
      <c r="H73" s="45"/>
      <c r="I73" s="45"/>
      <c r="J73" s="47"/>
      <c r="K73" s="47"/>
      <c r="L73" s="45"/>
      <c r="M73" s="45"/>
      <c r="N73" s="46"/>
      <c r="O73" s="46"/>
      <c r="P73" s="45"/>
      <c r="Q73" s="45"/>
      <c r="R73" s="45"/>
      <c r="T73" s="41">
        <f t="shared" si="0"/>
        <v>8</v>
      </c>
      <c r="V73" s="42" t="s">
        <v>370</v>
      </c>
      <c r="Y73" s="68"/>
      <c r="Z73" s="1"/>
      <c r="AA73" s="3">
        <f>H29</f>
        <v>-2961</v>
      </c>
      <c r="AB73" s="3"/>
      <c r="AC73" s="323">
        <f>INPUT!C160</f>
        <v>3.8117999999999999E-2</v>
      </c>
      <c r="AD73" s="322"/>
      <c r="AE73" s="3">
        <f>ROUND((AA73*AC73),0)</f>
        <v>-113</v>
      </c>
      <c r="AF73" s="3"/>
      <c r="AG73" s="103">
        <f>ROUND((AE73/AE$83)*100,1)</f>
        <v>-5.6</v>
      </c>
      <c r="AH73" s="4"/>
      <c r="AI73" s="3">
        <f>L29-AE73</f>
        <v>0</v>
      </c>
      <c r="AJ73" s="3"/>
      <c r="AK73" s="103">
        <f>ROUND((AI73/AE73)*100,1)</f>
        <v>0</v>
      </c>
      <c r="AL73" s="6"/>
      <c r="AM73" s="45">
        <v>0</v>
      </c>
      <c r="AN73" s="68"/>
      <c r="AO73" s="3">
        <f>AE73+AM73</f>
        <v>-113</v>
      </c>
      <c r="AP73" s="3"/>
      <c r="AQ73" s="113">
        <f>IF(AO73=0,"0.0 ",ROUND((AI73/AO73)*100,1))</f>
        <v>0</v>
      </c>
    </row>
    <row r="74" spans="3:43" ht="20.100000000000001" customHeight="1">
      <c r="F74" s="45"/>
      <c r="H74" s="45"/>
      <c r="I74" s="45"/>
      <c r="J74" s="47"/>
      <c r="K74" s="47"/>
      <c r="L74" s="45"/>
      <c r="M74" s="45"/>
      <c r="N74" s="45"/>
      <c r="O74" s="45"/>
      <c r="P74" s="45"/>
      <c r="Q74" s="45"/>
      <c r="R74" s="45"/>
      <c r="T74" s="41">
        <f t="shared" si="0"/>
        <v>9</v>
      </c>
      <c r="V74" s="133" t="s">
        <v>142</v>
      </c>
      <c r="Y74" s="66"/>
      <c r="Z74" s="1"/>
      <c r="AA74" s="72">
        <f>H30</f>
        <v>-2961</v>
      </c>
      <c r="AB74" s="3"/>
      <c r="AC74" s="154"/>
      <c r="AD74" s="7"/>
      <c r="AE74" s="72">
        <f>SUM(AE72:AE73)</f>
        <v>-172</v>
      </c>
      <c r="AF74" s="3"/>
      <c r="AG74" s="105">
        <f>ROUND((AE74/AE$83)*100,1)</f>
        <v>-8.5</v>
      </c>
      <c r="AH74" s="4"/>
      <c r="AI74" s="72">
        <f>SUM(AI72:AI73)</f>
        <v>-40</v>
      </c>
      <c r="AJ74" s="3"/>
      <c r="AK74" s="105">
        <f>ROUND((AI74/AE74)*100,1)</f>
        <v>23.3</v>
      </c>
      <c r="AL74" s="6"/>
      <c r="AM74" s="72">
        <f>AM73</f>
        <v>0</v>
      </c>
      <c r="AN74" s="3"/>
      <c r="AO74" s="72">
        <f>SUM(AO72:AO73)</f>
        <v>-172</v>
      </c>
      <c r="AP74" s="3"/>
      <c r="AQ74" s="113">
        <f>IF(AO74=0,"0.0 ",ROUND((AI74/AO74)*100,1))</f>
        <v>23.3</v>
      </c>
    </row>
    <row r="75" spans="3:43" ht="20.100000000000001" customHeight="1">
      <c r="F75" s="45"/>
      <c r="H75" s="45"/>
      <c r="I75" s="45"/>
      <c r="J75" s="47"/>
      <c r="K75" s="47"/>
      <c r="L75" s="45"/>
      <c r="M75" s="45"/>
      <c r="N75" s="45"/>
      <c r="O75" s="45"/>
      <c r="P75" s="45"/>
      <c r="Q75" s="45"/>
      <c r="R75" s="45"/>
      <c r="T75" s="41">
        <f t="shared" si="0"/>
        <v>10</v>
      </c>
      <c r="V75" s="310" t="s">
        <v>460</v>
      </c>
      <c r="Y75" s="72">
        <f>Y68</f>
        <v>12</v>
      </c>
      <c r="Z75" s="1"/>
      <c r="AA75" s="72">
        <f>AA74</f>
        <v>-2961</v>
      </c>
      <c r="AB75" s="3"/>
      <c r="AC75" s="154"/>
      <c r="AD75" s="7"/>
      <c r="AE75" s="72">
        <f>AE74+AE69</f>
        <v>2024</v>
      </c>
      <c r="AF75" s="3"/>
      <c r="AG75" s="105">
        <f>ROUND((AE75/AE$83)*100,1)</f>
        <v>100.1</v>
      </c>
      <c r="AH75" s="4"/>
      <c r="AI75" s="72">
        <f>AI74+AI69</f>
        <v>-40</v>
      </c>
      <c r="AJ75" s="3"/>
      <c r="AK75" s="105">
        <f>ROUND((AI75/AE75)*100,1)</f>
        <v>-2</v>
      </c>
      <c r="AL75" s="6"/>
      <c r="AM75" s="72">
        <f>AM74+AM69</f>
        <v>0</v>
      </c>
      <c r="AN75" s="3"/>
      <c r="AO75" s="72">
        <f>AO74+AO69</f>
        <v>2024</v>
      </c>
      <c r="AP75" s="3"/>
      <c r="AQ75" s="113">
        <f>IF(AO75=0,"0.0 ",ROUND((AI75/AO75)*100,1))</f>
        <v>-2</v>
      </c>
    </row>
    <row r="76" spans="3:43" ht="15.75" customHeight="1">
      <c r="F76" s="45"/>
      <c r="H76" s="45"/>
      <c r="I76" s="45"/>
      <c r="J76" s="47"/>
      <c r="K76" s="47"/>
      <c r="L76" s="45"/>
      <c r="M76" s="45"/>
      <c r="N76" s="45"/>
      <c r="O76" s="45"/>
      <c r="P76" s="45"/>
      <c r="Q76" s="45"/>
      <c r="R76" s="45"/>
      <c r="V76" s="42"/>
      <c r="Y76" s="3"/>
      <c r="Z76" s="1"/>
      <c r="AA76" s="3"/>
      <c r="AB76" s="3"/>
      <c r="AC76" s="154"/>
      <c r="AD76" s="7"/>
      <c r="AE76" s="3"/>
      <c r="AF76" s="3"/>
      <c r="AG76" s="103"/>
      <c r="AH76" s="4"/>
      <c r="AI76" s="3"/>
      <c r="AJ76" s="3"/>
      <c r="AK76" s="103"/>
      <c r="AL76" s="6"/>
      <c r="AM76" s="3"/>
      <c r="AN76" s="3"/>
      <c r="AO76" s="3"/>
      <c r="AP76" s="3"/>
      <c r="AQ76" s="113"/>
    </row>
    <row r="77" spans="3:43" ht="15.75" customHeight="1">
      <c r="F77" s="45"/>
      <c r="H77" s="45"/>
      <c r="I77" s="45"/>
      <c r="J77" s="47"/>
      <c r="K77" s="47"/>
      <c r="L77" s="45"/>
      <c r="M77" s="45"/>
      <c r="N77" s="45"/>
      <c r="O77" s="45"/>
      <c r="P77" s="45"/>
      <c r="Q77" s="45"/>
      <c r="R77" s="45"/>
      <c r="T77" s="41">
        <f>A33</f>
        <v>11</v>
      </c>
      <c r="V77" s="133" t="s">
        <v>430</v>
      </c>
      <c r="Y77" s="3"/>
      <c r="Z77" s="1"/>
      <c r="AA77" s="3"/>
      <c r="AB77" s="3"/>
      <c r="AC77" s="154"/>
      <c r="AD77" s="7"/>
      <c r="AE77" s="3"/>
      <c r="AF77" s="3"/>
      <c r="AG77" s="103"/>
      <c r="AH77" s="4"/>
      <c r="AI77" s="3"/>
      <c r="AJ77" s="3"/>
      <c r="AK77" s="103"/>
      <c r="AL77" s="6"/>
      <c r="AM77" s="3"/>
      <c r="AN77" s="3"/>
      <c r="AO77" s="3"/>
      <c r="AP77" s="3"/>
      <c r="AQ77" s="113"/>
    </row>
    <row r="78" spans="3:43" ht="15.75" customHeight="1">
      <c r="F78" s="45"/>
      <c r="H78" s="45"/>
      <c r="I78" s="45"/>
      <c r="J78" s="47"/>
      <c r="K78" s="47"/>
      <c r="L78" s="45"/>
      <c r="M78" s="45"/>
      <c r="N78" s="45"/>
      <c r="O78" s="45"/>
      <c r="P78" s="45"/>
      <c r="Q78" s="45"/>
      <c r="R78" s="45"/>
      <c r="T78" s="41">
        <f>A34</f>
        <v>12</v>
      </c>
      <c r="V78" s="128" t="str">
        <f>C34</f>
        <v>DEMAND SIDE MANAGEMENT RIDER (DSMR)</v>
      </c>
      <c r="Y78" s="3"/>
      <c r="Z78" s="1"/>
      <c r="AA78" s="3"/>
      <c r="AB78" s="3"/>
      <c r="AC78" s="327">
        <f>DSM_DIST</f>
        <v>3.503E-3</v>
      </c>
      <c r="AD78" s="314"/>
      <c r="AE78" s="3">
        <f>ROUND($AA$75*AC78,0)</f>
        <v>-10</v>
      </c>
      <c r="AF78" s="3"/>
      <c r="AG78" s="103">
        <f>ROUND((AE78/AE$83)*100,1)</f>
        <v>-0.5</v>
      </c>
      <c r="AH78" s="4"/>
      <c r="AI78" s="3">
        <f>L34-AE78</f>
        <v>0</v>
      </c>
      <c r="AJ78" s="3"/>
      <c r="AK78" s="103">
        <f>IF(AE78=0,0,ROUND((AI78/AE78)*100,1))</f>
        <v>0</v>
      </c>
      <c r="AL78" s="6"/>
      <c r="AM78" s="3"/>
      <c r="AN78" s="3"/>
      <c r="AO78" s="3">
        <f>AE78+AM78</f>
        <v>-10</v>
      </c>
      <c r="AP78" s="3"/>
      <c r="AQ78" s="113">
        <f>IF(AO78=0,"0.0 ",ROUND((AI78/AO78)*100,1))</f>
        <v>0</v>
      </c>
    </row>
    <row r="79" spans="3:43" ht="15.75" customHeight="1">
      <c r="F79" s="45"/>
      <c r="H79" s="45"/>
      <c r="I79" s="45"/>
      <c r="J79" s="47"/>
      <c r="K79" s="47"/>
      <c r="L79" s="45"/>
      <c r="M79" s="45"/>
      <c r="N79" s="45"/>
      <c r="O79" s="45"/>
      <c r="P79" s="45"/>
      <c r="Q79" s="45"/>
      <c r="R79" s="45"/>
      <c r="T79" s="41">
        <f>A35</f>
        <v>13</v>
      </c>
      <c r="V79" s="128" t="str">
        <f>C35</f>
        <v>ENVIRONMENTAL SURCHARGE MECHANISM RIDER (ESM)</v>
      </c>
      <c r="Y79" s="3"/>
      <c r="Z79" s="1"/>
      <c r="AA79" s="3"/>
      <c r="AB79" s="3"/>
      <c r="AC79" s="332">
        <f>CUR_ESM_NonRes</f>
        <v>6.4941608437496566E-3</v>
      </c>
      <c r="AD79" s="314"/>
      <c r="AE79" s="3">
        <f>ROUND(AO69*AC79,0)</f>
        <v>14</v>
      </c>
      <c r="AF79" s="3"/>
      <c r="AG79" s="103">
        <f>ROUND((AE79/AE$83)*100,1)</f>
        <v>0.7</v>
      </c>
      <c r="AH79" s="4"/>
      <c r="AI79" s="3">
        <f>L35-AE79</f>
        <v>-3</v>
      </c>
      <c r="AJ79" s="3"/>
      <c r="AK79" s="103">
        <f>IF(AE79=0,0,ROUND((AI79/AE79)*100,1))</f>
        <v>-21.4</v>
      </c>
      <c r="AL79" s="6"/>
      <c r="AM79" s="3"/>
      <c r="AN79" s="3"/>
      <c r="AO79" s="3">
        <f>AE79+AM79</f>
        <v>14</v>
      </c>
      <c r="AP79" s="3"/>
      <c r="AQ79" s="113">
        <f>IF(AO79=0,"0.0 ",ROUND((AI79/AO79)*100,1))</f>
        <v>-21.4</v>
      </c>
    </row>
    <row r="80" spans="3:43" ht="15.75" customHeight="1">
      <c r="F80" s="45"/>
      <c r="H80" s="45"/>
      <c r="I80" s="45"/>
      <c r="J80" s="47"/>
      <c r="K80" s="47"/>
      <c r="L80" s="45"/>
      <c r="M80" s="45"/>
      <c r="N80" s="45"/>
      <c r="O80" s="45"/>
      <c r="P80" s="45"/>
      <c r="Q80" s="45"/>
      <c r="R80" s="45"/>
      <c r="T80" s="41">
        <f>A36</f>
        <v>14</v>
      </c>
      <c r="V80" s="128" t="str">
        <f>C36</f>
        <v>PROFIT SHARING MECHANISM (PSM)</v>
      </c>
      <c r="Y80" s="3"/>
      <c r="Z80" s="1"/>
      <c r="AA80" s="3"/>
      <c r="AB80" s="3"/>
      <c r="AC80" s="327">
        <f>RS_PSM</f>
        <v>2.4750000000000002E-3</v>
      </c>
      <c r="AD80" s="314"/>
      <c r="AE80" s="66">
        <f>ROUND(AA75*RS_PSM,0)</f>
        <v>-7</v>
      </c>
      <c r="AF80" s="3"/>
      <c r="AG80" s="104">
        <f>ROUND((AE80/AE$83)*100,1)</f>
        <v>-0.3</v>
      </c>
      <c r="AH80" s="4"/>
      <c r="AI80" s="3">
        <f>L36-AE80</f>
        <v>0</v>
      </c>
      <c r="AJ80" s="3"/>
      <c r="AK80" s="104">
        <f>IF(AE80=0,0,ROUND((AI80/AE80)*100,1))</f>
        <v>0</v>
      </c>
      <c r="AL80" s="6"/>
      <c r="AM80" s="3"/>
      <c r="AN80" s="3"/>
      <c r="AO80" s="66">
        <f>AE80+AM80</f>
        <v>-7</v>
      </c>
      <c r="AP80" s="3"/>
      <c r="AQ80" s="113">
        <f>IF(AO80=0,"0.0 ",ROUND((AI80/AO80)*100,1))</f>
        <v>0</v>
      </c>
    </row>
    <row r="81" spans="1:43" ht="20.100000000000001" customHeight="1">
      <c r="F81" s="45"/>
      <c r="H81" s="45"/>
      <c r="I81" s="45"/>
      <c r="J81" s="47"/>
      <c r="K81" s="47"/>
      <c r="L81" s="45"/>
      <c r="M81" s="45"/>
      <c r="N81" s="45"/>
      <c r="O81" s="45"/>
      <c r="P81" s="45"/>
      <c r="Q81" s="45"/>
      <c r="R81" s="45"/>
      <c r="T81" s="41">
        <f>A37</f>
        <v>15</v>
      </c>
      <c r="V81" s="133" t="s">
        <v>435</v>
      </c>
      <c r="Y81" s="66"/>
      <c r="Z81" s="1"/>
      <c r="AA81" s="66"/>
      <c r="AB81" s="3"/>
      <c r="AC81" s="7"/>
      <c r="AD81" s="7"/>
      <c r="AE81" s="72">
        <f>SUM(AE78:AE80)</f>
        <v>-3</v>
      </c>
      <c r="AF81" s="3"/>
      <c r="AG81" s="105">
        <f>ROUND((AE81/AE$83)*100,1)</f>
        <v>-0.1</v>
      </c>
      <c r="AH81" s="4"/>
      <c r="AI81" s="72">
        <f>SUM(AI78:AI80)</f>
        <v>-3</v>
      </c>
      <c r="AJ81" s="3"/>
      <c r="AK81" s="105">
        <f>ROUND((AI81/AE81)*100,1)</f>
        <v>100</v>
      </c>
      <c r="AL81" s="6"/>
      <c r="AM81" s="72">
        <f>SUM(AM78:AM80)</f>
        <v>0</v>
      </c>
      <c r="AN81" s="3"/>
      <c r="AO81" s="72">
        <f>SUM(AO78:AO80)</f>
        <v>-3</v>
      </c>
      <c r="AP81" s="3"/>
      <c r="AQ81" s="113">
        <f>IF(AO81=0,"0.0 ",ROUND((AI81/AO81)*100,1))</f>
        <v>100</v>
      </c>
    </row>
    <row r="82" spans="1:43" ht="15.75" customHeight="1">
      <c r="F82" s="45"/>
      <c r="H82" s="45"/>
      <c r="I82" s="45"/>
      <c r="J82" s="47"/>
      <c r="K82" s="47"/>
      <c r="L82" s="45"/>
      <c r="M82" s="45"/>
      <c r="N82" s="45"/>
      <c r="O82" s="45"/>
      <c r="P82" s="45"/>
      <c r="Q82" s="45"/>
      <c r="R82" s="45"/>
      <c r="V82" s="133"/>
      <c r="Y82" s="3"/>
      <c r="Z82" s="1"/>
      <c r="AA82" s="3"/>
      <c r="AB82" s="3"/>
      <c r="AC82" s="7"/>
      <c r="AD82" s="7"/>
      <c r="AE82" s="3"/>
      <c r="AF82" s="3"/>
      <c r="AG82" s="103"/>
      <c r="AH82" s="4"/>
      <c r="AI82" s="3"/>
      <c r="AJ82" s="3"/>
      <c r="AK82" s="103"/>
      <c r="AL82" s="6"/>
      <c r="AM82" s="3"/>
      <c r="AN82" s="3"/>
      <c r="AO82" s="3"/>
      <c r="AP82" s="3"/>
      <c r="AQ82" s="113"/>
    </row>
    <row r="83" spans="1:43" ht="20.100000000000001" customHeight="1" thickBot="1">
      <c r="T83" s="41">
        <f>A39</f>
        <v>16</v>
      </c>
      <c r="V83" s="310" t="s">
        <v>459</v>
      </c>
      <c r="Y83" s="67">
        <f>Y75</f>
        <v>12</v>
      </c>
      <c r="Z83" s="1"/>
      <c r="AA83" s="67">
        <f>AA75</f>
        <v>-2961</v>
      </c>
      <c r="AB83" s="3"/>
      <c r="AC83" s="7"/>
      <c r="AD83" s="7"/>
      <c r="AE83" s="67">
        <f>AE81+AE75</f>
        <v>2021</v>
      </c>
      <c r="AF83" s="3"/>
      <c r="AG83" s="106">
        <v>100</v>
      </c>
      <c r="AH83" s="4"/>
      <c r="AI83" s="67">
        <f>AI81+AI75</f>
        <v>-43</v>
      </c>
      <c r="AJ83" s="3"/>
      <c r="AK83" s="106">
        <f>ROUND((AI83/AE83)*100,1)</f>
        <v>-2.1</v>
      </c>
      <c r="AL83" s="6"/>
      <c r="AM83" s="67">
        <f>AM81+AM75</f>
        <v>0</v>
      </c>
      <c r="AN83" s="3"/>
      <c r="AO83" s="67">
        <f>AO81+AO75</f>
        <v>2021</v>
      </c>
      <c r="AP83" s="3"/>
      <c r="AQ83" s="113">
        <f>IF(AO83=0,"0.0 ",ROUND((AI83/AO83)*100,1))</f>
        <v>-2.1</v>
      </c>
    </row>
    <row r="84" spans="1:43" ht="16.5" thickTop="1">
      <c r="Y84" s="3"/>
      <c r="Z84" s="1"/>
      <c r="AA84" s="3"/>
      <c r="AB84" s="3"/>
      <c r="AC84" s="7"/>
      <c r="AD84" s="7"/>
      <c r="AE84" s="3"/>
      <c r="AF84" s="3"/>
      <c r="AG84" s="103"/>
      <c r="AH84" s="3"/>
      <c r="AI84" s="1"/>
      <c r="AJ84" s="1"/>
      <c r="AK84" s="103"/>
      <c r="AL84" s="1"/>
      <c r="AM84" s="1"/>
      <c r="AN84" s="1"/>
      <c r="AO84" s="1"/>
      <c r="AP84" s="1"/>
      <c r="AQ84" s="103"/>
    </row>
    <row r="85" spans="1:43">
      <c r="L85" s="45"/>
      <c r="M85" s="45"/>
      <c r="N85" s="45"/>
      <c r="O85" s="45"/>
      <c r="P85" s="45"/>
      <c r="Q85" s="45"/>
      <c r="R85" s="45"/>
      <c r="V85" s="140" t="s">
        <v>59</v>
      </c>
      <c r="Y85" s="45"/>
      <c r="AA85" s="45"/>
      <c r="AB85" s="45"/>
      <c r="AC85" s="47"/>
      <c r="AD85" s="47"/>
      <c r="AE85" s="45"/>
      <c r="AF85" s="45"/>
      <c r="AH85" s="45"/>
    </row>
    <row r="86" spans="1:43">
      <c r="T86" s="42"/>
      <c r="V86" s="42"/>
      <c r="Y86" s="45"/>
      <c r="AA86" s="45"/>
      <c r="AB86" s="45"/>
      <c r="AC86" s="47"/>
      <c r="AD86" s="47"/>
      <c r="AE86" s="45"/>
      <c r="AF86" s="45"/>
      <c r="AH86" s="45"/>
    </row>
    <row r="88" spans="1:43">
      <c r="H88" s="42"/>
      <c r="I88" s="42"/>
      <c r="Y88" s="42"/>
    </row>
    <row r="90" spans="1:43">
      <c r="L90" s="42"/>
      <c r="M90" s="42"/>
      <c r="AA90" s="42"/>
      <c r="AB90" s="42"/>
    </row>
    <row r="91" spans="1:43">
      <c r="R91" s="42"/>
      <c r="AK91" s="110"/>
      <c r="AL91" s="42"/>
    </row>
    <row r="92" spans="1:43">
      <c r="R92" s="42"/>
      <c r="AK92" s="110"/>
      <c r="AL92" s="42"/>
    </row>
    <row r="93" spans="1:43">
      <c r="A93" s="42"/>
      <c r="R93" s="42"/>
      <c r="AK93" s="110"/>
      <c r="AL93" s="42"/>
    </row>
    <row r="94" spans="1:43">
      <c r="L94" s="42"/>
      <c r="M94" s="42"/>
      <c r="AA94" s="42"/>
      <c r="AB94" s="42"/>
    </row>
    <row r="95" spans="1:43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107"/>
      <c r="AH95" s="49"/>
      <c r="AI95" s="49"/>
      <c r="AJ95" s="49"/>
      <c r="AK95" s="107"/>
      <c r="AL95" s="49"/>
      <c r="AM95" s="49"/>
      <c r="AN95" s="49"/>
    </row>
    <row r="96" spans="1:43">
      <c r="L96" s="44"/>
      <c r="M96" s="44"/>
      <c r="N96" s="44"/>
      <c r="O96" s="44"/>
      <c r="R96" s="44"/>
      <c r="AA96" s="44"/>
      <c r="AB96" s="44"/>
      <c r="AC96" s="44"/>
      <c r="AD96" s="44"/>
      <c r="AE96" s="44"/>
      <c r="AF96" s="44"/>
      <c r="AG96" s="102"/>
      <c r="AH96" s="44"/>
      <c r="AK96" s="102"/>
      <c r="AL96" s="44"/>
      <c r="AM96" s="44"/>
      <c r="AN96" s="44"/>
    </row>
    <row r="97" spans="1:40">
      <c r="L97" s="44"/>
      <c r="M97" s="44"/>
      <c r="N97" s="44"/>
      <c r="O97" s="44"/>
      <c r="R97" s="44"/>
      <c r="Z97" s="44"/>
      <c r="AA97" s="44"/>
      <c r="AB97" s="44"/>
      <c r="AC97" s="44"/>
      <c r="AD97" s="44"/>
      <c r="AE97" s="44"/>
      <c r="AF97" s="44"/>
      <c r="AG97" s="102"/>
      <c r="AH97" s="44"/>
      <c r="AK97" s="102"/>
      <c r="AL97" s="44"/>
      <c r="AM97" s="44"/>
      <c r="AN97" s="44"/>
    </row>
    <row r="98" spans="1:40">
      <c r="A98" s="44"/>
      <c r="C98" s="44"/>
      <c r="D98" s="44"/>
      <c r="E98" s="44"/>
      <c r="F98" s="44"/>
      <c r="J98" s="44"/>
      <c r="K98" s="44"/>
      <c r="L98" s="44"/>
      <c r="M98" s="44"/>
      <c r="N98" s="44"/>
      <c r="O98" s="44"/>
      <c r="P98" s="44"/>
      <c r="Q98" s="44"/>
      <c r="R98" s="44"/>
      <c r="T98" s="44"/>
      <c r="U98" s="44"/>
      <c r="V98" s="44"/>
      <c r="Z98" s="44"/>
      <c r="AA98" s="44"/>
      <c r="AB98" s="44"/>
      <c r="AC98" s="44"/>
      <c r="AD98" s="44"/>
      <c r="AE98" s="44"/>
      <c r="AF98" s="44"/>
      <c r="AG98" s="102"/>
      <c r="AH98" s="44"/>
      <c r="AI98" s="44"/>
      <c r="AJ98" s="44"/>
      <c r="AK98" s="102"/>
      <c r="AL98" s="44"/>
      <c r="AM98" s="44"/>
      <c r="AN98" s="44"/>
    </row>
    <row r="99" spans="1:40">
      <c r="A99" s="44"/>
      <c r="C99" s="44"/>
      <c r="D99" s="44"/>
      <c r="E99" s="44"/>
      <c r="F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T99" s="44"/>
      <c r="U99" s="44"/>
      <c r="V99" s="44"/>
      <c r="Y99" s="44"/>
      <c r="Z99" s="44"/>
      <c r="AA99" s="44"/>
      <c r="AB99" s="44"/>
      <c r="AC99" s="44"/>
      <c r="AD99" s="44"/>
      <c r="AE99" s="44"/>
      <c r="AF99" s="44"/>
      <c r="AG99" s="102"/>
      <c r="AH99" s="44"/>
      <c r="AI99" s="44"/>
      <c r="AJ99" s="44"/>
      <c r="AK99" s="102"/>
      <c r="AL99" s="44"/>
      <c r="AM99" s="44"/>
      <c r="AN99" s="44"/>
    </row>
    <row r="100" spans="1:40">
      <c r="C100" s="44"/>
      <c r="D100" s="44"/>
      <c r="E100" s="44"/>
      <c r="F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T100" s="44"/>
      <c r="U100" s="44"/>
      <c r="V100" s="44"/>
      <c r="Y100" s="44"/>
      <c r="Z100" s="44"/>
      <c r="AA100" s="44"/>
      <c r="AB100" s="44"/>
      <c r="AC100" s="44"/>
      <c r="AD100" s="44"/>
      <c r="AE100" s="44"/>
      <c r="AF100" s="44"/>
      <c r="AG100" s="102"/>
      <c r="AH100" s="44"/>
      <c r="AI100" s="44"/>
      <c r="AJ100" s="44"/>
      <c r="AK100" s="102"/>
      <c r="AL100" s="44"/>
      <c r="AM100" s="44"/>
      <c r="AN100" s="44"/>
    </row>
    <row r="101" spans="1:40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107"/>
      <c r="AH101" s="49"/>
      <c r="AI101" s="49"/>
      <c r="AJ101" s="49"/>
      <c r="AK101" s="107"/>
      <c r="AL101" s="49"/>
      <c r="AM101" s="49"/>
      <c r="AN101" s="49"/>
    </row>
    <row r="102" spans="1:40"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Y102" s="44"/>
      <c r="Z102" s="44"/>
      <c r="AA102" s="44"/>
      <c r="AB102" s="44"/>
      <c r="AC102" s="44"/>
      <c r="AD102" s="44"/>
      <c r="AE102" s="44"/>
      <c r="AF102" s="44"/>
      <c r="AG102" s="102"/>
      <c r="AH102" s="44"/>
      <c r="AI102" s="44"/>
      <c r="AJ102" s="44"/>
      <c r="AK102" s="102"/>
      <c r="AL102" s="44"/>
      <c r="AM102" s="44"/>
      <c r="AN102" s="44"/>
    </row>
    <row r="103" spans="1:40">
      <c r="C103" s="42"/>
      <c r="D103" s="42"/>
      <c r="E103" s="42"/>
      <c r="T103" s="42"/>
      <c r="U103" s="42"/>
    </row>
    <row r="104" spans="1:40">
      <c r="C104" s="42"/>
      <c r="T104" s="42"/>
    </row>
    <row r="106" spans="1:40">
      <c r="C106" s="42"/>
      <c r="T106" s="42"/>
    </row>
    <row r="107" spans="1:40">
      <c r="C107" s="42"/>
      <c r="F107" s="164"/>
      <c r="H107" s="164"/>
      <c r="I107" s="164"/>
      <c r="J107" s="316"/>
      <c r="K107" s="316"/>
      <c r="L107" s="45"/>
      <c r="M107" s="45"/>
      <c r="N107" s="46"/>
      <c r="O107" s="46"/>
      <c r="R107" s="45"/>
      <c r="T107" s="42"/>
      <c r="V107" s="45"/>
      <c r="Y107" s="164"/>
      <c r="Z107" s="316"/>
      <c r="AA107" s="45"/>
      <c r="AB107" s="45"/>
      <c r="AC107" s="46"/>
      <c r="AD107" s="46"/>
      <c r="AE107" s="45"/>
      <c r="AF107" s="45"/>
      <c r="AG107" s="333"/>
      <c r="AH107" s="334"/>
      <c r="AL107" s="45"/>
      <c r="AM107" s="335"/>
      <c r="AN107" s="335"/>
    </row>
    <row r="108" spans="1:40">
      <c r="C108" s="42"/>
      <c r="F108" s="164"/>
      <c r="H108" s="164"/>
      <c r="I108" s="164"/>
      <c r="J108" s="316"/>
      <c r="K108" s="316"/>
      <c r="L108" s="45"/>
      <c r="M108" s="45"/>
      <c r="N108" s="46"/>
      <c r="O108" s="46"/>
      <c r="R108" s="45"/>
      <c r="T108" s="42"/>
      <c r="V108" s="45"/>
      <c r="Y108" s="164"/>
      <c r="Z108" s="316"/>
      <c r="AA108" s="45"/>
      <c r="AB108" s="45"/>
      <c r="AC108" s="46"/>
      <c r="AD108" s="46"/>
      <c r="AE108" s="45"/>
      <c r="AF108" s="45"/>
      <c r="AH108" s="51"/>
      <c r="AL108" s="45"/>
      <c r="AM108" s="46"/>
      <c r="AN108" s="46"/>
    </row>
    <row r="109" spans="1:40">
      <c r="C109" s="42"/>
      <c r="F109" s="164"/>
      <c r="H109" s="164"/>
      <c r="I109" s="164"/>
      <c r="J109" s="316"/>
      <c r="K109" s="316"/>
      <c r="L109" s="45"/>
      <c r="M109" s="45"/>
      <c r="N109" s="46"/>
      <c r="O109" s="46"/>
      <c r="R109" s="45"/>
      <c r="T109" s="42"/>
      <c r="V109" s="45"/>
      <c r="Y109" s="164"/>
      <c r="Z109" s="316"/>
      <c r="AA109" s="45"/>
      <c r="AB109" s="45"/>
      <c r="AC109" s="46"/>
      <c r="AD109" s="46"/>
      <c r="AE109" s="45"/>
      <c r="AF109" s="45"/>
      <c r="AH109" s="51"/>
      <c r="AL109" s="45"/>
      <c r="AM109" s="46"/>
      <c r="AN109" s="46"/>
    </row>
    <row r="110" spans="1:40">
      <c r="F110" s="50"/>
      <c r="H110" s="45"/>
      <c r="I110" s="45"/>
      <c r="J110" s="326"/>
      <c r="K110" s="326"/>
      <c r="L110" s="50"/>
      <c r="M110" s="50"/>
      <c r="N110" s="50"/>
      <c r="O110" s="50"/>
      <c r="P110" s="50"/>
      <c r="Q110" s="50"/>
      <c r="R110" s="50"/>
      <c r="V110" s="50"/>
      <c r="Y110" s="45"/>
      <c r="Z110" s="326"/>
      <c r="AA110" s="50"/>
      <c r="AB110" s="50"/>
      <c r="AC110" s="50"/>
      <c r="AD110" s="50"/>
      <c r="AE110" s="50"/>
      <c r="AF110" s="50"/>
      <c r="AI110" s="50"/>
      <c r="AJ110" s="50"/>
      <c r="AK110" s="111"/>
      <c r="AL110" s="50"/>
      <c r="AM110" s="46"/>
      <c r="AN110" s="46"/>
    </row>
    <row r="111" spans="1:40">
      <c r="C111" s="42"/>
      <c r="F111" s="45"/>
      <c r="H111" s="45"/>
      <c r="I111" s="45"/>
      <c r="J111" s="326"/>
      <c r="K111" s="326"/>
      <c r="L111" s="45"/>
      <c r="M111" s="45"/>
      <c r="N111" s="46"/>
      <c r="O111" s="46"/>
      <c r="P111" s="45"/>
      <c r="Q111" s="45"/>
      <c r="R111" s="45"/>
      <c r="T111" s="42"/>
      <c r="V111" s="45"/>
      <c r="Y111" s="45"/>
      <c r="Z111" s="47"/>
      <c r="AA111" s="45"/>
      <c r="AB111" s="45"/>
      <c r="AC111" s="46"/>
      <c r="AD111" s="46"/>
      <c r="AE111" s="45"/>
      <c r="AF111" s="45"/>
      <c r="AH111" s="51"/>
      <c r="AI111" s="45"/>
      <c r="AJ111" s="45"/>
      <c r="AL111" s="45"/>
      <c r="AM111" s="46"/>
      <c r="AN111" s="46"/>
    </row>
    <row r="112" spans="1:40">
      <c r="F112" s="50"/>
      <c r="H112" s="45"/>
      <c r="I112" s="45"/>
      <c r="J112" s="326"/>
      <c r="K112" s="326"/>
      <c r="L112" s="50"/>
      <c r="M112" s="50"/>
      <c r="N112" s="50"/>
      <c r="O112" s="50"/>
      <c r="P112" s="50"/>
      <c r="Q112" s="50"/>
      <c r="R112" s="50"/>
      <c r="V112" s="50"/>
      <c r="Y112" s="45"/>
      <c r="Z112" s="326"/>
      <c r="AA112" s="50"/>
      <c r="AB112" s="50"/>
      <c r="AC112" s="50"/>
      <c r="AD112" s="50"/>
      <c r="AE112" s="50"/>
      <c r="AF112" s="50"/>
      <c r="AI112" s="50"/>
      <c r="AJ112" s="50"/>
      <c r="AK112" s="111"/>
      <c r="AL112" s="50"/>
      <c r="AM112" s="46"/>
      <c r="AN112" s="46"/>
    </row>
    <row r="113" spans="3:40">
      <c r="C113" s="42"/>
      <c r="F113" s="164"/>
      <c r="H113" s="164"/>
      <c r="I113" s="164"/>
      <c r="J113" s="336"/>
      <c r="K113" s="336"/>
      <c r="L113" s="45"/>
      <c r="M113" s="45"/>
      <c r="N113" s="46"/>
      <c r="O113" s="46"/>
      <c r="P113" s="45"/>
      <c r="Q113" s="45"/>
      <c r="R113" s="45"/>
      <c r="S113" s="45"/>
      <c r="T113" s="42"/>
      <c r="V113" s="164"/>
      <c r="Y113" s="164"/>
      <c r="Z113" s="336"/>
      <c r="AA113" s="45"/>
      <c r="AB113" s="45"/>
      <c r="AC113" s="46"/>
      <c r="AD113" s="46"/>
      <c r="AE113" s="45"/>
      <c r="AF113" s="45"/>
      <c r="AH113" s="46"/>
      <c r="AI113" s="45"/>
      <c r="AJ113" s="45"/>
      <c r="AL113" s="45"/>
      <c r="AM113" s="46"/>
      <c r="AN113" s="46"/>
    </row>
    <row r="114" spans="3:40">
      <c r="C114" s="42"/>
      <c r="F114" s="164"/>
      <c r="H114" s="164"/>
      <c r="I114" s="164"/>
      <c r="J114" s="316"/>
      <c r="K114" s="316"/>
      <c r="L114" s="45"/>
      <c r="M114" s="45"/>
      <c r="N114" s="46"/>
      <c r="O114" s="46"/>
      <c r="P114" s="45"/>
      <c r="Q114" s="45"/>
      <c r="R114" s="45"/>
      <c r="T114" s="42"/>
      <c r="V114" s="164"/>
      <c r="Y114" s="45"/>
      <c r="Z114" s="316"/>
      <c r="AA114" s="45"/>
      <c r="AB114" s="45"/>
      <c r="AC114" s="46"/>
      <c r="AD114" s="46"/>
      <c r="AE114" s="45"/>
      <c r="AF114" s="45"/>
      <c r="AH114" s="51"/>
      <c r="AI114" s="45"/>
      <c r="AJ114" s="45"/>
      <c r="AL114" s="45"/>
      <c r="AM114" s="46"/>
      <c r="AN114" s="46"/>
    </row>
    <row r="115" spans="3:40">
      <c r="C115" s="42"/>
      <c r="F115" s="164"/>
      <c r="H115" s="164"/>
      <c r="I115" s="164"/>
      <c r="J115" s="316"/>
      <c r="K115" s="316"/>
      <c r="L115" s="45"/>
      <c r="M115" s="45"/>
      <c r="N115" s="46"/>
      <c r="O115" s="46"/>
      <c r="P115" s="45"/>
      <c r="Q115" s="45"/>
      <c r="R115" s="45"/>
      <c r="T115" s="42"/>
      <c r="V115" s="164"/>
      <c r="Y115" s="45"/>
      <c r="Z115" s="316"/>
      <c r="AA115" s="45"/>
      <c r="AB115" s="45"/>
      <c r="AC115" s="46"/>
      <c r="AD115" s="46"/>
      <c r="AE115" s="45"/>
      <c r="AF115" s="45"/>
      <c r="AH115" s="51"/>
      <c r="AI115" s="45"/>
      <c r="AJ115" s="45"/>
      <c r="AL115" s="45"/>
      <c r="AM115" s="46"/>
      <c r="AN115" s="46"/>
    </row>
    <row r="116" spans="3:40">
      <c r="F116" s="45"/>
      <c r="H116" s="50"/>
      <c r="I116" s="50"/>
      <c r="J116" s="326"/>
      <c r="K116" s="326"/>
      <c r="L116" s="50"/>
      <c r="M116" s="50"/>
      <c r="N116" s="50"/>
      <c r="O116" s="50"/>
      <c r="P116" s="50"/>
      <c r="Q116" s="50"/>
      <c r="R116" s="50"/>
      <c r="V116" s="45"/>
      <c r="Y116" s="50"/>
      <c r="Z116" s="326"/>
      <c r="AA116" s="50"/>
      <c r="AB116" s="50"/>
      <c r="AC116" s="50"/>
      <c r="AD116" s="50"/>
      <c r="AE116" s="50"/>
      <c r="AF116" s="50"/>
      <c r="AI116" s="50"/>
      <c r="AJ116" s="50"/>
      <c r="AK116" s="111"/>
      <c r="AL116" s="50"/>
      <c r="AM116" s="46"/>
      <c r="AN116" s="46"/>
    </row>
    <row r="117" spans="3:40">
      <c r="C117" s="42"/>
      <c r="F117" s="45"/>
      <c r="H117" s="45"/>
      <c r="I117" s="45"/>
      <c r="J117" s="326"/>
      <c r="K117" s="326"/>
      <c r="L117" s="45"/>
      <c r="M117" s="45"/>
      <c r="N117" s="46"/>
      <c r="O117" s="46"/>
      <c r="P117" s="45"/>
      <c r="Q117" s="45"/>
      <c r="R117" s="45"/>
      <c r="T117" s="42"/>
      <c r="V117" s="45"/>
      <c r="Y117" s="45"/>
      <c r="Z117" s="326"/>
      <c r="AA117" s="45"/>
      <c r="AB117" s="45"/>
      <c r="AC117" s="46"/>
      <c r="AD117" s="46"/>
      <c r="AE117" s="45"/>
      <c r="AF117" s="45"/>
      <c r="AH117" s="51"/>
      <c r="AI117" s="45"/>
      <c r="AJ117" s="45"/>
      <c r="AL117" s="45"/>
      <c r="AM117" s="46"/>
      <c r="AN117" s="46"/>
    </row>
    <row r="118" spans="3:40">
      <c r="F118" s="45"/>
      <c r="H118" s="50"/>
      <c r="I118" s="50"/>
      <c r="J118" s="326"/>
      <c r="K118" s="326"/>
      <c r="L118" s="50"/>
      <c r="M118" s="50"/>
      <c r="N118" s="50"/>
      <c r="O118" s="50"/>
      <c r="P118" s="50"/>
      <c r="Q118" s="50"/>
      <c r="R118" s="50"/>
      <c r="V118" s="45"/>
      <c r="Y118" s="50"/>
      <c r="Z118" s="326"/>
      <c r="AA118" s="50"/>
      <c r="AB118" s="50"/>
      <c r="AC118" s="50"/>
      <c r="AD118" s="50"/>
      <c r="AE118" s="50"/>
      <c r="AF118" s="50"/>
      <c r="AI118" s="50"/>
      <c r="AJ118" s="50"/>
      <c r="AK118" s="111"/>
      <c r="AL118" s="50"/>
      <c r="AM118" s="46"/>
      <c r="AN118" s="46"/>
    </row>
    <row r="119" spans="3:40">
      <c r="C119" s="42"/>
      <c r="F119" s="45"/>
      <c r="H119" s="45"/>
      <c r="I119" s="45"/>
      <c r="J119" s="326"/>
      <c r="K119" s="326"/>
      <c r="L119" s="45"/>
      <c r="M119" s="45"/>
      <c r="N119" s="45"/>
      <c r="O119" s="45"/>
      <c r="P119" s="45"/>
      <c r="Q119" s="45"/>
      <c r="R119" s="45"/>
      <c r="T119" s="42"/>
      <c r="V119" s="45"/>
      <c r="Y119" s="45"/>
      <c r="Z119" s="326"/>
      <c r="AA119" s="45"/>
      <c r="AB119" s="45"/>
      <c r="AC119" s="45"/>
      <c r="AD119" s="45"/>
      <c r="AE119" s="45"/>
      <c r="AF119" s="45"/>
      <c r="AH119" s="51"/>
      <c r="AI119" s="45"/>
      <c r="AJ119" s="45"/>
      <c r="AL119" s="45"/>
      <c r="AM119" s="46"/>
      <c r="AN119" s="46"/>
    </row>
    <row r="120" spans="3:40">
      <c r="C120" s="42"/>
      <c r="F120" s="45"/>
      <c r="H120" s="164"/>
      <c r="I120" s="164"/>
      <c r="J120" s="132"/>
      <c r="K120" s="132"/>
      <c r="L120" s="45"/>
      <c r="M120" s="45"/>
      <c r="N120" s="46"/>
      <c r="O120" s="46"/>
      <c r="P120" s="45"/>
      <c r="Q120" s="45"/>
      <c r="R120" s="45"/>
      <c r="T120" s="42"/>
      <c r="V120" s="45"/>
      <c r="Y120" s="45"/>
      <c r="Z120" s="132"/>
      <c r="AA120" s="45"/>
      <c r="AB120" s="45"/>
      <c r="AC120" s="46"/>
      <c r="AD120" s="46"/>
      <c r="AE120" s="45"/>
      <c r="AF120" s="45"/>
      <c r="AH120" s="51"/>
      <c r="AI120" s="45"/>
      <c r="AJ120" s="45"/>
      <c r="AL120" s="45"/>
      <c r="AM120" s="46"/>
      <c r="AN120" s="46"/>
    </row>
    <row r="121" spans="3:40">
      <c r="C121" s="42"/>
      <c r="H121" s="164"/>
      <c r="I121" s="164"/>
      <c r="J121" s="132"/>
      <c r="K121" s="132"/>
      <c r="L121" s="45"/>
      <c r="M121" s="45"/>
      <c r="N121" s="46"/>
      <c r="O121" s="46"/>
      <c r="P121" s="45"/>
      <c r="Q121" s="45"/>
      <c r="R121" s="45"/>
      <c r="T121" s="42"/>
      <c r="Y121" s="45"/>
      <c r="Z121" s="132"/>
      <c r="AA121" s="45"/>
      <c r="AB121" s="45"/>
      <c r="AC121" s="46"/>
      <c r="AD121" s="46"/>
      <c r="AE121" s="45"/>
      <c r="AF121" s="45"/>
      <c r="AH121" s="51"/>
      <c r="AI121" s="45"/>
      <c r="AJ121" s="45"/>
      <c r="AL121" s="45"/>
      <c r="AM121" s="46"/>
      <c r="AN121" s="46"/>
    </row>
    <row r="122" spans="3:40">
      <c r="F122" s="45"/>
      <c r="H122" s="45"/>
      <c r="I122" s="45"/>
      <c r="J122" s="326"/>
      <c r="K122" s="326"/>
      <c r="L122" s="50"/>
      <c r="M122" s="50"/>
      <c r="N122" s="50"/>
      <c r="O122" s="50"/>
      <c r="P122" s="50"/>
      <c r="Q122" s="50"/>
      <c r="R122" s="50"/>
      <c r="V122" s="45"/>
      <c r="Y122" s="45"/>
      <c r="Z122" s="326"/>
      <c r="AA122" s="50"/>
      <c r="AB122" s="50"/>
      <c r="AC122" s="50"/>
      <c r="AD122" s="50"/>
      <c r="AE122" s="50"/>
      <c r="AF122" s="50"/>
      <c r="AI122" s="50"/>
      <c r="AJ122" s="50"/>
      <c r="AK122" s="111"/>
      <c r="AL122" s="50"/>
      <c r="AM122" s="46"/>
      <c r="AN122" s="46"/>
    </row>
    <row r="123" spans="3:40">
      <c r="C123" s="42"/>
      <c r="F123" s="45"/>
      <c r="H123" s="45"/>
      <c r="I123" s="45"/>
      <c r="J123" s="47"/>
      <c r="K123" s="47"/>
      <c r="L123" s="45"/>
      <c r="M123" s="45"/>
      <c r="N123" s="46"/>
      <c r="O123" s="46"/>
      <c r="P123" s="45"/>
      <c r="Q123" s="45"/>
      <c r="R123" s="45"/>
      <c r="T123" s="42"/>
      <c r="V123" s="45"/>
      <c r="Y123" s="45"/>
      <c r="Z123" s="47"/>
      <c r="AA123" s="45"/>
      <c r="AB123" s="45"/>
      <c r="AC123" s="46"/>
      <c r="AD123" s="46"/>
      <c r="AE123" s="45"/>
      <c r="AF123" s="45"/>
      <c r="AH123" s="51"/>
      <c r="AI123" s="45"/>
      <c r="AJ123" s="45"/>
      <c r="AL123" s="45"/>
      <c r="AM123" s="46"/>
      <c r="AN123" s="46"/>
    </row>
    <row r="124" spans="3:40">
      <c r="F124" s="45"/>
      <c r="H124" s="45"/>
      <c r="I124" s="45"/>
      <c r="J124" s="326"/>
      <c r="K124" s="326"/>
      <c r="L124" s="50"/>
      <c r="M124" s="50"/>
      <c r="N124" s="50"/>
      <c r="O124" s="50"/>
      <c r="P124" s="50"/>
      <c r="Q124" s="50"/>
      <c r="R124" s="50"/>
      <c r="V124" s="45"/>
      <c r="Y124" s="45"/>
      <c r="Z124" s="326"/>
      <c r="AA124" s="50"/>
      <c r="AB124" s="50"/>
      <c r="AC124" s="50"/>
      <c r="AD124" s="50"/>
      <c r="AE124" s="50"/>
      <c r="AF124" s="50"/>
      <c r="AI124" s="50"/>
      <c r="AJ124" s="50"/>
      <c r="AK124" s="111"/>
      <c r="AL124" s="50"/>
      <c r="AM124" s="46"/>
      <c r="AN124" s="46"/>
    </row>
    <row r="125" spans="3:40">
      <c r="C125" s="42"/>
      <c r="F125" s="45"/>
      <c r="H125" s="45"/>
      <c r="I125" s="45"/>
      <c r="J125" s="47"/>
      <c r="K125" s="47"/>
      <c r="L125" s="45"/>
      <c r="M125" s="45"/>
      <c r="N125" s="46"/>
      <c r="O125" s="46"/>
      <c r="P125" s="45"/>
      <c r="Q125" s="45"/>
      <c r="R125" s="45"/>
      <c r="T125" s="42"/>
      <c r="V125" s="45"/>
      <c r="Y125" s="45"/>
      <c r="Z125" s="47"/>
      <c r="AA125" s="45"/>
      <c r="AB125" s="45"/>
      <c r="AC125" s="46"/>
      <c r="AD125" s="46"/>
      <c r="AE125" s="45"/>
      <c r="AF125" s="45"/>
      <c r="AH125" s="51"/>
      <c r="AI125" s="45"/>
      <c r="AJ125" s="45"/>
      <c r="AL125" s="45"/>
      <c r="AM125" s="46"/>
      <c r="AN125" s="46"/>
    </row>
    <row r="126" spans="3:40">
      <c r="C126" s="42"/>
      <c r="F126" s="45"/>
      <c r="H126" s="164"/>
      <c r="I126" s="164"/>
      <c r="J126" s="331"/>
      <c r="K126" s="331"/>
      <c r="L126" s="45"/>
      <c r="M126" s="45"/>
      <c r="N126" s="46"/>
      <c r="O126" s="46"/>
      <c r="P126" s="45"/>
      <c r="Q126" s="45"/>
      <c r="R126" s="45"/>
      <c r="T126" s="42"/>
      <c r="V126" s="164"/>
      <c r="Y126" s="45"/>
      <c r="Z126" s="331"/>
      <c r="AA126" s="45"/>
      <c r="AB126" s="45"/>
      <c r="AC126" s="46"/>
      <c r="AD126" s="46"/>
      <c r="AE126" s="45"/>
      <c r="AF126" s="45"/>
      <c r="AH126" s="51"/>
      <c r="AI126" s="45"/>
      <c r="AJ126" s="45"/>
      <c r="AL126" s="45"/>
      <c r="AM126" s="46"/>
      <c r="AN126" s="46"/>
    </row>
    <row r="127" spans="3:40">
      <c r="F127" s="50"/>
      <c r="H127" s="50"/>
      <c r="I127" s="50"/>
      <c r="J127" s="326"/>
      <c r="K127" s="326"/>
      <c r="L127" s="50"/>
      <c r="M127" s="50"/>
      <c r="N127" s="50"/>
      <c r="O127" s="50"/>
      <c r="P127" s="50"/>
      <c r="Q127" s="50"/>
      <c r="R127" s="50"/>
      <c r="V127" s="50"/>
      <c r="Y127" s="50"/>
      <c r="Z127" s="326"/>
      <c r="AA127" s="50"/>
      <c r="AB127" s="50"/>
      <c r="AC127" s="50"/>
      <c r="AD127" s="50"/>
      <c r="AE127" s="50"/>
      <c r="AF127" s="50"/>
      <c r="AI127" s="50"/>
      <c r="AJ127" s="50"/>
      <c r="AK127" s="111"/>
      <c r="AL127" s="50"/>
      <c r="AM127" s="46"/>
      <c r="AN127" s="46"/>
    </row>
    <row r="128" spans="3:40">
      <c r="C128" s="42"/>
      <c r="F128" s="45"/>
      <c r="H128" s="45"/>
      <c r="I128" s="45"/>
      <c r="J128" s="326"/>
      <c r="K128" s="326"/>
      <c r="L128" s="45"/>
      <c r="M128" s="45"/>
      <c r="N128" s="46"/>
      <c r="O128" s="46"/>
      <c r="P128" s="45"/>
      <c r="Q128" s="45"/>
      <c r="R128" s="45"/>
      <c r="S128" s="45"/>
      <c r="T128" s="42"/>
      <c r="V128" s="45"/>
      <c r="Y128" s="45"/>
      <c r="Z128" s="326"/>
      <c r="AA128" s="45"/>
      <c r="AB128" s="45"/>
      <c r="AC128" s="46"/>
      <c r="AD128" s="46"/>
      <c r="AE128" s="45"/>
      <c r="AF128" s="45"/>
      <c r="AH128" s="46"/>
      <c r="AI128" s="45"/>
      <c r="AJ128" s="45"/>
      <c r="AL128" s="45"/>
      <c r="AM128" s="46"/>
      <c r="AN128" s="46"/>
    </row>
    <row r="129" spans="3:40">
      <c r="F129" s="50"/>
      <c r="H129" s="50"/>
      <c r="I129" s="50"/>
      <c r="J129" s="326"/>
      <c r="K129" s="326"/>
      <c r="L129" s="50"/>
      <c r="M129" s="50"/>
      <c r="N129" s="50"/>
      <c r="O129" s="50"/>
      <c r="P129" s="50"/>
      <c r="Q129" s="50"/>
      <c r="R129" s="50"/>
      <c r="S129" s="45"/>
      <c r="V129" s="50"/>
      <c r="Y129" s="50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>
      <c r="C130" s="42"/>
      <c r="F130" s="164"/>
      <c r="H130" s="337"/>
      <c r="I130" s="337"/>
      <c r="J130" s="326"/>
      <c r="K130" s="326"/>
      <c r="L130" s="45"/>
      <c r="M130" s="45"/>
      <c r="N130" s="46"/>
      <c r="O130" s="46"/>
      <c r="P130" s="45"/>
      <c r="Q130" s="45"/>
      <c r="R130" s="45"/>
      <c r="S130" s="45"/>
      <c r="T130" s="42"/>
      <c r="V130" s="164"/>
      <c r="Y130" s="164"/>
      <c r="Z130" s="326"/>
      <c r="AA130" s="45"/>
      <c r="AB130" s="45"/>
      <c r="AC130" s="46"/>
      <c r="AD130" s="46"/>
      <c r="AE130" s="45"/>
      <c r="AF130" s="45"/>
      <c r="AI130" s="45"/>
      <c r="AJ130" s="45"/>
      <c r="AL130" s="45"/>
      <c r="AM130" s="46"/>
      <c r="AN130" s="46"/>
    </row>
    <row r="132" spans="3:40">
      <c r="C132" s="42"/>
      <c r="T132" s="42"/>
    </row>
    <row r="133" spans="3:40">
      <c r="C133" s="42"/>
      <c r="F133" s="164"/>
      <c r="H133" s="164"/>
      <c r="I133" s="164"/>
      <c r="J133" s="316"/>
      <c r="K133" s="316"/>
      <c r="L133" s="45"/>
      <c r="M133" s="45"/>
      <c r="N133" s="46"/>
      <c r="O133" s="46"/>
      <c r="R133" s="45"/>
      <c r="T133" s="42"/>
      <c r="V133" s="45"/>
      <c r="Y133" s="164"/>
      <c r="Z133" s="316"/>
      <c r="AA133" s="45"/>
      <c r="AB133" s="45"/>
      <c r="AC133" s="46"/>
      <c r="AD133" s="46"/>
      <c r="AE133" s="45"/>
      <c r="AF133" s="45"/>
      <c r="AG133" s="333"/>
      <c r="AH133" s="334"/>
      <c r="AL133" s="45"/>
      <c r="AM133" s="335"/>
      <c r="AN133" s="335"/>
    </row>
    <row r="134" spans="3:40">
      <c r="C134" s="42"/>
      <c r="F134" s="164"/>
      <c r="H134" s="164"/>
      <c r="I134" s="164"/>
      <c r="J134" s="316"/>
      <c r="K134" s="316"/>
      <c r="L134" s="45"/>
      <c r="M134" s="45"/>
      <c r="N134" s="46"/>
      <c r="O134" s="46"/>
      <c r="R134" s="45"/>
      <c r="T134" s="42"/>
      <c r="V134" s="45"/>
      <c r="Y134" s="164"/>
      <c r="Z134" s="316"/>
      <c r="AA134" s="45"/>
      <c r="AB134" s="45"/>
      <c r="AC134" s="46"/>
      <c r="AD134" s="46"/>
      <c r="AE134" s="45"/>
      <c r="AF134" s="45"/>
      <c r="AH134" s="51"/>
      <c r="AL134" s="45"/>
      <c r="AM134" s="46"/>
      <c r="AN134" s="46"/>
    </row>
    <row r="135" spans="3:40">
      <c r="C135" s="42"/>
      <c r="F135" s="164"/>
      <c r="H135" s="164"/>
      <c r="I135" s="164"/>
      <c r="J135" s="316"/>
      <c r="K135" s="316"/>
      <c r="L135" s="45"/>
      <c r="M135" s="45"/>
      <c r="N135" s="46"/>
      <c r="O135" s="46"/>
      <c r="R135" s="45"/>
      <c r="T135" s="42"/>
      <c r="V135" s="45"/>
      <c r="Y135" s="164"/>
      <c r="Z135" s="316"/>
      <c r="AA135" s="45"/>
      <c r="AB135" s="45"/>
      <c r="AC135" s="46"/>
      <c r="AD135" s="46"/>
      <c r="AE135" s="45"/>
      <c r="AF135" s="45"/>
      <c r="AH135" s="51"/>
      <c r="AL135" s="45"/>
      <c r="AM135" s="46"/>
      <c r="AN135" s="46"/>
    </row>
    <row r="136" spans="3:40">
      <c r="F136" s="50"/>
      <c r="H136" s="45"/>
      <c r="I136" s="45"/>
      <c r="J136" s="326"/>
      <c r="K136" s="326"/>
      <c r="L136" s="50"/>
      <c r="M136" s="50"/>
      <c r="N136" s="50"/>
      <c r="O136" s="50"/>
      <c r="P136" s="50"/>
      <c r="Q136" s="50"/>
      <c r="R136" s="50"/>
      <c r="V136" s="50"/>
      <c r="Y136" s="45"/>
      <c r="Z136" s="326"/>
      <c r="AA136" s="50"/>
      <c r="AB136" s="50"/>
      <c r="AC136" s="50"/>
      <c r="AD136" s="50"/>
      <c r="AE136" s="50"/>
      <c r="AF136" s="50"/>
      <c r="AI136" s="50"/>
      <c r="AJ136" s="50"/>
      <c r="AK136" s="111"/>
      <c r="AL136" s="50"/>
      <c r="AM136" s="46"/>
      <c r="AN136" s="46"/>
    </row>
    <row r="137" spans="3:40">
      <c r="C137" s="42"/>
      <c r="F137" s="45"/>
      <c r="H137" s="45"/>
      <c r="I137" s="45"/>
      <c r="J137" s="326"/>
      <c r="K137" s="326"/>
      <c r="L137" s="45"/>
      <c r="M137" s="45"/>
      <c r="N137" s="46"/>
      <c r="O137" s="46"/>
      <c r="P137" s="45"/>
      <c r="Q137" s="45"/>
      <c r="R137" s="45"/>
      <c r="T137" s="42"/>
      <c r="V137" s="45"/>
      <c r="Y137" s="45"/>
      <c r="Z137" s="326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3:40">
      <c r="F138" s="50"/>
      <c r="H138" s="45"/>
      <c r="I138" s="45"/>
      <c r="J138" s="326"/>
      <c r="K138" s="326"/>
      <c r="L138" s="50"/>
      <c r="M138" s="50"/>
      <c r="N138" s="50"/>
      <c r="O138" s="50"/>
      <c r="P138" s="50"/>
      <c r="Q138" s="50"/>
      <c r="R138" s="50"/>
      <c r="V138" s="50"/>
      <c r="Y138" s="45"/>
      <c r="Z138" s="326"/>
      <c r="AA138" s="50"/>
      <c r="AB138" s="50"/>
      <c r="AC138" s="50"/>
      <c r="AD138" s="50"/>
      <c r="AE138" s="50"/>
      <c r="AF138" s="50"/>
      <c r="AI138" s="50"/>
      <c r="AJ138" s="50"/>
      <c r="AK138" s="111"/>
      <c r="AL138" s="50"/>
      <c r="AM138" s="46"/>
      <c r="AN138" s="46"/>
    </row>
    <row r="139" spans="3:40">
      <c r="C139" s="42"/>
      <c r="F139" s="164"/>
      <c r="H139" s="164"/>
      <c r="I139" s="164"/>
      <c r="J139" s="336"/>
      <c r="K139" s="336"/>
      <c r="L139" s="45"/>
      <c r="M139" s="45"/>
      <c r="N139" s="46"/>
      <c r="O139" s="46"/>
      <c r="P139" s="45"/>
      <c r="Q139" s="45"/>
      <c r="R139" s="45"/>
      <c r="S139" s="45"/>
      <c r="T139" s="42"/>
      <c r="V139" s="164"/>
      <c r="Y139" s="164"/>
      <c r="Z139" s="336"/>
      <c r="AA139" s="45"/>
      <c r="AB139" s="45"/>
      <c r="AC139" s="46"/>
      <c r="AD139" s="46"/>
      <c r="AE139" s="45"/>
      <c r="AF139" s="45"/>
      <c r="AH139" s="46"/>
      <c r="AI139" s="45"/>
      <c r="AJ139" s="45"/>
      <c r="AL139" s="45"/>
      <c r="AM139" s="46"/>
      <c r="AN139" s="46"/>
    </row>
    <row r="140" spans="3:40">
      <c r="C140" s="42"/>
      <c r="F140" s="164"/>
      <c r="H140" s="164"/>
      <c r="I140" s="164"/>
      <c r="J140" s="316"/>
      <c r="K140" s="316"/>
      <c r="L140" s="45"/>
      <c r="M140" s="45"/>
      <c r="N140" s="46"/>
      <c r="O140" s="46"/>
      <c r="P140" s="45"/>
      <c r="Q140" s="45"/>
      <c r="R140" s="45"/>
      <c r="T140" s="42"/>
      <c r="V140" s="164"/>
      <c r="Y140" s="45"/>
      <c r="Z140" s="316"/>
      <c r="AA140" s="45"/>
      <c r="AB140" s="45"/>
      <c r="AC140" s="46"/>
      <c r="AD140" s="46"/>
      <c r="AE140" s="45"/>
      <c r="AF140" s="45"/>
      <c r="AH140" s="51"/>
      <c r="AI140" s="45"/>
      <c r="AJ140" s="45"/>
      <c r="AL140" s="45"/>
      <c r="AM140" s="46"/>
      <c r="AN140" s="46"/>
    </row>
    <row r="141" spans="3:40">
      <c r="C141" s="42"/>
      <c r="F141" s="164"/>
      <c r="H141" s="164"/>
      <c r="I141" s="164"/>
      <c r="J141" s="316"/>
      <c r="K141" s="316"/>
      <c r="L141" s="45"/>
      <c r="M141" s="45"/>
      <c r="N141" s="46"/>
      <c r="O141" s="46"/>
      <c r="P141" s="45"/>
      <c r="Q141" s="45"/>
      <c r="R141" s="45"/>
      <c r="T141" s="42"/>
      <c r="V141" s="164"/>
      <c r="Y141" s="45"/>
      <c r="Z141" s="316"/>
      <c r="AA141" s="45"/>
      <c r="AB141" s="45"/>
      <c r="AC141" s="46"/>
      <c r="AD141" s="46"/>
      <c r="AE141" s="45"/>
      <c r="AF141" s="45"/>
      <c r="AH141" s="51"/>
      <c r="AI141" s="45"/>
      <c r="AJ141" s="45"/>
      <c r="AL141" s="45"/>
      <c r="AM141" s="46"/>
      <c r="AN141" s="46"/>
    </row>
    <row r="142" spans="3:40">
      <c r="F142" s="45"/>
      <c r="H142" s="50"/>
      <c r="I142" s="50"/>
      <c r="J142" s="326"/>
      <c r="K142" s="326"/>
      <c r="L142" s="50"/>
      <c r="M142" s="50"/>
      <c r="N142" s="50"/>
      <c r="O142" s="50"/>
      <c r="P142" s="50"/>
      <c r="Q142" s="50"/>
      <c r="R142" s="50"/>
      <c r="V142" s="45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>
      <c r="C143" s="42"/>
      <c r="F143" s="45"/>
      <c r="H143" s="45"/>
      <c r="I143" s="45"/>
      <c r="J143" s="326"/>
      <c r="K143" s="326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326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>
      <c r="F144" s="45"/>
      <c r="H144" s="50"/>
      <c r="I144" s="50"/>
      <c r="J144" s="326"/>
      <c r="K144" s="326"/>
      <c r="L144" s="50"/>
      <c r="M144" s="50"/>
      <c r="N144" s="50"/>
      <c r="O144" s="50"/>
      <c r="P144" s="50"/>
      <c r="Q144" s="50"/>
      <c r="R144" s="50"/>
      <c r="V144" s="45"/>
      <c r="Y144" s="50"/>
      <c r="Z144" s="326"/>
      <c r="AA144" s="50"/>
      <c r="AB144" s="50"/>
      <c r="AC144" s="50"/>
      <c r="AD144" s="50"/>
      <c r="AE144" s="50"/>
      <c r="AF144" s="50"/>
      <c r="AI144" s="50"/>
      <c r="AJ144" s="50"/>
      <c r="AK144" s="111"/>
      <c r="AL144" s="50"/>
      <c r="AM144" s="46"/>
      <c r="AN144" s="46"/>
    </row>
    <row r="145" spans="3:40">
      <c r="C145" s="42"/>
      <c r="F145" s="45"/>
      <c r="H145" s="45"/>
      <c r="I145" s="45"/>
      <c r="J145" s="326"/>
      <c r="K145" s="326"/>
      <c r="L145" s="45"/>
      <c r="M145" s="45"/>
      <c r="N145" s="45"/>
      <c r="O145" s="45"/>
      <c r="P145" s="45"/>
      <c r="Q145" s="45"/>
      <c r="R145" s="45"/>
      <c r="T145" s="42"/>
      <c r="V145" s="45"/>
      <c r="Y145" s="45"/>
      <c r="Z145" s="326"/>
      <c r="AA145" s="45"/>
      <c r="AB145" s="45"/>
      <c r="AC145" s="45"/>
      <c r="AD145" s="45"/>
      <c r="AE145" s="45"/>
      <c r="AF145" s="45"/>
      <c r="AH145" s="51"/>
      <c r="AI145" s="45"/>
      <c r="AJ145" s="45"/>
      <c r="AL145" s="45"/>
      <c r="AM145" s="46"/>
      <c r="AN145" s="46"/>
    </row>
    <row r="146" spans="3:40">
      <c r="C146" s="42"/>
      <c r="F146" s="45"/>
      <c r="H146" s="164"/>
      <c r="I146" s="164"/>
      <c r="J146" s="132"/>
      <c r="K146" s="132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132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3:40">
      <c r="C147" s="42"/>
      <c r="H147" s="164"/>
      <c r="I147" s="164"/>
      <c r="J147" s="132"/>
      <c r="K147" s="132"/>
      <c r="L147" s="45"/>
      <c r="M147" s="45"/>
      <c r="N147" s="46"/>
      <c r="O147" s="46"/>
      <c r="P147" s="45"/>
      <c r="Q147" s="45"/>
      <c r="R147" s="45"/>
      <c r="T147" s="42"/>
      <c r="Y147" s="45"/>
      <c r="Z147" s="132"/>
      <c r="AA147" s="45"/>
      <c r="AB147" s="45"/>
      <c r="AC147" s="46"/>
      <c r="AD147" s="46"/>
      <c r="AE147" s="45"/>
      <c r="AF147" s="45"/>
      <c r="AH147" s="51"/>
      <c r="AI147" s="45"/>
      <c r="AJ147" s="45"/>
      <c r="AL147" s="45"/>
      <c r="AM147" s="46"/>
      <c r="AN147" s="46"/>
    </row>
    <row r="148" spans="3:40">
      <c r="F148" s="45"/>
      <c r="H148" s="45"/>
      <c r="I148" s="45"/>
      <c r="J148" s="326"/>
      <c r="K148" s="326"/>
      <c r="L148" s="50"/>
      <c r="M148" s="50"/>
      <c r="N148" s="50"/>
      <c r="O148" s="50"/>
      <c r="P148" s="50"/>
      <c r="Q148" s="50"/>
      <c r="R148" s="50"/>
      <c r="V148" s="45"/>
      <c r="Y148" s="45"/>
      <c r="Z148" s="326"/>
      <c r="AA148" s="50"/>
      <c r="AB148" s="50"/>
      <c r="AC148" s="50"/>
      <c r="AD148" s="50"/>
      <c r="AE148" s="50"/>
      <c r="AF148" s="50"/>
      <c r="AI148" s="50"/>
      <c r="AJ148" s="50"/>
      <c r="AK148" s="111"/>
      <c r="AL148" s="50"/>
      <c r="AM148" s="46"/>
      <c r="AN148" s="46"/>
    </row>
    <row r="149" spans="3:40">
      <c r="C149" s="42"/>
      <c r="F149" s="45"/>
      <c r="H149" s="45"/>
      <c r="I149" s="45"/>
      <c r="J149" s="47"/>
      <c r="K149" s="47"/>
      <c r="L149" s="45"/>
      <c r="M149" s="45"/>
      <c r="N149" s="46"/>
      <c r="O149" s="46"/>
      <c r="P149" s="45"/>
      <c r="Q149" s="45"/>
      <c r="R149" s="45"/>
      <c r="T149" s="42"/>
      <c r="V149" s="45"/>
      <c r="Y149" s="45"/>
      <c r="Z149" s="47"/>
      <c r="AA149" s="45"/>
      <c r="AB149" s="45"/>
      <c r="AC149" s="46"/>
      <c r="AD149" s="46"/>
      <c r="AE149" s="45"/>
      <c r="AF149" s="45"/>
      <c r="AH149" s="51"/>
      <c r="AI149" s="45"/>
      <c r="AJ149" s="45"/>
      <c r="AL149" s="45"/>
      <c r="AM149" s="46"/>
      <c r="AN149" s="46"/>
    </row>
    <row r="150" spans="3:40">
      <c r="F150" s="45"/>
      <c r="H150" s="45"/>
      <c r="I150" s="45"/>
      <c r="J150" s="326"/>
      <c r="K150" s="326"/>
      <c r="L150" s="50"/>
      <c r="M150" s="50"/>
      <c r="N150" s="50"/>
      <c r="O150" s="50"/>
      <c r="P150" s="50"/>
      <c r="Q150" s="50"/>
      <c r="R150" s="50"/>
      <c r="V150" s="45"/>
      <c r="Y150" s="45"/>
      <c r="Z150" s="326"/>
      <c r="AA150" s="50"/>
      <c r="AB150" s="50"/>
      <c r="AC150" s="50"/>
      <c r="AD150" s="50"/>
      <c r="AE150" s="50"/>
      <c r="AF150" s="50"/>
      <c r="AI150" s="50"/>
      <c r="AJ150" s="50"/>
      <c r="AK150" s="111"/>
      <c r="AL150" s="50"/>
      <c r="AM150" s="46"/>
      <c r="AN150" s="46"/>
    </row>
    <row r="151" spans="3:40">
      <c r="C151" s="42"/>
      <c r="F151" s="45"/>
      <c r="H151" s="45"/>
      <c r="I151" s="45"/>
      <c r="J151" s="47"/>
      <c r="K151" s="47"/>
      <c r="L151" s="45"/>
      <c r="M151" s="45"/>
      <c r="N151" s="46"/>
      <c r="O151" s="46"/>
      <c r="P151" s="45"/>
      <c r="Q151" s="45"/>
      <c r="R151" s="45"/>
      <c r="T151" s="42"/>
      <c r="V151" s="45"/>
      <c r="Y151" s="45"/>
      <c r="Z151" s="47"/>
      <c r="AA151" s="45"/>
      <c r="AB151" s="45"/>
      <c r="AC151" s="46"/>
      <c r="AD151" s="46"/>
      <c r="AE151" s="45"/>
      <c r="AF151" s="45"/>
      <c r="AH151" s="51"/>
      <c r="AI151" s="45"/>
      <c r="AJ151" s="45"/>
      <c r="AL151" s="45"/>
      <c r="AM151" s="46"/>
      <c r="AN151" s="46"/>
    </row>
    <row r="152" spans="3:40">
      <c r="C152" s="42"/>
      <c r="F152" s="164"/>
      <c r="H152" s="164"/>
      <c r="I152" s="164"/>
      <c r="J152" s="331"/>
      <c r="K152" s="331"/>
      <c r="L152" s="45"/>
      <c r="M152" s="45"/>
      <c r="N152" s="46"/>
      <c r="O152" s="46"/>
      <c r="P152" s="45"/>
      <c r="Q152" s="45"/>
      <c r="R152" s="45"/>
      <c r="T152" s="42"/>
      <c r="V152" s="164"/>
      <c r="Y152" s="45"/>
      <c r="Z152" s="331"/>
      <c r="AA152" s="45"/>
      <c r="AB152" s="45"/>
      <c r="AC152" s="46"/>
      <c r="AD152" s="46"/>
      <c r="AE152" s="45"/>
      <c r="AF152" s="45"/>
      <c r="AH152" s="51"/>
      <c r="AI152" s="45"/>
      <c r="AJ152" s="45"/>
      <c r="AL152" s="45"/>
      <c r="AM152" s="46"/>
      <c r="AN152" s="46"/>
    </row>
    <row r="153" spans="3:40">
      <c r="F153" s="50"/>
      <c r="H153" s="50"/>
      <c r="I153" s="50"/>
      <c r="J153" s="326"/>
      <c r="K153" s="326"/>
      <c r="L153" s="50"/>
      <c r="M153" s="50"/>
      <c r="N153" s="50"/>
      <c r="O153" s="50"/>
      <c r="P153" s="50"/>
      <c r="Q153" s="50"/>
      <c r="R153" s="50"/>
      <c r="V153" s="50"/>
      <c r="Y153" s="50"/>
      <c r="Z153" s="326"/>
      <c r="AA153" s="50"/>
      <c r="AB153" s="50"/>
      <c r="AC153" s="50"/>
      <c r="AD153" s="50"/>
      <c r="AE153" s="50"/>
      <c r="AF153" s="50"/>
      <c r="AI153" s="50"/>
      <c r="AJ153" s="50"/>
      <c r="AK153" s="111"/>
      <c r="AL153" s="50"/>
      <c r="AM153" s="46"/>
      <c r="AN153" s="46"/>
    </row>
    <row r="154" spans="3:40">
      <c r="C154" s="42"/>
      <c r="F154" s="45"/>
      <c r="H154" s="45"/>
      <c r="I154" s="45"/>
      <c r="J154" s="326"/>
      <c r="K154" s="326"/>
      <c r="L154" s="45"/>
      <c r="M154" s="45"/>
      <c r="N154" s="46"/>
      <c r="O154" s="46"/>
      <c r="P154" s="45"/>
      <c r="Q154" s="45"/>
      <c r="R154" s="45"/>
      <c r="S154" s="45"/>
      <c r="T154" s="42"/>
      <c r="V154" s="45"/>
      <c r="Y154" s="45"/>
      <c r="Z154" s="326"/>
      <c r="AA154" s="45"/>
      <c r="AB154" s="45"/>
      <c r="AC154" s="46"/>
      <c r="AD154" s="46"/>
      <c r="AE154" s="45"/>
      <c r="AF154" s="45"/>
      <c r="AH154" s="46"/>
      <c r="AI154" s="45"/>
      <c r="AJ154" s="45"/>
      <c r="AL154" s="45"/>
      <c r="AM154" s="46"/>
      <c r="AN154" s="46"/>
    </row>
    <row r="155" spans="3:40">
      <c r="F155" s="50"/>
      <c r="H155" s="50"/>
      <c r="I155" s="50"/>
      <c r="J155" s="326"/>
      <c r="K155" s="326"/>
      <c r="L155" s="50"/>
      <c r="M155" s="50"/>
      <c r="N155" s="50"/>
      <c r="O155" s="50"/>
      <c r="P155" s="50"/>
      <c r="Q155" s="50"/>
      <c r="R155" s="50"/>
      <c r="S155" s="45"/>
      <c r="V155" s="50"/>
      <c r="Y155" s="50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  <c r="AM155" s="46"/>
      <c r="AN155" s="46"/>
    </row>
    <row r="156" spans="3:40">
      <c r="C156" s="42"/>
      <c r="T156" s="42"/>
    </row>
    <row r="157" spans="3:40">
      <c r="C157" s="42"/>
      <c r="F157" s="45"/>
      <c r="H157" s="45"/>
      <c r="I157" s="45"/>
      <c r="L157" s="45"/>
      <c r="M157" s="45"/>
      <c r="N157" s="46"/>
      <c r="O157" s="46"/>
      <c r="P157" s="164"/>
      <c r="Q157" s="164"/>
      <c r="R157" s="45"/>
      <c r="T157" s="42"/>
      <c r="V157" s="45"/>
      <c r="Y157" s="45"/>
      <c r="AA157" s="45"/>
      <c r="AB157" s="45"/>
      <c r="AC157" s="46"/>
      <c r="AD157" s="46"/>
      <c r="AE157" s="45"/>
      <c r="AF157" s="45"/>
      <c r="AH157" s="46"/>
      <c r="AI157" s="164"/>
      <c r="AJ157" s="164"/>
      <c r="AL157" s="45"/>
      <c r="AM157" s="46"/>
      <c r="AN157" s="46"/>
    </row>
    <row r="158" spans="3:40">
      <c r="F158" s="50"/>
      <c r="H158" s="50"/>
      <c r="I158" s="50"/>
      <c r="J158" s="326"/>
      <c r="K158" s="326"/>
      <c r="L158" s="50"/>
      <c r="M158" s="50"/>
      <c r="N158" s="50"/>
      <c r="O158" s="50"/>
      <c r="P158" s="50"/>
      <c r="Q158" s="50"/>
      <c r="R158" s="50"/>
      <c r="V158" s="50"/>
      <c r="Y158" s="50"/>
      <c r="Z158" s="326"/>
      <c r="AA158" s="50"/>
      <c r="AB158" s="50"/>
      <c r="AC158" s="50"/>
      <c r="AD158" s="50"/>
      <c r="AE158" s="50"/>
      <c r="AF158" s="50"/>
      <c r="AI158" s="50"/>
      <c r="AJ158" s="50"/>
      <c r="AK158" s="111"/>
      <c r="AL158" s="50"/>
    </row>
    <row r="160" spans="3:40">
      <c r="C160" s="42"/>
      <c r="L160" s="45"/>
      <c r="M160" s="45"/>
      <c r="N160" s="45"/>
      <c r="O160" s="45"/>
      <c r="P160" s="45"/>
      <c r="Q160" s="45"/>
      <c r="R160" s="45"/>
      <c r="S160" s="45"/>
      <c r="T160" s="42"/>
      <c r="AA160" s="45"/>
      <c r="AB160" s="45"/>
      <c r="AC160" s="45"/>
      <c r="AD160" s="45"/>
      <c r="AI160" s="45"/>
      <c r="AJ160" s="45"/>
      <c r="AL160" s="45"/>
    </row>
    <row r="161" spans="1:40">
      <c r="A161" s="42"/>
    </row>
    <row r="163" spans="1:40">
      <c r="H163" s="42"/>
      <c r="I163" s="42"/>
      <c r="Y163" s="42"/>
    </row>
    <row r="165" spans="1:40">
      <c r="L165" s="42"/>
      <c r="M165" s="42"/>
      <c r="AA165" s="42"/>
      <c r="AB165" s="42"/>
    </row>
    <row r="166" spans="1:40">
      <c r="R166" s="42"/>
      <c r="AK166" s="110"/>
      <c r="AL166" s="42"/>
    </row>
    <row r="167" spans="1:40">
      <c r="R167" s="42"/>
      <c r="AK167" s="110"/>
      <c r="AL167" s="42"/>
    </row>
    <row r="168" spans="1:40">
      <c r="A168" s="42"/>
      <c r="R168" s="42"/>
      <c r="AK168" s="110"/>
      <c r="AL168" s="42"/>
    </row>
    <row r="169" spans="1:40">
      <c r="L169" s="42"/>
      <c r="M169" s="42"/>
      <c r="AA169" s="42"/>
      <c r="AB169" s="42"/>
    </row>
    <row r="170" spans="1:40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107"/>
      <c r="AH170" s="49"/>
      <c r="AI170" s="49"/>
      <c r="AJ170" s="49"/>
      <c r="AK170" s="107"/>
      <c r="AL170" s="49"/>
      <c r="AM170" s="49"/>
      <c r="AN170" s="49"/>
    </row>
    <row r="171" spans="1:40">
      <c r="L171" s="44"/>
      <c r="M171" s="44"/>
      <c r="N171" s="44"/>
      <c r="O171" s="44"/>
      <c r="R171" s="44"/>
      <c r="AA171" s="44"/>
      <c r="AB171" s="44"/>
      <c r="AC171" s="44"/>
      <c r="AD171" s="44"/>
      <c r="AE171" s="44"/>
      <c r="AF171" s="44"/>
      <c r="AG171" s="102"/>
      <c r="AH171" s="44"/>
      <c r="AK171" s="102"/>
      <c r="AL171" s="44"/>
      <c r="AM171" s="44"/>
      <c r="AN171" s="44"/>
    </row>
    <row r="172" spans="1:40">
      <c r="L172" s="44"/>
      <c r="M172" s="44"/>
      <c r="N172" s="44"/>
      <c r="O172" s="44"/>
      <c r="R172" s="44"/>
      <c r="Z172" s="44"/>
      <c r="AA172" s="44"/>
      <c r="AB172" s="44"/>
      <c r="AC172" s="44"/>
      <c r="AD172" s="44"/>
      <c r="AE172" s="44"/>
      <c r="AF172" s="44"/>
      <c r="AG172" s="102"/>
      <c r="AH172" s="44"/>
      <c r="AK172" s="102"/>
      <c r="AL172" s="44"/>
      <c r="AM172" s="44"/>
      <c r="AN172" s="44"/>
    </row>
    <row r="173" spans="1:40">
      <c r="A173" s="44"/>
      <c r="C173" s="44"/>
      <c r="D173" s="44"/>
      <c r="E173" s="44"/>
      <c r="F173" s="44"/>
      <c r="J173" s="44"/>
      <c r="K173" s="44"/>
      <c r="L173" s="44"/>
      <c r="M173" s="44"/>
      <c r="N173" s="44"/>
      <c r="O173" s="44"/>
      <c r="P173" s="44"/>
      <c r="Q173" s="44"/>
      <c r="R173" s="44"/>
      <c r="T173" s="44"/>
      <c r="U173" s="44"/>
      <c r="V173" s="44"/>
      <c r="Z173" s="44"/>
      <c r="AA173" s="44"/>
      <c r="AB173" s="44"/>
      <c r="AC173" s="44"/>
      <c r="AD173" s="44"/>
      <c r="AE173" s="44"/>
      <c r="AF173" s="44"/>
      <c r="AG173" s="102"/>
      <c r="AH173" s="44"/>
      <c r="AI173" s="44"/>
      <c r="AJ173" s="44"/>
      <c r="AK173" s="102"/>
      <c r="AL173" s="44"/>
      <c r="AM173" s="44"/>
      <c r="AN173" s="44"/>
    </row>
    <row r="174" spans="1:40">
      <c r="A174" s="44"/>
      <c r="C174" s="44"/>
      <c r="D174" s="44"/>
      <c r="E174" s="44"/>
      <c r="F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T174" s="44"/>
      <c r="U174" s="44"/>
      <c r="V174" s="44"/>
      <c r="Y174" s="44"/>
      <c r="Z174" s="44"/>
      <c r="AA174" s="44"/>
      <c r="AB174" s="44"/>
      <c r="AC174" s="44"/>
      <c r="AD174" s="44"/>
      <c r="AE174" s="44"/>
      <c r="AF174" s="44"/>
      <c r="AG174" s="102"/>
      <c r="AH174" s="44"/>
      <c r="AI174" s="44"/>
      <c r="AJ174" s="44"/>
      <c r="AK174" s="102"/>
      <c r="AL174" s="44"/>
      <c r="AM174" s="44"/>
      <c r="AN174" s="44"/>
    </row>
    <row r="175" spans="1:40">
      <c r="C175" s="44"/>
      <c r="D175" s="44"/>
      <c r="E175" s="44"/>
      <c r="F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T175" s="44"/>
      <c r="U175" s="44"/>
      <c r="V175" s="44"/>
      <c r="Y175" s="44"/>
      <c r="Z175" s="44"/>
      <c r="AA175" s="44"/>
      <c r="AB175" s="44"/>
      <c r="AC175" s="44"/>
      <c r="AD175" s="44"/>
      <c r="AE175" s="44"/>
      <c r="AF175" s="44"/>
      <c r="AG175" s="102"/>
      <c r="AH175" s="44"/>
      <c r="AI175" s="44"/>
      <c r="AJ175" s="44"/>
      <c r="AK175" s="102"/>
      <c r="AL175" s="44"/>
      <c r="AM175" s="44"/>
      <c r="AN175" s="44"/>
    </row>
    <row r="176" spans="1:40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107"/>
      <c r="AH176" s="49"/>
      <c r="AI176" s="49"/>
      <c r="AJ176" s="49"/>
      <c r="AK176" s="107"/>
      <c r="AL176" s="49"/>
      <c r="AM176" s="49"/>
      <c r="AN176" s="49"/>
    </row>
    <row r="177" spans="3:40"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Y177" s="44"/>
      <c r="Z177" s="44"/>
      <c r="AA177" s="44"/>
      <c r="AB177" s="44"/>
      <c r="AC177" s="44"/>
      <c r="AD177" s="44"/>
      <c r="AE177" s="44"/>
      <c r="AF177" s="44"/>
      <c r="AG177" s="102"/>
      <c r="AH177" s="44"/>
      <c r="AI177" s="44"/>
      <c r="AJ177" s="44"/>
      <c r="AK177" s="102"/>
      <c r="AL177" s="44"/>
      <c r="AM177" s="44"/>
      <c r="AN177" s="44"/>
    </row>
    <row r="178" spans="3:40">
      <c r="C178" s="42"/>
      <c r="D178" s="42"/>
      <c r="E178" s="42"/>
      <c r="T178" s="42"/>
      <c r="U178" s="42"/>
    </row>
    <row r="179" spans="3:40">
      <c r="D179" s="42"/>
      <c r="E179" s="42"/>
      <c r="U179" s="42"/>
    </row>
    <row r="181" spans="3:40">
      <c r="C181" s="42"/>
      <c r="F181" s="164"/>
      <c r="H181" s="164"/>
      <c r="I181" s="164"/>
      <c r="J181" s="316"/>
      <c r="K181" s="316"/>
      <c r="L181" s="45"/>
      <c r="M181" s="45"/>
      <c r="N181" s="46"/>
      <c r="O181" s="46"/>
      <c r="R181" s="45"/>
      <c r="T181" s="42"/>
      <c r="V181" s="45"/>
      <c r="Y181" s="164"/>
      <c r="Z181" s="316"/>
      <c r="AA181" s="45"/>
      <c r="AB181" s="45"/>
      <c r="AC181" s="46"/>
      <c r="AD181" s="46"/>
      <c r="AE181" s="45"/>
      <c r="AF181" s="45"/>
      <c r="AG181" s="333"/>
      <c r="AH181" s="334"/>
      <c r="AL181" s="45"/>
      <c r="AM181" s="335"/>
      <c r="AN181" s="335"/>
    </row>
    <row r="182" spans="3:40">
      <c r="C182" s="42"/>
      <c r="F182" s="164"/>
      <c r="H182" s="164"/>
      <c r="I182" s="164"/>
      <c r="J182" s="316"/>
      <c r="K182" s="316"/>
      <c r="L182" s="45"/>
      <c r="M182" s="45"/>
      <c r="N182" s="46"/>
      <c r="O182" s="46"/>
      <c r="R182" s="45"/>
      <c r="T182" s="42"/>
      <c r="V182" s="45"/>
      <c r="Y182" s="164"/>
      <c r="Z182" s="316"/>
      <c r="AA182" s="45"/>
      <c r="AB182" s="45"/>
      <c r="AC182" s="46"/>
      <c r="AD182" s="46"/>
      <c r="AE182" s="45"/>
      <c r="AF182" s="45"/>
      <c r="AH182" s="51"/>
      <c r="AL182" s="45"/>
      <c r="AM182" s="46"/>
      <c r="AN182" s="46"/>
    </row>
    <row r="183" spans="3:40">
      <c r="F183" s="50"/>
      <c r="H183" s="45"/>
      <c r="I183" s="45"/>
      <c r="J183" s="326"/>
      <c r="K183" s="326"/>
      <c r="L183" s="50"/>
      <c r="M183" s="50"/>
      <c r="N183" s="50"/>
      <c r="O183" s="50"/>
      <c r="P183" s="50"/>
      <c r="Q183" s="50"/>
      <c r="R183" s="50"/>
      <c r="V183" s="50"/>
      <c r="Y183" s="45"/>
      <c r="Z183" s="326"/>
      <c r="AA183" s="50"/>
      <c r="AB183" s="50"/>
      <c r="AC183" s="50"/>
      <c r="AD183" s="50"/>
      <c r="AE183" s="50"/>
      <c r="AF183" s="50"/>
      <c r="AI183" s="50"/>
      <c r="AJ183" s="50"/>
      <c r="AK183" s="111"/>
      <c r="AL183" s="50"/>
      <c r="AM183" s="46"/>
      <c r="AN183" s="46"/>
    </row>
    <row r="184" spans="3:40">
      <c r="C184" s="42"/>
      <c r="F184" s="45"/>
      <c r="H184" s="45"/>
      <c r="I184" s="45"/>
      <c r="J184" s="326"/>
      <c r="K184" s="326"/>
      <c r="L184" s="45"/>
      <c r="M184" s="45"/>
      <c r="N184" s="46"/>
      <c r="O184" s="46"/>
      <c r="P184" s="45"/>
      <c r="Q184" s="45"/>
      <c r="R184" s="45"/>
      <c r="T184" s="42"/>
      <c r="V184" s="45"/>
      <c r="Y184" s="45"/>
      <c r="Z184" s="47"/>
      <c r="AA184" s="45"/>
      <c r="AB184" s="45"/>
      <c r="AC184" s="46"/>
      <c r="AD184" s="46"/>
      <c r="AE184" s="45"/>
      <c r="AF184" s="45"/>
      <c r="AH184" s="51"/>
      <c r="AI184" s="45"/>
      <c r="AJ184" s="45"/>
      <c r="AL184" s="45"/>
      <c r="AM184" s="46"/>
      <c r="AN184" s="46"/>
    </row>
    <row r="185" spans="3:40">
      <c r="F185" s="50"/>
      <c r="H185" s="45"/>
      <c r="I185" s="45"/>
      <c r="J185" s="326"/>
      <c r="K185" s="326"/>
      <c r="L185" s="50"/>
      <c r="M185" s="50"/>
      <c r="N185" s="50"/>
      <c r="O185" s="50"/>
      <c r="P185" s="50"/>
      <c r="Q185" s="50"/>
      <c r="R185" s="50"/>
      <c r="V185" s="50"/>
      <c r="Y185" s="45"/>
      <c r="Z185" s="326"/>
      <c r="AA185" s="50"/>
      <c r="AB185" s="50"/>
      <c r="AC185" s="50"/>
      <c r="AD185" s="50"/>
      <c r="AE185" s="50"/>
      <c r="AF185" s="50"/>
      <c r="AI185" s="50"/>
      <c r="AJ185" s="50"/>
      <c r="AK185" s="111"/>
      <c r="AL185" s="50"/>
      <c r="AM185" s="46"/>
      <c r="AN185" s="46"/>
    </row>
    <row r="186" spans="3:40">
      <c r="F186" s="45"/>
      <c r="H186" s="45"/>
      <c r="I186" s="45"/>
      <c r="J186" s="326"/>
      <c r="K186" s="326"/>
      <c r="L186" s="45"/>
      <c r="M186" s="45"/>
      <c r="N186" s="46"/>
      <c r="O186" s="46"/>
      <c r="P186" s="45"/>
      <c r="Q186" s="45"/>
      <c r="R186" s="45"/>
      <c r="V186" s="45"/>
      <c r="Y186" s="45"/>
      <c r="Z186" s="47"/>
      <c r="AA186" s="45"/>
      <c r="AB186" s="45"/>
      <c r="AC186" s="46"/>
      <c r="AD186" s="46"/>
      <c r="AE186" s="45"/>
      <c r="AF186" s="45"/>
      <c r="AH186" s="51"/>
      <c r="AI186" s="45"/>
      <c r="AJ186" s="45"/>
      <c r="AL186" s="45"/>
      <c r="AM186" s="46"/>
      <c r="AN186" s="46"/>
    </row>
    <row r="187" spans="3:40">
      <c r="C187" s="42"/>
      <c r="F187" s="164"/>
      <c r="H187" s="164"/>
      <c r="I187" s="164"/>
      <c r="J187" s="316"/>
      <c r="K187" s="316"/>
      <c r="L187" s="45"/>
      <c r="M187" s="45"/>
      <c r="N187" s="46"/>
      <c r="O187" s="46"/>
      <c r="P187" s="45"/>
      <c r="Q187" s="45"/>
      <c r="R187" s="45"/>
      <c r="T187" s="42"/>
      <c r="V187" s="164"/>
      <c r="Y187" s="45"/>
      <c r="Z187" s="316"/>
      <c r="AA187" s="45"/>
      <c r="AB187" s="45"/>
      <c r="AC187" s="46"/>
      <c r="AD187" s="46"/>
      <c r="AE187" s="45"/>
      <c r="AF187" s="45"/>
      <c r="AG187" s="333"/>
      <c r="AH187" s="334"/>
      <c r="AI187" s="45"/>
      <c r="AJ187" s="45"/>
      <c r="AL187" s="45"/>
      <c r="AM187" s="335"/>
      <c r="AN187" s="335"/>
    </row>
    <row r="188" spans="3:40">
      <c r="C188" s="42"/>
      <c r="F188" s="164"/>
      <c r="H188" s="164"/>
      <c r="I188" s="164"/>
      <c r="J188" s="316"/>
      <c r="K188" s="316"/>
      <c r="L188" s="45"/>
      <c r="M188" s="45"/>
      <c r="N188" s="46"/>
      <c r="O188" s="46"/>
      <c r="P188" s="45"/>
      <c r="Q188" s="45"/>
      <c r="R188" s="45"/>
      <c r="T188" s="42"/>
      <c r="V188" s="164"/>
      <c r="Y188" s="45"/>
      <c r="Z188" s="316"/>
      <c r="AA188" s="45"/>
      <c r="AB188" s="45"/>
      <c r="AC188" s="46"/>
      <c r="AD188" s="46"/>
      <c r="AE188" s="45"/>
      <c r="AF188" s="45"/>
      <c r="AH188" s="51"/>
      <c r="AI188" s="45"/>
      <c r="AJ188" s="45"/>
      <c r="AL188" s="45"/>
      <c r="AM188" s="46"/>
      <c r="AN188" s="46"/>
    </row>
    <row r="189" spans="3:40">
      <c r="F189" s="45"/>
      <c r="H189" s="50"/>
      <c r="I189" s="50"/>
      <c r="J189" s="326"/>
      <c r="K189" s="326"/>
      <c r="L189" s="50"/>
      <c r="M189" s="50"/>
      <c r="N189" s="50"/>
      <c r="O189" s="50"/>
      <c r="P189" s="50"/>
      <c r="Q189" s="50"/>
      <c r="R189" s="50"/>
      <c r="V189" s="45"/>
      <c r="Y189" s="50"/>
      <c r="Z189" s="326"/>
      <c r="AA189" s="50"/>
      <c r="AB189" s="50"/>
      <c r="AC189" s="50"/>
      <c r="AD189" s="50"/>
      <c r="AE189" s="50"/>
      <c r="AF189" s="50"/>
      <c r="AI189" s="50"/>
      <c r="AJ189" s="50"/>
      <c r="AK189" s="111"/>
      <c r="AL189" s="50"/>
      <c r="AM189" s="46"/>
      <c r="AN189" s="46"/>
    </row>
    <row r="190" spans="3:40">
      <c r="C190" s="42"/>
      <c r="F190" s="45"/>
      <c r="H190" s="45"/>
      <c r="I190" s="45"/>
      <c r="J190" s="326"/>
      <c r="K190" s="326"/>
      <c r="L190" s="45"/>
      <c r="M190" s="45"/>
      <c r="N190" s="46"/>
      <c r="O190" s="46"/>
      <c r="P190" s="45"/>
      <c r="Q190" s="45"/>
      <c r="R190" s="45"/>
      <c r="T190" s="42"/>
      <c r="V190" s="45"/>
      <c r="Y190" s="45"/>
      <c r="Z190" s="326"/>
      <c r="AA190" s="45"/>
      <c r="AB190" s="45"/>
      <c r="AC190" s="46"/>
      <c r="AD190" s="46"/>
      <c r="AE190" s="45"/>
      <c r="AF190" s="45"/>
      <c r="AH190" s="51"/>
      <c r="AI190" s="45"/>
      <c r="AJ190" s="45"/>
      <c r="AL190" s="45"/>
      <c r="AM190" s="46"/>
      <c r="AN190" s="46"/>
    </row>
    <row r="191" spans="3:40">
      <c r="F191" s="45"/>
      <c r="H191" s="50"/>
      <c r="I191" s="50"/>
      <c r="J191" s="326"/>
      <c r="K191" s="326"/>
      <c r="L191" s="50"/>
      <c r="M191" s="50"/>
      <c r="N191" s="50"/>
      <c r="O191" s="50"/>
      <c r="P191" s="50"/>
      <c r="Q191" s="50"/>
      <c r="R191" s="50"/>
      <c r="V191" s="45"/>
      <c r="Y191" s="50"/>
      <c r="Z191" s="326"/>
      <c r="AA191" s="50"/>
      <c r="AB191" s="50"/>
      <c r="AC191" s="50"/>
      <c r="AD191" s="50"/>
      <c r="AE191" s="50"/>
      <c r="AF191" s="50"/>
      <c r="AI191" s="50"/>
      <c r="AJ191" s="50"/>
      <c r="AK191" s="111"/>
      <c r="AL191" s="50"/>
      <c r="AM191" s="46"/>
      <c r="AN191" s="46"/>
    </row>
    <row r="192" spans="3:40">
      <c r="F192" s="45"/>
      <c r="H192" s="45"/>
      <c r="I192" s="45"/>
      <c r="J192" s="326"/>
      <c r="K192" s="326"/>
      <c r="L192" s="45"/>
      <c r="M192" s="45"/>
      <c r="N192" s="45"/>
      <c r="O192" s="45"/>
      <c r="P192" s="45"/>
      <c r="Q192" s="45"/>
      <c r="R192" s="45"/>
      <c r="V192" s="45"/>
      <c r="Y192" s="45"/>
      <c r="Z192" s="326"/>
      <c r="AA192" s="45"/>
      <c r="AB192" s="45"/>
      <c r="AC192" s="45"/>
      <c r="AD192" s="45"/>
      <c r="AE192" s="45"/>
      <c r="AF192" s="45"/>
      <c r="AH192" s="51"/>
      <c r="AI192" s="45"/>
      <c r="AJ192" s="45"/>
      <c r="AL192" s="45"/>
      <c r="AM192" s="46"/>
      <c r="AN192" s="46"/>
    </row>
    <row r="193" spans="1:40">
      <c r="C193" s="42"/>
      <c r="F193" s="164"/>
      <c r="H193" s="164"/>
      <c r="I193" s="164"/>
      <c r="J193" s="331"/>
      <c r="K193" s="331"/>
      <c r="L193" s="45"/>
      <c r="M193" s="45"/>
      <c r="N193" s="46"/>
      <c r="O193" s="46"/>
      <c r="P193" s="164"/>
      <c r="Q193" s="164"/>
      <c r="R193" s="45"/>
      <c r="T193" s="42"/>
      <c r="V193" s="164"/>
      <c r="Y193" s="164"/>
      <c r="Z193" s="336"/>
      <c r="AA193" s="45"/>
      <c r="AB193" s="45"/>
      <c r="AC193" s="46"/>
      <c r="AD193" s="46"/>
      <c r="AE193" s="45"/>
      <c r="AF193" s="45"/>
      <c r="AH193" s="51"/>
      <c r="AI193" s="164"/>
      <c r="AJ193" s="164"/>
      <c r="AL193" s="45"/>
      <c r="AM193" s="46"/>
      <c r="AN193" s="46"/>
    </row>
    <row r="194" spans="1:40">
      <c r="C194" s="42"/>
      <c r="F194" s="164"/>
      <c r="H194" s="164"/>
      <c r="I194" s="164"/>
      <c r="J194" s="331"/>
      <c r="K194" s="331"/>
      <c r="L194" s="45"/>
      <c r="M194" s="45"/>
      <c r="N194" s="46"/>
      <c r="O194" s="46"/>
      <c r="P194" s="164"/>
      <c r="Q194" s="164"/>
      <c r="R194" s="45"/>
      <c r="T194" s="42"/>
      <c r="V194" s="164"/>
      <c r="Y194" s="45"/>
      <c r="Z194" s="325"/>
      <c r="AA194" s="45"/>
      <c r="AB194" s="45"/>
      <c r="AC194" s="46"/>
      <c r="AD194" s="46"/>
      <c r="AE194" s="45"/>
      <c r="AF194" s="45"/>
      <c r="AH194" s="51"/>
      <c r="AI194" s="164"/>
      <c r="AJ194" s="164"/>
      <c r="AL194" s="45"/>
      <c r="AM194" s="46"/>
      <c r="AN194" s="46"/>
    </row>
    <row r="195" spans="1:40">
      <c r="C195" s="42"/>
      <c r="F195" s="164"/>
      <c r="H195" s="164"/>
      <c r="I195" s="164"/>
      <c r="J195" s="331"/>
      <c r="K195" s="331"/>
      <c r="L195" s="45"/>
      <c r="M195" s="45"/>
      <c r="N195" s="46"/>
      <c r="O195" s="46"/>
      <c r="P195" s="164"/>
      <c r="Q195" s="164"/>
      <c r="R195" s="45"/>
      <c r="T195" s="42"/>
      <c r="V195" s="164"/>
      <c r="Y195" s="45"/>
      <c r="Z195" s="325"/>
      <c r="AA195" s="45"/>
      <c r="AB195" s="45"/>
      <c r="AC195" s="46"/>
      <c r="AD195" s="46"/>
      <c r="AE195" s="45"/>
      <c r="AF195" s="45"/>
      <c r="AH195" s="51"/>
      <c r="AI195" s="164"/>
      <c r="AJ195" s="164"/>
      <c r="AL195" s="45"/>
      <c r="AM195" s="46"/>
      <c r="AN195" s="46"/>
    </row>
    <row r="196" spans="1:40">
      <c r="F196" s="50"/>
      <c r="H196" s="50"/>
      <c r="I196" s="50"/>
      <c r="J196" s="326"/>
      <c r="K196" s="326"/>
      <c r="L196" s="50"/>
      <c r="M196" s="50"/>
      <c r="N196" s="50"/>
      <c r="O196" s="50"/>
      <c r="P196" s="50"/>
      <c r="Q196" s="50"/>
      <c r="R196" s="50"/>
      <c r="V196" s="50"/>
      <c r="Y196" s="50"/>
      <c r="Z196" s="326"/>
      <c r="AA196" s="50"/>
      <c r="AB196" s="50"/>
      <c r="AC196" s="50"/>
      <c r="AD196" s="50"/>
      <c r="AE196" s="50"/>
      <c r="AF196" s="50"/>
      <c r="AI196" s="50"/>
      <c r="AJ196" s="50"/>
      <c r="AK196" s="111"/>
      <c r="AL196" s="50"/>
      <c r="AM196" s="46"/>
      <c r="AN196" s="46"/>
    </row>
    <row r="197" spans="1:40">
      <c r="C197" s="42"/>
      <c r="F197" s="45"/>
      <c r="H197" s="45"/>
      <c r="I197" s="45"/>
      <c r="J197" s="47"/>
      <c r="K197" s="47"/>
      <c r="L197" s="45"/>
      <c r="M197" s="45"/>
      <c r="N197" s="46"/>
      <c r="O197" s="46"/>
      <c r="P197" s="45"/>
      <c r="Q197" s="45"/>
      <c r="R197" s="45"/>
      <c r="T197" s="42"/>
      <c r="V197" s="45"/>
      <c r="Y197" s="45"/>
      <c r="Z197" s="47"/>
      <c r="AA197" s="45"/>
      <c r="AB197" s="45"/>
      <c r="AC197" s="46"/>
      <c r="AD197" s="46"/>
      <c r="AE197" s="45"/>
      <c r="AF197" s="45"/>
      <c r="AH197" s="51"/>
      <c r="AI197" s="45"/>
      <c r="AJ197" s="45"/>
      <c r="AL197" s="45"/>
      <c r="AM197" s="46"/>
      <c r="AN197" s="46"/>
    </row>
    <row r="198" spans="1:40">
      <c r="F198" s="50"/>
      <c r="H198" s="50"/>
      <c r="I198" s="50"/>
      <c r="J198" s="326"/>
      <c r="K198" s="326"/>
      <c r="L198" s="50"/>
      <c r="M198" s="50"/>
      <c r="N198" s="50"/>
      <c r="O198" s="50"/>
      <c r="P198" s="50"/>
      <c r="Q198" s="50"/>
      <c r="R198" s="50"/>
      <c r="V198" s="50"/>
      <c r="Y198" s="50"/>
      <c r="Z198" s="326"/>
      <c r="AA198" s="50"/>
      <c r="AB198" s="50"/>
      <c r="AC198" s="50"/>
      <c r="AD198" s="50"/>
      <c r="AE198" s="50"/>
      <c r="AF198" s="50"/>
      <c r="AI198" s="50"/>
      <c r="AJ198" s="50"/>
      <c r="AK198" s="111"/>
      <c r="AL198" s="50"/>
      <c r="AM198" s="46"/>
      <c r="AN198" s="46"/>
    </row>
    <row r="199" spans="1:40">
      <c r="C199" s="42"/>
      <c r="F199" s="45"/>
      <c r="H199" s="45"/>
      <c r="I199" s="45"/>
      <c r="J199" s="47"/>
      <c r="K199" s="47"/>
      <c r="L199" s="45"/>
      <c r="M199" s="45"/>
      <c r="N199" s="46"/>
      <c r="O199" s="46"/>
      <c r="P199" s="45"/>
      <c r="Q199" s="45"/>
      <c r="R199" s="45"/>
      <c r="T199" s="42"/>
      <c r="V199" s="45"/>
      <c r="Y199" s="45"/>
      <c r="Z199" s="47"/>
      <c r="AA199" s="45"/>
      <c r="AB199" s="45"/>
      <c r="AC199" s="46"/>
      <c r="AD199" s="46"/>
      <c r="AE199" s="45"/>
      <c r="AF199" s="45"/>
      <c r="AH199" s="51"/>
      <c r="AI199" s="45"/>
      <c r="AJ199" s="45"/>
      <c r="AL199" s="45"/>
      <c r="AM199" s="46"/>
      <c r="AN199" s="46"/>
    </row>
    <row r="200" spans="1:40">
      <c r="C200" s="42"/>
      <c r="F200" s="45"/>
      <c r="H200" s="45"/>
      <c r="I200" s="45"/>
      <c r="J200" s="47"/>
      <c r="K200" s="47"/>
      <c r="L200" s="45"/>
      <c r="M200" s="45"/>
      <c r="N200" s="46"/>
      <c r="O200" s="46"/>
      <c r="P200" s="45"/>
      <c r="Q200" s="45"/>
      <c r="R200" s="45"/>
      <c r="T200" s="42"/>
      <c r="V200" s="45"/>
      <c r="Y200" s="45"/>
      <c r="Z200" s="47"/>
      <c r="AA200" s="45"/>
      <c r="AB200" s="45"/>
      <c r="AC200" s="46"/>
      <c r="AD200" s="46"/>
      <c r="AE200" s="45"/>
      <c r="AF200" s="45"/>
      <c r="AH200" s="51"/>
      <c r="AI200" s="45"/>
      <c r="AJ200" s="45"/>
      <c r="AL200" s="45"/>
      <c r="AM200" s="46"/>
      <c r="AN200" s="46"/>
    </row>
    <row r="201" spans="1:40">
      <c r="F201" s="50"/>
      <c r="H201" s="50"/>
      <c r="I201" s="50"/>
      <c r="J201" s="326"/>
      <c r="K201" s="326"/>
      <c r="L201" s="50"/>
      <c r="M201" s="50"/>
      <c r="N201" s="50"/>
      <c r="O201" s="50"/>
      <c r="P201" s="50"/>
      <c r="Q201" s="50"/>
      <c r="R201" s="50"/>
      <c r="V201" s="50"/>
      <c r="Y201" s="50"/>
      <c r="Z201" s="326"/>
      <c r="AA201" s="50"/>
      <c r="AB201" s="50"/>
      <c r="AC201" s="50"/>
      <c r="AD201" s="50"/>
      <c r="AE201" s="50"/>
      <c r="AF201" s="50"/>
      <c r="AI201" s="50"/>
      <c r="AJ201" s="50"/>
      <c r="AK201" s="111"/>
      <c r="AL201" s="50"/>
      <c r="AM201" s="45"/>
      <c r="AN201" s="45"/>
    </row>
    <row r="202" spans="1:40">
      <c r="F202" s="45"/>
      <c r="H202" s="45"/>
      <c r="I202" s="45"/>
      <c r="J202" s="47"/>
      <c r="K202" s="47"/>
      <c r="L202" s="45"/>
      <c r="M202" s="45"/>
      <c r="N202" s="45"/>
      <c r="O202" s="45"/>
      <c r="P202" s="45"/>
      <c r="Q202" s="45"/>
      <c r="R202" s="45"/>
      <c r="V202" s="45"/>
      <c r="Y202" s="45"/>
      <c r="Z202" s="47"/>
      <c r="AA202" s="45"/>
      <c r="AB202" s="45"/>
      <c r="AC202" s="45"/>
      <c r="AD202" s="45"/>
    </row>
    <row r="203" spans="1:40">
      <c r="C203" s="42"/>
      <c r="F203" s="45"/>
      <c r="H203" s="45"/>
      <c r="I203" s="45"/>
      <c r="J203" s="47"/>
      <c r="K203" s="47"/>
      <c r="L203" s="45"/>
      <c r="M203" s="45"/>
      <c r="N203" s="45"/>
      <c r="O203" s="45"/>
      <c r="P203" s="45"/>
      <c r="Q203" s="45"/>
      <c r="R203" s="45"/>
      <c r="T203" s="42"/>
      <c r="V203" s="45"/>
      <c r="Y203" s="45"/>
      <c r="Z203" s="47"/>
      <c r="AA203" s="45"/>
      <c r="AB203" s="45"/>
      <c r="AC203" s="45"/>
      <c r="AD203" s="45"/>
    </row>
    <row r="204" spans="1:40">
      <c r="A204" s="42"/>
    </row>
    <row r="206" spans="1:40">
      <c r="H206" s="42"/>
      <c r="I206" s="42"/>
      <c r="Y206" s="42"/>
    </row>
    <row r="208" spans="1:40">
      <c r="L208" s="42"/>
      <c r="M208" s="42"/>
      <c r="AA208" s="42"/>
      <c r="AB208" s="42"/>
    </row>
    <row r="209" spans="1:40">
      <c r="R209" s="42"/>
      <c r="AK209" s="110"/>
      <c r="AL209" s="42"/>
    </row>
    <row r="210" spans="1:40">
      <c r="R210" s="42"/>
      <c r="AK210" s="110"/>
      <c r="AL210" s="42"/>
    </row>
    <row r="211" spans="1:40">
      <c r="A211" s="42"/>
      <c r="R211" s="42"/>
      <c r="AK211" s="110"/>
      <c r="AL211" s="42"/>
    </row>
    <row r="212" spans="1:40">
      <c r="L212" s="42"/>
      <c r="M212" s="42"/>
      <c r="AA212" s="42"/>
      <c r="AB212" s="42"/>
    </row>
    <row r="213" spans="1:40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107"/>
      <c r="AH213" s="49"/>
      <c r="AI213" s="49"/>
      <c r="AJ213" s="49"/>
      <c r="AK213" s="107"/>
      <c r="AL213" s="49"/>
      <c r="AM213" s="49"/>
      <c r="AN213" s="49"/>
    </row>
    <row r="214" spans="1:40">
      <c r="L214" s="44"/>
      <c r="M214" s="44"/>
      <c r="N214" s="44"/>
      <c r="O214" s="44"/>
      <c r="R214" s="44"/>
      <c r="AA214" s="44"/>
      <c r="AB214" s="44"/>
      <c r="AC214" s="44"/>
      <c r="AD214" s="44"/>
      <c r="AE214" s="44"/>
      <c r="AF214" s="44"/>
      <c r="AG214" s="102"/>
      <c r="AH214" s="44"/>
      <c r="AK214" s="102"/>
      <c r="AL214" s="44"/>
      <c r="AM214" s="44"/>
      <c r="AN214" s="44"/>
    </row>
    <row r="215" spans="1:40">
      <c r="L215" s="44"/>
      <c r="M215" s="44"/>
      <c r="N215" s="44"/>
      <c r="O215" s="44"/>
      <c r="R215" s="44"/>
      <c r="Z215" s="44"/>
      <c r="AA215" s="44"/>
      <c r="AB215" s="44"/>
      <c r="AC215" s="44"/>
      <c r="AD215" s="44"/>
      <c r="AE215" s="44"/>
      <c r="AF215" s="44"/>
      <c r="AG215" s="102"/>
      <c r="AH215" s="44"/>
      <c r="AK215" s="102"/>
      <c r="AL215" s="44"/>
      <c r="AM215" s="44"/>
      <c r="AN215" s="44"/>
    </row>
    <row r="216" spans="1:40">
      <c r="A216" s="44"/>
      <c r="C216" s="44"/>
      <c r="D216" s="44"/>
      <c r="E216" s="44"/>
      <c r="F216" s="44"/>
      <c r="J216" s="44"/>
      <c r="K216" s="44"/>
      <c r="L216" s="44"/>
      <c r="M216" s="44"/>
      <c r="N216" s="44"/>
      <c r="O216" s="44"/>
      <c r="P216" s="44"/>
      <c r="Q216" s="44"/>
      <c r="R216" s="44"/>
      <c r="T216" s="44"/>
      <c r="U216" s="44"/>
      <c r="V216" s="44"/>
      <c r="Z216" s="44"/>
      <c r="AA216" s="44"/>
      <c r="AB216" s="44"/>
      <c r="AC216" s="44"/>
      <c r="AD216" s="44"/>
      <c r="AE216" s="44"/>
      <c r="AF216" s="44"/>
      <c r="AG216" s="102"/>
      <c r="AH216" s="44"/>
      <c r="AI216" s="44"/>
      <c r="AJ216" s="44"/>
      <c r="AK216" s="102"/>
      <c r="AL216" s="44"/>
      <c r="AM216" s="44"/>
      <c r="AN216" s="44"/>
    </row>
    <row r="217" spans="1:40">
      <c r="A217" s="44"/>
      <c r="C217" s="44"/>
      <c r="D217" s="44"/>
      <c r="E217" s="44"/>
      <c r="F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T217" s="44"/>
      <c r="U217" s="44"/>
      <c r="V217" s="44"/>
      <c r="Y217" s="44"/>
      <c r="Z217" s="44"/>
      <c r="AA217" s="44"/>
      <c r="AB217" s="44"/>
      <c r="AC217" s="44"/>
      <c r="AD217" s="44"/>
      <c r="AE217" s="44"/>
      <c r="AF217" s="44"/>
      <c r="AG217" s="102"/>
      <c r="AH217" s="44"/>
      <c r="AI217" s="44"/>
      <c r="AJ217" s="44"/>
      <c r="AK217" s="102"/>
      <c r="AL217" s="44"/>
      <c r="AM217" s="44"/>
      <c r="AN217" s="44"/>
    </row>
    <row r="218" spans="1:40">
      <c r="C218" s="44"/>
      <c r="D218" s="44"/>
      <c r="E218" s="44"/>
      <c r="F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T218" s="44"/>
      <c r="U218" s="44"/>
      <c r="V218" s="44"/>
      <c r="Y218" s="44"/>
      <c r="Z218" s="44"/>
      <c r="AA218" s="44"/>
      <c r="AB218" s="44"/>
      <c r="AC218" s="44"/>
      <c r="AD218" s="44"/>
      <c r="AE218" s="44"/>
      <c r="AF218" s="44"/>
      <c r="AG218" s="102"/>
      <c r="AH218" s="44"/>
      <c r="AI218" s="44"/>
      <c r="AJ218" s="44"/>
      <c r="AK218" s="102"/>
      <c r="AL218" s="44"/>
      <c r="AM218" s="44"/>
      <c r="AN218" s="44"/>
    </row>
    <row r="219" spans="1:40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107"/>
      <c r="AH219" s="49"/>
      <c r="AI219" s="49"/>
      <c r="AJ219" s="49"/>
      <c r="AK219" s="107"/>
      <c r="AL219" s="49"/>
      <c r="AM219" s="49"/>
      <c r="AN219" s="49"/>
    </row>
    <row r="220" spans="1:40"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Y220" s="44"/>
      <c r="Z220" s="44"/>
      <c r="AA220" s="44"/>
      <c r="AB220" s="44"/>
      <c r="AC220" s="44"/>
      <c r="AD220" s="44"/>
      <c r="AE220" s="44"/>
      <c r="AF220" s="44"/>
      <c r="AG220" s="102"/>
      <c r="AH220" s="44"/>
      <c r="AI220" s="44"/>
      <c r="AJ220" s="44"/>
      <c r="AK220" s="102"/>
      <c r="AL220" s="44"/>
      <c r="AM220" s="44"/>
      <c r="AN220" s="44"/>
    </row>
    <row r="221" spans="1:40">
      <c r="C221" s="42"/>
      <c r="D221" s="42"/>
      <c r="E221" s="42"/>
      <c r="T221" s="42"/>
      <c r="U221" s="42"/>
    </row>
    <row r="223" spans="1:40">
      <c r="C223" s="42"/>
      <c r="F223" s="164"/>
      <c r="H223" s="329"/>
      <c r="I223" s="329"/>
      <c r="J223" s="316"/>
      <c r="K223" s="316"/>
      <c r="L223" s="45"/>
      <c r="M223" s="45"/>
      <c r="R223" s="45"/>
      <c r="T223" s="42"/>
      <c r="V223" s="45"/>
      <c r="Z223" s="316"/>
      <c r="AA223" s="45"/>
      <c r="AB223" s="45"/>
      <c r="AE223" s="45"/>
      <c r="AF223" s="45"/>
      <c r="AG223" s="333"/>
      <c r="AH223" s="334"/>
      <c r="AI223" s="45"/>
      <c r="AJ223" s="45"/>
      <c r="AL223" s="45"/>
      <c r="AM223" s="335"/>
      <c r="AN223" s="335"/>
    </row>
    <row r="224" spans="1:40">
      <c r="F224" s="164"/>
      <c r="H224" s="329"/>
      <c r="I224" s="329"/>
      <c r="J224" s="329"/>
      <c r="K224" s="329"/>
      <c r="R224" s="45"/>
      <c r="V224" s="45"/>
      <c r="Z224" s="329"/>
    </row>
    <row r="225" spans="3:40">
      <c r="C225" s="42"/>
      <c r="F225" s="164"/>
      <c r="H225" s="164"/>
      <c r="I225" s="164"/>
      <c r="J225" s="331"/>
      <c r="K225" s="331"/>
      <c r="L225" s="45"/>
      <c r="M225" s="45"/>
      <c r="N225" s="46"/>
      <c r="O225" s="46"/>
      <c r="P225" s="164"/>
      <c r="Q225" s="164"/>
      <c r="R225" s="45"/>
      <c r="T225" s="42"/>
      <c r="V225" s="45"/>
      <c r="Y225" s="45"/>
      <c r="Z225" s="325"/>
      <c r="AA225" s="45"/>
      <c r="AB225" s="45"/>
      <c r="AC225" s="46"/>
      <c r="AD225" s="46"/>
      <c r="AE225" s="45"/>
      <c r="AF225" s="45"/>
      <c r="AH225" s="51"/>
      <c r="AI225" s="164"/>
      <c r="AJ225" s="164"/>
      <c r="AL225" s="45"/>
      <c r="AM225" s="46"/>
      <c r="AN225" s="46"/>
    </row>
    <row r="226" spans="3:40">
      <c r="F226" s="50"/>
      <c r="H226" s="50"/>
      <c r="I226" s="50"/>
      <c r="J226" s="326"/>
      <c r="K226" s="326"/>
      <c r="L226" s="50"/>
      <c r="M226" s="50"/>
      <c r="N226" s="50"/>
      <c r="O226" s="50"/>
      <c r="P226" s="50"/>
      <c r="Q226" s="50"/>
      <c r="R226" s="50"/>
      <c r="V226" s="50"/>
      <c r="Y226" s="50"/>
      <c r="Z226" s="326"/>
      <c r="AA226" s="50"/>
      <c r="AB226" s="50"/>
      <c r="AC226" s="50"/>
      <c r="AD226" s="50"/>
      <c r="AE226" s="50"/>
      <c r="AF226" s="50"/>
      <c r="AI226" s="50"/>
      <c r="AJ226" s="50"/>
      <c r="AK226" s="111"/>
      <c r="AL226" s="50"/>
    </row>
    <row r="227" spans="3:40">
      <c r="D227" s="42"/>
      <c r="E227" s="42"/>
      <c r="F227" s="45"/>
      <c r="H227" s="45"/>
      <c r="I227" s="45"/>
      <c r="J227" s="47"/>
      <c r="K227" s="47"/>
      <c r="L227" s="45"/>
      <c r="M227" s="45"/>
      <c r="N227" s="46"/>
      <c r="O227" s="46"/>
      <c r="P227" s="45"/>
      <c r="Q227" s="45"/>
      <c r="R227" s="45"/>
      <c r="U227" s="42"/>
      <c r="V227" s="45"/>
      <c r="Y227" s="45"/>
      <c r="Z227" s="47"/>
      <c r="AA227" s="45"/>
      <c r="AB227" s="45"/>
      <c r="AC227" s="46"/>
      <c r="AD227" s="46"/>
      <c r="AE227" s="45"/>
      <c r="AF227" s="45"/>
      <c r="AH227" s="51"/>
      <c r="AI227" s="45"/>
      <c r="AJ227" s="45"/>
      <c r="AL227" s="45"/>
      <c r="AM227" s="46"/>
      <c r="AN227" s="46"/>
    </row>
    <row r="228" spans="3:40">
      <c r="F228" s="50"/>
      <c r="H228" s="50"/>
      <c r="I228" s="50"/>
      <c r="J228" s="326"/>
      <c r="K228" s="326"/>
      <c r="L228" s="50"/>
      <c r="M228" s="50"/>
      <c r="N228" s="50"/>
      <c r="O228" s="50"/>
      <c r="P228" s="50"/>
      <c r="Q228" s="50"/>
      <c r="R228" s="50"/>
      <c r="V228" s="50"/>
      <c r="Y228" s="50"/>
      <c r="Z228" s="326"/>
      <c r="AA228" s="50"/>
      <c r="AB228" s="50"/>
      <c r="AC228" s="50"/>
      <c r="AD228" s="50"/>
      <c r="AE228" s="50"/>
      <c r="AF228" s="50"/>
      <c r="AI228" s="50"/>
      <c r="AJ228" s="50"/>
      <c r="AK228" s="111"/>
      <c r="AL228" s="50"/>
    </row>
    <row r="229" spans="3:40">
      <c r="R229" s="45"/>
    </row>
    <row r="230" spans="3:40">
      <c r="R230" s="45"/>
    </row>
    <row r="231" spans="3:40">
      <c r="R231" s="45"/>
    </row>
    <row r="232" spans="3:40">
      <c r="C232" s="42"/>
      <c r="D232" s="42"/>
      <c r="E232" s="42"/>
      <c r="H232" s="45"/>
      <c r="I232" s="45"/>
      <c r="J232" s="47"/>
      <c r="K232" s="47"/>
      <c r="L232" s="45"/>
      <c r="M232" s="45"/>
      <c r="N232" s="46"/>
      <c r="O232" s="46"/>
      <c r="P232" s="45"/>
      <c r="Q232" s="45"/>
      <c r="R232" s="45"/>
      <c r="T232" s="42"/>
      <c r="U232" s="42"/>
      <c r="Y232" s="45"/>
      <c r="Z232" s="47"/>
      <c r="AA232" s="45"/>
      <c r="AB232" s="45"/>
      <c r="AC232" s="46"/>
      <c r="AD232" s="46"/>
    </row>
    <row r="233" spans="3:40">
      <c r="H233" s="45"/>
      <c r="I233" s="45"/>
      <c r="J233" s="47"/>
      <c r="K233" s="47"/>
      <c r="L233" s="45"/>
      <c r="M233" s="45"/>
      <c r="N233" s="46"/>
      <c r="O233" s="46"/>
      <c r="P233" s="45"/>
      <c r="Q233" s="45"/>
      <c r="R233" s="45"/>
      <c r="Y233" s="45"/>
      <c r="Z233" s="47"/>
      <c r="AA233" s="45"/>
      <c r="AB233" s="45"/>
      <c r="AC233" s="46"/>
      <c r="AD233" s="46"/>
    </row>
    <row r="234" spans="3:40">
      <c r="C234" s="42"/>
      <c r="F234" s="164"/>
      <c r="H234" s="164"/>
      <c r="I234" s="164"/>
      <c r="J234" s="52"/>
      <c r="K234" s="52"/>
      <c r="L234" s="164"/>
      <c r="M234" s="164"/>
      <c r="N234" s="46"/>
      <c r="O234" s="46"/>
      <c r="P234" s="45"/>
      <c r="Q234" s="45"/>
      <c r="R234" s="45"/>
      <c r="T234" s="42"/>
      <c r="V234" s="45"/>
      <c r="Y234" s="45"/>
      <c r="Z234" s="52"/>
      <c r="AA234" s="45"/>
      <c r="AB234" s="45"/>
      <c r="AC234" s="46"/>
      <c r="AD234" s="46"/>
      <c r="AE234" s="45"/>
      <c r="AF234" s="45"/>
      <c r="AH234" s="51"/>
      <c r="AI234" s="45"/>
      <c r="AJ234" s="45"/>
      <c r="AL234" s="45"/>
      <c r="AM234" s="46"/>
      <c r="AN234" s="46"/>
    </row>
    <row r="235" spans="3:40">
      <c r="F235" s="164"/>
      <c r="H235" s="329"/>
      <c r="I235" s="329"/>
      <c r="J235" s="329"/>
      <c r="K235" s="329"/>
      <c r="R235" s="45"/>
      <c r="V235" s="45"/>
      <c r="Z235" s="329"/>
    </row>
    <row r="236" spans="3:40">
      <c r="C236" s="42"/>
      <c r="F236" s="164"/>
      <c r="H236" s="164"/>
      <c r="I236" s="164"/>
      <c r="J236" s="316"/>
      <c r="K236" s="316"/>
      <c r="L236" s="45"/>
      <c r="M236" s="45"/>
      <c r="N236" s="46"/>
      <c r="O236" s="46"/>
      <c r="P236" s="45"/>
      <c r="Q236" s="45"/>
      <c r="R236" s="45"/>
      <c r="T236" s="42"/>
      <c r="V236" s="45"/>
      <c r="Y236" s="45"/>
      <c r="Z236" s="316"/>
      <c r="AA236" s="45"/>
      <c r="AB236" s="45"/>
      <c r="AC236" s="46"/>
      <c r="AD236" s="46"/>
      <c r="AE236" s="45"/>
      <c r="AF236" s="45"/>
      <c r="AH236" s="51"/>
      <c r="AI236" s="45"/>
      <c r="AJ236" s="45"/>
      <c r="AL236" s="45"/>
      <c r="AM236" s="46"/>
      <c r="AN236" s="46"/>
    </row>
    <row r="237" spans="3:40">
      <c r="F237" s="164"/>
      <c r="H237" s="329"/>
      <c r="I237" s="329"/>
      <c r="J237" s="329"/>
      <c r="K237" s="329"/>
      <c r="R237" s="45"/>
      <c r="V237" s="45"/>
      <c r="Z237" s="329"/>
    </row>
    <row r="238" spans="3:40">
      <c r="C238" s="42"/>
      <c r="F238" s="164"/>
      <c r="H238" s="164"/>
      <c r="I238" s="164"/>
      <c r="J238" s="331"/>
      <c r="K238" s="331"/>
      <c r="L238" s="45"/>
      <c r="M238" s="45"/>
      <c r="N238" s="46"/>
      <c r="O238" s="46"/>
      <c r="P238" s="45"/>
      <c r="Q238" s="45"/>
      <c r="R238" s="45"/>
      <c r="T238" s="42"/>
      <c r="V238" s="45"/>
      <c r="Y238" s="45"/>
      <c r="Z238" s="325"/>
      <c r="AA238" s="45"/>
      <c r="AB238" s="45"/>
      <c r="AC238" s="46"/>
      <c r="AD238" s="46"/>
      <c r="AE238" s="45"/>
      <c r="AF238" s="45"/>
      <c r="AH238" s="51"/>
      <c r="AI238" s="45"/>
      <c r="AJ238" s="45"/>
      <c r="AL238" s="45"/>
      <c r="AM238" s="46"/>
      <c r="AN238" s="46"/>
    </row>
    <row r="239" spans="3:40">
      <c r="F239" s="50"/>
      <c r="H239" s="50"/>
      <c r="I239" s="50"/>
      <c r="J239" s="326"/>
      <c r="K239" s="326"/>
      <c r="L239" s="50"/>
      <c r="M239" s="50"/>
      <c r="N239" s="50"/>
      <c r="O239" s="50"/>
      <c r="P239" s="50"/>
      <c r="Q239" s="50"/>
      <c r="R239" s="50"/>
      <c r="S239" s="45"/>
      <c r="V239" s="50"/>
      <c r="Y239" s="50"/>
      <c r="Z239" s="326"/>
      <c r="AA239" s="50"/>
      <c r="AB239" s="50"/>
      <c r="AC239" s="50"/>
      <c r="AD239" s="50"/>
      <c r="AE239" s="50"/>
      <c r="AF239" s="50"/>
      <c r="AI239" s="50"/>
      <c r="AJ239" s="50"/>
      <c r="AK239" s="111"/>
      <c r="AL239" s="50"/>
    </row>
    <row r="240" spans="3:40">
      <c r="D240" s="42"/>
      <c r="E240" s="42"/>
      <c r="F240" s="45"/>
      <c r="H240" s="45"/>
      <c r="I240" s="45"/>
      <c r="J240" s="47"/>
      <c r="K240" s="47"/>
      <c r="L240" s="45"/>
      <c r="M240" s="45"/>
      <c r="N240" s="46"/>
      <c r="O240" s="46"/>
      <c r="P240" s="164"/>
      <c r="Q240" s="164"/>
      <c r="R240" s="45"/>
      <c r="S240" s="45"/>
      <c r="U240" s="42"/>
      <c r="V240" s="45"/>
      <c r="Y240" s="45"/>
      <c r="Z240" s="47"/>
      <c r="AA240" s="45"/>
      <c r="AB240" s="45"/>
      <c r="AC240" s="46"/>
      <c r="AD240" s="46"/>
      <c r="AE240" s="45"/>
      <c r="AF240" s="45"/>
      <c r="AH240" s="51"/>
      <c r="AI240" s="164"/>
      <c r="AJ240" s="164"/>
      <c r="AL240" s="45"/>
      <c r="AM240" s="46"/>
      <c r="AN240" s="46"/>
    </row>
    <row r="241" spans="1:40">
      <c r="F241" s="50"/>
      <c r="H241" s="50"/>
      <c r="I241" s="50"/>
      <c r="J241" s="326"/>
      <c r="K241" s="326"/>
      <c r="L241" s="50"/>
      <c r="M241" s="50"/>
      <c r="N241" s="50"/>
      <c r="O241" s="50"/>
      <c r="P241" s="50"/>
      <c r="Q241" s="50"/>
      <c r="R241" s="50"/>
      <c r="S241" s="45"/>
      <c r="V241" s="50"/>
      <c r="Y241" s="50"/>
      <c r="Z241" s="326"/>
      <c r="AA241" s="50"/>
      <c r="AB241" s="50"/>
      <c r="AC241" s="50"/>
      <c r="AD241" s="50"/>
      <c r="AE241" s="50"/>
      <c r="AF241" s="50"/>
      <c r="AI241" s="50"/>
      <c r="AJ241" s="50"/>
      <c r="AK241" s="111"/>
      <c r="AL241" s="50"/>
    </row>
    <row r="242" spans="1:40">
      <c r="R242" s="45"/>
    </row>
    <row r="243" spans="1:40">
      <c r="F243" s="45"/>
      <c r="H243" s="45"/>
      <c r="I243" s="45"/>
      <c r="J243" s="47"/>
      <c r="K243" s="47"/>
      <c r="L243" s="45"/>
      <c r="M243" s="45"/>
      <c r="N243" s="45"/>
      <c r="O243" s="45"/>
      <c r="P243" s="45"/>
      <c r="Q243" s="45"/>
      <c r="R243" s="45"/>
      <c r="V243" s="45"/>
      <c r="Y243" s="45"/>
      <c r="Z243" s="47"/>
      <c r="AA243" s="45"/>
      <c r="AB243" s="45"/>
      <c r="AC243" s="45"/>
      <c r="AD243" s="45"/>
    </row>
    <row r="244" spans="1:40">
      <c r="C244" s="42"/>
      <c r="F244" s="45"/>
      <c r="H244" s="45"/>
      <c r="I244" s="45"/>
      <c r="J244" s="47"/>
      <c r="K244" s="47"/>
      <c r="L244" s="45"/>
      <c r="M244" s="45"/>
      <c r="N244" s="45"/>
      <c r="O244" s="45"/>
      <c r="P244" s="45"/>
      <c r="Q244" s="45"/>
      <c r="R244" s="45"/>
      <c r="T244" s="42"/>
      <c r="V244" s="45"/>
      <c r="Y244" s="45"/>
      <c r="Z244" s="47"/>
      <c r="AA244" s="45"/>
      <c r="AB244" s="45"/>
      <c r="AC244" s="45"/>
      <c r="AD244" s="45"/>
    </row>
    <row r="245" spans="1:40">
      <c r="C245" s="42"/>
      <c r="T245" s="42"/>
    </row>
    <row r="246" spans="1:40">
      <c r="A246" s="42"/>
    </row>
    <row r="249" spans="1:40">
      <c r="H249" s="42"/>
      <c r="I249" s="42"/>
      <c r="Y249" s="42"/>
    </row>
    <row r="251" spans="1:40">
      <c r="L251" s="42"/>
      <c r="M251" s="42"/>
      <c r="AA251" s="42"/>
      <c r="AB251" s="42"/>
    </row>
    <row r="252" spans="1:40">
      <c r="R252" s="42"/>
      <c r="AK252" s="110"/>
      <c r="AL252" s="42"/>
    </row>
    <row r="253" spans="1:40">
      <c r="R253" s="42"/>
      <c r="AK253" s="110"/>
      <c r="AL253" s="42"/>
    </row>
    <row r="254" spans="1:40">
      <c r="A254" s="42"/>
      <c r="R254" s="42"/>
      <c r="AK254" s="110"/>
      <c r="AL254" s="42"/>
    </row>
    <row r="255" spans="1:40">
      <c r="L255" s="42"/>
      <c r="M255" s="42"/>
      <c r="AA255" s="42"/>
      <c r="AB255" s="42"/>
    </row>
    <row r="256" spans="1:40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107"/>
      <c r="AH256" s="49"/>
      <c r="AI256" s="49"/>
      <c r="AJ256" s="49"/>
      <c r="AK256" s="107"/>
      <c r="AL256" s="49"/>
      <c r="AM256" s="49"/>
      <c r="AN256" s="49"/>
    </row>
    <row r="257" spans="1:40">
      <c r="L257" s="44"/>
      <c r="M257" s="44"/>
      <c r="N257" s="44"/>
      <c r="O257" s="44"/>
      <c r="R257" s="44"/>
      <c r="AA257" s="44"/>
      <c r="AB257" s="44"/>
      <c r="AC257" s="44"/>
      <c r="AD257" s="44"/>
      <c r="AE257" s="44"/>
      <c r="AF257" s="44"/>
      <c r="AG257" s="102"/>
      <c r="AH257" s="44"/>
      <c r="AK257" s="102"/>
      <c r="AL257" s="44"/>
      <c r="AM257" s="44"/>
      <c r="AN257" s="44"/>
    </row>
    <row r="258" spans="1:40">
      <c r="L258" s="44"/>
      <c r="M258" s="44"/>
      <c r="N258" s="44"/>
      <c r="O258" s="44"/>
      <c r="R258" s="44"/>
      <c r="Z258" s="44"/>
      <c r="AA258" s="44"/>
      <c r="AB258" s="44"/>
      <c r="AC258" s="44"/>
      <c r="AD258" s="44"/>
      <c r="AE258" s="44"/>
      <c r="AF258" s="44"/>
      <c r="AG258" s="102"/>
      <c r="AH258" s="44"/>
      <c r="AK258" s="102"/>
      <c r="AL258" s="44"/>
      <c r="AM258" s="44"/>
      <c r="AN258" s="44"/>
    </row>
    <row r="259" spans="1:40">
      <c r="A259" s="44"/>
      <c r="C259" s="44"/>
      <c r="D259" s="44"/>
      <c r="E259" s="44"/>
      <c r="F259" s="44"/>
      <c r="J259" s="44"/>
      <c r="K259" s="44"/>
      <c r="L259" s="44"/>
      <c r="M259" s="44"/>
      <c r="N259" s="44"/>
      <c r="O259" s="44"/>
      <c r="P259" s="44"/>
      <c r="Q259" s="44"/>
      <c r="R259" s="44"/>
      <c r="T259" s="44"/>
      <c r="U259" s="44"/>
      <c r="V259" s="44"/>
      <c r="Z259" s="44"/>
      <c r="AA259" s="44"/>
      <c r="AB259" s="44"/>
      <c r="AC259" s="44"/>
      <c r="AD259" s="44"/>
      <c r="AE259" s="44"/>
      <c r="AF259" s="44"/>
      <c r="AG259" s="102"/>
      <c r="AH259" s="44"/>
      <c r="AI259" s="44"/>
      <c r="AJ259" s="44"/>
      <c r="AK259" s="102"/>
      <c r="AL259" s="44"/>
      <c r="AM259" s="44"/>
      <c r="AN259" s="44"/>
    </row>
    <row r="260" spans="1:40">
      <c r="A260" s="44"/>
      <c r="C260" s="44"/>
      <c r="D260" s="44"/>
      <c r="E260" s="44"/>
      <c r="F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T260" s="44"/>
      <c r="U260" s="44"/>
      <c r="V260" s="44"/>
      <c r="Y260" s="44"/>
      <c r="Z260" s="44"/>
      <c r="AA260" s="44"/>
      <c r="AB260" s="44"/>
      <c r="AC260" s="44"/>
      <c r="AD260" s="44"/>
      <c r="AE260" s="44"/>
      <c r="AF260" s="44"/>
      <c r="AG260" s="102"/>
      <c r="AH260" s="44"/>
      <c r="AI260" s="44"/>
      <c r="AJ260" s="44"/>
      <c r="AK260" s="102"/>
      <c r="AL260" s="44"/>
      <c r="AM260" s="44"/>
      <c r="AN260" s="44"/>
    </row>
    <row r="261" spans="1:40">
      <c r="C261" s="44"/>
      <c r="D261" s="44"/>
      <c r="E261" s="44"/>
      <c r="F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T261" s="44"/>
      <c r="U261" s="44"/>
      <c r="V261" s="44"/>
      <c r="Y261" s="44"/>
      <c r="Z261" s="44"/>
      <c r="AA261" s="44"/>
      <c r="AB261" s="44"/>
      <c r="AC261" s="44"/>
      <c r="AD261" s="44"/>
      <c r="AE261" s="44"/>
      <c r="AF261" s="44"/>
      <c r="AG261" s="102"/>
      <c r="AH261" s="44"/>
      <c r="AI261" s="44"/>
      <c r="AJ261" s="44"/>
      <c r="AK261" s="102"/>
      <c r="AL261" s="44"/>
      <c r="AM261" s="44"/>
      <c r="AN261" s="44"/>
    </row>
    <row r="262" spans="1:40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107"/>
      <c r="AH262" s="49"/>
      <c r="AI262" s="49"/>
      <c r="AJ262" s="49"/>
      <c r="AK262" s="107"/>
      <c r="AL262" s="49"/>
      <c r="AM262" s="49"/>
      <c r="AN262" s="49"/>
    </row>
    <row r="263" spans="1:40"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Y263" s="44"/>
      <c r="Z263" s="44"/>
      <c r="AA263" s="44"/>
      <c r="AB263" s="44"/>
      <c r="AC263" s="44"/>
      <c r="AD263" s="44"/>
      <c r="AE263" s="44"/>
      <c r="AF263" s="44"/>
      <c r="AG263" s="102"/>
      <c r="AH263" s="44"/>
      <c r="AI263" s="44"/>
      <c r="AJ263" s="44"/>
      <c r="AK263" s="102"/>
      <c r="AL263" s="44"/>
      <c r="AM263" s="44"/>
      <c r="AN263" s="44"/>
    </row>
    <row r="264" spans="1:40">
      <c r="C264" s="42"/>
      <c r="D264" s="42"/>
      <c r="E264" s="42"/>
      <c r="T264" s="42"/>
      <c r="U264" s="42"/>
    </row>
    <row r="265" spans="1:40">
      <c r="D265" s="42"/>
      <c r="E265" s="42"/>
      <c r="U265" s="42"/>
    </row>
    <row r="267" spans="1:40">
      <c r="C267" s="42"/>
      <c r="F267" s="45"/>
      <c r="J267" s="53"/>
      <c r="K267" s="53"/>
      <c r="L267" s="45"/>
      <c r="M267" s="45"/>
      <c r="R267" s="45"/>
      <c r="T267" s="42"/>
      <c r="V267" s="45"/>
      <c r="Z267" s="53"/>
      <c r="AA267" s="45"/>
      <c r="AB267" s="45"/>
      <c r="AL267" s="45"/>
    </row>
    <row r="268" spans="1:40">
      <c r="F268" s="45"/>
      <c r="R268" s="45"/>
      <c r="V268" s="45"/>
      <c r="AL268" s="45"/>
    </row>
    <row r="269" spans="1:40">
      <c r="C269" s="42"/>
      <c r="F269" s="164"/>
      <c r="H269" s="164"/>
      <c r="I269" s="164"/>
      <c r="J269" s="316"/>
      <c r="K269" s="316"/>
      <c r="L269" s="45"/>
      <c r="M269" s="45"/>
      <c r="N269" s="46"/>
      <c r="O269" s="46"/>
      <c r="P269" s="45"/>
      <c r="Q269" s="45"/>
      <c r="R269" s="45"/>
      <c r="T269" s="42"/>
      <c r="V269" s="45"/>
      <c r="Y269" s="45"/>
      <c r="Z269" s="316"/>
      <c r="AA269" s="45"/>
      <c r="AB269" s="45"/>
      <c r="AC269" s="46"/>
      <c r="AD269" s="46"/>
      <c r="AE269" s="45"/>
      <c r="AF269" s="45"/>
      <c r="AH269" s="51"/>
      <c r="AI269" s="45"/>
      <c r="AJ269" s="45"/>
      <c r="AL269" s="45"/>
      <c r="AM269" s="46"/>
      <c r="AN269" s="46"/>
    </row>
    <row r="270" spans="1:40">
      <c r="C270" s="42"/>
      <c r="F270" s="164"/>
      <c r="H270" s="329"/>
      <c r="I270" s="329"/>
      <c r="J270" s="316"/>
      <c r="K270" s="316"/>
      <c r="L270" s="45"/>
      <c r="M270" s="45"/>
      <c r="N270" s="46"/>
      <c r="O270" s="46"/>
      <c r="P270" s="45"/>
      <c r="Q270" s="45"/>
      <c r="R270" s="45"/>
      <c r="T270" s="42"/>
      <c r="V270" s="45"/>
      <c r="Y270" s="45"/>
      <c r="Z270" s="316"/>
      <c r="AA270" s="45"/>
      <c r="AB270" s="45"/>
      <c r="AC270" s="46"/>
      <c r="AD270" s="46"/>
      <c r="AE270" s="45"/>
      <c r="AF270" s="45"/>
      <c r="AH270" s="51"/>
      <c r="AI270" s="45"/>
      <c r="AJ270" s="45"/>
      <c r="AL270" s="45"/>
      <c r="AM270" s="46"/>
      <c r="AN270" s="46"/>
    </row>
    <row r="271" spans="1:40">
      <c r="F271" s="50"/>
      <c r="H271" s="45"/>
      <c r="I271" s="45"/>
      <c r="J271" s="326"/>
      <c r="K271" s="326"/>
      <c r="L271" s="50"/>
      <c r="M271" s="50"/>
      <c r="N271" s="50"/>
      <c r="O271" s="50"/>
      <c r="P271" s="50"/>
      <c r="Q271" s="50"/>
      <c r="R271" s="50"/>
      <c r="V271" s="50"/>
      <c r="Y271" s="45"/>
      <c r="Z271" s="326"/>
      <c r="AA271" s="50"/>
      <c r="AB271" s="50"/>
      <c r="AC271" s="50"/>
      <c r="AD271" s="50"/>
      <c r="AE271" s="50"/>
      <c r="AF271" s="50"/>
      <c r="AI271" s="50"/>
      <c r="AJ271" s="50"/>
      <c r="AK271" s="111"/>
      <c r="AL271" s="50"/>
    </row>
    <row r="272" spans="1:40">
      <c r="C272" s="42"/>
      <c r="F272" s="45"/>
      <c r="H272" s="45"/>
      <c r="I272" s="45"/>
      <c r="J272" s="47"/>
      <c r="K272" s="47"/>
      <c r="L272" s="45"/>
      <c r="M272" s="45"/>
      <c r="N272" s="46"/>
      <c r="O272" s="46"/>
      <c r="P272" s="45"/>
      <c r="Q272" s="45"/>
      <c r="R272" s="45"/>
      <c r="T272" s="42"/>
      <c r="V272" s="45"/>
      <c r="Y272" s="45"/>
      <c r="Z272" s="47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>
      <c r="F273" s="50"/>
      <c r="H273" s="45"/>
      <c r="I273" s="45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45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</row>
    <row r="274" spans="1:40">
      <c r="F274" s="45"/>
      <c r="R274" s="45"/>
      <c r="V274" s="45"/>
      <c r="AL274" s="45"/>
    </row>
    <row r="275" spans="1:40">
      <c r="C275" s="42"/>
      <c r="F275" s="45"/>
      <c r="R275" s="45"/>
      <c r="T275" s="42"/>
      <c r="V275" s="45"/>
      <c r="AL275" s="45"/>
    </row>
    <row r="276" spans="1:40">
      <c r="F276" s="45"/>
      <c r="R276" s="45"/>
      <c r="V276" s="45"/>
      <c r="AL276" s="45"/>
    </row>
    <row r="277" spans="1:40">
      <c r="C277" s="42"/>
      <c r="F277" s="45"/>
      <c r="H277" s="164"/>
      <c r="I277" s="164"/>
      <c r="J277" s="331"/>
      <c r="K277" s="331"/>
      <c r="L277" s="45"/>
      <c r="M277" s="45"/>
      <c r="N277" s="46"/>
      <c r="O277" s="46"/>
      <c r="P277" s="164"/>
      <c r="Q277" s="164"/>
      <c r="R277" s="45"/>
      <c r="T277" s="42"/>
      <c r="V277" s="45"/>
      <c r="Y277" s="45"/>
      <c r="Z277" s="325"/>
      <c r="AA277" s="45"/>
      <c r="AB277" s="45"/>
      <c r="AC277" s="46"/>
      <c r="AD277" s="46"/>
      <c r="AE277" s="45"/>
      <c r="AF277" s="45"/>
      <c r="AH277" s="51"/>
      <c r="AI277" s="164"/>
      <c r="AJ277" s="164"/>
      <c r="AL277" s="45"/>
      <c r="AM277" s="46"/>
      <c r="AN277" s="46"/>
    </row>
    <row r="278" spans="1:40">
      <c r="F278" s="50"/>
      <c r="H278" s="50"/>
      <c r="I278" s="50"/>
      <c r="J278" s="326"/>
      <c r="K278" s="326"/>
      <c r="L278" s="50"/>
      <c r="M278" s="50"/>
      <c r="N278" s="50"/>
      <c r="O278" s="50"/>
      <c r="P278" s="50"/>
      <c r="Q278" s="50"/>
      <c r="R278" s="50"/>
      <c r="V278" s="50"/>
      <c r="Y278" s="50"/>
      <c r="Z278" s="326"/>
      <c r="AA278" s="50"/>
      <c r="AB278" s="50"/>
      <c r="AC278" s="50"/>
      <c r="AD278" s="50"/>
      <c r="AE278" s="50"/>
      <c r="AF278" s="50"/>
      <c r="AI278" s="50"/>
      <c r="AJ278" s="50"/>
      <c r="AK278" s="111"/>
      <c r="AL278" s="50"/>
    </row>
    <row r="280" spans="1:40">
      <c r="C280" s="42"/>
      <c r="F280" s="45"/>
      <c r="H280" s="45"/>
      <c r="I280" s="45"/>
      <c r="J280" s="53"/>
      <c r="K280" s="53"/>
      <c r="L280" s="45"/>
      <c r="M280" s="45"/>
      <c r="N280" s="46"/>
      <c r="O280" s="46"/>
      <c r="P280" s="45"/>
      <c r="Q280" s="45"/>
      <c r="R280" s="45"/>
      <c r="T280" s="42"/>
      <c r="V280" s="45"/>
      <c r="Y280" s="45"/>
      <c r="Z280" s="53"/>
      <c r="AA280" s="45"/>
      <c r="AB280" s="45"/>
      <c r="AC280" s="46"/>
      <c r="AD280" s="46"/>
      <c r="AE280" s="45"/>
      <c r="AF280" s="45"/>
      <c r="AH280" s="51"/>
      <c r="AI280" s="45"/>
      <c r="AJ280" s="45"/>
      <c r="AL280" s="45"/>
      <c r="AM280" s="46"/>
      <c r="AN280" s="46"/>
    </row>
    <row r="281" spans="1:40">
      <c r="F281" s="50"/>
      <c r="H281" s="50"/>
      <c r="I281" s="50"/>
      <c r="J281" s="326"/>
      <c r="K281" s="326"/>
      <c r="L281" s="50"/>
      <c r="M281" s="50"/>
      <c r="N281" s="50"/>
      <c r="O281" s="50"/>
      <c r="P281" s="50"/>
      <c r="Q281" s="50"/>
      <c r="R281" s="50"/>
      <c r="V281" s="50"/>
      <c r="Y281" s="50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</row>
    <row r="282" spans="1:40">
      <c r="R282" s="45"/>
      <c r="AH282" s="45"/>
    </row>
    <row r="283" spans="1:40">
      <c r="F283" s="45"/>
      <c r="H283" s="45"/>
      <c r="I283" s="45"/>
      <c r="J283" s="47"/>
      <c r="K283" s="47"/>
      <c r="L283" s="45"/>
      <c r="M283" s="45"/>
      <c r="N283" s="45"/>
      <c r="O283" s="45"/>
      <c r="P283" s="45"/>
      <c r="Q283" s="45"/>
      <c r="R283" s="45"/>
      <c r="V283" s="45"/>
      <c r="Y283" s="45"/>
      <c r="Z283" s="47"/>
      <c r="AA283" s="45"/>
      <c r="AB283" s="45"/>
      <c r="AC283" s="45"/>
      <c r="AD283" s="45"/>
      <c r="AE283" s="45"/>
      <c r="AF283" s="45"/>
      <c r="AH283" s="45"/>
    </row>
    <row r="284" spans="1:40">
      <c r="C284" s="42"/>
      <c r="F284" s="45"/>
      <c r="H284" s="45"/>
      <c r="I284" s="45"/>
      <c r="J284" s="47"/>
      <c r="K284" s="47"/>
      <c r="L284" s="45"/>
      <c r="M284" s="45"/>
      <c r="N284" s="45"/>
      <c r="O284" s="45"/>
      <c r="P284" s="45"/>
      <c r="Q284" s="45"/>
      <c r="R284" s="45"/>
      <c r="T284" s="42"/>
      <c r="V284" s="45"/>
      <c r="Y284" s="45"/>
      <c r="Z284" s="47"/>
      <c r="AA284" s="45"/>
      <c r="AB284" s="45"/>
      <c r="AC284" s="45"/>
      <c r="AD284" s="45"/>
      <c r="AE284" s="45"/>
      <c r="AF284" s="45"/>
      <c r="AH284" s="45"/>
    </row>
    <row r="285" spans="1:40">
      <c r="A285" s="42"/>
    </row>
    <row r="288" spans="1:40">
      <c r="H288" s="42"/>
      <c r="I288" s="42"/>
      <c r="Y288" s="42"/>
    </row>
    <row r="290" spans="1:40">
      <c r="L290" s="42"/>
      <c r="M290" s="42"/>
      <c r="AA290" s="42"/>
      <c r="AB290" s="42"/>
    </row>
    <row r="291" spans="1:40">
      <c r="R291" s="42"/>
      <c r="AK291" s="110"/>
      <c r="AL291" s="42"/>
    </row>
    <row r="292" spans="1:40">
      <c r="R292" s="42"/>
      <c r="AK292" s="110"/>
      <c r="AL292" s="42"/>
    </row>
    <row r="293" spans="1:40">
      <c r="A293" s="42"/>
      <c r="R293" s="42"/>
      <c r="AK293" s="110"/>
      <c r="AL293" s="42"/>
    </row>
    <row r="294" spans="1:40">
      <c r="L294" s="42"/>
      <c r="M294" s="42"/>
      <c r="AA294" s="42"/>
      <c r="AB294" s="42"/>
    </row>
    <row r="295" spans="1:40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107"/>
      <c r="AH295" s="49"/>
      <c r="AI295" s="49"/>
      <c r="AJ295" s="49"/>
      <c r="AK295" s="107"/>
      <c r="AL295" s="49"/>
      <c r="AM295" s="49"/>
      <c r="AN295" s="49"/>
    </row>
    <row r="296" spans="1:40">
      <c r="L296" s="44"/>
      <c r="M296" s="44"/>
      <c r="N296" s="44"/>
      <c r="O296" s="44"/>
      <c r="R296" s="44"/>
      <c r="AA296" s="44"/>
      <c r="AB296" s="44"/>
      <c r="AC296" s="44"/>
      <c r="AD296" s="44"/>
      <c r="AE296" s="44"/>
      <c r="AF296" s="44"/>
      <c r="AG296" s="102"/>
      <c r="AH296" s="44"/>
      <c r="AK296" s="102"/>
      <c r="AL296" s="44"/>
      <c r="AM296" s="44"/>
      <c r="AN296" s="44"/>
    </row>
    <row r="297" spans="1:40">
      <c r="L297" s="44"/>
      <c r="M297" s="44"/>
      <c r="N297" s="44"/>
      <c r="O297" s="44"/>
      <c r="R297" s="44"/>
      <c r="Z297" s="44"/>
      <c r="AA297" s="44"/>
      <c r="AB297" s="44"/>
      <c r="AC297" s="44"/>
      <c r="AD297" s="44"/>
      <c r="AE297" s="44"/>
      <c r="AF297" s="44"/>
      <c r="AG297" s="102"/>
      <c r="AH297" s="44"/>
      <c r="AK297" s="102"/>
      <c r="AL297" s="44"/>
      <c r="AM297" s="44"/>
      <c r="AN297" s="44"/>
    </row>
    <row r="298" spans="1:40">
      <c r="A298" s="44"/>
      <c r="C298" s="44"/>
      <c r="D298" s="44"/>
      <c r="E298" s="44"/>
      <c r="F298" s="44"/>
      <c r="J298" s="44"/>
      <c r="K298" s="44"/>
      <c r="L298" s="44"/>
      <c r="M298" s="44"/>
      <c r="N298" s="44"/>
      <c r="O298" s="44"/>
      <c r="P298" s="44"/>
      <c r="Q298" s="44"/>
      <c r="R298" s="44"/>
      <c r="T298" s="44"/>
      <c r="U298" s="44"/>
      <c r="V298" s="44"/>
      <c r="Z298" s="44"/>
      <c r="AA298" s="44"/>
      <c r="AB298" s="44"/>
      <c r="AC298" s="44"/>
      <c r="AD298" s="44"/>
      <c r="AE298" s="44"/>
      <c r="AF298" s="44"/>
      <c r="AG298" s="102"/>
      <c r="AH298" s="44"/>
      <c r="AI298" s="44"/>
      <c r="AJ298" s="44"/>
      <c r="AK298" s="102"/>
      <c r="AL298" s="44"/>
      <c r="AM298" s="44"/>
      <c r="AN298" s="44"/>
    </row>
    <row r="299" spans="1:40">
      <c r="A299" s="44"/>
      <c r="C299" s="44"/>
      <c r="D299" s="44"/>
      <c r="E299" s="44"/>
      <c r="F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T299" s="44"/>
      <c r="U299" s="44"/>
      <c r="V299" s="44"/>
      <c r="Y299" s="44"/>
      <c r="Z299" s="44"/>
      <c r="AA299" s="44"/>
      <c r="AB299" s="44"/>
      <c r="AC299" s="44"/>
      <c r="AD299" s="44"/>
      <c r="AE299" s="44"/>
      <c r="AF299" s="44"/>
      <c r="AG299" s="102"/>
      <c r="AH299" s="44"/>
      <c r="AI299" s="44"/>
      <c r="AJ299" s="44"/>
      <c r="AK299" s="102"/>
      <c r="AL299" s="44"/>
      <c r="AM299" s="44"/>
      <c r="AN299" s="44"/>
    </row>
    <row r="300" spans="1:40">
      <c r="C300" s="44"/>
      <c r="D300" s="44"/>
      <c r="E300" s="44"/>
      <c r="F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T300" s="44"/>
      <c r="U300" s="44"/>
      <c r="V300" s="44"/>
      <c r="Y300" s="44"/>
      <c r="Z300" s="44"/>
      <c r="AA300" s="44"/>
      <c r="AB300" s="44"/>
      <c r="AC300" s="44"/>
      <c r="AD300" s="44"/>
      <c r="AE300" s="44"/>
      <c r="AF300" s="44"/>
      <c r="AG300" s="102"/>
      <c r="AH300" s="44"/>
      <c r="AI300" s="44"/>
      <c r="AJ300" s="44"/>
      <c r="AK300" s="102"/>
      <c r="AL300" s="44"/>
      <c r="AM300" s="44"/>
      <c r="AN300" s="44"/>
    </row>
    <row r="301" spans="1:40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107"/>
      <c r="AH301" s="49"/>
      <c r="AI301" s="49"/>
      <c r="AJ301" s="49"/>
      <c r="AK301" s="107"/>
      <c r="AL301" s="49"/>
      <c r="AM301" s="49"/>
      <c r="AN301" s="49"/>
    </row>
    <row r="302" spans="1:40"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Y302" s="44"/>
      <c r="Z302" s="44"/>
      <c r="AA302" s="44"/>
      <c r="AB302" s="44"/>
      <c r="AC302" s="44"/>
      <c r="AD302" s="44"/>
      <c r="AE302" s="44"/>
      <c r="AF302" s="44"/>
      <c r="AG302" s="102"/>
      <c r="AH302" s="44"/>
      <c r="AI302" s="44"/>
      <c r="AJ302" s="44"/>
      <c r="AK302" s="102"/>
      <c r="AL302" s="44"/>
      <c r="AM302" s="44"/>
      <c r="AN302" s="44"/>
    </row>
    <row r="303" spans="1:40">
      <c r="C303" s="42"/>
      <c r="D303" s="42"/>
      <c r="E303" s="42"/>
      <c r="T303" s="42"/>
      <c r="U303" s="42"/>
    </row>
    <row r="304" spans="1:40">
      <c r="C304" s="42"/>
      <c r="T304" s="42"/>
    </row>
    <row r="306" spans="3:40">
      <c r="C306" s="42"/>
      <c r="F306" s="164"/>
      <c r="H306" s="164"/>
      <c r="I306" s="164"/>
      <c r="J306" s="316"/>
      <c r="K306" s="316"/>
      <c r="L306" s="45"/>
      <c r="M306" s="45"/>
      <c r="N306" s="46"/>
      <c r="O306" s="46"/>
      <c r="R306" s="45"/>
      <c r="T306" s="42"/>
      <c r="V306" s="45"/>
      <c r="Y306" s="164"/>
      <c r="Z306" s="316"/>
      <c r="AA306" s="45"/>
      <c r="AB306" s="45"/>
      <c r="AC306" s="46"/>
      <c r="AD306" s="46"/>
      <c r="AE306" s="45"/>
      <c r="AF306" s="45"/>
      <c r="AH306" s="51"/>
      <c r="AL306" s="45"/>
      <c r="AM306" s="46"/>
      <c r="AN306" s="46"/>
    </row>
    <row r="307" spans="3:40">
      <c r="F307" s="50"/>
      <c r="H307" s="45"/>
      <c r="I307" s="45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45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3:40">
      <c r="C308" s="42"/>
      <c r="F308" s="164"/>
      <c r="H308" s="164"/>
      <c r="I308" s="164"/>
      <c r="J308" s="336"/>
      <c r="K308" s="336"/>
      <c r="L308" s="45"/>
      <c r="M308" s="45"/>
      <c r="N308" s="46"/>
      <c r="O308" s="46"/>
      <c r="P308" s="45"/>
      <c r="Q308" s="45"/>
      <c r="R308" s="45"/>
      <c r="S308" s="45"/>
      <c r="T308" s="42"/>
      <c r="V308" s="164"/>
      <c r="Y308" s="164"/>
      <c r="Z308" s="336"/>
      <c r="AA308" s="45"/>
      <c r="AB308" s="45"/>
      <c r="AC308" s="46"/>
      <c r="AD308" s="46"/>
      <c r="AE308" s="45"/>
      <c r="AF308" s="45"/>
      <c r="AH308" s="46"/>
      <c r="AI308" s="45"/>
      <c r="AJ308" s="45"/>
      <c r="AL308" s="45"/>
      <c r="AM308" s="46"/>
      <c r="AN308" s="46"/>
    </row>
    <row r="309" spans="3:40">
      <c r="C309" s="42"/>
      <c r="F309" s="164"/>
      <c r="H309" s="164"/>
      <c r="I309" s="164"/>
      <c r="J309" s="316"/>
      <c r="K309" s="316"/>
      <c r="L309" s="45"/>
      <c r="M309" s="45"/>
      <c r="N309" s="46"/>
      <c r="O309" s="46"/>
      <c r="P309" s="45"/>
      <c r="Q309" s="45"/>
      <c r="R309" s="45"/>
      <c r="T309" s="42"/>
      <c r="V309" s="164"/>
      <c r="Y309" s="45"/>
      <c r="Z309" s="316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>
      <c r="C310" s="42"/>
      <c r="F310" s="164"/>
      <c r="H310" s="164"/>
      <c r="I310" s="164"/>
      <c r="J310" s="316"/>
      <c r="K310" s="316"/>
      <c r="L310" s="45"/>
      <c r="M310" s="45"/>
      <c r="N310" s="46"/>
      <c r="O310" s="46"/>
      <c r="P310" s="45"/>
      <c r="Q310" s="45"/>
      <c r="R310" s="45"/>
      <c r="T310" s="42"/>
      <c r="V310" s="164"/>
      <c r="Y310" s="45"/>
      <c r="Z310" s="316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>
      <c r="F311" s="50"/>
      <c r="H311" s="50"/>
      <c r="I311" s="50"/>
      <c r="J311" s="326"/>
      <c r="K311" s="326"/>
      <c r="L311" s="50"/>
      <c r="M311" s="50"/>
      <c r="N311" s="50"/>
      <c r="O311" s="50"/>
      <c r="P311" s="50"/>
      <c r="Q311" s="50"/>
      <c r="R311" s="50"/>
      <c r="V311" s="50"/>
      <c r="Y311" s="50"/>
      <c r="Z311" s="326"/>
      <c r="AA311" s="50"/>
      <c r="AB311" s="50"/>
      <c r="AC311" s="50"/>
      <c r="AD311" s="50"/>
      <c r="AE311" s="50"/>
      <c r="AF311" s="50"/>
      <c r="AI311" s="50"/>
      <c r="AJ311" s="50"/>
      <c r="AK311" s="111"/>
      <c r="AL311" s="50"/>
      <c r="AM311" s="46"/>
      <c r="AN311" s="46"/>
    </row>
    <row r="312" spans="3:40">
      <c r="C312" s="42"/>
      <c r="F312" s="45"/>
      <c r="H312" s="45"/>
      <c r="I312" s="45"/>
      <c r="J312" s="47"/>
      <c r="K312" s="47"/>
      <c r="L312" s="45"/>
      <c r="M312" s="45"/>
      <c r="N312" s="46"/>
      <c r="O312" s="46"/>
      <c r="P312" s="45"/>
      <c r="Q312" s="45"/>
      <c r="R312" s="45"/>
      <c r="T312" s="42"/>
      <c r="V312" s="45"/>
      <c r="Y312" s="45"/>
      <c r="Z312" s="47"/>
      <c r="AA312" s="45"/>
      <c r="AB312" s="45"/>
      <c r="AC312" s="46"/>
      <c r="AD312" s="46"/>
      <c r="AE312" s="45"/>
      <c r="AF312" s="45"/>
      <c r="AH312" s="51"/>
      <c r="AI312" s="45"/>
      <c r="AJ312" s="45"/>
      <c r="AL312" s="45"/>
      <c r="AM312" s="46"/>
      <c r="AN312" s="46"/>
    </row>
    <row r="313" spans="3:40">
      <c r="F313" s="50"/>
      <c r="H313" s="50"/>
      <c r="I313" s="50"/>
      <c r="J313" s="326"/>
      <c r="K313" s="326"/>
      <c r="L313" s="50"/>
      <c r="M313" s="50"/>
      <c r="N313" s="50"/>
      <c r="O313" s="50"/>
      <c r="P313" s="50"/>
      <c r="Q313" s="50"/>
      <c r="R313" s="50"/>
      <c r="V313" s="50"/>
      <c r="Y313" s="50"/>
      <c r="Z313" s="326"/>
      <c r="AA313" s="50"/>
      <c r="AB313" s="50"/>
      <c r="AC313" s="50"/>
      <c r="AD313" s="50"/>
      <c r="AE313" s="50"/>
      <c r="AF313" s="50"/>
      <c r="AI313" s="50"/>
      <c r="AJ313" s="50"/>
      <c r="AK313" s="111"/>
      <c r="AL313" s="50"/>
      <c r="AM313" s="46"/>
      <c r="AN313" s="46"/>
    </row>
    <row r="314" spans="3:40">
      <c r="C314" s="42"/>
      <c r="F314" s="45"/>
      <c r="H314" s="45"/>
      <c r="I314" s="45"/>
      <c r="J314" s="47"/>
      <c r="K314" s="47"/>
      <c r="L314" s="45"/>
      <c r="M314" s="45"/>
      <c r="N314" s="46"/>
      <c r="O314" s="46"/>
      <c r="P314" s="45"/>
      <c r="Q314" s="45"/>
      <c r="R314" s="45"/>
      <c r="T314" s="42"/>
      <c r="V314" s="45"/>
      <c r="Y314" s="45"/>
      <c r="Z314" s="47"/>
      <c r="AA314" s="45"/>
      <c r="AB314" s="45"/>
      <c r="AC314" s="46"/>
      <c r="AD314" s="46"/>
      <c r="AE314" s="45"/>
      <c r="AF314" s="45"/>
      <c r="AH314" s="51"/>
      <c r="AI314" s="45"/>
      <c r="AJ314" s="45"/>
      <c r="AL314" s="45"/>
      <c r="AM314" s="46"/>
      <c r="AN314" s="46"/>
    </row>
    <row r="315" spans="3:40">
      <c r="C315" s="42"/>
      <c r="F315" s="45"/>
      <c r="H315" s="164"/>
      <c r="I315" s="164"/>
      <c r="J315" s="331"/>
      <c r="K315" s="331"/>
      <c r="L315" s="45"/>
      <c r="M315" s="45"/>
      <c r="N315" s="46"/>
      <c r="O315" s="46"/>
      <c r="P315" s="45"/>
      <c r="Q315" s="45"/>
      <c r="R315" s="45"/>
      <c r="T315" s="42"/>
      <c r="V315" s="45"/>
      <c r="Y315" s="45"/>
      <c r="Z315" s="325"/>
      <c r="AA315" s="45"/>
      <c r="AB315" s="45"/>
      <c r="AC315" s="46"/>
      <c r="AD315" s="46"/>
      <c r="AE315" s="45"/>
      <c r="AF315" s="45"/>
      <c r="AH315" s="51"/>
      <c r="AI315" s="45"/>
      <c r="AJ315" s="45"/>
      <c r="AL315" s="45"/>
      <c r="AM315" s="46"/>
      <c r="AN315" s="46"/>
    </row>
    <row r="316" spans="3:40">
      <c r="F316" s="50"/>
      <c r="H316" s="50"/>
      <c r="I316" s="50"/>
      <c r="J316" s="326"/>
      <c r="K316" s="326"/>
      <c r="L316" s="50"/>
      <c r="M316" s="50"/>
      <c r="N316" s="50"/>
      <c r="O316" s="50"/>
      <c r="P316" s="50"/>
      <c r="Q316" s="50"/>
      <c r="R316" s="50"/>
      <c r="V316" s="50"/>
      <c r="Y316" s="50"/>
      <c r="Z316" s="326"/>
      <c r="AA316" s="50"/>
      <c r="AB316" s="50"/>
      <c r="AC316" s="50"/>
      <c r="AD316" s="50"/>
      <c r="AE316" s="50"/>
      <c r="AF316" s="50"/>
      <c r="AI316" s="50"/>
      <c r="AJ316" s="50"/>
      <c r="AK316" s="111"/>
      <c r="AL316" s="50"/>
      <c r="AM316" s="46"/>
      <c r="AN316" s="46"/>
    </row>
    <row r="318" spans="3:40">
      <c r="C318" s="42"/>
      <c r="F318" s="45"/>
      <c r="H318" s="45"/>
      <c r="I318" s="45"/>
      <c r="J318" s="326"/>
      <c r="K318" s="326"/>
      <c r="L318" s="45"/>
      <c r="M318" s="45"/>
      <c r="N318" s="46"/>
      <c r="O318" s="46"/>
      <c r="P318" s="45"/>
      <c r="Q318" s="45"/>
      <c r="R318" s="45"/>
      <c r="S318" s="45"/>
      <c r="T318" s="42"/>
      <c r="V318" s="45"/>
      <c r="Y318" s="45"/>
      <c r="Z318" s="326"/>
      <c r="AA318" s="45"/>
      <c r="AB318" s="45"/>
      <c r="AC318" s="46"/>
      <c r="AD318" s="46"/>
      <c r="AE318" s="45"/>
      <c r="AF318" s="45"/>
      <c r="AH318" s="46"/>
      <c r="AI318" s="45"/>
      <c r="AJ318" s="45"/>
      <c r="AL318" s="45"/>
      <c r="AM318" s="46"/>
      <c r="AN318" s="46"/>
    </row>
    <row r="319" spans="3:40">
      <c r="F319" s="50"/>
      <c r="H319" s="50"/>
      <c r="I319" s="50"/>
      <c r="J319" s="326"/>
      <c r="K319" s="326"/>
      <c r="L319" s="50"/>
      <c r="M319" s="50"/>
      <c r="N319" s="50"/>
      <c r="O319" s="50"/>
      <c r="P319" s="50"/>
      <c r="Q319" s="50"/>
      <c r="R319" s="50"/>
      <c r="S319" s="45"/>
      <c r="V319" s="50"/>
      <c r="Y319" s="50"/>
      <c r="Z319" s="326"/>
      <c r="AA319" s="50"/>
      <c r="AB319" s="50"/>
      <c r="AC319" s="50"/>
      <c r="AD319" s="50"/>
      <c r="AE319" s="50"/>
      <c r="AF319" s="50"/>
      <c r="AI319" s="50"/>
      <c r="AJ319" s="50"/>
      <c r="AK319" s="111"/>
      <c r="AL319" s="50"/>
      <c r="AM319" s="46"/>
      <c r="AN319" s="46"/>
    </row>
    <row r="320" spans="3:40">
      <c r="C320" s="42"/>
      <c r="F320" s="164"/>
      <c r="H320" s="164"/>
      <c r="I320" s="164"/>
      <c r="J320" s="326"/>
      <c r="K320" s="326"/>
      <c r="L320" s="45"/>
      <c r="M320" s="45"/>
      <c r="N320" s="46"/>
      <c r="O320" s="46"/>
      <c r="P320" s="45"/>
      <c r="Q320" s="45"/>
      <c r="R320" s="45"/>
      <c r="S320" s="45"/>
      <c r="T320" s="42"/>
      <c r="V320" s="164"/>
      <c r="Y320" s="164"/>
      <c r="Z320" s="326"/>
      <c r="AA320" s="45"/>
      <c r="AB320" s="45"/>
      <c r="AC320" s="46"/>
      <c r="AD320" s="46"/>
      <c r="AE320" s="45"/>
      <c r="AF320" s="45"/>
      <c r="AI320" s="45"/>
      <c r="AJ320" s="45"/>
      <c r="AL320" s="45"/>
      <c r="AM320" s="46"/>
      <c r="AN320" s="46"/>
    </row>
    <row r="322" spans="3:40">
      <c r="C322" s="42"/>
      <c r="F322" s="164"/>
      <c r="H322" s="164"/>
      <c r="I322" s="164"/>
      <c r="J322" s="316"/>
      <c r="K322" s="316"/>
      <c r="L322" s="45"/>
      <c r="M322" s="45"/>
      <c r="N322" s="46"/>
      <c r="O322" s="46"/>
      <c r="R322" s="45"/>
      <c r="T322" s="42"/>
      <c r="V322" s="45"/>
      <c r="Y322" s="164"/>
      <c r="Z322" s="316"/>
      <c r="AA322" s="45"/>
      <c r="AB322" s="45"/>
      <c r="AC322" s="46"/>
      <c r="AD322" s="46"/>
      <c r="AE322" s="45"/>
      <c r="AF322" s="45"/>
      <c r="AH322" s="51"/>
      <c r="AL322" s="45"/>
      <c r="AM322" s="46"/>
      <c r="AN322" s="46"/>
    </row>
    <row r="323" spans="3:40">
      <c r="F323" s="50"/>
      <c r="H323" s="45"/>
      <c r="I323" s="45"/>
      <c r="J323" s="326"/>
      <c r="K323" s="326"/>
      <c r="L323" s="50"/>
      <c r="M323" s="50"/>
      <c r="N323" s="50"/>
      <c r="O323" s="50"/>
      <c r="P323" s="50"/>
      <c r="Q323" s="50"/>
      <c r="R323" s="50"/>
      <c r="V323" s="50"/>
      <c r="Y323" s="45"/>
      <c r="Z323" s="326"/>
      <c r="AA323" s="50"/>
      <c r="AB323" s="50"/>
      <c r="AC323" s="50"/>
      <c r="AD323" s="50"/>
      <c r="AE323" s="50"/>
      <c r="AF323" s="50"/>
      <c r="AI323" s="50"/>
      <c r="AJ323" s="50"/>
      <c r="AK323" s="111"/>
      <c r="AL323" s="50"/>
      <c r="AM323" s="46"/>
      <c r="AN323" s="46"/>
    </row>
    <row r="324" spans="3:40">
      <c r="C324" s="42"/>
      <c r="F324" s="164"/>
      <c r="H324" s="164"/>
      <c r="I324" s="164"/>
      <c r="J324" s="336"/>
      <c r="K324" s="336"/>
      <c r="L324" s="45"/>
      <c r="M324" s="45"/>
      <c r="N324" s="46"/>
      <c r="O324" s="46"/>
      <c r="P324" s="45"/>
      <c r="Q324" s="45"/>
      <c r="R324" s="45"/>
      <c r="S324" s="45"/>
      <c r="T324" s="42"/>
      <c r="V324" s="164"/>
      <c r="Y324" s="164"/>
      <c r="Z324" s="336"/>
      <c r="AA324" s="45"/>
      <c r="AB324" s="45"/>
      <c r="AC324" s="46"/>
      <c r="AD324" s="46"/>
      <c r="AE324" s="45"/>
      <c r="AF324" s="45"/>
      <c r="AH324" s="46"/>
      <c r="AI324" s="45"/>
      <c r="AJ324" s="45"/>
      <c r="AL324" s="45"/>
      <c r="AM324" s="46"/>
      <c r="AN324" s="46"/>
    </row>
    <row r="325" spans="3:40">
      <c r="C325" s="42"/>
      <c r="F325" s="164"/>
      <c r="H325" s="164"/>
      <c r="I325" s="164"/>
      <c r="J325" s="316"/>
      <c r="K325" s="316"/>
      <c r="L325" s="45"/>
      <c r="M325" s="45"/>
      <c r="N325" s="46"/>
      <c r="O325" s="46"/>
      <c r="P325" s="45"/>
      <c r="Q325" s="45"/>
      <c r="R325" s="45"/>
      <c r="T325" s="42"/>
      <c r="V325" s="164"/>
      <c r="Y325" s="45"/>
      <c r="Z325" s="316"/>
      <c r="AA325" s="45"/>
      <c r="AB325" s="45"/>
      <c r="AC325" s="46"/>
      <c r="AD325" s="46"/>
      <c r="AE325" s="45"/>
      <c r="AF325" s="45"/>
      <c r="AH325" s="51"/>
      <c r="AI325" s="45"/>
      <c r="AJ325" s="45"/>
      <c r="AL325" s="45"/>
      <c r="AM325" s="46"/>
      <c r="AN325" s="46"/>
    </row>
    <row r="326" spans="3:40">
      <c r="C326" s="42"/>
      <c r="F326" s="164"/>
      <c r="H326" s="164"/>
      <c r="I326" s="164"/>
      <c r="J326" s="316"/>
      <c r="K326" s="316"/>
      <c r="L326" s="45"/>
      <c r="M326" s="45"/>
      <c r="N326" s="46"/>
      <c r="O326" s="46"/>
      <c r="P326" s="45"/>
      <c r="Q326" s="45"/>
      <c r="R326" s="45"/>
      <c r="T326" s="42"/>
      <c r="V326" s="164"/>
      <c r="Y326" s="45"/>
      <c r="Z326" s="316"/>
      <c r="AA326" s="45"/>
      <c r="AB326" s="45"/>
      <c r="AC326" s="46"/>
      <c r="AD326" s="46"/>
      <c r="AE326" s="45"/>
      <c r="AF326" s="45"/>
      <c r="AH326" s="51"/>
      <c r="AI326" s="45"/>
      <c r="AJ326" s="45"/>
      <c r="AL326" s="45"/>
      <c r="AM326" s="46"/>
      <c r="AN326" s="46"/>
    </row>
    <row r="327" spans="3:40">
      <c r="F327" s="50"/>
      <c r="H327" s="50"/>
      <c r="I327" s="50"/>
      <c r="J327" s="326"/>
      <c r="K327" s="326"/>
      <c r="L327" s="50"/>
      <c r="M327" s="50"/>
      <c r="N327" s="50"/>
      <c r="O327" s="50"/>
      <c r="P327" s="50"/>
      <c r="Q327" s="50"/>
      <c r="R327" s="50"/>
      <c r="V327" s="50"/>
      <c r="Y327" s="50"/>
      <c r="Z327" s="326"/>
      <c r="AA327" s="50"/>
      <c r="AB327" s="50"/>
      <c r="AC327" s="50"/>
      <c r="AD327" s="50"/>
      <c r="AE327" s="50"/>
      <c r="AF327" s="50"/>
      <c r="AI327" s="50"/>
      <c r="AJ327" s="50"/>
      <c r="AK327" s="111"/>
      <c r="AL327" s="50"/>
      <c r="AM327" s="46"/>
      <c r="AN327" s="46"/>
    </row>
    <row r="328" spans="3:40">
      <c r="C328" s="42"/>
      <c r="F328" s="45"/>
      <c r="H328" s="45"/>
      <c r="I328" s="45"/>
      <c r="J328" s="47"/>
      <c r="K328" s="47"/>
      <c r="L328" s="45"/>
      <c r="M328" s="45"/>
      <c r="N328" s="46"/>
      <c r="O328" s="46"/>
      <c r="P328" s="45"/>
      <c r="Q328" s="45"/>
      <c r="R328" s="45"/>
      <c r="T328" s="42"/>
      <c r="V328" s="45"/>
      <c r="Y328" s="45"/>
      <c r="Z328" s="47"/>
      <c r="AA328" s="45"/>
      <c r="AB328" s="45"/>
      <c r="AC328" s="46"/>
      <c r="AD328" s="46"/>
      <c r="AE328" s="45"/>
      <c r="AF328" s="45"/>
      <c r="AH328" s="51"/>
      <c r="AI328" s="45"/>
      <c r="AJ328" s="45"/>
      <c r="AL328" s="45"/>
      <c r="AM328" s="46"/>
      <c r="AN328" s="46"/>
    </row>
    <row r="329" spans="3:40">
      <c r="F329" s="50"/>
      <c r="H329" s="50"/>
      <c r="I329" s="50"/>
      <c r="J329" s="326"/>
      <c r="K329" s="326"/>
      <c r="L329" s="50"/>
      <c r="M329" s="50"/>
      <c r="N329" s="50"/>
      <c r="O329" s="50"/>
      <c r="P329" s="50"/>
      <c r="Q329" s="50"/>
      <c r="R329" s="50"/>
      <c r="V329" s="50"/>
      <c r="Y329" s="50"/>
      <c r="Z329" s="326"/>
      <c r="AA329" s="50"/>
      <c r="AB329" s="50"/>
      <c r="AC329" s="50"/>
      <c r="AD329" s="50"/>
      <c r="AE329" s="50"/>
      <c r="AF329" s="50"/>
      <c r="AI329" s="50"/>
      <c r="AJ329" s="50"/>
      <c r="AK329" s="111"/>
      <c r="AL329" s="50"/>
      <c r="AM329" s="46"/>
      <c r="AN329" s="46"/>
    </row>
    <row r="330" spans="3:40">
      <c r="C330" s="42"/>
      <c r="F330" s="45"/>
      <c r="H330" s="45"/>
      <c r="I330" s="45"/>
      <c r="J330" s="47"/>
      <c r="K330" s="47"/>
      <c r="L330" s="45"/>
      <c r="M330" s="45"/>
      <c r="N330" s="46"/>
      <c r="O330" s="46"/>
      <c r="P330" s="45"/>
      <c r="Q330" s="45"/>
      <c r="R330" s="45"/>
      <c r="T330" s="42"/>
      <c r="V330" s="45"/>
      <c r="Y330" s="45"/>
      <c r="Z330" s="47"/>
      <c r="AA330" s="45"/>
      <c r="AB330" s="45"/>
      <c r="AC330" s="46"/>
      <c r="AD330" s="46"/>
      <c r="AE330" s="45"/>
      <c r="AF330" s="45"/>
      <c r="AH330" s="51"/>
      <c r="AI330" s="45"/>
      <c r="AJ330" s="45"/>
      <c r="AL330" s="45"/>
      <c r="AM330" s="46"/>
      <c r="AN330" s="46"/>
    </row>
    <row r="331" spans="3:40">
      <c r="C331" s="42"/>
      <c r="F331" s="45"/>
      <c r="H331" s="164"/>
      <c r="I331" s="164"/>
      <c r="J331" s="331"/>
      <c r="K331" s="331"/>
      <c r="L331" s="45"/>
      <c r="M331" s="45"/>
      <c r="N331" s="46"/>
      <c r="O331" s="46"/>
      <c r="P331" s="45"/>
      <c r="Q331" s="45"/>
      <c r="R331" s="45"/>
      <c r="T331" s="42"/>
      <c r="V331" s="45"/>
      <c r="Y331" s="45"/>
      <c r="Z331" s="325"/>
      <c r="AA331" s="45"/>
      <c r="AB331" s="45"/>
      <c r="AC331" s="46"/>
      <c r="AD331" s="46"/>
      <c r="AE331" s="45"/>
      <c r="AF331" s="45"/>
      <c r="AH331" s="51"/>
      <c r="AI331" s="45"/>
      <c r="AJ331" s="45"/>
      <c r="AL331" s="45"/>
      <c r="AM331" s="46"/>
      <c r="AN331" s="46"/>
    </row>
    <row r="332" spans="3:40">
      <c r="F332" s="50"/>
      <c r="H332" s="50"/>
      <c r="I332" s="50"/>
      <c r="J332" s="326"/>
      <c r="K332" s="326"/>
      <c r="L332" s="50"/>
      <c r="M332" s="50"/>
      <c r="N332" s="50"/>
      <c r="O332" s="50"/>
      <c r="P332" s="50"/>
      <c r="Q332" s="50"/>
      <c r="R332" s="50"/>
      <c r="V332" s="50"/>
      <c r="Y332" s="50"/>
      <c r="Z332" s="326"/>
      <c r="AA332" s="50"/>
      <c r="AB332" s="50"/>
      <c r="AC332" s="50"/>
      <c r="AD332" s="50"/>
      <c r="AE332" s="50"/>
      <c r="AF332" s="50"/>
      <c r="AI332" s="50"/>
      <c r="AJ332" s="50"/>
      <c r="AK332" s="111"/>
      <c r="AL332" s="50"/>
      <c r="AM332" s="46"/>
      <c r="AN332" s="46"/>
    </row>
    <row r="334" spans="3:40">
      <c r="C334" s="42"/>
      <c r="F334" s="45"/>
      <c r="H334" s="45"/>
      <c r="I334" s="45"/>
      <c r="J334" s="326"/>
      <c r="K334" s="326"/>
      <c r="L334" s="45"/>
      <c r="M334" s="45"/>
      <c r="N334" s="46"/>
      <c r="O334" s="46"/>
      <c r="P334" s="45"/>
      <c r="Q334" s="45"/>
      <c r="R334" s="45"/>
      <c r="S334" s="45"/>
      <c r="T334" s="42"/>
      <c r="V334" s="45"/>
      <c r="Y334" s="45"/>
      <c r="Z334" s="326"/>
      <c r="AA334" s="45"/>
      <c r="AB334" s="45"/>
      <c r="AC334" s="46"/>
      <c r="AD334" s="46"/>
      <c r="AE334" s="45"/>
      <c r="AF334" s="45"/>
      <c r="AH334" s="46"/>
      <c r="AI334" s="45"/>
      <c r="AJ334" s="45"/>
      <c r="AL334" s="45"/>
      <c r="AM334" s="46"/>
      <c r="AN334" s="46"/>
    </row>
    <row r="335" spans="3:40">
      <c r="F335" s="50"/>
      <c r="H335" s="50"/>
      <c r="I335" s="50"/>
      <c r="J335" s="326"/>
      <c r="K335" s="326"/>
      <c r="L335" s="50"/>
      <c r="M335" s="50"/>
      <c r="N335" s="50"/>
      <c r="O335" s="50"/>
      <c r="P335" s="50"/>
      <c r="Q335" s="50"/>
      <c r="R335" s="50"/>
      <c r="S335" s="45"/>
      <c r="V335" s="50"/>
      <c r="Y335" s="50"/>
      <c r="Z335" s="326"/>
      <c r="AA335" s="50"/>
      <c r="AB335" s="50"/>
      <c r="AC335" s="50"/>
      <c r="AD335" s="50"/>
      <c r="AE335" s="50"/>
      <c r="AF335" s="50"/>
      <c r="AI335" s="50"/>
      <c r="AJ335" s="50"/>
      <c r="AK335" s="111"/>
      <c r="AL335" s="50"/>
      <c r="AM335" s="46"/>
      <c r="AN335" s="46"/>
    </row>
    <row r="336" spans="3:40">
      <c r="C336" s="42"/>
      <c r="T336" s="42"/>
    </row>
    <row r="337" spans="1:40">
      <c r="C337" s="42"/>
      <c r="F337" s="45"/>
      <c r="H337" s="45"/>
      <c r="I337" s="45"/>
      <c r="L337" s="45"/>
      <c r="M337" s="45"/>
      <c r="N337" s="46"/>
      <c r="O337" s="46"/>
      <c r="P337" s="164"/>
      <c r="Q337" s="164"/>
      <c r="R337" s="45"/>
      <c r="T337" s="42"/>
      <c r="V337" s="45"/>
      <c r="Y337" s="45"/>
      <c r="AA337" s="45"/>
      <c r="AB337" s="45"/>
      <c r="AC337" s="46"/>
      <c r="AD337" s="46"/>
      <c r="AE337" s="45"/>
      <c r="AF337" s="45"/>
      <c r="AH337" s="46"/>
      <c r="AI337" s="164"/>
      <c r="AJ337" s="164"/>
      <c r="AL337" s="45"/>
      <c r="AM337" s="46"/>
      <c r="AN337" s="46"/>
    </row>
    <row r="338" spans="1:40">
      <c r="F338" s="50"/>
      <c r="H338" s="50"/>
      <c r="I338" s="50"/>
      <c r="J338" s="326"/>
      <c r="K338" s="326"/>
      <c r="L338" s="50"/>
      <c r="M338" s="50"/>
      <c r="N338" s="50"/>
      <c r="O338" s="50"/>
      <c r="P338" s="50"/>
      <c r="Q338" s="50"/>
      <c r="R338" s="50"/>
      <c r="V338" s="50"/>
      <c r="Y338" s="50"/>
      <c r="Z338" s="326"/>
      <c r="AA338" s="50"/>
      <c r="AB338" s="50"/>
      <c r="AC338" s="50"/>
      <c r="AD338" s="50"/>
      <c r="AE338" s="50"/>
      <c r="AF338" s="50"/>
      <c r="AI338" s="50"/>
      <c r="AJ338" s="50"/>
      <c r="AK338" s="111"/>
      <c r="AL338" s="50"/>
    </row>
    <row r="340" spans="1:40">
      <c r="C340" s="42"/>
      <c r="L340" s="45"/>
      <c r="M340" s="45"/>
      <c r="N340" s="45"/>
      <c r="O340" s="45"/>
      <c r="P340" s="45"/>
      <c r="Q340" s="45"/>
      <c r="R340" s="45"/>
      <c r="S340" s="45"/>
      <c r="T340" s="42"/>
      <c r="AA340" s="45"/>
      <c r="AB340" s="45"/>
      <c r="AC340" s="45"/>
      <c r="AD340" s="45"/>
      <c r="AI340" s="45"/>
      <c r="AJ340" s="45"/>
      <c r="AL340" s="45"/>
    </row>
    <row r="341" spans="1:40">
      <c r="A341" s="42"/>
    </row>
    <row r="343" spans="1:40">
      <c r="H343" s="42"/>
      <c r="I343" s="42"/>
      <c r="Y343" s="42"/>
    </row>
    <row r="345" spans="1:40">
      <c r="L345" s="42"/>
      <c r="M345" s="42"/>
      <c r="AA345" s="42"/>
      <c r="AB345" s="42"/>
    </row>
    <row r="346" spans="1:40">
      <c r="R346" s="42"/>
      <c r="AK346" s="110"/>
      <c r="AL346" s="42"/>
    </row>
    <row r="347" spans="1:40">
      <c r="R347" s="42"/>
      <c r="AK347" s="110"/>
      <c r="AL347" s="42"/>
    </row>
    <row r="348" spans="1:40">
      <c r="A348" s="42"/>
      <c r="R348" s="42"/>
      <c r="AK348" s="110"/>
      <c r="AL348" s="42"/>
    </row>
    <row r="349" spans="1:40">
      <c r="L349" s="42"/>
      <c r="M349" s="42"/>
      <c r="AA349" s="42"/>
      <c r="AB349" s="42"/>
    </row>
    <row r="350" spans="1:40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107"/>
      <c r="AH350" s="49"/>
      <c r="AI350" s="49"/>
      <c r="AJ350" s="49"/>
      <c r="AK350" s="107"/>
      <c r="AL350" s="49"/>
      <c r="AM350" s="49"/>
      <c r="AN350" s="49"/>
    </row>
    <row r="351" spans="1:40">
      <c r="L351" s="44"/>
      <c r="M351" s="44"/>
      <c r="N351" s="44"/>
      <c r="O351" s="44"/>
      <c r="R351" s="44"/>
      <c r="AA351" s="44"/>
      <c r="AB351" s="44"/>
      <c r="AC351" s="44"/>
      <c r="AD351" s="44"/>
      <c r="AE351" s="44"/>
      <c r="AF351" s="44"/>
      <c r="AG351" s="102"/>
      <c r="AH351" s="44"/>
      <c r="AK351" s="102"/>
      <c r="AL351" s="44"/>
      <c r="AM351" s="44"/>
      <c r="AN351" s="44"/>
    </row>
    <row r="352" spans="1:40">
      <c r="L352" s="44"/>
      <c r="M352" s="44"/>
      <c r="N352" s="44"/>
      <c r="O352" s="44"/>
      <c r="R352" s="44"/>
      <c r="Z352" s="44"/>
      <c r="AA352" s="44"/>
      <c r="AB352" s="44"/>
      <c r="AC352" s="44"/>
      <c r="AD352" s="44"/>
      <c r="AE352" s="44"/>
      <c r="AF352" s="44"/>
      <c r="AG352" s="102"/>
      <c r="AH352" s="44"/>
      <c r="AK352" s="102"/>
      <c r="AL352" s="44"/>
      <c r="AM352" s="44"/>
      <c r="AN352" s="44"/>
    </row>
    <row r="353" spans="1:40">
      <c r="A353" s="44"/>
      <c r="C353" s="44"/>
      <c r="D353" s="44"/>
      <c r="E353" s="44"/>
      <c r="F353" s="44"/>
      <c r="J353" s="44"/>
      <c r="K353" s="44"/>
      <c r="L353" s="44"/>
      <c r="M353" s="44"/>
      <c r="N353" s="44"/>
      <c r="O353" s="44"/>
      <c r="P353" s="44"/>
      <c r="Q353" s="44"/>
      <c r="R353" s="44"/>
      <c r="T353" s="44"/>
      <c r="U353" s="44"/>
      <c r="V353" s="44"/>
      <c r="Z353" s="44"/>
      <c r="AA353" s="44"/>
      <c r="AB353" s="44"/>
      <c r="AC353" s="44"/>
      <c r="AD353" s="44"/>
      <c r="AE353" s="44"/>
      <c r="AF353" s="44"/>
      <c r="AG353" s="102"/>
      <c r="AH353" s="44"/>
      <c r="AI353" s="44"/>
      <c r="AJ353" s="44"/>
      <c r="AK353" s="102"/>
      <c r="AL353" s="44"/>
      <c r="AM353" s="44"/>
      <c r="AN353" s="44"/>
    </row>
    <row r="354" spans="1:40">
      <c r="A354" s="44"/>
      <c r="C354" s="44"/>
      <c r="D354" s="44"/>
      <c r="E354" s="44"/>
      <c r="F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T354" s="44"/>
      <c r="U354" s="44"/>
      <c r="V354" s="44"/>
      <c r="Y354" s="44"/>
      <c r="Z354" s="44"/>
      <c r="AA354" s="44"/>
      <c r="AB354" s="44"/>
      <c r="AC354" s="44"/>
      <c r="AD354" s="44"/>
      <c r="AE354" s="44"/>
      <c r="AF354" s="44"/>
      <c r="AG354" s="102"/>
      <c r="AH354" s="44"/>
      <c r="AI354" s="44"/>
      <c r="AJ354" s="44"/>
      <c r="AK354" s="102"/>
      <c r="AL354" s="44"/>
      <c r="AM354" s="44"/>
      <c r="AN354" s="44"/>
    </row>
    <row r="355" spans="1:40">
      <c r="C355" s="44"/>
      <c r="D355" s="44"/>
      <c r="E355" s="44"/>
      <c r="F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T355" s="44"/>
      <c r="U355" s="44"/>
      <c r="V355" s="44"/>
      <c r="Y355" s="44"/>
      <c r="Z355" s="44"/>
      <c r="AA355" s="44"/>
      <c r="AB355" s="44"/>
      <c r="AC355" s="44"/>
      <c r="AD355" s="44"/>
      <c r="AE355" s="44"/>
      <c r="AF355" s="44"/>
      <c r="AG355" s="102"/>
      <c r="AH355" s="44"/>
      <c r="AI355" s="44"/>
      <c r="AJ355" s="44"/>
      <c r="AK355" s="102"/>
      <c r="AL355" s="44"/>
      <c r="AM355" s="44"/>
      <c r="AN355" s="44"/>
    </row>
    <row r="356" spans="1:40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107"/>
      <c r="AH356" s="49"/>
      <c r="AI356" s="49"/>
      <c r="AJ356" s="49"/>
      <c r="AK356" s="107"/>
      <c r="AL356" s="49"/>
      <c r="AM356" s="49"/>
      <c r="AN356" s="49"/>
    </row>
    <row r="357" spans="1:40"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Y357" s="44"/>
      <c r="Z357" s="44"/>
      <c r="AA357" s="44"/>
      <c r="AB357" s="44"/>
      <c r="AC357" s="44"/>
      <c r="AD357" s="44"/>
      <c r="AE357" s="44"/>
      <c r="AF357" s="44"/>
      <c r="AG357" s="102"/>
      <c r="AH357" s="44"/>
      <c r="AI357" s="44"/>
      <c r="AJ357" s="44"/>
      <c r="AK357" s="102"/>
      <c r="AL357" s="44"/>
      <c r="AM357" s="44"/>
      <c r="AN357" s="44"/>
    </row>
    <row r="358" spans="1:40">
      <c r="C358" s="42"/>
      <c r="D358" s="42"/>
      <c r="E358" s="42"/>
      <c r="T358" s="42"/>
      <c r="U358" s="42"/>
    </row>
    <row r="359" spans="1:40">
      <c r="D359" s="42"/>
      <c r="E359" s="42"/>
      <c r="U359" s="42"/>
    </row>
    <row r="361" spans="1:40">
      <c r="C361" s="42"/>
      <c r="T361" s="42"/>
    </row>
    <row r="362" spans="1:40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164"/>
      <c r="W362" s="45"/>
      <c r="X362" s="45"/>
      <c r="Y362" s="164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1:40">
      <c r="C363" s="42"/>
      <c r="F363" s="45"/>
      <c r="H363" s="45"/>
      <c r="I363" s="45"/>
      <c r="J363" s="326"/>
      <c r="K363" s="326"/>
      <c r="L363" s="45"/>
      <c r="M363" s="45"/>
      <c r="N363" s="46"/>
      <c r="O363" s="46"/>
      <c r="P363" s="45"/>
      <c r="Q363" s="45"/>
      <c r="R363" s="45"/>
      <c r="T363" s="42"/>
      <c r="V363" s="164"/>
      <c r="W363" s="45"/>
      <c r="X363" s="45"/>
      <c r="Y363" s="164"/>
      <c r="Z363" s="326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1:40">
      <c r="C364" s="42"/>
      <c r="F364" s="164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T364" s="42"/>
      <c r="V364" s="164"/>
      <c r="W364" s="45"/>
      <c r="X364" s="45"/>
      <c r="Y364" s="164"/>
      <c r="Z364" s="132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1:40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164"/>
      <c r="W365" s="45"/>
      <c r="X365" s="45"/>
      <c r="Y365" s="164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1:40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164"/>
      <c r="W366" s="45"/>
      <c r="X366" s="45"/>
      <c r="Y366" s="164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1:40">
      <c r="C367" s="42"/>
      <c r="F367" s="45"/>
      <c r="H367" s="45"/>
      <c r="I367" s="45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164"/>
      <c r="W367" s="45"/>
      <c r="X367" s="45"/>
      <c r="Y367" s="164"/>
      <c r="Z367" s="132"/>
      <c r="AA367" s="45"/>
      <c r="AB367" s="45"/>
      <c r="AC367" s="46"/>
      <c r="AD367" s="46"/>
      <c r="AE367" s="45"/>
      <c r="AF367" s="45"/>
      <c r="AH367" s="51"/>
      <c r="AI367" s="45"/>
      <c r="AJ367" s="45"/>
      <c r="AL367" s="45"/>
      <c r="AM367" s="46"/>
      <c r="AN367" s="46"/>
    </row>
    <row r="368" spans="1:40">
      <c r="C368" s="42"/>
      <c r="F368" s="45"/>
      <c r="H368" s="45"/>
      <c r="I368" s="45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164"/>
      <c r="W368" s="45"/>
      <c r="X368" s="45"/>
      <c r="Y368" s="164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>
      <c r="F369" s="54"/>
      <c r="H369" s="338"/>
      <c r="I369" s="338"/>
      <c r="J369" s="132"/>
      <c r="K369" s="132"/>
      <c r="L369" s="54"/>
      <c r="M369" s="54"/>
      <c r="N369" s="50"/>
      <c r="O369" s="50"/>
      <c r="P369" s="54"/>
      <c r="Q369" s="54"/>
      <c r="R369" s="54"/>
      <c r="V369" s="54"/>
      <c r="W369" s="45"/>
      <c r="X369" s="45"/>
      <c r="Y369" s="54"/>
      <c r="Z369" s="132"/>
      <c r="AA369" s="54"/>
      <c r="AB369" s="54"/>
      <c r="AC369" s="55"/>
      <c r="AD369" s="55"/>
      <c r="AE369" s="54"/>
      <c r="AF369" s="54"/>
      <c r="AH369" s="51"/>
      <c r="AI369" s="54"/>
      <c r="AJ369" s="54"/>
      <c r="AK369" s="107"/>
      <c r="AL369" s="54"/>
      <c r="AM369" s="46"/>
      <c r="AN369" s="46"/>
    </row>
    <row r="370" spans="3:40">
      <c r="C370" s="42"/>
      <c r="F370" s="45"/>
      <c r="H370" s="45"/>
      <c r="I370" s="45"/>
      <c r="J370" s="132"/>
      <c r="K370" s="132"/>
      <c r="L370" s="45"/>
      <c r="M370" s="45"/>
      <c r="N370" s="51"/>
      <c r="O370" s="51"/>
      <c r="P370" s="45"/>
      <c r="Q370" s="45"/>
      <c r="R370" s="45"/>
      <c r="T370" s="44"/>
      <c r="V370" s="45"/>
      <c r="W370" s="45"/>
      <c r="X370" s="45"/>
      <c r="Y370" s="45"/>
      <c r="Z370" s="132"/>
      <c r="AA370" s="45"/>
      <c r="AB370" s="45"/>
      <c r="AC370" s="51"/>
      <c r="AD370" s="51"/>
      <c r="AE370" s="45"/>
      <c r="AF370" s="45"/>
      <c r="AH370" s="51"/>
      <c r="AI370" s="45"/>
      <c r="AJ370" s="45"/>
      <c r="AL370" s="45"/>
      <c r="AM370" s="46"/>
      <c r="AN370" s="46"/>
    </row>
    <row r="371" spans="3:40">
      <c r="F371" s="49"/>
      <c r="H371" s="49"/>
      <c r="I371" s="49"/>
      <c r="L371" s="49"/>
      <c r="M371" s="49"/>
      <c r="N371" s="55"/>
      <c r="O371" s="55"/>
      <c r="P371" s="54"/>
      <c r="Q371" s="54"/>
      <c r="R371" s="54"/>
      <c r="V371" s="54"/>
      <c r="Y371" s="54"/>
      <c r="Z371" s="326"/>
      <c r="AA371" s="54"/>
      <c r="AB371" s="54"/>
      <c r="AC371" s="54"/>
      <c r="AD371" s="54"/>
      <c r="AE371" s="54"/>
      <c r="AF371" s="54"/>
      <c r="AI371" s="54"/>
      <c r="AJ371" s="54"/>
      <c r="AK371" s="107"/>
      <c r="AL371" s="54"/>
      <c r="AM371" s="55"/>
      <c r="AN371" s="55"/>
    </row>
    <row r="376" spans="3:40">
      <c r="N376" s="45"/>
      <c r="O376" s="45"/>
      <c r="P376" s="45"/>
      <c r="Q376" s="45"/>
      <c r="R376" s="45"/>
      <c r="V376" s="45"/>
      <c r="Y376" s="45"/>
      <c r="Z376" s="47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>
      <c r="C377" s="42"/>
      <c r="D377" s="42"/>
      <c r="E377" s="42"/>
      <c r="J377" s="56"/>
      <c r="K377" s="56"/>
      <c r="T377" s="42"/>
      <c r="U377" s="42"/>
      <c r="Z377" s="56"/>
      <c r="AE377" s="45"/>
      <c r="AF377" s="45"/>
      <c r="AI377" s="45"/>
      <c r="AJ377" s="45"/>
      <c r="AL377" s="45"/>
      <c r="AM377" s="46"/>
      <c r="AN377" s="46"/>
    </row>
    <row r="378" spans="3:40">
      <c r="D378" s="42"/>
      <c r="E378" s="42"/>
      <c r="F378" s="45"/>
      <c r="H378" s="45"/>
      <c r="I378" s="45"/>
      <c r="J378" s="132"/>
      <c r="K378" s="132"/>
      <c r="L378" s="45"/>
      <c r="M378" s="45"/>
      <c r="N378" s="46"/>
      <c r="O378" s="46"/>
      <c r="P378" s="45"/>
      <c r="Q378" s="45"/>
      <c r="R378" s="45"/>
      <c r="U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>
      <c r="F379" s="45"/>
      <c r="H379" s="45"/>
      <c r="I379" s="45"/>
      <c r="J379" s="326"/>
      <c r="K379" s="326"/>
      <c r="L379" s="45"/>
      <c r="M379" s="45"/>
      <c r="N379" s="45"/>
      <c r="O379" s="45"/>
      <c r="P379" s="45"/>
      <c r="Q379" s="45"/>
      <c r="R379" s="45"/>
      <c r="V379" s="45"/>
      <c r="Y379" s="45"/>
      <c r="Z379" s="326"/>
      <c r="AA379" s="45"/>
      <c r="AB379" s="45"/>
      <c r="AC379" s="45"/>
      <c r="AD379" s="45"/>
      <c r="AE379" s="45"/>
      <c r="AF379" s="45"/>
      <c r="AH379" s="51"/>
      <c r="AI379" s="164"/>
      <c r="AJ379" s="164"/>
      <c r="AL379" s="45"/>
      <c r="AM379" s="46"/>
      <c r="AN379" s="46"/>
    </row>
    <row r="380" spans="3:40">
      <c r="C380" s="42"/>
      <c r="F380" s="164"/>
      <c r="H380" s="164"/>
      <c r="I380" s="164"/>
      <c r="J380" s="325"/>
      <c r="K380" s="325"/>
      <c r="L380" s="45"/>
      <c r="M380" s="45"/>
      <c r="N380" s="46"/>
      <c r="O380" s="46"/>
      <c r="P380" s="45"/>
      <c r="Q380" s="45"/>
      <c r="R380" s="45"/>
      <c r="T380" s="42"/>
      <c r="V380" s="164"/>
      <c r="Y380" s="164"/>
      <c r="Z380" s="325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>
      <c r="F381" s="49"/>
      <c r="H381" s="49"/>
      <c r="I381" s="49"/>
      <c r="L381" s="49"/>
      <c r="M381" s="49"/>
      <c r="N381" s="49"/>
      <c r="O381" s="49"/>
      <c r="P381" s="49"/>
      <c r="Q381" s="49"/>
      <c r="R381" s="49"/>
      <c r="V381" s="49"/>
      <c r="Y381" s="49"/>
      <c r="AA381" s="49"/>
      <c r="AB381" s="49"/>
      <c r="AC381" s="49"/>
      <c r="AD381" s="49"/>
      <c r="AE381" s="49"/>
      <c r="AF381" s="49"/>
      <c r="AG381" s="107"/>
      <c r="AH381" s="49"/>
      <c r="AI381" s="49"/>
      <c r="AJ381" s="49"/>
      <c r="AK381" s="107"/>
      <c r="AL381" s="49"/>
      <c r="AM381" s="49"/>
      <c r="AN381" s="49"/>
    </row>
    <row r="382" spans="3:40">
      <c r="C382" s="44"/>
      <c r="F382" s="164"/>
      <c r="H382" s="164"/>
      <c r="I382" s="164"/>
      <c r="J382" s="316"/>
      <c r="K382" s="316"/>
      <c r="L382" s="164"/>
      <c r="M382" s="164"/>
      <c r="N382" s="46"/>
      <c r="O382" s="46"/>
      <c r="P382" s="164"/>
      <c r="Q382" s="164"/>
      <c r="R382" s="164"/>
      <c r="T382" s="44"/>
      <c r="V382" s="45"/>
      <c r="Y382" s="45"/>
      <c r="Z382" s="47"/>
      <c r="AA382" s="45"/>
      <c r="AB382" s="45"/>
      <c r="AC382" s="46"/>
      <c r="AD382" s="46"/>
      <c r="AH382" s="51"/>
      <c r="AI382" s="45"/>
      <c r="AJ382" s="45"/>
      <c r="AL382" s="45"/>
      <c r="AM382" s="46"/>
      <c r="AN382" s="46"/>
    </row>
    <row r="383" spans="3:40">
      <c r="F383" s="54"/>
      <c r="H383" s="54"/>
      <c r="I383" s="54"/>
      <c r="J383" s="326"/>
      <c r="K383" s="326"/>
      <c r="L383" s="54"/>
      <c r="M383" s="54"/>
      <c r="N383" s="54"/>
      <c r="O383" s="54"/>
      <c r="P383" s="54"/>
      <c r="Q383" s="54"/>
      <c r="R383" s="54"/>
      <c r="V383" s="49"/>
      <c r="Y383" s="49"/>
      <c r="AA383" s="49"/>
      <c r="AB383" s="49"/>
      <c r="AC383" s="49"/>
      <c r="AD383" s="49"/>
      <c r="AE383" s="49"/>
      <c r="AF383" s="49"/>
      <c r="AG383" s="107"/>
      <c r="AH383" s="49"/>
      <c r="AI383" s="49"/>
      <c r="AJ383" s="49"/>
      <c r="AK383" s="107"/>
      <c r="AL383" s="49"/>
      <c r="AM383" s="49"/>
      <c r="AN383" s="49"/>
    </row>
    <row r="384" spans="3:40">
      <c r="F384" s="164"/>
      <c r="H384" s="164"/>
      <c r="I384" s="164"/>
      <c r="J384" s="336"/>
      <c r="K384" s="336"/>
      <c r="L384" s="45"/>
      <c r="M384" s="45"/>
      <c r="N384" s="46"/>
      <c r="O384" s="46"/>
      <c r="P384" s="45"/>
      <c r="Q384" s="45"/>
      <c r="R384" s="45"/>
    </row>
    <row r="385" spans="1:40">
      <c r="A385" s="42"/>
      <c r="F385" s="164"/>
      <c r="H385" s="164"/>
      <c r="I385" s="164"/>
      <c r="J385" s="316"/>
      <c r="K385" s="316"/>
      <c r="L385" s="45"/>
      <c r="M385" s="45"/>
      <c r="N385" s="46"/>
      <c r="O385" s="46"/>
      <c r="P385" s="45"/>
      <c r="Q385" s="45"/>
      <c r="R385" s="45"/>
    </row>
    <row r="386" spans="1:40">
      <c r="F386" s="164"/>
      <c r="H386" s="164"/>
      <c r="I386" s="164"/>
      <c r="J386" s="316"/>
      <c r="K386" s="316"/>
      <c r="L386" s="45"/>
      <c r="M386" s="45"/>
      <c r="N386" s="46"/>
      <c r="O386" s="46"/>
      <c r="P386" s="45"/>
      <c r="Q386" s="45"/>
      <c r="R386" s="45"/>
    </row>
    <row r="387" spans="1:40">
      <c r="A387" s="42"/>
    </row>
    <row r="390" spans="1:40">
      <c r="H390" s="42"/>
      <c r="I390" s="42"/>
      <c r="Y390" s="42"/>
    </row>
    <row r="392" spans="1:40">
      <c r="L392" s="42"/>
      <c r="M392" s="42"/>
      <c r="AA392" s="42"/>
      <c r="AB392" s="42"/>
    </row>
    <row r="393" spans="1:40">
      <c r="R393" s="42"/>
      <c r="AK393" s="110"/>
      <c r="AL393" s="42"/>
    </row>
    <row r="394" spans="1:40">
      <c r="R394" s="42"/>
      <c r="AK394" s="110"/>
      <c r="AL394" s="42"/>
    </row>
    <row r="395" spans="1:40">
      <c r="A395" s="42"/>
      <c r="R395" s="42"/>
      <c r="AK395" s="110"/>
      <c r="AL395" s="42"/>
    </row>
    <row r="396" spans="1:40">
      <c r="L396" s="42"/>
      <c r="M396" s="42"/>
      <c r="AA396" s="42"/>
      <c r="AB396" s="42"/>
    </row>
    <row r="397" spans="1:40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107"/>
      <c r="AH397" s="49"/>
      <c r="AI397" s="49"/>
      <c r="AJ397" s="49"/>
      <c r="AK397" s="107"/>
      <c r="AL397" s="49"/>
      <c r="AM397" s="49"/>
      <c r="AN397" s="49"/>
    </row>
    <row r="398" spans="1:40">
      <c r="L398" s="44"/>
      <c r="M398" s="44"/>
      <c r="N398" s="44"/>
      <c r="O398" s="44"/>
      <c r="R398" s="44"/>
      <c r="AA398" s="44"/>
      <c r="AB398" s="44"/>
      <c r="AC398" s="44"/>
      <c r="AD398" s="44"/>
      <c r="AE398" s="44"/>
      <c r="AF398" s="44"/>
      <c r="AG398" s="102"/>
      <c r="AH398" s="44"/>
      <c r="AK398" s="102"/>
      <c r="AL398" s="44"/>
      <c r="AM398" s="44"/>
      <c r="AN398" s="44"/>
    </row>
    <row r="399" spans="1:40">
      <c r="L399" s="44"/>
      <c r="M399" s="44"/>
      <c r="N399" s="44"/>
      <c r="O399" s="44"/>
      <c r="R399" s="44"/>
      <c r="Z399" s="44"/>
      <c r="AA399" s="44"/>
      <c r="AB399" s="44"/>
      <c r="AC399" s="44"/>
      <c r="AD399" s="44"/>
      <c r="AE399" s="44"/>
      <c r="AF399" s="44"/>
      <c r="AG399" s="102"/>
      <c r="AH399" s="44"/>
      <c r="AK399" s="102"/>
      <c r="AL399" s="44"/>
      <c r="AM399" s="44"/>
      <c r="AN399" s="44"/>
    </row>
    <row r="400" spans="1:40">
      <c r="A400" s="44"/>
      <c r="C400" s="44"/>
      <c r="D400" s="44"/>
      <c r="E400" s="44"/>
      <c r="F400" s="44"/>
      <c r="J400" s="44"/>
      <c r="K400" s="44"/>
      <c r="L400" s="44"/>
      <c r="M400" s="44"/>
      <c r="N400" s="44"/>
      <c r="O400" s="44"/>
      <c r="P400" s="44"/>
      <c r="Q400" s="44"/>
      <c r="R400" s="44"/>
      <c r="T400" s="44"/>
      <c r="U400" s="44"/>
      <c r="V400" s="44"/>
      <c r="Z400" s="44"/>
      <c r="AA400" s="44"/>
      <c r="AB400" s="44"/>
      <c r="AC400" s="44"/>
      <c r="AD400" s="44"/>
      <c r="AE400" s="44"/>
      <c r="AF400" s="44"/>
      <c r="AG400" s="102"/>
      <c r="AH400" s="44"/>
      <c r="AI400" s="44"/>
      <c r="AJ400" s="44"/>
      <c r="AK400" s="102"/>
      <c r="AL400" s="44"/>
      <c r="AM400" s="44"/>
      <c r="AN400" s="44"/>
    </row>
    <row r="401" spans="1:40">
      <c r="A401" s="44"/>
      <c r="C401" s="44"/>
      <c r="D401" s="44"/>
      <c r="E401" s="44"/>
      <c r="F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T401" s="44"/>
      <c r="U401" s="44"/>
      <c r="V401" s="44"/>
      <c r="Y401" s="44"/>
      <c r="Z401" s="44"/>
      <c r="AA401" s="44"/>
      <c r="AB401" s="44"/>
      <c r="AC401" s="44"/>
      <c r="AD401" s="44"/>
      <c r="AE401" s="44"/>
      <c r="AF401" s="44"/>
      <c r="AG401" s="102"/>
      <c r="AH401" s="44"/>
      <c r="AI401" s="44"/>
      <c r="AJ401" s="44"/>
      <c r="AK401" s="102"/>
      <c r="AL401" s="44"/>
      <c r="AM401" s="44"/>
      <c r="AN401" s="44"/>
    </row>
    <row r="402" spans="1:40">
      <c r="C402" s="44"/>
      <c r="D402" s="44"/>
      <c r="E402" s="44"/>
      <c r="F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T402" s="44"/>
      <c r="U402" s="44"/>
      <c r="V402" s="44"/>
      <c r="Y402" s="44"/>
      <c r="Z402" s="44"/>
      <c r="AA402" s="44"/>
      <c r="AB402" s="44"/>
      <c r="AC402" s="44"/>
      <c r="AD402" s="44"/>
      <c r="AE402" s="44"/>
      <c r="AF402" s="44"/>
      <c r="AG402" s="102"/>
      <c r="AH402" s="44"/>
      <c r="AI402" s="44"/>
      <c r="AJ402" s="44"/>
      <c r="AK402" s="102"/>
      <c r="AL402" s="44"/>
      <c r="AM402" s="44"/>
      <c r="AN402" s="44"/>
    </row>
    <row r="403" spans="1:40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107"/>
      <c r="AH403" s="49"/>
      <c r="AI403" s="49"/>
      <c r="AJ403" s="49"/>
      <c r="AK403" s="107"/>
      <c r="AL403" s="49"/>
      <c r="AM403" s="49"/>
      <c r="AN403" s="49"/>
    </row>
    <row r="404" spans="1:40"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Y404" s="44"/>
      <c r="Z404" s="44"/>
      <c r="AA404" s="44"/>
      <c r="AB404" s="44"/>
      <c r="AC404" s="44"/>
      <c r="AD404" s="44"/>
      <c r="AE404" s="44"/>
      <c r="AF404" s="44"/>
      <c r="AG404" s="102"/>
      <c r="AH404" s="44"/>
      <c r="AI404" s="44"/>
      <c r="AJ404" s="44"/>
      <c r="AK404" s="102"/>
      <c r="AL404" s="44"/>
      <c r="AM404" s="44"/>
      <c r="AN404" s="44"/>
    </row>
    <row r="405" spans="1:40">
      <c r="C405" s="42"/>
      <c r="D405" s="42"/>
      <c r="E405" s="42"/>
      <c r="T405" s="42"/>
      <c r="U405" s="42"/>
    </row>
    <row r="407" spans="1:40">
      <c r="C407" s="42"/>
      <c r="T407" s="42"/>
    </row>
    <row r="408" spans="1:40">
      <c r="C408" s="42"/>
      <c r="F408" s="164"/>
      <c r="H408" s="164"/>
      <c r="I408" s="164"/>
      <c r="J408" s="326"/>
      <c r="K408" s="326"/>
      <c r="L408" s="45"/>
      <c r="M408" s="45"/>
      <c r="N408" s="46"/>
      <c r="O408" s="46"/>
      <c r="P408" s="45"/>
      <c r="Q408" s="45"/>
      <c r="R408" s="45"/>
      <c r="T408" s="42"/>
      <c r="V408" s="164"/>
      <c r="Y408" s="164"/>
      <c r="Z408" s="326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1:40">
      <c r="C409" s="42"/>
      <c r="T409" s="42"/>
    </row>
    <row r="410" spans="1:40">
      <c r="C410" s="42"/>
      <c r="F410" s="164"/>
      <c r="H410" s="164"/>
      <c r="I410" s="164"/>
      <c r="J410" s="132"/>
      <c r="K410" s="132"/>
      <c r="L410" s="45"/>
      <c r="M410" s="45"/>
      <c r="N410" s="46"/>
      <c r="O410" s="46"/>
      <c r="P410" s="45"/>
      <c r="Q410" s="45"/>
      <c r="R410" s="45"/>
      <c r="T410" s="42"/>
      <c r="V410" s="45"/>
      <c r="Y410" s="45"/>
      <c r="Z410" s="132"/>
      <c r="AA410" s="45"/>
      <c r="AB410" s="45"/>
      <c r="AC410" s="46"/>
      <c r="AD410" s="46"/>
      <c r="AE410" s="45"/>
      <c r="AF410" s="45"/>
      <c r="AH410" s="51"/>
      <c r="AI410" s="45"/>
      <c r="AJ410" s="45"/>
      <c r="AL410" s="45"/>
      <c r="AM410" s="46"/>
      <c r="AN410" s="46"/>
    </row>
    <row r="411" spans="1:40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1:40">
      <c r="C412" s="42"/>
      <c r="F412" s="164"/>
      <c r="H412" s="164"/>
      <c r="I412" s="164"/>
      <c r="J412" s="132"/>
      <c r="K412" s="132"/>
      <c r="L412" s="45"/>
      <c r="M412" s="45"/>
      <c r="N412" s="46"/>
      <c r="O412" s="46"/>
      <c r="P412" s="45"/>
      <c r="Q412" s="45"/>
      <c r="R412" s="45"/>
      <c r="T412" s="42"/>
      <c r="V412" s="45"/>
      <c r="Y412" s="45"/>
      <c r="Z412" s="132"/>
      <c r="AA412" s="45"/>
      <c r="AB412" s="45"/>
      <c r="AC412" s="46"/>
      <c r="AD412" s="46"/>
      <c r="AE412" s="45"/>
      <c r="AF412" s="45"/>
      <c r="AH412" s="51"/>
      <c r="AI412" s="45"/>
      <c r="AJ412" s="45"/>
      <c r="AL412" s="45"/>
      <c r="AM412" s="46"/>
      <c r="AN412" s="46"/>
    </row>
    <row r="413" spans="1:40">
      <c r="C413" s="42"/>
      <c r="F413" s="164"/>
      <c r="H413" s="164"/>
      <c r="I413" s="164"/>
      <c r="J413" s="132"/>
      <c r="K413" s="132"/>
      <c r="L413" s="45"/>
      <c r="M413" s="45"/>
      <c r="N413" s="46"/>
      <c r="O413" s="46"/>
      <c r="P413" s="45"/>
      <c r="Q413" s="45"/>
      <c r="R413" s="45"/>
      <c r="T413" s="42"/>
      <c r="V413" s="45"/>
      <c r="Y413" s="45"/>
      <c r="Z413" s="132"/>
      <c r="AA413" s="45"/>
      <c r="AB413" s="45"/>
      <c r="AC413" s="46"/>
      <c r="AD413" s="46"/>
      <c r="AE413" s="45"/>
      <c r="AF413" s="45"/>
      <c r="AH413" s="51"/>
      <c r="AI413" s="45"/>
      <c r="AJ413" s="45"/>
      <c r="AL413" s="45"/>
      <c r="AM413" s="46"/>
      <c r="AN413" s="46"/>
    </row>
    <row r="414" spans="1:40">
      <c r="C414" s="42"/>
      <c r="J414" s="56"/>
      <c r="K414" s="56"/>
      <c r="T414" s="42"/>
      <c r="Z414" s="56"/>
    </row>
    <row r="415" spans="1:40">
      <c r="C415" s="42"/>
      <c r="F415" s="164"/>
      <c r="H415" s="164"/>
      <c r="I415" s="164"/>
      <c r="J415" s="132"/>
      <c r="K415" s="132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132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1:40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>
      <c r="C417" s="42"/>
      <c r="F417" s="164"/>
      <c r="H417" s="164"/>
      <c r="I417" s="164"/>
      <c r="J417" s="132"/>
      <c r="K417" s="132"/>
      <c r="L417" s="45"/>
      <c r="M417" s="45"/>
      <c r="N417" s="46"/>
      <c r="O417" s="46"/>
      <c r="P417" s="45"/>
      <c r="Q417" s="45"/>
      <c r="R417" s="45"/>
      <c r="T417" s="42"/>
      <c r="V417" s="45"/>
      <c r="Y417" s="45"/>
      <c r="Z417" s="132"/>
      <c r="AA417" s="45"/>
      <c r="AB417" s="45"/>
      <c r="AC417" s="46"/>
      <c r="AD417" s="46"/>
      <c r="AE417" s="45"/>
      <c r="AF417" s="45"/>
      <c r="AH417" s="51"/>
      <c r="AI417" s="45"/>
      <c r="AJ417" s="45"/>
      <c r="AL417" s="45"/>
      <c r="AM417" s="46"/>
      <c r="AN417" s="46"/>
    </row>
    <row r="418" spans="3:40">
      <c r="C418" s="42"/>
      <c r="J418" s="56"/>
      <c r="K418" s="56"/>
      <c r="T418" s="42"/>
      <c r="Z418" s="56"/>
    </row>
    <row r="419" spans="3:40">
      <c r="C419" s="42"/>
      <c r="F419" s="164"/>
      <c r="H419" s="164"/>
      <c r="I419" s="164"/>
      <c r="J419" s="132"/>
      <c r="K419" s="132"/>
      <c r="L419" s="45"/>
      <c r="M419" s="45"/>
      <c r="N419" s="46"/>
      <c r="O419" s="46"/>
      <c r="P419" s="45"/>
      <c r="Q419" s="45"/>
      <c r="R419" s="45"/>
      <c r="T419" s="42"/>
      <c r="V419" s="45"/>
      <c r="Y419" s="45"/>
      <c r="Z419" s="132"/>
      <c r="AA419" s="45"/>
      <c r="AB419" s="45"/>
      <c r="AC419" s="46"/>
      <c r="AD419" s="46"/>
      <c r="AE419" s="45"/>
      <c r="AF419" s="45"/>
      <c r="AH419" s="51"/>
      <c r="AI419" s="45"/>
      <c r="AJ419" s="45"/>
      <c r="AL419" s="45"/>
      <c r="AM419" s="46"/>
      <c r="AN419" s="46"/>
    </row>
    <row r="420" spans="3:40">
      <c r="C420" s="42"/>
      <c r="F420" s="164"/>
      <c r="H420" s="164"/>
      <c r="I420" s="164"/>
      <c r="J420" s="132"/>
      <c r="K420" s="132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132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>
      <c r="C421" s="42"/>
      <c r="J421" s="56"/>
      <c r="K421" s="56"/>
      <c r="T421" s="42"/>
      <c r="Z421" s="56"/>
    </row>
    <row r="422" spans="3:40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>
      <c r="F425" s="50"/>
      <c r="H425" s="50"/>
      <c r="I425" s="50"/>
      <c r="J425" s="132"/>
      <c r="K425" s="132"/>
      <c r="L425" s="50"/>
      <c r="M425" s="50"/>
      <c r="N425" s="50"/>
      <c r="O425" s="50"/>
      <c r="P425" s="50"/>
      <c r="Q425" s="50"/>
      <c r="R425" s="50"/>
      <c r="V425" s="50"/>
      <c r="Y425" s="50"/>
      <c r="Z425" s="132"/>
      <c r="AA425" s="50"/>
      <c r="AB425" s="50"/>
      <c r="AC425" s="50"/>
      <c r="AD425" s="50"/>
      <c r="AE425" s="50"/>
      <c r="AF425" s="50"/>
      <c r="AI425" s="50"/>
      <c r="AJ425" s="50"/>
      <c r="AK425" s="111"/>
      <c r="AL425" s="50"/>
    </row>
    <row r="426" spans="3:40">
      <c r="C426" s="44"/>
      <c r="F426" s="45"/>
      <c r="H426" s="45"/>
      <c r="I426" s="45"/>
      <c r="J426" s="56"/>
      <c r="K426" s="56"/>
      <c r="L426" s="45"/>
      <c r="M426" s="45"/>
      <c r="N426" s="51"/>
      <c r="O426" s="51"/>
      <c r="P426" s="45"/>
      <c r="Q426" s="45"/>
      <c r="R426" s="45"/>
      <c r="T426" s="44"/>
      <c r="V426" s="45"/>
      <c r="Y426" s="45"/>
      <c r="Z426" s="56"/>
      <c r="AA426" s="45"/>
      <c r="AB426" s="45"/>
      <c r="AC426" s="45"/>
      <c r="AD426" s="45"/>
      <c r="AE426" s="45"/>
      <c r="AF426" s="45"/>
      <c r="AH426" s="51"/>
      <c r="AI426" s="45"/>
      <c r="AJ426" s="45"/>
      <c r="AL426" s="45"/>
      <c r="AM426" s="46"/>
      <c r="AN426" s="46"/>
    </row>
    <row r="427" spans="3:40">
      <c r="F427" s="50"/>
      <c r="H427" s="50"/>
      <c r="I427" s="50"/>
      <c r="J427" s="132"/>
      <c r="K427" s="132"/>
      <c r="L427" s="50"/>
      <c r="M427" s="50"/>
      <c r="N427" s="50"/>
      <c r="O427" s="50"/>
      <c r="P427" s="50"/>
      <c r="Q427" s="50"/>
      <c r="R427" s="50"/>
      <c r="V427" s="50"/>
      <c r="Y427" s="50"/>
      <c r="Z427" s="132"/>
      <c r="AA427" s="50"/>
      <c r="AB427" s="50"/>
      <c r="AC427" s="50"/>
      <c r="AD427" s="50"/>
      <c r="AE427" s="50"/>
      <c r="AF427" s="50"/>
      <c r="AI427" s="50"/>
      <c r="AJ427" s="50"/>
      <c r="AK427" s="111"/>
      <c r="AL427" s="50"/>
    </row>
    <row r="428" spans="3:40">
      <c r="C428" s="42"/>
      <c r="J428" s="56"/>
      <c r="K428" s="56"/>
      <c r="T428" s="42"/>
      <c r="Z428" s="56"/>
    </row>
    <row r="429" spans="3:40">
      <c r="C429" s="42"/>
      <c r="J429" s="56"/>
      <c r="K429" s="56"/>
      <c r="T429" s="42"/>
      <c r="Z429" s="56"/>
    </row>
    <row r="430" spans="3:40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>
      <c r="C431" s="42"/>
      <c r="F431" s="164"/>
      <c r="H431" s="164"/>
      <c r="I431" s="164"/>
      <c r="J431" s="132"/>
      <c r="K431" s="132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132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3:40">
      <c r="C432" s="42"/>
      <c r="F432" s="164"/>
      <c r="H432" s="164"/>
      <c r="I432" s="164"/>
      <c r="J432" s="132"/>
      <c r="K432" s="132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132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3:40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>
      <c r="C436" s="42"/>
      <c r="F436" s="164"/>
      <c r="H436" s="164"/>
      <c r="I436" s="164"/>
      <c r="J436" s="132"/>
      <c r="K436" s="132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132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3:40">
      <c r="C437" s="42"/>
      <c r="J437" s="56"/>
      <c r="K437" s="56"/>
      <c r="T437" s="42"/>
      <c r="Z437" s="56"/>
    </row>
    <row r="438" spans="3:40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>
      <c r="C441" s="42"/>
      <c r="F441" s="164"/>
      <c r="H441" s="164"/>
      <c r="I441" s="164"/>
      <c r="J441" s="132"/>
      <c r="K441" s="132"/>
      <c r="L441" s="45"/>
      <c r="M441" s="45"/>
      <c r="N441" s="46"/>
      <c r="O441" s="46"/>
      <c r="P441" s="45"/>
      <c r="Q441" s="45"/>
      <c r="R441" s="45"/>
      <c r="T441" s="42"/>
      <c r="V441" s="45"/>
      <c r="Y441" s="45"/>
      <c r="Z441" s="132"/>
      <c r="AA441" s="45"/>
      <c r="AB441" s="45"/>
      <c r="AC441" s="46"/>
      <c r="AD441" s="46"/>
      <c r="AE441" s="45"/>
      <c r="AF441" s="45"/>
      <c r="AH441" s="51"/>
      <c r="AI441" s="45"/>
      <c r="AJ441" s="45"/>
      <c r="AL441" s="45"/>
      <c r="AM441" s="46"/>
      <c r="AN441" s="46"/>
    </row>
    <row r="442" spans="3:40">
      <c r="C442" s="42"/>
      <c r="J442" s="56"/>
      <c r="K442" s="56"/>
      <c r="T442" s="42"/>
      <c r="Z442" s="56"/>
    </row>
    <row r="443" spans="3:40">
      <c r="C443" s="42"/>
      <c r="F443" s="164"/>
      <c r="H443" s="164"/>
      <c r="I443" s="164"/>
      <c r="J443" s="132"/>
      <c r="K443" s="132"/>
      <c r="L443" s="45"/>
      <c r="M443" s="45"/>
      <c r="N443" s="46"/>
      <c r="O443" s="46"/>
      <c r="P443" s="45"/>
      <c r="Q443" s="45"/>
      <c r="R443" s="45"/>
      <c r="T443" s="42"/>
      <c r="V443" s="45"/>
      <c r="Y443" s="45"/>
      <c r="Z443" s="132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>
      <c r="C444" s="42"/>
      <c r="F444" s="164"/>
      <c r="H444" s="164"/>
      <c r="I444" s="164"/>
      <c r="J444" s="132"/>
      <c r="K444" s="132"/>
      <c r="L444" s="45"/>
      <c r="M444" s="45"/>
      <c r="N444" s="46"/>
      <c r="O444" s="46"/>
      <c r="P444" s="45"/>
      <c r="Q444" s="45"/>
      <c r="R444" s="45"/>
      <c r="T444" s="42"/>
      <c r="V444" s="45"/>
      <c r="Y444" s="45"/>
      <c r="Z444" s="132"/>
      <c r="AA444" s="45"/>
      <c r="AB444" s="45"/>
      <c r="AC444" s="46"/>
      <c r="AD444" s="46"/>
      <c r="AE444" s="45"/>
      <c r="AF444" s="45"/>
      <c r="AH444" s="51"/>
      <c r="AI444" s="45"/>
      <c r="AJ444" s="45"/>
      <c r="AL444" s="45"/>
      <c r="AM444" s="46"/>
      <c r="AN444" s="46"/>
    </row>
    <row r="445" spans="3:40">
      <c r="C445" s="42"/>
      <c r="F445" s="164"/>
      <c r="H445" s="164"/>
      <c r="I445" s="164"/>
      <c r="J445" s="132"/>
      <c r="K445" s="132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132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>
      <c r="C446" s="42"/>
      <c r="F446" s="164"/>
      <c r="H446" s="164"/>
      <c r="I446" s="164"/>
      <c r="J446" s="132"/>
      <c r="K446" s="132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132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>
      <c r="C447" s="42"/>
      <c r="F447" s="164"/>
      <c r="H447" s="164"/>
      <c r="I447" s="164"/>
      <c r="J447" s="132"/>
      <c r="K447" s="132"/>
      <c r="L447" s="45"/>
      <c r="M447" s="45"/>
      <c r="N447" s="46"/>
      <c r="O447" s="46"/>
      <c r="P447" s="45"/>
      <c r="Q447" s="45"/>
      <c r="R447" s="45"/>
      <c r="T447" s="42"/>
      <c r="V447" s="45"/>
      <c r="Y447" s="45"/>
      <c r="Z447" s="132"/>
      <c r="AA447" s="45"/>
      <c r="AB447" s="45"/>
      <c r="AC447" s="46"/>
      <c r="AD447" s="46"/>
      <c r="AE447" s="45"/>
      <c r="AF447" s="45"/>
      <c r="AH447" s="51"/>
      <c r="AI447" s="45"/>
      <c r="AJ447" s="45"/>
      <c r="AL447" s="45"/>
      <c r="AM447" s="46"/>
      <c r="AN447" s="46"/>
    </row>
    <row r="448" spans="3:40">
      <c r="F448" s="50"/>
      <c r="H448" s="50"/>
      <c r="I448" s="50"/>
      <c r="J448" s="326"/>
      <c r="K448" s="326"/>
      <c r="L448" s="50"/>
      <c r="M448" s="50"/>
      <c r="N448" s="50"/>
      <c r="O448" s="50"/>
      <c r="P448" s="50"/>
      <c r="Q448" s="50"/>
      <c r="R448" s="50"/>
      <c r="V448" s="50"/>
      <c r="Y448" s="50"/>
      <c r="Z448" s="132"/>
      <c r="AA448" s="50"/>
      <c r="AB448" s="50"/>
      <c r="AC448" s="50"/>
      <c r="AD448" s="50"/>
      <c r="AE448" s="50"/>
      <c r="AF448" s="50"/>
      <c r="AI448" s="50"/>
      <c r="AJ448" s="50"/>
      <c r="AK448" s="111"/>
      <c r="AL448" s="50"/>
    </row>
    <row r="449" spans="1:40">
      <c r="C449" s="42"/>
      <c r="F449" s="45"/>
      <c r="H449" s="45"/>
      <c r="I449" s="45"/>
      <c r="L449" s="45"/>
      <c r="M449" s="45"/>
      <c r="N449" s="51"/>
      <c r="O449" s="51"/>
      <c r="P449" s="45"/>
      <c r="Q449" s="45"/>
      <c r="R449" s="45"/>
      <c r="T449" s="42"/>
      <c r="V449" s="45"/>
      <c r="Y449" s="45"/>
      <c r="AA449" s="45"/>
      <c r="AB449" s="45"/>
      <c r="AC449" s="46"/>
      <c r="AD449" s="46"/>
      <c r="AE449" s="45"/>
      <c r="AF449" s="45"/>
      <c r="AH449" s="51"/>
      <c r="AI449" s="45"/>
      <c r="AJ449" s="45"/>
      <c r="AL449" s="45"/>
      <c r="AM449" s="46"/>
      <c r="AN449" s="46"/>
    </row>
    <row r="450" spans="1:40">
      <c r="F450" s="50"/>
      <c r="H450" s="50"/>
      <c r="I450" s="50"/>
      <c r="J450" s="326"/>
      <c r="K450" s="326"/>
      <c r="L450" s="50"/>
      <c r="M450" s="50"/>
      <c r="N450" s="50"/>
      <c r="O450" s="50"/>
      <c r="P450" s="50"/>
      <c r="Q450" s="50"/>
      <c r="R450" s="50"/>
      <c r="V450" s="50"/>
      <c r="Y450" s="50"/>
      <c r="Z450" s="326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</row>
    <row r="451" spans="1:40">
      <c r="C451" s="42"/>
      <c r="T451" s="42"/>
    </row>
    <row r="452" spans="1:40">
      <c r="C452" s="42"/>
      <c r="F452" s="164"/>
      <c r="H452" s="164"/>
      <c r="I452" s="164"/>
      <c r="J452" s="316"/>
      <c r="K452" s="316"/>
      <c r="L452" s="45"/>
      <c r="M452" s="45"/>
      <c r="N452" s="46"/>
      <c r="O452" s="46"/>
      <c r="P452" s="45"/>
      <c r="Q452" s="45"/>
      <c r="R452" s="45"/>
      <c r="T452" s="42"/>
      <c r="V452" s="45"/>
      <c r="Y452" s="45"/>
      <c r="Z452" s="316"/>
      <c r="AA452" s="45"/>
      <c r="AB452" s="45"/>
      <c r="AC452" s="46"/>
      <c r="AD452" s="46"/>
      <c r="AE452" s="45"/>
      <c r="AF452" s="45"/>
      <c r="AH452" s="51"/>
      <c r="AI452" s="45"/>
      <c r="AJ452" s="45"/>
      <c r="AL452" s="45"/>
      <c r="AM452" s="46"/>
      <c r="AN452" s="46"/>
    </row>
    <row r="453" spans="1:40">
      <c r="C453" s="42"/>
      <c r="F453" s="164"/>
      <c r="H453" s="164"/>
      <c r="I453" s="164"/>
      <c r="J453" s="316"/>
      <c r="K453" s="316"/>
      <c r="L453" s="45"/>
      <c r="M453" s="45"/>
      <c r="N453" s="46"/>
      <c r="O453" s="46"/>
      <c r="P453" s="45"/>
      <c r="Q453" s="45"/>
      <c r="R453" s="45"/>
      <c r="T453" s="42"/>
      <c r="V453" s="45"/>
      <c r="Y453" s="45"/>
      <c r="Z453" s="316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1:40">
      <c r="F454" s="50"/>
      <c r="H454" s="45"/>
      <c r="I454" s="45"/>
      <c r="J454" s="326"/>
      <c r="K454" s="326"/>
      <c r="L454" s="50"/>
      <c r="M454" s="50"/>
      <c r="N454" s="50"/>
      <c r="O454" s="50"/>
      <c r="P454" s="50"/>
      <c r="Q454" s="50"/>
      <c r="R454" s="50"/>
      <c r="V454" s="50"/>
      <c r="Y454" s="45"/>
      <c r="Z454" s="326"/>
      <c r="AA454" s="50"/>
      <c r="AB454" s="50"/>
      <c r="AC454" s="50"/>
      <c r="AD454" s="50"/>
      <c r="AE454" s="50"/>
      <c r="AF454" s="50"/>
      <c r="AI454" s="50"/>
      <c r="AJ454" s="50"/>
      <c r="AK454" s="111"/>
      <c r="AL454" s="50"/>
    </row>
    <row r="455" spans="1:40">
      <c r="F455" s="45"/>
      <c r="H455" s="45"/>
      <c r="I455" s="45"/>
      <c r="J455" s="326"/>
      <c r="K455" s="326"/>
      <c r="L455" s="45"/>
      <c r="M455" s="45"/>
      <c r="N455" s="45"/>
      <c r="O455" s="45"/>
      <c r="P455" s="45"/>
      <c r="Q455" s="45"/>
      <c r="R455" s="45"/>
      <c r="V455" s="45"/>
      <c r="Y455" s="45"/>
      <c r="Z455" s="326"/>
      <c r="AA455" s="45"/>
      <c r="AB455" s="45"/>
      <c r="AC455" s="45"/>
      <c r="AD455" s="45"/>
      <c r="AE455" s="45"/>
      <c r="AF455" s="45"/>
      <c r="AI455" s="45"/>
      <c r="AJ455" s="45"/>
      <c r="AL455" s="45"/>
    </row>
    <row r="456" spans="1:40">
      <c r="C456" s="42"/>
      <c r="F456" s="45"/>
      <c r="H456" s="45"/>
      <c r="I456" s="45"/>
      <c r="L456" s="45"/>
      <c r="M456" s="45"/>
      <c r="N456" s="46"/>
      <c r="O456" s="46"/>
      <c r="P456" s="45"/>
      <c r="Q456" s="45"/>
      <c r="R456" s="45"/>
      <c r="T456" s="42"/>
      <c r="V456" s="45"/>
      <c r="Y456" s="45"/>
      <c r="AA456" s="45"/>
      <c r="AB456" s="45"/>
      <c r="AC456" s="46"/>
      <c r="AD456" s="46"/>
      <c r="AE456" s="45"/>
      <c r="AF456" s="45"/>
      <c r="AH456" s="51"/>
      <c r="AI456" s="164"/>
      <c r="AJ456" s="164"/>
      <c r="AL456" s="45"/>
      <c r="AM456" s="46"/>
      <c r="AN456" s="46"/>
    </row>
    <row r="457" spans="1:40">
      <c r="F457" s="50"/>
      <c r="H457" s="50"/>
      <c r="I457" s="50"/>
      <c r="J457" s="326"/>
      <c r="K457" s="326"/>
      <c r="L457" s="50"/>
      <c r="M457" s="50"/>
      <c r="N457" s="50"/>
      <c r="O457" s="50"/>
      <c r="P457" s="50"/>
      <c r="Q457" s="50"/>
      <c r="R457" s="50"/>
      <c r="V457" s="50"/>
      <c r="Y457" s="50"/>
      <c r="Z457" s="326"/>
      <c r="AA457" s="50"/>
      <c r="AB457" s="50"/>
      <c r="AC457" s="50"/>
      <c r="AD457" s="50"/>
      <c r="AE457" s="50"/>
      <c r="AF457" s="50"/>
      <c r="AI457" s="50"/>
      <c r="AJ457" s="50"/>
      <c r="AK457" s="111"/>
      <c r="AL457" s="50"/>
    </row>
    <row r="459" spans="1:40">
      <c r="A459" s="42"/>
      <c r="T459" s="42"/>
    </row>
    <row r="460" spans="1:40">
      <c r="A460" s="42"/>
      <c r="T460" s="42"/>
    </row>
    <row r="461" spans="1:40">
      <c r="A461" s="42"/>
      <c r="T461" s="42"/>
    </row>
    <row r="462" spans="1:40">
      <c r="A462" s="42"/>
      <c r="T462" s="42"/>
    </row>
    <row r="463" spans="1:40">
      <c r="A463" s="42"/>
      <c r="T463" s="42"/>
    </row>
    <row r="464" spans="1:40">
      <c r="A464" s="42"/>
      <c r="T464" s="42"/>
    </row>
    <row r="465" spans="1:40">
      <c r="A465" s="42"/>
      <c r="T465" s="42"/>
    </row>
    <row r="466" spans="1:40">
      <c r="A466" s="42"/>
      <c r="T466" s="42"/>
    </row>
    <row r="467" spans="1:40">
      <c r="A467" s="42"/>
      <c r="T467" s="42"/>
    </row>
    <row r="469" spans="1:40">
      <c r="A469" s="42"/>
    </row>
    <row r="471" spans="1:40">
      <c r="H471" s="42"/>
      <c r="I471" s="42"/>
      <c r="Y471" s="42"/>
    </row>
    <row r="473" spans="1:40">
      <c r="L473" s="42"/>
      <c r="M473" s="42"/>
      <c r="AA473" s="42"/>
      <c r="AB473" s="42"/>
    </row>
    <row r="474" spans="1:40">
      <c r="R474" s="42"/>
      <c r="AK474" s="110"/>
      <c r="AL474" s="42"/>
    </row>
    <row r="475" spans="1:40">
      <c r="R475" s="42"/>
      <c r="AK475" s="110"/>
      <c r="AL475" s="42"/>
    </row>
    <row r="476" spans="1:40">
      <c r="A476" s="42"/>
      <c r="R476" s="42"/>
      <c r="AK476" s="110"/>
      <c r="AL476" s="42"/>
    </row>
    <row r="477" spans="1:40">
      <c r="L477" s="42"/>
      <c r="M477" s="42"/>
      <c r="AA477" s="42"/>
      <c r="AB477" s="42"/>
    </row>
    <row r="478" spans="1:40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107"/>
      <c r="AH478" s="49"/>
      <c r="AI478" s="49"/>
      <c r="AJ478" s="49"/>
      <c r="AK478" s="107"/>
      <c r="AL478" s="49"/>
      <c r="AM478" s="49"/>
      <c r="AN478" s="49"/>
    </row>
    <row r="479" spans="1:40">
      <c r="L479" s="44"/>
      <c r="M479" s="44"/>
      <c r="N479" s="44"/>
      <c r="O479" s="44"/>
      <c r="R479" s="44"/>
      <c r="AA479" s="44"/>
      <c r="AB479" s="44"/>
      <c r="AC479" s="44"/>
      <c r="AD479" s="44"/>
      <c r="AE479" s="44"/>
      <c r="AF479" s="44"/>
      <c r="AG479" s="102"/>
      <c r="AH479" s="44"/>
      <c r="AK479" s="102"/>
      <c r="AL479" s="44"/>
      <c r="AM479" s="44"/>
      <c r="AN479" s="44"/>
    </row>
    <row r="480" spans="1:40">
      <c r="L480" s="44"/>
      <c r="M480" s="44"/>
      <c r="N480" s="44"/>
      <c r="O480" s="44"/>
      <c r="R480" s="44"/>
      <c r="Z480" s="44"/>
      <c r="AA480" s="44"/>
      <c r="AB480" s="44"/>
      <c r="AC480" s="44"/>
      <c r="AD480" s="44"/>
      <c r="AE480" s="44"/>
      <c r="AF480" s="44"/>
      <c r="AG480" s="102"/>
      <c r="AH480" s="44"/>
      <c r="AK480" s="102"/>
      <c r="AL480" s="44"/>
      <c r="AM480" s="44"/>
      <c r="AN480" s="44"/>
    </row>
    <row r="481" spans="1:40">
      <c r="A481" s="44"/>
      <c r="C481" s="44"/>
      <c r="D481" s="44"/>
      <c r="E481" s="44"/>
      <c r="F481" s="44"/>
      <c r="J481" s="44"/>
      <c r="K481" s="44"/>
      <c r="L481" s="44"/>
      <c r="M481" s="44"/>
      <c r="N481" s="44"/>
      <c r="O481" s="44"/>
      <c r="P481" s="44"/>
      <c r="Q481" s="44"/>
      <c r="R481" s="44"/>
      <c r="T481" s="44"/>
      <c r="U481" s="44"/>
      <c r="V481" s="44"/>
      <c r="Z481" s="44"/>
      <c r="AA481" s="44"/>
      <c r="AB481" s="44"/>
      <c r="AC481" s="44"/>
      <c r="AD481" s="44"/>
      <c r="AE481" s="44"/>
      <c r="AF481" s="44"/>
      <c r="AG481" s="102"/>
      <c r="AH481" s="44"/>
      <c r="AI481" s="44"/>
      <c r="AJ481" s="44"/>
      <c r="AK481" s="102"/>
      <c r="AL481" s="44"/>
      <c r="AM481" s="44"/>
      <c r="AN481" s="44"/>
    </row>
    <row r="482" spans="1:40">
      <c r="A482" s="44"/>
      <c r="C482" s="44"/>
      <c r="D482" s="44"/>
      <c r="E482" s="44"/>
      <c r="F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T482" s="44"/>
      <c r="U482" s="44"/>
      <c r="V482" s="44"/>
      <c r="Y482" s="44"/>
      <c r="Z482" s="44"/>
      <c r="AA482" s="44"/>
      <c r="AB482" s="44"/>
      <c r="AC482" s="44"/>
      <c r="AD482" s="44"/>
      <c r="AE482" s="44"/>
      <c r="AF482" s="44"/>
      <c r="AG482" s="102"/>
      <c r="AH482" s="44"/>
      <c r="AI482" s="44"/>
      <c r="AJ482" s="44"/>
      <c r="AK482" s="102"/>
      <c r="AL482" s="44"/>
      <c r="AM482" s="44"/>
      <c r="AN482" s="44"/>
    </row>
    <row r="483" spans="1:40">
      <c r="C483" s="44"/>
      <c r="D483" s="44"/>
      <c r="E483" s="44"/>
      <c r="F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T483" s="44"/>
      <c r="U483" s="44"/>
      <c r="V483" s="44"/>
      <c r="Y483" s="44"/>
      <c r="Z483" s="44"/>
      <c r="AA483" s="44"/>
      <c r="AB483" s="44"/>
      <c r="AC483" s="44"/>
      <c r="AD483" s="44"/>
      <c r="AE483" s="44"/>
      <c r="AF483" s="44"/>
      <c r="AG483" s="102"/>
      <c r="AH483" s="44"/>
      <c r="AI483" s="44"/>
      <c r="AJ483" s="44"/>
      <c r="AK483" s="102"/>
      <c r="AL483" s="44"/>
      <c r="AM483" s="44"/>
      <c r="AN483" s="44"/>
    </row>
    <row r="484" spans="1:40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107"/>
      <c r="AH484" s="49"/>
      <c r="AI484" s="49"/>
      <c r="AJ484" s="49"/>
      <c r="AK484" s="107"/>
      <c r="AL484" s="49"/>
      <c r="AM484" s="49"/>
      <c r="AN484" s="49"/>
    </row>
    <row r="485" spans="1:40"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Y485" s="44"/>
      <c r="Z485" s="44"/>
      <c r="AA485" s="44"/>
      <c r="AB485" s="44"/>
      <c r="AC485" s="44"/>
      <c r="AD485" s="44"/>
      <c r="AE485" s="44"/>
      <c r="AF485" s="44"/>
      <c r="AG485" s="102"/>
      <c r="AH485" s="44"/>
      <c r="AI485" s="44"/>
      <c r="AJ485" s="44"/>
      <c r="AK485" s="102"/>
      <c r="AL485" s="44"/>
      <c r="AM485" s="44"/>
      <c r="AN485" s="44"/>
    </row>
    <row r="486" spans="1:40">
      <c r="C486" s="42"/>
      <c r="D486" s="42"/>
      <c r="E486" s="42"/>
      <c r="T486" s="42"/>
      <c r="U486" s="42"/>
    </row>
    <row r="487" spans="1:40">
      <c r="D487" s="42"/>
      <c r="E487" s="42"/>
      <c r="U487" s="42"/>
    </row>
    <row r="489" spans="1:40">
      <c r="C489" s="42"/>
      <c r="F489" s="45"/>
      <c r="J489" s="53"/>
      <c r="K489" s="53"/>
      <c r="L489" s="45"/>
      <c r="M489" s="45"/>
      <c r="R489" s="45"/>
      <c r="T489" s="42"/>
      <c r="V489" s="45"/>
      <c r="Z489" s="53"/>
      <c r="AA489" s="45"/>
      <c r="AB489" s="45"/>
      <c r="AH489" s="45"/>
      <c r="AL489" s="45"/>
    </row>
    <row r="490" spans="1:40">
      <c r="C490" s="42"/>
      <c r="F490" s="45"/>
      <c r="R490" s="45"/>
      <c r="T490" s="42"/>
      <c r="V490" s="45"/>
      <c r="AH490" s="45"/>
      <c r="AL490" s="45"/>
    </row>
    <row r="491" spans="1:40">
      <c r="AI491" s="45"/>
      <c r="AJ491" s="45"/>
      <c r="AL491" s="45"/>
      <c r="AM491" s="46"/>
      <c r="AN491" s="46"/>
    </row>
    <row r="492" spans="1:40">
      <c r="C492" s="42"/>
      <c r="F492" s="164"/>
      <c r="H492" s="164"/>
      <c r="I492" s="164"/>
      <c r="J492" s="336"/>
      <c r="K492" s="336"/>
      <c r="L492" s="45"/>
      <c r="M492" s="45"/>
      <c r="N492" s="46"/>
      <c r="O492" s="46"/>
      <c r="P492" s="45"/>
      <c r="Q492" s="45"/>
      <c r="R492" s="45"/>
      <c r="T492" s="42"/>
      <c r="V492" s="45"/>
      <c r="Y492" s="45"/>
      <c r="Z492" s="336"/>
      <c r="AA492" s="45"/>
      <c r="AB492" s="45"/>
      <c r="AC492" s="46"/>
      <c r="AD492" s="46"/>
      <c r="AE492" s="45"/>
      <c r="AF492" s="45"/>
      <c r="AH492" s="51"/>
      <c r="AI492" s="45"/>
      <c r="AJ492" s="45"/>
      <c r="AL492" s="45"/>
      <c r="AM492" s="46"/>
      <c r="AN492" s="46"/>
    </row>
    <row r="493" spans="1:40">
      <c r="F493" s="45"/>
      <c r="H493" s="45"/>
      <c r="I493" s="45"/>
      <c r="J493" s="47"/>
      <c r="K493" s="47"/>
      <c r="L493" s="45"/>
      <c r="M493" s="45"/>
      <c r="P493" s="45"/>
      <c r="Q493" s="45"/>
      <c r="R493" s="45"/>
      <c r="V493" s="45"/>
      <c r="Y493" s="45"/>
      <c r="Z493" s="47"/>
      <c r="AA493" s="45"/>
      <c r="AB493" s="45"/>
      <c r="AI493" s="45"/>
      <c r="AJ493" s="45"/>
      <c r="AL493" s="45"/>
      <c r="AM493" s="46"/>
      <c r="AN493" s="46"/>
    </row>
    <row r="494" spans="1:40">
      <c r="F494" s="45"/>
      <c r="R494" s="45"/>
      <c r="V494" s="45"/>
      <c r="AL494" s="45"/>
      <c r="AM494" s="46"/>
      <c r="AN494" s="46"/>
    </row>
    <row r="495" spans="1:40">
      <c r="C495" s="42"/>
      <c r="F495" s="45"/>
      <c r="J495" s="53"/>
      <c r="K495" s="53"/>
      <c r="L495" s="45"/>
      <c r="M495" s="45"/>
      <c r="N495" s="46"/>
      <c r="O495" s="46"/>
      <c r="R495" s="45"/>
      <c r="T495" s="42"/>
      <c r="V495" s="45"/>
      <c r="Z495" s="53"/>
      <c r="AA495" s="45"/>
      <c r="AB495" s="45"/>
      <c r="AC495" s="46"/>
      <c r="AD495" s="46"/>
      <c r="AL495" s="45"/>
      <c r="AM495" s="46"/>
      <c r="AN495" s="46"/>
    </row>
    <row r="496" spans="1:40">
      <c r="C496" s="42"/>
      <c r="F496" s="45"/>
      <c r="H496" s="45"/>
      <c r="I496" s="45"/>
      <c r="J496" s="53"/>
      <c r="K496" s="53"/>
      <c r="L496" s="45"/>
      <c r="M496" s="45"/>
      <c r="N496" s="46"/>
      <c r="O496" s="46"/>
      <c r="P496" s="45"/>
      <c r="Q496" s="45"/>
      <c r="R496" s="45"/>
      <c r="T496" s="42"/>
      <c r="V496" s="45"/>
      <c r="Y496" s="45"/>
      <c r="Z496" s="53"/>
      <c r="AA496" s="45"/>
      <c r="AB496" s="45"/>
      <c r="AC496" s="46"/>
      <c r="AD496" s="46"/>
      <c r="AI496" s="45"/>
      <c r="AJ496" s="45"/>
      <c r="AL496" s="45"/>
      <c r="AM496" s="46"/>
      <c r="AN496" s="46"/>
    </row>
    <row r="497" spans="1:40">
      <c r="C497" s="42"/>
      <c r="T497" s="42"/>
      <c r="AM497" s="46"/>
      <c r="AN497" s="46"/>
    </row>
    <row r="498" spans="1:40">
      <c r="C498" s="42"/>
      <c r="T498" s="42"/>
      <c r="AM498" s="46"/>
      <c r="AN498" s="46"/>
    </row>
    <row r="499" spans="1:40">
      <c r="AM499" s="46"/>
      <c r="AN499" s="46"/>
    </row>
    <row r="500" spans="1:40">
      <c r="C500" s="42"/>
      <c r="F500" s="164"/>
      <c r="H500" s="164"/>
      <c r="I500" s="164"/>
      <c r="J500" s="336"/>
      <c r="K500" s="336"/>
      <c r="L500" s="45"/>
      <c r="M500" s="45"/>
      <c r="N500" s="46"/>
      <c r="O500" s="46"/>
      <c r="P500" s="45"/>
      <c r="Q500" s="45"/>
      <c r="R500" s="45"/>
      <c r="T500" s="42"/>
      <c r="V500" s="45"/>
      <c r="Y500" s="45"/>
      <c r="Z500" s="336"/>
      <c r="AA500" s="45"/>
      <c r="AB500" s="45"/>
      <c r="AC500" s="46"/>
      <c r="AD500" s="46"/>
      <c r="AE500" s="45"/>
      <c r="AF500" s="45"/>
      <c r="AH500" s="51"/>
      <c r="AI500" s="45"/>
      <c r="AJ500" s="45"/>
      <c r="AL500" s="45"/>
      <c r="AM500" s="46"/>
      <c r="AN500" s="46"/>
    </row>
    <row r="501" spans="1:40">
      <c r="F501" s="50"/>
      <c r="H501" s="50"/>
      <c r="I501" s="50"/>
      <c r="J501" s="326"/>
      <c r="K501" s="326"/>
      <c r="L501" s="50"/>
      <c r="M501" s="50"/>
      <c r="N501" s="50"/>
      <c r="O501" s="50"/>
      <c r="P501" s="50"/>
      <c r="Q501" s="50"/>
      <c r="R501" s="50"/>
      <c r="V501" s="50"/>
      <c r="Y501" s="50"/>
      <c r="Z501" s="326"/>
      <c r="AA501" s="50"/>
      <c r="AB501" s="50"/>
      <c r="AC501" s="50"/>
      <c r="AD501" s="50"/>
      <c r="AE501" s="50"/>
      <c r="AF501" s="50"/>
      <c r="AI501" s="50"/>
      <c r="AJ501" s="50"/>
      <c r="AK501" s="111"/>
      <c r="AL501" s="50"/>
      <c r="AM501" s="46"/>
      <c r="AN501" s="46"/>
    </row>
    <row r="502" spans="1:40">
      <c r="H502" s="45"/>
      <c r="I502" s="45"/>
      <c r="Y502" s="45"/>
      <c r="AM502" s="46"/>
      <c r="AN502" s="46"/>
    </row>
    <row r="503" spans="1:40">
      <c r="C503" s="42"/>
      <c r="F503" s="45"/>
      <c r="H503" s="45"/>
      <c r="I503" s="45"/>
      <c r="L503" s="45"/>
      <c r="M503" s="45"/>
      <c r="N503" s="46"/>
      <c r="O503" s="46"/>
      <c r="P503" s="164"/>
      <c r="Q503" s="164"/>
      <c r="R503" s="45"/>
      <c r="T503" s="42"/>
      <c r="V503" s="45"/>
      <c r="Y503" s="45"/>
      <c r="AA503" s="45"/>
      <c r="AB503" s="45"/>
      <c r="AC503" s="46"/>
      <c r="AD503" s="46"/>
      <c r="AE503" s="45"/>
      <c r="AF503" s="45"/>
      <c r="AH503" s="51"/>
      <c r="AI503" s="164"/>
      <c r="AJ503" s="164"/>
      <c r="AL503" s="45"/>
      <c r="AM503" s="46"/>
      <c r="AN503" s="46"/>
    </row>
    <row r="504" spans="1:40">
      <c r="F504" s="50"/>
      <c r="H504" s="50"/>
      <c r="I504" s="50"/>
      <c r="J504" s="326"/>
      <c r="K504" s="326"/>
      <c r="L504" s="50"/>
      <c r="M504" s="50"/>
      <c r="N504" s="50"/>
      <c r="O504" s="50"/>
      <c r="P504" s="50"/>
      <c r="Q504" s="50"/>
      <c r="R504" s="50"/>
      <c r="V504" s="50"/>
      <c r="Y504" s="50"/>
      <c r="Z504" s="326"/>
      <c r="AA504" s="50"/>
      <c r="AB504" s="50"/>
      <c r="AC504" s="50"/>
      <c r="AD504" s="50"/>
      <c r="AE504" s="50"/>
      <c r="AF504" s="50"/>
      <c r="AI504" s="50"/>
      <c r="AJ504" s="50"/>
      <c r="AK504" s="111"/>
      <c r="AL504" s="50"/>
      <c r="AM504" s="46"/>
      <c r="AN504" s="46"/>
    </row>
    <row r="506" spans="1:40">
      <c r="F506" s="45"/>
      <c r="H506" s="45"/>
      <c r="I506" s="45"/>
      <c r="J506" s="47"/>
      <c r="K506" s="47"/>
      <c r="L506" s="45"/>
      <c r="M506" s="45"/>
      <c r="N506" s="45"/>
      <c r="O506" s="45"/>
      <c r="P506" s="45"/>
      <c r="Q506" s="45"/>
      <c r="R506" s="45"/>
      <c r="V506" s="45"/>
      <c r="Y506" s="45"/>
      <c r="Z506" s="47"/>
      <c r="AA506" s="45"/>
      <c r="AB506" s="45"/>
      <c r="AC506" s="45"/>
      <c r="AD506" s="45"/>
      <c r="AE506" s="45"/>
      <c r="AF506" s="45"/>
      <c r="AH506" s="45"/>
      <c r="AI506" s="45"/>
      <c r="AJ506" s="45"/>
      <c r="AL506" s="45"/>
    </row>
    <row r="507" spans="1:40">
      <c r="A507" s="42"/>
    </row>
    <row r="509" spans="1:40">
      <c r="H509" s="42"/>
      <c r="I509" s="42"/>
      <c r="Y509" s="42"/>
    </row>
    <row r="511" spans="1:40">
      <c r="L511" s="42"/>
      <c r="M511" s="42"/>
      <c r="AA511" s="42"/>
      <c r="AB511" s="42"/>
    </row>
    <row r="512" spans="1:40">
      <c r="R512" s="42"/>
      <c r="AK512" s="110"/>
      <c r="AL512" s="42"/>
    </row>
    <row r="513" spans="1:40">
      <c r="R513" s="42"/>
      <c r="AK513" s="110"/>
      <c r="AL513" s="42"/>
    </row>
    <row r="514" spans="1:40">
      <c r="A514" s="42"/>
      <c r="R514" s="42"/>
      <c r="AK514" s="110"/>
      <c r="AL514" s="42"/>
    </row>
    <row r="515" spans="1:40">
      <c r="L515" s="42"/>
      <c r="M515" s="42"/>
      <c r="AA515" s="42"/>
      <c r="AB515" s="42"/>
    </row>
    <row r="516" spans="1:40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107"/>
      <c r="AH516" s="49"/>
      <c r="AI516" s="49"/>
      <c r="AJ516" s="49"/>
      <c r="AK516" s="107"/>
      <c r="AL516" s="49"/>
      <c r="AM516" s="49"/>
      <c r="AN516" s="49"/>
    </row>
    <row r="517" spans="1:40">
      <c r="L517" s="44"/>
      <c r="M517" s="44"/>
      <c r="N517" s="44"/>
      <c r="O517" s="44"/>
      <c r="R517" s="44"/>
      <c r="AA517" s="44"/>
      <c r="AB517" s="44"/>
      <c r="AC517" s="44"/>
      <c r="AD517" s="44"/>
      <c r="AE517" s="44"/>
      <c r="AF517" s="44"/>
      <c r="AG517" s="102"/>
      <c r="AH517" s="44"/>
      <c r="AK517" s="102"/>
      <c r="AL517" s="44"/>
      <c r="AM517" s="44"/>
      <c r="AN517" s="44"/>
    </row>
    <row r="518" spans="1:40">
      <c r="L518" s="44"/>
      <c r="M518" s="44"/>
      <c r="N518" s="44"/>
      <c r="O518" s="44"/>
      <c r="R518" s="44"/>
      <c r="Z518" s="44"/>
      <c r="AA518" s="44"/>
      <c r="AB518" s="44"/>
      <c r="AC518" s="44"/>
      <c r="AD518" s="44"/>
      <c r="AE518" s="44"/>
      <c r="AF518" s="44"/>
      <c r="AG518" s="102"/>
      <c r="AH518" s="44"/>
      <c r="AK518" s="102"/>
      <c r="AL518" s="44"/>
      <c r="AM518" s="44"/>
      <c r="AN518" s="44"/>
    </row>
    <row r="519" spans="1:40">
      <c r="A519" s="44"/>
      <c r="C519" s="44"/>
      <c r="D519" s="44"/>
      <c r="E519" s="44"/>
      <c r="F519" s="44"/>
      <c r="J519" s="44"/>
      <c r="K519" s="44"/>
      <c r="L519" s="44"/>
      <c r="M519" s="44"/>
      <c r="N519" s="44"/>
      <c r="O519" s="44"/>
      <c r="P519" s="44"/>
      <c r="Q519" s="44"/>
      <c r="R519" s="44"/>
      <c r="T519" s="44"/>
      <c r="U519" s="44"/>
      <c r="V519" s="44"/>
      <c r="Z519" s="44"/>
      <c r="AA519" s="44"/>
      <c r="AB519" s="44"/>
      <c r="AC519" s="44"/>
      <c r="AD519" s="44"/>
      <c r="AE519" s="44"/>
      <c r="AF519" s="44"/>
      <c r="AG519" s="102"/>
      <c r="AH519" s="44"/>
      <c r="AI519" s="44"/>
      <c r="AJ519" s="44"/>
      <c r="AK519" s="102"/>
      <c r="AL519" s="44"/>
      <c r="AM519" s="44"/>
      <c r="AN519" s="44"/>
    </row>
    <row r="520" spans="1:40">
      <c r="A520" s="44"/>
      <c r="C520" s="44"/>
      <c r="D520" s="44"/>
      <c r="E520" s="44"/>
      <c r="F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T520" s="44"/>
      <c r="U520" s="44"/>
      <c r="V520" s="44"/>
      <c r="Y520" s="44"/>
      <c r="Z520" s="44"/>
      <c r="AA520" s="44"/>
      <c r="AB520" s="44"/>
      <c r="AC520" s="44"/>
      <c r="AD520" s="44"/>
      <c r="AE520" s="44"/>
      <c r="AF520" s="44"/>
      <c r="AG520" s="102"/>
      <c r="AH520" s="44"/>
      <c r="AI520" s="44"/>
      <c r="AJ520" s="44"/>
      <c r="AK520" s="102"/>
      <c r="AL520" s="44"/>
      <c r="AM520" s="44"/>
      <c r="AN520" s="44"/>
    </row>
    <row r="521" spans="1:40">
      <c r="C521" s="44"/>
      <c r="D521" s="44"/>
      <c r="E521" s="44"/>
      <c r="F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T521" s="44"/>
      <c r="U521" s="44"/>
      <c r="V521" s="44"/>
      <c r="Y521" s="44"/>
      <c r="Z521" s="44"/>
      <c r="AA521" s="44"/>
      <c r="AB521" s="44"/>
      <c r="AC521" s="44"/>
      <c r="AD521" s="44"/>
      <c r="AE521" s="44"/>
      <c r="AF521" s="44"/>
      <c r="AG521" s="102"/>
      <c r="AH521" s="44"/>
      <c r="AI521" s="44"/>
      <c r="AJ521" s="44"/>
      <c r="AK521" s="102"/>
      <c r="AL521" s="44"/>
      <c r="AM521" s="44"/>
      <c r="AN521" s="44"/>
    </row>
    <row r="522" spans="1:40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107"/>
      <c r="AH522" s="49"/>
      <c r="AI522" s="49"/>
      <c r="AJ522" s="49"/>
      <c r="AK522" s="107"/>
      <c r="AL522" s="49"/>
      <c r="AM522" s="49"/>
      <c r="AN522" s="49"/>
    </row>
    <row r="523" spans="1:40"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Y523" s="44"/>
      <c r="Z523" s="44"/>
      <c r="AA523" s="44"/>
      <c r="AB523" s="44"/>
      <c r="AC523" s="44"/>
      <c r="AD523" s="44"/>
      <c r="AE523" s="44"/>
      <c r="AF523" s="44"/>
      <c r="AG523" s="102"/>
      <c r="AH523" s="44"/>
      <c r="AI523" s="44"/>
      <c r="AJ523" s="44"/>
      <c r="AK523" s="102"/>
      <c r="AL523" s="44"/>
      <c r="AM523" s="44"/>
      <c r="AN523" s="44"/>
    </row>
    <row r="524" spans="1:40">
      <c r="C524" s="42"/>
      <c r="D524" s="42"/>
      <c r="E524" s="42"/>
      <c r="T524" s="42"/>
      <c r="U524" s="42"/>
      <c r="V524" s="45"/>
      <c r="W524" s="45"/>
      <c r="X524" s="45"/>
      <c r="Y524" s="45"/>
      <c r="Z524" s="336"/>
    </row>
    <row r="526" spans="1:40">
      <c r="C526" s="42"/>
      <c r="T526" s="42"/>
      <c r="V526" s="45"/>
      <c r="W526" s="45"/>
      <c r="X526" s="45"/>
      <c r="Y526" s="45"/>
      <c r="Z526" s="336"/>
    </row>
    <row r="527" spans="1:40">
      <c r="C527" s="42"/>
      <c r="F527" s="164"/>
      <c r="H527" s="164"/>
      <c r="I527" s="164"/>
      <c r="J527" s="132"/>
      <c r="K527" s="132"/>
      <c r="L527" s="45"/>
      <c r="M527" s="45"/>
      <c r="N527" s="46"/>
      <c r="O527" s="46"/>
      <c r="P527" s="45"/>
      <c r="Q527" s="45"/>
      <c r="R527" s="45"/>
      <c r="T527" s="42"/>
      <c r="V527" s="45"/>
      <c r="W527" s="45"/>
      <c r="X527" s="45"/>
      <c r="Y527" s="45"/>
      <c r="Z527" s="132"/>
      <c r="AA527" s="45"/>
      <c r="AB527" s="45"/>
      <c r="AC527" s="46"/>
      <c r="AD527" s="46"/>
      <c r="AE527" s="45"/>
      <c r="AF527" s="45"/>
      <c r="AH527" s="51"/>
      <c r="AI527" s="45"/>
      <c r="AJ527" s="45"/>
      <c r="AL527" s="45"/>
      <c r="AM527" s="46"/>
      <c r="AN527" s="46"/>
    </row>
    <row r="528" spans="1:40">
      <c r="C528" s="42"/>
      <c r="F528" s="164"/>
      <c r="H528" s="164"/>
      <c r="I528" s="164"/>
      <c r="J528" s="132"/>
      <c r="K528" s="132"/>
      <c r="L528" s="45"/>
      <c r="M528" s="45"/>
      <c r="N528" s="46"/>
      <c r="O528" s="46"/>
      <c r="P528" s="45"/>
      <c r="Q528" s="45"/>
      <c r="R528" s="45"/>
      <c r="T528" s="42"/>
      <c r="V528" s="45"/>
      <c r="W528" s="45"/>
      <c r="X528" s="45"/>
      <c r="Y528" s="45"/>
      <c r="Z528" s="132"/>
      <c r="AA528" s="45"/>
      <c r="AB528" s="45"/>
      <c r="AC528" s="46"/>
      <c r="AD528" s="46"/>
      <c r="AE528" s="45"/>
      <c r="AF528" s="45"/>
      <c r="AH528" s="51"/>
      <c r="AI528" s="45"/>
      <c r="AJ528" s="45"/>
      <c r="AL528" s="45"/>
      <c r="AM528" s="46"/>
      <c r="AN528" s="46"/>
    </row>
    <row r="529" spans="1:40">
      <c r="C529" s="42"/>
      <c r="F529" s="164"/>
      <c r="H529" s="164"/>
      <c r="I529" s="164"/>
      <c r="J529" s="132"/>
      <c r="K529" s="132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132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46"/>
      <c r="AN529" s="46"/>
    </row>
    <row r="530" spans="1:40">
      <c r="C530" s="42"/>
      <c r="F530" s="164"/>
      <c r="H530" s="164"/>
      <c r="I530" s="164"/>
      <c r="J530" s="132"/>
      <c r="K530" s="132"/>
      <c r="L530" s="45"/>
      <c r="M530" s="45"/>
      <c r="N530" s="46"/>
      <c r="O530" s="46"/>
      <c r="P530" s="45"/>
      <c r="Q530" s="45"/>
      <c r="R530" s="45"/>
      <c r="T530" s="42"/>
      <c r="V530" s="45"/>
      <c r="W530" s="45"/>
      <c r="X530" s="45"/>
      <c r="Y530" s="45"/>
      <c r="Z530" s="132"/>
      <c r="AA530" s="45"/>
      <c r="AB530" s="45"/>
      <c r="AC530" s="46"/>
      <c r="AD530" s="46"/>
      <c r="AE530" s="45"/>
      <c r="AF530" s="45"/>
      <c r="AH530" s="51"/>
      <c r="AI530" s="45"/>
      <c r="AJ530" s="45"/>
      <c r="AL530" s="45"/>
      <c r="AM530" s="46"/>
      <c r="AN530" s="46"/>
    </row>
    <row r="531" spans="1:40">
      <c r="J531" s="56"/>
      <c r="K531" s="56"/>
      <c r="V531" s="45"/>
      <c r="W531" s="45"/>
      <c r="X531" s="45"/>
      <c r="Y531" s="45"/>
      <c r="Z531" s="132"/>
    </row>
    <row r="532" spans="1:40">
      <c r="C532" s="42"/>
      <c r="F532" s="164"/>
      <c r="H532" s="164"/>
      <c r="I532" s="164"/>
      <c r="J532" s="132"/>
      <c r="K532" s="132"/>
      <c r="L532" s="45"/>
      <c r="M532" s="45"/>
      <c r="N532" s="46"/>
      <c r="O532" s="46"/>
      <c r="P532" s="45"/>
      <c r="Q532" s="45"/>
      <c r="R532" s="45"/>
      <c r="T532" s="42"/>
      <c r="V532" s="45"/>
      <c r="W532" s="45"/>
      <c r="X532" s="45"/>
      <c r="Y532" s="45"/>
      <c r="Z532" s="132"/>
      <c r="AA532" s="45"/>
      <c r="AB532" s="45"/>
      <c r="AC532" s="46"/>
      <c r="AD532" s="46"/>
      <c r="AE532" s="45"/>
      <c r="AF532" s="45"/>
      <c r="AH532" s="51"/>
      <c r="AI532" s="45"/>
      <c r="AJ532" s="45"/>
      <c r="AL532" s="45"/>
      <c r="AM532" s="51"/>
      <c r="AN532" s="51"/>
    </row>
    <row r="533" spans="1:40">
      <c r="C533" s="42"/>
      <c r="J533" s="56"/>
      <c r="K533" s="56"/>
      <c r="T533" s="42"/>
      <c r="V533" s="45"/>
      <c r="W533" s="45"/>
      <c r="X533" s="45"/>
      <c r="Y533" s="45"/>
      <c r="Z533" s="132"/>
    </row>
    <row r="534" spans="1:40">
      <c r="C534" s="42"/>
      <c r="F534" s="164"/>
      <c r="H534" s="164"/>
      <c r="I534" s="164"/>
      <c r="J534" s="132"/>
      <c r="K534" s="132"/>
      <c r="L534" s="45"/>
      <c r="M534" s="45"/>
      <c r="N534" s="46"/>
      <c r="O534" s="46"/>
      <c r="P534" s="45"/>
      <c r="Q534" s="45"/>
      <c r="R534" s="45"/>
      <c r="T534" s="42"/>
      <c r="V534" s="45"/>
      <c r="W534" s="45"/>
      <c r="X534" s="45"/>
      <c r="Y534" s="45"/>
      <c r="Z534" s="132"/>
      <c r="AA534" s="45"/>
      <c r="AB534" s="45"/>
      <c r="AC534" s="46"/>
      <c r="AD534" s="46"/>
      <c r="AE534" s="45"/>
      <c r="AF534" s="45"/>
      <c r="AH534" s="51"/>
      <c r="AI534" s="45"/>
      <c r="AJ534" s="45"/>
      <c r="AL534" s="45"/>
      <c r="AM534" s="51"/>
      <c r="AN534" s="51"/>
    </row>
    <row r="535" spans="1:40">
      <c r="J535" s="56"/>
      <c r="K535" s="56"/>
      <c r="Z535" s="56"/>
    </row>
    <row r="536" spans="1:40">
      <c r="C536" s="42"/>
      <c r="J536" s="56"/>
      <c r="K536" s="56"/>
      <c r="T536" s="42"/>
      <c r="V536" s="45"/>
      <c r="W536" s="45"/>
      <c r="X536" s="45"/>
      <c r="Y536" s="45"/>
      <c r="Z536" s="132"/>
    </row>
    <row r="537" spans="1:40">
      <c r="C537" s="42"/>
      <c r="F537" s="164"/>
      <c r="H537" s="164"/>
      <c r="I537" s="164"/>
      <c r="J537" s="132"/>
      <c r="K537" s="132"/>
      <c r="L537" s="45"/>
      <c r="M537" s="45"/>
      <c r="N537" s="46"/>
      <c r="O537" s="46"/>
      <c r="P537" s="45"/>
      <c r="Q537" s="45"/>
      <c r="R537" s="45"/>
      <c r="T537" s="42"/>
      <c r="V537" s="45"/>
      <c r="W537" s="45"/>
      <c r="X537" s="45"/>
      <c r="Y537" s="45"/>
      <c r="Z537" s="132"/>
      <c r="AA537" s="45"/>
      <c r="AB537" s="45"/>
      <c r="AC537" s="46"/>
      <c r="AD537" s="46"/>
      <c r="AE537" s="45"/>
      <c r="AF537" s="45"/>
      <c r="AH537" s="51"/>
      <c r="AI537" s="45"/>
      <c r="AJ537" s="45"/>
      <c r="AL537" s="45"/>
      <c r="AM537" s="51"/>
      <c r="AN537" s="51"/>
    </row>
    <row r="538" spans="1:40">
      <c r="C538" s="42"/>
      <c r="F538" s="164"/>
      <c r="H538" s="164"/>
      <c r="I538" s="164"/>
      <c r="J538" s="132"/>
      <c r="K538" s="132"/>
      <c r="L538" s="45"/>
      <c r="M538" s="45"/>
      <c r="N538" s="46"/>
      <c r="O538" s="46"/>
      <c r="P538" s="45"/>
      <c r="Q538" s="45"/>
      <c r="R538" s="45"/>
      <c r="T538" s="42"/>
      <c r="V538" s="45"/>
      <c r="W538" s="45"/>
      <c r="X538" s="45"/>
      <c r="Y538" s="45"/>
      <c r="Z538" s="132"/>
      <c r="AA538" s="45"/>
      <c r="AB538" s="45"/>
      <c r="AC538" s="46"/>
      <c r="AD538" s="46"/>
      <c r="AE538" s="45"/>
      <c r="AF538" s="45"/>
      <c r="AH538" s="51"/>
      <c r="AI538" s="45"/>
      <c r="AJ538" s="45"/>
      <c r="AL538" s="45"/>
      <c r="AM538" s="51"/>
      <c r="AN538" s="51"/>
    </row>
    <row r="539" spans="1:40">
      <c r="F539" s="50"/>
      <c r="H539" s="50"/>
      <c r="I539" s="50"/>
      <c r="J539" s="132"/>
      <c r="K539" s="132"/>
      <c r="L539" s="50"/>
      <c r="M539" s="50"/>
      <c r="N539" s="50"/>
      <c r="O539" s="50"/>
      <c r="P539" s="50"/>
      <c r="Q539" s="50"/>
      <c r="R539" s="50"/>
      <c r="V539" s="50"/>
      <c r="Y539" s="50"/>
      <c r="Z539" s="326"/>
      <c r="AA539" s="50"/>
      <c r="AB539" s="50"/>
      <c r="AC539" s="50"/>
      <c r="AD539" s="50"/>
      <c r="AE539" s="50"/>
      <c r="AF539" s="50"/>
      <c r="AI539" s="50"/>
      <c r="AJ539" s="50"/>
      <c r="AK539" s="111"/>
      <c r="AL539" s="50"/>
    </row>
    <row r="540" spans="1:40">
      <c r="C540" s="42"/>
      <c r="F540" s="45"/>
      <c r="H540" s="45"/>
      <c r="I540" s="45"/>
      <c r="L540" s="45"/>
      <c r="M540" s="45"/>
      <c r="N540" s="46"/>
      <c r="O540" s="46"/>
      <c r="P540" s="164"/>
      <c r="Q540" s="164"/>
      <c r="R540" s="45"/>
      <c r="T540" s="42"/>
      <c r="V540" s="45"/>
      <c r="W540" s="45"/>
      <c r="X540" s="45"/>
      <c r="Y540" s="45"/>
      <c r="Z540" s="336"/>
      <c r="AA540" s="45"/>
      <c r="AB540" s="45"/>
      <c r="AC540" s="46"/>
      <c r="AD540" s="46"/>
      <c r="AE540" s="45"/>
      <c r="AF540" s="45"/>
      <c r="AH540" s="51"/>
      <c r="AI540" s="164"/>
      <c r="AJ540" s="164"/>
      <c r="AL540" s="45"/>
      <c r="AM540" s="51"/>
      <c r="AN540" s="51"/>
    </row>
    <row r="541" spans="1:40">
      <c r="F541" s="50"/>
      <c r="H541" s="50"/>
      <c r="I541" s="50"/>
      <c r="J541" s="326"/>
      <c r="K541" s="326"/>
      <c r="L541" s="50"/>
      <c r="M541" s="50"/>
      <c r="N541" s="50"/>
      <c r="O541" s="50"/>
      <c r="P541" s="50"/>
      <c r="Q541" s="50"/>
      <c r="R541" s="50"/>
      <c r="V541" s="50"/>
      <c r="Y541" s="50"/>
      <c r="Z541" s="326"/>
      <c r="AA541" s="50"/>
      <c r="AB541" s="50"/>
      <c r="AC541" s="50"/>
      <c r="AD541" s="50"/>
      <c r="AE541" s="50"/>
      <c r="AF541" s="50"/>
      <c r="AI541" s="50"/>
      <c r="AJ541" s="50"/>
      <c r="AK541" s="111"/>
      <c r="AL541" s="50"/>
    </row>
    <row r="544" spans="1:40">
      <c r="A544" s="42"/>
    </row>
    <row r="546" spans="1:40">
      <c r="H546" s="42"/>
      <c r="I546" s="42"/>
      <c r="Y546" s="42"/>
    </row>
    <row r="548" spans="1:40">
      <c r="L548" s="42"/>
      <c r="M548" s="42"/>
      <c r="AA548" s="42"/>
      <c r="AB548" s="42"/>
    </row>
    <row r="549" spans="1:40">
      <c r="R549" s="42"/>
      <c r="AK549" s="110"/>
      <c r="AL549" s="42"/>
    </row>
    <row r="550" spans="1:40">
      <c r="R550" s="42"/>
      <c r="AK550" s="110"/>
      <c r="AL550" s="42"/>
    </row>
    <row r="551" spans="1:40">
      <c r="A551" s="42"/>
      <c r="R551" s="42"/>
      <c r="AK551" s="110"/>
      <c r="AL551" s="42"/>
    </row>
    <row r="552" spans="1:40">
      <c r="L552" s="42"/>
      <c r="M552" s="42"/>
      <c r="AA552" s="42"/>
      <c r="AB552" s="42"/>
    </row>
    <row r="553" spans="1:40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107"/>
      <c r="AH553" s="49"/>
      <c r="AI553" s="49"/>
      <c r="AJ553" s="49"/>
      <c r="AK553" s="107"/>
      <c r="AL553" s="49"/>
      <c r="AM553" s="49"/>
      <c r="AN553" s="49"/>
    </row>
    <row r="554" spans="1:40">
      <c r="L554" s="44"/>
      <c r="M554" s="44"/>
      <c r="N554" s="44"/>
      <c r="O554" s="44"/>
      <c r="R554" s="44"/>
      <c r="AA554" s="44"/>
      <c r="AB554" s="44"/>
      <c r="AC554" s="44"/>
      <c r="AD554" s="44"/>
      <c r="AE554" s="44"/>
      <c r="AF554" s="44"/>
      <c r="AG554" s="102"/>
      <c r="AH554" s="44"/>
      <c r="AK554" s="102"/>
      <c r="AL554" s="44"/>
      <c r="AM554" s="44"/>
      <c r="AN554" s="44"/>
    </row>
    <row r="555" spans="1:40">
      <c r="L555" s="44"/>
      <c r="M555" s="44"/>
      <c r="N555" s="44"/>
      <c r="O555" s="44"/>
      <c r="R555" s="44"/>
      <c r="Z555" s="44"/>
      <c r="AA555" s="44"/>
      <c r="AB555" s="44"/>
      <c r="AC555" s="44"/>
      <c r="AD555" s="44"/>
      <c r="AE555" s="44"/>
      <c r="AF555" s="44"/>
      <c r="AG555" s="102"/>
      <c r="AH555" s="44"/>
      <c r="AK555" s="102"/>
      <c r="AL555" s="44"/>
      <c r="AM555" s="44"/>
      <c r="AN555" s="44"/>
    </row>
    <row r="556" spans="1:40">
      <c r="A556" s="44"/>
      <c r="C556" s="44"/>
      <c r="D556" s="44"/>
      <c r="E556" s="44"/>
      <c r="F556" s="44"/>
      <c r="J556" s="44"/>
      <c r="K556" s="44"/>
      <c r="L556" s="44"/>
      <c r="M556" s="44"/>
      <c r="N556" s="44"/>
      <c r="O556" s="44"/>
      <c r="P556" s="44"/>
      <c r="Q556" s="44"/>
      <c r="R556" s="44"/>
      <c r="T556" s="44"/>
      <c r="U556" s="44"/>
      <c r="V556" s="44"/>
      <c r="Z556" s="44"/>
      <c r="AA556" s="44"/>
      <c r="AB556" s="44"/>
      <c r="AC556" s="44"/>
      <c r="AD556" s="44"/>
      <c r="AE556" s="44"/>
      <c r="AF556" s="44"/>
      <c r="AG556" s="102"/>
      <c r="AH556" s="44"/>
      <c r="AI556" s="44"/>
      <c r="AJ556" s="44"/>
      <c r="AK556" s="102"/>
      <c r="AL556" s="44"/>
      <c r="AM556" s="44"/>
      <c r="AN556" s="44"/>
    </row>
    <row r="557" spans="1:40">
      <c r="A557" s="44"/>
      <c r="C557" s="44"/>
      <c r="D557" s="44"/>
      <c r="E557" s="44"/>
      <c r="F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T557" s="44"/>
      <c r="U557" s="44"/>
      <c r="V557" s="44"/>
      <c r="Y557" s="44"/>
      <c r="Z557" s="44"/>
      <c r="AA557" s="44"/>
      <c r="AB557" s="44"/>
      <c r="AC557" s="44"/>
      <c r="AD557" s="44"/>
      <c r="AE557" s="44"/>
      <c r="AF557" s="44"/>
      <c r="AG557" s="102"/>
      <c r="AH557" s="44"/>
      <c r="AI557" s="44"/>
      <c r="AJ557" s="44"/>
      <c r="AK557" s="102"/>
      <c r="AL557" s="44"/>
      <c r="AM557" s="44"/>
      <c r="AN557" s="44"/>
    </row>
    <row r="558" spans="1:40">
      <c r="C558" s="44"/>
      <c r="D558" s="44"/>
      <c r="E558" s="44"/>
      <c r="F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T558" s="44"/>
      <c r="U558" s="44"/>
      <c r="V558" s="44"/>
      <c r="Y558" s="44"/>
      <c r="Z558" s="44"/>
      <c r="AA558" s="44"/>
      <c r="AB558" s="44"/>
      <c r="AC558" s="44"/>
      <c r="AD558" s="44"/>
      <c r="AE558" s="44"/>
      <c r="AF558" s="44"/>
      <c r="AG558" s="102"/>
      <c r="AH558" s="44"/>
      <c r="AI558" s="44"/>
      <c r="AJ558" s="44"/>
      <c r="AK558" s="102"/>
      <c r="AL558" s="44"/>
      <c r="AM558" s="44"/>
      <c r="AN558" s="44"/>
    </row>
    <row r="559" spans="1:40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107"/>
      <c r="AH559" s="49"/>
      <c r="AI559" s="49"/>
      <c r="AJ559" s="49"/>
      <c r="AK559" s="107"/>
      <c r="AL559" s="49"/>
      <c r="AM559" s="49"/>
      <c r="AN559" s="49"/>
    </row>
    <row r="560" spans="1:40"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Y560" s="44"/>
      <c r="Z560" s="44"/>
      <c r="AA560" s="44"/>
      <c r="AB560" s="44"/>
      <c r="AC560" s="44"/>
      <c r="AD560" s="44"/>
      <c r="AE560" s="44"/>
      <c r="AF560" s="44"/>
      <c r="AG560" s="102"/>
      <c r="AH560" s="44"/>
      <c r="AI560" s="44"/>
      <c r="AJ560" s="44"/>
      <c r="AK560" s="102"/>
      <c r="AL560" s="44"/>
      <c r="AM560" s="44"/>
      <c r="AN560" s="44"/>
    </row>
    <row r="561" spans="3:40">
      <c r="C561" s="42"/>
      <c r="D561" s="42"/>
      <c r="E561" s="42"/>
      <c r="T561" s="42"/>
      <c r="U561" s="42"/>
    </row>
    <row r="563" spans="3:40">
      <c r="C563" s="42"/>
      <c r="T563" s="42"/>
    </row>
    <row r="564" spans="3:40">
      <c r="C564" s="42"/>
      <c r="T564" s="42"/>
    </row>
    <row r="565" spans="3:40">
      <c r="C565" s="42"/>
      <c r="F565" s="164"/>
      <c r="H565" s="164"/>
      <c r="I565" s="164"/>
      <c r="J565" s="132"/>
      <c r="K565" s="132"/>
      <c r="L565" s="45"/>
      <c r="M565" s="45"/>
      <c r="N565" s="46"/>
      <c r="O565" s="46"/>
      <c r="P565" s="45"/>
      <c r="Q565" s="45"/>
      <c r="R565" s="45"/>
      <c r="T565" s="42"/>
      <c r="V565" s="45"/>
      <c r="W565" s="45"/>
      <c r="X565" s="45"/>
      <c r="Y565" s="45"/>
      <c r="Z565" s="132"/>
      <c r="AA565" s="45"/>
      <c r="AB565" s="45"/>
      <c r="AC565" s="46"/>
      <c r="AD565" s="46"/>
      <c r="AE565" s="45"/>
      <c r="AF565" s="45"/>
      <c r="AH565" s="51"/>
      <c r="AI565" s="45"/>
      <c r="AJ565" s="45"/>
      <c r="AL565" s="45"/>
      <c r="AM565" s="51"/>
      <c r="AN565" s="51"/>
    </row>
    <row r="566" spans="3:40">
      <c r="C566" s="42"/>
      <c r="F566" s="45"/>
      <c r="H566" s="45"/>
      <c r="I566" s="45"/>
      <c r="J566" s="56"/>
      <c r="K566" s="56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56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51"/>
      <c r="AN566" s="51"/>
    </row>
    <row r="567" spans="3:40">
      <c r="C567" s="42"/>
      <c r="F567" s="45"/>
      <c r="H567" s="45"/>
      <c r="I567" s="45"/>
      <c r="J567" s="56"/>
      <c r="K567" s="56"/>
      <c r="L567" s="45"/>
      <c r="M567" s="45"/>
      <c r="N567" s="46"/>
      <c r="O567" s="46"/>
      <c r="P567" s="45"/>
      <c r="Q567" s="45"/>
      <c r="R567" s="45"/>
      <c r="T567" s="42"/>
      <c r="V567" s="45"/>
      <c r="W567" s="45"/>
      <c r="X567" s="45"/>
      <c r="Y567" s="45"/>
      <c r="Z567" s="56"/>
      <c r="AA567" s="45"/>
      <c r="AB567" s="45"/>
      <c r="AC567" s="46"/>
      <c r="AD567" s="46"/>
      <c r="AE567" s="45"/>
      <c r="AF567" s="45"/>
      <c r="AH567" s="51"/>
      <c r="AI567" s="45"/>
      <c r="AJ567" s="45"/>
      <c r="AL567" s="45"/>
      <c r="AM567" s="51"/>
      <c r="AN567" s="51"/>
    </row>
    <row r="568" spans="3:40">
      <c r="C568" s="42"/>
      <c r="F568" s="45"/>
      <c r="H568" s="45"/>
      <c r="I568" s="45"/>
      <c r="J568" s="56"/>
      <c r="K568" s="56"/>
      <c r="T568" s="42"/>
      <c r="V568" s="45"/>
      <c r="Z568" s="56"/>
    </row>
    <row r="569" spans="3:40">
      <c r="C569" s="42"/>
      <c r="F569" s="164"/>
      <c r="H569" s="164"/>
      <c r="I569" s="164"/>
      <c r="J569" s="132"/>
      <c r="K569" s="132"/>
      <c r="L569" s="45"/>
      <c r="M569" s="45"/>
      <c r="N569" s="46"/>
      <c r="O569" s="46"/>
      <c r="P569" s="45"/>
      <c r="Q569" s="45"/>
      <c r="R569" s="45"/>
      <c r="T569" s="42"/>
      <c r="V569" s="45"/>
      <c r="W569" s="45"/>
      <c r="X569" s="45"/>
      <c r="Y569" s="45"/>
      <c r="Z569" s="132"/>
      <c r="AA569" s="45"/>
      <c r="AB569" s="45"/>
      <c r="AC569" s="46"/>
      <c r="AD569" s="46"/>
      <c r="AE569" s="45"/>
      <c r="AF569" s="45"/>
      <c r="AH569" s="51"/>
      <c r="AI569" s="45"/>
      <c r="AJ569" s="45"/>
      <c r="AL569" s="45"/>
      <c r="AM569" s="51"/>
      <c r="AN569" s="51"/>
    </row>
    <row r="570" spans="3:40">
      <c r="C570" s="42"/>
      <c r="F570" s="45"/>
      <c r="H570" s="45"/>
      <c r="I570" s="45"/>
      <c r="J570" s="56"/>
      <c r="K570" s="56"/>
      <c r="T570" s="42"/>
      <c r="V570" s="45"/>
      <c r="W570" s="45"/>
      <c r="X570" s="45"/>
      <c r="Y570" s="45"/>
      <c r="Z570" s="56"/>
      <c r="AC570" s="46"/>
      <c r="AD570" s="46"/>
      <c r="AE570" s="45"/>
      <c r="AF570" s="45"/>
      <c r="AH570" s="51"/>
      <c r="AI570" s="45"/>
      <c r="AJ570" s="45"/>
      <c r="AL570" s="45"/>
      <c r="AM570" s="51"/>
      <c r="AN570" s="51"/>
    </row>
    <row r="571" spans="3:40">
      <c r="C571" s="42"/>
      <c r="F571" s="164"/>
      <c r="H571" s="164"/>
      <c r="I571" s="164"/>
      <c r="J571" s="132"/>
      <c r="K571" s="132"/>
      <c r="L571" s="45"/>
      <c r="M571" s="45"/>
      <c r="N571" s="46"/>
      <c r="O571" s="46"/>
      <c r="P571" s="45"/>
      <c r="Q571" s="45"/>
      <c r="R571" s="45"/>
      <c r="T571" s="42"/>
      <c r="V571" s="45"/>
      <c r="W571" s="45"/>
      <c r="X571" s="45"/>
      <c r="Y571" s="45"/>
      <c r="Z571" s="132"/>
      <c r="AA571" s="45"/>
      <c r="AB571" s="45"/>
      <c r="AC571" s="46"/>
      <c r="AD571" s="46"/>
      <c r="AE571" s="45"/>
      <c r="AF571" s="45"/>
      <c r="AH571" s="51"/>
      <c r="AI571" s="45"/>
      <c r="AJ571" s="45"/>
      <c r="AL571" s="45"/>
      <c r="AM571" s="51"/>
      <c r="AN571" s="51"/>
    </row>
    <row r="572" spans="3:40">
      <c r="C572" s="42"/>
      <c r="F572" s="45"/>
      <c r="H572" s="45"/>
      <c r="I572" s="45"/>
      <c r="J572" s="56"/>
      <c r="K572" s="56"/>
      <c r="L572" s="45"/>
      <c r="M572" s="45"/>
      <c r="N572" s="46"/>
      <c r="O572" s="46"/>
      <c r="P572" s="45"/>
      <c r="Q572" s="45"/>
      <c r="R572" s="45"/>
      <c r="T572" s="42"/>
      <c r="V572" s="45"/>
      <c r="W572" s="45"/>
      <c r="X572" s="45"/>
      <c r="Y572" s="45"/>
      <c r="Z572" s="56"/>
      <c r="AA572" s="45"/>
      <c r="AB572" s="45"/>
      <c r="AC572" s="46"/>
      <c r="AD572" s="46"/>
      <c r="AE572" s="45"/>
      <c r="AF572" s="45"/>
      <c r="AH572" s="51"/>
      <c r="AI572" s="45"/>
      <c r="AJ572" s="45"/>
      <c r="AL572" s="45"/>
      <c r="AM572" s="51"/>
      <c r="AN572" s="51"/>
    </row>
    <row r="573" spans="3:40">
      <c r="F573" s="45"/>
      <c r="H573" s="45"/>
      <c r="I573" s="45"/>
      <c r="J573" s="56"/>
      <c r="K573" s="56"/>
      <c r="Z573" s="56"/>
    </row>
    <row r="574" spans="3:40">
      <c r="C574" s="42"/>
      <c r="F574" s="45"/>
      <c r="H574" s="164"/>
      <c r="I574" s="164"/>
      <c r="J574" s="132"/>
      <c r="K574" s="132"/>
      <c r="L574" s="45"/>
      <c r="M574" s="45"/>
      <c r="N574" s="46"/>
      <c r="O574" s="46"/>
      <c r="P574" s="45"/>
      <c r="Q574" s="45"/>
      <c r="R574" s="45"/>
      <c r="T574" s="42"/>
      <c r="V574" s="45"/>
      <c r="W574" s="45"/>
      <c r="X574" s="45"/>
      <c r="Y574" s="45"/>
      <c r="Z574" s="132"/>
      <c r="AA574" s="45"/>
      <c r="AB574" s="45"/>
      <c r="AC574" s="46"/>
      <c r="AD574" s="46"/>
      <c r="AE574" s="45"/>
      <c r="AF574" s="45"/>
      <c r="AH574" s="51"/>
      <c r="AI574" s="45"/>
      <c r="AJ574" s="45"/>
      <c r="AL574" s="45"/>
      <c r="AM574" s="51"/>
      <c r="AN574" s="51"/>
    </row>
    <row r="575" spans="3:40">
      <c r="F575" s="50"/>
      <c r="H575" s="50"/>
      <c r="I575" s="50"/>
      <c r="J575" s="132"/>
      <c r="K575" s="132"/>
      <c r="L575" s="50"/>
      <c r="M575" s="50"/>
      <c r="N575" s="50"/>
      <c r="O575" s="50"/>
      <c r="P575" s="50"/>
      <c r="Q575" s="50"/>
      <c r="R575" s="50"/>
      <c r="V575" s="50"/>
      <c r="Y575" s="50"/>
      <c r="Z575" s="132"/>
      <c r="AA575" s="50"/>
      <c r="AB575" s="50"/>
      <c r="AC575" s="50"/>
      <c r="AD575" s="50"/>
      <c r="AE575" s="50"/>
      <c r="AF575" s="50"/>
      <c r="AI575" s="50"/>
      <c r="AJ575" s="50"/>
      <c r="AK575" s="111"/>
      <c r="AL575" s="50"/>
    </row>
    <row r="576" spans="3:40">
      <c r="C576" s="42"/>
      <c r="F576" s="45"/>
      <c r="H576" s="45"/>
      <c r="I576" s="45"/>
      <c r="J576" s="56"/>
      <c r="K576" s="56"/>
      <c r="L576" s="45"/>
      <c r="M576" s="45"/>
      <c r="P576" s="45"/>
      <c r="Q576" s="45"/>
      <c r="R576" s="45"/>
      <c r="T576" s="42"/>
      <c r="V576" s="45"/>
      <c r="Y576" s="45"/>
      <c r="Z576" s="56"/>
      <c r="AA576" s="45"/>
      <c r="AB576" s="45"/>
      <c r="AC576" s="51"/>
      <c r="AD576" s="51"/>
      <c r="AE576" s="45"/>
      <c r="AF576" s="45"/>
      <c r="AH576" s="51"/>
      <c r="AI576" s="45"/>
      <c r="AJ576" s="45"/>
      <c r="AL576" s="45"/>
      <c r="AM576" s="51"/>
      <c r="AN576" s="51"/>
    </row>
    <row r="577" spans="1:40">
      <c r="F577" s="50"/>
      <c r="H577" s="50"/>
      <c r="I577" s="50"/>
      <c r="J577" s="132"/>
      <c r="K577" s="132"/>
      <c r="L577" s="50"/>
      <c r="M577" s="50"/>
      <c r="N577" s="50"/>
      <c r="O577" s="50"/>
      <c r="P577" s="50"/>
      <c r="Q577" s="50"/>
      <c r="R577" s="50"/>
      <c r="V577" s="50"/>
      <c r="Y577" s="50"/>
      <c r="Z577" s="132"/>
      <c r="AA577" s="50"/>
      <c r="AB577" s="50"/>
      <c r="AC577" s="50"/>
      <c r="AD577" s="50"/>
      <c r="AE577" s="50"/>
      <c r="AF577" s="50"/>
      <c r="AI577" s="50"/>
      <c r="AJ577" s="50"/>
      <c r="AK577" s="111"/>
      <c r="AL577" s="50"/>
    </row>
    <row r="578" spans="1:40">
      <c r="J578" s="56"/>
      <c r="K578" s="56"/>
      <c r="Z578" s="56"/>
    </row>
    <row r="579" spans="1:40">
      <c r="C579" s="42"/>
      <c r="J579" s="56"/>
      <c r="K579" s="56"/>
      <c r="T579" s="42"/>
      <c r="Z579" s="56"/>
    </row>
    <row r="580" spans="1:40">
      <c r="C580" s="42"/>
      <c r="J580" s="56"/>
      <c r="K580" s="56"/>
      <c r="T580" s="42"/>
      <c r="Z580" s="56"/>
    </row>
    <row r="581" spans="1:40">
      <c r="C581" s="42"/>
      <c r="F581" s="164"/>
      <c r="H581" s="164"/>
      <c r="I581" s="164"/>
      <c r="J581" s="132"/>
      <c r="K581" s="132"/>
      <c r="L581" s="45"/>
      <c r="M581" s="45"/>
      <c r="N581" s="46"/>
      <c r="O581" s="46"/>
      <c r="P581" s="45"/>
      <c r="Q581" s="45"/>
      <c r="R581" s="45"/>
      <c r="T581" s="42"/>
      <c r="V581" s="45"/>
      <c r="W581" s="45"/>
      <c r="X581" s="45"/>
      <c r="Y581" s="45"/>
      <c r="Z581" s="132"/>
      <c r="AA581" s="45"/>
      <c r="AB581" s="45"/>
      <c r="AC581" s="46"/>
      <c r="AD581" s="46"/>
      <c r="AE581" s="45"/>
      <c r="AF581" s="45"/>
      <c r="AH581" s="51"/>
      <c r="AI581" s="45"/>
      <c r="AJ581" s="45"/>
      <c r="AL581" s="45"/>
      <c r="AM581" s="51"/>
      <c r="AN581" s="51"/>
    </row>
    <row r="582" spans="1:40">
      <c r="C582" s="42"/>
      <c r="J582" s="56"/>
      <c r="K582" s="56"/>
      <c r="T582" s="42"/>
      <c r="Z582" s="56"/>
    </row>
    <row r="583" spans="1:40">
      <c r="C583" s="42"/>
      <c r="F583" s="164"/>
      <c r="H583" s="164"/>
      <c r="I583" s="164"/>
      <c r="J583" s="132"/>
      <c r="K583" s="132"/>
      <c r="L583" s="45"/>
      <c r="M583" s="45"/>
      <c r="N583" s="46"/>
      <c r="O583" s="46"/>
      <c r="P583" s="45"/>
      <c r="Q583" s="45"/>
      <c r="R583" s="45"/>
      <c r="T583" s="42"/>
      <c r="V583" s="45"/>
      <c r="W583" s="45"/>
      <c r="X583" s="45"/>
      <c r="Y583" s="45"/>
      <c r="Z583" s="132"/>
      <c r="AA583" s="45"/>
      <c r="AB583" s="45"/>
      <c r="AC583" s="46"/>
      <c r="AD583" s="46"/>
      <c r="AE583" s="45"/>
      <c r="AF583" s="45"/>
      <c r="AH583" s="51"/>
      <c r="AI583" s="45"/>
      <c r="AJ583" s="45"/>
      <c r="AL583" s="45"/>
      <c r="AM583" s="51"/>
      <c r="AN583" s="51"/>
    </row>
    <row r="584" spans="1:40">
      <c r="F584" s="50"/>
      <c r="H584" s="50"/>
      <c r="I584" s="50"/>
      <c r="J584" s="132"/>
      <c r="K584" s="132"/>
      <c r="L584" s="50"/>
      <c r="M584" s="50"/>
      <c r="N584" s="50"/>
      <c r="O584" s="50"/>
      <c r="P584" s="50"/>
      <c r="Q584" s="50"/>
      <c r="R584" s="50"/>
      <c r="V584" s="50"/>
      <c r="Y584" s="50"/>
      <c r="Z584" s="132"/>
      <c r="AA584" s="50"/>
      <c r="AB584" s="50"/>
      <c r="AC584" s="50"/>
      <c r="AD584" s="50"/>
      <c r="AE584" s="50"/>
      <c r="AF584" s="50"/>
      <c r="AI584" s="50"/>
      <c r="AJ584" s="50"/>
      <c r="AK584" s="111"/>
      <c r="AL584" s="50"/>
    </row>
    <row r="585" spans="1:40">
      <c r="C585" s="42"/>
      <c r="F585" s="45"/>
      <c r="H585" s="45"/>
      <c r="I585" s="45"/>
      <c r="J585" s="56"/>
      <c r="K585" s="56"/>
      <c r="L585" s="45"/>
      <c r="M585" s="45"/>
      <c r="N585" s="51"/>
      <c r="O585" s="51"/>
      <c r="P585" s="45"/>
      <c r="Q585" s="45"/>
      <c r="R585" s="45"/>
      <c r="T585" s="42"/>
      <c r="V585" s="45"/>
      <c r="Y585" s="45"/>
      <c r="Z585" s="56"/>
      <c r="AA585" s="45"/>
      <c r="AB585" s="45"/>
      <c r="AC585" s="51"/>
      <c r="AD585" s="51"/>
      <c r="AE585" s="45"/>
      <c r="AF585" s="45"/>
      <c r="AH585" s="51"/>
      <c r="AI585" s="45"/>
      <c r="AJ585" s="45"/>
      <c r="AL585" s="45"/>
      <c r="AM585" s="51"/>
      <c r="AN585" s="51"/>
    </row>
    <row r="586" spans="1:40">
      <c r="F586" s="50"/>
      <c r="H586" s="50"/>
      <c r="I586" s="50"/>
      <c r="J586" s="132"/>
      <c r="K586" s="132"/>
      <c r="L586" s="50"/>
      <c r="M586" s="50"/>
      <c r="N586" s="50"/>
      <c r="O586" s="50"/>
      <c r="P586" s="50"/>
      <c r="Q586" s="50"/>
      <c r="R586" s="50"/>
      <c r="V586" s="50"/>
      <c r="Y586" s="50"/>
      <c r="Z586" s="326"/>
      <c r="AA586" s="50"/>
      <c r="AB586" s="50"/>
      <c r="AC586" s="50"/>
      <c r="AD586" s="50"/>
      <c r="AE586" s="50"/>
      <c r="AF586" s="50"/>
      <c r="AI586" s="50"/>
      <c r="AJ586" s="50"/>
      <c r="AK586" s="111"/>
      <c r="AL586" s="50"/>
    </row>
    <row r="587" spans="1:40">
      <c r="J587" s="56"/>
      <c r="K587" s="56"/>
    </row>
    <row r="588" spans="1:40">
      <c r="C588" s="42"/>
      <c r="F588" s="45"/>
      <c r="H588" s="45"/>
      <c r="I588" s="45"/>
      <c r="J588" s="56"/>
      <c r="K588" s="56"/>
      <c r="L588" s="45"/>
      <c r="M588" s="45"/>
      <c r="N588" s="46"/>
      <c r="O588" s="46"/>
      <c r="P588" s="164"/>
      <c r="Q588" s="164"/>
      <c r="R588" s="45"/>
      <c r="T588" s="42"/>
      <c r="V588" s="45"/>
      <c r="Y588" s="45"/>
      <c r="AA588" s="45"/>
      <c r="AB588" s="45"/>
      <c r="AC588" s="51"/>
      <c r="AD588" s="51"/>
      <c r="AE588" s="45"/>
      <c r="AF588" s="45"/>
      <c r="AH588" s="51"/>
      <c r="AI588" s="164"/>
      <c r="AJ588" s="164"/>
      <c r="AL588" s="45"/>
      <c r="AM588" s="51"/>
      <c r="AN588" s="51"/>
    </row>
    <row r="589" spans="1:40">
      <c r="F589" s="50"/>
      <c r="H589" s="50"/>
      <c r="I589" s="50"/>
      <c r="J589" s="132"/>
      <c r="K589" s="132"/>
      <c r="L589" s="50"/>
      <c r="M589" s="50"/>
      <c r="N589" s="50"/>
      <c r="O589" s="50"/>
      <c r="P589" s="50"/>
      <c r="Q589" s="50"/>
      <c r="R589" s="50"/>
      <c r="V589" s="50"/>
      <c r="Y589" s="50"/>
      <c r="Z589" s="326"/>
      <c r="AA589" s="50"/>
      <c r="AB589" s="50"/>
      <c r="AC589" s="50"/>
      <c r="AD589" s="50"/>
      <c r="AE589" s="50"/>
      <c r="AF589" s="50"/>
      <c r="AI589" s="50"/>
      <c r="AJ589" s="50"/>
      <c r="AK589" s="111"/>
      <c r="AL589" s="50"/>
    </row>
    <row r="592" spans="1:40">
      <c r="A592" s="42"/>
    </row>
    <row r="594" spans="1:40">
      <c r="H594" s="42"/>
      <c r="I594" s="42"/>
      <c r="Y594" s="42"/>
    </row>
    <row r="596" spans="1:40">
      <c r="L596" s="42"/>
      <c r="M596" s="42"/>
      <c r="AA596" s="42"/>
      <c r="AB596" s="42"/>
    </row>
    <row r="597" spans="1:40">
      <c r="R597" s="42"/>
      <c r="AK597" s="110"/>
      <c r="AL597" s="42"/>
    </row>
    <row r="598" spans="1:40">
      <c r="R598" s="42"/>
      <c r="AK598" s="110"/>
      <c r="AL598" s="42"/>
    </row>
    <row r="599" spans="1:40">
      <c r="A599" s="42"/>
      <c r="R599" s="42"/>
      <c r="AK599" s="110"/>
      <c r="AL599" s="42"/>
    </row>
    <row r="600" spans="1:40">
      <c r="L600" s="42"/>
      <c r="M600" s="42"/>
      <c r="AA600" s="42"/>
      <c r="AB600" s="42"/>
    </row>
    <row r="601" spans="1:40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107"/>
      <c r="AH601" s="49"/>
      <c r="AI601" s="49"/>
      <c r="AJ601" s="49"/>
      <c r="AK601" s="107"/>
      <c r="AL601" s="49"/>
      <c r="AM601" s="49"/>
      <c r="AN601" s="49"/>
    </row>
    <row r="602" spans="1:40">
      <c r="L602" s="44"/>
      <c r="M602" s="44"/>
      <c r="N602" s="44"/>
      <c r="O602" s="44"/>
      <c r="R602" s="44"/>
      <c r="AA602" s="44"/>
      <c r="AB602" s="44"/>
      <c r="AC602" s="44"/>
      <c r="AD602" s="44"/>
      <c r="AE602" s="44"/>
      <c r="AF602" s="44"/>
      <c r="AG602" s="102"/>
      <c r="AH602" s="44"/>
      <c r="AK602" s="102"/>
      <c r="AL602" s="44"/>
      <c r="AM602" s="44"/>
      <c r="AN602" s="44"/>
    </row>
    <row r="603" spans="1:40">
      <c r="L603" s="44"/>
      <c r="M603" s="44"/>
      <c r="N603" s="44"/>
      <c r="O603" s="44"/>
      <c r="R603" s="44"/>
      <c r="Z603" s="44"/>
      <c r="AA603" s="44"/>
      <c r="AB603" s="44"/>
      <c r="AC603" s="44"/>
      <c r="AD603" s="44"/>
      <c r="AE603" s="44"/>
      <c r="AF603" s="44"/>
      <c r="AG603" s="102"/>
      <c r="AH603" s="44"/>
      <c r="AK603" s="102"/>
      <c r="AL603" s="44"/>
      <c r="AM603" s="44"/>
      <c r="AN603" s="44"/>
    </row>
    <row r="604" spans="1:40">
      <c r="A604" s="44"/>
      <c r="C604" s="44"/>
      <c r="D604" s="44"/>
      <c r="E604" s="44"/>
      <c r="F604" s="44"/>
      <c r="J604" s="44"/>
      <c r="K604" s="44"/>
      <c r="L604" s="44"/>
      <c r="M604" s="44"/>
      <c r="N604" s="44"/>
      <c r="O604" s="44"/>
      <c r="P604" s="44"/>
      <c r="Q604" s="44"/>
      <c r="R604" s="44"/>
      <c r="T604" s="44"/>
      <c r="U604" s="44"/>
      <c r="V604" s="44"/>
      <c r="Z604" s="44"/>
      <c r="AA604" s="44"/>
      <c r="AB604" s="44"/>
      <c r="AC604" s="44"/>
      <c r="AD604" s="44"/>
      <c r="AE604" s="44"/>
      <c r="AF604" s="44"/>
      <c r="AG604" s="102"/>
      <c r="AH604" s="44"/>
      <c r="AI604" s="44"/>
      <c r="AJ604" s="44"/>
      <c r="AK604" s="102"/>
      <c r="AL604" s="44"/>
      <c r="AM604" s="44"/>
      <c r="AN604" s="44"/>
    </row>
    <row r="605" spans="1:40">
      <c r="A605" s="44"/>
      <c r="C605" s="44"/>
      <c r="D605" s="44"/>
      <c r="E605" s="44"/>
      <c r="F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T605" s="44"/>
      <c r="U605" s="44"/>
      <c r="V605" s="44"/>
      <c r="Y605" s="44"/>
      <c r="Z605" s="44"/>
      <c r="AA605" s="44"/>
      <c r="AB605" s="44"/>
      <c r="AC605" s="44"/>
      <c r="AD605" s="44"/>
      <c r="AE605" s="44"/>
      <c r="AF605" s="44"/>
      <c r="AG605" s="102"/>
      <c r="AH605" s="44"/>
      <c r="AI605" s="44"/>
      <c r="AJ605" s="44"/>
      <c r="AK605" s="102"/>
      <c r="AL605" s="44"/>
      <c r="AM605" s="44"/>
      <c r="AN605" s="44"/>
    </row>
    <row r="606" spans="1:40">
      <c r="C606" s="44"/>
      <c r="D606" s="44"/>
      <c r="E606" s="44"/>
      <c r="F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T606" s="44"/>
      <c r="U606" s="44"/>
      <c r="V606" s="44"/>
      <c r="Y606" s="44"/>
      <c r="Z606" s="44"/>
      <c r="AA606" s="44"/>
      <c r="AB606" s="44"/>
      <c r="AC606" s="44"/>
      <c r="AD606" s="44"/>
      <c r="AE606" s="44"/>
      <c r="AF606" s="44"/>
      <c r="AG606" s="102"/>
      <c r="AH606" s="44"/>
      <c r="AI606" s="44"/>
      <c r="AJ606" s="44"/>
      <c r="AK606" s="102"/>
      <c r="AL606" s="44"/>
      <c r="AM606" s="44"/>
      <c r="AN606" s="44"/>
    </row>
    <row r="607" spans="1:40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107"/>
      <c r="AH607" s="49"/>
      <c r="AI607" s="49"/>
      <c r="AJ607" s="49"/>
      <c r="AK607" s="107"/>
      <c r="AL607" s="49"/>
      <c r="AM607" s="49"/>
      <c r="AN607" s="49"/>
    </row>
    <row r="608" spans="1:40"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Y608" s="44"/>
      <c r="Z608" s="44"/>
      <c r="AA608" s="44"/>
      <c r="AB608" s="44"/>
      <c r="AC608" s="44"/>
      <c r="AD608" s="44"/>
      <c r="AE608" s="44"/>
      <c r="AF608" s="44"/>
      <c r="AG608" s="102"/>
      <c r="AH608" s="44"/>
      <c r="AI608" s="44"/>
      <c r="AJ608" s="44"/>
      <c r="AK608" s="102"/>
      <c r="AL608" s="44"/>
      <c r="AM608" s="44"/>
      <c r="AN608" s="44"/>
    </row>
    <row r="609" spans="3:40">
      <c r="C609" s="42"/>
      <c r="D609" s="42"/>
      <c r="E609" s="42"/>
      <c r="T609" s="42"/>
      <c r="U609" s="42"/>
    </row>
    <row r="611" spans="3:40">
      <c r="C611" s="42"/>
      <c r="D611" s="42"/>
      <c r="E611" s="42"/>
      <c r="T611" s="42"/>
      <c r="U611" s="42"/>
    </row>
    <row r="612" spans="3:40">
      <c r="C612" s="42"/>
      <c r="T612" s="42"/>
    </row>
    <row r="613" spans="3:40">
      <c r="C613" s="42"/>
      <c r="T613" s="42"/>
    </row>
    <row r="614" spans="3:40">
      <c r="C614" s="42"/>
      <c r="F614" s="164"/>
      <c r="H614" s="164"/>
      <c r="I614" s="164"/>
      <c r="J614" s="132"/>
      <c r="K614" s="132"/>
      <c r="L614" s="45"/>
      <c r="M614" s="45"/>
      <c r="N614" s="46"/>
      <c r="O614" s="46"/>
      <c r="P614" s="45"/>
      <c r="Q614" s="45"/>
      <c r="R614" s="45"/>
      <c r="T614" s="42"/>
      <c r="V614" s="45"/>
      <c r="W614" s="45"/>
      <c r="X614" s="45"/>
      <c r="Y614" s="45"/>
      <c r="Z614" s="132"/>
      <c r="AA614" s="45"/>
      <c r="AB614" s="45"/>
      <c r="AC614" s="46"/>
      <c r="AD614" s="46"/>
      <c r="AE614" s="45"/>
      <c r="AF614" s="45"/>
      <c r="AH614" s="51"/>
      <c r="AI614" s="45"/>
      <c r="AJ614" s="45"/>
      <c r="AL614" s="45"/>
      <c r="AM614" s="46"/>
      <c r="AN614" s="46"/>
    </row>
    <row r="615" spans="3:40">
      <c r="C615" s="42"/>
      <c r="J615" s="56"/>
      <c r="K615" s="56"/>
      <c r="T615" s="42"/>
      <c r="V615" s="45"/>
      <c r="W615" s="45"/>
      <c r="X615" s="45"/>
      <c r="Y615" s="45"/>
      <c r="Z615" s="132"/>
    </row>
    <row r="616" spans="3:40">
      <c r="C616" s="42"/>
      <c r="F616" s="164"/>
      <c r="H616" s="164"/>
      <c r="I616" s="164"/>
      <c r="J616" s="132"/>
      <c r="K616" s="132"/>
      <c r="L616" s="45"/>
      <c r="M616" s="45"/>
      <c r="N616" s="46"/>
      <c r="O616" s="46"/>
      <c r="P616" s="45"/>
      <c r="Q616" s="45"/>
      <c r="R616" s="45"/>
      <c r="T616" s="42"/>
      <c r="V616" s="45"/>
      <c r="W616" s="45"/>
      <c r="X616" s="45"/>
      <c r="Y616" s="45"/>
      <c r="Z616" s="132"/>
      <c r="AA616" s="45"/>
      <c r="AB616" s="45"/>
      <c r="AC616" s="46"/>
      <c r="AD616" s="46"/>
      <c r="AE616" s="45"/>
      <c r="AF616" s="45"/>
      <c r="AH616" s="51"/>
      <c r="AI616" s="45"/>
      <c r="AJ616" s="45"/>
      <c r="AL616" s="45"/>
      <c r="AM616" s="46"/>
      <c r="AN616" s="46"/>
    </row>
    <row r="617" spans="3:40">
      <c r="C617" s="42"/>
      <c r="J617" s="56"/>
      <c r="K617" s="56"/>
      <c r="T617" s="42"/>
      <c r="V617" s="45"/>
      <c r="W617" s="45"/>
      <c r="X617" s="45"/>
      <c r="Y617" s="45"/>
      <c r="Z617" s="132"/>
    </row>
    <row r="618" spans="3:40">
      <c r="C618" s="42"/>
      <c r="F618" s="164"/>
      <c r="H618" s="164"/>
      <c r="I618" s="164"/>
      <c r="J618" s="132"/>
      <c r="K618" s="132"/>
      <c r="L618" s="45"/>
      <c r="M618" s="45"/>
      <c r="N618" s="46"/>
      <c r="O618" s="46"/>
      <c r="P618" s="45"/>
      <c r="Q618" s="45"/>
      <c r="R618" s="45"/>
      <c r="T618" s="42"/>
      <c r="V618" s="45"/>
      <c r="W618" s="45"/>
      <c r="X618" s="45"/>
      <c r="Y618" s="45"/>
      <c r="Z618" s="132"/>
      <c r="AA618" s="45"/>
      <c r="AB618" s="45"/>
      <c r="AC618" s="46"/>
      <c r="AD618" s="46"/>
      <c r="AE618" s="45"/>
      <c r="AF618" s="45"/>
      <c r="AH618" s="51"/>
      <c r="AI618" s="45"/>
      <c r="AJ618" s="45"/>
      <c r="AL618" s="45"/>
      <c r="AM618" s="46"/>
      <c r="AN618" s="46"/>
    </row>
    <row r="619" spans="3:40">
      <c r="C619" s="42"/>
      <c r="J619" s="56"/>
      <c r="K619" s="56"/>
      <c r="T619" s="42"/>
      <c r="V619" s="45"/>
      <c r="W619" s="45"/>
      <c r="X619" s="45"/>
      <c r="Y619" s="45"/>
      <c r="Z619" s="132"/>
    </row>
    <row r="620" spans="3:40">
      <c r="C620" s="42"/>
      <c r="F620" s="164"/>
      <c r="H620" s="164"/>
      <c r="I620" s="164"/>
      <c r="J620" s="132"/>
      <c r="K620" s="132"/>
      <c r="L620" s="45"/>
      <c r="M620" s="45"/>
      <c r="N620" s="46"/>
      <c r="O620" s="46"/>
      <c r="P620" s="45"/>
      <c r="Q620" s="45"/>
      <c r="R620" s="45"/>
      <c r="T620" s="42"/>
      <c r="V620" s="45"/>
      <c r="W620" s="45"/>
      <c r="X620" s="45"/>
      <c r="Y620" s="45"/>
      <c r="Z620" s="132"/>
      <c r="AA620" s="45"/>
      <c r="AB620" s="45"/>
      <c r="AC620" s="46"/>
      <c r="AD620" s="46"/>
      <c r="AE620" s="45"/>
      <c r="AF620" s="45"/>
      <c r="AH620" s="51"/>
      <c r="AI620" s="45"/>
      <c r="AJ620" s="45"/>
      <c r="AL620" s="45"/>
      <c r="AM620" s="46"/>
      <c r="AN620" s="46"/>
    </row>
    <row r="621" spans="3:40">
      <c r="C621" s="42"/>
      <c r="J621" s="56"/>
      <c r="K621" s="56"/>
      <c r="T621" s="42"/>
      <c r="V621" s="45"/>
      <c r="W621" s="45"/>
      <c r="X621" s="45"/>
      <c r="Y621" s="45"/>
      <c r="Z621" s="132"/>
    </row>
    <row r="622" spans="3:40">
      <c r="C622" s="42"/>
      <c r="F622" s="164"/>
      <c r="H622" s="164"/>
      <c r="I622" s="164"/>
      <c r="J622" s="132"/>
      <c r="K622" s="132"/>
      <c r="L622" s="45"/>
      <c r="M622" s="45"/>
      <c r="N622" s="46"/>
      <c r="O622" s="46"/>
      <c r="P622" s="45"/>
      <c r="Q622" s="45"/>
      <c r="R622" s="45"/>
      <c r="T622" s="42"/>
      <c r="V622" s="45"/>
      <c r="W622" s="45"/>
      <c r="X622" s="45"/>
      <c r="Y622" s="45"/>
      <c r="Z622" s="132"/>
      <c r="AA622" s="45"/>
      <c r="AB622" s="45"/>
      <c r="AC622" s="46"/>
      <c r="AD622" s="46"/>
      <c r="AE622" s="45"/>
      <c r="AF622" s="45"/>
      <c r="AH622" s="51"/>
      <c r="AI622" s="45"/>
      <c r="AJ622" s="45"/>
      <c r="AL622" s="45"/>
      <c r="AM622" s="46"/>
      <c r="AN622" s="46"/>
    </row>
    <row r="623" spans="3:40">
      <c r="C623" s="42"/>
      <c r="J623" s="56"/>
      <c r="K623" s="56"/>
      <c r="T623" s="42"/>
      <c r="V623" s="45"/>
      <c r="W623" s="45"/>
      <c r="X623" s="45"/>
      <c r="Y623" s="45"/>
      <c r="Z623" s="132"/>
    </row>
    <row r="624" spans="3:40">
      <c r="C624" s="42"/>
      <c r="F624" s="164"/>
      <c r="H624" s="164"/>
      <c r="I624" s="164"/>
      <c r="J624" s="132"/>
      <c r="K624" s="132"/>
      <c r="L624" s="45"/>
      <c r="M624" s="45"/>
      <c r="N624" s="46"/>
      <c r="O624" s="46"/>
      <c r="P624" s="45"/>
      <c r="Q624" s="45"/>
      <c r="R624" s="45"/>
      <c r="T624" s="42"/>
      <c r="V624" s="45"/>
      <c r="W624" s="45"/>
      <c r="X624" s="45"/>
      <c r="Y624" s="45"/>
      <c r="Z624" s="132"/>
      <c r="AA624" s="45"/>
      <c r="AB624" s="45"/>
      <c r="AC624" s="46"/>
      <c r="AD624" s="46"/>
      <c r="AE624" s="45"/>
      <c r="AF624" s="45"/>
      <c r="AH624" s="51"/>
      <c r="AI624" s="45"/>
      <c r="AJ624" s="45"/>
      <c r="AL624" s="45"/>
      <c r="AM624" s="46"/>
      <c r="AN624" s="46"/>
    </row>
    <row r="625" spans="3:40">
      <c r="F625" s="50"/>
      <c r="H625" s="50"/>
      <c r="I625" s="50"/>
      <c r="J625" s="132"/>
      <c r="K625" s="132"/>
      <c r="L625" s="50"/>
      <c r="M625" s="50"/>
      <c r="N625" s="50"/>
      <c r="O625" s="50"/>
      <c r="P625" s="50"/>
      <c r="Q625" s="50"/>
      <c r="R625" s="50"/>
      <c r="V625" s="50"/>
      <c r="Y625" s="50"/>
      <c r="Z625" s="132"/>
      <c r="AA625" s="50"/>
      <c r="AB625" s="50"/>
      <c r="AC625" s="50"/>
      <c r="AD625" s="50"/>
      <c r="AE625" s="50"/>
      <c r="AF625" s="50"/>
      <c r="AI625" s="50"/>
      <c r="AJ625" s="50"/>
      <c r="AK625" s="111"/>
      <c r="AL625" s="50"/>
      <c r="AM625" s="46"/>
      <c r="AN625" s="46"/>
    </row>
    <row r="626" spans="3:40">
      <c r="C626" s="42"/>
      <c r="F626" s="45"/>
      <c r="H626" s="45"/>
      <c r="I626" s="45"/>
      <c r="J626" s="56"/>
      <c r="K626" s="56"/>
      <c r="L626" s="45"/>
      <c r="M626" s="45"/>
      <c r="N626" s="46"/>
      <c r="O626" s="46"/>
      <c r="P626" s="164"/>
      <c r="Q626" s="164"/>
      <c r="R626" s="45"/>
      <c r="T626" s="42"/>
      <c r="V626" s="45"/>
      <c r="W626" s="45"/>
      <c r="X626" s="45"/>
      <c r="Y626" s="45"/>
      <c r="Z626" s="132"/>
      <c r="AA626" s="45"/>
      <c r="AB626" s="45"/>
      <c r="AC626" s="46"/>
      <c r="AD626" s="46"/>
      <c r="AE626" s="45"/>
      <c r="AF626" s="45"/>
      <c r="AH626" s="51"/>
      <c r="AI626" s="164"/>
      <c r="AJ626" s="164"/>
      <c r="AL626" s="45"/>
      <c r="AM626" s="46"/>
      <c r="AN626" s="46"/>
    </row>
    <row r="627" spans="3:40">
      <c r="F627" s="50"/>
      <c r="H627" s="50"/>
      <c r="I627" s="50"/>
      <c r="J627" s="132"/>
      <c r="K627" s="132"/>
      <c r="L627" s="50"/>
      <c r="M627" s="50"/>
      <c r="N627" s="50"/>
      <c r="O627" s="50"/>
      <c r="P627" s="50"/>
      <c r="Q627" s="50"/>
      <c r="R627" s="50"/>
      <c r="V627" s="50"/>
      <c r="Y627" s="50"/>
      <c r="Z627" s="132"/>
      <c r="AA627" s="50"/>
      <c r="AB627" s="50"/>
      <c r="AC627" s="50"/>
      <c r="AD627" s="50"/>
      <c r="AE627" s="50"/>
      <c r="AF627" s="50"/>
      <c r="AI627" s="50"/>
      <c r="AJ627" s="50"/>
      <c r="AK627" s="111"/>
      <c r="AL627" s="50"/>
    </row>
    <row r="628" spans="3:40">
      <c r="C628" s="42"/>
      <c r="D628" s="42"/>
      <c r="E628" s="42"/>
      <c r="J628" s="56"/>
      <c r="K628" s="56"/>
      <c r="T628" s="42"/>
      <c r="U628" s="42"/>
      <c r="V628" s="45"/>
      <c r="W628" s="45"/>
      <c r="X628" s="45"/>
      <c r="Y628" s="45"/>
      <c r="Z628" s="132"/>
    </row>
    <row r="629" spans="3:40">
      <c r="C629" s="42"/>
      <c r="J629" s="56"/>
      <c r="K629" s="56"/>
      <c r="T629" s="42"/>
      <c r="V629" s="45"/>
      <c r="W629" s="45"/>
      <c r="X629" s="45"/>
      <c r="Y629" s="45"/>
      <c r="Z629" s="132"/>
    </row>
    <row r="630" spans="3:40">
      <c r="C630" s="42"/>
      <c r="J630" s="56"/>
      <c r="K630" s="56"/>
      <c r="T630" s="42"/>
      <c r="V630" s="45"/>
      <c r="W630" s="45"/>
      <c r="X630" s="45"/>
      <c r="Y630" s="45"/>
      <c r="Z630" s="132"/>
    </row>
    <row r="631" spans="3:40">
      <c r="C631" s="42"/>
      <c r="F631" s="164"/>
      <c r="H631" s="164"/>
      <c r="I631" s="164"/>
      <c r="J631" s="132"/>
      <c r="K631" s="132"/>
      <c r="L631" s="45"/>
      <c r="M631" s="45"/>
      <c r="N631" s="46"/>
      <c r="O631" s="46"/>
      <c r="P631" s="45"/>
      <c r="Q631" s="45"/>
      <c r="R631" s="45"/>
      <c r="T631" s="42"/>
      <c r="V631" s="45"/>
      <c r="W631" s="45"/>
      <c r="X631" s="45"/>
      <c r="Y631" s="45"/>
      <c r="Z631" s="132"/>
      <c r="AA631" s="45"/>
      <c r="AB631" s="45"/>
      <c r="AC631" s="46"/>
      <c r="AD631" s="46"/>
      <c r="AE631" s="45"/>
      <c r="AF631" s="45"/>
      <c r="AH631" s="51"/>
      <c r="AI631" s="45"/>
      <c r="AJ631" s="45"/>
      <c r="AL631" s="45"/>
      <c r="AM631" s="46"/>
      <c r="AN631" s="46"/>
    </row>
    <row r="632" spans="3:40">
      <c r="C632" s="42"/>
      <c r="J632" s="56"/>
      <c r="K632" s="56"/>
      <c r="T632" s="42"/>
      <c r="V632" s="45"/>
      <c r="W632" s="45"/>
      <c r="X632" s="45"/>
      <c r="Y632" s="45"/>
      <c r="Z632" s="132"/>
    </row>
    <row r="633" spans="3:40">
      <c r="C633" s="42"/>
      <c r="F633" s="164"/>
      <c r="H633" s="164"/>
      <c r="I633" s="164"/>
      <c r="J633" s="132"/>
      <c r="K633" s="132"/>
      <c r="L633" s="45"/>
      <c r="M633" s="45"/>
      <c r="N633" s="46"/>
      <c r="O633" s="46"/>
      <c r="P633" s="45"/>
      <c r="Q633" s="45"/>
      <c r="R633" s="45"/>
      <c r="T633" s="42"/>
      <c r="V633" s="45"/>
      <c r="W633" s="45"/>
      <c r="X633" s="45"/>
      <c r="Y633" s="45"/>
      <c r="Z633" s="132"/>
      <c r="AA633" s="45"/>
      <c r="AB633" s="45"/>
      <c r="AC633" s="46"/>
      <c r="AD633" s="46"/>
      <c r="AE633" s="45"/>
      <c r="AF633" s="45"/>
      <c r="AH633" s="51"/>
      <c r="AI633" s="45"/>
      <c r="AJ633" s="45"/>
      <c r="AL633" s="45"/>
      <c r="AM633" s="46"/>
      <c r="AN633" s="46"/>
    </row>
    <row r="634" spans="3:40">
      <c r="F634" s="50"/>
      <c r="H634" s="50"/>
      <c r="I634" s="50"/>
      <c r="J634" s="132"/>
      <c r="K634" s="132"/>
      <c r="L634" s="50"/>
      <c r="M634" s="50"/>
      <c r="N634" s="50"/>
      <c r="O634" s="50"/>
      <c r="P634" s="50"/>
      <c r="Q634" s="50"/>
      <c r="R634" s="50"/>
      <c r="V634" s="50"/>
      <c r="Y634" s="50"/>
      <c r="Z634" s="326"/>
      <c r="AA634" s="50"/>
      <c r="AB634" s="50"/>
      <c r="AC634" s="50"/>
      <c r="AD634" s="50"/>
      <c r="AE634" s="50"/>
      <c r="AF634" s="50"/>
      <c r="AI634" s="50"/>
      <c r="AJ634" s="50"/>
      <c r="AK634" s="111"/>
      <c r="AL634" s="50"/>
    </row>
    <row r="635" spans="3:40">
      <c r="C635" s="42"/>
      <c r="F635" s="45"/>
      <c r="H635" s="45"/>
      <c r="I635" s="45"/>
      <c r="L635" s="45"/>
      <c r="M635" s="45"/>
      <c r="N635" s="46"/>
      <c r="O635" s="46"/>
      <c r="P635" s="164"/>
      <c r="Q635" s="164"/>
      <c r="R635" s="45"/>
      <c r="T635" s="42"/>
      <c r="V635" s="45"/>
      <c r="W635" s="45"/>
      <c r="X635" s="45"/>
      <c r="Y635" s="45"/>
      <c r="Z635" s="336"/>
      <c r="AA635" s="45"/>
      <c r="AB635" s="45"/>
      <c r="AC635" s="46"/>
      <c r="AD635" s="46"/>
      <c r="AE635" s="45"/>
      <c r="AF635" s="45"/>
      <c r="AH635" s="51"/>
      <c r="AI635" s="164"/>
      <c r="AJ635" s="164"/>
      <c r="AL635" s="45"/>
      <c r="AM635" s="46"/>
      <c r="AN635" s="46"/>
    </row>
    <row r="636" spans="3:40">
      <c r="F636" s="50"/>
      <c r="H636" s="50"/>
      <c r="I636" s="50"/>
      <c r="J636" s="326"/>
      <c r="K636" s="326"/>
      <c r="L636" s="50"/>
      <c r="M636" s="50"/>
      <c r="N636" s="50"/>
      <c r="O636" s="50"/>
      <c r="P636" s="50"/>
      <c r="Q636" s="50"/>
      <c r="R636" s="50"/>
      <c r="V636" s="50"/>
      <c r="Y636" s="50"/>
      <c r="Z636" s="326"/>
      <c r="AA636" s="50"/>
      <c r="AB636" s="50"/>
      <c r="AC636" s="50"/>
      <c r="AD636" s="50"/>
      <c r="AE636" s="50"/>
      <c r="AF636" s="50"/>
      <c r="AI636" s="50"/>
      <c r="AJ636" s="50"/>
      <c r="AK636" s="111"/>
      <c r="AL636" s="50"/>
    </row>
    <row r="637" spans="3:40">
      <c r="C637" s="42"/>
      <c r="D637" s="42"/>
      <c r="E637" s="42"/>
      <c r="T637" s="42"/>
      <c r="U637" s="42"/>
      <c r="V637" s="45"/>
      <c r="W637" s="45"/>
      <c r="X637" s="45"/>
      <c r="Y637" s="45"/>
      <c r="Z637" s="336"/>
    </row>
    <row r="638" spans="3:40">
      <c r="C638" s="42"/>
      <c r="T638" s="42"/>
      <c r="V638" s="45"/>
      <c r="W638" s="45"/>
      <c r="X638" s="45"/>
      <c r="Y638" s="45"/>
      <c r="Z638" s="336"/>
    </row>
    <row r="639" spans="3:40">
      <c r="C639" s="42"/>
      <c r="F639" s="164"/>
      <c r="H639" s="164"/>
      <c r="I639" s="164"/>
      <c r="J639" s="336"/>
      <c r="K639" s="336"/>
      <c r="L639" s="45"/>
      <c r="M639" s="45"/>
      <c r="N639" s="46"/>
      <c r="O639" s="46"/>
      <c r="P639" s="45"/>
      <c r="Q639" s="45"/>
      <c r="R639" s="45"/>
      <c r="T639" s="42"/>
      <c r="V639" s="45"/>
      <c r="W639" s="45"/>
      <c r="X639" s="45"/>
      <c r="Y639" s="45"/>
      <c r="Z639" s="336"/>
      <c r="AA639" s="45"/>
      <c r="AB639" s="45"/>
      <c r="AC639" s="46"/>
      <c r="AD639" s="46"/>
      <c r="AE639" s="45"/>
      <c r="AF639" s="45"/>
      <c r="AH639" s="51"/>
      <c r="AI639" s="45"/>
      <c r="AJ639" s="45"/>
      <c r="AL639" s="45"/>
      <c r="AM639" s="46"/>
      <c r="AN639" s="46"/>
    </row>
    <row r="640" spans="3:40">
      <c r="C640" s="42"/>
      <c r="T640" s="42"/>
      <c r="V640" s="45"/>
      <c r="W640" s="45"/>
      <c r="X640" s="45"/>
      <c r="Y640" s="45"/>
      <c r="Z640" s="336"/>
    </row>
    <row r="641" spans="1:40">
      <c r="C641" s="42"/>
      <c r="F641" s="164"/>
      <c r="H641" s="164"/>
      <c r="I641" s="164"/>
      <c r="J641" s="336"/>
      <c r="K641" s="336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Z641" s="336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46"/>
      <c r="AN641" s="46"/>
    </row>
    <row r="642" spans="1:40">
      <c r="C642" s="42"/>
      <c r="T642" s="42"/>
      <c r="V642" s="45"/>
      <c r="W642" s="45"/>
      <c r="X642" s="45"/>
      <c r="Y642" s="45"/>
      <c r="Z642" s="336"/>
    </row>
    <row r="643" spans="1:40">
      <c r="C643" s="42"/>
      <c r="F643" s="164"/>
      <c r="H643" s="164"/>
      <c r="I643" s="164"/>
      <c r="J643" s="336"/>
      <c r="K643" s="336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Z643" s="336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46"/>
      <c r="AN643" s="46"/>
    </row>
    <row r="644" spans="1:40">
      <c r="C644" s="42"/>
      <c r="T644" s="42"/>
      <c r="V644" s="45"/>
      <c r="W644" s="45"/>
      <c r="X644" s="45"/>
      <c r="Y644" s="45"/>
      <c r="Z644" s="336"/>
    </row>
    <row r="645" spans="1:40">
      <c r="C645" s="42"/>
      <c r="F645" s="164"/>
      <c r="H645" s="164"/>
      <c r="I645" s="164"/>
      <c r="J645" s="336"/>
      <c r="K645" s="336"/>
      <c r="L645" s="45"/>
      <c r="M645" s="45"/>
      <c r="N645" s="46"/>
      <c r="O645" s="46"/>
      <c r="P645" s="45"/>
      <c r="Q645" s="45"/>
      <c r="R645" s="45"/>
      <c r="T645" s="42"/>
      <c r="V645" s="45"/>
      <c r="W645" s="45"/>
      <c r="X645" s="45"/>
      <c r="Y645" s="45"/>
      <c r="Z645" s="336"/>
      <c r="AA645" s="45"/>
      <c r="AB645" s="45"/>
      <c r="AC645" s="46"/>
      <c r="AD645" s="46"/>
      <c r="AE645" s="45"/>
      <c r="AF645" s="45"/>
      <c r="AH645" s="51"/>
      <c r="AI645" s="45"/>
      <c r="AJ645" s="45"/>
      <c r="AL645" s="45"/>
      <c r="AM645" s="46"/>
      <c r="AN645" s="46"/>
    </row>
    <row r="646" spans="1:40">
      <c r="F646" s="50"/>
      <c r="H646" s="50"/>
      <c r="I646" s="50"/>
      <c r="J646" s="326"/>
      <c r="K646" s="326"/>
      <c r="L646" s="50"/>
      <c r="M646" s="50"/>
      <c r="N646" s="50"/>
      <c r="O646" s="50"/>
      <c r="P646" s="50"/>
      <c r="Q646" s="50"/>
      <c r="R646" s="50"/>
      <c r="V646" s="50"/>
      <c r="Y646" s="50"/>
      <c r="Z646" s="326"/>
      <c r="AA646" s="50"/>
      <c r="AB646" s="50"/>
      <c r="AC646" s="50"/>
      <c r="AD646" s="50"/>
      <c r="AE646" s="50"/>
      <c r="AF646" s="50"/>
      <c r="AI646" s="50"/>
      <c r="AJ646" s="50"/>
      <c r="AK646" s="111"/>
      <c r="AL646" s="50"/>
    </row>
    <row r="647" spans="1:40">
      <c r="C647" s="42"/>
      <c r="F647" s="45"/>
      <c r="H647" s="45"/>
      <c r="I647" s="45"/>
      <c r="L647" s="45"/>
      <c r="M647" s="45"/>
      <c r="N647" s="46"/>
      <c r="O647" s="46"/>
      <c r="P647" s="164"/>
      <c r="Q647" s="164"/>
      <c r="R647" s="45"/>
      <c r="T647" s="42"/>
      <c r="V647" s="45"/>
      <c r="W647" s="45"/>
      <c r="X647" s="45"/>
      <c r="Y647" s="45"/>
      <c r="Z647" s="336"/>
      <c r="AA647" s="45"/>
      <c r="AB647" s="45"/>
      <c r="AC647" s="46"/>
      <c r="AD647" s="46"/>
      <c r="AE647" s="45"/>
      <c r="AF647" s="45"/>
      <c r="AH647" s="51"/>
      <c r="AI647" s="164"/>
      <c r="AJ647" s="164"/>
      <c r="AL647" s="45"/>
      <c r="AM647" s="46"/>
      <c r="AN647" s="46"/>
    </row>
    <row r="648" spans="1:40">
      <c r="F648" s="50"/>
      <c r="H648" s="50"/>
      <c r="I648" s="50"/>
      <c r="J648" s="326"/>
      <c r="K648" s="326"/>
      <c r="L648" s="50"/>
      <c r="M648" s="50"/>
      <c r="N648" s="50"/>
      <c r="O648" s="50"/>
      <c r="P648" s="50"/>
      <c r="Q648" s="50"/>
      <c r="R648" s="50"/>
      <c r="V648" s="50"/>
      <c r="Y648" s="50"/>
      <c r="Z648" s="326"/>
      <c r="AA648" s="50"/>
      <c r="AB648" s="50"/>
      <c r="AC648" s="50"/>
      <c r="AD648" s="50"/>
      <c r="AE648" s="50"/>
      <c r="AF648" s="50"/>
      <c r="AI648" s="50"/>
      <c r="AJ648" s="50"/>
      <c r="AK648" s="111"/>
      <c r="AL648" s="50"/>
    </row>
    <row r="649" spans="1:40">
      <c r="C649" s="42"/>
      <c r="F649" s="45"/>
      <c r="H649" s="45"/>
      <c r="I649" s="45"/>
      <c r="L649" s="45"/>
      <c r="M649" s="45"/>
      <c r="N649" s="46"/>
      <c r="O649" s="46"/>
      <c r="P649" s="45"/>
      <c r="Q649" s="45"/>
      <c r="R649" s="45"/>
      <c r="T649" s="42"/>
      <c r="V649" s="45"/>
      <c r="W649" s="45"/>
      <c r="X649" s="45"/>
      <c r="Y649" s="45"/>
      <c r="AA649" s="45"/>
      <c r="AB649" s="45"/>
      <c r="AC649" s="46"/>
      <c r="AD649" s="46"/>
      <c r="AE649" s="45"/>
      <c r="AF649" s="45"/>
      <c r="AH649" s="51"/>
      <c r="AI649" s="45"/>
      <c r="AJ649" s="45"/>
      <c r="AL649" s="45"/>
      <c r="AM649" s="51"/>
      <c r="AN649" s="51"/>
    </row>
    <row r="650" spans="1:40">
      <c r="F650" s="50"/>
      <c r="H650" s="50"/>
      <c r="I650" s="50"/>
      <c r="J650" s="326"/>
      <c r="K650" s="326"/>
      <c r="L650" s="50"/>
      <c r="M650" s="50"/>
      <c r="N650" s="50"/>
      <c r="O650" s="50"/>
      <c r="P650" s="50"/>
      <c r="Q650" s="50"/>
      <c r="R650" s="50"/>
      <c r="V650" s="50"/>
      <c r="Y650" s="50"/>
      <c r="Z650" s="326"/>
      <c r="AA650" s="50"/>
      <c r="AB650" s="50"/>
      <c r="AC650" s="50"/>
      <c r="AD650" s="50"/>
      <c r="AE650" s="50"/>
      <c r="AF650" s="50"/>
      <c r="AI650" s="50"/>
      <c r="AJ650" s="50"/>
      <c r="AK650" s="111"/>
      <c r="AL650" s="50"/>
    </row>
    <row r="653" spans="1:40">
      <c r="A653" s="42"/>
    </row>
    <row r="655" spans="1:40">
      <c r="H655" s="42"/>
      <c r="I655" s="42"/>
      <c r="Y655" s="42"/>
    </row>
    <row r="657" spans="1:40">
      <c r="L657" s="42"/>
      <c r="M657" s="42"/>
      <c r="AA657" s="42"/>
      <c r="AB657" s="42"/>
    </row>
    <row r="658" spans="1:40">
      <c r="R658" s="42"/>
      <c r="AK658" s="110"/>
      <c r="AL658" s="42"/>
    </row>
    <row r="659" spans="1:40">
      <c r="R659" s="42"/>
      <c r="AK659" s="110"/>
      <c r="AL659" s="42"/>
    </row>
    <row r="660" spans="1:40">
      <c r="A660" s="42"/>
      <c r="R660" s="42"/>
      <c r="AK660" s="110"/>
      <c r="AL660" s="42"/>
    </row>
    <row r="661" spans="1:40">
      <c r="L661" s="42"/>
      <c r="M661" s="42"/>
      <c r="AA661" s="42"/>
      <c r="AB661" s="42"/>
    </row>
    <row r="662" spans="1:40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107"/>
      <c r="AH662" s="49"/>
      <c r="AI662" s="49"/>
      <c r="AJ662" s="49"/>
      <c r="AK662" s="107"/>
      <c r="AL662" s="49"/>
      <c r="AM662" s="49"/>
      <c r="AN662" s="49"/>
    </row>
    <row r="663" spans="1:40">
      <c r="L663" s="44"/>
      <c r="M663" s="44"/>
      <c r="N663" s="44"/>
      <c r="O663" s="44"/>
      <c r="R663" s="44"/>
      <c r="AA663" s="44"/>
      <c r="AB663" s="44"/>
      <c r="AC663" s="44"/>
      <c r="AD663" s="44"/>
      <c r="AE663" s="44"/>
      <c r="AF663" s="44"/>
      <c r="AG663" s="102"/>
      <c r="AH663" s="44"/>
      <c r="AK663" s="102"/>
      <c r="AL663" s="44"/>
      <c r="AM663" s="44"/>
      <c r="AN663" s="44"/>
    </row>
    <row r="664" spans="1:40">
      <c r="L664" s="44"/>
      <c r="M664" s="44"/>
      <c r="N664" s="44"/>
      <c r="O664" s="44"/>
      <c r="R664" s="44"/>
      <c r="Z664" s="44"/>
      <c r="AA664" s="44"/>
      <c r="AB664" s="44"/>
      <c r="AC664" s="44"/>
      <c r="AD664" s="44"/>
      <c r="AE664" s="44"/>
      <c r="AF664" s="44"/>
      <c r="AG664" s="102"/>
      <c r="AH664" s="44"/>
      <c r="AK664" s="102"/>
      <c r="AL664" s="44"/>
      <c r="AM664" s="44"/>
      <c r="AN664" s="44"/>
    </row>
    <row r="665" spans="1:40">
      <c r="A665" s="44"/>
      <c r="C665" s="44"/>
      <c r="D665" s="44"/>
      <c r="E665" s="44"/>
      <c r="F665" s="44"/>
      <c r="J665" s="44"/>
      <c r="K665" s="44"/>
      <c r="L665" s="44"/>
      <c r="M665" s="44"/>
      <c r="N665" s="44"/>
      <c r="O665" s="44"/>
      <c r="P665" s="44"/>
      <c r="Q665" s="44"/>
      <c r="R665" s="44"/>
      <c r="T665" s="44"/>
      <c r="U665" s="44"/>
      <c r="V665" s="44"/>
      <c r="Z665" s="44"/>
      <c r="AA665" s="44"/>
      <c r="AB665" s="44"/>
      <c r="AC665" s="44"/>
      <c r="AD665" s="44"/>
      <c r="AE665" s="44"/>
      <c r="AF665" s="44"/>
      <c r="AG665" s="102"/>
      <c r="AH665" s="44"/>
      <c r="AI665" s="44"/>
      <c r="AJ665" s="44"/>
      <c r="AK665" s="102"/>
      <c r="AL665" s="44"/>
      <c r="AM665" s="44"/>
      <c r="AN665" s="44"/>
    </row>
    <row r="666" spans="1:40">
      <c r="A666" s="44"/>
      <c r="C666" s="44"/>
      <c r="D666" s="44"/>
      <c r="E666" s="44"/>
      <c r="F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T666" s="44"/>
      <c r="U666" s="44"/>
      <c r="V666" s="44"/>
      <c r="Y666" s="44"/>
      <c r="Z666" s="44"/>
      <c r="AA666" s="44"/>
      <c r="AB666" s="44"/>
      <c r="AC666" s="44"/>
      <c r="AD666" s="44"/>
      <c r="AE666" s="44"/>
      <c r="AF666" s="44"/>
      <c r="AG666" s="102"/>
      <c r="AH666" s="44"/>
      <c r="AI666" s="44"/>
      <c r="AJ666" s="44"/>
      <c r="AK666" s="102"/>
      <c r="AL666" s="44"/>
      <c r="AM666" s="44"/>
      <c r="AN666" s="44"/>
    </row>
    <row r="667" spans="1:40">
      <c r="C667" s="44"/>
      <c r="D667" s="44"/>
      <c r="E667" s="44"/>
      <c r="F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T667" s="44"/>
      <c r="U667" s="44"/>
      <c r="V667" s="44"/>
      <c r="Y667" s="44"/>
      <c r="Z667" s="44"/>
      <c r="AA667" s="44"/>
      <c r="AB667" s="44"/>
      <c r="AC667" s="44"/>
      <c r="AD667" s="44"/>
      <c r="AE667" s="44"/>
      <c r="AF667" s="44"/>
      <c r="AG667" s="102"/>
      <c r="AH667" s="44"/>
      <c r="AI667" s="44"/>
      <c r="AJ667" s="44"/>
      <c r="AK667" s="102"/>
      <c r="AL667" s="44"/>
      <c r="AM667" s="44"/>
      <c r="AN667" s="44"/>
    </row>
    <row r="668" spans="1:40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107"/>
      <c r="AH668" s="49"/>
      <c r="AI668" s="49"/>
      <c r="AJ668" s="49"/>
      <c r="AK668" s="107"/>
      <c r="AL668" s="49"/>
      <c r="AM668" s="49"/>
      <c r="AN668" s="49"/>
    </row>
    <row r="669" spans="1:40"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Y669" s="44"/>
      <c r="Z669" s="44"/>
      <c r="AA669" s="44"/>
      <c r="AB669" s="44"/>
      <c r="AC669" s="44"/>
      <c r="AD669" s="44"/>
      <c r="AE669" s="44"/>
      <c r="AF669" s="44"/>
      <c r="AG669" s="102"/>
      <c r="AH669" s="44"/>
      <c r="AI669" s="44"/>
      <c r="AJ669" s="44"/>
      <c r="AK669" s="102"/>
      <c r="AL669" s="44"/>
      <c r="AM669" s="44"/>
      <c r="AN669" s="44"/>
    </row>
    <row r="670" spans="1:40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1:40">
      <c r="F671" s="50"/>
      <c r="H671" s="50"/>
      <c r="I671" s="50"/>
      <c r="J671" s="326"/>
      <c r="K671" s="326"/>
      <c r="L671" s="50"/>
      <c r="M671" s="50"/>
      <c r="N671" s="50"/>
      <c r="O671" s="50"/>
      <c r="P671" s="50"/>
      <c r="Q671" s="50"/>
      <c r="R671" s="50"/>
      <c r="V671" s="50"/>
      <c r="Y671" s="50"/>
      <c r="Z671" s="326"/>
      <c r="AA671" s="50"/>
      <c r="AB671" s="50"/>
      <c r="AC671" s="50"/>
      <c r="AD671" s="50"/>
      <c r="AE671" s="50"/>
      <c r="AF671" s="50"/>
      <c r="AI671" s="50"/>
      <c r="AJ671" s="50"/>
      <c r="AK671" s="111"/>
      <c r="AL671" s="50"/>
      <c r="AM671" s="46"/>
      <c r="AN671" s="46"/>
    </row>
    <row r="672" spans="1:40">
      <c r="C672" s="42"/>
      <c r="F672" s="45"/>
      <c r="H672" s="45"/>
      <c r="I672" s="45"/>
      <c r="J672" s="47"/>
      <c r="K672" s="47"/>
      <c r="L672" s="45"/>
      <c r="M672" s="45"/>
      <c r="N672" s="47"/>
      <c r="O672" s="47"/>
      <c r="P672" s="45"/>
      <c r="Q672" s="45"/>
      <c r="R672" s="45"/>
      <c r="T672" s="42"/>
      <c r="V672" s="45"/>
      <c r="Y672" s="45"/>
      <c r="Z672" s="47"/>
      <c r="AA672" s="45"/>
      <c r="AB672" s="45"/>
      <c r="AC672" s="47"/>
      <c r="AD672" s="47"/>
      <c r="AE672" s="45"/>
      <c r="AF672" s="45"/>
      <c r="AH672" s="51"/>
      <c r="AI672" s="45"/>
      <c r="AJ672" s="45"/>
      <c r="AL672" s="45"/>
      <c r="AM672" s="46"/>
      <c r="AN672" s="46"/>
    </row>
    <row r="673" spans="3:40">
      <c r="F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V673" s="45"/>
      <c r="Y673" s="45"/>
      <c r="Z673" s="47"/>
      <c r="AA673" s="45"/>
      <c r="AB673" s="45"/>
      <c r="AC673" s="47"/>
      <c r="AD673" s="47"/>
      <c r="AH673" s="51"/>
      <c r="AI673" s="45"/>
      <c r="AJ673" s="45"/>
      <c r="AL673" s="45"/>
      <c r="AM673" s="46"/>
      <c r="AN673" s="46"/>
    </row>
    <row r="674" spans="3:40">
      <c r="C674" s="42"/>
      <c r="D674" s="42"/>
      <c r="E674" s="42"/>
      <c r="F674" s="45"/>
      <c r="H674" s="45"/>
      <c r="I674" s="45"/>
      <c r="J674" s="47"/>
      <c r="K674" s="47"/>
      <c r="L674" s="45"/>
      <c r="M674" s="45"/>
      <c r="N674" s="47"/>
      <c r="O674" s="47"/>
      <c r="P674" s="45"/>
      <c r="Q674" s="45"/>
      <c r="R674" s="45"/>
      <c r="T674" s="42"/>
      <c r="U674" s="42"/>
      <c r="V674" s="45"/>
      <c r="Y674" s="45"/>
      <c r="Z674" s="47"/>
      <c r="AA674" s="45"/>
      <c r="AB674" s="45"/>
      <c r="AC674" s="47"/>
      <c r="AD674" s="47"/>
      <c r="AE674" s="45"/>
      <c r="AF674" s="45"/>
      <c r="AH674" s="51"/>
      <c r="AI674" s="45"/>
      <c r="AJ674" s="45"/>
      <c r="AL674" s="45"/>
      <c r="AM674" s="46"/>
      <c r="AN674" s="46"/>
    </row>
    <row r="675" spans="3:40">
      <c r="C675" s="42"/>
      <c r="D675" s="42"/>
      <c r="E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U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>
      <c r="C676" s="42"/>
      <c r="D676" s="42"/>
      <c r="E676" s="42"/>
      <c r="F676" s="45"/>
      <c r="H676" s="45"/>
      <c r="I676" s="45"/>
      <c r="J676" s="47"/>
      <c r="K676" s="47"/>
      <c r="L676" s="45"/>
      <c r="M676" s="45"/>
      <c r="N676" s="47"/>
      <c r="O676" s="47"/>
      <c r="P676" s="45"/>
      <c r="Q676" s="45"/>
      <c r="R676" s="45"/>
      <c r="T676" s="42"/>
      <c r="U676" s="42"/>
      <c r="V676" s="45"/>
      <c r="Y676" s="45"/>
      <c r="Z676" s="47"/>
      <c r="AA676" s="45"/>
      <c r="AB676" s="45"/>
      <c r="AC676" s="47"/>
      <c r="AD676" s="47"/>
      <c r="AE676" s="45"/>
      <c r="AF676" s="45"/>
      <c r="AH676" s="51"/>
      <c r="AI676" s="45"/>
      <c r="AJ676" s="45"/>
      <c r="AL676" s="45"/>
      <c r="AM676" s="46"/>
      <c r="AN676" s="46"/>
    </row>
    <row r="677" spans="3:40">
      <c r="C677" s="42"/>
      <c r="D677" s="42"/>
      <c r="E677" s="42"/>
      <c r="F677" s="45"/>
      <c r="H677" s="45"/>
      <c r="I677" s="45"/>
      <c r="J677" s="47"/>
      <c r="K677" s="47"/>
      <c r="L677" s="45"/>
      <c r="M677" s="45"/>
      <c r="N677" s="47"/>
      <c r="O677" s="47"/>
      <c r="P677" s="45"/>
      <c r="Q677" s="45"/>
      <c r="R677" s="45"/>
      <c r="T677" s="42"/>
      <c r="U677" s="42"/>
      <c r="V677" s="45"/>
      <c r="Y677" s="45"/>
      <c r="Z677" s="47"/>
      <c r="AA677" s="45"/>
      <c r="AB677" s="45"/>
      <c r="AC677" s="47"/>
      <c r="AD677" s="47"/>
      <c r="AE677" s="45"/>
      <c r="AF677" s="45"/>
      <c r="AH677" s="51"/>
      <c r="AI677" s="45"/>
      <c r="AJ677" s="45"/>
      <c r="AL677" s="45"/>
      <c r="AM677" s="46"/>
      <c r="AN677" s="46"/>
    </row>
    <row r="678" spans="3:40">
      <c r="C678" s="42"/>
      <c r="D678" s="42"/>
      <c r="E678" s="42"/>
      <c r="F678" s="45"/>
      <c r="H678" s="45"/>
      <c r="I678" s="45"/>
      <c r="J678" s="47"/>
      <c r="K678" s="47"/>
      <c r="L678" s="45"/>
      <c r="M678" s="45"/>
      <c r="N678" s="47"/>
      <c r="O678" s="47"/>
      <c r="P678" s="45"/>
      <c r="Q678" s="45"/>
      <c r="R678" s="45"/>
      <c r="T678" s="42"/>
      <c r="U678" s="42"/>
      <c r="V678" s="45"/>
      <c r="Y678" s="45"/>
      <c r="Z678" s="47"/>
      <c r="AA678" s="45"/>
      <c r="AB678" s="45"/>
      <c r="AC678" s="47"/>
      <c r="AD678" s="47"/>
      <c r="AE678" s="45"/>
      <c r="AF678" s="45"/>
      <c r="AH678" s="51"/>
      <c r="AI678" s="45"/>
      <c r="AJ678" s="45"/>
      <c r="AL678" s="45"/>
      <c r="AM678" s="46"/>
      <c r="AN678" s="46"/>
    </row>
    <row r="679" spans="3:40">
      <c r="C679" s="42"/>
      <c r="D679" s="42"/>
      <c r="E679" s="42"/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T679" s="42"/>
      <c r="U679" s="42"/>
      <c r="V679" s="45"/>
      <c r="Y679" s="45"/>
      <c r="Z679" s="47"/>
      <c r="AA679" s="45"/>
      <c r="AB679" s="45"/>
      <c r="AC679" s="47"/>
      <c r="AD679" s="47"/>
      <c r="AE679" s="45"/>
      <c r="AF679" s="45"/>
      <c r="AH679" s="51"/>
      <c r="AI679" s="45"/>
      <c r="AJ679" s="45"/>
      <c r="AL679" s="45"/>
      <c r="AM679" s="46"/>
      <c r="AN679" s="46"/>
    </row>
    <row r="680" spans="3:40">
      <c r="F680" s="50"/>
      <c r="H680" s="50"/>
      <c r="I680" s="50"/>
      <c r="J680" s="326"/>
      <c r="K680" s="326"/>
      <c r="L680" s="50"/>
      <c r="M680" s="50"/>
      <c r="N680" s="50"/>
      <c r="O680" s="50"/>
      <c r="P680" s="50"/>
      <c r="Q680" s="50"/>
      <c r="R680" s="50"/>
      <c r="V680" s="50"/>
      <c r="Y680" s="50"/>
      <c r="Z680" s="326"/>
      <c r="AA680" s="50"/>
      <c r="AB680" s="50"/>
      <c r="AC680" s="50"/>
      <c r="AD680" s="50"/>
      <c r="AE680" s="50"/>
      <c r="AF680" s="50"/>
      <c r="AI680" s="50"/>
      <c r="AJ680" s="50"/>
      <c r="AK680" s="111"/>
      <c r="AL680" s="50"/>
      <c r="AM680" s="46"/>
      <c r="AN680" s="46"/>
    </row>
    <row r="681" spans="3:40">
      <c r="C681" s="42"/>
      <c r="F681" s="45"/>
      <c r="H681" s="45"/>
      <c r="I681" s="45"/>
      <c r="J681" s="47"/>
      <c r="K681" s="47"/>
      <c r="L681" s="45"/>
      <c r="M681" s="45"/>
      <c r="N681" s="47"/>
      <c r="O681" s="47"/>
      <c r="P681" s="45"/>
      <c r="Q681" s="45"/>
      <c r="R681" s="45"/>
      <c r="T681" s="42"/>
      <c r="V681" s="45"/>
      <c r="Y681" s="45"/>
      <c r="Z681" s="47"/>
      <c r="AA681" s="45"/>
      <c r="AB681" s="45"/>
      <c r="AC681" s="47"/>
      <c r="AD681" s="47"/>
      <c r="AE681" s="45"/>
      <c r="AF681" s="45"/>
      <c r="AH681" s="51"/>
      <c r="AI681" s="45"/>
      <c r="AJ681" s="45"/>
      <c r="AL681" s="45"/>
      <c r="AM681" s="46"/>
      <c r="AN681" s="46"/>
    </row>
    <row r="682" spans="3:40">
      <c r="F682" s="45"/>
      <c r="H682" s="45"/>
      <c r="I682" s="45"/>
      <c r="J682" s="47"/>
      <c r="K682" s="47"/>
      <c r="L682" s="45"/>
      <c r="M682" s="45"/>
      <c r="N682" s="47"/>
      <c r="O682" s="47"/>
      <c r="P682" s="45"/>
      <c r="Q682" s="45"/>
      <c r="R682" s="45"/>
      <c r="V682" s="45"/>
      <c r="Y682" s="45"/>
      <c r="Z682" s="47"/>
      <c r="AA682" s="45"/>
      <c r="AB682" s="45"/>
      <c r="AC682" s="47"/>
      <c r="AD682" s="47"/>
      <c r="AH682" s="51"/>
      <c r="AI682" s="45"/>
      <c r="AJ682" s="45"/>
      <c r="AL682" s="45"/>
      <c r="AM682" s="46"/>
      <c r="AN682" s="46"/>
    </row>
    <row r="683" spans="3:40">
      <c r="C683" s="42"/>
      <c r="D683" s="42"/>
      <c r="E683" s="42"/>
      <c r="F683" s="45"/>
      <c r="H683" s="45"/>
      <c r="I683" s="45"/>
      <c r="J683" s="47"/>
      <c r="K683" s="47"/>
      <c r="L683" s="45"/>
      <c r="M683" s="45"/>
      <c r="N683" s="47"/>
      <c r="O683" s="47"/>
      <c r="P683" s="45"/>
      <c r="Q683" s="45"/>
      <c r="R683" s="45"/>
      <c r="T683" s="42"/>
      <c r="U683" s="42"/>
      <c r="V683" s="45"/>
      <c r="Y683" s="45"/>
      <c r="Z683" s="47"/>
      <c r="AA683" s="45"/>
      <c r="AB683" s="45"/>
      <c r="AC683" s="47"/>
      <c r="AD683" s="47"/>
      <c r="AE683" s="45"/>
      <c r="AF683" s="45"/>
      <c r="AH683" s="51"/>
      <c r="AI683" s="45"/>
      <c r="AJ683" s="45"/>
      <c r="AL683" s="45"/>
      <c r="AM683" s="46"/>
      <c r="AN683" s="46"/>
    </row>
    <row r="684" spans="3:40">
      <c r="F684" s="50"/>
      <c r="H684" s="50"/>
      <c r="I684" s="50"/>
      <c r="J684" s="326"/>
      <c r="K684" s="326"/>
      <c r="L684" s="50"/>
      <c r="M684" s="50"/>
      <c r="N684" s="50"/>
      <c r="O684" s="50"/>
      <c r="P684" s="50"/>
      <c r="Q684" s="50"/>
      <c r="R684" s="50"/>
      <c r="V684" s="50"/>
      <c r="Y684" s="50"/>
      <c r="Z684" s="326"/>
      <c r="AA684" s="50"/>
      <c r="AB684" s="50"/>
      <c r="AC684" s="50"/>
      <c r="AD684" s="50"/>
      <c r="AE684" s="50"/>
      <c r="AF684" s="50"/>
      <c r="AI684" s="50"/>
      <c r="AJ684" s="50"/>
      <c r="AK684" s="111"/>
      <c r="AL684" s="50"/>
      <c r="AM684" s="46"/>
      <c r="AN684" s="46"/>
    </row>
    <row r="685" spans="3:40">
      <c r="C685" s="42"/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T685" s="42"/>
      <c r="V685" s="45"/>
      <c r="Y685" s="45"/>
      <c r="Z685" s="47"/>
      <c r="AA685" s="45"/>
      <c r="AB685" s="45"/>
      <c r="AC685" s="47"/>
      <c r="AD685" s="47"/>
      <c r="AE685" s="45"/>
      <c r="AF685" s="45"/>
      <c r="AH685" s="51"/>
      <c r="AI685" s="45"/>
      <c r="AJ685" s="45"/>
      <c r="AL685" s="45"/>
      <c r="AM685" s="46"/>
      <c r="AN685" s="46"/>
    </row>
    <row r="686" spans="3:40"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V686" s="45"/>
      <c r="Y686" s="45"/>
      <c r="Z686" s="47"/>
      <c r="AA686" s="45"/>
      <c r="AB686" s="45"/>
      <c r="AC686" s="47"/>
      <c r="AD686" s="47"/>
      <c r="AH686" s="51"/>
      <c r="AI686" s="45"/>
      <c r="AJ686" s="45"/>
      <c r="AL686" s="45"/>
      <c r="AM686" s="46"/>
      <c r="AN686" s="46"/>
    </row>
    <row r="687" spans="3:40">
      <c r="C687" s="42"/>
      <c r="D687" s="42"/>
      <c r="E687" s="42"/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T687" s="42"/>
      <c r="U687" s="42"/>
      <c r="V687" s="45"/>
      <c r="Y687" s="45"/>
      <c r="Z687" s="47"/>
      <c r="AA687" s="45"/>
      <c r="AB687" s="45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3:40">
      <c r="C688" s="42"/>
      <c r="D688" s="42"/>
      <c r="E688" s="42"/>
      <c r="F688" s="45"/>
      <c r="G688" s="45"/>
      <c r="H688" s="45"/>
      <c r="I688" s="45"/>
      <c r="J688" s="47"/>
      <c r="K688" s="47"/>
      <c r="L688" s="45"/>
      <c r="M688" s="45"/>
      <c r="N688" s="47"/>
      <c r="O688" s="47"/>
      <c r="P688" s="45"/>
      <c r="Q688" s="45"/>
      <c r="R688" s="45"/>
      <c r="T688" s="42"/>
      <c r="U688" s="42"/>
      <c r="V688" s="45"/>
      <c r="W688" s="45"/>
      <c r="X688" s="45"/>
      <c r="Y688" s="45"/>
      <c r="Z688" s="47"/>
      <c r="AA688" s="45"/>
      <c r="AB688" s="45"/>
      <c r="AC688" s="47"/>
      <c r="AD688" s="47"/>
      <c r="AE688" s="45"/>
      <c r="AF688" s="45"/>
      <c r="AH688" s="51"/>
      <c r="AI688" s="45"/>
      <c r="AJ688" s="45"/>
      <c r="AL688" s="45"/>
      <c r="AM688" s="46"/>
      <c r="AN688" s="46"/>
    </row>
    <row r="689" spans="3:40">
      <c r="C689" s="42"/>
      <c r="D689" s="42"/>
      <c r="E689" s="42"/>
      <c r="F689" s="45"/>
      <c r="G689" s="45"/>
      <c r="H689" s="45"/>
      <c r="I689" s="45"/>
      <c r="J689" s="47"/>
      <c r="K689" s="47"/>
      <c r="L689" s="45"/>
      <c r="M689" s="45"/>
      <c r="N689" s="47"/>
      <c r="O689" s="47"/>
      <c r="P689" s="45"/>
      <c r="Q689" s="45"/>
      <c r="R689" s="45"/>
      <c r="T689" s="42"/>
      <c r="U689" s="42"/>
      <c r="V689" s="45"/>
      <c r="W689" s="45"/>
      <c r="X689" s="45"/>
      <c r="Y689" s="45"/>
      <c r="Z689" s="47"/>
      <c r="AA689" s="45"/>
      <c r="AB689" s="45"/>
      <c r="AC689" s="47"/>
      <c r="AD689" s="47"/>
      <c r="AE689" s="45"/>
      <c r="AF689" s="45"/>
      <c r="AH689" s="51"/>
      <c r="AI689" s="45"/>
      <c r="AJ689" s="45"/>
      <c r="AL689" s="45"/>
      <c r="AM689" s="46"/>
      <c r="AN689" s="46"/>
    </row>
    <row r="690" spans="3:40">
      <c r="C690" s="42"/>
      <c r="D690" s="42"/>
      <c r="E690" s="42"/>
      <c r="F690" s="45"/>
      <c r="H690" s="45"/>
      <c r="I690" s="45"/>
      <c r="J690" s="47"/>
      <c r="K690" s="47"/>
      <c r="L690" s="45"/>
      <c r="M690" s="45"/>
      <c r="N690" s="47"/>
      <c r="O690" s="47"/>
      <c r="P690" s="45"/>
      <c r="Q690" s="45"/>
      <c r="R690" s="45"/>
      <c r="T690" s="42"/>
      <c r="U690" s="42"/>
      <c r="V690" s="45"/>
      <c r="Y690" s="45"/>
      <c r="Z690" s="47"/>
      <c r="AA690" s="45"/>
      <c r="AB690" s="45"/>
      <c r="AC690" s="47"/>
      <c r="AD690" s="47"/>
      <c r="AE690" s="45"/>
      <c r="AF690" s="45"/>
      <c r="AH690" s="51"/>
      <c r="AI690" s="45"/>
      <c r="AJ690" s="45"/>
      <c r="AL690" s="45"/>
      <c r="AM690" s="46"/>
      <c r="AN690" s="46"/>
    </row>
    <row r="691" spans="3:40">
      <c r="C691" s="42"/>
      <c r="D691" s="42"/>
      <c r="E691" s="42"/>
      <c r="F691" s="45"/>
      <c r="H691" s="45"/>
      <c r="I691" s="45"/>
      <c r="J691" s="47"/>
      <c r="K691" s="47"/>
      <c r="L691" s="45"/>
      <c r="M691" s="45"/>
      <c r="N691" s="47"/>
      <c r="O691" s="47"/>
      <c r="P691" s="45"/>
      <c r="Q691" s="45"/>
      <c r="R691" s="45"/>
      <c r="T691" s="42"/>
      <c r="U691" s="42"/>
      <c r="V691" s="45"/>
      <c r="Y691" s="45"/>
      <c r="Z691" s="47"/>
      <c r="AA691" s="45"/>
      <c r="AB691" s="45"/>
      <c r="AC691" s="47"/>
      <c r="AD691" s="47"/>
      <c r="AE691" s="45"/>
      <c r="AF691" s="45"/>
      <c r="AH691" s="51"/>
      <c r="AI691" s="45"/>
      <c r="AJ691" s="45"/>
      <c r="AL691" s="45"/>
      <c r="AM691" s="46"/>
      <c r="AN691" s="46"/>
    </row>
    <row r="692" spans="3:40">
      <c r="C692" s="42"/>
      <c r="D692" s="42"/>
      <c r="E692" s="42"/>
      <c r="F692" s="45"/>
      <c r="H692" s="45"/>
      <c r="I692" s="45"/>
      <c r="J692" s="47"/>
      <c r="K692" s="47"/>
      <c r="L692" s="45"/>
      <c r="M692" s="45"/>
      <c r="N692" s="47"/>
      <c r="O692" s="47"/>
      <c r="P692" s="45"/>
      <c r="Q692" s="45"/>
      <c r="R692" s="45"/>
      <c r="T692" s="42"/>
      <c r="U692" s="42"/>
      <c r="V692" s="45"/>
      <c r="Y692" s="45"/>
      <c r="Z692" s="47"/>
      <c r="AA692" s="45"/>
      <c r="AB692" s="45"/>
      <c r="AC692" s="47"/>
      <c r="AD692" s="47"/>
      <c r="AE692" s="45"/>
      <c r="AF692" s="45"/>
      <c r="AH692" s="51"/>
      <c r="AI692" s="45"/>
      <c r="AJ692" s="45"/>
      <c r="AL692" s="45"/>
      <c r="AM692" s="46"/>
      <c r="AN692" s="46"/>
    </row>
    <row r="693" spans="3:40">
      <c r="C693" s="42"/>
      <c r="D693" s="42"/>
      <c r="E693" s="42"/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T693" s="42"/>
      <c r="U693" s="42"/>
      <c r="V693" s="45"/>
      <c r="Y693" s="45"/>
      <c r="Z693" s="47"/>
      <c r="AA693" s="45"/>
      <c r="AB693" s="45"/>
      <c r="AC693" s="47"/>
      <c r="AD693" s="47"/>
      <c r="AE693" s="45"/>
      <c r="AF693" s="45"/>
      <c r="AH693" s="51"/>
      <c r="AI693" s="45"/>
      <c r="AJ693" s="45"/>
      <c r="AL693" s="45"/>
      <c r="AM693" s="46"/>
      <c r="AN693" s="46"/>
    </row>
    <row r="694" spans="3:40">
      <c r="F694" s="50"/>
      <c r="H694" s="50"/>
      <c r="I694" s="50"/>
      <c r="J694" s="326"/>
      <c r="K694" s="326"/>
      <c r="L694" s="50"/>
      <c r="M694" s="50"/>
      <c r="N694" s="50"/>
      <c r="O694" s="50"/>
      <c r="P694" s="50"/>
      <c r="Q694" s="50"/>
      <c r="R694" s="50"/>
      <c r="V694" s="50"/>
      <c r="Y694" s="50"/>
      <c r="Z694" s="326"/>
      <c r="AA694" s="50"/>
      <c r="AB694" s="50"/>
      <c r="AC694" s="50"/>
      <c r="AD694" s="50"/>
      <c r="AE694" s="50"/>
      <c r="AF694" s="50"/>
      <c r="AI694" s="50"/>
      <c r="AJ694" s="50"/>
      <c r="AK694" s="111"/>
      <c r="AL694" s="50"/>
      <c r="AM694" s="46"/>
      <c r="AN694" s="46"/>
    </row>
    <row r="695" spans="3:40">
      <c r="C695" s="42"/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T695" s="42"/>
      <c r="V695" s="45"/>
      <c r="Y695" s="45"/>
      <c r="Z695" s="47"/>
      <c r="AA695" s="45"/>
      <c r="AB695" s="45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3:40">
      <c r="V696" s="45"/>
      <c r="Y696" s="45"/>
      <c r="Z696" s="326"/>
      <c r="AA696" s="45"/>
      <c r="AB696" s="45"/>
      <c r="AC696" s="45"/>
      <c r="AD696" s="45"/>
      <c r="AE696" s="45"/>
      <c r="AF696" s="45"/>
      <c r="AI696" s="45"/>
      <c r="AJ696" s="45"/>
      <c r="AL696" s="45"/>
      <c r="AM696" s="46"/>
      <c r="AN696" s="46"/>
    </row>
    <row r="697" spans="3:40">
      <c r="C697" s="42"/>
      <c r="D697" s="42"/>
      <c r="E697" s="42"/>
      <c r="L697" s="45"/>
      <c r="M697" s="45"/>
      <c r="N697" s="47"/>
      <c r="O697" s="47"/>
      <c r="R697" s="45"/>
      <c r="T697" s="42"/>
      <c r="U697" s="42"/>
      <c r="AA697" s="45"/>
      <c r="AB697" s="45"/>
      <c r="AC697" s="47"/>
      <c r="AD697" s="47"/>
      <c r="AE697" s="45"/>
      <c r="AF697" s="45"/>
      <c r="AH697" s="51"/>
      <c r="AL697" s="45"/>
      <c r="AM697" s="46"/>
      <c r="AN697" s="46"/>
    </row>
    <row r="698" spans="3:40">
      <c r="D698" s="42"/>
      <c r="E698" s="42"/>
      <c r="F698" s="164"/>
      <c r="H698" s="164"/>
      <c r="I698" s="164"/>
      <c r="J698" s="47"/>
      <c r="K698" s="47"/>
      <c r="L698" s="45"/>
      <c r="M698" s="45"/>
      <c r="N698" s="47"/>
      <c r="O698" s="47"/>
      <c r="P698" s="164"/>
      <c r="Q698" s="164"/>
      <c r="R698" s="45"/>
      <c r="U698" s="42"/>
      <c r="V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3:40">
      <c r="F699" s="50"/>
      <c r="H699" s="50"/>
      <c r="I699" s="50"/>
      <c r="J699" s="326"/>
      <c r="K699" s="326"/>
      <c r="L699" s="50"/>
      <c r="M699" s="50"/>
      <c r="N699" s="50"/>
      <c r="O699" s="50"/>
      <c r="P699" s="50"/>
      <c r="Q699" s="50"/>
      <c r="R699" s="50"/>
      <c r="V699" s="50"/>
      <c r="Y699" s="50"/>
      <c r="Z699" s="326"/>
      <c r="AA699" s="50"/>
      <c r="AB699" s="50"/>
      <c r="AC699" s="50"/>
      <c r="AD699" s="50"/>
      <c r="AE699" s="50"/>
      <c r="AF699" s="50"/>
      <c r="AI699" s="50"/>
      <c r="AJ699" s="50"/>
      <c r="AK699" s="111"/>
      <c r="AL699" s="50"/>
      <c r="AM699" s="46"/>
      <c r="AN699" s="46"/>
    </row>
    <row r="700" spans="3:40">
      <c r="C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3:40"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V701" s="45"/>
      <c r="Y701" s="45"/>
      <c r="Z701" s="47"/>
      <c r="AA701" s="45"/>
      <c r="AB701" s="45"/>
      <c r="AC701" s="47"/>
      <c r="AD701" s="47"/>
      <c r="AH701" s="51"/>
      <c r="AI701" s="45"/>
      <c r="AJ701" s="45"/>
      <c r="AL701" s="45"/>
      <c r="AM701" s="46"/>
      <c r="AN701" s="46"/>
    </row>
    <row r="702" spans="3:40">
      <c r="D702" s="42"/>
      <c r="E702" s="42"/>
      <c r="F702" s="45"/>
      <c r="H702" s="45"/>
      <c r="I702" s="45"/>
      <c r="J702" s="47"/>
      <c r="K702" s="47"/>
      <c r="L702" s="164"/>
      <c r="M702" s="164"/>
      <c r="N702" s="47"/>
      <c r="O702" s="47"/>
      <c r="P702" s="45"/>
      <c r="Q702" s="45"/>
      <c r="R702" s="45"/>
      <c r="U702" s="42"/>
      <c r="V702" s="45"/>
      <c r="Y702" s="45"/>
      <c r="Z702" s="47"/>
      <c r="AA702" s="164"/>
      <c r="AB702" s="164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3:40">
      <c r="D703" s="42"/>
      <c r="E703" s="42"/>
      <c r="F703" s="45"/>
      <c r="H703" s="45"/>
      <c r="I703" s="45"/>
      <c r="J703" s="47"/>
      <c r="K703" s="47"/>
      <c r="L703" s="164"/>
      <c r="M703" s="164"/>
      <c r="N703" s="47"/>
      <c r="O703" s="47"/>
      <c r="P703" s="45"/>
      <c r="Q703" s="45"/>
      <c r="R703" s="45"/>
      <c r="U703" s="42"/>
      <c r="V703" s="45"/>
      <c r="Y703" s="45"/>
      <c r="Z703" s="47"/>
      <c r="AA703" s="164"/>
      <c r="AB703" s="164"/>
      <c r="AC703" s="47"/>
      <c r="AD703" s="47"/>
      <c r="AE703" s="45"/>
      <c r="AF703" s="45"/>
      <c r="AH703" s="51"/>
      <c r="AI703" s="45"/>
      <c r="AJ703" s="45"/>
      <c r="AL703" s="45"/>
      <c r="AM703" s="46"/>
      <c r="AN703" s="46"/>
    </row>
    <row r="704" spans="3:40">
      <c r="D704" s="42"/>
      <c r="E704" s="42"/>
      <c r="F704" s="45"/>
      <c r="H704" s="45"/>
      <c r="I704" s="45"/>
      <c r="J704" s="47"/>
      <c r="K704" s="47"/>
      <c r="L704" s="164"/>
      <c r="M704" s="164"/>
      <c r="N704" s="47"/>
      <c r="O704" s="47"/>
      <c r="P704" s="45"/>
      <c r="Q704" s="45"/>
      <c r="R704" s="45"/>
      <c r="U704" s="42"/>
      <c r="V704" s="45"/>
      <c r="Y704" s="45"/>
      <c r="Z704" s="47"/>
      <c r="AA704" s="164"/>
      <c r="AB704" s="164"/>
      <c r="AC704" s="47"/>
      <c r="AD704" s="47"/>
      <c r="AE704" s="45"/>
      <c r="AF704" s="45"/>
      <c r="AH704" s="51"/>
      <c r="AI704" s="45"/>
      <c r="AJ704" s="45"/>
      <c r="AL704" s="45"/>
      <c r="AM704" s="46"/>
      <c r="AN704" s="46"/>
    </row>
    <row r="705" spans="1:40">
      <c r="F705" s="50"/>
      <c r="H705" s="50"/>
      <c r="I705" s="50"/>
      <c r="J705" s="326"/>
      <c r="K705" s="326"/>
      <c r="L705" s="50"/>
      <c r="M705" s="50"/>
      <c r="N705" s="50"/>
      <c r="O705" s="50"/>
      <c r="P705" s="50"/>
      <c r="Q705" s="50"/>
      <c r="R705" s="50"/>
      <c r="V705" s="50"/>
      <c r="Y705" s="50"/>
      <c r="Z705" s="326"/>
      <c r="AA705" s="50"/>
      <c r="AB705" s="50"/>
      <c r="AC705" s="50"/>
      <c r="AD705" s="50"/>
      <c r="AE705" s="50"/>
      <c r="AF705" s="50"/>
      <c r="AI705" s="50"/>
      <c r="AJ705" s="50"/>
      <c r="AK705" s="111"/>
      <c r="AL705" s="50"/>
      <c r="AM705" s="46"/>
      <c r="AN705" s="46"/>
    </row>
    <row r="706" spans="1:40">
      <c r="C706" s="42"/>
      <c r="F706" s="45"/>
      <c r="H706" s="45"/>
      <c r="I706" s="45"/>
      <c r="J706" s="47"/>
      <c r="K706" s="47"/>
      <c r="L706" s="45"/>
      <c r="M706" s="45"/>
      <c r="N706" s="47"/>
      <c r="O706" s="47"/>
      <c r="P706" s="45"/>
      <c r="Q706" s="45"/>
      <c r="R706" s="45"/>
      <c r="T706" s="42"/>
      <c r="V706" s="45"/>
      <c r="Y706" s="45"/>
      <c r="Z706" s="47"/>
      <c r="AA706" s="45"/>
      <c r="AB706" s="45"/>
      <c r="AC706" s="47"/>
      <c r="AD706" s="47"/>
      <c r="AE706" s="45"/>
      <c r="AF706" s="45"/>
      <c r="AH706" s="51"/>
      <c r="AI706" s="45"/>
      <c r="AJ706" s="45"/>
      <c r="AL706" s="45"/>
      <c r="AM706" s="46"/>
      <c r="AN706" s="46"/>
    </row>
    <row r="707" spans="1:40">
      <c r="F707" s="45"/>
      <c r="H707" s="45"/>
      <c r="I707" s="45"/>
      <c r="J707" s="47"/>
      <c r="K707" s="47"/>
      <c r="L707" s="45"/>
      <c r="M707" s="45"/>
      <c r="N707" s="47"/>
      <c r="O707" s="47"/>
      <c r="P707" s="45"/>
      <c r="Q707" s="45"/>
      <c r="R707" s="45"/>
      <c r="V707" s="45"/>
      <c r="Y707" s="45"/>
      <c r="Z707" s="47"/>
      <c r="AA707" s="45"/>
      <c r="AB707" s="45"/>
      <c r="AC707" s="47"/>
      <c r="AD707" s="47"/>
      <c r="AH707" s="51"/>
      <c r="AI707" s="45"/>
      <c r="AJ707" s="45"/>
      <c r="AL707" s="45"/>
      <c r="AM707" s="46"/>
      <c r="AN707" s="46"/>
    </row>
    <row r="708" spans="1:40">
      <c r="C708" s="42"/>
      <c r="F708" s="45"/>
      <c r="H708" s="45"/>
      <c r="I708" s="45"/>
      <c r="J708" s="47"/>
      <c r="K708" s="47"/>
      <c r="L708" s="45"/>
      <c r="M708" s="45"/>
      <c r="N708" s="47"/>
      <c r="O708" s="47"/>
      <c r="P708" s="45"/>
      <c r="Q708" s="45"/>
      <c r="R708" s="45"/>
      <c r="T708" s="42"/>
      <c r="V708" s="45"/>
      <c r="Y708" s="45"/>
      <c r="Z708" s="47"/>
      <c r="AA708" s="45"/>
      <c r="AB708" s="45"/>
      <c r="AC708" s="47"/>
      <c r="AD708" s="47"/>
      <c r="AE708" s="45"/>
      <c r="AF708" s="45"/>
      <c r="AH708" s="51"/>
      <c r="AI708" s="45"/>
      <c r="AJ708" s="45"/>
      <c r="AL708" s="45"/>
      <c r="AM708" s="46"/>
      <c r="AN708" s="46"/>
    </row>
    <row r="709" spans="1:40">
      <c r="F709" s="50"/>
      <c r="H709" s="50"/>
      <c r="I709" s="50"/>
      <c r="J709" s="326"/>
      <c r="K709" s="326"/>
      <c r="L709" s="50"/>
      <c r="M709" s="50"/>
      <c r="N709" s="50"/>
      <c r="O709" s="50"/>
      <c r="P709" s="50"/>
      <c r="Q709" s="50"/>
      <c r="R709" s="50"/>
      <c r="V709" s="50"/>
      <c r="Y709" s="50"/>
      <c r="Z709" s="326"/>
      <c r="AA709" s="50"/>
      <c r="AB709" s="50"/>
      <c r="AC709" s="50"/>
      <c r="AD709" s="50"/>
      <c r="AE709" s="50"/>
      <c r="AF709" s="50"/>
      <c r="AI709" s="50"/>
      <c r="AJ709" s="50"/>
      <c r="AK709" s="111"/>
      <c r="AL709" s="50"/>
    </row>
    <row r="711" spans="1:40">
      <c r="C711" s="42"/>
      <c r="L711" s="45"/>
      <c r="M711" s="45"/>
      <c r="P711" s="45"/>
      <c r="Q711" s="45"/>
      <c r="R711" s="45"/>
      <c r="T711" s="42"/>
    </row>
    <row r="712" spans="1:40">
      <c r="A712" s="42"/>
      <c r="L712" s="45"/>
      <c r="M712" s="45"/>
      <c r="P712" s="45"/>
      <c r="Q712" s="45"/>
      <c r="R712" s="45"/>
    </row>
    <row r="713" spans="1:40">
      <c r="L713" s="45"/>
      <c r="M713" s="45"/>
      <c r="P713" s="45"/>
      <c r="Q713" s="45"/>
      <c r="R713" s="45"/>
    </row>
    <row r="714" spans="1:40">
      <c r="L714" s="45"/>
      <c r="M714" s="45"/>
      <c r="P714" s="45"/>
      <c r="Q714" s="45"/>
      <c r="R714" s="45"/>
    </row>
    <row r="715" spans="1:40">
      <c r="L715" s="45"/>
      <c r="M715" s="45"/>
      <c r="P715" s="45"/>
      <c r="Q715" s="45"/>
      <c r="R715" s="45"/>
    </row>
    <row r="716" spans="1:40">
      <c r="L716" s="45"/>
      <c r="M716" s="45"/>
      <c r="P716" s="45"/>
      <c r="Q716" s="45"/>
      <c r="R716" s="45"/>
    </row>
    <row r="717" spans="1:40">
      <c r="L717" s="45"/>
      <c r="M717" s="45"/>
      <c r="P717" s="45"/>
      <c r="Q717" s="45"/>
      <c r="R717" s="45"/>
    </row>
    <row r="750" spans="49:49">
      <c r="AW750" s="45"/>
    </row>
    <row r="751" spans="49:49">
      <c r="AW751" s="45"/>
    </row>
    <row r="752" spans="49:49">
      <c r="AW752" s="45"/>
    </row>
    <row r="753" spans="49:49">
      <c r="AW753" s="45"/>
    </row>
    <row r="754" spans="49:49">
      <c r="AW754" s="45"/>
    </row>
    <row r="755" spans="49:49">
      <c r="AW755" s="45"/>
    </row>
    <row r="758" spans="49:49">
      <c r="AW758" s="45"/>
    </row>
    <row r="759" spans="49:49">
      <c r="AW759" s="45"/>
    </row>
    <row r="760" spans="49:49">
      <c r="AW760" s="45"/>
    </row>
    <row r="761" spans="49:49">
      <c r="AW761" s="45"/>
    </row>
    <row r="762" spans="49:49">
      <c r="AW762" s="45"/>
    </row>
    <row r="763" spans="49:49">
      <c r="AW763" s="45"/>
    </row>
    <row r="764" spans="49:49">
      <c r="AW764" s="45"/>
    </row>
    <row r="765" spans="49:49">
      <c r="AW765" s="45"/>
    </row>
    <row r="768" spans="49:49">
      <c r="AW768" s="45"/>
    </row>
    <row r="769" spans="49:51">
      <c r="AW769" s="45"/>
    </row>
    <row r="772" spans="49:51">
      <c r="AW772" s="45"/>
    </row>
    <row r="773" spans="49:51">
      <c r="AW773" s="45"/>
    </row>
    <row r="774" spans="49:51">
      <c r="AW774" s="45"/>
    </row>
    <row r="775" spans="49:51">
      <c r="AW775" s="45"/>
    </row>
    <row r="783" spans="49:51">
      <c r="AY783" s="42"/>
    </row>
    <row r="784" spans="49:51">
      <c r="AY784" s="42"/>
    </row>
    <row r="785" spans="45:69">
      <c r="BD785" s="42"/>
    </row>
    <row r="786" spans="45:69">
      <c r="BD786" s="42"/>
    </row>
    <row r="787" spans="45:69">
      <c r="AS787" s="42"/>
      <c r="BD787" s="42"/>
    </row>
    <row r="789" spans="45:69"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</row>
    <row r="790" spans="45:69">
      <c r="AX790" s="42"/>
    </row>
    <row r="791" spans="45:69">
      <c r="AX791" s="49"/>
      <c r="AY791" s="49"/>
      <c r="AZ791" s="49"/>
      <c r="BA791" s="49"/>
      <c r="BC791" s="44"/>
      <c r="BD791" s="44"/>
    </row>
    <row r="792" spans="45:69">
      <c r="AV792" s="44"/>
      <c r="AW792" s="44"/>
      <c r="AZ792" s="44"/>
      <c r="BA792" s="44"/>
      <c r="BC792" s="44"/>
      <c r="BD792" s="44"/>
      <c r="BE792" s="44"/>
      <c r="BG792" s="49"/>
      <c r="BH792" s="42"/>
      <c r="BK792" s="49"/>
      <c r="BM792" s="49"/>
      <c r="BN792" s="42"/>
      <c r="BQ792" s="49"/>
    </row>
    <row r="793" spans="45:69"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H793" s="44"/>
      <c r="BI793" s="44"/>
      <c r="BJ793" s="44"/>
      <c r="BN793" s="44"/>
      <c r="BO793" s="44"/>
      <c r="BP793" s="44"/>
    </row>
    <row r="794" spans="45:69">
      <c r="AS794" s="44"/>
      <c r="AU794" s="42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G794" s="44"/>
      <c r="BH794" s="44"/>
      <c r="BI794" s="44"/>
      <c r="BJ794" s="44"/>
      <c r="BK794" s="44"/>
      <c r="BM794" s="44"/>
      <c r="BN794" s="44"/>
      <c r="BO794" s="44"/>
      <c r="BP794" s="44"/>
      <c r="BQ794" s="44"/>
    </row>
    <row r="795" spans="45:69">
      <c r="AS795" s="44"/>
      <c r="AU795" s="42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G795" s="44"/>
      <c r="BH795" s="44"/>
      <c r="BI795" s="44"/>
      <c r="BJ795" s="44"/>
      <c r="BK795" s="44"/>
      <c r="BM795" s="44"/>
      <c r="BN795" s="44"/>
      <c r="BO795" s="44"/>
      <c r="BP795" s="44"/>
      <c r="BQ795" s="44"/>
    </row>
    <row r="796" spans="45:69"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G796" s="49"/>
      <c r="BH796" s="49"/>
      <c r="BI796" s="49"/>
      <c r="BJ796" s="49"/>
      <c r="BK796" s="49"/>
      <c r="BM796" s="49"/>
      <c r="BN796" s="49"/>
      <c r="BO796" s="49"/>
      <c r="BP796" s="49"/>
      <c r="BQ796" s="49"/>
    </row>
    <row r="797" spans="45:69"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</row>
    <row r="798" spans="45:69">
      <c r="AU798" s="42"/>
      <c r="AV798" s="44"/>
      <c r="AY798" s="47"/>
    </row>
    <row r="799" spans="45:69">
      <c r="AV799" s="44"/>
      <c r="AW799" s="45"/>
      <c r="AX799" s="56"/>
      <c r="AY799" s="56"/>
      <c r="AZ799" s="56"/>
      <c r="BA799" s="46"/>
      <c r="BB799" s="56"/>
      <c r="BC799" s="47"/>
      <c r="BD799" s="47"/>
      <c r="BE799" s="46"/>
      <c r="BG799" s="56"/>
      <c r="BH799" s="56"/>
      <c r="BI799" s="56"/>
      <c r="BJ799" s="56"/>
      <c r="BK799" s="56"/>
      <c r="BM799" s="56"/>
      <c r="BN799" s="56"/>
      <c r="BO799" s="56"/>
      <c r="BP799" s="56"/>
      <c r="BQ799" s="56"/>
    </row>
    <row r="800" spans="45:69">
      <c r="AV800" s="44"/>
      <c r="AW800" s="45"/>
      <c r="AX800" s="56"/>
      <c r="AY800" s="56"/>
      <c r="AZ800" s="56"/>
      <c r="BA800" s="46"/>
      <c r="BB800" s="56"/>
      <c r="BC800" s="47"/>
      <c r="BD800" s="47"/>
      <c r="BE800" s="46"/>
      <c r="BG800" s="56"/>
      <c r="BH800" s="56"/>
      <c r="BI800" s="56"/>
      <c r="BJ800" s="56"/>
      <c r="BK800" s="56"/>
      <c r="BM800" s="56"/>
      <c r="BN800" s="56"/>
      <c r="BO800" s="56"/>
      <c r="BP800" s="56"/>
      <c r="BQ800" s="56"/>
    </row>
    <row r="801" spans="48:69">
      <c r="AV801" s="44"/>
      <c r="AW801" s="45"/>
      <c r="AX801" s="56"/>
      <c r="AY801" s="56"/>
      <c r="AZ801" s="56"/>
      <c r="BA801" s="46"/>
      <c r="BB801" s="56"/>
      <c r="BC801" s="47"/>
      <c r="BD801" s="47"/>
      <c r="BE801" s="46"/>
      <c r="BG801" s="56"/>
      <c r="BH801" s="56"/>
      <c r="BI801" s="56"/>
      <c r="BJ801" s="56"/>
      <c r="BK801" s="56"/>
      <c r="BM801" s="56"/>
      <c r="BN801" s="56"/>
      <c r="BO801" s="56"/>
      <c r="BP801" s="56"/>
      <c r="BQ801" s="56"/>
    </row>
    <row r="802" spans="48:69">
      <c r="AV802" s="44"/>
      <c r="AW802" s="45"/>
      <c r="AX802" s="56"/>
      <c r="AY802" s="56"/>
      <c r="AZ802" s="56"/>
      <c r="BA802" s="46"/>
      <c r="BB802" s="56"/>
      <c r="BC802" s="47"/>
      <c r="BD802" s="47"/>
      <c r="BE802" s="46"/>
      <c r="BG802" s="56"/>
      <c r="BH802" s="56"/>
      <c r="BI802" s="56"/>
      <c r="BJ802" s="56"/>
      <c r="BK802" s="56"/>
      <c r="BM802" s="56"/>
      <c r="BN802" s="56"/>
      <c r="BO802" s="56"/>
      <c r="BP802" s="56"/>
      <c r="BQ802" s="56"/>
    </row>
    <row r="803" spans="48:69">
      <c r="AV803" s="44"/>
      <c r="AW803" s="45"/>
      <c r="AX803" s="56"/>
      <c r="AY803" s="56"/>
      <c r="AZ803" s="56"/>
      <c r="BA803" s="46"/>
      <c r="BB803" s="56"/>
      <c r="BC803" s="47"/>
      <c r="BD803" s="47"/>
      <c r="BE803" s="46"/>
      <c r="BG803" s="56"/>
      <c r="BH803" s="56"/>
      <c r="BI803" s="56"/>
      <c r="BJ803" s="56"/>
      <c r="BK803" s="56"/>
      <c r="BM803" s="56"/>
      <c r="BN803" s="56"/>
      <c r="BO803" s="56"/>
      <c r="BP803" s="56"/>
      <c r="BQ803" s="56"/>
    </row>
    <row r="804" spans="48:69">
      <c r="AV804" s="44"/>
      <c r="AW804" s="45"/>
      <c r="AX804" s="56"/>
      <c r="AY804" s="56"/>
      <c r="AZ804" s="56"/>
      <c r="BA804" s="46"/>
      <c r="BB804" s="56"/>
      <c r="BC804" s="47"/>
      <c r="BD804" s="47"/>
      <c r="BE804" s="46"/>
      <c r="BG804" s="56"/>
      <c r="BH804" s="56"/>
      <c r="BI804" s="56"/>
      <c r="BJ804" s="56"/>
      <c r="BK804" s="56"/>
      <c r="BM804" s="56"/>
      <c r="BN804" s="56"/>
      <c r="BO804" s="56"/>
      <c r="BP804" s="56"/>
      <c r="BQ804" s="56"/>
    </row>
    <row r="805" spans="48:69">
      <c r="AV805" s="44"/>
      <c r="AW805" s="45"/>
      <c r="AX805" s="56"/>
      <c r="AY805" s="56"/>
      <c r="AZ805" s="56"/>
      <c r="BA805" s="46"/>
      <c r="BB805" s="56"/>
      <c r="BC805" s="47"/>
      <c r="BD805" s="47"/>
      <c r="BE805" s="46"/>
      <c r="BG805" s="56"/>
      <c r="BH805" s="56"/>
      <c r="BI805" s="56"/>
      <c r="BJ805" s="56"/>
      <c r="BK805" s="56"/>
      <c r="BM805" s="56"/>
      <c r="BN805" s="56"/>
      <c r="BO805" s="56"/>
      <c r="BP805" s="56"/>
      <c r="BQ805" s="56"/>
    </row>
    <row r="806" spans="48:69">
      <c r="AY806" s="47"/>
      <c r="AZ806" s="56"/>
      <c r="BA806" s="46"/>
      <c r="BB806" s="56"/>
      <c r="BC806" s="47"/>
      <c r="BD806" s="47"/>
      <c r="BE806" s="46"/>
      <c r="BK806" s="56"/>
      <c r="BQ806" s="56"/>
    </row>
    <row r="807" spans="48:69">
      <c r="AV807" s="44"/>
      <c r="AY807" s="47"/>
      <c r="AZ807" s="56"/>
      <c r="BA807" s="46"/>
      <c r="BB807" s="56"/>
      <c r="BC807" s="47"/>
      <c r="BD807" s="47"/>
      <c r="BE807" s="46"/>
      <c r="BK807" s="56"/>
      <c r="BQ807" s="56"/>
    </row>
    <row r="808" spans="48:69">
      <c r="AV808" s="44"/>
      <c r="AW808" s="45"/>
      <c r="AX808" s="56"/>
      <c r="AY808" s="56"/>
      <c r="AZ808" s="56"/>
      <c r="BA808" s="46"/>
      <c r="BB808" s="56"/>
      <c r="BC808" s="47"/>
      <c r="BD808" s="47"/>
      <c r="BE808" s="46"/>
      <c r="BG808" s="56"/>
      <c r="BH808" s="56"/>
      <c r="BI808" s="56"/>
      <c r="BJ808" s="56"/>
      <c r="BK808" s="56"/>
      <c r="BM808" s="56"/>
      <c r="BN808" s="56"/>
      <c r="BO808" s="56"/>
      <c r="BP808" s="56"/>
      <c r="BQ808" s="56"/>
    </row>
    <row r="809" spans="48:69">
      <c r="AV809" s="44"/>
      <c r="AW809" s="45"/>
      <c r="AX809" s="56"/>
      <c r="AY809" s="56"/>
      <c r="AZ809" s="56"/>
      <c r="BA809" s="46"/>
      <c r="BB809" s="56"/>
      <c r="BC809" s="47"/>
      <c r="BD809" s="47"/>
      <c r="BE809" s="46"/>
      <c r="BG809" s="56"/>
      <c r="BH809" s="56"/>
      <c r="BI809" s="56"/>
      <c r="BJ809" s="56"/>
      <c r="BK809" s="56"/>
      <c r="BM809" s="56"/>
      <c r="BN809" s="56"/>
      <c r="BO809" s="56"/>
      <c r="BP809" s="56"/>
      <c r="BQ809" s="56"/>
    </row>
    <row r="810" spans="48:69">
      <c r="AV810" s="44"/>
      <c r="AW810" s="45"/>
      <c r="AX810" s="56"/>
      <c r="AY810" s="56"/>
      <c r="AZ810" s="56"/>
      <c r="BA810" s="46"/>
      <c r="BB810" s="56"/>
      <c r="BC810" s="47"/>
      <c r="BD810" s="47"/>
      <c r="BE810" s="46"/>
      <c r="BG810" s="56"/>
      <c r="BH810" s="56"/>
      <c r="BI810" s="56"/>
      <c r="BJ810" s="56"/>
      <c r="BK810" s="56"/>
      <c r="BM810" s="56"/>
      <c r="BN810" s="56"/>
      <c r="BO810" s="56"/>
      <c r="BP810" s="56"/>
      <c r="BQ810" s="56"/>
    </row>
    <row r="811" spans="48:69">
      <c r="AV811" s="44"/>
      <c r="AW811" s="45"/>
      <c r="AX811" s="56"/>
      <c r="AY811" s="56"/>
      <c r="AZ811" s="56"/>
      <c r="BA811" s="46"/>
      <c r="BB811" s="56"/>
      <c r="BC811" s="47"/>
      <c r="BD811" s="47"/>
      <c r="BE811" s="46"/>
      <c r="BG811" s="56"/>
      <c r="BH811" s="56"/>
      <c r="BI811" s="56"/>
      <c r="BJ811" s="56"/>
      <c r="BK811" s="56"/>
      <c r="BM811" s="56"/>
      <c r="BN811" s="56"/>
      <c r="BO811" s="56"/>
      <c r="BP811" s="56"/>
      <c r="BQ811" s="56"/>
    </row>
    <row r="812" spans="48:69">
      <c r="AV812" s="44"/>
      <c r="AW812" s="45"/>
      <c r="AX812" s="56"/>
      <c r="AY812" s="56"/>
      <c r="AZ812" s="56"/>
      <c r="BA812" s="46"/>
      <c r="BB812" s="56"/>
      <c r="BC812" s="47"/>
      <c r="BD812" s="47"/>
      <c r="BE812" s="46"/>
      <c r="BG812" s="56"/>
      <c r="BH812" s="56"/>
      <c r="BI812" s="56"/>
      <c r="BJ812" s="56"/>
      <c r="BK812" s="56"/>
      <c r="BM812" s="56"/>
      <c r="BN812" s="56"/>
      <c r="BO812" s="56"/>
      <c r="BP812" s="56"/>
      <c r="BQ812" s="56"/>
    </row>
    <row r="813" spans="48:69">
      <c r="AV813" s="44"/>
      <c r="AW813" s="45"/>
      <c r="AX813" s="56"/>
      <c r="AY813" s="56"/>
      <c r="AZ813" s="56"/>
      <c r="BA813" s="46"/>
      <c r="BB813" s="56"/>
      <c r="BC813" s="47"/>
      <c r="BD813" s="47"/>
      <c r="BE813" s="46"/>
      <c r="BG813" s="56"/>
      <c r="BH813" s="56"/>
      <c r="BI813" s="56"/>
      <c r="BJ813" s="56"/>
      <c r="BK813" s="56"/>
      <c r="BM813" s="56"/>
      <c r="BN813" s="56"/>
      <c r="BO813" s="56"/>
      <c r="BP813" s="56"/>
      <c r="BQ813" s="56"/>
    </row>
    <row r="814" spans="48:69">
      <c r="AV814" s="44"/>
      <c r="AW814" s="45"/>
      <c r="AX814" s="56"/>
      <c r="AY814" s="56"/>
      <c r="AZ814" s="56"/>
      <c r="BA814" s="46"/>
      <c r="BB814" s="56"/>
      <c r="BC814" s="47"/>
      <c r="BD814" s="47"/>
      <c r="BE814" s="46"/>
      <c r="BG814" s="56"/>
      <c r="BH814" s="56"/>
      <c r="BI814" s="56"/>
      <c r="BJ814" s="56"/>
      <c r="BK814" s="56"/>
      <c r="BM814" s="56"/>
      <c r="BN814" s="56"/>
      <c r="BO814" s="56"/>
      <c r="BP814" s="56"/>
      <c r="BQ814" s="56"/>
    </row>
    <row r="815" spans="48:69">
      <c r="AV815" s="44"/>
      <c r="AW815" s="45"/>
      <c r="AX815" s="56"/>
      <c r="AY815" s="56"/>
      <c r="AZ815" s="56"/>
      <c r="BA815" s="46"/>
      <c r="BB815" s="56"/>
      <c r="BC815" s="47"/>
      <c r="BD815" s="47"/>
      <c r="BE815" s="46"/>
      <c r="BG815" s="56"/>
      <c r="BH815" s="56"/>
      <c r="BI815" s="56"/>
      <c r="BJ815" s="56"/>
      <c r="BK815" s="56"/>
      <c r="BM815" s="56"/>
      <c r="BN815" s="56"/>
      <c r="BO815" s="56"/>
      <c r="BP815" s="56"/>
      <c r="BQ815" s="56"/>
    </row>
    <row r="816" spans="48:69">
      <c r="AY816" s="47"/>
      <c r="AZ816" s="56"/>
      <c r="BA816" s="46"/>
      <c r="BB816" s="56"/>
      <c r="BC816" s="47"/>
      <c r="BD816" s="47"/>
      <c r="BE816" s="46"/>
      <c r="BK816" s="56"/>
      <c r="BQ816" s="56"/>
    </row>
    <row r="817" spans="45:75">
      <c r="AU817" s="42"/>
      <c r="AZ817" s="56"/>
      <c r="BB817" s="56"/>
      <c r="BG817" s="56"/>
      <c r="BH817" s="56"/>
      <c r="BJ817" s="56"/>
      <c r="BK817" s="56"/>
    </row>
    <row r="818" spans="45:75">
      <c r="AZ818" s="56"/>
      <c r="BB818" s="56"/>
    </row>
    <row r="819" spans="45:75">
      <c r="AS819" s="42"/>
      <c r="AZ819" s="56"/>
      <c r="BB819" s="56"/>
      <c r="BI819" s="56"/>
    </row>
    <row r="820" spans="45:75">
      <c r="AZ820" s="56"/>
      <c r="BB820" s="56"/>
    </row>
    <row r="821" spans="45:75">
      <c r="AY821" s="56"/>
      <c r="BB821" s="56"/>
    </row>
    <row r="822" spans="45:75">
      <c r="AY822" s="42"/>
      <c r="AZ822" s="56"/>
      <c r="BB822" s="56"/>
    </row>
    <row r="823" spans="45:75">
      <c r="AY823" s="42"/>
      <c r="AZ823" s="56"/>
      <c r="BB823" s="56"/>
    </row>
    <row r="824" spans="45:75">
      <c r="AZ824" s="56"/>
      <c r="BB824" s="56"/>
      <c r="BD824" s="42"/>
    </row>
    <row r="825" spans="45:75">
      <c r="AZ825" s="56"/>
      <c r="BB825" s="56"/>
      <c r="BD825" s="42"/>
    </row>
    <row r="826" spans="45:75">
      <c r="AS826" s="42"/>
      <c r="AZ826" s="56"/>
      <c r="BB826" s="56"/>
      <c r="BD826" s="42"/>
    </row>
    <row r="827" spans="45:75">
      <c r="AZ827" s="56"/>
      <c r="BB827" s="56"/>
    </row>
    <row r="828" spans="45:75">
      <c r="AS828" s="49"/>
      <c r="AT828" s="49"/>
      <c r="AU828" s="49"/>
      <c r="AV828" s="49"/>
      <c r="AW828" s="49"/>
      <c r="AX828" s="49"/>
      <c r="AY828" s="49"/>
      <c r="AZ828" s="57"/>
      <c r="BA828" s="49"/>
      <c r="BB828" s="57"/>
      <c r="BC828" s="49"/>
      <c r="BD828" s="49"/>
      <c r="BE828" s="49"/>
    </row>
    <row r="829" spans="45:75">
      <c r="AX829" s="42"/>
      <c r="AZ829" s="56"/>
      <c r="BB829" s="56"/>
    </row>
    <row r="830" spans="45:75">
      <c r="AX830" s="49"/>
      <c r="AY830" s="49"/>
      <c r="AZ830" s="57"/>
      <c r="BA830" s="49"/>
      <c r="BB830" s="56"/>
      <c r="BC830" s="44"/>
      <c r="BD830" s="44"/>
    </row>
    <row r="831" spans="45:75">
      <c r="AV831" s="44"/>
      <c r="AW831" s="44"/>
      <c r="AZ831" s="58"/>
      <c r="BA831" s="44"/>
      <c r="BB831" s="56"/>
      <c r="BC831" s="44"/>
      <c r="BD831" s="44"/>
      <c r="BE831" s="44"/>
      <c r="BG831" s="49"/>
      <c r="BH831" s="49"/>
      <c r="BI831" s="42"/>
      <c r="BM831" s="49"/>
      <c r="BN831" s="49"/>
      <c r="BP831" s="49"/>
      <c r="BQ831" s="49"/>
      <c r="BR831" s="42"/>
      <c r="BV831" s="49"/>
      <c r="BW831" s="49"/>
    </row>
    <row r="832" spans="45:75">
      <c r="AV832" s="44"/>
      <c r="AW832" s="44"/>
      <c r="AX832" s="44"/>
      <c r="AY832" s="44"/>
      <c r="AZ832" s="58"/>
      <c r="BA832" s="44"/>
      <c r="BB832" s="58"/>
      <c r="BC832" s="44"/>
      <c r="BD832" s="44"/>
      <c r="BE832" s="44"/>
      <c r="BH832" s="44"/>
      <c r="BI832" s="44"/>
      <c r="BJ832" s="44"/>
      <c r="BK832" s="44"/>
      <c r="BL832" s="44"/>
      <c r="BM832" s="44"/>
      <c r="BQ832" s="44"/>
      <c r="BR832" s="44"/>
      <c r="BS832" s="44"/>
      <c r="BT832" s="44"/>
      <c r="BU832" s="44"/>
      <c r="BV832" s="44"/>
    </row>
    <row r="833" spans="45:75">
      <c r="AS833" s="44"/>
      <c r="AU833" s="42"/>
      <c r="AV833" s="44"/>
      <c r="AW833" s="44"/>
      <c r="AX833" s="44"/>
      <c r="AY833" s="44"/>
      <c r="AZ833" s="58"/>
      <c r="BA833" s="44"/>
      <c r="BB833" s="58"/>
      <c r="BC833" s="44"/>
      <c r="BD833" s="44"/>
      <c r="BE833" s="44"/>
      <c r="BG833" s="44"/>
      <c r="BH833" s="44"/>
      <c r="BI833" s="44"/>
      <c r="BJ833" s="44"/>
      <c r="BK833" s="44"/>
      <c r="BL833" s="44"/>
      <c r="BM833" s="44"/>
      <c r="BN833" s="44"/>
      <c r="BP833" s="44"/>
      <c r="BQ833" s="44"/>
      <c r="BR833" s="44"/>
      <c r="BS833" s="44"/>
      <c r="BT833" s="44"/>
      <c r="BU833" s="44"/>
      <c r="BV833" s="44"/>
      <c r="BW833" s="44"/>
    </row>
    <row r="834" spans="45:75">
      <c r="AS834" s="44"/>
      <c r="AU834" s="42"/>
      <c r="AV834" s="44"/>
      <c r="AW834" s="44"/>
      <c r="AX834" s="44"/>
      <c r="AY834" s="44"/>
      <c r="AZ834" s="58"/>
      <c r="BA834" s="44"/>
      <c r="BB834" s="58"/>
      <c r="BC834" s="44"/>
      <c r="BD834" s="44"/>
      <c r="BE834" s="44"/>
      <c r="BG834" s="44"/>
      <c r="BH834" s="44"/>
      <c r="BI834" s="44"/>
      <c r="BJ834" s="44"/>
      <c r="BK834" s="44"/>
      <c r="BL834" s="44"/>
      <c r="BM834" s="44"/>
      <c r="BN834" s="44"/>
      <c r="BP834" s="44"/>
      <c r="BQ834" s="44"/>
      <c r="BR834" s="44"/>
      <c r="BS834" s="44"/>
      <c r="BT834" s="44"/>
      <c r="BU834" s="44"/>
      <c r="BV834" s="44"/>
      <c r="BW834" s="44"/>
    </row>
    <row r="835" spans="45:75">
      <c r="AS835" s="49"/>
      <c r="AT835" s="49"/>
      <c r="AU835" s="49"/>
      <c r="AV835" s="49"/>
      <c r="AW835" s="49"/>
      <c r="AX835" s="49"/>
      <c r="AY835" s="49"/>
      <c r="AZ835" s="57"/>
      <c r="BA835" s="49"/>
      <c r="BB835" s="57"/>
      <c r="BC835" s="49"/>
      <c r="BD835" s="49"/>
      <c r="BE835" s="49"/>
      <c r="BG835" s="49"/>
      <c r="BH835" s="49"/>
      <c r="BI835" s="49"/>
      <c r="BJ835" s="49"/>
      <c r="BK835" s="49"/>
      <c r="BL835" s="49"/>
      <c r="BM835" s="49"/>
      <c r="BN835" s="49"/>
      <c r="BP835" s="49"/>
      <c r="BQ835" s="49"/>
      <c r="BR835" s="49"/>
      <c r="BS835" s="49"/>
      <c r="BT835" s="49"/>
      <c r="BU835" s="49"/>
      <c r="BV835" s="49"/>
      <c r="BW835" s="49"/>
    </row>
    <row r="836" spans="45:75">
      <c r="AV836" s="44"/>
      <c r="AW836" s="44"/>
      <c r="AX836" s="44"/>
      <c r="AY836" s="44"/>
      <c r="AZ836" s="58"/>
      <c r="BA836" s="44"/>
      <c r="BB836" s="58"/>
      <c r="BC836" s="44"/>
      <c r="BD836" s="44"/>
      <c r="BE836" s="44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5:75">
      <c r="AU837" s="42"/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5:75"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</row>
    <row r="839" spans="45:75"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</row>
    <row r="840" spans="45:75"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</row>
    <row r="841" spans="45:75"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</row>
    <row r="842" spans="45:75"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</row>
    <row r="843" spans="45:75"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</row>
    <row r="844" spans="45:75"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</row>
    <row r="845" spans="45:75"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</row>
    <row r="846" spans="45:75"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</row>
    <row r="847" spans="45:75"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</row>
    <row r="848" spans="45:75"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</row>
    <row r="849" spans="47:75"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</row>
    <row r="850" spans="47:75">
      <c r="AW850" s="45"/>
      <c r="AX850" s="56"/>
      <c r="AY850" s="56"/>
      <c r="AZ850" s="56"/>
      <c r="BA850" s="51"/>
      <c r="BB850" s="56"/>
      <c r="BC850" s="56"/>
      <c r="BD850" s="56"/>
      <c r="BE850" s="51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</row>
    <row r="851" spans="47:75">
      <c r="AW851" s="45"/>
      <c r="AX851" s="56"/>
      <c r="AY851" s="56"/>
      <c r="AZ851" s="56"/>
      <c r="BA851" s="51"/>
      <c r="BB851" s="56"/>
      <c r="BC851" s="56"/>
      <c r="BD851" s="56"/>
      <c r="BE851" s="51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</row>
    <row r="852" spans="47:75">
      <c r="AW852" s="45"/>
      <c r="AX852" s="56"/>
      <c r="AY852" s="56"/>
      <c r="AZ852" s="56"/>
      <c r="BA852" s="51"/>
      <c r="BB852" s="56"/>
      <c r="BC852" s="56"/>
      <c r="BD852" s="56"/>
      <c r="BE852" s="51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</row>
    <row r="853" spans="47:75">
      <c r="AW853" s="45"/>
      <c r="AX853" s="56"/>
      <c r="AY853" s="56"/>
      <c r="AZ853" s="56"/>
      <c r="BA853" s="51"/>
      <c r="BB853" s="56"/>
      <c r="BC853" s="56"/>
      <c r="BD853" s="56"/>
      <c r="BE853" s="51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</row>
    <row r="854" spans="47:75"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</row>
    <row r="855" spans="47:75">
      <c r="AW855" s="45"/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</row>
    <row r="856" spans="47:75">
      <c r="AW856" s="45"/>
      <c r="AX856" s="56"/>
      <c r="AY856" s="56"/>
      <c r="AZ856" s="56"/>
      <c r="BA856" s="51"/>
      <c r="BB856" s="56"/>
      <c r="BC856" s="56"/>
      <c r="BD856" s="56"/>
      <c r="BE856" s="51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</row>
    <row r="857" spans="47:75">
      <c r="AW857" s="45"/>
      <c r="AX857" s="56"/>
      <c r="AY857" s="56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</row>
    <row r="858" spans="47:75">
      <c r="AW858" s="45"/>
      <c r="AX858" s="56"/>
      <c r="AY858" s="56"/>
      <c r="AZ858" s="56"/>
      <c r="BA858" s="51"/>
      <c r="BB858" s="56"/>
      <c r="BC858" s="56"/>
      <c r="BD858" s="56"/>
      <c r="BE858" s="51"/>
      <c r="BG858" s="49"/>
      <c r="BH858" s="49"/>
      <c r="BI858" s="42"/>
      <c r="BM858" s="49"/>
      <c r="BN858" s="49"/>
      <c r="BO858" s="56"/>
      <c r="BP858" s="49"/>
      <c r="BQ858" s="49"/>
      <c r="BR858" s="42"/>
      <c r="BV858" s="49"/>
      <c r="BW858" s="49"/>
    </row>
    <row r="859" spans="47:75">
      <c r="AU859" s="42"/>
      <c r="AV859" s="44"/>
      <c r="AW859" s="45"/>
      <c r="AX859" s="56"/>
      <c r="AY859" s="56"/>
      <c r="AZ859" s="56"/>
      <c r="BA859" s="51"/>
      <c r="BB859" s="56"/>
      <c r="BC859" s="56"/>
      <c r="BD859" s="56"/>
      <c r="BE859" s="51"/>
      <c r="BG859" s="58"/>
      <c r="BH859" s="56"/>
      <c r="BI859" s="56"/>
      <c r="BJ859" s="56"/>
      <c r="BK859" s="58"/>
      <c r="BL859" s="59"/>
      <c r="BM859" s="56"/>
      <c r="BN859" s="58"/>
      <c r="BO859" s="56"/>
      <c r="BP859" s="58"/>
      <c r="BQ859" s="56"/>
      <c r="BR859" s="56"/>
      <c r="BS859" s="56"/>
      <c r="BT859" s="58"/>
      <c r="BU859" s="59"/>
      <c r="BV859" s="56"/>
      <c r="BW859" s="58"/>
    </row>
    <row r="860" spans="47:75">
      <c r="AV860" s="44"/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9"/>
      <c r="BM860" s="56"/>
      <c r="BN860" s="56"/>
      <c r="BO860" s="56"/>
      <c r="BP860" s="56"/>
      <c r="BQ860" s="56"/>
      <c r="BR860" s="56"/>
      <c r="BS860" s="56"/>
      <c r="BT860" s="56"/>
      <c r="BU860" s="59"/>
      <c r="BV860" s="56"/>
      <c r="BW860" s="56"/>
    </row>
    <row r="861" spans="47:75">
      <c r="AV861" s="44"/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9"/>
      <c r="BM861" s="56"/>
      <c r="BN861" s="56"/>
      <c r="BO861" s="56"/>
      <c r="BP861" s="56"/>
      <c r="BQ861" s="56"/>
      <c r="BR861" s="56"/>
      <c r="BS861" s="56"/>
      <c r="BT861" s="56"/>
      <c r="BU861" s="59"/>
      <c r="BV861" s="56"/>
      <c r="BW861" s="56"/>
    </row>
    <row r="862" spans="47:75">
      <c r="AV862" s="44"/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9"/>
      <c r="BM862" s="56"/>
      <c r="BN862" s="56"/>
      <c r="BO862" s="56"/>
      <c r="BP862" s="56"/>
      <c r="BQ862" s="56"/>
      <c r="BR862" s="56"/>
      <c r="BS862" s="56"/>
      <c r="BT862" s="56"/>
      <c r="BU862" s="59"/>
      <c r="BV862" s="56"/>
      <c r="BW862" s="56"/>
    </row>
    <row r="863" spans="47:75"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</row>
    <row r="864" spans="47:75">
      <c r="AU864" s="42"/>
    </row>
    <row r="865" spans="45:74">
      <c r="AU865" s="42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</row>
    <row r="866" spans="45:74">
      <c r="AS866" s="42"/>
      <c r="AZ866" s="56"/>
      <c r="BB866" s="56"/>
    </row>
    <row r="867" spans="45:74">
      <c r="AZ867" s="56"/>
      <c r="BB867" s="56"/>
      <c r="BO867" s="56"/>
      <c r="BP867" s="56"/>
      <c r="BQ867" s="56"/>
      <c r="BR867" s="56"/>
      <c r="BS867" s="56"/>
      <c r="BT867" s="56"/>
      <c r="BU867" s="56"/>
      <c r="BV867" s="56"/>
    </row>
    <row r="868" spans="45:74">
      <c r="AY868" s="56"/>
      <c r="AZ868" s="56"/>
      <c r="BB868" s="56"/>
      <c r="BO868" s="56"/>
      <c r="BP868" s="56"/>
      <c r="BQ868" s="56"/>
      <c r="BR868" s="56"/>
      <c r="BS868" s="56"/>
      <c r="BT868" s="56"/>
      <c r="BU868" s="56"/>
      <c r="BV868" s="56"/>
    </row>
    <row r="869" spans="45:74">
      <c r="AY869" s="42"/>
      <c r="AZ869" s="56"/>
      <c r="BB869" s="56"/>
      <c r="BO869" s="56"/>
      <c r="BP869" s="56"/>
      <c r="BQ869" s="56"/>
      <c r="BR869" s="56"/>
      <c r="BS869" s="56"/>
      <c r="BT869" s="56"/>
      <c r="BU869" s="56"/>
      <c r="BV869" s="56"/>
    </row>
    <row r="870" spans="45:74">
      <c r="AY870" s="42"/>
      <c r="AZ870" s="56"/>
      <c r="BB870" s="56"/>
      <c r="BO870" s="56"/>
      <c r="BP870" s="56"/>
      <c r="BQ870" s="56"/>
      <c r="BR870" s="56"/>
      <c r="BS870" s="56"/>
      <c r="BT870" s="56"/>
      <c r="BU870" s="56"/>
      <c r="BV870" s="56"/>
    </row>
    <row r="871" spans="45:74">
      <c r="AZ871" s="56"/>
      <c r="BB871" s="56"/>
      <c r="BD871" s="42"/>
      <c r="BO871" s="56"/>
      <c r="BP871" s="56"/>
      <c r="BQ871" s="56"/>
      <c r="BR871" s="56"/>
      <c r="BS871" s="56"/>
      <c r="BT871" s="56"/>
      <c r="BU871" s="56"/>
      <c r="BV871" s="56"/>
    </row>
    <row r="872" spans="45:74">
      <c r="AZ872" s="56"/>
      <c r="BB872" s="56"/>
      <c r="BD872" s="42"/>
      <c r="BO872" s="56"/>
      <c r="BP872" s="56"/>
      <c r="BQ872" s="56"/>
      <c r="BR872" s="56"/>
      <c r="BS872" s="56"/>
      <c r="BT872" s="56"/>
      <c r="BU872" s="56"/>
      <c r="BV872" s="56"/>
    </row>
    <row r="873" spans="45:74">
      <c r="AS873" s="42"/>
      <c r="AZ873" s="56"/>
      <c r="BB873" s="56"/>
      <c r="BD873" s="42"/>
      <c r="BO873" s="56"/>
      <c r="BP873" s="56"/>
      <c r="BQ873" s="56"/>
      <c r="BR873" s="56"/>
      <c r="BS873" s="56"/>
      <c r="BT873" s="56"/>
      <c r="BU873" s="56"/>
      <c r="BV873" s="56"/>
    </row>
    <row r="874" spans="45:74">
      <c r="AZ874" s="56"/>
      <c r="BB874" s="56"/>
      <c r="BO874" s="56"/>
      <c r="BP874" s="56"/>
      <c r="BQ874" s="56"/>
      <c r="BR874" s="56"/>
      <c r="BS874" s="56"/>
      <c r="BT874" s="56"/>
      <c r="BU874" s="56"/>
      <c r="BV874" s="56"/>
    </row>
    <row r="875" spans="45:74">
      <c r="AS875" s="49"/>
      <c r="AT875" s="49"/>
      <c r="AU875" s="49"/>
      <c r="AV875" s="49"/>
      <c r="AW875" s="49"/>
      <c r="AX875" s="49"/>
      <c r="AY875" s="49"/>
      <c r="AZ875" s="57"/>
      <c r="BA875" s="49"/>
      <c r="BB875" s="57"/>
      <c r="BC875" s="49"/>
      <c r="BD875" s="49"/>
      <c r="BE875" s="49"/>
      <c r="BO875" s="56"/>
      <c r="BP875" s="56"/>
      <c r="BQ875" s="56"/>
      <c r="BR875" s="56"/>
      <c r="BS875" s="56"/>
      <c r="BT875" s="56"/>
      <c r="BU875" s="56"/>
      <c r="BV875" s="56"/>
    </row>
    <row r="876" spans="45:74">
      <c r="AX876" s="42"/>
      <c r="AZ876" s="56"/>
      <c r="BB876" s="56"/>
      <c r="BO876" s="56"/>
      <c r="BP876" s="56"/>
      <c r="BQ876" s="56"/>
      <c r="BR876" s="56"/>
      <c r="BS876" s="56"/>
      <c r="BT876" s="56"/>
      <c r="BU876" s="56"/>
      <c r="BV876" s="56"/>
    </row>
    <row r="877" spans="45:74">
      <c r="AX877" s="49"/>
      <c r="AY877" s="49"/>
      <c r="AZ877" s="57"/>
      <c r="BA877" s="49"/>
      <c r="BB877" s="56"/>
      <c r="BC877" s="44"/>
      <c r="BD877" s="44"/>
      <c r="BO877" s="56"/>
      <c r="BP877" s="56"/>
      <c r="BQ877" s="56"/>
      <c r="BR877" s="56"/>
      <c r="BS877" s="56"/>
      <c r="BT877" s="56"/>
      <c r="BU877" s="56"/>
      <c r="BV877" s="56"/>
    </row>
    <row r="878" spans="45:74">
      <c r="AV878" s="44"/>
      <c r="AW878" s="44"/>
      <c r="AZ878" s="58"/>
      <c r="BA878" s="44"/>
      <c r="BB878" s="56"/>
      <c r="BC878" s="44"/>
      <c r="BD878" s="44"/>
      <c r="BE878" s="44"/>
      <c r="BG878" s="49"/>
      <c r="BH878" s="42"/>
      <c r="BK878" s="49"/>
      <c r="BM878" s="49"/>
      <c r="BN878" s="42"/>
      <c r="BQ878" s="49"/>
    </row>
    <row r="879" spans="45:74">
      <c r="AV879" s="44"/>
      <c r="AW879" s="44"/>
      <c r="AX879" s="44"/>
      <c r="AY879" s="44"/>
      <c r="AZ879" s="58"/>
      <c r="BA879" s="44"/>
      <c r="BB879" s="58"/>
      <c r="BC879" s="44"/>
      <c r="BD879" s="44"/>
      <c r="BE879" s="44"/>
      <c r="BH879" s="44"/>
      <c r="BI879" s="44"/>
      <c r="BN879" s="44"/>
      <c r="BO879" s="44"/>
    </row>
    <row r="880" spans="45:74">
      <c r="AS880" s="44"/>
      <c r="AU880" s="42"/>
      <c r="AV880" s="44"/>
      <c r="AW880" s="44"/>
      <c r="AX880" s="44"/>
      <c r="AY880" s="44"/>
      <c r="AZ880" s="58"/>
      <c r="BA880" s="44"/>
      <c r="BB880" s="58"/>
      <c r="BC880" s="44"/>
      <c r="BD880" s="44"/>
      <c r="BE880" s="44"/>
      <c r="BG880" s="44"/>
      <c r="BH880" s="44"/>
      <c r="BI880" s="44"/>
      <c r="BJ880" s="44"/>
      <c r="BK880" s="44"/>
      <c r="BM880" s="44"/>
      <c r="BN880" s="44"/>
      <c r="BO880" s="44"/>
      <c r="BP880" s="44"/>
      <c r="BQ880" s="44"/>
    </row>
    <row r="881" spans="45:71">
      <c r="AS881" s="44"/>
      <c r="AU881" s="42"/>
      <c r="AV881" s="44"/>
      <c r="AW881" s="44"/>
      <c r="AX881" s="44"/>
      <c r="AY881" s="44"/>
      <c r="AZ881" s="58"/>
      <c r="BA881" s="44"/>
      <c r="BB881" s="58"/>
      <c r="BC881" s="44"/>
      <c r="BD881" s="44"/>
      <c r="BE881" s="44"/>
      <c r="BG881" s="44"/>
      <c r="BH881" s="44"/>
      <c r="BI881" s="44"/>
      <c r="BJ881" s="44"/>
      <c r="BK881" s="44"/>
      <c r="BM881" s="44"/>
      <c r="BN881" s="44"/>
      <c r="BO881" s="44"/>
      <c r="BP881" s="44"/>
      <c r="BQ881" s="44"/>
    </row>
    <row r="882" spans="45:71">
      <c r="AS882" s="49"/>
      <c r="AT882" s="49"/>
      <c r="AU882" s="49"/>
      <c r="AV882" s="49"/>
      <c r="AW882" s="49"/>
      <c r="AX882" s="49"/>
      <c r="AY882" s="49"/>
      <c r="AZ882" s="57"/>
      <c r="BA882" s="49"/>
      <c r="BB882" s="57"/>
      <c r="BC882" s="49"/>
      <c r="BD882" s="49"/>
      <c r="BE882" s="49"/>
      <c r="BG882" s="49"/>
      <c r="BH882" s="49"/>
      <c r="BI882" s="49"/>
      <c r="BJ882" s="49"/>
      <c r="BK882" s="49"/>
      <c r="BM882" s="49"/>
      <c r="BN882" s="49"/>
      <c r="BO882" s="49"/>
      <c r="BP882" s="49"/>
      <c r="BQ882" s="49"/>
    </row>
    <row r="883" spans="45:71">
      <c r="AV883" s="44"/>
      <c r="AW883" s="44"/>
      <c r="AX883" s="44"/>
      <c r="AY883" s="44"/>
      <c r="AZ883" s="58"/>
      <c r="BA883" s="44"/>
      <c r="BB883" s="58"/>
      <c r="BC883" s="44"/>
      <c r="BD883" s="44"/>
      <c r="BE883" s="44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</row>
    <row r="884" spans="45:71">
      <c r="AT884" s="42"/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</row>
    <row r="885" spans="45:71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</row>
    <row r="886" spans="45:71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</row>
    <row r="887" spans="45:71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</row>
    <row r="888" spans="45:71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</row>
    <row r="889" spans="45:71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</row>
    <row r="890" spans="45:71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</row>
    <row r="891" spans="45:71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</row>
    <row r="892" spans="45:71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</row>
    <row r="893" spans="45:71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</row>
    <row r="894" spans="45:71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</row>
    <row r="895" spans="45:71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</row>
    <row r="896" spans="45:71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</row>
    <row r="897" spans="46:71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</row>
    <row r="898" spans="46:71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</row>
    <row r="899" spans="46:71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</row>
    <row r="900" spans="46:71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</row>
    <row r="901" spans="46:71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</row>
    <row r="902" spans="46:71">
      <c r="AZ902" s="56"/>
      <c r="BB902" s="56"/>
      <c r="BC902" s="56"/>
      <c r="BD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</row>
    <row r="903" spans="46:71">
      <c r="AT903" s="42"/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6:71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6:71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6:71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6:71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6:71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6:71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0" spans="46:71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</row>
    <row r="911" spans="46:71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</row>
    <row r="912" spans="46:71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</row>
    <row r="913" spans="45:57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</row>
    <row r="914" spans="45:57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</row>
    <row r="915" spans="45:57">
      <c r="AV915" s="45"/>
      <c r="AW915" s="45"/>
      <c r="AX915" s="56"/>
      <c r="AY915" s="56"/>
      <c r="AZ915" s="56"/>
      <c r="BA915" s="51"/>
      <c r="BB915" s="56"/>
      <c r="BC915" s="56"/>
      <c r="BD915" s="56"/>
      <c r="BE915" s="51"/>
    </row>
    <row r="916" spans="45:57"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</row>
    <row r="917" spans="45:57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</row>
    <row r="918" spans="45:57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</row>
    <row r="919" spans="45:57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</row>
    <row r="920" spans="45:57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</row>
    <row r="921" spans="45:57">
      <c r="BB921" s="56"/>
    </row>
    <row r="922" spans="45:57">
      <c r="AU922" s="42"/>
      <c r="BB922" s="56"/>
    </row>
    <row r="923" spans="45:57">
      <c r="AU923" s="42"/>
    </row>
    <row r="924" spans="45:57">
      <c r="AU924" s="42"/>
      <c r="BB924" s="56"/>
    </row>
    <row r="925" spans="45:57">
      <c r="AS925" s="42"/>
      <c r="AZ925" s="56"/>
      <c r="BB925" s="56"/>
    </row>
    <row r="926" spans="45:57">
      <c r="AZ926" s="56"/>
      <c r="BB926" s="56"/>
    </row>
    <row r="927" spans="45:57">
      <c r="AY927" s="56"/>
      <c r="AZ927" s="56"/>
      <c r="BB927" s="56"/>
    </row>
    <row r="928" spans="45:57">
      <c r="AY928" s="42"/>
      <c r="AZ928" s="56"/>
      <c r="BB928" s="56"/>
    </row>
    <row r="929" spans="45:57">
      <c r="AY929" s="42"/>
      <c r="AZ929" s="56"/>
      <c r="BB929" s="56"/>
    </row>
    <row r="930" spans="45:57">
      <c r="AZ930" s="56"/>
      <c r="BB930" s="56"/>
      <c r="BD930" s="42"/>
    </row>
    <row r="931" spans="45:57">
      <c r="AZ931" s="56"/>
      <c r="BB931" s="56"/>
      <c r="BD931" s="42"/>
    </row>
    <row r="932" spans="45:57">
      <c r="AS932" s="42"/>
      <c r="AZ932" s="56"/>
      <c r="BB932" s="56"/>
      <c r="BD932" s="42"/>
    </row>
    <row r="933" spans="45:57">
      <c r="AZ933" s="56"/>
      <c r="BB933" s="56"/>
    </row>
    <row r="934" spans="45:57">
      <c r="AS934" s="49"/>
      <c r="AT934" s="49"/>
      <c r="AU934" s="49"/>
      <c r="AV934" s="49"/>
      <c r="AW934" s="49"/>
      <c r="AX934" s="49"/>
      <c r="AY934" s="49"/>
      <c r="AZ934" s="57"/>
      <c r="BA934" s="49"/>
      <c r="BB934" s="57"/>
      <c r="BC934" s="49"/>
      <c r="BD934" s="49"/>
      <c r="BE934" s="49"/>
    </row>
    <row r="935" spans="45:57">
      <c r="AX935" s="42"/>
      <c r="AZ935" s="56"/>
      <c r="BB935" s="56"/>
    </row>
    <row r="936" spans="45:57">
      <c r="AX936" s="49"/>
      <c r="AY936" s="49"/>
      <c r="AZ936" s="57"/>
      <c r="BA936" s="49"/>
      <c r="BB936" s="56"/>
      <c r="BC936" s="44"/>
      <c r="BD936" s="44"/>
    </row>
    <row r="937" spans="45:57">
      <c r="AV937" s="44"/>
      <c r="AW937" s="44"/>
      <c r="AZ937" s="58"/>
      <c r="BA937" s="44"/>
      <c r="BB937" s="56"/>
      <c r="BC937" s="44"/>
      <c r="BD937" s="44"/>
      <c r="BE937" s="44"/>
    </row>
    <row r="938" spans="45:57">
      <c r="AV938" s="44"/>
      <c r="AW938" s="44"/>
      <c r="AX938" s="44"/>
      <c r="AY938" s="44"/>
      <c r="AZ938" s="58"/>
      <c r="BA938" s="44"/>
      <c r="BB938" s="58"/>
      <c r="BC938" s="44"/>
      <c r="BD938" s="44"/>
      <c r="BE938" s="44"/>
    </row>
    <row r="939" spans="45:57">
      <c r="AS939" s="44"/>
      <c r="AU939" s="42"/>
      <c r="AV939" s="44"/>
      <c r="AW939" s="44"/>
      <c r="AX939" s="44"/>
      <c r="AY939" s="44"/>
      <c r="AZ939" s="58"/>
      <c r="BA939" s="44"/>
      <c r="BB939" s="58"/>
      <c r="BC939" s="44"/>
      <c r="BD939" s="44"/>
      <c r="BE939" s="44"/>
    </row>
    <row r="940" spans="45:57">
      <c r="AS940" s="44"/>
      <c r="AU940" s="42"/>
      <c r="AV940" s="44"/>
      <c r="AW940" s="44"/>
      <c r="AX940" s="44"/>
      <c r="AY940" s="44"/>
      <c r="AZ940" s="58"/>
      <c r="BA940" s="44"/>
      <c r="BB940" s="58"/>
      <c r="BC940" s="44"/>
      <c r="BD940" s="44"/>
      <c r="BE940" s="44"/>
    </row>
    <row r="941" spans="45:57">
      <c r="AS941" s="49"/>
      <c r="AT941" s="49"/>
      <c r="AU941" s="49"/>
      <c r="AV941" s="49"/>
      <c r="AW941" s="49"/>
      <c r="AX941" s="49"/>
      <c r="AY941" s="49"/>
      <c r="AZ941" s="57"/>
      <c r="BA941" s="49"/>
      <c r="BB941" s="57"/>
      <c r="BC941" s="49"/>
      <c r="BD941" s="49"/>
      <c r="BE941" s="49"/>
    </row>
    <row r="942" spans="45:57">
      <c r="AV942" s="44"/>
      <c r="AW942" s="44"/>
      <c r="AX942" s="44"/>
      <c r="AY942" s="44"/>
      <c r="AZ942" s="58"/>
      <c r="BA942" s="44"/>
      <c r="BB942" s="58"/>
      <c r="BC942" s="44"/>
      <c r="BD942" s="44"/>
      <c r="BE942" s="44"/>
    </row>
    <row r="943" spans="45:57">
      <c r="AT943" s="42"/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5:57">
      <c r="AV944" s="45"/>
      <c r="AW944" s="45"/>
      <c r="AX944" s="56"/>
      <c r="AY944" s="56"/>
      <c r="AZ944" s="56"/>
      <c r="BA944" s="51"/>
      <c r="BB944" s="56"/>
      <c r="BC944" s="56"/>
      <c r="BD944" s="56"/>
      <c r="BE944" s="51"/>
    </row>
    <row r="945" spans="46:57">
      <c r="AV945" s="45"/>
      <c r="AW945" s="45"/>
      <c r="AX945" s="56"/>
      <c r="AY945" s="56"/>
      <c r="AZ945" s="56"/>
      <c r="BA945" s="51"/>
      <c r="BB945" s="56"/>
      <c r="BC945" s="56"/>
      <c r="BD945" s="56"/>
      <c r="BE945" s="51"/>
    </row>
    <row r="946" spans="46:57">
      <c r="AV946" s="45"/>
      <c r="AW946" s="45"/>
      <c r="AX946" s="56"/>
      <c r="AY946" s="56"/>
      <c r="AZ946" s="56"/>
      <c r="BA946" s="51"/>
      <c r="BB946" s="56"/>
      <c r="BC946" s="56"/>
      <c r="BD946" s="56"/>
      <c r="BE946" s="51"/>
    </row>
    <row r="947" spans="46:57">
      <c r="AV947" s="45"/>
      <c r="AW947" s="45"/>
      <c r="AX947" s="56"/>
      <c r="AY947" s="56"/>
      <c r="AZ947" s="56"/>
      <c r="BA947" s="51"/>
      <c r="BB947" s="56"/>
      <c r="BC947" s="56"/>
      <c r="BD947" s="56"/>
      <c r="BE947" s="51"/>
    </row>
    <row r="948" spans="46:57">
      <c r="AV948" s="45"/>
      <c r="AW948" s="45"/>
      <c r="AX948" s="56"/>
      <c r="AY948" s="56"/>
      <c r="AZ948" s="56"/>
      <c r="BA948" s="51"/>
      <c r="BB948" s="56"/>
      <c r="BC948" s="56"/>
      <c r="BD948" s="56"/>
      <c r="BE948" s="51"/>
    </row>
    <row r="949" spans="46:57">
      <c r="AV949" s="45"/>
      <c r="AW949" s="45"/>
      <c r="AX949" s="56"/>
      <c r="AY949" s="56"/>
      <c r="AZ949" s="56"/>
      <c r="BA949" s="51"/>
      <c r="BB949" s="56"/>
      <c r="BC949" s="56"/>
      <c r="BD949" s="56"/>
      <c r="BE949" s="51"/>
    </row>
    <row r="950" spans="46:57">
      <c r="AV950" s="45"/>
      <c r="AW950" s="45"/>
      <c r="AX950" s="56"/>
      <c r="AY950" s="56"/>
      <c r="AZ950" s="56"/>
      <c r="BA950" s="51"/>
      <c r="BB950" s="56"/>
      <c r="BC950" s="56"/>
      <c r="BD950" s="56"/>
      <c r="BE950" s="51"/>
    </row>
    <row r="951" spans="46:57">
      <c r="AV951" s="45"/>
      <c r="AW951" s="45"/>
      <c r="AX951" s="56"/>
      <c r="AY951" s="56"/>
      <c r="AZ951" s="56"/>
      <c r="BA951" s="51"/>
      <c r="BB951" s="56"/>
      <c r="BC951" s="56"/>
      <c r="BD951" s="56"/>
      <c r="BE951" s="51"/>
    </row>
    <row r="952" spans="46:57">
      <c r="AV952" s="45"/>
      <c r="AW952" s="45"/>
      <c r="AX952" s="56"/>
      <c r="AY952" s="56"/>
      <c r="AZ952" s="56"/>
      <c r="BA952" s="51"/>
      <c r="BB952" s="56"/>
      <c r="BC952" s="56"/>
      <c r="BD952" s="56"/>
      <c r="BE952" s="51"/>
    </row>
    <row r="953" spans="46:57">
      <c r="AV953" s="45"/>
      <c r="AW953" s="45"/>
      <c r="BB953" s="56"/>
    </row>
    <row r="954" spans="46:57">
      <c r="AT954" s="42"/>
      <c r="AV954" s="45"/>
      <c r="AW954" s="45"/>
      <c r="AX954" s="56"/>
      <c r="AY954" s="56"/>
      <c r="AZ954" s="56"/>
      <c r="BA954" s="51"/>
      <c r="BB954" s="56"/>
      <c r="BC954" s="56"/>
      <c r="BD954" s="56"/>
      <c r="BE954" s="51"/>
    </row>
    <row r="955" spans="46:57">
      <c r="AV955" s="45"/>
      <c r="AW955" s="45"/>
      <c r="AX955" s="56"/>
      <c r="AY955" s="56"/>
      <c r="AZ955" s="56"/>
      <c r="BA955" s="51"/>
      <c r="BB955" s="56"/>
      <c r="BC955" s="56"/>
      <c r="BD955" s="56"/>
      <c r="BE955" s="51"/>
    </row>
    <row r="956" spans="46:57">
      <c r="AV956" s="45"/>
      <c r="AW956" s="45"/>
      <c r="AX956" s="56"/>
      <c r="AY956" s="56"/>
      <c r="AZ956" s="56"/>
      <c r="BA956" s="51"/>
      <c r="BB956" s="56"/>
      <c r="BC956" s="56"/>
      <c r="BD956" s="56"/>
      <c r="BE956" s="51"/>
    </row>
    <row r="957" spans="46:57">
      <c r="AV957" s="45"/>
      <c r="AW957" s="45"/>
      <c r="AX957" s="56"/>
      <c r="AY957" s="56"/>
      <c r="AZ957" s="56"/>
      <c r="BA957" s="51"/>
      <c r="BB957" s="56"/>
      <c r="BC957" s="56"/>
      <c r="BD957" s="56"/>
      <c r="BE957" s="51"/>
    </row>
    <row r="958" spans="46:57">
      <c r="AV958" s="45"/>
      <c r="AW958" s="45"/>
      <c r="AX958" s="56"/>
      <c r="AY958" s="56"/>
      <c r="AZ958" s="56"/>
      <c r="BA958" s="51"/>
      <c r="BB958" s="56"/>
      <c r="BC958" s="56"/>
      <c r="BD958" s="56"/>
      <c r="BE958" s="51"/>
    </row>
    <row r="959" spans="46:57">
      <c r="AV959" s="45"/>
      <c r="AW959" s="45"/>
      <c r="AX959" s="56"/>
      <c r="AY959" s="56"/>
      <c r="AZ959" s="56"/>
      <c r="BA959" s="51"/>
      <c r="BB959" s="56"/>
      <c r="BC959" s="56"/>
      <c r="BD959" s="56"/>
      <c r="BE959" s="51"/>
    </row>
    <row r="960" spans="46:57">
      <c r="AV960" s="45"/>
      <c r="AW960" s="45"/>
      <c r="AX960" s="56"/>
      <c r="AY960" s="56"/>
      <c r="AZ960" s="56"/>
      <c r="BA960" s="51"/>
      <c r="BB960" s="56"/>
      <c r="BC960" s="56"/>
      <c r="BD960" s="56"/>
      <c r="BE960" s="51"/>
    </row>
    <row r="961" spans="45:57">
      <c r="AV961" s="45"/>
      <c r="AW961" s="45"/>
      <c r="AX961" s="56"/>
      <c r="AY961" s="56"/>
      <c r="AZ961" s="56"/>
      <c r="BA961" s="51"/>
      <c r="BB961" s="56"/>
      <c r="BC961" s="56"/>
      <c r="BD961" s="56"/>
      <c r="BE961" s="51"/>
    </row>
    <row r="962" spans="45:57">
      <c r="AV962" s="45"/>
      <c r="AW962" s="45"/>
      <c r="AX962" s="56"/>
      <c r="AY962" s="56"/>
      <c r="AZ962" s="56"/>
      <c r="BA962" s="51"/>
      <c r="BB962" s="56"/>
      <c r="BC962" s="56"/>
      <c r="BD962" s="56"/>
      <c r="BE962" s="51"/>
    </row>
    <row r="963" spans="45:57">
      <c r="AV963" s="45"/>
      <c r="AW963" s="45"/>
      <c r="AX963" s="56"/>
      <c r="AY963" s="56"/>
      <c r="AZ963" s="56"/>
      <c r="BA963" s="51"/>
      <c r="BB963" s="56"/>
      <c r="BC963" s="56"/>
      <c r="BD963" s="56"/>
      <c r="BE963" s="51"/>
    </row>
    <row r="965" spans="45:57">
      <c r="AU965" s="42"/>
    </row>
    <row r="966" spans="45:57">
      <c r="AU966" s="42"/>
    </row>
    <row r="967" spans="45:57">
      <c r="AU967" s="42"/>
    </row>
    <row r="968" spans="45:57">
      <c r="AS968" s="42"/>
    </row>
    <row r="989" spans="52:71">
      <c r="AZ989" s="56"/>
      <c r="BB989" s="56"/>
      <c r="BC989" s="56"/>
      <c r="BD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</row>
    <row r="990" spans="52:71">
      <c r="AZ990" s="56"/>
      <c r="BB990" s="56"/>
      <c r="BC990" s="56"/>
      <c r="BD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</row>
    <row r="991" spans="52:71">
      <c r="AZ991" s="56"/>
      <c r="BB991" s="56"/>
      <c r="BC991" s="56"/>
      <c r="BD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</row>
    <row r="992" spans="52:71">
      <c r="AZ992" s="56"/>
      <c r="BB992" s="56"/>
      <c r="BC992" s="56"/>
      <c r="BD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</row>
    <row r="993" spans="52:71">
      <c r="AZ993" s="56"/>
      <c r="BB993" s="56"/>
      <c r="BC993" s="56"/>
      <c r="BD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</row>
    <row r="994" spans="52:71">
      <c r="AZ994" s="56"/>
      <c r="BB994" s="56"/>
      <c r="BC994" s="56"/>
      <c r="BD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</row>
    <row r="995" spans="52:71">
      <c r="AZ995" s="56"/>
      <c r="BB995" s="56"/>
      <c r="BC995" s="56"/>
      <c r="BD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</row>
    <row r="996" spans="52:71">
      <c r="AZ996" s="56"/>
      <c r="BB996" s="56"/>
      <c r="BC996" s="56"/>
      <c r="BD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</row>
    <row r="997" spans="52:71">
      <c r="AZ997" s="56"/>
      <c r="BB997" s="56"/>
      <c r="BC997" s="56"/>
      <c r="BD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</row>
    <row r="998" spans="52:71">
      <c r="AZ998" s="56"/>
      <c r="BB998" s="56"/>
      <c r="BC998" s="56"/>
      <c r="BD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</row>
    <row r="999" spans="52:71">
      <c r="AZ999" s="56"/>
      <c r="BB999" s="56"/>
      <c r="BC999" s="56"/>
      <c r="BD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</row>
    <row r="1000" spans="52:71">
      <c r="AZ1000" s="56"/>
      <c r="BB1000" s="56"/>
      <c r="BC1000" s="56"/>
      <c r="BD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</row>
    <row r="1001" spans="52:71">
      <c r="AZ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</row>
    <row r="1002" spans="52:71">
      <c r="AZ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</row>
    <row r="1003" spans="52:71">
      <c r="AZ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</row>
    <row r="1004" spans="52:71">
      <c r="AZ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</row>
    <row r="1005" spans="52:71">
      <c r="AZ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</row>
    <row r="1006" spans="52:71">
      <c r="AZ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</row>
    <row r="1007" spans="52:71">
      <c r="AZ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</row>
    <row r="1008" spans="52:71">
      <c r="AZ1008" s="56"/>
    </row>
    <row r="1009" spans="1:52">
      <c r="AZ1009" s="56"/>
    </row>
    <row r="1023" spans="1:52">
      <c r="A1023" s="42"/>
    </row>
    <row r="1026" spans="1:28">
      <c r="Y1026" s="42"/>
    </row>
    <row r="1027" spans="1:28">
      <c r="A1027" s="42"/>
      <c r="H1027" s="42"/>
      <c r="I1027" s="42"/>
    </row>
    <row r="1028" spans="1:28">
      <c r="A1028" s="42"/>
      <c r="V1028" s="44"/>
      <c r="AA1028" s="44"/>
      <c r="AB1028" s="44"/>
    </row>
    <row r="1029" spans="1:28">
      <c r="A1029" s="42"/>
      <c r="V1029" s="49"/>
      <c r="AA1029" s="49"/>
      <c r="AB1029" s="49"/>
    </row>
    <row r="1030" spans="1:28">
      <c r="A1030" s="42"/>
      <c r="U1030" s="42"/>
      <c r="AA1030" s="44"/>
      <c r="AB1030" s="44"/>
    </row>
    <row r="1031" spans="1:28">
      <c r="A1031" s="42"/>
    </row>
    <row r="1032" spans="1:28">
      <c r="A1032" s="42"/>
      <c r="U1032" s="42"/>
      <c r="AA1032" s="44"/>
      <c r="AB1032" s="44"/>
    </row>
    <row r="1033" spans="1:28">
      <c r="A1033" s="42"/>
    </row>
    <row r="1034" spans="1:28">
      <c r="A1034" s="42"/>
      <c r="U1034" s="42"/>
      <c r="V1034" s="339"/>
      <c r="AA1034" s="44"/>
      <c r="AB1034" s="44"/>
    </row>
    <row r="1035" spans="1:28">
      <c r="A1035" s="42"/>
    </row>
    <row r="1036" spans="1:28">
      <c r="A1036" s="42"/>
      <c r="U1036" s="42"/>
      <c r="AA1036" s="44"/>
      <c r="AB1036" s="44"/>
    </row>
    <row r="1037" spans="1:28">
      <c r="A1037" s="42"/>
    </row>
    <row r="1038" spans="1:28">
      <c r="A1038" s="42"/>
      <c r="U1038" s="42"/>
      <c r="AA1038" s="44"/>
      <c r="AB1038" s="44"/>
    </row>
    <row r="1039" spans="1:28">
      <c r="A1039" s="42"/>
    </row>
    <row r="1040" spans="1:28">
      <c r="A1040" s="42"/>
    </row>
    <row r="1041" spans="1:9">
      <c r="A1041" s="42"/>
    </row>
    <row r="1042" spans="1:9">
      <c r="A1042" s="42"/>
    </row>
    <row r="1043" spans="1:9">
      <c r="A1043" s="42"/>
    </row>
    <row r="1044" spans="1:9">
      <c r="A1044" s="42"/>
    </row>
    <row r="1045" spans="1:9">
      <c r="A1045" s="42"/>
    </row>
    <row r="1046" spans="1:9">
      <c r="A1046" s="42"/>
    </row>
    <row r="1047" spans="1:9">
      <c r="A1047" s="42"/>
    </row>
    <row r="1048" spans="1:9">
      <c r="A1048" s="42"/>
    </row>
    <row r="1049" spans="1:9">
      <c r="A1049" s="42"/>
      <c r="H1049" s="42"/>
      <c r="I1049" s="42"/>
    </row>
    <row r="1052" spans="1:9">
      <c r="A1052" s="42"/>
    </row>
    <row r="1055" spans="1:9">
      <c r="A1055" s="42"/>
    </row>
    <row r="1058" spans="1:1">
      <c r="A1058" s="42"/>
    </row>
    <row r="1059" spans="1:1">
      <c r="A1059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  <row r="1064" spans="1:1">
      <c r="A1064" s="42"/>
    </row>
    <row r="1065" spans="1:1">
      <c r="A1065" s="42"/>
    </row>
    <row r="1066" spans="1:1">
      <c r="A1066" s="42"/>
    </row>
    <row r="1067" spans="1:1">
      <c r="A1067" s="42"/>
    </row>
    <row r="1068" spans="1:1">
      <c r="A1068" s="42"/>
    </row>
    <row r="1069" spans="1:1">
      <c r="A1069" s="42"/>
    </row>
    <row r="1070" spans="1:1">
      <c r="A1070" s="42"/>
    </row>
    <row r="1071" spans="1:1">
      <c r="A1071" s="42"/>
    </row>
    <row r="1072" spans="1:1">
      <c r="A1072" s="42"/>
    </row>
    <row r="1073" spans="1:1">
      <c r="A1073" s="42"/>
    </row>
    <row r="1074" spans="1:1">
      <c r="A1074" s="42"/>
    </row>
    <row r="1075" spans="1:1">
      <c r="A1075" s="42"/>
    </row>
    <row r="1076" spans="1:1">
      <c r="A1076" s="42"/>
    </row>
    <row r="1077" spans="1:1">
      <c r="A1077" s="42"/>
    </row>
    <row r="1078" spans="1:1">
      <c r="A1078" s="42"/>
    </row>
    <row r="1079" spans="1:1">
      <c r="A1079" s="42"/>
    </row>
    <row r="1080" spans="1:1">
      <c r="A1080" s="42"/>
    </row>
    <row r="1081" spans="1:1">
      <c r="A1081" s="42"/>
    </row>
    <row r="1082" spans="1:1">
      <c r="A1082" s="42"/>
    </row>
    <row r="1083" spans="1:1">
      <c r="A1083" s="42"/>
    </row>
    <row r="1084" spans="1:1">
      <c r="A1084" s="42"/>
    </row>
    <row r="1085" spans="1:1">
      <c r="A1085" s="42"/>
    </row>
    <row r="1086" spans="1:1">
      <c r="A1086" s="42"/>
    </row>
    <row r="1087" spans="1:1">
      <c r="A1087" s="42"/>
    </row>
    <row r="1088" spans="1:1">
      <c r="A1088" s="42"/>
    </row>
    <row r="1089" spans="1:1">
      <c r="A1089" s="42"/>
    </row>
    <row r="1090" spans="1:1">
      <c r="A1090" s="42"/>
    </row>
    <row r="1091" spans="1:1">
      <c r="A1091" s="42"/>
    </row>
    <row r="1092" spans="1:1">
      <c r="A1092" s="42"/>
    </row>
    <row r="1097" spans="1:1">
      <c r="A1097" s="42"/>
    </row>
    <row r="1098" spans="1:1">
      <c r="A1098" s="42"/>
    </row>
    <row r="1101" spans="1:1">
      <c r="A1101" s="42"/>
    </row>
    <row r="1103" spans="1:1">
      <c r="A1103" s="42"/>
    </row>
    <row r="1105" spans="1:1">
      <c r="A1105" s="42"/>
    </row>
    <row r="1107" spans="1:1">
      <c r="A1107" s="42"/>
    </row>
    <row r="1110" spans="1:1">
      <c r="A1110" s="42"/>
    </row>
    <row r="1111" spans="1:1">
      <c r="A1111" s="42"/>
    </row>
    <row r="1112" spans="1:1">
      <c r="A1112" s="42"/>
    </row>
    <row r="1113" spans="1:1">
      <c r="A1113" s="42"/>
    </row>
    <row r="1114" spans="1:1">
      <c r="A1114" s="42"/>
    </row>
    <row r="1115" spans="1:1">
      <c r="A1115" s="42"/>
    </row>
    <row r="1116" spans="1:1">
      <c r="A1116" s="42"/>
    </row>
    <row r="1117" spans="1:1">
      <c r="A1117" s="42"/>
    </row>
  </sheetData>
  <pageMargins left="0.5" right="0.5" top="1" bottom="0" header="0" footer="0"/>
  <pageSetup scale="52" orientation="landscape" r:id="rId1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512E7-0A90-48C9-99F4-F7CA361D18A5}">
  <sheetPr syncVertical="1" syncRef="A3" transitionEvaluation="1" transitionEntry="1" codeName="Sheet32">
    <tabColor rgb="FF0066CC"/>
    <pageSetUpPr fitToPage="1"/>
  </sheetPr>
  <dimension ref="A1:BW1117"/>
  <sheetViews>
    <sheetView workbookViewId="0"/>
  </sheetViews>
  <sheetFormatPr defaultColWidth="9.69921875" defaultRowHeight="15.75"/>
  <cols>
    <col min="1" max="1" width="4" style="453" customWidth="1"/>
    <col min="2" max="2" width="0.69921875" style="453" customWidth="1"/>
    <col min="3" max="3" width="8.59765625" style="453" customWidth="1"/>
    <col min="4" max="4" width="39.09765625" style="453" customWidth="1"/>
    <col min="5" max="5" width="0.3984375" style="453" customWidth="1"/>
    <col min="6" max="6" width="11.09765625" style="453" customWidth="1"/>
    <col min="7" max="7" width="0.69921875" style="453" customWidth="1"/>
    <col min="8" max="8" width="14.59765625" style="453" customWidth="1"/>
    <col min="9" max="9" width="0.69921875" style="453" customWidth="1"/>
    <col min="10" max="10" width="14" style="453" customWidth="1"/>
    <col min="11" max="11" width="0.69921875" style="453" customWidth="1"/>
    <col min="12" max="12" width="14.69921875" style="453" customWidth="1"/>
    <col min="13" max="13" width="0.296875" style="453" customWidth="1"/>
    <col min="14" max="14" width="12.69921875" style="453" customWidth="1"/>
    <col min="15" max="15" width="0.59765625" style="453" customWidth="1"/>
    <col min="16" max="16" width="14.69921875" style="453" customWidth="1"/>
    <col min="17" max="17" width="0.59765625" style="453" customWidth="1"/>
    <col min="18" max="18" width="18.3984375" style="453" customWidth="1"/>
    <col min="19" max="19" width="8.69921875" style="453" customWidth="1"/>
    <col min="20" max="20" width="5.3984375" style="453" customWidth="1"/>
    <col min="21" max="21" width="0.59765625" style="453" customWidth="1"/>
    <col min="22" max="22" width="8" style="453" customWidth="1"/>
    <col min="23" max="23" width="38.09765625" style="453" customWidth="1"/>
    <col min="24" max="24" width="0.3984375" style="453" customWidth="1"/>
    <col min="25" max="25" width="11.69921875" style="453" customWidth="1"/>
    <col min="26" max="26" width="0.69921875" style="453" customWidth="1"/>
    <col min="27" max="27" width="13.296875" style="453" customWidth="1"/>
    <col min="28" max="28" width="0.69921875" style="453" customWidth="1"/>
    <col min="29" max="29" width="12.8984375" style="453" customWidth="1"/>
    <col min="30" max="30" width="0.59765625" style="453" customWidth="1"/>
    <col min="31" max="31" width="12.8984375" style="453" customWidth="1"/>
    <col min="32" max="32" width="0.69921875" style="453" customWidth="1"/>
    <col min="33" max="33" width="13.69921875" style="454" customWidth="1"/>
    <col min="34" max="34" width="0.69921875" style="453" customWidth="1"/>
    <col min="35" max="35" width="14.296875" style="453" customWidth="1"/>
    <col min="36" max="36" width="0.8984375" style="453" customWidth="1"/>
    <col min="37" max="37" width="14.59765625" style="454" customWidth="1"/>
    <col min="38" max="38" width="0.69921875" style="453" customWidth="1"/>
    <col min="39" max="39" width="12.09765625" style="453" customWidth="1"/>
    <col min="40" max="40" width="0.59765625" style="453" customWidth="1"/>
    <col min="41" max="41" width="13.09765625" style="453" customWidth="1"/>
    <col min="42" max="42" width="0.69921875" style="453" customWidth="1"/>
    <col min="43" max="43" width="11.09765625" style="454" customWidth="1"/>
    <col min="44" max="44" width="14.69921875" style="453" customWidth="1"/>
    <col min="45" max="45" width="4.69921875" style="453" customWidth="1"/>
    <col min="46" max="46" width="5.69921875" style="453" customWidth="1"/>
    <col min="47" max="47" width="10.69921875" style="453" customWidth="1"/>
    <col min="48" max="48" width="11.69921875" style="453" customWidth="1"/>
    <col min="49" max="49" width="12.69921875" style="453" customWidth="1"/>
    <col min="50" max="52" width="15.69921875" style="453" customWidth="1"/>
    <col min="53" max="53" width="12.69921875" style="453" customWidth="1"/>
    <col min="54" max="56" width="15.69921875" style="453" customWidth="1"/>
    <col min="57" max="57" width="12.69921875" style="453" customWidth="1"/>
    <col min="58" max="59" width="9.69921875" style="453"/>
    <col min="60" max="62" width="12.69921875" style="453" customWidth="1"/>
    <col min="63" max="63" width="14.69921875" style="453" customWidth="1"/>
    <col min="64" max="65" width="9.69921875" style="453"/>
    <col min="66" max="68" width="12.69921875" style="453" customWidth="1"/>
    <col min="69" max="69" width="14.69921875" style="453" customWidth="1"/>
    <col min="70" max="76" width="9.69921875" style="453"/>
    <col min="77" max="77" width="1.69921875" style="453" customWidth="1"/>
    <col min="78" max="79" width="9.69921875" style="453"/>
    <col min="80" max="80" width="10.69921875" style="453" customWidth="1"/>
    <col min="81" max="82" width="9.69921875" style="453"/>
    <col min="83" max="83" width="7.69921875" style="453" customWidth="1"/>
    <col min="84" max="16384" width="9.69921875" style="453"/>
  </cols>
  <sheetData>
    <row r="1" spans="1:40">
      <c r="A1" s="452" t="s">
        <v>479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</row>
    <row r="2" spans="1:40">
      <c r="A2" s="452" t="s">
        <v>1132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</row>
    <row r="3" spans="1:40">
      <c r="A3" s="452" t="s">
        <v>540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Y3" s="455"/>
    </row>
    <row r="4" spans="1:40">
      <c r="A4" s="452" t="s">
        <v>1041</v>
      </c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</row>
    <row r="5" spans="1:40">
      <c r="A5" s="452" t="s">
        <v>2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AA5" s="455"/>
      <c r="AB5" s="455"/>
    </row>
    <row r="6" spans="1:40">
      <c r="A6" s="453" t="s">
        <v>539</v>
      </c>
      <c r="R6" s="455" t="s">
        <v>156</v>
      </c>
      <c r="AK6" s="456"/>
      <c r="AL6" s="455"/>
    </row>
    <row r="7" spans="1:40">
      <c r="A7" s="453" t="s">
        <v>333</v>
      </c>
      <c r="R7" s="457" t="s">
        <v>1140</v>
      </c>
      <c r="AK7" s="456"/>
      <c r="AL7" s="455"/>
    </row>
    <row r="8" spans="1:40">
      <c r="A8" s="455" t="s">
        <v>170</v>
      </c>
      <c r="R8" s="455" t="s">
        <v>3</v>
      </c>
      <c r="AK8" s="456"/>
      <c r="AL8" s="455"/>
    </row>
    <row r="9" spans="1:40">
      <c r="A9" s="458" t="s">
        <v>1135</v>
      </c>
      <c r="R9" s="453" t="s">
        <v>970</v>
      </c>
      <c r="AK9" s="456"/>
      <c r="AL9" s="455"/>
    </row>
    <row r="10" spans="1:40">
      <c r="A10" s="458" t="s">
        <v>173</v>
      </c>
      <c r="AK10" s="456"/>
      <c r="AL10" s="455"/>
    </row>
    <row r="11" spans="1:40">
      <c r="A11" s="452" t="s">
        <v>129</v>
      </c>
      <c r="B11" s="452"/>
      <c r="C11" s="452"/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52"/>
      <c r="R11" s="452"/>
      <c r="AA11" s="455"/>
      <c r="AB11" s="455"/>
    </row>
    <row r="12" spans="1:40">
      <c r="A12" s="459"/>
      <c r="B12" s="459"/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T12" s="460"/>
      <c r="U12" s="460"/>
      <c r="V12" s="460"/>
      <c r="W12" s="460"/>
      <c r="X12" s="460"/>
      <c r="Y12" s="460"/>
      <c r="Z12" s="460"/>
      <c r="AA12" s="460"/>
      <c r="AB12" s="460"/>
      <c r="AC12" s="460"/>
      <c r="AD12" s="460"/>
      <c r="AE12" s="460"/>
      <c r="AF12" s="460"/>
      <c r="AG12" s="461"/>
      <c r="AH12" s="460"/>
      <c r="AI12" s="460"/>
      <c r="AJ12" s="460"/>
      <c r="AK12" s="461"/>
      <c r="AL12" s="460"/>
      <c r="AM12" s="460"/>
      <c r="AN12" s="460"/>
    </row>
    <row r="13" spans="1:40" ht="18" customHeight="1">
      <c r="L13" s="462" t="s">
        <v>6</v>
      </c>
      <c r="M13" s="462"/>
      <c r="N13" s="462" t="s">
        <v>7</v>
      </c>
      <c r="O13" s="462"/>
      <c r="R13" s="462" t="s">
        <v>6</v>
      </c>
      <c r="AA13" s="462"/>
      <c r="AB13" s="462"/>
      <c r="AC13" s="462"/>
      <c r="AD13" s="462"/>
      <c r="AE13" s="462"/>
      <c r="AF13" s="462"/>
      <c r="AG13" s="463"/>
      <c r="AH13" s="462"/>
      <c r="AK13" s="463"/>
      <c r="AL13" s="462"/>
      <c r="AM13" s="462"/>
      <c r="AN13" s="462"/>
    </row>
    <row r="14" spans="1:40">
      <c r="L14" s="462" t="s">
        <v>12</v>
      </c>
      <c r="M14" s="462"/>
      <c r="N14" s="462" t="s">
        <v>13</v>
      </c>
      <c r="O14" s="462"/>
      <c r="R14" s="462" t="s">
        <v>11</v>
      </c>
      <c r="Z14" s="462"/>
      <c r="AA14" s="462"/>
      <c r="AB14" s="462"/>
      <c r="AC14" s="462"/>
      <c r="AD14" s="462"/>
      <c r="AE14" s="462"/>
      <c r="AF14" s="462"/>
      <c r="AG14" s="463"/>
      <c r="AH14" s="462"/>
      <c r="AK14" s="463"/>
      <c r="AL14" s="462"/>
      <c r="AM14" s="462"/>
      <c r="AN14" s="462"/>
    </row>
    <row r="15" spans="1:40">
      <c r="A15" s="462" t="s">
        <v>17</v>
      </c>
      <c r="C15" s="462" t="s">
        <v>18</v>
      </c>
      <c r="D15" s="462" t="s">
        <v>19</v>
      </c>
      <c r="E15" s="462"/>
      <c r="F15" s="462" t="s">
        <v>20</v>
      </c>
      <c r="J15" s="462" t="s">
        <v>6</v>
      </c>
      <c r="K15" s="462"/>
      <c r="L15" s="462" t="s">
        <v>841</v>
      </c>
      <c r="M15" s="462"/>
      <c r="N15" s="462" t="s">
        <v>841</v>
      </c>
      <c r="O15" s="462"/>
      <c r="P15" s="462" t="s">
        <v>841</v>
      </c>
      <c r="Q15" s="462"/>
      <c r="R15" s="462" t="s">
        <v>9</v>
      </c>
      <c r="T15" s="462"/>
      <c r="U15" s="462"/>
      <c r="V15" s="462"/>
      <c r="Z15" s="462"/>
      <c r="AA15" s="462"/>
      <c r="AB15" s="462"/>
      <c r="AC15" s="462"/>
      <c r="AD15" s="462"/>
      <c r="AE15" s="462"/>
      <c r="AF15" s="462"/>
      <c r="AG15" s="463"/>
      <c r="AH15" s="462"/>
      <c r="AI15" s="462"/>
      <c r="AJ15" s="462"/>
      <c r="AK15" s="463"/>
      <c r="AL15" s="462"/>
      <c r="AM15" s="462"/>
      <c r="AN15" s="462"/>
    </row>
    <row r="16" spans="1:40">
      <c r="A16" s="462" t="s">
        <v>22</v>
      </c>
      <c r="C16" s="462" t="s">
        <v>23</v>
      </c>
      <c r="D16" s="462" t="s">
        <v>24</v>
      </c>
      <c r="E16" s="462"/>
      <c r="F16" s="462" t="s">
        <v>25</v>
      </c>
      <c r="H16" s="462" t="s">
        <v>26</v>
      </c>
      <c r="I16" s="462"/>
      <c r="J16" s="462" t="s">
        <v>27</v>
      </c>
      <c r="K16" s="462"/>
      <c r="L16" s="462" t="s">
        <v>9</v>
      </c>
      <c r="M16" s="462"/>
      <c r="N16" s="462" t="s">
        <v>9</v>
      </c>
      <c r="O16" s="462"/>
      <c r="P16" s="462" t="s">
        <v>323</v>
      </c>
      <c r="Q16" s="462"/>
      <c r="R16" s="464" t="s">
        <v>28</v>
      </c>
      <c r="T16" s="462"/>
      <c r="U16" s="462"/>
      <c r="V16" s="462"/>
      <c r="Y16" s="462"/>
      <c r="Z16" s="462"/>
      <c r="AA16" s="462"/>
      <c r="AB16" s="462"/>
      <c r="AC16" s="462"/>
      <c r="AD16" s="462"/>
      <c r="AE16" s="462"/>
      <c r="AF16" s="462"/>
      <c r="AG16" s="463"/>
      <c r="AH16" s="462"/>
      <c r="AI16" s="462"/>
      <c r="AJ16" s="462"/>
      <c r="AK16" s="463"/>
      <c r="AL16" s="462"/>
      <c r="AM16" s="462"/>
      <c r="AN16" s="462"/>
    </row>
    <row r="17" spans="1:40">
      <c r="C17" s="464" t="s">
        <v>33</v>
      </c>
      <c r="D17" s="464" t="s">
        <v>34</v>
      </c>
      <c r="E17" s="464"/>
      <c r="F17" s="464" t="s">
        <v>35</v>
      </c>
      <c r="G17" s="465"/>
      <c r="H17" s="464" t="s">
        <v>36</v>
      </c>
      <c r="I17" s="464"/>
      <c r="J17" s="464" t="s">
        <v>37</v>
      </c>
      <c r="K17" s="464"/>
      <c r="L17" s="464" t="s">
        <v>38</v>
      </c>
      <c r="M17" s="464"/>
      <c r="N17" s="464" t="s">
        <v>39</v>
      </c>
      <c r="O17" s="464"/>
      <c r="P17" s="464" t="s">
        <v>40</v>
      </c>
      <c r="Q17" s="464"/>
      <c r="R17" s="464" t="s">
        <v>41</v>
      </c>
      <c r="T17" s="462"/>
      <c r="U17" s="462"/>
      <c r="V17" s="462"/>
      <c r="Y17" s="462"/>
      <c r="Z17" s="462"/>
      <c r="AA17" s="462"/>
      <c r="AB17" s="462"/>
      <c r="AC17" s="462"/>
      <c r="AD17" s="462"/>
      <c r="AE17" s="462"/>
      <c r="AF17" s="462"/>
      <c r="AG17" s="463"/>
      <c r="AH17" s="462"/>
      <c r="AI17" s="462"/>
      <c r="AJ17" s="462"/>
      <c r="AK17" s="463"/>
      <c r="AL17" s="462"/>
      <c r="AM17" s="462"/>
      <c r="AN17" s="462"/>
    </row>
    <row r="18" spans="1:40">
      <c r="A18" s="459"/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T18" s="460"/>
      <c r="U18" s="460"/>
      <c r="V18" s="460"/>
      <c r="W18" s="460"/>
      <c r="X18" s="460"/>
      <c r="Y18" s="460"/>
      <c r="Z18" s="460"/>
      <c r="AA18" s="460"/>
      <c r="AB18" s="460"/>
      <c r="AC18" s="460"/>
      <c r="AD18" s="460"/>
      <c r="AE18" s="460"/>
      <c r="AF18" s="460"/>
      <c r="AG18" s="461"/>
      <c r="AH18" s="460"/>
      <c r="AI18" s="460"/>
      <c r="AJ18" s="460"/>
      <c r="AK18" s="461"/>
      <c r="AL18" s="460"/>
      <c r="AM18" s="460"/>
      <c r="AN18" s="460"/>
    </row>
    <row r="19" spans="1:40" ht="17.100000000000001" customHeight="1">
      <c r="H19" s="466" t="s">
        <v>49</v>
      </c>
      <c r="I19" s="467"/>
      <c r="J19" s="466" t="s">
        <v>312</v>
      </c>
      <c r="K19" s="467"/>
      <c r="L19" s="467" t="s">
        <v>50</v>
      </c>
      <c r="M19" s="467"/>
      <c r="N19" s="467" t="s">
        <v>51</v>
      </c>
      <c r="O19" s="467"/>
      <c r="P19" s="467" t="s">
        <v>50</v>
      </c>
      <c r="Q19" s="467"/>
      <c r="R19" s="467" t="s">
        <v>50</v>
      </c>
      <c r="Y19" s="462"/>
      <c r="Z19" s="462"/>
      <c r="AA19" s="462"/>
      <c r="AB19" s="462"/>
      <c r="AC19" s="462"/>
      <c r="AD19" s="462"/>
      <c r="AE19" s="462"/>
      <c r="AF19" s="462"/>
      <c r="AG19" s="463"/>
      <c r="AH19" s="462"/>
      <c r="AI19" s="462"/>
      <c r="AJ19" s="462"/>
      <c r="AK19" s="463"/>
      <c r="AL19" s="462"/>
      <c r="AM19" s="462"/>
      <c r="AN19" s="462"/>
    </row>
    <row r="20" spans="1:40">
      <c r="A20" s="453">
        <v>1</v>
      </c>
      <c r="C20" s="458" t="s">
        <v>307</v>
      </c>
      <c r="D20" s="458" t="s">
        <v>131</v>
      </c>
      <c r="E20" s="455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T20" s="455"/>
      <c r="U20" s="455"/>
    </row>
    <row r="21" spans="1:40">
      <c r="A21" s="453">
        <v>2</v>
      </c>
      <c r="C21" s="465"/>
      <c r="D21" s="458" t="s">
        <v>132</v>
      </c>
      <c r="E21" s="455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T21" s="455"/>
    </row>
    <row r="22" spans="1:40" ht="21" customHeight="1"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</row>
    <row r="23" spans="1:40">
      <c r="A23" s="453">
        <v>3</v>
      </c>
      <c r="C23" s="458" t="s">
        <v>133</v>
      </c>
      <c r="F23" s="468"/>
      <c r="G23" s="468"/>
      <c r="H23" s="468"/>
      <c r="I23" s="468"/>
      <c r="J23" s="468"/>
      <c r="K23" s="468"/>
      <c r="L23" s="468"/>
      <c r="M23" s="468"/>
      <c r="N23" s="468"/>
      <c r="O23" s="468"/>
      <c r="P23" s="468"/>
      <c r="Q23" s="468"/>
      <c r="R23" s="468"/>
      <c r="S23" s="470"/>
      <c r="T23" s="455"/>
      <c r="V23" s="470"/>
      <c r="Y23" s="470"/>
      <c r="Z23" s="471"/>
      <c r="AA23" s="470"/>
      <c r="AB23" s="470"/>
      <c r="AC23" s="472"/>
      <c r="AD23" s="472"/>
      <c r="AE23" s="470"/>
      <c r="AF23" s="470"/>
      <c r="AH23" s="472"/>
      <c r="AI23" s="470"/>
      <c r="AJ23" s="470"/>
      <c r="AL23" s="470"/>
      <c r="AM23" s="472"/>
      <c r="AN23" s="472"/>
    </row>
    <row r="24" spans="1:40">
      <c r="A24" s="453">
        <v>4</v>
      </c>
      <c r="C24" s="455" t="s">
        <v>311</v>
      </c>
      <c r="F24" s="476">
        <v>12</v>
      </c>
      <c r="G24" s="468"/>
      <c r="H24" s="477"/>
      <c r="I24" s="477"/>
      <c r="J24" s="471">
        <v>183</v>
      </c>
      <c r="K24" s="478"/>
      <c r="L24" s="474">
        <v>2196</v>
      </c>
      <c r="M24" s="474"/>
      <c r="N24" s="475">
        <v>111</v>
      </c>
      <c r="O24" s="475"/>
      <c r="P24" s="474"/>
      <c r="Q24" s="468"/>
      <c r="R24" s="474">
        <v>2196</v>
      </c>
      <c r="S24" s="470"/>
      <c r="V24" s="470"/>
      <c r="Y24" s="470"/>
      <c r="Z24" s="476"/>
      <c r="AA24" s="470"/>
      <c r="AB24" s="470"/>
      <c r="AC24" s="472"/>
      <c r="AD24" s="472"/>
      <c r="AE24" s="470"/>
      <c r="AF24" s="470"/>
      <c r="AI24" s="470"/>
      <c r="AJ24" s="470"/>
      <c r="AL24" s="470"/>
    </row>
    <row r="25" spans="1:40" ht="20.100000000000001" customHeight="1">
      <c r="A25" s="453">
        <v>5</v>
      </c>
      <c r="C25" s="458" t="s">
        <v>136</v>
      </c>
      <c r="F25" s="474"/>
      <c r="G25" s="468"/>
      <c r="H25" s="474"/>
      <c r="I25" s="474"/>
      <c r="J25" s="484"/>
      <c r="K25" s="481"/>
      <c r="L25" s="480">
        <v>2196</v>
      </c>
      <c r="M25" s="474"/>
      <c r="N25" s="482">
        <v>111</v>
      </c>
      <c r="O25" s="475"/>
      <c r="P25" s="480"/>
      <c r="Q25" s="474"/>
      <c r="R25" s="480">
        <v>2196</v>
      </c>
      <c r="S25" s="470"/>
      <c r="T25" s="455"/>
      <c r="V25" s="470"/>
      <c r="Y25" s="470"/>
      <c r="Z25" s="483"/>
      <c r="AA25" s="470"/>
      <c r="AB25" s="470"/>
      <c r="AC25" s="472"/>
      <c r="AD25" s="472"/>
      <c r="AE25" s="470"/>
      <c r="AF25" s="470"/>
      <c r="AH25" s="472"/>
      <c r="AI25" s="470"/>
      <c r="AJ25" s="470"/>
      <c r="AL25" s="470"/>
      <c r="AM25" s="472"/>
      <c r="AN25" s="472"/>
    </row>
    <row r="26" spans="1:40" ht="24" customHeight="1">
      <c r="C26" s="455"/>
      <c r="F26" s="474"/>
      <c r="G26" s="468"/>
      <c r="H26" s="474"/>
      <c r="I26" s="474"/>
      <c r="J26" s="484"/>
      <c r="K26" s="481"/>
      <c r="L26" s="474"/>
      <c r="M26" s="474"/>
      <c r="N26" s="475"/>
      <c r="O26" s="475"/>
      <c r="P26" s="474"/>
      <c r="Q26" s="474"/>
      <c r="R26" s="474"/>
      <c r="S26" s="470"/>
      <c r="V26" s="479"/>
      <c r="Y26" s="476"/>
      <c r="Z26" s="484"/>
      <c r="AA26" s="470"/>
      <c r="AB26" s="470"/>
      <c r="AC26" s="472"/>
      <c r="AD26" s="472"/>
      <c r="AE26" s="470"/>
      <c r="AF26" s="470"/>
      <c r="AH26" s="472"/>
      <c r="AI26" s="470"/>
      <c r="AJ26" s="470"/>
      <c r="AL26" s="470"/>
      <c r="AM26" s="472"/>
      <c r="AN26" s="472"/>
    </row>
    <row r="27" spans="1:40">
      <c r="A27" s="453">
        <v>6</v>
      </c>
      <c r="C27" s="458" t="s">
        <v>67</v>
      </c>
      <c r="F27" s="474"/>
      <c r="G27" s="468"/>
      <c r="H27" s="474"/>
      <c r="I27" s="474"/>
      <c r="J27" s="503"/>
      <c r="K27" s="488"/>
      <c r="L27" s="474"/>
      <c r="M27" s="474"/>
      <c r="N27" s="475"/>
      <c r="O27" s="475"/>
      <c r="P27" s="474"/>
      <c r="Q27" s="474"/>
      <c r="R27" s="474"/>
      <c r="S27" s="470"/>
      <c r="T27" s="455"/>
      <c r="V27" s="476"/>
      <c r="Y27" s="470"/>
      <c r="Z27" s="483"/>
      <c r="AA27" s="470"/>
      <c r="AB27" s="470"/>
      <c r="AC27" s="472"/>
      <c r="AD27" s="472"/>
      <c r="AE27" s="470"/>
      <c r="AF27" s="470"/>
      <c r="AH27" s="472"/>
      <c r="AI27" s="470"/>
      <c r="AJ27" s="470"/>
      <c r="AL27" s="470"/>
      <c r="AM27" s="472"/>
      <c r="AN27" s="472"/>
    </row>
    <row r="28" spans="1:40">
      <c r="A28" s="453">
        <v>7</v>
      </c>
      <c r="C28" s="455" t="s">
        <v>381</v>
      </c>
      <c r="F28" s="477"/>
      <c r="G28" s="468"/>
      <c r="H28" s="476">
        <v>-2961</v>
      </c>
      <c r="I28" s="477"/>
      <c r="J28" s="489">
        <v>3.3517999999999999E-2</v>
      </c>
      <c r="K28" s="490"/>
      <c r="L28" s="474">
        <v>-99</v>
      </c>
      <c r="M28" s="474"/>
      <c r="N28" s="475">
        <v>-5</v>
      </c>
      <c r="O28" s="475"/>
      <c r="P28" s="477"/>
      <c r="Q28" s="477"/>
      <c r="R28" s="474">
        <v>-99</v>
      </c>
      <c r="S28" s="470"/>
      <c r="T28" s="455"/>
      <c r="V28" s="476"/>
      <c r="Y28" s="470"/>
      <c r="Z28" s="483"/>
      <c r="AA28" s="470"/>
      <c r="AB28" s="470"/>
      <c r="AC28" s="472"/>
      <c r="AD28" s="472"/>
      <c r="AE28" s="470"/>
      <c r="AF28" s="470"/>
      <c r="AH28" s="472"/>
      <c r="AI28" s="470"/>
      <c r="AJ28" s="470"/>
      <c r="AL28" s="470"/>
      <c r="AM28" s="472"/>
      <c r="AN28" s="472"/>
    </row>
    <row r="29" spans="1:40">
      <c r="A29" s="453">
        <v>8</v>
      </c>
      <c r="C29" s="455" t="s">
        <v>370</v>
      </c>
      <c r="F29" s="477"/>
      <c r="G29" s="468"/>
      <c r="H29" s="477">
        <v>-2961</v>
      </c>
      <c r="I29" s="477"/>
      <c r="J29" s="489">
        <v>3.8117999999999999E-2</v>
      </c>
      <c r="K29" s="490"/>
      <c r="L29" s="474">
        <v>-113</v>
      </c>
      <c r="M29" s="474"/>
      <c r="N29" s="475">
        <v>-5.7</v>
      </c>
      <c r="O29" s="475"/>
      <c r="P29" s="470">
        <v>0</v>
      </c>
      <c r="Q29" s="477"/>
      <c r="R29" s="474">
        <v>-113</v>
      </c>
      <c r="S29" s="470"/>
      <c r="V29" s="479"/>
      <c r="Y29" s="479"/>
      <c r="Z29" s="484"/>
      <c r="AA29" s="479"/>
      <c r="AB29" s="479"/>
      <c r="AC29" s="479"/>
      <c r="AD29" s="479"/>
      <c r="AE29" s="479"/>
      <c r="AF29" s="479"/>
      <c r="AI29" s="479"/>
      <c r="AJ29" s="479"/>
      <c r="AK29" s="485"/>
      <c r="AL29" s="479"/>
      <c r="AM29" s="472"/>
      <c r="AN29" s="472"/>
    </row>
    <row r="30" spans="1:40" ht="20.100000000000001" customHeight="1">
      <c r="A30" s="453">
        <v>9</v>
      </c>
      <c r="C30" s="458" t="s">
        <v>142</v>
      </c>
      <c r="F30" s="492"/>
      <c r="G30" s="468"/>
      <c r="H30" s="480">
        <v>-2961</v>
      </c>
      <c r="I30" s="474"/>
      <c r="J30" s="493"/>
      <c r="K30" s="488"/>
      <c r="L30" s="480">
        <v>-212</v>
      </c>
      <c r="M30" s="474"/>
      <c r="N30" s="482">
        <v>-10.7</v>
      </c>
      <c r="O30" s="475"/>
      <c r="P30" s="542">
        <v>0</v>
      </c>
      <c r="Q30" s="474"/>
      <c r="R30" s="480">
        <v>-212</v>
      </c>
      <c r="S30" s="470"/>
      <c r="V30" s="479"/>
      <c r="Y30" s="479"/>
      <c r="Z30" s="484"/>
      <c r="AA30" s="479"/>
      <c r="AB30" s="479"/>
      <c r="AC30" s="479"/>
      <c r="AD30" s="479"/>
      <c r="AE30" s="479"/>
      <c r="AF30" s="479"/>
      <c r="AI30" s="479"/>
      <c r="AJ30" s="479"/>
      <c r="AK30" s="485"/>
      <c r="AL30" s="479"/>
    </row>
    <row r="31" spans="1:40" ht="20.100000000000001" customHeight="1">
      <c r="A31" s="453">
        <v>10</v>
      </c>
      <c r="C31" s="487" t="s">
        <v>460</v>
      </c>
      <c r="F31" s="480">
        <v>12</v>
      </c>
      <c r="G31" s="468"/>
      <c r="H31" s="480">
        <v>-2961</v>
      </c>
      <c r="I31" s="474"/>
      <c r="J31" s="493"/>
      <c r="K31" s="488"/>
      <c r="L31" s="480">
        <v>1984</v>
      </c>
      <c r="M31" s="474"/>
      <c r="N31" s="482">
        <v>100.2</v>
      </c>
      <c r="O31" s="475"/>
      <c r="P31" s="542">
        <v>0</v>
      </c>
      <c r="Q31" s="474"/>
      <c r="R31" s="480">
        <v>1984</v>
      </c>
      <c r="S31" s="470"/>
      <c r="V31" s="479"/>
      <c r="Y31" s="479"/>
      <c r="Z31" s="484"/>
      <c r="AA31" s="479"/>
      <c r="AB31" s="479"/>
      <c r="AC31" s="479"/>
      <c r="AD31" s="479"/>
      <c r="AE31" s="479"/>
      <c r="AF31" s="479"/>
      <c r="AI31" s="479"/>
      <c r="AJ31" s="479"/>
      <c r="AK31" s="485"/>
      <c r="AL31" s="479"/>
    </row>
    <row r="32" spans="1:40" ht="15.75" customHeight="1">
      <c r="C32" s="455"/>
      <c r="F32" s="474"/>
      <c r="G32" s="468"/>
      <c r="H32" s="474"/>
      <c r="I32" s="474"/>
      <c r="J32" s="493"/>
      <c r="K32" s="488"/>
      <c r="L32" s="474"/>
      <c r="M32" s="474"/>
      <c r="N32" s="475"/>
      <c r="O32" s="475"/>
      <c r="P32" s="477"/>
      <c r="Q32" s="474"/>
      <c r="R32" s="474"/>
      <c r="S32" s="470"/>
      <c r="V32" s="479"/>
      <c r="Y32" s="479"/>
      <c r="Z32" s="484"/>
      <c r="AA32" s="479"/>
      <c r="AB32" s="479"/>
      <c r="AC32" s="479"/>
      <c r="AD32" s="479"/>
      <c r="AE32" s="479"/>
      <c r="AF32" s="479"/>
      <c r="AI32" s="479"/>
      <c r="AJ32" s="479"/>
      <c r="AK32" s="485"/>
      <c r="AL32" s="479"/>
    </row>
    <row r="33" spans="1:43" ht="15.75" customHeight="1">
      <c r="A33" s="453">
        <v>11</v>
      </c>
      <c r="C33" s="458" t="s">
        <v>430</v>
      </c>
      <c r="F33" s="474"/>
      <c r="G33" s="468"/>
      <c r="H33" s="474"/>
      <c r="I33" s="474"/>
      <c r="J33" s="493"/>
      <c r="K33" s="488"/>
      <c r="L33" s="474"/>
      <c r="M33" s="474"/>
      <c r="N33" s="475"/>
      <c r="O33" s="475"/>
      <c r="P33" s="477"/>
      <c r="Q33" s="474"/>
      <c r="R33" s="474"/>
      <c r="S33" s="470"/>
      <c r="V33" s="479"/>
      <c r="Y33" s="479"/>
      <c r="Z33" s="484"/>
      <c r="AA33" s="479"/>
      <c r="AB33" s="479"/>
      <c r="AC33" s="479"/>
      <c r="AD33" s="479"/>
      <c r="AE33" s="479"/>
      <c r="AF33" s="479"/>
      <c r="AI33" s="479"/>
      <c r="AJ33" s="479"/>
      <c r="AK33" s="485"/>
      <c r="AL33" s="479"/>
    </row>
    <row r="34" spans="1:43" ht="15.75" customHeight="1">
      <c r="A34" s="453">
        <v>12</v>
      </c>
      <c r="C34" s="494" t="s">
        <v>434</v>
      </c>
      <c r="F34" s="474"/>
      <c r="G34" s="468"/>
      <c r="H34" s="474"/>
      <c r="I34" s="474"/>
      <c r="J34" s="489">
        <v>3.503E-3</v>
      </c>
      <c r="K34" s="488"/>
      <c r="L34" s="474">
        <v>-10</v>
      </c>
      <c r="M34" s="474"/>
      <c r="N34" s="496">
        <v>-0.5</v>
      </c>
      <c r="O34" s="475"/>
      <c r="P34" s="477"/>
      <c r="Q34" s="474"/>
      <c r="R34" s="474">
        <v>-10</v>
      </c>
      <c r="S34" s="470"/>
      <c r="V34" s="479"/>
      <c r="Y34" s="479"/>
      <c r="Z34" s="484"/>
      <c r="AA34" s="479"/>
      <c r="AB34" s="479"/>
      <c r="AC34" s="479"/>
      <c r="AD34" s="479"/>
      <c r="AE34" s="479"/>
      <c r="AF34" s="479"/>
      <c r="AI34" s="479"/>
      <c r="AJ34" s="479"/>
      <c r="AK34" s="485"/>
      <c r="AL34" s="479"/>
    </row>
    <row r="35" spans="1:43" ht="15.75" customHeight="1">
      <c r="A35" s="453">
        <v>13</v>
      </c>
      <c r="C35" s="494" t="s">
        <v>531</v>
      </c>
      <c r="F35" s="474"/>
      <c r="G35" s="468"/>
      <c r="H35" s="474"/>
      <c r="I35" s="474"/>
      <c r="J35" s="543">
        <v>5.4606095773317587E-3</v>
      </c>
      <c r="K35" s="488"/>
      <c r="L35" s="474">
        <v>11</v>
      </c>
      <c r="M35" s="474"/>
      <c r="N35" s="496">
        <v>0.6</v>
      </c>
      <c r="O35" s="475"/>
      <c r="P35" s="477"/>
      <c r="Q35" s="474"/>
      <c r="R35" s="474">
        <v>11</v>
      </c>
      <c r="S35" s="470"/>
      <c r="V35" s="479"/>
      <c r="Y35" s="479"/>
      <c r="Z35" s="484"/>
      <c r="AA35" s="479"/>
      <c r="AB35" s="479"/>
      <c r="AC35" s="479"/>
      <c r="AD35" s="479"/>
      <c r="AE35" s="479"/>
      <c r="AF35" s="479"/>
      <c r="AI35" s="479"/>
      <c r="AJ35" s="479"/>
      <c r="AK35" s="485"/>
      <c r="AL35" s="479"/>
    </row>
    <row r="36" spans="1:43" ht="15.75" customHeight="1">
      <c r="A36" s="453">
        <v>14</v>
      </c>
      <c r="C36" s="494" t="s">
        <v>432</v>
      </c>
      <c r="F36" s="474"/>
      <c r="G36" s="468"/>
      <c r="H36" s="474"/>
      <c r="I36" s="474"/>
      <c r="J36" s="489">
        <v>2.4750000000000002E-3</v>
      </c>
      <c r="K36" s="488"/>
      <c r="L36" s="474">
        <v>-7</v>
      </c>
      <c r="M36" s="474"/>
      <c r="N36" s="498">
        <v>-0.4</v>
      </c>
      <c r="O36" s="475"/>
      <c r="P36" s="477"/>
      <c r="Q36" s="474"/>
      <c r="R36" s="492">
        <v>-7</v>
      </c>
      <c r="S36" s="470"/>
      <c r="V36" s="479"/>
      <c r="Y36" s="479"/>
      <c r="Z36" s="484"/>
      <c r="AA36" s="479"/>
      <c r="AB36" s="479"/>
      <c r="AC36" s="479"/>
      <c r="AD36" s="479"/>
      <c r="AE36" s="479"/>
      <c r="AF36" s="479"/>
      <c r="AI36" s="479"/>
      <c r="AJ36" s="479"/>
      <c r="AK36" s="485"/>
      <c r="AL36" s="479"/>
    </row>
    <row r="37" spans="1:43" ht="20.100000000000001" customHeight="1">
      <c r="A37" s="453">
        <v>15</v>
      </c>
      <c r="C37" s="458" t="s">
        <v>435</v>
      </c>
      <c r="F37" s="492"/>
      <c r="G37" s="468"/>
      <c r="H37" s="492"/>
      <c r="I37" s="474"/>
      <c r="J37" s="488"/>
      <c r="K37" s="488"/>
      <c r="L37" s="480">
        <v>-6</v>
      </c>
      <c r="M37" s="474"/>
      <c r="N37" s="499">
        <v>-0.19999999999999998</v>
      </c>
      <c r="O37" s="475"/>
      <c r="P37" s="480">
        <v>0</v>
      </c>
      <c r="Q37" s="474"/>
      <c r="R37" s="480">
        <v>-6</v>
      </c>
      <c r="S37" s="470"/>
      <c r="V37" s="479"/>
      <c r="Y37" s="479"/>
      <c r="Z37" s="484"/>
      <c r="AA37" s="479"/>
      <c r="AB37" s="479"/>
      <c r="AC37" s="479"/>
      <c r="AD37" s="479"/>
      <c r="AE37" s="479"/>
      <c r="AF37" s="479"/>
      <c r="AI37" s="479"/>
      <c r="AJ37" s="479"/>
      <c r="AK37" s="485"/>
      <c r="AL37" s="479"/>
    </row>
    <row r="38" spans="1:43" ht="15.75" customHeight="1">
      <c r="C38" s="458"/>
      <c r="F38" s="474"/>
      <c r="G38" s="468"/>
      <c r="H38" s="474"/>
      <c r="I38" s="474"/>
      <c r="J38" s="488"/>
      <c r="K38" s="488"/>
      <c r="L38" s="474"/>
      <c r="M38" s="474"/>
      <c r="N38" s="475"/>
      <c r="O38" s="475"/>
      <c r="P38" s="477"/>
      <c r="Q38" s="474"/>
      <c r="R38" s="474"/>
      <c r="S38" s="470"/>
      <c r="V38" s="479"/>
      <c r="Y38" s="479"/>
      <c r="Z38" s="484"/>
      <c r="AA38" s="479"/>
      <c r="AB38" s="479"/>
      <c r="AC38" s="479"/>
      <c r="AD38" s="479"/>
      <c r="AE38" s="479"/>
      <c r="AF38" s="479"/>
      <c r="AI38" s="479"/>
      <c r="AJ38" s="479"/>
      <c r="AK38" s="485"/>
      <c r="AL38" s="479"/>
    </row>
    <row r="39" spans="1:43" ht="20.100000000000001" customHeight="1" thickBot="1">
      <c r="A39" s="453">
        <v>16</v>
      </c>
      <c r="C39" s="487" t="s">
        <v>459</v>
      </c>
      <c r="F39" s="500">
        <v>12</v>
      </c>
      <c r="G39" s="468"/>
      <c r="H39" s="500">
        <v>-2961</v>
      </c>
      <c r="I39" s="474"/>
      <c r="J39" s="488"/>
      <c r="K39" s="488"/>
      <c r="L39" s="500">
        <v>1978</v>
      </c>
      <c r="M39" s="474"/>
      <c r="N39" s="501">
        <v>100</v>
      </c>
      <c r="O39" s="475"/>
      <c r="P39" s="500">
        <v>0</v>
      </c>
      <c r="Q39" s="474"/>
      <c r="R39" s="500">
        <v>1978</v>
      </c>
      <c r="S39" s="470"/>
      <c r="AA39" s="470"/>
      <c r="AB39" s="470"/>
      <c r="AC39" s="470"/>
      <c r="AD39" s="470"/>
      <c r="AI39" s="470"/>
      <c r="AJ39" s="470"/>
      <c r="AL39" s="470"/>
    </row>
    <row r="40" spans="1:43" ht="18.75" customHeight="1" thickTop="1">
      <c r="F40" s="474"/>
      <c r="G40" s="468"/>
      <c r="H40" s="474"/>
      <c r="I40" s="474"/>
      <c r="J40" s="488"/>
      <c r="K40" s="488"/>
      <c r="L40" s="474"/>
      <c r="M40" s="474"/>
      <c r="N40" s="474"/>
      <c r="O40" s="474"/>
      <c r="P40" s="474"/>
      <c r="Q40" s="474"/>
      <c r="R40" s="474"/>
    </row>
    <row r="41" spans="1:43">
      <c r="C41" s="502" t="s">
        <v>59</v>
      </c>
      <c r="F41" s="470"/>
      <c r="H41" s="470"/>
      <c r="I41" s="470"/>
      <c r="J41" s="503"/>
      <c r="K41" s="503"/>
      <c r="L41" s="470"/>
      <c r="M41" s="470"/>
      <c r="N41" s="470"/>
      <c r="O41" s="470"/>
      <c r="P41" s="470"/>
      <c r="Q41" s="470"/>
      <c r="R41" s="470"/>
      <c r="Y41" s="455"/>
    </row>
    <row r="42" spans="1:43">
      <c r="A42" s="455"/>
      <c r="C42" s="455"/>
      <c r="F42" s="470"/>
      <c r="H42" s="470"/>
      <c r="I42" s="470"/>
      <c r="J42" s="503"/>
      <c r="K42" s="503"/>
      <c r="L42" s="470"/>
      <c r="M42" s="470"/>
      <c r="N42" s="470"/>
      <c r="O42" s="470"/>
      <c r="P42" s="470"/>
      <c r="Q42" s="470"/>
      <c r="R42" s="470"/>
    </row>
    <row r="43" spans="1:43">
      <c r="H43" s="470"/>
      <c r="L43" s="455"/>
      <c r="M43" s="455"/>
      <c r="AA43" s="455"/>
      <c r="AB43" s="455"/>
    </row>
    <row r="44" spans="1:43">
      <c r="R44" s="455"/>
      <c r="AK44" s="456"/>
      <c r="AL44" s="455"/>
    </row>
    <row r="45" spans="1:43">
      <c r="R45" s="455"/>
      <c r="T45" s="452" t="s">
        <v>479</v>
      </c>
      <c r="U45" s="452"/>
      <c r="V45" s="452"/>
      <c r="W45" s="452"/>
      <c r="X45" s="452"/>
      <c r="Y45" s="452"/>
      <c r="Z45" s="452"/>
      <c r="AA45" s="452"/>
      <c r="AB45" s="452"/>
      <c r="AC45" s="452"/>
      <c r="AD45" s="452"/>
      <c r="AE45" s="452"/>
      <c r="AF45" s="452"/>
      <c r="AG45" s="505"/>
      <c r="AH45" s="452"/>
      <c r="AI45" s="452"/>
      <c r="AJ45" s="452"/>
      <c r="AK45" s="505"/>
      <c r="AL45" s="452"/>
      <c r="AM45" s="452"/>
      <c r="AN45" s="452"/>
      <c r="AO45" s="452"/>
      <c r="AP45" s="452"/>
      <c r="AQ45" s="505"/>
    </row>
    <row r="46" spans="1:43">
      <c r="R46" s="455"/>
      <c r="T46" s="452" t="s">
        <v>1132</v>
      </c>
      <c r="U46" s="452"/>
      <c r="V46" s="452"/>
      <c r="W46" s="452"/>
      <c r="X46" s="452"/>
      <c r="Y46" s="452"/>
      <c r="Z46" s="452"/>
      <c r="AA46" s="452"/>
      <c r="AB46" s="452"/>
      <c r="AC46" s="452"/>
      <c r="AD46" s="452"/>
      <c r="AE46" s="452"/>
      <c r="AF46" s="452"/>
      <c r="AG46" s="505"/>
      <c r="AH46" s="452"/>
      <c r="AI46" s="452"/>
      <c r="AJ46" s="452"/>
      <c r="AK46" s="505"/>
      <c r="AL46" s="452"/>
      <c r="AM46" s="452"/>
      <c r="AN46" s="452"/>
      <c r="AO46" s="452"/>
      <c r="AP46" s="452"/>
      <c r="AQ46" s="505"/>
    </row>
    <row r="47" spans="1:43">
      <c r="A47" s="455"/>
      <c r="R47" s="455"/>
      <c r="T47" s="452" t="s">
        <v>540</v>
      </c>
      <c r="U47" s="452"/>
      <c r="V47" s="452"/>
      <c r="W47" s="452"/>
      <c r="X47" s="452"/>
      <c r="Y47" s="452"/>
      <c r="Z47" s="452"/>
      <c r="AA47" s="452"/>
      <c r="AB47" s="452"/>
      <c r="AC47" s="452"/>
      <c r="AD47" s="452"/>
      <c r="AE47" s="452"/>
      <c r="AF47" s="452"/>
      <c r="AG47" s="505"/>
      <c r="AH47" s="452"/>
      <c r="AI47" s="452"/>
      <c r="AJ47" s="452"/>
      <c r="AK47" s="505"/>
      <c r="AL47" s="452"/>
      <c r="AM47" s="452"/>
      <c r="AN47" s="452"/>
      <c r="AO47" s="452"/>
      <c r="AP47" s="452"/>
      <c r="AQ47" s="505"/>
    </row>
    <row r="48" spans="1:43">
      <c r="L48" s="455"/>
      <c r="M48" s="455"/>
      <c r="T48" s="452" t="s">
        <v>1041</v>
      </c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505"/>
      <c r="AH48" s="452"/>
      <c r="AI48" s="452"/>
      <c r="AJ48" s="452"/>
      <c r="AK48" s="505"/>
      <c r="AL48" s="452"/>
      <c r="AM48" s="452"/>
      <c r="AN48" s="452"/>
      <c r="AO48" s="452"/>
      <c r="AP48" s="452"/>
      <c r="AQ48" s="505"/>
    </row>
    <row r="49" spans="1:43">
      <c r="A49" s="460"/>
      <c r="B49" s="460"/>
      <c r="C49" s="460"/>
      <c r="D49" s="460"/>
      <c r="E49" s="460"/>
      <c r="F49" s="460"/>
      <c r="G49" s="460"/>
      <c r="H49" s="460"/>
      <c r="I49" s="460"/>
      <c r="J49" s="460"/>
      <c r="K49" s="460"/>
      <c r="L49" s="460"/>
      <c r="M49" s="460"/>
      <c r="N49" s="460"/>
      <c r="O49" s="460"/>
      <c r="P49" s="460"/>
      <c r="Q49" s="460"/>
      <c r="R49" s="460"/>
      <c r="T49" s="452" t="s">
        <v>2</v>
      </c>
      <c r="U49" s="452"/>
      <c r="V49" s="452"/>
      <c r="W49" s="452"/>
      <c r="X49" s="452"/>
      <c r="Y49" s="452"/>
      <c r="Z49" s="452"/>
      <c r="AA49" s="452"/>
      <c r="AB49" s="452"/>
      <c r="AC49" s="452"/>
      <c r="AD49" s="452"/>
      <c r="AE49" s="452"/>
      <c r="AF49" s="452"/>
      <c r="AG49" s="505"/>
      <c r="AH49" s="452"/>
      <c r="AI49" s="452"/>
      <c r="AJ49" s="452"/>
      <c r="AK49" s="505"/>
      <c r="AL49" s="452"/>
      <c r="AM49" s="452"/>
      <c r="AN49" s="452"/>
      <c r="AO49" s="452"/>
      <c r="AP49" s="452"/>
      <c r="AQ49" s="505"/>
    </row>
    <row r="50" spans="1:43">
      <c r="L50" s="462"/>
      <c r="M50" s="462"/>
      <c r="N50" s="462"/>
      <c r="O50" s="462"/>
      <c r="R50" s="462"/>
      <c r="T50" s="453" t="s">
        <v>539</v>
      </c>
      <c r="AO50" s="455" t="s">
        <v>157</v>
      </c>
      <c r="AP50" s="455"/>
    </row>
    <row r="51" spans="1:43">
      <c r="L51" s="462"/>
      <c r="M51" s="462"/>
      <c r="N51" s="462"/>
      <c r="O51" s="462"/>
      <c r="R51" s="462"/>
      <c r="T51" s="453" t="s">
        <v>333</v>
      </c>
      <c r="AO51" s="457" t="s">
        <v>1140</v>
      </c>
      <c r="AP51" s="455"/>
    </row>
    <row r="52" spans="1:43">
      <c r="A52" s="462"/>
      <c r="C52" s="462"/>
      <c r="D52" s="462"/>
      <c r="E52" s="462"/>
      <c r="F52" s="462"/>
      <c r="J52" s="462"/>
      <c r="K52" s="462"/>
      <c r="L52" s="462"/>
      <c r="M52" s="462"/>
      <c r="N52" s="462"/>
      <c r="O52" s="462"/>
      <c r="P52" s="462"/>
      <c r="Q52" s="462"/>
      <c r="R52" s="462"/>
      <c r="T52" s="455" t="s">
        <v>170</v>
      </c>
      <c r="AO52" s="455" t="s">
        <v>3</v>
      </c>
      <c r="AP52" s="455"/>
    </row>
    <row r="53" spans="1:43">
      <c r="A53" s="462"/>
      <c r="C53" s="462"/>
      <c r="D53" s="462"/>
      <c r="E53" s="462"/>
      <c r="F53" s="462"/>
      <c r="J53" s="462"/>
      <c r="K53" s="462"/>
      <c r="L53" s="462"/>
      <c r="M53" s="462"/>
      <c r="N53" s="462"/>
      <c r="O53" s="462"/>
      <c r="P53" s="462"/>
      <c r="Q53" s="462"/>
      <c r="R53" s="462"/>
      <c r="T53" s="458" t="s">
        <v>1135</v>
      </c>
      <c r="AO53" s="453" t="s">
        <v>970</v>
      </c>
    </row>
    <row r="54" spans="1:43">
      <c r="A54" s="462"/>
      <c r="C54" s="462"/>
      <c r="D54" s="462"/>
      <c r="E54" s="462"/>
      <c r="F54" s="462"/>
      <c r="J54" s="462"/>
      <c r="K54" s="462"/>
      <c r="L54" s="462"/>
      <c r="M54" s="462"/>
      <c r="N54" s="462"/>
      <c r="O54" s="462"/>
      <c r="P54" s="462"/>
      <c r="Q54" s="462"/>
      <c r="R54" s="462"/>
      <c r="T54" s="458" t="s">
        <v>173</v>
      </c>
    </row>
    <row r="55" spans="1:43">
      <c r="A55" s="462"/>
      <c r="C55" s="462"/>
      <c r="D55" s="462"/>
      <c r="E55" s="462"/>
      <c r="F55" s="462"/>
      <c r="H55" s="462"/>
      <c r="I55" s="462"/>
      <c r="J55" s="462"/>
      <c r="K55" s="462"/>
      <c r="L55" s="462"/>
      <c r="M55" s="462"/>
      <c r="N55" s="462"/>
      <c r="O55" s="462"/>
      <c r="P55" s="462"/>
      <c r="Q55" s="462"/>
      <c r="R55" s="462"/>
      <c r="T55" s="452" t="s">
        <v>130</v>
      </c>
      <c r="U55" s="452"/>
      <c r="V55" s="452"/>
      <c r="W55" s="452"/>
      <c r="X55" s="452"/>
      <c r="Y55" s="452"/>
      <c r="Z55" s="452"/>
      <c r="AA55" s="452"/>
      <c r="AB55" s="452"/>
      <c r="AC55" s="452"/>
      <c r="AD55" s="452"/>
      <c r="AE55" s="452"/>
      <c r="AF55" s="452"/>
      <c r="AG55" s="505"/>
      <c r="AH55" s="452"/>
      <c r="AI55" s="452"/>
      <c r="AJ55" s="452"/>
      <c r="AK55" s="505"/>
      <c r="AL55" s="452"/>
      <c r="AM55" s="452"/>
      <c r="AN55" s="452"/>
      <c r="AO55" s="452"/>
      <c r="AP55" s="452"/>
      <c r="AQ55" s="505"/>
    </row>
    <row r="56" spans="1:43">
      <c r="C56" s="462"/>
      <c r="D56" s="462"/>
      <c r="E56" s="462"/>
      <c r="F56" s="462"/>
      <c r="H56" s="462"/>
      <c r="I56" s="462"/>
      <c r="J56" s="462"/>
      <c r="K56" s="462"/>
      <c r="L56" s="462"/>
      <c r="M56" s="462"/>
      <c r="N56" s="462"/>
      <c r="O56" s="462"/>
      <c r="P56" s="462"/>
      <c r="Q56" s="462"/>
      <c r="R56" s="462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507"/>
      <c r="AH56" s="459"/>
      <c r="AI56" s="459"/>
      <c r="AJ56" s="459"/>
      <c r="AK56" s="507"/>
      <c r="AL56" s="459"/>
      <c r="AM56" s="459"/>
      <c r="AN56" s="459"/>
      <c r="AO56" s="459"/>
      <c r="AP56" s="459"/>
      <c r="AQ56" s="507"/>
    </row>
    <row r="57" spans="1:43" ht="18" customHeight="1">
      <c r="A57" s="460"/>
      <c r="B57" s="460"/>
      <c r="C57" s="460"/>
      <c r="D57" s="460"/>
      <c r="E57" s="460"/>
      <c r="F57" s="460"/>
      <c r="G57" s="460"/>
      <c r="H57" s="460"/>
      <c r="I57" s="460"/>
      <c r="J57" s="460"/>
      <c r="K57" s="460"/>
      <c r="L57" s="460"/>
      <c r="M57" s="460"/>
      <c r="N57" s="460"/>
      <c r="O57" s="460"/>
      <c r="P57" s="460"/>
      <c r="Q57" s="460"/>
      <c r="R57" s="460"/>
      <c r="AE57" s="462" t="s">
        <v>8</v>
      </c>
      <c r="AF57" s="462"/>
      <c r="AG57" s="463" t="s">
        <v>7</v>
      </c>
      <c r="AH57" s="462"/>
      <c r="AI57" s="462" t="s">
        <v>9</v>
      </c>
      <c r="AJ57" s="462"/>
      <c r="AK57" s="463" t="s">
        <v>10</v>
      </c>
      <c r="AL57" s="462"/>
      <c r="AO57" s="462" t="s">
        <v>8</v>
      </c>
      <c r="AP57" s="462"/>
      <c r="AQ57" s="463" t="s">
        <v>11</v>
      </c>
    </row>
    <row r="58" spans="1:43">
      <c r="H58" s="462"/>
      <c r="I58" s="462"/>
      <c r="J58" s="462"/>
      <c r="K58" s="462"/>
      <c r="L58" s="462"/>
      <c r="M58" s="462"/>
      <c r="N58" s="462"/>
      <c r="O58" s="462"/>
      <c r="P58" s="462"/>
      <c r="Q58" s="462"/>
      <c r="R58" s="462"/>
      <c r="AC58" s="462" t="s">
        <v>14</v>
      </c>
      <c r="AD58" s="462"/>
      <c r="AE58" s="462" t="s">
        <v>12</v>
      </c>
      <c r="AF58" s="462"/>
      <c r="AG58" s="463" t="s">
        <v>13</v>
      </c>
      <c r="AH58" s="462"/>
      <c r="AI58" s="462" t="s">
        <v>15</v>
      </c>
      <c r="AJ58" s="462"/>
      <c r="AK58" s="463" t="s">
        <v>16</v>
      </c>
      <c r="AL58" s="462"/>
      <c r="AO58" s="462" t="s">
        <v>11</v>
      </c>
      <c r="AP58" s="462"/>
      <c r="AQ58" s="463" t="s">
        <v>9</v>
      </c>
    </row>
    <row r="59" spans="1:43">
      <c r="C59" s="455"/>
      <c r="D59" s="455"/>
      <c r="E59" s="455"/>
      <c r="T59" s="462" t="s">
        <v>17</v>
      </c>
      <c r="V59" s="462" t="s">
        <v>18</v>
      </c>
      <c r="W59" s="462" t="s">
        <v>19</v>
      </c>
      <c r="X59" s="462"/>
      <c r="Y59" s="462" t="s">
        <v>20</v>
      </c>
      <c r="AC59" s="462" t="s">
        <v>8</v>
      </c>
      <c r="AD59" s="462"/>
      <c r="AE59" s="462" t="s">
        <v>841</v>
      </c>
      <c r="AF59" s="462"/>
      <c r="AG59" s="463" t="s">
        <v>841</v>
      </c>
      <c r="AH59" s="462"/>
      <c r="AI59" s="544" t="s">
        <v>964</v>
      </c>
      <c r="AJ59" s="462"/>
      <c r="AK59" s="545" t="s">
        <v>964</v>
      </c>
      <c r="AL59" s="462"/>
      <c r="AM59" s="462" t="s">
        <v>841</v>
      </c>
      <c r="AN59" s="462"/>
      <c r="AO59" s="462" t="s">
        <v>9</v>
      </c>
      <c r="AP59" s="462"/>
      <c r="AQ59" s="463" t="s">
        <v>21</v>
      </c>
    </row>
    <row r="60" spans="1:43">
      <c r="D60" s="455"/>
      <c r="E60" s="455"/>
      <c r="T60" s="462" t="s">
        <v>22</v>
      </c>
      <c r="V60" s="462" t="s">
        <v>23</v>
      </c>
      <c r="W60" s="462" t="s">
        <v>24</v>
      </c>
      <c r="X60" s="462"/>
      <c r="Y60" s="462" t="s">
        <v>25</v>
      </c>
      <c r="AA60" s="462" t="s">
        <v>26</v>
      </c>
      <c r="AB60" s="462"/>
      <c r="AC60" s="462" t="s">
        <v>27</v>
      </c>
      <c r="AD60" s="462"/>
      <c r="AE60" s="462" t="s">
        <v>9</v>
      </c>
      <c r="AF60" s="462"/>
      <c r="AG60" s="463" t="s">
        <v>9</v>
      </c>
      <c r="AH60" s="462"/>
      <c r="AI60" s="464" t="s">
        <v>29</v>
      </c>
      <c r="AJ60" s="464"/>
      <c r="AK60" s="508" t="s">
        <v>30</v>
      </c>
      <c r="AL60" s="462"/>
      <c r="AM60" s="462" t="s">
        <v>365</v>
      </c>
      <c r="AN60" s="462"/>
      <c r="AO60" s="464" t="s">
        <v>31</v>
      </c>
      <c r="AP60" s="462"/>
      <c r="AQ60" s="508" t="s">
        <v>32</v>
      </c>
    </row>
    <row r="61" spans="1:43">
      <c r="V61" s="464" t="s">
        <v>33</v>
      </c>
      <c r="W61" s="464" t="s">
        <v>34</v>
      </c>
      <c r="X61" s="464"/>
      <c r="Y61" s="464" t="s">
        <v>35</v>
      </c>
      <c r="Z61" s="465"/>
      <c r="AA61" s="464" t="s">
        <v>36</v>
      </c>
      <c r="AB61" s="464"/>
      <c r="AC61" s="464" t="s">
        <v>42</v>
      </c>
      <c r="AD61" s="464"/>
      <c r="AE61" s="464" t="s">
        <v>43</v>
      </c>
      <c r="AF61" s="464"/>
      <c r="AG61" s="508" t="s">
        <v>44</v>
      </c>
      <c r="AH61" s="464"/>
      <c r="AI61" s="464" t="s">
        <v>45</v>
      </c>
      <c r="AJ61" s="464"/>
      <c r="AK61" s="508" t="s">
        <v>46</v>
      </c>
      <c r="AL61" s="464"/>
      <c r="AM61" s="464" t="s">
        <v>40</v>
      </c>
      <c r="AN61" s="462"/>
      <c r="AO61" s="464" t="s">
        <v>47</v>
      </c>
      <c r="AP61" s="462"/>
      <c r="AQ61" s="508" t="s">
        <v>48</v>
      </c>
    </row>
    <row r="62" spans="1:43">
      <c r="C62" s="455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507"/>
      <c r="AH62" s="459"/>
      <c r="AI62" s="459"/>
      <c r="AJ62" s="459"/>
      <c r="AK62" s="507"/>
      <c r="AL62" s="459"/>
      <c r="AM62" s="459"/>
      <c r="AN62" s="459"/>
      <c r="AO62" s="459"/>
      <c r="AP62" s="459"/>
      <c r="AQ62" s="507"/>
    </row>
    <row r="63" spans="1:43" ht="17.100000000000001" customHeight="1">
      <c r="C63" s="455"/>
      <c r="F63" s="476"/>
      <c r="H63" s="476"/>
      <c r="I63" s="476"/>
      <c r="J63" s="471"/>
      <c r="K63" s="471"/>
      <c r="L63" s="470"/>
      <c r="M63" s="470"/>
      <c r="N63" s="472"/>
      <c r="O63" s="472"/>
      <c r="R63" s="470"/>
      <c r="AA63" s="466" t="s">
        <v>49</v>
      </c>
      <c r="AB63" s="467"/>
      <c r="AC63" s="466" t="s">
        <v>312</v>
      </c>
      <c r="AD63" s="467"/>
      <c r="AE63" s="467" t="s">
        <v>50</v>
      </c>
      <c r="AF63" s="467"/>
      <c r="AG63" s="509" t="s">
        <v>51</v>
      </c>
      <c r="AH63" s="467"/>
      <c r="AI63" s="467" t="s">
        <v>50</v>
      </c>
      <c r="AJ63" s="467"/>
      <c r="AK63" s="509" t="s">
        <v>51</v>
      </c>
      <c r="AL63" s="467"/>
      <c r="AM63" s="467" t="s">
        <v>50</v>
      </c>
      <c r="AN63" s="467"/>
      <c r="AO63" s="467" t="s">
        <v>50</v>
      </c>
      <c r="AP63" s="467"/>
      <c r="AQ63" s="509" t="s">
        <v>51</v>
      </c>
    </row>
    <row r="64" spans="1:43">
      <c r="C64" s="455"/>
      <c r="F64" s="476"/>
      <c r="H64" s="476"/>
      <c r="I64" s="476"/>
      <c r="J64" s="471"/>
      <c r="K64" s="471"/>
      <c r="L64" s="470"/>
      <c r="M64" s="470"/>
      <c r="N64" s="472"/>
      <c r="O64" s="472"/>
      <c r="R64" s="470"/>
      <c r="T64" s="453">
        <v>1</v>
      </c>
      <c r="V64" s="458" t="s">
        <v>308</v>
      </c>
      <c r="W64" s="458" t="s">
        <v>131</v>
      </c>
      <c r="X64" s="455"/>
      <c r="Y64" s="468"/>
      <c r="Z64" s="468"/>
      <c r="AA64" s="468"/>
      <c r="AB64" s="468"/>
      <c r="AC64" s="468"/>
      <c r="AD64" s="468"/>
      <c r="AE64" s="468"/>
      <c r="AF64" s="468"/>
      <c r="AG64" s="496"/>
      <c r="AH64" s="468"/>
      <c r="AI64" s="468"/>
      <c r="AJ64" s="468"/>
      <c r="AK64" s="496"/>
      <c r="AL64" s="468"/>
      <c r="AM64" s="468"/>
      <c r="AN64" s="468"/>
      <c r="AO64" s="468"/>
      <c r="AP64" s="468"/>
      <c r="AQ64" s="496"/>
    </row>
    <row r="65" spans="3:43">
      <c r="F65" s="479"/>
      <c r="H65" s="470"/>
      <c r="I65" s="470"/>
      <c r="J65" s="484"/>
      <c r="K65" s="484"/>
      <c r="L65" s="479"/>
      <c r="M65" s="479"/>
      <c r="N65" s="479"/>
      <c r="O65" s="479"/>
      <c r="P65" s="479"/>
      <c r="Q65" s="479"/>
      <c r="R65" s="479"/>
      <c r="T65" s="453">
        <v>2</v>
      </c>
      <c r="V65" s="465"/>
      <c r="W65" s="458" t="s">
        <v>132</v>
      </c>
      <c r="X65" s="455"/>
      <c r="Y65" s="468"/>
      <c r="Z65" s="468"/>
      <c r="AA65" s="468"/>
      <c r="AB65" s="468"/>
      <c r="AC65" s="468"/>
      <c r="AD65" s="468"/>
      <c r="AE65" s="468"/>
      <c r="AF65" s="468"/>
      <c r="AG65" s="496"/>
      <c r="AH65" s="468"/>
      <c r="AI65" s="468"/>
      <c r="AJ65" s="468"/>
      <c r="AK65" s="496"/>
      <c r="AL65" s="468"/>
      <c r="AM65" s="468"/>
      <c r="AN65" s="468"/>
      <c r="AO65" s="468"/>
      <c r="AP65" s="468"/>
      <c r="AQ65" s="496"/>
    </row>
    <row r="66" spans="3:43" ht="24.75" customHeight="1">
      <c r="C66" s="455"/>
      <c r="F66" s="470"/>
      <c r="H66" s="470"/>
      <c r="I66" s="470"/>
      <c r="J66" s="484"/>
      <c r="K66" s="484"/>
      <c r="L66" s="470"/>
      <c r="M66" s="470"/>
      <c r="N66" s="472"/>
      <c r="O66" s="472"/>
      <c r="P66" s="470"/>
      <c r="Q66" s="470"/>
      <c r="R66" s="470"/>
      <c r="Y66" s="468"/>
      <c r="Z66" s="468"/>
      <c r="AA66" s="468"/>
      <c r="AB66" s="468"/>
      <c r="AC66" s="468"/>
      <c r="AD66" s="468"/>
      <c r="AE66" s="468"/>
      <c r="AF66" s="468"/>
      <c r="AG66" s="496"/>
      <c r="AH66" s="468"/>
      <c r="AI66" s="468"/>
      <c r="AJ66" s="468"/>
      <c r="AK66" s="496"/>
      <c r="AL66" s="468"/>
      <c r="AM66" s="468"/>
      <c r="AN66" s="468"/>
      <c r="AO66" s="468"/>
      <c r="AP66" s="468"/>
      <c r="AQ66" s="496"/>
    </row>
    <row r="67" spans="3:43">
      <c r="F67" s="479"/>
      <c r="H67" s="470"/>
      <c r="I67" s="470"/>
      <c r="J67" s="484"/>
      <c r="K67" s="484"/>
      <c r="L67" s="479"/>
      <c r="M67" s="479"/>
      <c r="N67" s="479"/>
      <c r="O67" s="479"/>
      <c r="P67" s="479"/>
      <c r="Q67" s="479"/>
      <c r="R67" s="479"/>
      <c r="T67" s="453">
        <v>3</v>
      </c>
      <c r="V67" s="458" t="s">
        <v>133</v>
      </c>
      <c r="Y67" s="468"/>
      <c r="Z67" s="468"/>
      <c r="AA67" s="468"/>
      <c r="AB67" s="468"/>
      <c r="AC67" s="468"/>
      <c r="AD67" s="468"/>
      <c r="AE67" s="468"/>
      <c r="AF67" s="468"/>
      <c r="AG67" s="496"/>
      <c r="AH67" s="468"/>
      <c r="AI67" s="468"/>
      <c r="AJ67" s="468"/>
      <c r="AK67" s="496"/>
      <c r="AL67" s="468"/>
      <c r="AM67" s="468"/>
      <c r="AN67" s="468"/>
      <c r="AO67" s="468"/>
      <c r="AP67" s="468"/>
      <c r="AQ67" s="496"/>
    </row>
    <row r="68" spans="3:43">
      <c r="C68" s="455"/>
      <c r="F68" s="470"/>
      <c r="H68" s="470"/>
      <c r="I68" s="470"/>
      <c r="J68" s="484"/>
      <c r="K68" s="484"/>
      <c r="L68" s="470"/>
      <c r="M68" s="470"/>
      <c r="N68" s="472"/>
      <c r="O68" s="472"/>
      <c r="P68" s="470"/>
      <c r="Q68" s="470"/>
      <c r="R68" s="470"/>
      <c r="T68" s="453">
        <v>4</v>
      </c>
      <c r="V68" s="455" t="s">
        <v>311</v>
      </c>
      <c r="Y68" s="474">
        <v>12</v>
      </c>
      <c r="Z68" s="468"/>
      <c r="AA68" s="477"/>
      <c r="AB68" s="477"/>
      <c r="AC68" s="471">
        <v>183</v>
      </c>
      <c r="AD68" s="478"/>
      <c r="AE68" s="474">
        <v>2196</v>
      </c>
      <c r="AF68" s="474"/>
      <c r="AG68" s="496">
        <v>108.7</v>
      </c>
      <c r="AH68" s="475"/>
      <c r="AI68" s="474">
        <v>0</v>
      </c>
      <c r="AJ68" s="474"/>
      <c r="AK68" s="498">
        <v>0</v>
      </c>
      <c r="AL68" s="511"/>
      <c r="AM68" s="474"/>
      <c r="AN68" s="468"/>
      <c r="AO68" s="474">
        <v>2196</v>
      </c>
      <c r="AP68" s="474"/>
      <c r="AQ68" s="512">
        <v>0</v>
      </c>
    </row>
    <row r="69" spans="3:43" ht="20.100000000000001" customHeight="1">
      <c r="C69" s="455"/>
      <c r="F69" s="476"/>
      <c r="H69" s="476"/>
      <c r="I69" s="476"/>
      <c r="J69" s="471"/>
      <c r="K69" s="471"/>
      <c r="L69" s="470"/>
      <c r="M69" s="470"/>
      <c r="N69" s="472"/>
      <c r="O69" s="472"/>
      <c r="P69" s="470"/>
      <c r="Q69" s="470"/>
      <c r="R69" s="470"/>
      <c r="T69" s="453">
        <v>5</v>
      </c>
      <c r="V69" s="458" t="s">
        <v>136</v>
      </c>
      <c r="Y69" s="474"/>
      <c r="Z69" s="468"/>
      <c r="AA69" s="474"/>
      <c r="AB69" s="474"/>
      <c r="AC69" s="488"/>
      <c r="AD69" s="488"/>
      <c r="AE69" s="480">
        <v>2196</v>
      </c>
      <c r="AF69" s="474"/>
      <c r="AG69" s="499">
        <v>108.7</v>
      </c>
      <c r="AH69" s="475"/>
      <c r="AI69" s="480">
        <v>0</v>
      </c>
      <c r="AJ69" s="474"/>
      <c r="AK69" s="499">
        <v>0</v>
      </c>
      <c r="AL69" s="511"/>
      <c r="AM69" s="480"/>
      <c r="AN69" s="474"/>
      <c r="AO69" s="480">
        <v>2196</v>
      </c>
      <c r="AP69" s="474"/>
      <c r="AQ69" s="512">
        <v>0</v>
      </c>
    </row>
    <row r="70" spans="3:43" ht="24.75" customHeight="1">
      <c r="C70" s="455"/>
      <c r="F70" s="476"/>
      <c r="H70" s="476"/>
      <c r="I70" s="476"/>
      <c r="J70" s="518"/>
      <c r="K70" s="518"/>
      <c r="L70" s="470"/>
      <c r="M70" s="470"/>
      <c r="N70" s="472"/>
      <c r="O70" s="472"/>
      <c r="P70" s="476"/>
      <c r="Q70" s="476"/>
      <c r="R70" s="470"/>
      <c r="V70" s="455"/>
      <c r="Y70" s="474"/>
      <c r="Z70" s="468"/>
      <c r="AA70" s="474"/>
      <c r="AB70" s="474"/>
      <c r="AC70" s="481"/>
      <c r="AD70" s="481"/>
      <c r="AE70" s="474"/>
      <c r="AF70" s="474"/>
      <c r="AG70" s="496"/>
      <c r="AH70" s="475"/>
      <c r="AI70" s="474"/>
      <c r="AJ70" s="474"/>
      <c r="AK70" s="496"/>
      <c r="AL70" s="511"/>
      <c r="AM70" s="474"/>
      <c r="AN70" s="474"/>
      <c r="AO70" s="474"/>
      <c r="AP70" s="474"/>
      <c r="AQ70" s="496"/>
    </row>
    <row r="71" spans="3:43">
      <c r="C71" s="455"/>
      <c r="H71" s="476"/>
      <c r="I71" s="476"/>
      <c r="J71" s="518"/>
      <c r="K71" s="518"/>
      <c r="L71" s="470"/>
      <c r="M71" s="470"/>
      <c r="N71" s="472"/>
      <c r="O71" s="472"/>
      <c r="P71" s="476"/>
      <c r="Q71" s="476"/>
      <c r="R71" s="470"/>
      <c r="T71" s="453">
        <v>6</v>
      </c>
      <c r="V71" s="458" t="s">
        <v>67</v>
      </c>
      <c r="Y71" s="474"/>
      <c r="Z71" s="468"/>
      <c r="AA71" s="474"/>
      <c r="AB71" s="474"/>
      <c r="AC71" s="488"/>
      <c r="AD71" s="488"/>
      <c r="AE71" s="474"/>
      <c r="AF71" s="474"/>
      <c r="AG71" s="496"/>
      <c r="AH71" s="475"/>
      <c r="AI71" s="474"/>
      <c r="AJ71" s="474"/>
      <c r="AK71" s="496"/>
      <c r="AL71" s="511"/>
      <c r="AM71" s="474"/>
      <c r="AN71" s="474"/>
      <c r="AO71" s="474"/>
      <c r="AP71" s="474"/>
      <c r="AQ71" s="496"/>
    </row>
    <row r="72" spans="3:43">
      <c r="F72" s="479"/>
      <c r="H72" s="479"/>
      <c r="I72" s="479"/>
      <c r="J72" s="484"/>
      <c r="K72" s="484"/>
      <c r="L72" s="479"/>
      <c r="M72" s="479"/>
      <c r="N72" s="479"/>
      <c r="O72" s="479"/>
      <c r="P72" s="479"/>
      <c r="Q72" s="479"/>
      <c r="R72" s="479"/>
      <c r="T72" s="453">
        <v>7</v>
      </c>
      <c r="V72" s="455" t="s">
        <v>381</v>
      </c>
      <c r="Y72" s="477"/>
      <c r="Z72" s="468"/>
      <c r="AA72" s="474">
        <v>-2961</v>
      </c>
      <c r="AB72" s="474"/>
      <c r="AC72" s="489">
        <v>2.0034E-2</v>
      </c>
      <c r="AD72" s="519"/>
      <c r="AE72" s="474">
        <v>-59</v>
      </c>
      <c r="AF72" s="474"/>
      <c r="AG72" s="496">
        <v>-2.9</v>
      </c>
      <c r="AH72" s="475"/>
      <c r="AI72" s="474">
        <v>-40</v>
      </c>
      <c r="AJ72" s="474"/>
      <c r="AK72" s="496">
        <v>67.8</v>
      </c>
      <c r="AL72" s="511"/>
      <c r="AM72" s="477"/>
      <c r="AN72" s="477"/>
      <c r="AO72" s="474">
        <v>-59</v>
      </c>
      <c r="AP72" s="474"/>
      <c r="AQ72" s="512">
        <v>67.8</v>
      </c>
    </row>
    <row r="73" spans="3:43">
      <c r="C73" s="455"/>
      <c r="F73" s="470"/>
      <c r="H73" s="470"/>
      <c r="I73" s="470"/>
      <c r="J73" s="503"/>
      <c r="K73" s="503"/>
      <c r="L73" s="470"/>
      <c r="M73" s="470"/>
      <c r="N73" s="472"/>
      <c r="O73" s="472"/>
      <c r="P73" s="470"/>
      <c r="Q73" s="470"/>
      <c r="R73" s="470"/>
      <c r="T73" s="453">
        <v>8</v>
      </c>
      <c r="V73" s="455" t="s">
        <v>370</v>
      </c>
      <c r="Y73" s="477"/>
      <c r="Z73" s="468"/>
      <c r="AA73" s="474">
        <v>-2961</v>
      </c>
      <c r="AB73" s="474"/>
      <c r="AC73" s="489">
        <v>3.8117999999999999E-2</v>
      </c>
      <c r="AD73" s="519"/>
      <c r="AE73" s="474">
        <v>-113</v>
      </c>
      <c r="AF73" s="474"/>
      <c r="AG73" s="496">
        <v>-5.6</v>
      </c>
      <c r="AH73" s="475"/>
      <c r="AI73" s="474">
        <v>0</v>
      </c>
      <c r="AJ73" s="474"/>
      <c r="AK73" s="496">
        <v>0</v>
      </c>
      <c r="AL73" s="511"/>
      <c r="AM73" s="470">
        <v>0</v>
      </c>
      <c r="AN73" s="477"/>
      <c r="AO73" s="474">
        <v>-113</v>
      </c>
      <c r="AP73" s="474"/>
      <c r="AQ73" s="512">
        <v>0</v>
      </c>
    </row>
    <row r="74" spans="3:43" ht="20.100000000000001" customHeight="1">
      <c r="F74" s="470"/>
      <c r="H74" s="470"/>
      <c r="I74" s="470"/>
      <c r="J74" s="503"/>
      <c r="K74" s="503"/>
      <c r="L74" s="470"/>
      <c r="M74" s="470"/>
      <c r="N74" s="470"/>
      <c r="O74" s="470"/>
      <c r="P74" s="470"/>
      <c r="Q74" s="470"/>
      <c r="R74" s="470"/>
      <c r="T74" s="453">
        <v>9</v>
      </c>
      <c r="V74" s="458" t="s">
        <v>142</v>
      </c>
      <c r="Y74" s="492"/>
      <c r="Z74" s="468"/>
      <c r="AA74" s="480">
        <v>-2961</v>
      </c>
      <c r="AB74" s="474"/>
      <c r="AC74" s="493"/>
      <c r="AD74" s="488"/>
      <c r="AE74" s="480">
        <v>-172</v>
      </c>
      <c r="AF74" s="474"/>
      <c r="AG74" s="499">
        <v>-8.5</v>
      </c>
      <c r="AH74" s="475"/>
      <c r="AI74" s="480">
        <v>-40</v>
      </c>
      <c r="AJ74" s="474"/>
      <c r="AK74" s="499">
        <v>23.3</v>
      </c>
      <c r="AL74" s="511"/>
      <c r="AM74" s="480">
        <v>0</v>
      </c>
      <c r="AN74" s="474"/>
      <c r="AO74" s="480">
        <v>-172</v>
      </c>
      <c r="AP74" s="474"/>
      <c r="AQ74" s="512">
        <v>23.3</v>
      </c>
    </row>
    <row r="75" spans="3:43" ht="20.100000000000001" customHeight="1">
      <c r="F75" s="470"/>
      <c r="H75" s="470"/>
      <c r="I75" s="470"/>
      <c r="J75" s="503"/>
      <c r="K75" s="503"/>
      <c r="L75" s="470"/>
      <c r="M75" s="470"/>
      <c r="N75" s="470"/>
      <c r="O75" s="470"/>
      <c r="P75" s="470"/>
      <c r="Q75" s="470"/>
      <c r="R75" s="470"/>
      <c r="T75" s="453">
        <v>10</v>
      </c>
      <c r="V75" s="487" t="s">
        <v>460</v>
      </c>
      <c r="Y75" s="480">
        <v>12</v>
      </c>
      <c r="Z75" s="468"/>
      <c r="AA75" s="480">
        <v>-2961</v>
      </c>
      <c r="AB75" s="474"/>
      <c r="AC75" s="493"/>
      <c r="AD75" s="488"/>
      <c r="AE75" s="480">
        <v>2024</v>
      </c>
      <c r="AF75" s="474"/>
      <c r="AG75" s="499">
        <v>100.1</v>
      </c>
      <c r="AH75" s="475"/>
      <c r="AI75" s="480">
        <v>-40</v>
      </c>
      <c r="AJ75" s="474"/>
      <c r="AK75" s="499">
        <v>-2</v>
      </c>
      <c r="AL75" s="511"/>
      <c r="AM75" s="480">
        <v>0</v>
      </c>
      <c r="AN75" s="474"/>
      <c r="AO75" s="480">
        <v>2024</v>
      </c>
      <c r="AP75" s="474"/>
      <c r="AQ75" s="512">
        <v>-2</v>
      </c>
    </row>
    <row r="76" spans="3:43" ht="15.75" customHeight="1">
      <c r="F76" s="470"/>
      <c r="H76" s="470"/>
      <c r="I76" s="470"/>
      <c r="J76" s="503"/>
      <c r="K76" s="503"/>
      <c r="L76" s="470"/>
      <c r="M76" s="470"/>
      <c r="N76" s="470"/>
      <c r="O76" s="470"/>
      <c r="P76" s="470"/>
      <c r="Q76" s="470"/>
      <c r="R76" s="470"/>
      <c r="V76" s="455"/>
      <c r="Y76" s="474"/>
      <c r="Z76" s="468"/>
      <c r="AA76" s="474"/>
      <c r="AB76" s="474"/>
      <c r="AC76" s="493"/>
      <c r="AD76" s="488"/>
      <c r="AE76" s="474"/>
      <c r="AF76" s="474"/>
      <c r="AG76" s="496"/>
      <c r="AH76" s="475"/>
      <c r="AI76" s="474"/>
      <c r="AJ76" s="474"/>
      <c r="AK76" s="496"/>
      <c r="AL76" s="511"/>
      <c r="AM76" s="474"/>
      <c r="AN76" s="474"/>
      <c r="AO76" s="474"/>
      <c r="AP76" s="474"/>
      <c r="AQ76" s="512"/>
    </row>
    <row r="77" spans="3:43" ht="15.75" customHeight="1">
      <c r="F77" s="470"/>
      <c r="H77" s="470"/>
      <c r="I77" s="470"/>
      <c r="J77" s="503"/>
      <c r="K77" s="503"/>
      <c r="L77" s="470"/>
      <c r="M77" s="470"/>
      <c r="N77" s="470"/>
      <c r="O77" s="470"/>
      <c r="P77" s="470"/>
      <c r="Q77" s="470"/>
      <c r="R77" s="470"/>
      <c r="T77" s="453">
        <v>11</v>
      </c>
      <c r="V77" s="458" t="s">
        <v>430</v>
      </c>
      <c r="Y77" s="474"/>
      <c r="Z77" s="468"/>
      <c r="AA77" s="474"/>
      <c r="AB77" s="474"/>
      <c r="AC77" s="493"/>
      <c r="AD77" s="488"/>
      <c r="AE77" s="474"/>
      <c r="AF77" s="474"/>
      <c r="AG77" s="496"/>
      <c r="AH77" s="475"/>
      <c r="AI77" s="474"/>
      <c r="AJ77" s="474"/>
      <c r="AK77" s="496"/>
      <c r="AL77" s="511"/>
      <c r="AM77" s="474"/>
      <c r="AN77" s="474"/>
      <c r="AO77" s="474"/>
      <c r="AP77" s="474"/>
      <c r="AQ77" s="512"/>
    </row>
    <row r="78" spans="3:43" ht="15.75" customHeight="1">
      <c r="F78" s="470"/>
      <c r="H78" s="470"/>
      <c r="I78" s="470"/>
      <c r="J78" s="503"/>
      <c r="K78" s="503"/>
      <c r="L78" s="470"/>
      <c r="M78" s="470"/>
      <c r="N78" s="470"/>
      <c r="O78" s="470"/>
      <c r="P78" s="470"/>
      <c r="Q78" s="470"/>
      <c r="R78" s="470"/>
      <c r="T78" s="453">
        <v>12</v>
      </c>
      <c r="V78" s="494" t="s">
        <v>434</v>
      </c>
      <c r="Y78" s="474"/>
      <c r="Z78" s="468"/>
      <c r="AA78" s="474"/>
      <c r="AB78" s="474"/>
      <c r="AC78" s="495">
        <v>3.503E-3</v>
      </c>
      <c r="AD78" s="481"/>
      <c r="AE78" s="474">
        <v>-10</v>
      </c>
      <c r="AF78" s="474"/>
      <c r="AG78" s="496">
        <v>-0.5</v>
      </c>
      <c r="AH78" s="475"/>
      <c r="AI78" s="474">
        <v>0</v>
      </c>
      <c r="AJ78" s="474"/>
      <c r="AK78" s="496">
        <v>0</v>
      </c>
      <c r="AL78" s="511"/>
      <c r="AM78" s="474"/>
      <c r="AN78" s="474"/>
      <c r="AO78" s="474">
        <v>-10</v>
      </c>
      <c r="AP78" s="474"/>
      <c r="AQ78" s="512">
        <v>0</v>
      </c>
    </row>
    <row r="79" spans="3:43" ht="15.75" customHeight="1">
      <c r="F79" s="470"/>
      <c r="H79" s="470"/>
      <c r="I79" s="470"/>
      <c r="J79" s="503"/>
      <c r="K79" s="503"/>
      <c r="L79" s="470"/>
      <c r="M79" s="470"/>
      <c r="N79" s="470"/>
      <c r="O79" s="470"/>
      <c r="P79" s="470"/>
      <c r="Q79" s="470"/>
      <c r="R79" s="470"/>
      <c r="T79" s="453">
        <v>13</v>
      </c>
      <c r="V79" s="494" t="s">
        <v>531</v>
      </c>
      <c r="Y79" s="474"/>
      <c r="Z79" s="468"/>
      <c r="AA79" s="474"/>
      <c r="AB79" s="474"/>
      <c r="AC79" s="523">
        <v>6.4941608437496566E-3</v>
      </c>
      <c r="AD79" s="481"/>
      <c r="AE79" s="474">
        <v>14</v>
      </c>
      <c r="AF79" s="474"/>
      <c r="AG79" s="496">
        <v>0.7</v>
      </c>
      <c r="AH79" s="475"/>
      <c r="AI79" s="474">
        <v>-3</v>
      </c>
      <c r="AJ79" s="474"/>
      <c r="AK79" s="496">
        <v>-21.4</v>
      </c>
      <c r="AL79" s="511"/>
      <c r="AM79" s="474"/>
      <c r="AN79" s="474"/>
      <c r="AO79" s="474">
        <v>14</v>
      </c>
      <c r="AP79" s="474"/>
      <c r="AQ79" s="512">
        <v>-21.4</v>
      </c>
    </row>
    <row r="80" spans="3:43" ht="15.75" customHeight="1">
      <c r="F80" s="470"/>
      <c r="H80" s="470"/>
      <c r="I80" s="470"/>
      <c r="J80" s="503"/>
      <c r="K80" s="503"/>
      <c r="L80" s="470"/>
      <c r="M80" s="470"/>
      <c r="N80" s="470"/>
      <c r="O80" s="470"/>
      <c r="P80" s="470"/>
      <c r="Q80" s="470"/>
      <c r="R80" s="470"/>
      <c r="T80" s="453">
        <v>14</v>
      </c>
      <c r="V80" s="494" t="s">
        <v>432</v>
      </c>
      <c r="Y80" s="474"/>
      <c r="Z80" s="468"/>
      <c r="AA80" s="474"/>
      <c r="AB80" s="474"/>
      <c r="AC80" s="495">
        <v>2.4750000000000002E-3</v>
      </c>
      <c r="AD80" s="481"/>
      <c r="AE80" s="492">
        <v>-7</v>
      </c>
      <c r="AF80" s="474"/>
      <c r="AG80" s="498">
        <v>-0.3</v>
      </c>
      <c r="AH80" s="475"/>
      <c r="AI80" s="474">
        <v>0</v>
      </c>
      <c r="AJ80" s="474"/>
      <c r="AK80" s="498">
        <v>0</v>
      </c>
      <c r="AL80" s="511"/>
      <c r="AM80" s="474"/>
      <c r="AN80" s="474"/>
      <c r="AO80" s="492">
        <v>-7</v>
      </c>
      <c r="AP80" s="474"/>
      <c r="AQ80" s="512">
        <v>0</v>
      </c>
    </row>
    <row r="81" spans="1:43" ht="20.100000000000001" customHeight="1">
      <c r="F81" s="470"/>
      <c r="H81" s="470"/>
      <c r="I81" s="470"/>
      <c r="J81" s="503"/>
      <c r="K81" s="503"/>
      <c r="L81" s="470"/>
      <c r="M81" s="470"/>
      <c r="N81" s="470"/>
      <c r="O81" s="470"/>
      <c r="P81" s="470"/>
      <c r="Q81" s="470"/>
      <c r="R81" s="470"/>
      <c r="T81" s="453">
        <v>15</v>
      </c>
      <c r="V81" s="458" t="s">
        <v>435</v>
      </c>
      <c r="Y81" s="492"/>
      <c r="Z81" s="468"/>
      <c r="AA81" s="492"/>
      <c r="AB81" s="474"/>
      <c r="AC81" s="488"/>
      <c r="AD81" s="488"/>
      <c r="AE81" s="480">
        <v>-3</v>
      </c>
      <c r="AF81" s="474"/>
      <c r="AG81" s="499">
        <v>-0.1</v>
      </c>
      <c r="AH81" s="475"/>
      <c r="AI81" s="480">
        <v>-3</v>
      </c>
      <c r="AJ81" s="474"/>
      <c r="AK81" s="499">
        <v>100</v>
      </c>
      <c r="AL81" s="511"/>
      <c r="AM81" s="480">
        <v>0</v>
      </c>
      <c r="AN81" s="474"/>
      <c r="AO81" s="480">
        <v>-3</v>
      </c>
      <c r="AP81" s="474"/>
      <c r="AQ81" s="512">
        <v>100</v>
      </c>
    </row>
    <row r="82" spans="1:43" ht="15.75" customHeight="1">
      <c r="F82" s="470"/>
      <c r="H82" s="470"/>
      <c r="I82" s="470"/>
      <c r="J82" s="503"/>
      <c r="K82" s="503"/>
      <c r="L82" s="470"/>
      <c r="M82" s="470"/>
      <c r="N82" s="470"/>
      <c r="O82" s="470"/>
      <c r="P82" s="470"/>
      <c r="Q82" s="470"/>
      <c r="R82" s="470"/>
      <c r="V82" s="458"/>
      <c r="Y82" s="474"/>
      <c r="Z82" s="468"/>
      <c r="AA82" s="474"/>
      <c r="AB82" s="474"/>
      <c r="AC82" s="488"/>
      <c r="AD82" s="488"/>
      <c r="AE82" s="474"/>
      <c r="AF82" s="474"/>
      <c r="AG82" s="496"/>
      <c r="AH82" s="475"/>
      <c r="AI82" s="474"/>
      <c r="AJ82" s="474"/>
      <c r="AK82" s="496"/>
      <c r="AL82" s="511"/>
      <c r="AM82" s="474"/>
      <c r="AN82" s="474"/>
      <c r="AO82" s="474"/>
      <c r="AP82" s="474"/>
      <c r="AQ82" s="512"/>
    </row>
    <row r="83" spans="1:43" ht="20.100000000000001" customHeight="1" thickBot="1">
      <c r="T83" s="453">
        <v>16</v>
      </c>
      <c r="V83" s="487" t="s">
        <v>459</v>
      </c>
      <c r="Y83" s="500">
        <v>12</v>
      </c>
      <c r="Z83" s="468"/>
      <c r="AA83" s="500">
        <v>-2961</v>
      </c>
      <c r="AB83" s="474"/>
      <c r="AC83" s="488"/>
      <c r="AD83" s="488"/>
      <c r="AE83" s="500">
        <v>2021</v>
      </c>
      <c r="AF83" s="474"/>
      <c r="AG83" s="524">
        <v>100</v>
      </c>
      <c r="AH83" s="475"/>
      <c r="AI83" s="500">
        <v>-43</v>
      </c>
      <c r="AJ83" s="474"/>
      <c r="AK83" s="524">
        <v>-2.1</v>
      </c>
      <c r="AL83" s="511"/>
      <c r="AM83" s="500">
        <v>0</v>
      </c>
      <c r="AN83" s="474"/>
      <c r="AO83" s="500">
        <v>2021</v>
      </c>
      <c r="AP83" s="474"/>
      <c r="AQ83" s="512">
        <v>-2.1</v>
      </c>
    </row>
    <row r="84" spans="1:43" ht="16.5" thickTop="1">
      <c r="Y84" s="474"/>
      <c r="Z84" s="468"/>
      <c r="AA84" s="474"/>
      <c r="AB84" s="474"/>
      <c r="AC84" s="488"/>
      <c r="AD84" s="488"/>
      <c r="AE84" s="474"/>
      <c r="AF84" s="474"/>
      <c r="AG84" s="496"/>
      <c r="AH84" s="474"/>
      <c r="AI84" s="468"/>
      <c r="AJ84" s="468"/>
      <c r="AK84" s="496"/>
      <c r="AL84" s="468"/>
      <c r="AM84" s="468"/>
      <c r="AN84" s="468"/>
      <c r="AO84" s="468"/>
      <c r="AP84" s="468"/>
      <c r="AQ84" s="496"/>
    </row>
    <row r="85" spans="1:43">
      <c r="L85" s="470"/>
      <c r="M85" s="470"/>
      <c r="N85" s="470"/>
      <c r="O85" s="470"/>
      <c r="P85" s="470"/>
      <c r="Q85" s="470"/>
      <c r="R85" s="470"/>
      <c r="V85" s="502" t="s">
        <v>59</v>
      </c>
      <c r="Y85" s="470"/>
      <c r="AA85" s="470"/>
      <c r="AB85" s="470"/>
      <c r="AC85" s="503"/>
      <c r="AD85" s="503"/>
      <c r="AE85" s="470"/>
      <c r="AF85" s="470"/>
      <c r="AH85" s="470"/>
    </row>
    <row r="86" spans="1:43">
      <c r="T86" s="455"/>
      <c r="V86" s="455"/>
      <c r="Y86" s="470"/>
      <c r="AA86" s="470"/>
      <c r="AB86" s="470"/>
      <c r="AC86" s="503"/>
      <c r="AD86" s="503"/>
      <c r="AE86" s="470"/>
      <c r="AF86" s="470"/>
      <c r="AH86" s="470"/>
    </row>
    <row r="88" spans="1:43">
      <c r="H88" s="455"/>
      <c r="I88" s="455"/>
      <c r="Y88" s="455"/>
    </row>
    <row r="90" spans="1:43">
      <c r="L90" s="455"/>
      <c r="M90" s="455"/>
      <c r="AA90" s="455"/>
      <c r="AB90" s="455"/>
    </row>
    <row r="91" spans="1:43">
      <c r="R91" s="455"/>
      <c r="AK91" s="456"/>
      <c r="AL91" s="455"/>
    </row>
    <row r="92" spans="1:43">
      <c r="R92" s="455"/>
      <c r="AK92" s="456"/>
      <c r="AL92" s="455"/>
    </row>
    <row r="93" spans="1:43">
      <c r="A93" s="455"/>
      <c r="R93" s="455"/>
      <c r="AK93" s="456"/>
      <c r="AL93" s="455"/>
    </row>
    <row r="94" spans="1:43">
      <c r="L94" s="455"/>
      <c r="M94" s="455"/>
      <c r="AA94" s="455"/>
      <c r="AB94" s="455"/>
    </row>
    <row r="95" spans="1:43">
      <c r="A95" s="460"/>
      <c r="B95" s="460"/>
      <c r="C95" s="460"/>
      <c r="D95" s="460"/>
      <c r="E95" s="460"/>
      <c r="F95" s="460"/>
      <c r="G95" s="460"/>
      <c r="H95" s="460"/>
      <c r="I95" s="460"/>
      <c r="J95" s="460"/>
      <c r="K95" s="460"/>
      <c r="L95" s="460"/>
      <c r="M95" s="460"/>
      <c r="N95" s="460"/>
      <c r="O95" s="460"/>
      <c r="P95" s="460"/>
      <c r="Q95" s="460"/>
      <c r="R95" s="460"/>
      <c r="T95" s="460"/>
      <c r="U95" s="460"/>
      <c r="V95" s="460"/>
      <c r="W95" s="460"/>
      <c r="X95" s="460"/>
      <c r="Y95" s="460"/>
      <c r="Z95" s="460"/>
      <c r="AA95" s="460"/>
      <c r="AB95" s="460"/>
      <c r="AC95" s="460"/>
      <c r="AD95" s="460"/>
      <c r="AE95" s="460"/>
      <c r="AF95" s="460"/>
      <c r="AG95" s="461"/>
      <c r="AH95" s="460"/>
      <c r="AI95" s="460"/>
      <c r="AJ95" s="460"/>
      <c r="AK95" s="461"/>
      <c r="AL95" s="460"/>
      <c r="AM95" s="460"/>
      <c r="AN95" s="460"/>
    </row>
    <row r="96" spans="1:43">
      <c r="L96" s="462"/>
      <c r="M96" s="462"/>
      <c r="N96" s="462"/>
      <c r="O96" s="462"/>
      <c r="R96" s="462"/>
      <c r="AA96" s="462"/>
      <c r="AB96" s="462"/>
      <c r="AC96" s="462"/>
      <c r="AD96" s="462"/>
      <c r="AE96" s="462"/>
      <c r="AF96" s="462"/>
      <c r="AG96" s="463"/>
      <c r="AH96" s="462"/>
      <c r="AK96" s="463"/>
      <c r="AL96" s="462"/>
      <c r="AM96" s="462"/>
      <c r="AN96" s="462"/>
    </row>
    <row r="97" spans="1:40">
      <c r="L97" s="462"/>
      <c r="M97" s="462"/>
      <c r="N97" s="462"/>
      <c r="O97" s="462"/>
      <c r="R97" s="462"/>
      <c r="Z97" s="462"/>
      <c r="AA97" s="462"/>
      <c r="AB97" s="462"/>
      <c r="AC97" s="462"/>
      <c r="AD97" s="462"/>
      <c r="AE97" s="462"/>
      <c r="AF97" s="462"/>
      <c r="AG97" s="463"/>
      <c r="AH97" s="462"/>
      <c r="AK97" s="463"/>
      <c r="AL97" s="462"/>
      <c r="AM97" s="462"/>
      <c r="AN97" s="462"/>
    </row>
    <row r="98" spans="1:40">
      <c r="A98" s="462"/>
      <c r="C98" s="462"/>
      <c r="D98" s="462"/>
      <c r="E98" s="462"/>
      <c r="F98" s="462"/>
      <c r="J98" s="462"/>
      <c r="K98" s="462"/>
      <c r="L98" s="462"/>
      <c r="M98" s="462"/>
      <c r="N98" s="462"/>
      <c r="O98" s="462"/>
      <c r="P98" s="462"/>
      <c r="Q98" s="462"/>
      <c r="R98" s="462"/>
      <c r="T98" s="462"/>
      <c r="U98" s="462"/>
      <c r="V98" s="462"/>
      <c r="Z98" s="462"/>
      <c r="AA98" s="462"/>
      <c r="AB98" s="462"/>
      <c r="AC98" s="462"/>
      <c r="AD98" s="462"/>
      <c r="AE98" s="462"/>
      <c r="AF98" s="462"/>
      <c r="AG98" s="463"/>
      <c r="AH98" s="462"/>
      <c r="AI98" s="462"/>
      <c r="AJ98" s="462"/>
      <c r="AK98" s="463"/>
      <c r="AL98" s="462"/>
      <c r="AM98" s="462"/>
      <c r="AN98" s="462"/>
    </row>
    <row r="99" spans="1:40">
      <c r="A99" s="462"/>
      <c r="C99" s="462"/>
      <c r="D99" s="462"/>
      <c r="E99" s="462"/>
      <c r="F99" s="462"/>
      <c r="H99" s="462"/>
      <c r="I99" s="462"/>
      <c r="J99" s="462"/>
      <c r="K99" s="462"/>
      <c r="L99" s="462"/>
      <c r="M99" s="462"/>
      <c r="N99" s="462"/>
      <c r="O99" s="462"/>
      <c r="P99" s="462"/>
      <c r="Q99" s="462"/>
      <c r="R99" s="462"/>
      <c r="T99" s="462"/>
      <c r="U99" s="462"/>
      <c r="V99" s="462"/>
      <c r="Y99" s="462"/>
      <c r="Z99" s="462"/>
      <c r="AA99" s="462"/>
      <c r="AB99" s="462"/>
      <c r="AC99" s="462"/>
      <c r="AD99" s="462"/>
      <c r="AE99" s="462"/>
      <c r="AF99" s="462"/>
      <c r="AG99" s="463"/>
      <c r="AH99" s="462"/>
      <c r="AI99" s="462"/>
      <c r="AJ99" s="462"/>
      <c r="AK99" s="463"/>
      <c r="AL99" s="462"/>
      <c r="AM99" s="462"/>
      <c r="AN99" s="462"/>
    </row>
    <row r="100" spans="1:40">
      <c r="C100" s="462"/>
      <c r="D100" s="462"/>
      <c r="E100" s="462"/>
      <c r="F100" s="462"/>
      <c r="H100" s="462"/>
      <c r="I100" s="462"/>
      <c r="J100" s="462"/>
      <c r="K100" s="462"/>
      <c r="L100" s="462"/>
      <c r="M100" s="462"/>
      <c r="N100" s="462"/>
      <c r="O100" s="462"/>
      <c r="P100" s="462"/>
      <c r="Q100" s="462"/>
      <c r="R100" s="462"/>
      <c r="T100" s="462"/>
      <c r="U100" s="462"/>
      <c r="V100" s="462"/>
      <c r="Y100" s="462"/>
      <c r="Z100" s="462"/>
      <c r="AA100" s="462"/>
      <c r="AB100" s="462"/>
      <c r="AC100" s="462"/>
      <c r="AD100" s="462"/>
      <c r="AE100" s="462"/>
      <c r="AF100" s="462"/>
      <c r="AG100" s="463"/>
      <c r="AH100" s="462"/>
      <c r="AI100" s="462"/>
      <c r="AJ100" s="462"/>
      <c r="AK100" s="463"/>
      <c r="AL100" s="462"/>
      <c r="AM100" s="462"/>
      <c r="AN100" s="462"/>
    </row>
    <row r="101" spans="1:40">
      <c r="A101" s="460"/>
      <c r="B101" s="460"/>
      <c r="C101" s="460"/>
      <c r="D101" s="460"/>
      <c r="E101" s="460"/>
      <c r="F101" s="460"/>
      <c r="G101" s="460"/>
      <c r="H101" s="460"/>
      <c r="I101" s="460"/>
      <c r="J101" s="460"/>
      <c r="K101" s="460"/>
      <c r="L101" s="460"/>
      <c r="M101" s="460"/>
      <c r="N101" s="460"/>
      <c r="O101" s="460"/>
      <c r="P101" s="460"/>
      <c r="Q101" s="460"/>
      <c r="R101" s="460"/>
      <c r="T101" s="460"/>
      <c r="U101" s="460"/>
      <c r="V101" s="460"/>
      <c r="W101" s="460"/>
      <c r="X101" s="460"/>
      <c r="Y101" s="460"/>
      <c r="Z101" s="460"/>
      <c r="AA101" s="460"/>
      <c r="AB101" s="460"/>
      <c r="AC101" s="460"/>
      <c r="AD101" s="460"/>
      <c r="AE101" s="460"/>
      <c r="AF101" s="460"/>
      <c r="AG101" s="461"/>
      <c r="AH101" s="460"/>
      <c r="AI101" s="460"/>
      <c r="AJ101" s="460"/>
      <c r="AK101" s="461"/>
      <c r="AL101" s="460"/>
      <c r="AM101" s="460"/>
      <c r="AN101" s="460"/>
    </row>
    <row r="102" spans="1:40">
      <c r="H102" s="462"/>
      <c r="I102" s="462"/>
      <c r="J102" s="462"/>
      <c r="K102" s="462"/>
      <c r="L102" s="462"/>
      <c r="M102" s="462"/>
      <c r="N102" s="462"/>
      <c r="O102" s="462"/>
      <c r="P102" s="462"/>
      <c r="Q102" s="462"/>
      <c r="R102" s="462"/>
      <c r="Y102" s="462"/>
      <c r="Z102" s="462"/>
      <c r="AA102" s="462"/>
      <c r="AB102" s="462"/>
      <c r="AC102" s="462"/>
      <c r="AD102" s="462"/>
      <c r="AE102" s="462"/>
      <c r="AF102" s="462"/>
      <c r="AG102" s="463"/>
      <c r="AH102" s="462"/>
      <c r="AI102" s="462"/>
      <c r="AJ102" s="462"/>
      <c r="AK102" s="463"/>
      <c r="AL102" s="462"/>
      <c r="AM102" s="462"/>
      <c r="AN102" s="462"/>
    </row>
    <row r="103" spans="1:40">
      <c r="C103" s="455"/>
      <c r="D103" s="455"/>
      <c r="E103" s="455"/>
      <c r="T103" s="455"/>
      <c r="U103" s="455"/>
    </row>
    <row r="104" spans="1:40">
      <c r="C104" s="455"/>
      <c r="T104" s="455"/>
    </row>
    <row r="106" spans="1:40">
      <c r="C106" s="455"/>
      <c r="T106" s="455"/>
    </row>
    <row r="107" spans="1:40">
      <c r="C107" s="455"/>
      <c r="F107" s="476"/>
      <c r="H107" s="476"/>
      <c r="I107" s="476"/>
      <c r="J107" s="471"/>
      <c r="K107" s="471"/>
      <c r="L107" s="470"/>
      <c r="M107" s="470"/>
      <c r="N107" s="472"/>
      <c r="O107" s="472"/>
      <c r="R107" s="470"/>
      <c r="T107" s="455"/>
      <c r="V107" s="470"/>
      <c r="Y107" s="476"/>
      <c r="Z107" s="471"/>
      <c r="AA107" s="470"/>
      <c r="AB107" s="470"/>
      <c r="AC107" s="472"/>
      <c r="AD107" s="472"/>
      <c r="AE107" s="470"/>
      <c r="AF107" s="470"/>
      <c r="AG107" s="526"/>
      <c r="AH107" s="527"/>
      <c r="AL107" s="470"/>
      <c r="AM107" s="528"/>
      <c r="AN107" s="528"/>
    </row>
    <row r="108" spans="1:40">
      <c r="C108" s="455"/>
      <c r="F108" s="476"/>
      <c r="H108" s="476"/>
      <c r="I108" s="476"/>
      <c r="J108" s="471"/>
      <c r="K108" s="471"/>
      <c r="L108" s="470"/>
      <c r="M108" s="470"/>
      <c r="N108" s="472"/>
      <c r="O108" s="472"/>
      <c r="R108" s="470"/>
      <c r="T108" s="455"/>
      <c r="V108" s="470"/>
      <c r="Y108" s="476"/>
      <c r="Z108" s="471"/>
      <c r="AA108" s="470"/>
      <c r="AB108" s="470"/>
      <c r="AC108" s="472"/>
      <c r="AD108" s="472"/>
      <c r="AE108" s="470"/>
      <c r="AF108" s="470"/>
      <c r="AH108" s="529"/>
      <c r="AL108" s="470"/>
      <c r="AM108" s="472"/>
      <c r="AN108" s="472"/>
    </row>
    <row r="109" spans="1:40">
      <c r="C109" s="455"/>
      <c r="F109" s="476"/>
      <c r="H109" s="476"/>
      <c r="I109" s="476"/>
      <c r="J109" s="471"/>
      <c r="K109" s="471"/>
      <c r="L109" s="470"/>
      <c r="M109" s="470"/>
      <c r="N109" s="472"/>
      <c r="O109" s="472"/>
      <c r="R109" s="470"/>
      <c r="T109" s="455"/>
      <c r="V109" s="470"/>
      <c r="Y109" s="476"/>
      <c r="Z109" s="471"/>
      <c r="AA109" s="470"/>
      <c r="AB109" s="470"/>
      <c r="AC109" s="472"/>
      <c r="AD109" s="472"/>
      <c r="AE109" s="470"/>
      <c r="AF109" s="470"/>
      <c r="AH109" s="529"/>
      <c r="AL109" s="470"/>
      <c r="AM109" s="472"/>
      <c r="AN109" s="472"/>
    </row>
    <row r="110" spans="1:40">
      <c r="F110" s="479"/>
      <c r="H110" s="470"/>
      <c r="I110" s="470"/>
      <c r="J110" s="484"/>
      <c r="K110" s="484"/>
      <c r="L110" s="479"/>
      <c r="M110" s="479"/>
      <c r="N110" s="479"/>
      <c r="O110" s="479"/>
      <c r="P110" s="479"/>
      <c r="Q110" s="479"/>
      <c r="R110" s="479"/>
      <c r="V110" s="479"/>
      <c r="Y110" s="470"/>
      <c r="Z110" s="484"/>
      <c r="AA110" s="479"/>
      <c r="AB110" s="479"/>
      <c r="AC110" s="479"/>
      <c r="AD110" s="479"/>
      <c r="AE110" s="479"/>
      <c r="AF110" s="479"/>
      <c r="AI110" s="479"/>
      <c r="AJ110" s="479"/>
      <c r="AK110" s="485"/>
      <c r="AL110" s="479"/>
      <c r="AM110" s="472"/>
      <c r="AN110" s="472"/>
    </row>
    <row r="111" spans="1:40">
      <c r="C111" s="455"/>
      <c r="F111" s="470"/>
      <c r="H111" s="470"/>
      <c r="I111" s="470"/>
      <c r="J111" s="484"/>
      <c r="K111" s="484"/>
      <c r="L111" s="470"/>
      <c r="M111" s="470"/>
      <c r="N111" s="472"/>
      <c r="O111" s="472"/>
      <c r="P111" s="470"/>
      <c r="Q111" s="470"/>
      <c r="R111" s="470"/>
      <c r="T111" s="455"/>
      <c r="V111" s="470"/>
      <c r="Y111" s="470"/>
      <c r="Z111" s="503"/>
      <c r="AA111" s="470"/>
      <c r="AB111" s="470"/>
      <c r="AC111" s="472"/>
      <c r="AD111" s="472"/>
      <c r="AE111" s="470"/>
      <c r="AF111" s="470"/>
      <c r="AH111" s="529"/>
      <c r="AI111" s="470"/>
      <c r="AJ111" s="470"/>
      <c r="AL111" s="470"/>
      <c r="AM111" s="472"/>
      <c r="AN111" s="472"/>
    </row>
    <row r="112" spans="1:40">
      <c r="F112" s="479"/>
      <c r="H112" s="470"/>
      <c r="I112" s="470"/>
      <c r="J112" s="484"/>
      <c r="K112" s="484"/>
      <c r="L112" s="479"/>
      <c r="M112" s="479"/>
      <c r="N112" s="479"/>
      <c r="O112" s="479"/>
      <c r="P112" s="479"/>
      <c r="Q112" s="479"/>
      <c r="R112" s="479"/>
      <c r="V112" s="479"/>
      <c r="Y112" s="470"/>
      <c r="Z112" s="484"/>
      <c r="AA112" s="479"/>
      <c r="AB112" s="479"/>
      <c r="AC112" s="479"/>
      <c r="AD112" s="479"/>
      <c r="AE112" s="479"/>
      <c r="AF112" s="479"/>
      <c r="AI112" s="479"/>
      <c r="AJ112" s="479"/>
      <c r="AK112" s="485"/>
      <c r="AL112" s="479"/>
      <c r="AM112" s="472"/>
      <c r="AN112" s="472"/>
    </row>
    <row r="113" spans="3:40">
      <c r="C113" s="455"/>
      <c r="F113" s="476"/>
      <c r="H113" s="476"/>
      <c r="I113" s="476"/>
      <c r="J113" s="530"/>
      <c r="K113" s="530"/>
      <c r="L113" s="470"/>
      <c r="M113" s="470"/>
      <c r="N113" s="472"/>
      <c r="O113" s="472"/>
      <c r="P113" s="470"/>
      <c r="Q113" s="470"/>
      <c r="R113" s="470"/>
      <c r="S113" s="470"/>
      <c r="T113" s="455"/>
      <c r="V113" s="476"/>
      <c r="Y113" s="476"/>
      <c r="Z113" s="530"/>
      <c r="AA113" s="470"/>
      <c r="AB113" s="470"/>
      <c r="AC113" s="472"/>
      <c r="AD113" s="472"/>
      <c r="AE113" s="470"/>
      <c r="AF113" s="470"/>
      <c r="AH113" s="472"/>
      <c r="AI113" s="470"/>
      <c r="AJ113" s="470"/>
      <c r="AL113" s="470"/>
      <c r="AM113" s="472"/>
      <c r="AN113" s="472"/>
    </row>
    <row r="114" spans="3:40">
      <c r="C114" s="455"/>
      <c r="F114" s="476"/>
      <c r="H114" s="476"/>
      <c r="I114" s="476"/>
      <c r="J114" s="471"/>
      <c r="K114" s="471"/>
      <c r="L114" s="470"/>
      <c r="M114" s="470"/>
      <c r="N114" s="472"/>
      <c r="O114" s="472"/>
      <c r="P114" s="470"/>
      <c r="Q114" s="470"/>
      <c r="R114" s="470"/>
      <c r="T114" s="455"/>
      <c r="V114" s="476"/>
      <c r="Y114" s="470"/>
      <c r="Z114" s="471"/>
      <c r="AA114" s="470"/>
      <c r="AB114" s="470"/>
      <c r="AC114" s="472"/>
      <c r="AD114" s="472"/>
      <c r="AE114" s="470"/>
      <c r="AF114" s="470"/>
      <c r="AH114" s="529"/>
      <c r="AI114" s="470"/>
      <c r="AJ114" s="470"/>
      <c r="AL114" s="470"/>
      <c r="AM114" s="472"/>
      <c r="AN114" s="472"/>
    </row>
    <row r="115" spans="3:40">
      <c r="C115" s="455"/>
      <c r="F115" s="476"/>
      <c r="H115" s="476"/>
      <c r="I115" s="476"/>
      <c r="J115" s="471"/>
      <c r="K115" s="471"/>
      <c r="L115" s="470"/>
      <c r="M115" s="470"/>
      <c r="N115" s="472"/>
      <c r="O115" s="472"/>
      <c r="P115" s="470"/>
      <c r="Q115" s="470"/>
      <c r="R115" s="470"/>
      <c r="T115" s="455"/>
      <c r="V115" s="476"/>
      <c r="Y115" s="470"/>
      <c r="Z115" s="471"/>
      <c r="AA115" s="470"/>
      <c r="AB115" s="470"/>
      <c r="AC115" s="472"/>
      <c r="AD115" s="472"/>
      <c r="AE115" s="470"/>
      <c r="AF115" s="470"/>
      <c r="AH115" s="529"/>
      <c r="AI115" s="470"/>
      <c r="AJ115" s="470"/>
      <c r="AL115" s="470"/>
      <c r="AM115" s="472"/>
      <c r="AN115" s="472"/>
    </row>
    <row r="116" spans="3:40">
      <c r="F116" s="470"/>
      <c r="H116" s="479"/>
      <c r="I116" s="479"/>
      <c r="J116" s="484"/>
      <c r="K116" s="484"/>
      <c r="L116" s="479"/>
      <c r="M116" s="479"/>
      <c r="N116" s="479"/>
      <c r="O116" s="479"/>
      <c r="P116" s="479"/>
      <c r="Q116" s="479"/>
      <c r="R116" s="479"/>
      <c r="V116" s="470"/>
      <c r="Y116" s="479"/>
      <c r="Z116" s="484"/>
      <c r="AA116" s="479"/>
      <c r="AB116" s="479"/>
      <c r="AC116" s="479"/>
      <c r="AD116" s="479"/>
      <c r="AE116" s="479"/>
      <c r="AF116" s="479"/>
      <c r="AI116" s="479"/>
      <c r="AJ116" s="479"/>
      <c r="AK116" s="485"/>
      <c r="AL116" s="479"/>
      <c r="AM116" s="472"/>
      <c r="AN116" s="472"/>
    </row>
    <row r="117" spans="3:40">
      <c r="C117" s="455"/>
      <c r="F117" s="470"/>
      <c r="H117" s="470"/>
      <c r="I117" s="470"/>
      <c r="J117" s="484"/>
      <c r="K117" s="484"/>
      <c r="L117" s="470"/>
      <c r="M117" s="470"/>
      <c r="N117" s="472"/>
      <c r="O117" s="472"/>
      <c r="P117" s="470"/>
      <c r="Q117" s="470"/>
      <c r="R117" s="470"/>
      <c r="T117" s="455"/>
      <c r="V117" s="470"/>
      <c r="Y117" s="470"/>
      <c r="Z117" s="484"/>
      <c r="AA117" s="470"/>
      <c r="AB117" s="470"/>
      <c r="AC117" s="472"/>
      <c r="AD117" s="472"/>
      <c r="AE117" s="470"/>
      <c r="AF117" s="470"/>
      <c r="AH117" s="529"/>
      <c r="AI117" s="470"/>
      <c r="AJ117" s="470"/>
      <c r="AL117" s="470"/>
      <c r="AM117" s="472"/>
      <c r="AN117" s="472"/>
    </row>
    <row r="118" spans="3:40">
      <c r="F118" s="470"/>
      <c r="H118" s="479"/>
      <c r="I118" s="479"/>
      <c r="J118" s="484"/>
      <c r="K118" s="484"/>
      <c r="L118" s="479"/>
      <c r="M118" s="479"/>
      <c r="N118" s="479"/>
      <c r="O118" s="479"/>
      <c r="P118" s="479"/>
      <c r="Q118" s="479"/>
      <c r="R118" s="479"/>
      <c r="V118" s="470"/>
      <c r="Y118" s="479"/>
      <c r="Z118" s="484"/>
      <c r="AA118" s="479"/>
      <c r="AB118" s="479"/>
      <c r="AC118" s="479"/>
      <c r="AD118" s="479"/>
      <c r="AE118" s="479"/>
      <c r="AF118" s="479"/>
      <c r="AI118" s="479"/>
      <c r="AJ118" s="479"/>
      <c r="AK118" s="485"/>
      <c r="AL118" s="479"/>
      <c r="AM118" s="472"/>
      <c r="AN118" s="472"/>
    </row>
    <row r="119" spans="3:40">
      <c r="C119" s="455"/>
      <c r="F119" s="470"/>
      <c r="H119" s="470"/>
      <c r="I119" s="470"/>
      <c r="J119" s="484"/>
      <c r="K119" s="484"/>
      <c r="L119" s="470"/>
      <c r="M119" s="470"/>
      <c r="N119" s="470"/>
      <c r="O119" s="470"/>
      <c r="P119" s="470"/>
      <c r="Q119" s="470"/>
      <c r="R119" s="470"/>
      <c r="T119" s="455"/>
      <c r="V119" s="470"/>
      <c r="Y119" s="470"/>
      <c r="Z119" s="484"/>
      <c r="AA119" s="470"/>
      <c r="AB119" s="470"/>
      <c r="AC119" s="470"/>
      <c r="AD119" s="470"/>
      <c r="AE119" s="470"/>
      <c r="AF119" s="470"/>
      <c r="AH119" s="529"/>
      <c r="AI119" s="470"/>
      <c r="AJ119" s="470"/>
      <c r="AL119" s="470"/>
      <c r="AM119" s="472"/>
      <c r="AN119" s="472"/>
    </row>
    <row r="120" spans="3:40">
      <c r="C120" s="455"/>
      <c r="F120" s="470"/>
      <c r="H120" s="476"/>
      <c r="I120" s="476"/>
      <c r="J120" s="531"/>
      <c r="K120" s="531"/>
      <c r="L120" s="470"/>
      <c r="M120" s="470"/>
      <c r="N120" s="472"/>
      <c r="O120" s="472"/>
      <c r="P120" s="470"/>
      <c r="Q120" s="470"/>
      <c r="R120" s="470"/>
      <c r="T120" s="455"/>
      <c r="V120" s="470"/>
      <c r="Y120" s="470"/>
      <c r="Z120" s="531"/>
      <c r="AA120" s="470"/>
      <c r="AB120" s="470"/>
      <c r="AC120" s="472"/>
      <c r="AD120" s="472"/>
      <c r="AE120" s="470"/>
      <c r="AF120" s="470"/>
      <c r="AH120" s="529"/>
      <c r="AI120" s="470"/>
      <c r="AJ120" s="470"/>
      <c r="AL120" s="470"/>
      <c r="AM120" s="472"/>
      <c r="AN120" s="472"/>
    </row>
    <row r="121" spans="3:40">
      <c r="C121" s="455"/>
      <c r="H121" s="476"/>
      <c r="I121" s="476"/>
      <c r="J121" s="531"/>
      <c r="K121" s="531"/>
      <c r="L121" s="470"/>
      <c r="M121" s="470"/>
      <c r="N121" s="472"/>
      <c r="O121" s="472"/>
      <c r="P121" s="470"/>
      <c r="Q121" s="470"/>
      <c r="R121" s="470"/>
      <c r="T121" s="455"/>
      <c r="Y121" s="470"/>
      <c r="Z121" s="531"/>
      <c r="AA121" s="470"/>
      <c r="AB121" s="470"/>
      <c r="AC121" s="472"/>
      <c r="AD121" s="472"/>
      <c r="AE121" s="470"/>
      <c r="AF121" s="470"/>
      <c r="AH121" s="529"/>
      <c r="AI121" s="470"/>
      <c r="AJ121" s="470"/>
      <c r="AL121" s="470"/>
      <c r="AM121" s="472"/>
      <c r="AN121" s="472"/>
    </row>
    <row r="122" spans="3:40">
      <c r="F122" s="470"/>
      <c r="H122" s="470"/>
      <c r="I122" s="470"/>
      <c r="J122" s="484"/>
      <c r="K122" s="484"/>
      <c r="L122" s="479"/>
      <c r="M122" s="479"/>
      <c r="N122" s="479"/>
      <c r="O122" s="479"/>
      <c r="P122" s="479"/>
      <c r="Q122" s="479"/>
      <c r="R122" s="479"/>
      <c r="V122" s="470"/>
      <c r="Y122" s="470"/>
      <c r="Z122" s="484"/>
      <c r="AA122" s="479"/>
      <c r="AB122" s="479"/>
      <c r="AC122" s="479"/>
      <c r="AD122" s="479"/>
      <c r="AE122" s="479"/>
      <c r="AF122" s="479"/>
      <c r="AI122" s="479"/>
      <c r="AJ122" s="479"/>
      <c r="AK122" s="485"/>
      <c r="AL122" s="479"/>
      <c r="AM122" s="472"/>
      <c r="AN122" s="472"/>
    </row>
    <row r="123" spans="3:40">
      <c r="C123" s="455"/>
      <c r="F123" s="470"/>
      <c r="H123" s="470"/>
      <c r="I123" s="470"/>
      <c r="J123" s="503"/>
      <c r="K123" s="503"/>
      <c r="L123" s="470"/>
      <c r="M123" s="470"/>
      <c r="N123" s="472"/>
      <c r="O123" s="472"/>
      <c r="P123" s="470"/>
      <c r="Q123" s="470"/>
      <c r="R123" s="470"/>
      <c r="T123" s="455"/>
      <c r="V123" s="470"/>
      <c r="Y123" s="470"/>
      <c r="Z123" s="503"/>
      <c r="AA123" s="470"/>
      <c r="AB123" s="470"/>
      <c r="AC123" s="472"/>
      <c r="AD123" s="472"/>
      <c r="AE123" s="470"/>
      <c r="AF123" s="470"/>
      <c r="AH123" s="529"/>
      <c r="AI123" s="470"/>
      <c r="AJ123" s="470"/>
      <c r="AL123" s="470"/>
      <c r="AM123" s="472"/>
      <c r="AN123" s="472"/>
    </row>
    <row r="124" spans="3:40">
      <c r="F124" s="470"/>
      <c r="H124" s="470"/>
      <c r="I124" s="470"/>
      <c r="J124" s="484"/>
      <c r="K124" s="484"/>
      <c r="L124" s="479"/>
      <c r="M124" s="479"/>
      <c r="N124" s="479"/>
      <c r="O124" s="479"/>
      <c r="P124" s="479"/>
      <c r="Q124" s="479"/>
      <c r="R124" s="479"/>
      <c r="V124" s="470"/>
      <c r="Y124" s="470"/>
      <c r="Z124" s="484"/>
      <c r="AA124" s="479"/>
      <c r="AB124" s="479"/>
      <c r="AC124" s="479"/>
      <c r="AD124" s="479"/>
      <c r="AE124" s="479"/>
      <c r="AF124" s="479"/>
      <c r="AI124" s="479"/>
      <c r="AJ124" s="479"/>
      <c r="AK124" s="485"/>
      <c r="AL124" s="479"/>
      <c r="AM124" s="472"/>
      <c r="AN124" s="472"/>
    </row>
    <row r="125" spans="3:40">
      <c r="C125" s="455"/>
      <c r="F125" s="470"/>
      <c r="H125" s="470"/>
      <c r="I125" s="470"/>
      <c r="J125" s="503"/>
      <c r="K125" s="503"/>
      <c r="L125" s="470"/>
      <c r="M125" s="470"/>
      <c r="N125" s="472"/>
      <c r="O125" s="472"/>
      <c r="P125" s="470"/>
      <c r="Q125" s="470"/>
      <c r="R125" s="470"/>
      <c r="T125" s="455"/>
      <c r="V125" s="470"/>
      <c r="Y125" s="470"/>
      <c r="Z125" s="503"/>
      <c r="AA125" s="470"/>
      <c r="AB125" s="470"/>
      <c r="AC125" s="472"/>
      <c r="AD125" s="472"/>
      <c r="AE125" s="470"/>
      <c r="AF125" s="470"/>
      <c r="AH125" s="529"/>
      <c r="AI125" s="470"/>
      <c r="AJ125" s="470"/>
      <c r="AL125" s="470"/>
      <c r="AM125" s="472"/>
      <c r="AN125" s="472"/>
    </row>
    <row r="126" spans="3:40">
      <c r="C126" s="455"/>
      <c r="F126" s="470"/>
      <c r="H126" s="476"/>
      <c r="I126" s="476"/>
      <c r="J126" s="518"/>
      <c r="K126" s="518"/>
      <c r="L126" s="470"/>
      <c r="M126" s="470"/>
      <c r="N126" s="472"/>
      <c r="O126" s="472"/>
      <c r="P126" s="470"/>
      <c r="Q126" s="470"/>
      <c r="R126" s="470"/>
      <c r="T126" s="455"/>
      <c r="V126" s="476"/>
      <c r="Y126" s="470"/>
      <c r="Z126" s="518"/>
      <c r="AA126" s="470"/>
      <c r="AB126" s="470"/>
      <c r="AC126" s="472"/>
      <c r="AD126" s="472"/>
      <c r="AE126" s="470"/>
      <c r="AF126" s="470"/>
      <c r="AH126" s="529"/>
      <c r="AI126" s="470"/>
      <c r="AJ126" s="470"/>
      <c r="AL126" s="470"/>
      <c r="AM126" s="472"/>
      <c r="AN126" s="472"/>
    </row>
    <row r="127" spans="3:40">
      <c r="F127" s="479"/>
      <c r="H127" s="479"/>
      <c r="I127" s="479"/>
      <c r="J127" s="484"/>
      <c r="K127" s="484"/>
      <c r="L127" s="479"/>
      <c r="M127" s="479"/>
      <c r="N127" s="479"/>
      <c r="O127" s="479"/>
      <c r="P127" s="479"/>
      <c r="Q127" s="479"/>
      <c r="R127" s="479"/>
      <c r="V127" s="479"/>
      <c r="Y127" s="479"/>
      <c r="Z127" s="484"/>
      <c r="AA127" s="479"/>
      <c r="AB127" s="479"/>
      <c r="AC127" s="479"/>
      <c r="AD127" s="479"/>
      <c r="AE127" s="479"/>
      <c r="AF127" s="479"/>
      <c r="AI127" s="479"/>
      <c r="AJ127" s="479"/>
      <c r="AK127" s="485"/>
      <c r="AL127" s="479"/>
      <c r="AM127" s="472"/>
      <c r="AN127" s="472"/>
    </row>
    <row r="128" spans="3:40">
      <c r="C128" s="455"/>
      <c r="F128" s="470"/>
      <c r="H128" s="470"/>
      <c r="I128" s="470"/>
      <c r="J128" s="484"/>
      <c r="K128" s="484"/>
      <c r="L128" s="470"/>
      <c r="M128" s="470"/>
      <c r="N128" s="472"/>
      <c r="O128" s="472"/>
      <c r="P128" s="470"/>
      <c r="Q128" s="470"/>
      <c r="R128" s="470"/>
      <c r="S128" s="470"/>
      <c r="T128" s="455"/>
      <c r="V128" s="470"/>
      <c r="Y128" s="470"/>
      <c r="Z128" s="484"/>
      <c r="AA128" s="470"/>
      <c r="AB128" s="470"/>
      <c r="AC128" s="472"/>
      <c r="AD128" s="472"/>
      <c r="AE128" s="470"/>
      <c r="AF128" s="470"/>
      <c r="AH128" s="472"/>
      <c r="AI128" s="470"/>
      <c r="AJ128" s="470"/>
      <c r="AL128" s="470"/>
      <c r="AM128" s="472"/>
      <c r="AN128" s="472"/>
    </row>
    <row r="129" spans="3:40">
      <c r="F129" s="479"/>
      <c r="H129" s="479"/>
      <c r="I129" s="479"/>
      <c r="J129" s="484"/>
      <c r="K129" s="484"/>
      <c r="L129" s="479"/>
      <c r="M129" s="479"/>
      <c r="N129" s="479"/>
      <c r="O129" s="479"/>
      <c r="P129" s="479"/>
      <c r="Q129" s="479"/>
      <c r="R129" s="479"/>
      <c r="S129" s="470"/>
      <c r="V129" s="479"/>
      <c r="Y129" s="479"/>
      <c r="Z129" s="484"/>
      <c r="AA129" s="479"/>
      <c r="AB129" s="479"/>
      <c r="AC129" s="479"/>
      <c r="AD129" s="479"/>
      <c r="AE129" s="479"/>
      <c r="AF129" s="479"/>
      <c r="AI129" s="479"/>
      <c r="AJ129" s="479"/>
      <c r="AK129" s="485"/>
      <c r="AL129" s="479"/>
      <c r="AM129" s="472"/>
      <c r="AN129" s="472"/>
    </row>
    <row r="130" spans="3:40">
      <c r="C130" s="455"/>
      <c r="F130" s="476"/>
      <c r="H130" s="532"/>
      <c r="I130" s="532"/>
      <c r="J130" s="484"/>
      <c r="K130" s="484"/>
      <c r="L130" s="470"/>
      <c r="M130" s="470"/>
      <c r="N130" s="472"/>
      <c r="O130" s="472"/>
      <c r="P130" s="470"/>
      <c r="Q130" s="470"/>
      <c r="R130" s="470"/>
      <c r="S130" s="470"/>
      <c r="T130" s="455"/>
      <c r="V130" s="476"/>
      <c r="Y130" s="476"/>
      <c r="Z130" s="484"/>
      <c r="AA130" s="470"/>
      <c r="AB130" s="470"/>
      <c r="AC130" s="472"/>
      <c r="AD130" s="472"/>
      <c r="AE130" s="470"/>
      <c r="AF130" s="470"/>
      <c r="AI130" s="470"/>
      <c r="AJ130" s="470"/>
      <c r="AL130" s="470"/>
      <c r="AM130" s="472"/>
      <c r="AN130" s="472"/>
    </row>
    <row r="132" spans="3:40">
      <c r="C132" s="455"/>
      <c r="T132" s="455"/>
    </row>
    <row r="133" spans="3:40">
      <c r="C133" s="455"/>
      <c r="F133" s="476"/>
      <c r="H133" s="476"/>
      <c r="I133" s="476"/>
      <c r="J133" s="471"/>
      <c r="K133" s="471"/>
      <c r="L133" s="470"/>
      <c r="M133" s="470"/>
      <c r="N133" s="472"/>
      <c r="O133" s="472"/>
      <c r="R133" s="470"/>
      <c r="T133" s="455"/>
      <c r="V133" s="470"/>
      <c r="Y133" s="476"/>
      <c r="Z133" s="471"/>
      <c r="AA133" s="470"/>
      <c r="AB133" s="470"/>
      <c r="AC133" s="472"/>
      <c r="AD133" s="472"/>
      <c r="AE133" s="470"/>
      <c r="AF133" s="470"/>
      <c r="AG133" s="526"/>
      <c r="AH133" s="527"/>
      <c r="AL133" s="470"/>
      <c r="AM133" s="528"/>
      <c r="AN133" s="528"/>
    </row>
    <row r="134" spans="3:40">
      <c r="C134" s="455"/>
      <c r="F134" s="476"/>
      <c r="H134" s="476"/>
      <c r="I134" s="476"/>
      <c r="J134" s="471"/>
      <c r="K134" s="471"/>
      <c r="L134" s="470"/>
      <c r="M134" s="470"/>
      <c r="N134" s="472"/>
      <c r="O134" s="472"/>
      <c r="R134" s="470"/>
      <c r="T134" s="455"/>
      <c r="V134" s="470"/>
      <c r="Y134" s="476"/>
      <c r="Z134" s="471"/>
      <c r="AA134" s="470"/>
      <c r="AB134" s="470"/>
      <c r="AC134" s="472"/>
      <c r="AD134" s="472"/>
      <c r="AE134" s="470"/>
      <c r="AF134" s="470"/>
      <c r="AH134" s="529"/>
      <c r="AL134" s="470"/>
      <c r="AM134" s="472"/>
      <c r="AN134" s="472"/>
    </row>
    <row r="135" spans="3:40">
      <c r="C135" s="455"/>
      <c r="F135" s="476"/>
      <c r="H135" s="476"/>
      <c r="I135" s="476"/>
      <c r="J135" s="471"/>
      <c r="K135" s="471"/>
      <c r="L135" s="470"/>
      <c r="M135" s="470"/>
      <c r="N135" s="472"/>
      <c r="O135" s="472"/>
      <c r="R135" s="470"/>
      <c r="T135" s="455"/>
      <c r="V135" s="470"/>
      <c r="Y135" s="476"/>
      <c r="Z135" s="471"/>
      <c r="AA135" s="470"/>
      <c r="AB135" s="470"/>
      <c r="AC135" s="472"/>
      <c r="AD135" s="472"/>
      <c r="AE135" s="470"/>
      <c r="AF135" s="470"/>
      <c r="AH135" s="529"/>
      <c r="AL135" s="470"/>
      <c r="AM135" s="472"/>
      <c r="AN135" s="472"/>
    </row>
    <row r="136" spans="3:40">
      <c r="F136" s="479"/>
      <c r="H136" s="470"/>
      <c r="I136" s="470"/>
      <c r="J136" s="484"/>
      <c r="K136" s="484"/>
      <c r="L136" s="479"/>
      <c r="M136" s="479"/>
      <c r="N136" s="479"/>
      <c r="O136" s="479"/>
      <c r="P136" s="479"/>
      <c r="Q136" s="479"/>
      <c r="R136" s="479"/>
      <c r="V136" s="479"/>
      <c r="Y136" s="470"/>
      <c r="Z136" s="484"/>
      <c r="AA136" s="479"/>
      <c r="AB136" s="479"/>
      <c r="AC136" s="479"/>
      <c r="AD136" s="479"/>
      <c r="AE136" s="479"/>
      <c r="AF136" s="479"/>
      <c r="AI136" s="479"/>
      <c r="AJ136" s="479"/>
      <c r="AK136" s="485"/>
      <c r="AL136" s="479"/>
      <c r="AM136" s="472"/>
      <c r="AN136" s="472"/>
    </row>
    <row r="137" spans="3:40">
      <c r="C137" s="455"/>
      <c r="F137" s="470"/>
      <c r="H137" s="470"/>
      <c r="I137" s="470"/>
      <c r="J137" s="484"/>
      <c r="K137" s="484"/>
      <c r="L137" s="470"/>
      <c r="M137" s="470"/>
      <c r="N137" s="472"/>
      <c r="O137" s="472"/>
      <c r="P137" s="470"/>
      <c r="Q137" s="470"/>
      <c r="R137" s="470"/>
      <c r="T137" s="455"/>
      <c r="V137" s="470"/>
      <c r="Y137" s="470"/>
      <c r="Z137" s="484"/>
      <c r="AA137" s="470"/>
      <c r="AB137" s="470"/>
      <c r="AC137" s="472"/>
      <c r="AD137" s="472"/>
      <c r="AE137" s="470"/>
      <c r="AF137" s="470"/>
      <c r="AH137" s="529"/>
      <c r="AI137" s="470"/>
      <c r="AJ137" s="470"/>
      <c r="AL137" s="470"/>
      <c r="AM137" s="472"/>
      <c r="AN137" s="472"/>
    </row>
    <row r="138" spans="3:40">
      <c r="F138" s="479"/>
      <c r="H138" s="470"/>
      <c r="I138" s="470"/>
      <c r="J138" s="484"/>
      <c r="K138" s="484"/>
      <c r="L138" s="479"/>
      <c r="M138" s="479"/>
      <c r="N138" s="479"/>
      <c r="O138" s="479"/>
      <c r="P138" s="479"/>
      <c r="Q138" s="479"/>
      <c r="R138" s="479"/>
      <c r="V138" s="479"/>
      <c r="Y138" s="470"/>
      <c r="Z138" s="484"/>
      <c r="AA138" s="479"/>
      <c r="AB138" s="479"/>
      <c r="AC138" s="479"/>
      <c r="AD138" s="479"/>
      <c r="AE138" s="479"/>
      <c r="AF138" s="479"/>
      <c r="AI138" s="479"/>
      <c r="AJ138" s="479"/>
      <c r="AK138" s="485"/>
      <c r="AL138" s="479"/>
      <c r="AM138" s="472"/>
      <c r="AN138" s="472"/>
    </row>
    <row r="139" spans="3:40">
      <c r="C139" s="455"/>
      <c r="F139" s="476"/>
      <c r="H139" s="476"/>
      <c r="I139" s="476"/>
      <c r="J139" s="530"/>
      <c r="K139" s="530"/>
      <c r="L139" s="470"/>
      <c r="M139" s="470"/>
      <c r="N139" s="472"/>
      <c r="O139" s="472"/>
      <c r="P139" s="470"/>
      <c r="Q139" s="470"/>
      <c r="R139" s="470"/>
      <c r="S139" s="470"/>
      <c r="T139" s="455"/>
      <c r="V139" s="476"/>
      <c r="Y139" s="476"/>
      <c r="Z139" s="530"/>
      <c r="AA139" s="470"/>
      <c r="AB139" s="470"/>
      <c r="AC139" s="472"/>
      <c r="AD139" s="472"/>
      <c r="AE139" s="470"/>
      <c r="AF139" s="470"/>
      <c r="AH139" s="472"/>
      <c r="AI139" s="470"/>
      <c r="AJ139" s="470"/>
      <c r="AL139" s="470"/>
      <c r="AM139" s="472"/>
      <c r="AN139" s="472"/>
    </row>
    <row r="140" spans="3:40">
      <c r="C140" s="455"/>
      <c r="F140" s="476"/>
      <c r="H140" s="476"/>
      <c r="I140" s="476"/>
      <c r="J140" s="471"/>
      <c r="K140" s="471"/>
      <c r="L140" s="470"/>
      <c r="M140" s="470"/>
      <c r="N140" s="472"/>
      <c r="O140" s="472"/>
      <c r="P140" s="470"/>
      <c r="Q140" s="470"/>
      <c r="R140" s="470"/>
      <c r="T140" s="455"/>
      <c r="V140" s="476"/>
      <c r="Y140" s="470"/>
      <c r="Z140" s="471"/>
      <c r="AA140" s="470"/>
      <c r="AB140" s="470"/>
      <c r="AC140" s="472"/>
      <c r="AD140" s="472"/>
      <c r="AE140" s="470"/>
      <c r="AF140" s="470"/>
      <c r="AH140" s="529"/>
      <c r="AI140" s="470"/>
      <c r="AJ140" s="470"/>
      <c r="AL140" s="470"/>
      <c r="AM140" s="472"/>
      <c r="AN140" s="472"/>
    </row>
    <row r="141" spans="3:40">
      <c r="C141" s="455"/>
      <c r="F141" s="476"/>
      <c r="H141" s="476"/>
      <c r="I141" s="476"/>
      <c r="J141" s="471"/>
      <c r="K141" s="471"/>
      <c r="L141" s="470"/>
      <c r="M141" s="470"/>
      <c r="N141" s="472"/>
      <c r="O141" s="472"/>
      <c r="P141" s="470"/>
      <c r="Q141" s="470"/>
      <c r="R141" s="470"/>
      <c r="T141" s="455"/>
      <c r="V141" s="476"/>
      <c r="Y141" s="470"/>
      <c r="Z141" s="471"/>
      <c r="AA141" s="470"/>
      <c r="AB141" s="470"/>
      <c r="AC141" s="472"/>
      <c r="AD141" s="472"/>
      <c r="AE141" s="470"/>
      <c r="AF141" s="470"/>
      <c r="AH141" s="529"/>
      <c r="AI141" s="470"/>
      <c r="AJ141" s="470"/>
      <c r="AL141" s="470"/>
      <c r="AM141" s="472"/>
      <c r="AN141" s="472"/>
    </row>
    <row r="142" spans="3:40">
      <c r="F142" s="470"/>
      <c r="H142" s="479"/>
      <c r="I142" s="479"/>
      <c r="J142" s="484"/>
      <c r="K142" s="484"/>
      <c r="L142" s="479"/>
      <c r="M142" s="479"/>
      <c r="N142" s="479"/>
      <c r="O142" s="479"/>
      <c r="P142" s="479"/>
      <c r="Q142" s="479"/>
      <c r="R142" s="479"/>
      <c r="V142" s="470"/>
      <c r="Y142" s="479"/>
      <c r="Z142" s="484"/>
      <c r="AA142" s="479"/>
      <c r="AB142" s="479"/>
      <c r="AC142" s="479"/>
      <c r="AD142" s="479"/>
      <c r="AE142" s="479"/>
      <c r="AF142" s="479"/>
      <c r="AI142" s="479"/>
      <c r="AJ142" s="479"/>
      <c r="AK142" s="485"/>
      <c r="AL142" s="479"/>
      <c r="AM142" s="472"/>
      <c r="AN142" s="472"/>
    </row>
    <row r="143" spans="3:40">
      <c r="C143" s="455"/>
      <c r="F143" s="470"/>
      <c r="H143" s="470"/>
      <c r="I143" s="470"/>
      <c r="J143" s="484"/>
      <c r="K143" s="484"/>
      <c r="L143" s="470"/>
      <c r="M143" s="470"/>
      <c r="N143" s="472"/>
      <c r="O143" s="472"/>
      <c r="P143" s="470"/>
      <c r="Q143" s="470"/>
      <c r="R143" s="470"/>
      <c r="T143" s="455"/>
      <c r="V143" s="470"/>
      <c r="Y143" s="470"/>
      <c r="Z143" s="484"/>
      <c r="AA143" s="470"/>
      <c r="AB143" s="470"/>
      <c r="AC143" s="472"/>
      <c r="AD143" s="472"/>
      <c r="AE143" s="470"/>
      <c r="AF143" s="470"/>
      <c r="AH143" s="529"/>
      <c r="AI143" s="470"/>
      <c r="AJ143" s="470"/>
      <c r="AL143" s="470"/>
      <c r="AM143" s="472"/>
      <c r="AN143" s="472"/>
    </row>
    <row r="144" spans="3:40">
      <c r="F144" s="470"/>
      <c r="H144" s="479"/>
      <c r="I144" s="479"/>
      <c r="J144" s="484"/>
      <c r="K144" s="484"/>
      <c r="L144" s="479"/>
      <c r="M144" s="479"/>
      <c r="N144" s="479"/>
      <c r="O144" s="479"/>
      <c r="P144" s="479"/>
      <c r="Q144" s="479"/>
      <c r="R144" s="479"/>
      <c r="V144" s="470"/>
      <c r="Y144" s="479"/>
      <c r="Z144" s="484"/>
      <c r="AA144" s="479"/>
      <c r="AB144" s="479"/>
      <c r="AC144" s="479"/>
      <c r="AD144" s="479"/>
      <c r="AE144" s="479"/>
      <c r="AF144" s="479"/>
      <c r="AI144" s="479"/>
      <c r="AJ144" s="479"/>
      <c r="AK144" s="485"/>
      <c r="AL144" s="479"/>
      <c r="AM144" s="472"/>
      <c r="AN144" s="472"/>
    </row>
    <row r="145" spans="3:40">
      <c r="C145" s="455"/>
      <c r="F145" s="470"/>
      <c r="H145" s="470"/>
      <c r="I145" s="470"/>
      <c r="J145" s="484"/>
      <c r="K145" s="484"/>
      <c r="L145" s="470"/>
      <c r="M145" s="470"/>
      <c r="N145" s="470"/>
      <c r="O145" s="470"/>
      <c r="P145" s="470"/>
      <c r="Q145" s="470"/>
      <c r="R145" s="470"/>
      <c r="T145" s="455"/>
      <c r="V145" s="470"/>
      <c r="Y145" s="470"/>
      <c r="Z145" s="484"/>
      <c r="AA145" s="470"/>
      <c r="AB145" s="470"/>
      <c r="AC145" s="470"/>
      <c r="AD145" s="470"/>
      <c r="AE145" s="470"/>
      <c r="AF145" s="470"/>
      <c r="AH145" s="529"/>
      <c r="AI145" s="470"/>
      <c r="AJ145" s="470"/>
      <c r="AL145" s="470"/>
      <c r="AM145" s="472"/>
      <c r="AN145" s="472"/>
    </row>
    <row r="146" spans="3:40">
      <c r="C146" s="455"/>
      <c r="F146" s="470"/>
      <c r="H146" s="476"/>
      <c r="I146" s="476"/>
      <c r="J146" s="531"/>
      <c r="K146" s="531"/>
      <c r="L146" s="470"/>
      <c r="M146" s="470"/>
      <c r="N146" s="472"/>
      <c r="O146" s="472"/>
      <c r="P146" s="470"/>
      <c r="Q146" s="470"/>
      <c r="R146" s="470"/>
      <c r="T146" s="455"/>
      <c r="V146" s="470"/>
      <c r="Y146" s="470"/>
      <c r="Z146" s="531"/>
      <c r="AA146" s="470"/>
      <c r="AB146" s="470"/>
      <c r="AC146" s="472"/>
      <c r="AD146" s="472"/>
      <c r="AE146" s="470"/>
      <c r="AF146" s="470"/>
      <c r="AH146" s="529"/>
      <c r="AI146" s="470"/>
      <c r="AJ146" s="470"/>
      <c r="AL146" s="470"/>
      <c r="AM146" s="472"/>
      <c r="AN146" s="472"/>
    </row>
    <row r="147" spans="3:40">
      <c r="C147" s="455"/>
      <c r="H147" s="476"/>
      <c r="I147" s="476"/>
      <c r="J147" s="531"/>
      <c r="K147" s="531"/>
      <c r="L147" s="470"/>
      <c r="M147" s="470"/>
      <c r="N147" s="472"/>
      <c r="O147" s="472"/>
      <c r="P147" s="470"/>
      <c r="Q147" s="470"/>
      <c r="R147" s="470"/>
      <c r="T147" s="455"/>
      <c r="Y147" s="470"/>
      <c r="Z147" s="531"/>
      <c r="AA147" s="470"/>
      <c r="AB147" s="470"/>
      <c r="AC147" s="472"/>
      <c r="AD147" s="472"/>
      <c r="AE147" s="470"/>
      <c r="AF147" s="470"/>
      <c r="AH147" s="529"/>
      <c r="AI147" s="470"/>
      <c r="AJ147" s="470"/>
      <c r="AL147" s="470"/>
      <c r="AM147" s="472"/>
      <c r="AN147" s="472"/>
    </row>
    <row r="148" spans="3:40">
      <c r="F148" s="470"/>
      <c r="H148" s="470"/>
      <c r="I148" s="470"/>
      <c r="J148" s="484"/>
      <c r="K148" s="484"/>
      <c r="L148" s="479"/>
      <c r="M148" s="479"/>
      <c r="N148" s="479"/>
      <c r="O148" s="479"/>
      <c r="P148" s="479"/>
      <c r="Q148" s="479"/>
      <c r="R148" s="479"/>
      <c r="V148" s="470"/>
      <c r="Y148" s="470"/>
      <c r="Z148" s="484"/>
      <c r="AA148" s="479"/>
      <c r="AB148" s="479"/>
      <c r="AC148" s="479"/>
      <c r="AD148" s="479"/>
      <c r="AE148" s="479"/>
      <c r="AF148" s="479"/>
      <c r="AI148" s="479"/>
      <c r="AJ148" s="479"/>
      <c r="AK148" s="485"/>
      <c r="AL148" s="479"/>
      <c r="AM148" s="472"/>
      <c r="AN148" s="472"/>
    </row>
    <row r="149" spans="3:40">
      <c r="C149" s="455"/>
      <c r="F149" s="470"/>
      <c r="H149" s="470"/>
      <c r="I149" s="470"/>
      <c r="J149" s="503"/>
      <c r="K149" s="503"/>
      <c r="L149" s="470"/>
      <c r="M149" s="470"/>
      <c r="N149" s="472"/>
      <c r="O149" s="472"/>
      <c r="P149" s="470"/>
      <c r="Q149" s="470"/>
      <c r="R149" s="470"/>
      <c r="T149" s="455"/>
      <c r="V149" s="470"/>
      <c r="Y149" s="470"/>
      <c r="Z149" s="503"/>
      <c r="AA149" s="470"/>
      <c r="AB149" s="470"/>
      <c r="AC149" s="472"/>
      <c r="AD149" s="472"/>
      <c r="AE149" s="470"/>
      <c r="AF149" s="470"/>
      <c r="AH149" s="529"/>
      <c r="AI149" s="470"/>
      <c r="AJ149" s="470"/>
      <c r="AL149" s="470"/>
      <c r="AM149" s="472"/>
      <c r="AN149" s="472"/>
    </row>
    <row r="150" spans="3:40">
      <c r="F150" s="470"/>
      <c r="H150" s="470"/>
      <c r="I150" s="470"/>
      <c r="J150" s="484"/>
      <c r="K150" s="484"/>
      <c r="L150" s="479"/>
      <c r="M150" s="479"/>
      <c r="N150" s="479"/>
      <c r="O150" s="479"/>
      <c r="P150" s="479"/>
      <c r="Q150" s="479"/>
      <c r="R150" s="479"/>
      <c r="V150" s="470"/>
      <c r="Y150" s="470"/>
      <c r="Z150" s="484"/>
      <c r="AA150" s="479"/>
      <c r="AB150" s="479"/>
      <c r="AC150" s="479"/>
      <c r="AD150" s="479"/>
      <c r="AE150" s="479"/>
      <c r="AF150" s="479"/>
      <c r="AI150" s="479"/>
      <c r="AJ150" s="479"/>
      <c r="AK150" s="485"/>
      <c r="AL150" s="479"/>
      <c r="AM150" s="472"/>
      <c r="AN150" s="472"/>
    </row>
    <row r="151" spans="3:40">
      <c r="C151" s="455"/>
      <c r="F151" s="470"/>
      <c r="H151" s="470"/>
      <c r="I151" s="470"/>
      <c r="J151" s="503"/>
      <c r="K151" s="503"/>
      <c r="L151" s="470"/>
      <c r="M151" s="470"/>
      <c r="N151" s="472"/>
      <c r="O151" s="472"/>
      <c r="P151" s="470"/>
      <c r="Q151" s="470"/>
      <c r="R151" s="470"/>
      <c r="T151" s="455"/>
      <c r="V151" s="470"/>
      <c r="Y151" s="470"/>
      <c r="Z151" s="503"/>
      <c r="AA151" s="470"/>
      <c r="AB151" s="470"/>
      <c r="AC151" s="472"/>
      <c r="AD151" s="472"/>
      <c r="AE151" s="470"/>
      <c r="AF151" s="470"/>
      <c r="AH151" s="529"/>
      <c r="AI151" s="470"/>
      <c r="AJ151" s="470"/>
      <c r="AL151" s="470"/>
      <c r="AM151" s="472"/>
      <c r="AN151" s="472"/>
    </row>
    <row r="152" spans="3:40">
      <c r="C152" s="455"/>
      <c r="F152" s="476"/>
      <c r="H152" s="476"/>
      <c r="I152" s="476"/>
      <c r="J152" s="518"/>
      <c r="K152" s="518"/>
      <c r="L152" s="470"/>
      <c r="M152" s="470"/>
      <c r="N152" s="472"/>
      <c r="O152" s="472"/>
      <c r="P152" s="470"/>
      <c r="Q152" s="470"/>
      <c r="R152" s="470"/>
      <c r="T152" s="455"/>
      <c r="V152" s="476"/>
      <c r="Y152" s="470"/>
      <c r="Z152" s="518"/>
      <c r="AA152" s="470"/>
      <c r="AB152" s="470"/>
      <c r="AC152" s="472"/>
      <c r="AD152" s="472"/>
      <c r="AE152" s="470"/>
      <c r="AF152" s="470"/>
      <c r="AH152" s="529"/>
      <c r="AI152" s="470"/>
      <c r="AJ152" s="470"/>
      <c r="AL152" s="470"/>
      <c r="AM152" s="472"/>
      <c r="AN152" s="472"/>
    </row>
    <row r="153" spans="3:40">
      <c r="F153" s="479"/>
      <c r="H153" s="479"/>
      <c r="I153" s="479"/>
      <c r="J153" s="484"/>
      <c r="K153" s="484"/>
      <c r="L153" s="479"/>
      <c r="M153" s="479"/>
      <c r="N153" s="479"/>
      <c r="O153" s="479"/>
      <c r="P153" s="479"/>
      <c r="Q153" s="479"/>
      <c r="R153" s="479"/>
      <c r="V153" s="479"/>
      <c r="Y153" s="479"/>
      <c r="Z153" s="484"/>
      <c r="AA153" s="479"/>
      <c r="AB153" s="479"/>
      <c r="AC153" s="479"/>
      <c r="AD153" s="479"/>
      <c r="AE153" s="479"/>
      <c r="AF153" s="479"/>
      <c r="AI153" s="479"/>
      <c r="AJ153" s="479"/>
      <c r="AK153" s="485"/>
      <c r="AL153" s="479"/>
      <c r="AM153" s="472"/>
      <c r="AN153" s="472"/>
    </row>
    <row r="154" spans="3:40">
      <c r="C154" s="455"/>
      <c r="F154" s="470"/>
      <c r="H154" s="470"/>
      <c r="I154" s="470"/>
      <c r="J154" s="484"/>
      <c r="K154" s="484"/>
      <c r="L154" s="470"/>
      <c r="M154" s="470"/>
      <c r="N154" s="472"/>
      <c r="O154" s="472"/>
      <c r="P154" s="470"/>
      <c r="Q154" s="470"/>
      <c r="R154" s="470"/>
      <c r="S154" s="470"/>
      <c r="T154" s="455"/>
      <c r="V154" s="470"/>
      <c r="Y154" s="470"/>
      <c r="Z154" s="484"/>
      <c r="AA154" s="470"/>
      <c r="AB154" s="470"/>
      <c r="AC154" s="472"/>
      <c r="AD154" s="472"/>
      <c r="AE154" s="470"/>
      <c r="AF154" s="470"/>
      <c r="AH154" s="472"/>
      <c r="AI154" s="470"/>
      <c r="AJ154" s="470"/>
      <c r="AL154" s="470"/>
      <c r="AM154" s="472"/>
      <c r="AN154" s="472"/>
    </row>
    <row r="155" spans="3:40">
      <c r="F155" s="479"/>
      <c r="H155" s="479"/>
      <c r="I155" s="479"/>
      <c r="J155" s="484"/>
      <c r="K155" s="484"/>
      <c r="L155" s="479"/>
      <c r="M155" s="479"/>
      <c r="N155" s="479"/>
      <c r="O155" s="479"/>
      <c r="P155" s="479"/>
      <c r="Q155" s="479"/>
      <c r="R155" s="479"/>
      <c r="S155" s="470"/>
      <c r="V155" s="479"/>
      <c r="Y155" s="479"/>
      <c r="Z155" s="484"/>
      <c r="AA155" s="479"/>
      <c r="AB155" s="479"/>
      <c r="AC155" s="479"/>
      <c r="AD155" s="479"/>
      <c r="AE155" s="479"/>
      <c r="AF155" s="479"/>
      <c r="AI155" s="479"/>
      <c r="AJ155" s="479"/>
      <c r="AK155" s="485"/>
      <c r="AL155" s="479"/>
      <c r="AM155" s="472"/>
      <c r="AN155" s="472"/>
    </row>
    <row r="156" spans="3:40">
      <c r="C156" s="455"/>
      <c r="T156" s="455"/>
    </row>
    <row r="157" spans="3:40">
      <c r="C157" s="455"/>
      <c r="F157" s="470"/>
      <c r="H157" s="470"/>
      <c r="I157" s="470"/>
      <c r="L157" s="470"/>
      <c r="M157" s="470"/>
      <c r="N157" s="472"/>
      <c r="O157" s="472"/>
      <c r="P157" s="476"/>
      <c r="Q157" s="476"/>
      <c r="R157" s="470"/>
      <c r="T157" s="455"/>
      <c r="V157" s="470"/>
      <c r="Y157" s="470"/>
      <c r="AA157" s="470"/>
      <c r="AB157" s="470"/>
      <c r="AC157" s="472"/>
      <c r="AD157" s="472"/>
      <c r="AE157" s="470"/>
      <c r="AF157" s="470"/>
      <c r="AH157" s="472"/>
      <c r="AI157" s="476"/>
      <c r="AJ157" s="476"/>
      <c r="AL157" s="470"/>
      <c r="AM157" s="472"/>
      <c r="AN157" s="472"/>
    </row>
    <row r="158" spans="3:40">
      <c r="F158" s="479"/>
      <c r="H158" s="479"/>
      <c r="I158" s="479"/>
      <c r="J158" s="484"/>
      <c r="K158" s="484"/>
      <c r="L158" s="479"/>
      <c r="M158" s="479"/>
      <c r="N158" s="479"/>
      <c r="O158" s="479"/>
      <c r="P158" s="479"/>
      <c r="Q158" s="479"/>
      <c r="R158" s="479"/>
      <c r="V158" s="479"/>
      <c r="Y158" s="479"/>
      <c r="Z158" s="484"/>
      <c r="AA158" s="479"/>
      <c r="AB158" s="479"/>
      <c r="AC158" s="479"/>
      <c r="AD158" s="479"/>
      <c r="AE158" s="479"/>
      <c r="AF158" s="479"/>
      <c r="AI158" s="479"/>
      <c r="AJ158" s="479"/>
      <c r="AK158" s="485"/>
      <c r="AL158" s="479"/>
    </row>
    <row r="160" spans="3:40">
      <c r="C160" s="455"/>
      <c r="L160" s="470"/>
      <c r="M160" s="470"/>
      <c r="N160" s="470"/>
      <c r="O160" s="470"/>
      <c r="P160" s="470"/>
      <c r="Q160" s="470"/>
      <c r="R160" s="470"/>
      <c r="S160" s="470"/>
      <c r="T160" s="455"/>
      <c r="AA160" s="470"/>
      <c r="AB160" s="470"/>
      <c r="AC160" s="470"/>
      <c r="AD160" s="470"/>
      <c r="AI160" s="470"/>
      <c r="AJ160" s="470"/>
      <c r="AL160" s="470"/>
    </row>
    <row r="161" spans="1:40">
      <c r="A161" s="455"/>
    </row>
    <row r="163" spans="1:40">
      <c r="H163" s="455"/>
      <c r="I163" s="455"/>
      <c r="Y163" s="455"/>
    </row>
    <row r="165" spans="1:40">
      <c r="L165" s="455"/>
      <c r="M165" s="455"/>
      <c r="AA165" s="455"/>
      <c r="AB165" s="455"/>
    </row>
    <row r="166" spans="1:40">
      <c r="R166" s="455"/>
      <c r="AK166" s="456"/>
      <c r="AL166" s="455"/>
    </row>
    <row r="167" spans="1:40">
      <c r="R167" s="455"/>
      <c r="AK167" s="456"/>
      <c r="AL167" s="455"/>
    </row>
    <row r="168" spans="1:40">
      <c r="A168" s="455"/>
      <c r="R168" s="455"/>
      <c r="AK168" s="456"/>
      <c r="AL168" s="455"/>
    </row>
    <row r="169" spans="1:40">
      <c r="L169" s="455"/>
      <c r="M169" s="455"/>
      <c r="AA169" s="455"/>
      <c r="AB169" s="455"/>
    </row>
    <row r="170" spans="1:40">
      <c r="A170" s="460"/>
      <c r="B170" s="460"/>
      <c r="C170" s="460"/>
      <c r="D170" s="460"/>
      <c r="E170" s="460"/>
      <c r="F170" s="460"/>
      <c r="G170" s="460"/>
      <c r="H170" s="460"/>
      <c r="I170" s="460"/>
      <c r="J170" s="460"/>
      <c r="K170" s="460"/>
      <c r="L170" s="460"/>
      <c r="M170" s="460"/>
      <c r="N170" s="460"/>
      <c r="O170" s="460"/>
      <c r="P170" s="460"/>
      <c r="Q170" s="460"/>
      <c r="R170" s="460"/>
      <c r="T170" s="460"/>
      <c r="U170" s="460"/>
      <c r="V170" s="460"/>
      <c r="W170" s="460"/>
      <c r="X170" s="460"/>
      <c r="Y170" s="460"/>
      <c r="Z170" s="460"/>
      <c r="AA170" s="460"/>
      <c r="AB170" s="460"/>
      <c r="AC170" s="460"/>
      <c r="AD170" s="460"/>
      <c r="AE170" s="460"/>
      <c r="AF170" s="460"/>
      <c r="AG170" s="461"/>
      <c r="AH170" s="460"/>
      <c r="AI170" s="460"/>
      <c r="AJ170" s="460"/>
      <c r="AK170" s="461"/>
      <c r="AL170" s="460"/>
      <c r="AM170" s="460"/>
      <c r="AN170" s="460"/>
    </row>
    <row r="171" spans="1:40">
      <c r="L171" s="462"/>
      <c r="M171" s="462"/>
      <c r="N171" s="462"/>
      <c r="O171" s="462"/>
      <c r="R171" s="462"/>
      <c r="AA171" s="462"/>
      <c r="AB171" s="462"/>
      <c r="AC171" s="462"/>
      <c r="AD171" s="462"/>
      <c r="AE171" s="462"/>
      <c r="AF171" s="462"/>
      <c r="AG171" s="463"/>
      <c r="AH171" s="462"/>
      <c r="AK171" s="463"/>
      <c r="AL171" s="462"/>
      <c r="AM171" s="462"/>
      <c r="AN171" s="462"/>
    </row>
    <row r="172" spans="1:40">
      <c r="L172" s="462"/>
      <c r="M172" s="462"/>
      <c r="N172" s="462"/>
      <c r="O172" s="462"/>
      <c r="R172" s="462"/>
      <c r="Z172" s="462"/>
      <c r="AA172" s="462"/>
      <c r="AB172" s="462"/>
      <c r="AC172" s="462"/>
      <c r="AD172" s="462"/>
      <c r="AE172" s="462"/>
      <c r="AF172" s="462"/>
      <c r="AG172" s="463"/>
      <c r="AH172" s="462"/>
      <c r="AK172" s="463"/>
      <c r="AL172" s="462"/>
      <c r="AM172" s="462"/>
      <c r="AN172" s="462"/>
    </row>
    <row r="173" spans="1:40">
      <c r="A173" s="462"/>
      <c r="C173" s="462"/>
      <c r="D173" s="462"/>
      <c r="E173" s="462"/>
      <c r="F173" s="462"/>
      <c r="J173" s="462"/>
      <c r="K173" s="462"/>
      <c r="L173" s="462"/>
      <c r="M173" s="462"/>
      <c r="N173" s="462"/>
      <c r="O173" s="462"/>
      <c r="P173" s="462"/>
      <c r="Q173" s="462"/>
      <c r="R173" s="462"/>
      <c r="T173" s="462"/>
      <c r="U173" s="462"/>
      <c r="V173" s="462"/>
      <c r="Z173" s="462"/>
      <c r="AA173" s="462"/>
      <c r="AB173" s="462"/>
      <c r="AC173" s="462"/>
      <c r="AD173" s="462"/>
      <c r="AE173" s="462"/>
      <c r="AF173" s="462"/>
      <c r="AG173" s="463"/>
      <c r="AH173" s="462"/>
      <c r="AI173" s="462"/>
      <c r="AJ173" s="462"/>
      <c r="AK173" s="463"/>
      <c r="AL173" s="462"/>
      <c r="AM173" s="462"/>
      <c r="AN173" s="462"/>
    </row>
    <row r="174" spans="1:40">
      <c r="A174" s="462"/>
      <c r="C174" s="462"/>
      <c r="D174" s="462"/>
      <c r="E174" s="462"/>
      <c r="F174" s="462"/>
      <c r="H174" s="462"/>
      <c r="I174" s="462"/>
      <c r="J174" s="462"/>
      <c r="K174" s="462"/>
      <c r="L174" s="462"/>
      <c r="M174" s="462"/>
      <c r="N174" s="462"/>
      <c r="O174" s="462"/>
      <c r="P174" s="462"/>
      <c r="Q174" s="462"/>
      <c r="R174" s="462"/>
      <c r="T174" s="462"/>
      <c r="U174" s="462"/>
      <c r="V174" s="462"/>
      <c r="Y174" s="462"/>
      <c r="Z174" s="462"/>
      <c r="AA174" s="462"/>
      <c r="AB174" s="462"/>
      <c r="AC174" s="462"/>
      <c r="AD174" s="462"/>
      <c r="AE174" s="462"/>
      <c r="AF174" s="462"/>
      <c r="AG174" s="463"/>
      <c r="AH174" s="462"/>
      <c r="AI174" s="462"/>
      <c r="AJ174" s="462"/>
      <c r="AK174" s="463"/>
      <c r="AL174" s="462"/>
      <c r="AM174" s="462"/>
      <c r="AN174" s="462"/>
    </row>
    <row r="175" spans="1:40">
      <c r="C175" s="462"/>
      <c r="D175" s="462"/>
      <c r="E175" s="462"/>
      <c r="F175" s="462"/>
      <c r="H175" s="462"/>
      <c r="I175" s="462"/>
      <c r="J175" s="462"/>
      <c r="K175" s="462"/>
      <c r="L175" s="462"/>
      <c r="M175" s="462"/>
      <c r="N175" s="462"/>
      <c r="O175" s="462"/>
      <c r="P175" s="462"/>
      <c r="Q175" s="462"/>
      <c r="R175" s="462"/>
      <c r="T175" s="462"/>
      <c r="U175" s="462"/>
      <c r="V175" s="462"/>
      <c r="Y175" s="462"/>
      <c r="Z175" s="462"/>
      <c r="AA175" s="462"/>
      <c r="AB175" s="462"/>
      <c r="AC175" s="462"/>
      <c r="AD175" s="462"/>
      <c r="AE175" s="462"/>
      <c r="AF175" s="462"/>
      <c r="AG175" s="463"/>
      <c r="AH175" s="462"/>
      <c r="AI175" s="462"/>
      <c r="AJ175" s="462"/>
      <c r="AK175" s="463"/>
      <c r="AL175" s="462"/>
      <c r="AM175" s="462"/>
      <c r="AN175" s="462"/>
    </row>
    <row r="176" spans="1:40">
      <c r="A176" s="460"/>
      <c r="B176" s="460"/>
      <c r="C176" s="460"/>
      <c r="D176" s="460"/>
      <c r="E176" s="460"/>
      <c r="F176" s="460"/>
      <c r="G176" s="460"/>
      <c r="H176" s="460"/>
      <c r="I176" s="460"/>
      <c r="J176" s="460"/>
      <c r="K176" s="460"/>
      <c r="L176" s="460"/>
      <c r="M176" s="460"/>
      <c r="N176" s="460"/>
      <c r="O176" s="460"/>
      <c r="P176" s="460"/>
      <c r="Q176" s="460"/>
      <c r="R176" s="460"/>
      <c r="T176" s="460"/>
      <c r="U176" s="460"/>
      <c r="V176" s="460"/>
      <c r="W176" s="460"/>
      <c r="X176" s="460"/>
      <c r="Y176" s="460"/>
      <c r="Z176" s="460"/>
      <c r="AA176" s="460"/>
      <c r="AB176" s="460"/>
      <c r="AC176" s="460"/>
      <c r="AD176" s="460"/>
      <c r="AE176" s="460"/>
      <c r="AF176" s="460"/>
      <c r="AG176" s="461"/>
      <c r="AH176" s="460"/>
      <c r="AI176" s="460"/>
      <c r="AJ176" s="460"/>
      <c r="AK176" s="461"/>
      <c r="AL176" s="460"/>
      <c r="AM176" s="460"/>
      <c r="AN176" s="460"/>
    </row>
    <row r="177" spans="3:40">
      <c r="H177" s="462"/>
      <c r="I177" s="462"/>
      <c r="J177" s="462"/>
      <c r="K177" s="462"/>
      <c r="L177" s="462"/>
      <c r="M177" s="462"/>
      <c r="N177" s="462"/>
      <c r="O177" s="462"/>
      <c r="P177" s="462"/>
      <c r="Q177" s="462"/>
      <c r="R177" s="462"/>
      <c r="Y177" s="462"/>
      <c r="Z177" s="462"/>
      <c r="AA177" s="462"/>
      <c r="AB177" s="462"/>
      <c r="AC177" s="462"/>
      <c r="AD177" s="462"/>
      <c r="AE177" s="462"/>
      <c r="AF177" s="462"/>
      <c r="AG177" s="463"/>
      <c r="AH177" s="462"/>
      <c r="AI177" s="462"/>
      <c r="AJ177" s="462"/>
      <c r="AK177" s="463"/>
      <c r="AL177" s="462"/>
      <c r="AM177" s="462"/>
      <c r="AN177" s="462"/>
    </row>
    <row r="178" spans="3:40">
      <c r="C178" s="455"/>
      <c r="D178" s="455"/>
      <c r="E178" s="455"/>
      <c r="T178" s="455"/>
      <c r="U178" s="455"/>
    </row>
    <row r="179" spans="3:40">
      <c r="D179" s="455"/>
      <c r="E179" s="455"/>
      <c r="U179" s="455"/>
    </row>
    <row r="181" spans="3:40">
      <c r="C181" s="455"/>
      <c r="F181" s="476"/>
      <c r="H181" s="476"/>
      <c r="I181" s="476"/>
      <c r="J181" s="471"/>
      <c r="K181" s="471"/>
      <c r="L181" s="470"/>
      <c r="M181" s="470"/>
      <c r="N181" s="472"/>
      <c r="O181" s="472"/>
      <c r="R181" s="470"/>
      <c r="T181" s="455"/>
      <c r="V181" s="470"/>
      <c r="Y181" s="476"/>
      <c r="Z181" s="471"/>
      <c r="AA181" s="470"/>
      <c r="AB181" s="470"/>
      <c r="AC181" s="472"/>
      <c r="AD181" s="472"/>
      <c r="AE181" s="470"/>
      <c r="AF181" s="470"/>
      <c r="AG181" s="526"/>
      <c r="AH181" s="527"/>
      <c r="AL181" s="470"/>
      <c r="AM181" s="528"/>
      <c r="AN181" s="528"/>
    </row>
    <row r="182" spans="3:40">
      <c r="C182" s="455"/>
      <c r="F182" s="476"/>
      <c r="H182" s="476"/>
      <c r="I182" s="476"/>
      <c r="J182" s="471"/>
      <c r="K182" s="471"/>
      <c r="L182" s="470"/>
      <c r="M182" s="470"/>
      <c r="N182" s="472"/>
      <c r="O182" s="472"/>
      <c r="R182" s="470"/>
      <c r="T182" s="455"/>
      <c r="V182" s="470"/>
      <c r="Y182" s="476"/>
      <c r="Z182" s="471"/>
      <c r="AA182" s="470"/>
      <c r="AB182" s="470"/>
      <c r="AC182" s="472"/>
      <c r="AD182" s="472"/>
      <c r="AE182" s="470"/>
      <c r="AF182" s="470"/>
      <c r="AH182" s="529"/>
      <c r="AL182" s="470"/>
      <c r="AM182" s="472"/>
      <c r="AN182" s="472"/>
    </row>
    <row r="183" spans="3:40">
      <c r="F183" s="479"/>
      <c r="H183" s="470"/>
      <c r="I183" s="470"/>
      <c r="J183" s="484"/>
      <c r="K183" s="484"/>
      <c r="L183" s="479"/>
      <c r="M183" s="479"/>
      <c r="N183" s="479"/>
      <c r="O183" s="479"/>
      <c r="P183" s="479"/>
      <c r="Q183" s="479"/>
      <c r="R183" s="479"/>
      <c r="V183" s="479"/>
      <c r="Y183" s="470"/>
      <c r="Z183" s="484"/>
      <c r="AA183" s="479"/>
      <c r="AB183" s="479"/>
      <c r="AC183" s="479"/>
      <c r="AD183" s="479"/>
      <c r="AE183" s="479"/>
      <c r="AF183" s="479"/>
      <c r="AI183" s="479"/>
      <c r="AJ183" s="479"/>
      <c r="AK183" s="485"/>
      <c r="AL183" s="479"/>
      <c r="AM183" s="472"/>
      <c r="AN183" s="472"/>
    </row>
    <row r="184" spans="3:40">
      <c r="C184" s="455"/>
      <c r="F184" s="470"/>
      <c r="H184" s="470"/>
      <c r="I184" s="470"/>
      <c r="J184" s="484"/>
      <c r="K184" s="484"/>
      <c r="L184" s="470"/>
      <c r="M184" s="470"/>
      <c r="N184" s="472"/>
      <c r="O184" s="472"/>
      <c r="P184" s="470"/>
      <c r="Q184" s="470"/>
      <c r="R184" s="470"/>
      <c r="T184" s="455"/>
      <c r="V184" s="470"/>
      <c r="Y184" s="470"/>
      <c r="Z184" s="503"/>
      <c r="AA184" s="470"/>
      <c r="AB184" s="470"/>
      <c r="AC184" s="472"/>
      <c r="AD184" s="472"/>
      <c r="AE184" s="470"/>
      <c r="AF184" s="470"/>
      <c r="AH184" s="529"/>
      <c r="AI184" s="470"/>
      <c r="AJ184" s="470"/>
      <c r="AL184" s="470"/>
      <c r="AM184" s="472"/>
      <c r="AN184" s="472"/>
    </row>
    <row r="185" spans="3:40">
      <c r="F185" s="479"/>
      <c r="H185" s="470"/>
      <c r="I185" s="470"/>
      <c r="J185" s="484"/>
      <c r="K185" s="484"/>
      <c r="L185" s="479"/>
      <c r="M185" s="479"/>
      <c r="N185" s="479"/>
      <c r="O185" s="479"/>
      <c r="P185" s="479"/>
      <c r="Q185" s="479"/>
      <c r="R185" s="479"/>
      <c r="V185" s="479"/>
      <c r="Y185" s="470"/>
      <c r="Z185" s="484"/>
      <c r="AA185" s="479"/>
      <c r="AB185" s="479"/>
      <c r="AC185" s="479"/>
      <c r="AD185" s="479"/>
      <c r="AE185" s="479"/>
      <c r="AF185" s="479"/>
      <c r="AI185" s="479"/>
      <c r="AJ185" s="479"/>
      <c r="AK185" s="485"/>
      <c r="AL185" s="479"/>
      <c r="AM185" s="472"/>
      <c r="AN185" s="472"/>
    </row>
    <row r="186" spans="3:40">
      <c r="F186" s="470"/>
      <c r="H186" s="470"/>
      <c r="I186" s="470"/>
      <c r="J186" s="484"/>
      <c r="K186" s="484"/>
      <c r="L186" s="470"/>
      <c r="M186" s="470"/>
      <c r="N186" s="472"/>
      <c r="O186" s="472"/>
      <c r="P186" s="470"/>
      <c r="Q186" s="470"/>
      <c r="R186" s="470"/>
      <c r="V186" s="470"/>
      <c r="Y186" s="470"/>
      <c r="Z186" s="503"/>
      <c r="AA186" s="470"/>
      <c r="AB186" s="470"/>
      <c r="AC186" s="472"/>
      <c r="AD186" s="472"/>
      <c r="AE186" s="470"/>
      <c r="AF186" s="470"/>
      <c r="AH186" s="529"/>
      <c r="AI186" s="470"/>
      <c r="AJ186" s="470"/>
      <c r="AL186" s="470"/>
      <c r="AM186" s="472"/>
      <c r="AN186" s="472"/>
    </row>
    <row r="187" spans="3:40">
      <c r="C187" s="455"/>
      <c r="F187" s="476"/>
      <c r="H187" s="476"/>
      <c r="I187" s="476"/>
      <c r="J187" s="471"/>
      <c r="K187" s="471"/>
      <c r="L187" s="470"/>
      <c r="M187" s="470"/>
      <c r="N187" s="472"/>
      <c r="O187" s="472"/>
      <c r="P187" s="470"/>
      <c r="Q187" s="470"/>
      <c r="R187" s="470"/>
      <c r="T187" s="455"/>
      <c r="V187" s="476"/>
      <c r="Y187" s="470"/>
      <c r="Z187" s="471"/>
      <c r="AA187" s="470"/>
      <c r="AB187" s="470"/>
      <c r="AC187" s="472"/>
      <c r="AD187" s="472"/>
      <c r="AE187" s="470"/>
      <c r="AF187" s="470"/>
      <c r="AG187" s="526"/>
      <c r="AH187" s="527"/>
      <c r="AI187" s="470"/>
      <c r="AJ187" s="470"/>
      <c r="AL187" s="470"/>
      <c r="AM187" s="528"/>
      <c r="AN187" s="528"/>
    </row>
    <row r="188" spans="3:40">
      <c r="C188" s="455"/>
      <c r="F188" s="476"/>
      <c r="H188" s="476"/>
      <c r="I188" s="476"/>
      <c r="J188" s="471"/>
      <c r="K188" s="471"/>
      <c r="L188" s="470"/>
      <c r="M188" s="470"/>
      <c r="N188" s="472"/>
      <c r="O188" s="472"/>
      <c r="P188" s="470"/>
      <c r="Q188" s="470"/>
      <c r="R188" s="470"/>
      <c r="T188" s="455"/>
      <c r="V188" s="476"/>
      <c r="Y188" s="470"/>
      <c r="Z188" s="471"/>
      <c r="AA188" s="470"/>
      <c r="AB188" s="470"/>
      <c r="AC188" s="472"/>
      <c r="AD188" s="472"/>
      <c r="AE188" s="470"/>
      <c r="AF188" s="470"/>
      <c r="AH188" s="529"/>
      <c r="AI188" s="470"/>
      <c r="AJ188" s="470"/>
      <c r="AL188" s="470"/>
      <c r="AM188" s="472"/>
      <c r="AN188" s="472"/>
    </row>
    <row r="189" spans="3:40">
      <c r="F189" s="470"/>
      <c r="H189" s="479"/>
      <c r="I189" s="479"/>
      <c r="J189" s="484"/>
      <c r="K189" s="484"/>
      <c r="L189" s="479"/>
      <c r="M189" s="479"/>
      <c r="N189" s="479"/>
      <c r="O189" s="479"/>
      <c r="P189" s="479"/>
      <c r="Q189" s="479"/>
      <c r="R189" s="479"/>
      <c r="V189" s="470"/>
      <c r="Y189" s="479"/>
      <c r="Z189" s="484"/>
      <c r="AA189" s="479"/>
      <c r="AB189" s="479"/>
      <c r="AC189" s="479"/>
      <c r="AD189" s="479"/>
      <c r="AE189" s="479"/>
      <c r="AF189" s="479"/>
      <c r="AI189" s="479"/>
      <c r="AJ189" s="479"/>
      <c r="AK189" s="485"/>
      <c r="AL189" s="479"/>
      <c r="AM189" s="472"/>
      <c r="AN189" s="472"/>
    </row>
    <row r="190" spans="3:40">
      <c r="C190" s="455"/>
      <c r="F190" s="470"/>
      <c r="H190" s="470"/>
      <c r="I190" s="470"/>
      <c r="J190" s="484"/>
      <c r="K190" s="484"/>
      <c r="L190" s="470"/>
      <c r="M190" s="470"/>
      <c r="N190" s="472"/>
      <c r="O190" s="472"/>
      <c r="P190" s="470"/>
      <c r="Q190" s="470"/>
      <c r="R190" s="470"/>
      <c r="T190" s="455"/>
      <c r="V190" s="470"/>
      <c r="Y190" s="470"/>
      <c r="Z190" s="484"/>
      <c r="AA190" s="470"/>
      <c r="AB190" s="470"/>
      <c r="AC190" s="472"/>
      <c r="AD190" s="472"/>
      <c r="AE190" s="470"/>
      <c r="AF190" s="470"/>
      <c r="AH190" s="529"/>
      <c r="AI190" s="470"/>
      <c r="AJ190" s="470"/>
      <c r="AL190" s="470"/>
      <c r="AM190" s="472"/>
      <c r="AN190" s="472"/>
    </row>
    <row r="191" spans="3:40">
      <c r="F191" s="470"/>
      <c r="H191" s="479"/>
      <c r="I191" s="479"/>
      <c r="J191" s="484"/>
      <c r="K191" s="484"/>
      <c r="L191" s="479"/>
      <c r="M191" s="479"/>
      <c r="N191" s="479"/>
      <c r="O191" s="479"/>
      <c r="P191" s="479"/>
      <c r="Q191" s="479"/>
      <c r="R191" s="479"/>
      <c r="V191" s="470"/>
      <c r="Y191" s="479"/>
      <c r="Z191" s="484"/>
      <c r="AA191" s="479"/>
      <c r="AB191" s="479"/>
      <c r="AC191" s="479"/>
      <c r="AD191" s="479"/>
      <c r="AE191" s="479"/>
      <c r="AF191" s="479"/>
      <c r="AI191" s="479"/>
      <c r="AJ191" s="479"/>
      <c r="AK191" s="485"/>
      <c r="AL191" s="479"/>
      <c r="AM191" s="472"/>
      <c r="AN191" s="472"/>
    </row>
    <row r="192" spans="3:40">
      <c r="F192" s="470"/>
      <c r="H192" s="470"/>
      <c r="I192" s="470"/>
      <c r="J192" s="484"/>
      <c r="K192" s="484"/>
      <c r="L192" s="470"/>
      <c r="M192" s="470"/>
      <c r="N192" s="470"/>
      <c r="O192" s="470"/>
      <c r="P192" s="470"/>
      <c r="Q192" s="470"/>
      <c r="R192" s="470"/>
      <c r="V192" s="470"/>
      <c r="Y192" s="470"/>
      <c r="Z192" s="484"/>
      <c r="AA192" s="470"/>
      <c r="AB192" s="470"/>
      <c r="AC192" s="470"/>
      <c r="AD192" s="470"/>
      <c r="AE192" s="470"/>
      <c r="AF192" s="470"/>
      <c r="AH192" s="529"/>
      <c r="AI192" s="470"/>
      <c r="AJ192" s="470"/>
      <c r="AL192" s="470"/>
      <c r="AM192" s="472"/>
      <c r="AN192" s="472"/>
    </row>
    <row r="193" spans="1:40">
      <c r="C193" s="455"/>
      <c r="F193" s="476"/>
      <c r="H193" s="476"/>
      <c r="I193" s="476"/>
      <c r="J193" s="518"/>
      <c r="K193" s="518"/>
      <c r="L193" s="470"/>
      <c r="M193" s="470"/>
      <c r="N193" s="472"/>
      <c r="O193" s="472"/>
      <c r="P193" s="476"/>
      <c r="Q193" s="476"/>
      <c r="R193" s="470"/>
      <c r="T193" s="455"/>
      <c r="V193" s="476"/>
      <c r="Y193" s="476"/>
      <c r="Z193" s="530"/>
      <c r="AA193" s="470"/>
      <c r="AB193" s="470"/>
      <c r="AC193" s="472"/>
      <c r="AD193" s="472"/>
      <c r="AE193" s="470"/>
      <c r="AF193" s="470"/>
      <c r="AH193" s="529"/>
      <c r="AI193" s="476"/>
      <c r="AJ193" s="476"/>
      <c r="AL193" s="470"/>
      <c r="AM193" s="472"/>
      <c r="AN193" s="472"/>
    </row>
    <row r="194" spans="1:40">
      <c r="C194" s="455"/>
      <c r="F194" s="476"/>
      <c r="H194" s="476"/>
      <c r="I194" s="476"/>
      <c r="J194" s="518"/>
      <c r="K194" s="518"/>
      <c r="L194" s="470"/>
      <c r="M194" s="470"/>
      <c r="N194" s="472"/>
      <c r="O194" s="472"/>
      <c r="P194" s="476"/>
      <c r="Q194" s="476"/>
      <c r="R194" s="470"/>
      <c r="T194" s="455"/>
      <c r="V194" s="476"/>
      <c r="Y194" s="470"/>
      <c r="Z194" s="483"/>
      <c r="AA194" s="470"/>
      <c r="AB194" s="470"/>
      <c r="AC194" s="472"/>
      <c r="AD194" s="472"/>
      <c r="AE194" s="470"/>
      <c r="AF194" s="470"/>
      <c r="AH194" s="529"/>
      <c r="AI194" s="476"/>
      <c r="AJ194" s="476"/>
      <c r="AL194" s="470"/>
      <c r="AM194" s="472"/>
      <c r="AN194" s="472"/>
    </row>
    <row r="195" spans="1:40">
      <c r="C195" s="455"/>
      <c r="F195" s="476"/>
      <c r="H195" s="476"/>
      <c r="I195" s="476"/>
      <c r="J195" s="518"/>
      <c r="K195" s="518"/>
      <c r="L195" s="470"/>
      <c r="M195" s="470"/>
      <c r="N195" s="472"/>
      <c r="O195" s="472"/>
      <c r="P195" s="476"/>
      <c r="Q195" s="476"/>
      <c r="R195" s="470"/>
      <c r="T195" s="455"/>
      <c r="V195" s="476"/>
      <c r="Y195" s="470"/>
      <c r="Z195" s="483"/>
      <c r="AA195" s="470"/>
      <c r="AB195" s="470"/>
      <c r="AC195" s="472"/>
      <c r="AD195" s="472"/>
      <c r="AE195" s="470"/>
      <c r="AF195" s="470"/>
      <c r="AH195" s="529"/>
      <c r="AI195" s="476"/>
      <c r="AJ195" s="476"/>
      <c r="AL195" s="470"/>
      <c r="AM195" s="472"/>
      <c r="AN195" s="472"/>
    </row>
    <row r="196" spans="1:40">
      <c r="F196" s="479"/>
      <c r="H196" s="479"/>
      <c r="I196" s="479"/>
      <c r="J196" s="484"/>
      <c r="K196" s="484"/>
      <c r="L196" s="479"/>
      <c r="M196" s="479"/>
      <c r="N196" s="479"/>
      <c r="O196" s="479"/>
      <c r="P196" s="479"/>
      <c r="Q196" s="479"/>
      <c r="R196" s="479"/>
      <c r="V196" s="479"/>
      <c r="Y196" s="479"/>
      <c r="Z196" s="484"/>
      <c r="AA196" s="479"/>
      <c r="AB196" s="479"/>
      <c r="AC196" s="479"/>
      <c r="AD196" s="479"/>
      <c r="AE196" s="479"/>
      <c r="AF196" s="479"/>
      <c r="AI196" s="479"/>
      <c r="AJ196" s="479"/>
      <c r="AK196" s="485"/>
      <c r="AL196" s="479"/>
      <c r="AM196" s="472"/>
      <c r="AN196" s="472"/>
    </row>
    <row r="197" spans="1:40">
      <c r="C197" s="455"/>
      <c r="F197" s="470"/>
      <c r="H197" s="470"/>
      <c r="I197" s="470"/>
      <c r="J197" s="503"/>
      <c r="K197" s="503"/>
      <c r="L197" s="470"/>
      <c r="M197" s="470"/>
      <c r="N197" s="472"/>
      <c r="O197" s="472"/>
      <c r="P197" s="470"/>
      <c r="Q197" s="470"/>
      <c r="R197" s="470"/>
      <c r="T197" s="455"/>
      <c r="V197" s="470"/>
      <c r="Y197" s="470"/>
      <c r="Z197" s="503"/>
      <c r="AA197" s="470"/>
      <c r="AB197" s="470"/>
      <c r="AC197" s="472"/>
      <c r="AD197" s="472"/>
      <c r="AE197" s="470"/>
      <c r="AF197" s="470"/>
      <c r="AH197" s="529"/>
      <c r="AI197" s="470"/>
      <c r="AJ197" s="470"/>
      <c r="AL197" s="470"/>
      <c r="AM197" s="472"/>
      <c r="AN197" s="472"/>
    </row>
    <row r="198" spans="1:40">
      <c r="F198" s="479"/>
      <c r="H198" s="479"/>
      <c r="I198" s="479"/>
      <c r="J198" s="484"/>
      <c r="K198" s="484"/>
      <c r="L198" s="479"/>
      <c r="M198" s="479"/>
      <c r="N198" s="479"/>
      <c r="O198" s="479"/>
      <c r="P198" s="479"/>
      <c r="Q198" s="479"/>
      <c r="R198" s="479"/>
      <c r="V198" s="479"/>
      <c r="Y198" s="479"/>
      <c r="Z198" s="484"/>
      <c r="AA198" s="479"/>
      <c r="AB198" s="479"/>
      <c r="AC198" s="479"/>
      <c r="AD198" s="479"/>
      <c r="AE198" s="479"/>
      <c r="AF198" s="479"/>
      <c r="AI198" s="479"/>
      <c r="AJ198" s="479"/>
      <c r="AK198" s="485"/>
      <c r="AL198" s="479"/>
      <c r="AM198" s="472"/>
      <c r="AN198" s="472"/>
    </row>
    <row r="199" spans="1:40">
      <c r="C199" s="455"/>
      <c r="F199" s="470"/>
      <c r="H199" s="470"/>
      <c r="I199" s="470"/>
      <c r="J199" s="503"/>
      <c r="K199" s="503"/>
      <c r="L199" s="470"/>
      <c r="M199" s="470"/>
      <c r="N199" s="472"/>
      <c r="O199" s="472"/>
      <c r="P199" s="470"/>
      <c r="Q199" s="470"/>
      <c r="R199" s="470"/>
      <c r="T199" s="455"/>
      <c r="V199" s="470"/>
      <c r="Y199" s="470"/>
      <c r="Z199" s="503"/>
      <c r="AA199" s="470"/>
      <c r="AB199" s="470"/>
      <c r="AC199" s="472"/>
      <c r="AD199" s="472"/>
      <c r="AE199" s="470"/>
      <c r="AF199" s="470"/>
      <c r="AH199" s="529"/>
      <c r="AI199" s="470"/>
      <c r="AJ199" s="470"/>
      <c r="AL199" s="470"/>
      <c r="AM199" s="472"/>
      <c r="AN199" s="472"/>
    </row>
    <row r="200" spans="1:40">
      <c r="C200" s="455"/>
      <c r="F200" s="470"/>
      <c r="H200" s="470"/>
      <c r="I200" s="470"/>
      <c r="J200" s="503"/>
      <c r="K200" s="503"/>
      <c r="L200" s="470"/>
      <c r="M200" s="470"/>
      <c r="N200" s="472"/>
      <c r="O200" s="472"/>
      <c r="P200" s="470"/>
      <c r="Q200" s="470"/>
      <c r="R200" s="470"/>
      <c r="T200" s="455"/>
      <c r="V200" s="470"/>
      <c r="Y200" s="470"/>
      <c r="Z200" s="503"/>
      <c r="AA200" s="470"/>
      <c r="AB200" s="470"/>
      <c r="AC200" s="472"/>
      <c r="AD200" s="472"/>
      <c r="AE200" s="470"/>
      <c r="AF200" s="470"/>
      <c r="AH200" s="529"/>
      <c r="AI200" s="470"/>
      <c r="AJ200" s="470"/>
      <c r="AL200" s="470"/>
      <c r="AM200" s="472"/>
      <c r="AN200" s="472"/>
    </row>
    <row r="201" spans="1:40">
      <c r="F201" s="479"/>
      <c r="H201" s="479"/>
      <c r="I201" s="479"/>
      <c r="J201" s="484"/>
      <c r="K201" s="484"/>
      <c r="L201" s="479"/>
      <c r="M201" s="479"/>
      <c r="N201" s="479"/>
      <c r="O201" s="479"/>
      <c r="P201" s="479"/>
      <c r="Q201" s="479"/>
      <c r="R201" s="479"/>
      <c r="V201" s="479"/>
      <c r="Y201" s="479"/>
      <c r="Z201" s="484"/>
      <c r="AA201" s="479"/>
      <c r="AB201" s="479"/>
      <c r="AC201" s="479"/>
      <c r="AD201" s="479"/>
      <c r="AE201" s="479"/>
      <c r="AF201" s="479"/>
      <c r="AI201" s="479"/>
      <c r="AJ201" s="479"/>
      <c r="AK201" s="485"/>
      <c r="AL201" s="479"/>
      <c r="AM201" s="470"/>
      <c r="AN201" s="470"/>
    </row>
    <row r="202" spans="1:40">
      <c r="F202" s="470"/>
      <c r="H202" s="470"/>
      <c r="I202" s="470"/>
      <c r="J202" s="503"/>
      <c r="K202" s="503"/>
      <c r="L202" s="470"/>
      <c r="M202" s="470"/>
      <c r="N202" s="470"/>
      <c r="O202" s="470"/>
      <c r="P202" s="470"/>
      <c r="Q202" s="470"/>
      <c r="R202" s="470"/>
      <c r="V202" s="470"/>
      <c r="Y202" s="470"/>
      <c r="Z202" s="503"/>
      <c r="AA202" s="470"/>
      <c r="AB202" s="470"/>
      <c r="AC202" s="470"/>
      <c r="AD202" s="470"/>
    </row>
    <row r="203" spans="1:40">
      <c r="C203" s="455"/>
      <c r="F203" s="470"/>
      <c r="H203" s="470"/>
      <c r="I203" s="470"/>
      <c r="J203" s="503"/>
      <c r="K203" s="503"/>
      <c r="L203" s="470"/>
      <c r="M203" s="470"/>
      <c r="N203" s="470"/>
      <c r="O203" s="470"/>
      <c r="P203" s="470"/>
      <c r="Q203" s="470"/>
      <c r="R203" s="470"/>
      <c r="T203" s="455"/>
      <c r="V203" s="470"/>
      <c r="Y203" s="470"/>
      <c r="Z203" s="503"/>
      <c r="AA203" s="470"/>
      <c r="AB203" s="470"/>
      <c r="AC203" s="470"/>
      <c r="AD203" s="470"/>
    </row>
    <row r="204" spans="1:40">
      <c r="A204" s="455"/>
    </row>
    <row r="206" spans="1:40">
      <c r="H206" s="455"/>
      <c r="I206" s="455"/>
      <c r="Y206" s="455"/>
    </row>
    <row r="208" spans="1:40">
      <c r="L208" s="455"/>
      <c r="M208" s="455"/>
      <c r="AA208" s="455"/>
      <c r="AB208" s="455"/>
    </row>
    <row r="209" spans="1:40">
      <c r="R209" s="455"/>
      <c r="AK209" s="456"/>
      <c r="AL209" s="455"/>
    </row>
    <row r="210" spans="1:40">
      <c r="R210" s="455"/>
      <c r="AK210" s="456"/>
      <c r="AL210" s="455"/>
    </row>
    <row r="211" spans="1:40">
      <c r="A211" s="455"/>
      <c r="R211" s="455"/>
      <c r="AK211" s="456"/>
      <c r="AL211" s="455"/>
    </row>
    <row r="212" spans="1:40">
      <c r="L212" s="455"/>
      <c r="M212" s="455"/>
      <c r="AA212" s="455"/>
      <c r="AB212" s="455"/>
    </row>
    <row r="213" spans="1:40">
      <c r="A213" s="460"/>
      <c r="B213" s="460"/>
      <c r="C213" s="460"/>
      <c r="D213" s="460"/>
      <c r="E213" s="460"/>
      <c r="F213" s="460"/>
      <c r="G213" s="460"/>
      <c r="H213" s="460"/>
      <c r="I213" s="460"/>
      <c r="J213" s="460"/>
      <c r="K213" s="460"/>
      <c r="L213" s="460"/>
      <c r="M213" s="460"/>
      <c r="N213" s="460"/>
      <c r="O213" s="460"/>
      <c r="P213" s="460"/>
      <c r="Q213" s="460"/>
      <c r="R213" s="460"/>
      <c r="T213" s="460"/>
      <c r="U213" s="460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1"/>
      <c r="AH213" s="460"/>
      <c r="AI213" s="460"/>
      <c r="AJ213" s="460"/>
      <c r="AK213" s="461"/>
      <c r="AL213" s="460"/>
      <c r="AM213" s="460"/>
      <c r="AN213" s="460"/>
    </row>
    <row r="214" spans="1:40">
      <c r="L214" s="462"/>
      <c r="M214" s="462"/>
      <c r="N214" s="462"/>
      <c r="O214" s="462"/>
      <c r="R214" s="462"/>
      <c r="AA214" s="462"/>
      <c r="AB214" s="462"/>
      <c r="AC214" s="462"/>
      <c r="AD214" s="462"/>
      <c r="AE214" s="462"/>
      <c r="AF214" s="462"/>
      <c r="AG214" s="463"/>
      <c r="AH214" s="462"/>
      <c r="AK214" s="463"/>
      <c r="AL214" s="462"/>
      <c r="AM214" s="462"/>
      <c r="AN214" s="462"/>
    </row>
    <row r="215" spans="1:40">
      <c r="L215" s="462"/>
      <c r="M215" s="462"/>
      <c r="N215" s="462"/>
      <c r="O215" s="462"/>
      <c r="R215" s="462"/>
      <c r="Z215" s="462"/>
      <c r="AA215" s="462"/>
      <c r="AB215" s="462"/>
      <c r="AC215" s="462"/>
      <c r="AD215" s="462"/>
      <c r="AE215" s="462"/>
      <c r="AF215" s="462"/>
      <c r="AG215" s="463"/>
      <c r="AH215" s="462"/>
      <c r="AK215" s="463"/>
      <c r="AL215" s="462"/>
      <c r="AM215" s="462"/>
      <c r="AN215" s="462"/>
    </row>
    <row r="216" spans="1:40">
      <c r="A216" s="462"/>
      <c r="C216" s="462"/>
      <c r="D216" s="462"/>
      <c r="E216" s="462"/>
      <c r="F216" s="462"/>
      <c r="J216" s="462"/>
      <c r="K216" s="462"/>
      <c r="L216" s="462"/>
      <c r="M216" s="462"/>
      <c r="N216" s="462"/>
      <c r="O216" s="462"/>
      <c r="P216" s="462"/>
      <c r="Q216" s="462"/>
      <c r="R216" s="462"/>
      <c r="T216" s="462"/>
      <c r="U216" s="462"/>
      <c r="V216" s="462"/>
      <c r="Z216" s="462"/>
      <c r="AA216" s="462"/>
      <c r="AB216" s="462"/>
      <c r="AC216" s="462"/>
      <c r="AD216" s="462"/>
      <c r="AE216" s="462"/>
      <c r="AF216" s="462"/>
      <c r="AG216" s="463"/>
      <c r="AH216" s="462"/>
      <c r="AI216" s="462"/>
      <c r="AJ216" s="462"/>
      <c r="AK216" s="463"/>
      <c r="AL216" s="462"/>
      <c r="AM216" s="462"/>
      <c r="AN216" s="462"/>
    </row>
    <row r="217" spans="1:40">
      <c r="A217" s="462"/>
      <c r="C217" s="462"/>
      <c r="D217" s="462"/>
      <c r="E217" s="462"/>
      <c r="F217" s="462"/>
      <c r="H217" s="462"/>
      <c r="I217" s="462"/>
      <c r="J217" s="462"/>
      <c r="K217" s="462"/>
      <c r="L217" s="462"/>
      <c r="M217" s="462"/>
      <c r="N217" s="462"/>
      <c r="O217" s="462"/>
      <c r="P217" s="462"/>
      <c r="Q217" s="462"/>
      <c r="R217" s="462"/>
      <c r="T217" s="462"/>
      <c r="U217" s="462"/>
      <c r="V217" s="462"/>
      <c r="Y217" s="462"/>
      <c r="Z217" s="462"/>
      <c r="AA217" s="462"/>
      <c r="AB217" s="462"/>
      <c r="AC217" s="462"/>
      <c r="AD217" s="462"/>
      <c r="AE217" s="462"/>
      <c r="AF217" s="462"/>
      <c r="AG217" s="463"/>
      <c r="AH217" s="462"/>
      <c r="AI217" s="462"/>
      <c r="AJ217" s="462"/>
      <c r="AK217" s="463"/>
      <c r="AL217" s="462"/>
      <c r="AM217" s="462"/>
      <c r="AN217" s="462"/>
    </row>
    <row r="218" spans="1:40">
      <c r="C218" s="462"/>
      <c r="D218" s="462"/>
      <c r="E218" s="462"/>
      <c r="F218" s="462"/>
      <c r="H218" s="462"/>
      <c r="I218" s="462"/>
      <c r="J218" s="462"/>
      <c r="K218" s="462"/>
      <c r="L218" s="462"/>
      <c r="M218" s="462"/>
      <c r="N218" s="462"/>
      <c r="O218" s="462"/>
      <c r="P218" s="462"/>
      <c r="Q218" s="462"/>
      <c r="R218" s="462"/>
      <c r="T218" s="462"/>
      <c r="U218" s="462"/>
      <c r="V218" s="462"/>
      <c r="Y218" s="462"/>
      <c r="Z218" s="462"/>
      <c r="AA218" s="462"/>
      <c r="AB218" s="462"/>
      <c r="AC218" s="462"/>
      <c r="AD218" s="462"/>
      <c r="AE218" s="462"/>
      <c r="AF218" s="462"/>
      <c r="AG218" s="463"/>
      <c r="AH218" s="462"/>
      <c r="AI218" s="462"/>
      <c r="AJ218" s="462"/>
      <c r="AK218" s="463"/>
      <c r="AL218" s="462"/>
      <c r="AM218" s="462"/>
      <c r="AN218" s="462"/>
    </row>
    <row r="219" spans="1:40">
      <c r="A219" s="460"/>
      <c r="B219" s="460"/>
      <c r="C219" s="460"/>
      <c r="D219" s="460"/>
      <c r="E219" s="460"/>
      <c r="F219" s="460"/>
      <c r="G219" s="460"/>
      <c r="H219" s="460"/>
      <c r="I219" s="460"/>
      <c r="J219" s="460"/>
      <c r="K219" s="460"/>
      <c r="L219" s="460"/>
      <c r="M219" s="460"/>
      <c r="N219" s="460"/>
      <c r="O219" s="460"/>
      <c r="P219" s="460"/>
      <c r="Q219" s="460"/>
      <c r="R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1"/>
      <c r="AH219" s="460"/>
      <c r="AI219" s="460"/>
      <c r="AJ219" s="460"/>
      <c r="AK219" s="461"/>
      <c r="AL219" s="460"/>
      <c r="AM219" s="460"/>
      <c r="AN219" s="460"/>
    </row>
    <row r="220" spans="1:40">
      <c r="H220" s="462"/>
      <c r="I220" s="462"/>
      <c r="J220" s="462"/>
      <c r="K220" s="462"/>
      <c r="L220" s="462"/>
      <c r="M220" s="462"/>
      <c r="N220" s="462"/>
      <c r="O220" s="462"/>
      <c r="P220" s="462"/>
      <c r="Q220" s="462"/>
      <c r="R220" s="462"/>
      <c r="Y220" s="462"/>
      <c r="Z220" s="462"/>
      <c r="AA220" s="462"/>
      <c r="AB220" s="462"/>
      <c r="AC220" s="462"/>
      <c r="AD220" s="462"/>
      <c r="AE220" s="462"/>
      <c r="AF220" s="462"/>
      <c r="AG220" s="463"/>
      <c r="AH220" s="462"/>
      <c r="AI220" s="462"/>
      <c r="AJ220" s="462"/>
      <c r="AK220" s="463"/>
      <c r="AL220" s="462"/>
      <c r="AM220" s="462"/>
      <c r="AN220" s="462"/>
    </row>
    <row r="221" spans="1:40">
      <c r="C221" s="455"/>
      <c r="D221" s="455"/>
      <c r="E221" s="455"/>
      <c r="T221" s="455"/>
      <c r="U221" s="455"/>
    </row>
    <row r="223" spans="1:40">
      <c r="C223" s="455"/>
      <c r="F223" s="476"/>
      <c r="H223" s="513"/>
      <c r="I223" s="513"/>
      <c r="J223" s="471"/>
      <c r="K223" s="471"/>
      <c r="L223" s="470"/>
      <c r="M223" s="470"/>
      <c r="R223" s="470"/>
      <c r="T223" s="455"/>
      <c r="V223" s="470"/>
      <c r="Z223" s="471"/>
      <c r="AA223" s="470"/>
      <c r="AB223" s="470"/>
      <c r="AE223" s="470"/>
      <c r="AF223" s="470"/>
      <c r="AG223" s="526"/>
      <c r="AH223" s="527"/>
      <c r="AI223" s="470"/>
      <c r="AJ223" s="470"/>
      <c r="AL223" s="470"/>
      <c r="AM223" s="528"/>
      <c r="AN223" s="528"/>
    </row>
    <row r="224" spans="1:40">
      <c r="F224" s="476"/>
      <c r="H224" s="513"/>
      <c r="I224" s="513"/>
      <c r="J224" s="513"/>
      <c r="K224" s="513"/>
      <c r="R224" s="470"/>
      <c r="V224" s="470"/>
      <c r="Z224" s="513"/>
    </row>
    <row r="225" spans="3:40">
      <c r="C225" s="455"/>
      <c r="F225" s="476"/>
      <c r="H225" s="476"/>
      <c r="I225" s="476"/>
      <c r="J225" s="518"/>
      <c r="K225" s="518"/>
      <c r="L225" s="470"/>
      <c r="M225" s="470"/>
      <c r="N225" s="472"/>
      <c r="O225" s="472"/>
      <c r="P225" s="476"/>
      <c r="Q225" s="476"/>
      <c r="R225" s="470"/>
      <c r="T225" s="455"/>
      <c r="V225" s="470"/>
      <c r="Y225" s="470"/>
      <c r="Z225" s="483"/>
      <c r="AA225" s="470"/>
      <c r="AB225" s="470"/>
      <c r="AC225" s="472"/>
      <c r="AD225" s="472"/>
      <c r="AE225" s="470"/>
      <c r="AF225" s="470"/>
      <c r="AH225" s="529"/>
      <c r="AI225" s="476"/>
      <c r="AJ225" s="476"/>
      <c r="AL225" s="470"/>
      <c r="AM225" s="472"/>
      <c r="AN225" s="472"/>
    </row>
    <row r="226" spans="3:40">
      <c r="F226" s="479"/>
      <c r="H226" s="479"/>
      <c r="I226" s="479"/>
      <c r="J226" s="484"/>
      <c r="K226" s="484"/>
      <c r="L226" s="479"/>
      <c r="M226" s="479"/>
      <c r="N226" s="479"/>
      <c r="O226" s="479"/>
      <c r="P226" s="479"/>
      <c r="Q226" s="479"/>
      <c r="R226" s="479"/>
      <c r="V226" s="479"/>
      <c r="Y226" s="479"/>
      <c r="Z226" s="484"/>
      <c r="AA226" s="479"/>
      <c r="AB226" s="479"/>
      <c r="AC226" s="479"/>
      <c r="AD226" s="479"/>
      <c r="AE226" s="479"/>
      <c r="AF226" s="479"/>
      <c r="AI226" s="479"/>
      <c r="AJ226" s="479"/>
      <c r="AK226" s="485"/>
      <c r="AL226" s="479"/>
    </row>
    <row r="227" spans="3:40">
      <c r="D227" s="455"/>
      <c r="E227" s="455"/>
      <c r="F227" s="470"/>
      <c r="H227" s="470"/>
      <c r="I227" s="470"/>
      <c r="J227" s="503"/>
      <c r="K227" s="503"/>
      <c r="L227" s="470"/>
      <c r="M227" s="470"/>
      <c r="N227" s="472"/>
      <c r="O227" s="472"/>
      <c r="P227" s="470"/>
      <c r="Q227" s="470"/>
      <c r="R227" s="470"/>
      <c r="U227" s="455"/>
      <c r="V227" s="470"/>
      <c r="Y227" s="470"/>
      <c r="Z227" s="503"/>
      <c r="AA227" s="470"/>
      <c r="AB227" s="470"/>
      <c r="AC227" s="472"/>
      <c r="AD227" s="472"/>
      <c r="AE227" s="470"/>
      <c r="AF227" s="470"/>
      <c r="AH227" s="529"/>
      <c r="AI227" s="470"/>
      <c r="AJ227" s="470"/>
      <c r="AL227" s="470"/>
      <c r="AM227" s="472"/>
      <c r="AN227" s="472"/>
    </row>
    <row r="228" spans="3:40">
      <c r="F228" s="479"/>
      <c r="H228" s="479"/>
      <c r="I228" s="479"/>
      <c r="J228" s="484"/>
      <c r="K228" s="484"/>
      <c r="L228" s="479"/>
      <c r="M228" s="479"/>
      <c r="N228" s="479"/>
      <c r="O228" s="479"/>
      <c r="P228" s="479"/>
      <c r="Q228" s="479"/>
      <c r="R228" s="479"/>
      <c r="V228" s="479"/>
      <c r="Y228" s="479"/>
      <c r="Z228" s="484"/>
      <c r="AA228" s="479"/>
      <c r="AB228" s="479"/>
      <c r="AC228" s="479"/>
      <c r="AD228" s="479"/>
      <c r="AE228" s="479"/>
      <c r="AF228" s="479"/>
      <c r="AI228" s="479"/>
      <c r="AJ228" s="479"/>
      <c r="AK228" s="485"/>
      <c r="AL228" s="479"/>
    </row>
    <row r="229" spans="3:40">
      <c r="R229" s="470"/>
    </row>
    <row r="230" spans="3:40">
      <c r="R230" s="470"/>
    </row>
    <row r="231" spans="3:40">
      <c r="R231" s="470"/>
    </row>
    <row r="232" spans="3:40">
      <c r="C232" s="455"/>
      <c r="D232" s="455"/>
      <c r="E232" s="455"/>
      <c r="H232" s="470"/>
      <c r="I232" s="470"/>
      <c r="J232" s="503"/>
      <c r="K232" s="503"/>
      <c r="L232" s="470"/>
      <c r="M232" s="470"/>
      <c r="N232" s="472"/>
      <c r="O232" s="472"/>
      <c r="P232" s="470"/>
      <c r="Q232" s="470"/>
      <c r="R232" s="470"/>
      <c r="T232" s="455"/>
      <c r="U232" s="455"/>
      <c r="Y232" s="470"/>
      <c r="Z232" s="503"/>
      <c r="AA232" s="470"/>
      <c r="AB232" s="470"/>
      <c r="AC232" s="472"/>
      <c r="AD232" s="472"/>
    </row>
    <row r="233" spans="3:40">
      <c r="H233" s="470"/>
      <c r="I233" s="470"/>
      <c r="J233" s="503"/>
      <c r="K233" s="503"/>
      <c r="L233" s="470"/>
      <c r="M233" s="470"/>
      <c r="N233" s="472"/>
      <c r="O233" s="472"/>
      <c r="P233" s="470"/>
      <c r="Q233" s="470"/>
      <c r="R233" s="470"/>
      <c r="Y233" s="470"/>
      <c r="Z233" s="503"/>
      <c r="AA233" s="470"/>
      <c r="AB233" s="470"/>
      <c r="AC233" s="472"/>
      <c r="AD233" s="472"/>
    </row>
    <row r="234" spans="3:40">
      <c r="C234" s="455"/>
      <c r="F234" s="476"/>
      <c r="H234" s="476"/>
      <c r="I234" s="476"/>
      <c r="J234" s="533"/>
      <c r="K234" s="533"/>
      <c r="L234" s="476"/>
      <c r="M234" s="476"/>
      <c r="N234" s="472"/>
      <c r="O234" s="472"/>
      <c r="P234" s="470"/>
      <c r="Q234" s="470"/>
      <c r="R234" s="470"/>
      <c r="T234" s="455"/>
      <c r="V234" s="470"/>
      <c r="Y234" s="470"/>
      <c r="Z234" s="533"/>
      <c r="AA234" s="470"/>
      <c r="AB234" s="470"/>
      <c r="AC234" s="472"/>
      <c r="AD234" s="472"/>
      <c r="AE234" s="470"/>
      <c r="AF234" s="470"/>
      <c r="AH234" s="529"/>
      <c r="AI234" s="470"/>
      <c r="AJ234" s="470"/>
      <c r="AL234" s="470"/>
      <c r="AM234" s="472"/>
      <c r="AN234" s="472"/>
    </row>
    <row r="235" spans="3:40">
      <c r="F235" s="476"/>
      <c r="H235" s="513"/>
      <c r="I235" s="513"/>
      <c r="J235" s="513"/>
      <c r="K235" s="513"/>
      <c r="R235" s="470"/>
      <c r="V235" s="470"/>
      <c r="Z235" s="513"/>
    </row>
    <row r="236" spans="3:40">
      <c r="C236" s="455"/>
      <c r="F236" s="476"/>
      <c r="H236" s="476"/>
      <c r="I236" s="476"/>
      <c r="J236" s="471"/>
      <c r="K236" s="471"/>
      <c r="L236" s="470"/>
      <c r="M236" s="470"/>
      <c r="N236" s="472"/>
      <c r="O236" s="472"/>
      <c r="P236" s="470"/>
      <c r="Q236" s="470"/>
      <c r="R236" s="470"/>
      <c r="T236" s="455"/>
      <c r="V236" s="470"/>
      <c r="Y236" s="470"/>
      <c r="Z236" s="471"/>
      <c r="AA236" s="470"/>
      <c r="AB236" s="470"/>
      <c r="AC236" s="472"/>
      <c r="AD236" s="472"/>
      <c r="AE236" s="470"/>
      <c r="AF236" s="470"/>
      <c r="AH236" s="529"/>
      <c r="AI236" s="470"/>
      <c r="AJ236" s="470"/>
      <c r="AL236" s="470"/>
      <c r="AM236" s="472"/>
      <c r="AN236" s="472"/>
    </row>
    <row r="237" spans="3:40">
      <c r="F237" s="476"/>
      <c r="H237" s="513"/>
      <c r="I237" s="513"/>
      <c r="J237" s="513"/>
      <c r="K237" s="513"/>
      <c r="R237" s="470"/>
      <c r="V237" s="470"/>
      <c r="Z237" s="513"/>
    </row>
    <row r="238" spans="3:40">
      <c r="C238" s="455"/>
      <c r="F238" s="476"/>
      <c r="H238" s="476"/>
      <c r="I238" s="476"/>
      <c r="J238" s="518"/>
      <c r="K238" s="518"/>
      <c r="L238" s="470"/>
      <c r="M238" s="470"/>
      <c r="N238" s="472"/>
      <c r="O238" s="472"/>
      <c r="P238" s="470"/>
      <c r="Q238" s="470"/>
      <c r="R238" s="470"/>
      <c r="T238" s="455"/>
      <c r="V238" s="470"/>
      <c r="Y238" s="470"/>
      <c r="Z238" s="483"/>
      <c r="AA238" s="470"/>
      <c r="AB238" s="470"/>
      <c r="AC238" s="472"/>
      <c r="AD238" s="472"/>
      <c r="AE238" s="470"/>
      <c r="AF238" s="470"/>
      <c r="AH238" s="529"/>
      <c r="AI238" s="470"/>
      <c r="AJ238" s="470"/>
      <c r="AL238" s="470"/>
      <c r="AM238" s="472"/>
      <c r="AN238" s="472"/>
    </row>
    <row r="239" spans="3:40">
      <c r="F239" s="479"/>
      <c r="H239" s="479"/>
      <c r="I239" s="479"/>
      <c r="J239" s="484"/>
      <c r="K239" s="484"/>
      <c r="L239" s="479"/>
      <c r="M239" s="479"/>
      <c r="N239" s="479"/>
      <c r="O239" s="479"/>
      <c r="P239" s="479"/>
      <c r="Q239" s="479"/>
      <c r="R239" s="479"/>
      <c r="S239" s="470"/>
      <c r="V239" s="479"/>
      <c r="Y239" s="479"/>
      <c r="Z239" s="484"/>
      <c r="AA239" s="479"/>
      <c r="AB239" s="479"/>
      <c r="AC239" s="479"/>
      <c r="AD239" s="479"/>
      <c r="AE239" s="479"/>
      <c r="AF239" s="479"/>
      <c r="AI239" s="479"/>
      <c r="AJ239" s="479"/>
      <c r="AK239" s="485"/>
      <c r="AL239" s="479"/>
    </row>
    <row r="240" spans="3:40">
      <c r="D240" s="455"/>
      <c r="E240" s="455"/>
      <c r="F240" s="470"/>
      <c r="H240" s="470"/>
      <c r="I240" s="470"/>
      <c r="J240" s="503"/>
      <c r="K240" s="503"/>
      <c r="L240" s="470"/>
      <c r="M240" s="470"/>
      <c r="N240" s="472"/>
      <c r="O240" s="472"/>
      <c r="P240" s="476"/>
      <c r="Q240" s="476"/>
      <c r="R240" s="470"/>
      <c r="S240" s="470"/>
      <c r="U240" s="455"/>
      <c r="V240" s="470"/>
      <c r="Y240" s="470"/>
      <c r="Z240" s="503"/>
      <c r="AA240" s="470"/>
      <c r="AB240" s="470"/>
      <c r="AC240" s="472"/>
      <c r="AD240" s="472"/>
      <c r="AE240" s="470"/>
      <c r="AF240" s="470"/>
      <c r="AH240" s="529"/>
      <c r="AI240" s="476"/>
      <c r="AJ240" s="476"/>
      <c r="AL240" s="470"/>
      <c r="AM240" s="472"/>
      <c r="AN240" s="472"/>
    </row>
    <row r="241" spans="1:40">
      <c r="F241" s="479"/>
      <c r="H241" s="479"/>
      <c r="I241" s="479"/>
      <c r="J241" s="484"/>
      <c r="K241" s="484"/>
      <c r="L241" s="479"/>
      <c r="M241" s="479"/>
      <c r="N241" s="479"/>
      <c r="O241" s="479"/>
      <c r="P241" s="479"/>
      <c r="Q241" s="479"/>
      <c r="R241" s="479"/>
      <c r="S241" s="470"/>
      <c r="V241" s="479"/>
      <c r="Y241" s="479"/>
      <c r="Z241" s="484"/>
      <c r="AA241" s="479"/>
      <c r="AB241" s="479"/>
      <c r="AC241" s="479"/>
      <c r="AD241" s="479"/>
      <c r="AE241" s="479"/>
      <c r="AF241" s="479"/>
      <c r="AI241" s="479"/>
      <c r="AJ241" s="479"/>
      <c r="AK241" s="485"/>
      <c r="AL241" s="479"/>
    </row>
    <row r="242" spans="1:40">
      <c r="R242" s="470"/>
    </row>
    <row r="243" spans="1:40">
      <c r="F243" s="470"/>
      <c r="H243" s="470"/>
      <c r="I243" s="470"/>
      <c r="J243" s="503"/>
      <c r="K243" s="503"/>
      <c r="L243" s="470"/>
      <c r="M243" s="470"/>
      <c r="N243" s="470"/>
      <c r="O243" s="470"/>
      <c r="P243" s="470"/>
      <c r="Q243" s="470"/>
      <c r="R243" s="470"/>
      <c r="V243" s="470"/>
      <c r="Y243" s="470"/>
      <c r="Z243" s="503"/>
      <c r="AA243" s="470"/>
      <c r="AB243" s="470"/>
      <c r="AC243" s="470"/>
      <c r="AD243" s="470"/>
    </row>
    <row r="244" spans="1:40">
      <c r="C244" s="455"/>
      <c r="F244" s="470"/>
      <c r="H244" s="470"/>
      <c r="I244" s="470"/>
      <c r="J244" s="503"/>
      <c r="K244" s="503"/>
      <c r="L244" s="470"/>
      <c r="M244" s="470"/>
      <c r="N244" s="470"/>
      <c r="O244" s="470"/>
      <c r="P244" s="470"/>
      <c r="Q244" s="470"/>
      <c r="R244" s="470"/>
      <c r="T244" s="455"/>
      <c r="V244" s="470"/>
      <c r="Y244" s="470"/>
      <c r="Z244" s="503"/>
      <c r="AA244" s="470"/>
      <c r="AB244" s="470"/>
      <c r="AC244" s="470"/>
      <c r="AD244" s="470"/>
    </row>
    <row r="245" spans="1:40">
      <c r="C245" s="455"/>
      <c r="T245" s="455"/>
    </row>
    <row r="246" spans="1:40">
      <c r="A246" s="455"/>
    </row>
    <row r="249" spans="1:40">
      <c r="H249" s="455"/>
      <c r="I249" s="455"/>
      <c r="Y249" s="455"/>
    </row>
    <row r="251" spans="1:40">
      <c r="L251" s="455"/>
      <c r="M251" s="455"/>
      <c r="AA251" s="455"/>
      <c r="AB251" s="455"/>
    </row>
    <row r="252" spans="1:40">
      <c r="R252" s="455"/>
      <c r="AK252" s="456"/>
      <c r="AL252" s="455"/>
    </row>
    <row r="253" spans="1:40">
      <c r="R253" s="455"/>
      <c r="AK253" s="456"/>
      <c r="AL253" s="455"/>
    </row>
    <row r="254" spans="1:40">
      <c r="A254" s="455"/>
      <c r="R254" s="455"/>
      <c r="AK254" s="456"/>
      <c r="AL254" s="455"/>
    </row>
    <row r="255" spans="1:40">
      <c r="L255" s="455"/>
      <c r="M255" s="455"/>
      <c r="AA255" s="455"/>
      <c r="AB255" s="455"/>
    </row>
    <row r="256" spans="1:40">
      <c r="A256" s="460"/>
      <c r="B256" s="460"/>
      <c r="C256" s="460"/>
      <c r="D256" s="460"/>
      <c r="E256" s="460"/>
      <c r="F256" s="460"/>
      <c r="G256" s="460"/>
      <c r="H256" s="460"/>
      <c r="I256" s="460"/>
      <c r="J256" s="460"/>
      <c r="K256" s="460"/>
      <c r="L256" s="460"/>
      <c r="M256" s="460"/>
      <c r="N256" s="460"/>
      <c r="O256" s="460"/>
      <c r="P256" s="460"/>
      <c r="Q256" s="460"/>
      <c r="R256" s="460"/>
      <c r="T256" s="460"/>
      <c r="U256" s="460"/>
      <c r="V256" s="460"/>
      <c r="W256" s="460"/>
      <c r="X256" s="460"/>
      <c r="Y256" s="460"/>
      <c r="Z256" s="460"/>
      <c r="AA256" s="460"/>
      <c r="AB256" s="460"/>
      <c r="AC256" s="460"/>
      <c r="AD256" s="460"/>
      <c r="AE256" s="460"/>
      <c r="AF256" s="460"/>
      <c r="AG256" s="461"/>
      <c r="AH256" s="460"/>
      <c r="AI256" s="460"/>
      <c r="AJ256" s="460"/>
      <c r="AK256" s="461"/>
      <c r="AL256" s="460"/>
      <c r="AM256" s="460"/>
      <c r="AN256" s="460"/>
    </row>
    <row r="257" spans="1:40">
      <c r="L257" s="462"/>
      <c r="M257" s="462"/>
      <c r="N257" s="462"/>
      <c r="O257" s="462"/>
      <c r="R257" s="462"/>
      <c r="AA257" s="462"/>
      <c r="AB257" s="462"/>
      <c r="AC257" s="462"/>
      <c r="AD257" s="462"/>
      <c r="AE257" s="462"/>
      <c r="AF257" s="462"/>
      <c r="AG257" s="463"/>
      <c r="AH257" s="462"/>
      <c r="AK257" s="463"/>
      <c r="AL257" s="462"/>
      <c r="AM257" s="462"/>
      <c r="AN257" s="462"/>
    </row>
    <row r="258" spans="1:40">
      <c r="L258" s="462"/>
      <c r="M258" s="462"/>
      <c r="N258" s="462"/>
      <c r="O258" s="462"/>
      <c r="R258" s="462"/>
      <c r="Z258" s="462"/>
      <c r="AA258" s="462"/>
      <c r="AB258" s="462"/>
      <c r="AC258" s="462"/>
      <c r="AD258" s="462"/>
      <c r="AE258" s="462"/>
      <c r="AF258" s="462"/>
      <c r="AG258" s="463"/>
      <c r="AH258" s="462"/>
      <c r="AK258" s="463"/>
      <c r="AL258" s="462"/>
      <c r="AM258" s="462"/>
      <c r="AN258" s="462"/>
    </row>
    <row r="259" spans="1:40">
      <c r="A259" s="462"/>
      <c r="C259" s="462"/>
      <c r="D259" s="462"/>
      <c r="E259" s="462"/>
      <c r="F259" s="462"/>
      <c r="J259" s="462"/>
      <c r="K259" s="462"/>
      <c r="L259" s="462"/>
      <c r="M259" s="462"/>
      <c r="N259" s="462"/>
      <c r="O259" s="462"/>
      <c r="P259" s="462"/>
      <c r="Q259" s="462"/>
      <c r="R259" s="462"/>
      <c r="T259" s="462"/>
      <c r="U259" s="462"/>
      <c r="V259" s="462"/>
      <c r="Z259" s="462"/>
      <c r="AA259" s="462"/>
      <c r="AB259" s="462"/>
      <c r="AC259" s="462"/>
      <c r="AD259" s="462"/>
      <c r="AE259" s="462"/>
      <c r="AF259" s="462"/>
      <c r="AG259" s="463"/>
      <c r="AH259" s="462"/>
      <c r="AI259" s="462"/>
      <c r="AJ259" s="462"/>
      <c r="AK259" s="463"/>
      <c r="AL259" s="462"/>
      <c r="AM259" s="462"/>
      <c r="AN259" s="462"/>
    </row>
    <row r="260" spans="1:40">
      <c r="A260" s="462"/>
      <c r="C260" s="462"/>
      <c r="D260" s="462"/>
      <c r="E260" s="462"/>
      <c r="F260" s="462"/>
      <c r="H260" s="462"/>
      <c r="I260" s="462"/>
      <c r="J260" s="462"/>
      <c r="K260" s="462"/>
      <c r="L260" s="462"/>
      <c r="M260" s="462"/>
      <c r="N260" s="462"/>
      <c r="O260" s="462"/>
      <c r="P260" s="462"/>
      <c r="Q260" s="462"/>
      <c r="R260" s="462"/>
      <c r="T260" s="462"/>
      <c r="U260" s="462"/>
      <c r="V260" s="462"/>
      <c r="Y260" s="462"/>
      <c r="Z260" s="462"/>
      <c r="AA260" s="462"/>
      <c r="AB260" s="462"/>
      <c r="AC260" s="462"/>
      <c r="AD260" s="462"/>
      <c r="AE260" s="462"/>
      <c r="AF260" s="462"/>
      <c r="AG260" s="463"/>
      <c r="AH260" s="462"/>
      <c r="AI260" s="462"/>
      <c r="AJ260" s="462"/>
      <c r="AK260" s="463"/>
      <c r="AL260" s="462"/>
      <c r="AM260" s="462"/>
      <c r="AN260" s="462"/>
    </row>
    <row r="261" spans="1:40">
      <c r="C261" s="462"/>
      <c r="D261" s="462"/>
      <c r="E261" s="462"/>
      <c r="F261" s="462"/>
      <c r="H261" s="462"/>
      <c r="I261" s="462"/>
      <c r="J261" s="462"/>
      <c r="K261" s="462"/>
      <c r="L261" s="462"/>
      <c r="M261" s="462"/>
      <c r="N261" s="462"/>
      <c r="O261" s="462"/>
      <c r="P261" s="462"/>
      <c r="Q261" s="462"/>
      <c r="R261" s="462"/>
      <c r="T261" s="462"/>
      <c r="U261" s="462"/>
      <c r="V261" s="462"/>
      <c r="Y261" s="462"/>
      <c r="Z261" s="462"/>
      <c r="AA261" s="462"/>
      <c r="AB261" s="462"/>
      <c r="AC261" s="462"/>
      <c r="AD261" s="462"/>
      <c r="AE261" s="462"/>
      <c r="AF261" s="462"/>
      <c r="AG261" s="463"/>
      <c r="AH261" s="462"/>
      <c r="AI261" s="462"/>
      <c r="AJ261" s="462"/>
      <c r="AK261" s="463"/>
      <c r="AL261" s="462"/>
      <c r="AM261" s="462"/>
      <c r="AN261" s="462"/>
    </row>
    <row r="262" spans="1:40">
      <c r="A262" s="460"/>
      <c r="B262" s="460"/>
      <c r="C262" s="460"/>
      <c r="D262" s="460"/>
      <c r="E262" s="460"/>
      <c r="F262" s="460"/>
      <c r="G262" s="460"/>
      <c r="H262" s="460"/>
      <c r="I262" s="460"/>
      <c r="J262" s="460"/>
      <c r="K262" s="460"/>
      <c r="L262" s="460"/>
      <c r="M262" s="460"/>
      <c r="N262" s="460"/>
      <c r="O262" s="460"/>
      <c r="P262" s="460"/>
      <c r="Q262" s="460"/>
      <c r="R262" s="460"/>
      <c r="T262" s="460"/>
      <c r="U262" s="460"/>
      <c r="V262" s="460"/>
      <c r="W262" s="460"/>
      <c r="X262" s="460"/>
      <c r="Y262" s="460"/>
      <c r="Z262" s="460"/>
      <c r="AA262" s="460"/>
      <c r="AB262" s="460"/>
      <c r="AC262" s="460"/>
      <c r="AD262" s="460"/>
      <c r="AE262" s="460"/>
      <c r="AF262" s="460"/>
      <c r="AG262" s="461"/>
      <c r="AH262" s="460"/>
      <c r="AI262" s="460"/>
      <c r="AJ262" s="460"/>
      <c r="AK262" s="461"/>
      <c r="AL262" s="460"/>
      <c r="AM262" s="460"/>
      <c r="AN262" s="460"/>
    </row>
    <row r="263" spans="1:40">
      <c r="H263" s="462"/>
      <c r="I263" s="462"/>
      <c r="J263" s="462"/>
      <c r="K263" s="462"/>
      <c r="L263" s="462"/>
      <c r="M263" s="462"/>
      <c r="N263" s="462"/>
      <c r="O263" s="462"/>
      <c r="P263" s="462"/>
      <c r="Q263" s="462"/>
      <c r="R263" s="462"/>
      <c r="Y263" s="462"/>
      <c r="Z263" s="462"/>
      <c r="AA263" s="462"/>
      <c r="AB263" s="462"/>
      <c r="AC263" s="462"/>
      <c r="AD263" s="462"/>
      <c r="AE263" s="462"/>
      <c r="AF263" s="462"/>
      <c r="AG263" s="463"/>
      <c r="AH263" s="462"/>
      <c r="AI263" s="462"/>
      <c r="AJ263" s="462"/>
      <c r="AK263" s="463"/>
      <c r="AL263" s="462"/>
      <c r="AM263" s="462"/>
      <c r="AN263" s="462"/>
    </row>
    <row r="264" spans="1:40">
      <c r="C264" s="455"/>
      <c r="D264" s="455"/>
      <c r="E264" s="455"/>
      <c r="T264" s="455"/>
      <c r="U264" s="455"/>
    </row>
    <row r="265" spans="1:40">
      <c r="D265" s="455"/>
      <c r="E265" s="455"/>
      <c r="U265" s="455"/>
    </row>
    <row r="267" spans="1:40">
      <c r="C267" s="455"/>
      <c r="F267" s="470"/>
      <c r="J267" s="473"/>
      <c r="K267" s="473"/>
      <c r="L267" s="470"/>
      <c r="M267" s="470"/>
      <c r="R267" s="470"/>
      <c r="T267" s="455"/>
      <c r="V267" s="470"/>
      <c r="Z267" s="473"/>
      <c r="AA267" s="470"/>
      <c r="AB267" s="470"/>
      <c r="AL267" s="470"/>
    </row>
    <row r="268" spans="1:40">
      <c r="F268" s="470"/>
      <c r="R268" s="470"/>
      <c r="V268" s="470"/>
      <c r="AL268" s="470"/>
    </row>
    <row r="269" spans="1:40">
      <c r="C269" s="455"/>
      <c r="F269" s="476"/>
      <c r="H269" s="476"/>
      <c r="I269" s="476"/>
      <c r="J269" s="471"/>
      <c r="K269" s="471"/>
      <c r="L269" s="470"/>
      <c r="M269" s="470"/>
      <c r="N269" s="472"/>
      <c r="O269" s="472"/>
      <c r="P269" s="470"/>
      <c r="Q269" s="470"/>
      <c r="R269" s="470"/>
      <c r="T269" s="455"/>
      <c r="V269" s="470"/>
      <c r="Y269" s="470"/>
      <c r="Z269" s="471"/>
      <c r="AA269" s="470"/>
      <c r="AB269" s="470"/>
      <c r="AC269" s="472"/>
      <c r="AD269" s="472"/>
      <c r="AE269" s="470"/>
      <c r="AF269" s="470"/>
      <c r="AH269" s="529"/>
      <c r="AI269" s="470"/>
      <c r="AJ269" s="470"/>
      <c r="AL269" s="470"/>
      <c r="AM269" s="472"/>
      <c r="AN269" s="472"/>
    </row>
    <row r="270" spans="1:40">
      <c r="C270" s="455"/>
      <c r="F270" s="476"/>
      <c r="H270" s="513"/>
      <c r="I270" s="513"/>
      <c r="J270" s="471"/>
      <c r="K270" s="471"/>
      <c r="L270" s="470"/>
      <c r="M270" s="470"/>
      <c r="N270" s="472"/>
      <c r="O270" s="472"/>
      <c r="P270" s="470"/>
      <c r="Q270" s="470"/>
      <c r="R270" s="470"/>
      <c r="T270" s="455"/>
      <c r="V270" s="470"/>
      <c r="Y270" s="470"/>
      <c r="Z270" s="471"/>
      <c r="AA270" s="470"/>
      <c r="AB270" s="470"/>
      <c r="AC270" s="472"/>
      <c r="AD270" s="472"/>
      <c r="AE270" s="470"/>
      <c r="AF270" s="470"/>
      <c r="AH270" s="529"/>
      <c r="AI270" s="470"/>
      <c r="AJ270" s="470"/>
      <c r="AL270" s="470"/>
      <c r="AM270" s="472"/>
      <c r="AN270" s="472"/>
    </row>
    <row r="271" spans="1:40">
      <c r="F271" s="479"/>
      <c r="H271" s="470"/>
      <c r="I271" s="470"/>
      <c r="J271" s="484"/>
      <c r="K271" s="484"/>
      <c r="L271" s="479"/>
      <c r="M271" s="479"/>
      <c r="N271" s="479"/>
      <c r="O271" s="479"/>
      <c r="P271" s="479"/>
      <c r="Q271" s="479"/>
      <c r="R271" s="479"/>
      <c r="V271" s="479"/>
      <c r="Y271" s="470"/>
      <c r="Z271" s="484"/>
      <c r="AA271" s="479"/>
      <c r="AB271" s="479"/>
      <c r="AC271" s="479"/>
      <c r="AD271" s="479"/>
      <c r="AE271" s="479"/>
      <c r="AF271" s="479"/>
      <c r="AI271" s="479"/>
      <c r="AJ271" s="479"/>
      <c r="AK271" s="485"/>
      <c r="AL271" s="479"/>
    </row>
    <row r="272" spans="1:40">
      <c r="C272" s="455"/>
      <c r="F272" s="470"/>
      <c r="H272" s="470"/>
      <c r="I272" s="470"/>
      <c r="J272" s="503"/>
      <c r="K272" s="503"/>
      <c r="L272" s="470"/>
      <c r="M272" s="470"/>
      <c r="N272" s="472"/>
      <c r="O272" s="472"/>
      <c r="P272" s="470"/>
      <c r="Q272" s="470"/>
      <c r="R272" s="470"/>
      <c r="T272" s="455"/>
      <c r="V272" s="470"/>
      <c r="Y272" s="470"/>
      <c r="Z272" s="503"/>
      <c r="AA272" s="470"/>
      <c r="AB272" s="470"/>
      <c r="AC272" s="472"/>
      <c r="AD272" s="472"/>
      <c r="AE272" s="470"/>
      <c r="AF272" s="470"/>
      <c r="AH272" s="529"/>
      <c r="AI272" s="470"/>
      <c r="AJ272" s="470"/>
      <c r="AL272" s="470"/>
      <c r="AM272" s="472"/>
      <c r="AN272" s="472"/>
    </row>
    <row r="273" spans="1:40">
      <c r="F273" s="479"/>
      <c r="H273" s="470"/>
      <c r="I273" s="470"/>
      <c r="J273" s="484"/>
      <c r="K273" s="484"/>
      <c r="L273" s="479"/>
      <c r="M273" s="479"/>
      <c r="N273" s="479"/>
      <c r="O273" s="479"/>
      <c r="P273" s="479"/>
      <c r="Q273" s="479"/>
      <c r="R273" s="479"/>
      <c r="V273" s="479"/>
      <c r="Y273" s="470"/>
      <c r="Z273" s="484"/>
      <c r="AA273" s="479"/>
      <c r="AB273" s="479"/>
      <c r="AC273" s="479"/>
      <c r="AD273" s="479"/>
      <c r="AE273" s="479"/>
      <c r="AF273" s="479"/>
      <c r="AI273" s="479"/>
      <c r="AJ273" s="479"/>
      <c r="AK273" s="485"/>
      <c r="AL273" s="479"/>
    </row>
    <row r="274" spans="1:40">
      <c r="F274" s="470"/>
      <c r="R274" s="470"/>
      <c r="V274" s="470"/>
      <c r="AL274" s="470"/>
    </row>
    <row r="275" spans="1:40">
      <c r="C275" s="455"/>
      <c r="F275" s="470"/>
      <c r="R275" s="470"/>
      <c r="T275" s="455"/>
      <c r="V275" s="470"/>
      <c r="AL275" s="470"/>
    </row>
    <row r="276" spans="1:40">
      <c r="F276" s="470"/>
      <c r="R276" s="470"/>
      <c r="V276" s="470"/>
      <c r="AL276" s="470"/>
    </row>
    <row r="277" spans="1:40">
      <c r="C277" s="455"/>
      <c r="F277" s="470"/>
      <c r="H277" s="476"/>
      <c r="I277" s="476"/>
      <c r="J277" s="518"/>
      <c r="K277" s="518"/>
      <c r="L277" s="470"/>
      <c r="M277" s="470"/>
      <c r="N277" s="472"/>
      <c r="O277" s="472"/>
      <c r="P277" s="476"/>
      <c r="Q277" s="476"/>
      <c r="R277" s="470"/>
      <c r="T277" s="455"/>
      <c r="V277" s="470"/>
      <c r="Y277" s="470"/>
      <c r="Z277" s="483"/>
      <c r="AA277" s="470"/>
      <c r="AB277" s="470"/>
      <c r="AC277" s="472"/>
      <c r="AD277" s="472"/>
      <c r="AE277" s="470"/>
      <c r="AF277" s="470"/>
      <c r="AH277" s="529"/>
      <c r="AI277" s="476"/>
      <c r="AJ277" s="476"/>
      <c r="AL277" s="470"/>
      <c r="AM277" s="472"/>
      <c r="AN277" s="472"/>
    </row>
    <row r="278" spans="1:40">
      <c r="F278" s="479"/>
      <c r="H278" s="479"/>
      <c r="I278" s="479"/>
      <c r="J278" s="484"/>
      <c r="K278" s="484"/>
      <c r="L278" s="479"/>
      <c r="M278" s="479"/>
      <c r="N278" s="479"/>
      <c r="O278" s="479"/>
      <c r="P278" s="479"/>
      <c r="Q278" s="479"/>
      <c r="R278" s="479"/>
      <c r="V278" s="479"/>
      <c r="Y278" s="479"/>
      <c r="Z278" s="484"/>
      <c r="AA278" s="479"/>
      <c r="AB278" s="479"/>
      <c r="AC278" s="479"/>
      <c r="AD278" s="479"/>
      <c r="AE278" s="479"/>
      <c r="AF278" s="479"/>
      <c r="AI278" s="479"/>
      <c r="AJ278" s="479"/>
      <c r="AK278" s="485"/>
      <c r="AL278" s="479"/>
    </row>
    <row r="280" spans="1:40">
      <c r="C280" s="455"/>
      <c r="F280" s="470"/>
      <c r="H280" s="470"/>
      <c r="I280" s="470"/>
      <c r="J280" s="473"/>
      <c r="K280" s="473"/>
      <c r="L280" s="470"/>
      <c r="M280" s="470"/>
      <c r="N280" s="472"/>
      <c r="O280" s="472"/>
      <c r="P280" s="470"/>
      <c r="Q280" s="470"/>
      <c r="R280" s="470"/>
      <c r="T280" s="455"/>
      <c r="V280" s="470"/>
      <c r="Y280" s="470"/>
      <c r="Z280" s="473"/>
      <c r="AA280" s="470"/>
      <c r="AB280" s="470"/>
      <c r="AC280" s="472"/>
      <c r="AD280" s="472"/>
      <c r="AE280" s="470"/>
      <c r="AF280" s="470"/>
      <c r="AH280" s="529"/>
      <c r="AI280" s="470"/>
      <c r="AJ280" s="470"/>
      <c r="AL280" s="470"/>
      <c r="AM280" s="472"/>
      <c r="AN280" s="472"/>
    </row>
    <row r="281" spans="1:40">
      <c r="F281" s="479"/>
      <c r="H281" s="479"/>
      <c r="I281" s="479"/>
      <c r="J281" s="484"/>
      <c r="K281" s="484"/>
      <c r="L281" s="479"/>
      <c r="M281" s="479"/>
      <c r="N281" s="479"/>
      <c r="O281" s="479"/>
      <c r="P281" s="479"/>
      <c r="Q281" s="479"/>
      <c r="R281" s="479"/>
      <c r="V281" s="479"/>
      <c r="Y281" s="479"/>
      <c r="Z281" s="484"/>
      <c r="AA281" s="479"/>
      <c r="AB281" s="479"/>
      <c r="AC281" s="479"/>
      <c r="AD281" s="479"/>
      <c r="AE281" s="479"/>
      <c r="AF281" s="479"/>
      <c r="AI281" s="479"/>
      <c r="AJ281" s="479"/>
      <c r="AK281" s="485"/>
      <c r="AL281" s="479"/>
    </row>
    <row r="282" spans="1:40">
      <c r="R282" s="470"/>
      <c r="AH282" s="470"/>
    </row>
    <row r="283" spans="1:40">
      <c r="F283" s="470"/>
      <c r="H283" s="470"/>
      <c r="I283" s="470"/>
      <c r="J283" s="503"/>
      <c r="K283" s="503"/>
      <c r="L283" s="470"/>
      <c r="M283" s="470"/>
      <c r="N283" s="470"/>
      <c r="O283" s="470"/>
      <c r="P283" s="470"/>
      <c r="Q283" s="470"/>
      <c r="R283" s="470"/>
      <c r="V283" s="470"/>
      <c r="Y283" s="470"/>
      <c r="Z283" s="503"/>
      <c r="AA283" s="470"/>
      <c r="AB283" s="470"/>
      <c r="AC283" s="470"/>
      <c r="AD283" s="470"/>
      <c r="AE283" s="470"/>
      <c r="AF283" s="470"/>
      <c r="AH283" s="470"/>
    </row>
    <row r="284" spans="1:40">
      <c r="C284" s="455"/>
      <c r="F284" s="470"/>
      <c r="H284" s="470"/>
      <c r="I284" s="470"/>
      <c r="J284" s="503"/>
      <c r="K284" s="503"/>
      <c r="L284" s="470"/>
      <c r="M284" s="470"/>
      <c r="N284" s="470"/>
      <c r="O284" s="470"/>
      <c r="P284" s="470"/>
      <c r="Q284" s="470"/>
      <c r="R284" s="470"/>
      <c r="T284" s="455"/>
      <c r="V284" s="470"/>
      <c r="Y284" s="470"/>
      <c r="Z284" s="503"/>
      <c r="AA284" s="470"/>
      <c r="AB284" s="470"/>
      <c r="AC284" s="470"/>
      <c r="AD284" s="470"/>
      <c r="AE284" s="470"/>
      <c r="AF284" s="470"/>
      <c r="AH284" s="470"/>
    </row>
    <row r="285" spans="1:40">
      <c r="A285" s="455"/>
    </row>
    <row r="288" spans="1:40">
      <c r="H288" s="455"/>
      <c r="I288" s="455"/>
      <c r="Y288" s="455"/>
    </row>
    <row r="290" spans="1:40">
      <c r="L290" s="455"/>
      <c r="M290" s="455"/>
      <c r="AA290" s="455"/>
      <c r="AB290" s="455"/>
    </row>
    <row r="291" spans="1:40">
      <c r="R291" s="455"/>
      <c r="AK291" s="456"/>
      <c r="AL291" s="455"/>
    </row>
    <row r="292" spans="1:40">
      <c r="R292" s="455"/>
      <c r="AK292" s="456"/>
      <c r="AL292" s="455"/>
    </row>
    <row r="293" spans="1:40">
      <c r="A293" s="455"/>
      <c r="R293" s="455"/>
      <c r="AK293" s="456"/>
      <c r="AL293" s="455"/>
    </row>
    <row r="294" spans="1:40">
      <c r="L294" s="455"/>
      <c r="M294" s="455"/>
      <c r="AA294" s="455"/>
      <c r="AB294" s="455"/>
    </row>
    <row r="295" spans="1:40">
      <c r="A295" s="460"/>
      <c r="B295" s="460"/>
      <c r="C295" s="460"/>
      <c r="D295" s="460"/>
      <c r="E295" s="460"/>
      <c r="F295" s="460"/>
      <c r="G295" s="460"/>
      <c r="H295" s="460"/>
      <c r="I295" s="460"/>
      <c r="J295" s="460"/>
      <c r="K295" s="460"/>
      <c r="L295" s="460"/>
      <c r="M295" s="460"/>
      <c r="N295" s="460"/>
      <c r="O295" s="460"/>
      <c r="P295" s="460"/>
      <c r="Q295" s="460"/>
      <c r="R295" s="460"/>
      <c r="T295" s="460"/>
      <c r="U295" s="460"/>
      <c r="V295" s="460"/>
      <c r="W295" s="460"/>
      <c r="X295" s="460"/>
      <c r="Y295" s="460"/>
      <c r="Z295" s="460"/>
      <c r="AA295" s="460"/>
      <c r="AB295" s="460"/>
      <c r="AC295" s="460"/>
      <c r="AD295" s="460"/>
      <c r="AE295" s="460"/>
      <c r="AF295" s="460"/>
      <c r="AG295" s="461"/>
      <c r="AH295" s="460"/>
      <c r="AI295" s="460"/>
      <c r="AJ295" s="460"/>
      <c r="AK295" s="461"/>
      <c r="AL295" s="460"/>
      <c r="AM295" s="460"/>
      <c r="AN295" s="460"/>
    </row>
    <row r="296" spans="1:40">
      <c r="L296" s="462"/>
      <c r="M296" s="462"/>
      <c r="N296" s="462"/>
      <c r="O296" s="462"/>
      <c r="R296" s="462"/>
      <c r="AA296" s="462"/>
      <c r="AB296" s="462"/>
      <c r="AC296" s="462"/>
      <c r="AD296" s="462"/>
      <c r="AE296" s="462"/>
      <c r="AF296" s="462"/>
      <c r="AG296" s="463"/>
      <c r="AH296" s="462"/>
      <c r="AK296" s="463"/>
      <c r="AL296" s="462"/>
      <c r="AM296" s="462"/>
      <c r="AN296" s="462"/>
    </row>
    <row r="297" spans="1:40">
      <c r="L297" s="462"/>
      <c r="M297" s="462"/>
      <c r="N297" s="462"/>
      <c r="O297" s="462"/>
      <c r="R297" s="462"/>
      <c r="Z297" s="462"/>
      <c r="AA297" s="462"/>
      <c r="AB297" s="462"/>
      <c r="AC297" s="462"/>
      <c r="AD297" s="462"/>
      <c r="AE297" s="462"/>
      <c r="AF297" s="462"/>
      <c r="AG297" s="463"/>
      <c r="AH297" s="462"/>
      <c r="AK297" s="463"/>
      <c r="AL297" s="462"/>
      <c r="AM297" s="462"/>
      <c r="AN297" s="462"/>
    </row>
    <row r="298" spans="1:40">
      <c r="A298" s="462"/>
      <c r="C298" s="462"/>
      <c r="D298" s="462"/>
      <c r="E298" s="462"/>
      <c r="F298" s="462"/>
      <c r="J298" s="462"/>
      <c r="K298" s="462"/>
      <c r="L298" s="462"/>
      <c r="M298" s="462"/>
      <c r="N298" s="462"/>
      <c r="O298" s="462"/>
      <c r="P298" s="462"/>
      <c r="Q298" s="462"/>
      <c r="R298" s="462"/>
      <c r="T298" s="462"/>
      <c r="U298" s="462"/>
      <c r="V298" s="462"/>
      <c r="Z298" s="462"/>
      <c r="AA298" s="462"/>
      <c r="AB298" s="462"/>
      <c r="AC298" s="462"/>
      <c r="AD298" s="462"/>
      <c r="AE298" s="462"/>
      <c r="AF298" s="462"/>
      <c r="AG298" s="463"/>
      <c r="AH298" s="462"/>
      <c r="AI298" s="462"/>
      <c r="AJ298" s="462"/>
      <c r="AK298" s="463"/>
      <c r="AL298" s="462"/>
      <c r="AM298" s="462"/>
      <c r="AN298" s="462"/>
    </row>
    <row r="299" spans="1:40">
      <c r="A299" s="462"/>
      <c r="C299" s="462"/>
      <c r="D299" s="462"/>
      <c r="E299" s="462"/>
      <c r="F299" s="462"/>
      <c r="H299" s="462"/>
      <c r="I299" s="462"/>
      <c r="J299" s="462"/>
      <c r="K299" s="462"/>
      <c r="L299" s="462"/>
      <c r="M299" s="462"/>
      <c r="N299" s="462"/>
      <c r="O299" s="462"/>
      <c r="P299" s="462"/>
      <c r="Q299" s="462"/>
      <c r="R299" s="462"/>
      <c r="T299" s="462"/>
      <c r="U299" s="462"/>
      <c r="V299" s="462"/>
      <c r="Y299" s="462"/>
      <c r="Z299" s="462"/>
      <c r="AA299" s="462"/>
      <c r="AB299" s="462"/>
      <c r="AC299" s="462"/>
      <c r="AD299" s="462"/>
      <c r="AE299" s="462"/>
      <c r="AF299" s="462"/>
      <c r="AG299" s="463"/>
      <c r="AH299" s="462"/>
      <c r="AI299" s="462"/>
      <c r="AJ299" s="462"/>
      <c r="AK299" s="463"/>
      <c r="AL299" s="462"/>
      <c r="AM299" s="462"/>
      <c r="AN299" s="462"/>
    </row>
    <row r="300" spans="1:40">
      <c r="C300" s="462"/>
      <c r="D300" s="462"/>
      <c r="E300" s="462"/>
      <c r="F300" s="462"/>
      <c r="H300" s="462"/>
      <c r="I300" s="462"/>
      <c r="J300" s="462"/>
      <c r="K300" s="462"/>
      <c r="L300" s="462"/>
      <c r="M300" s="462"/>
      <c r="N300" s="462"/>
      <c r="O300" s="462"/>
      <c r="P300" s="462"/>
      <c r="Q300" s="462"/>
      <c r="R300" s="462"/>
      <c r="T300" s="462"/>
      <c r="U300" s="462"/>
      <c r="V300" s="462"/>
      <c r="Y300" s="462"/>
      <c r="Z300" s="462"/>
      <c r="AA300" s="462"/>
      <c r="AB300" s="462"/>
      <c r="AC300" s="462"/>
      <c r="AD300" s="462"/>
      <c r="AE300" s="462"/>
      <c r="AF300" s="462"/>
      <c r="AG300" s="463"/>
      <c r="AH300" s="462"/>
      <c r="AI300" s="462"/>
      <c r="AJ300" s="462"/>
      <c r="AK300" s="463"/>
      <c r="AL300" s="462"/>
      <c r="AM300" s="462"/>
      <c r="AN300" s="462"/>
    </row>
    <row r="301" spans="1:40">
      <c r="A301" s="460"/>
      <c r="B301" s="460"/>
      <c r="C301" s="460"/>
      <c r="D301" s="460"/>
      <c r="E301" s="460"/>
      <c r="F301" s="460"/>
      <c r="G301" s="460"/>
      <c r="H301" s="460"/>
      <c r="I301" s="460"/>
      <c r="J301" s="460"/>
      <c r="K301" s="460"/>
      <c r="L301" s="460"/>
      <c r="M301" s="460"/>
      <c r="N301" s="460"/>
      <c r="O301" s="460"/>
      <c r="P301" s="460"/>
      <c r="Q301" s="460"/>
      <c r="R301" s="460"/>
      <c r="T301" s="460"/>
      <c r="U301" s="460"/>
      <c r="V301" s="460"/>
      <c r="W301" s="460"/>
      <c r="X301" s="460"/>
      <c r="Y301" s="460"/>
      <c r="Z301" s="460"/>
      <c r="AA301" s="460"/>
      <c r="AB301" s="460"/>
      <c r="AC301" s="460"/>
      <c r="AD301" s="460"/>
      <c r="AE301" s="460"/>
      <c r="AF301" s="460"/>
      <c r="AG301" s="461"/>
      <c r="AH301" s="460"/>
      <c r="AI301" s="460"/>
      <c r="AJ301" s="460"/>
      <c r="AK301" s="461"/>
      <c r="AL301" s="460"/>
      <c r="AM301" s="460"/>
      <c r="AN301" s="460"/>
    </row>
    <row r="302" spans="1:40">
      <c r="H302" s="462"/>
      <c r="I302" s="462"/>
      <c r="J302" s="462"/>
      <c r="K302" s="462"/>
      <c r="L302" s="462"/>
      <c r="M302" s="462"/>
      <c r="N302" s="462"/>
      <c r="O302" s="462"/>
      <c r="P302" s="462"/>
      <c r="Q302" s="462"/>
      <c r="R302" s="462"/>
      <c r="Y302" s="462"/>
      <c r="Z302" s="462"/>
      <c r="AA302" s="462"/>
      <c r="AB302" s="462"/>
      <c r="AC302" s="462"/>
      <c r="AD302" s="462"/>
      <c r="AE302" s="462"/>
      <c r="AF302" s="462"/>
      <c r="AG302" s="463"/>
      <c r="AH302" s="462"/>
      <c r="AI302" s="462"/>
      <c r="AJ302" s="462"/>
      <c r="AK302" s="463"/>
      <c r="AL302" s="462"/>
      <c r="AM302" s="462"/>
      <c r="AN302" s="462"/>
    </row>
    <row r="303" spans="1:40">
      <c r="C303" s="455"/>
      <c r="D303" s="455"/>
      <c r="E303" s="455"/>
      <c r="T303" s="455"/>
      <c r="U303" s="455"/>
    </row>
    <row r="304" spans="1:40">
      <c r="C304" s="455"/>
      <c r="T304" s="455"/>
    </row>
    <row r="306" spans="3:40">
      <c r="C306" s="455"/>
      <c r="F306" s="476"/>
      <c r="H306" s="476"/>
      <c r="I306" s="476"/>
      <c r="J306" s="471"/>
      <c r="K306" s="471"/>
      <c r="L306" s="470"/>
      <c r="M306" s="470"/>
      <c r="N306" s="472"/>
      <c r="O306" s="472"/>
      <c r="R306" s="470"/>
      <c r="T306" s="455"/>
      <c r="V306" s="470"/>
      <c r="Y306" s="476"/>
      <c r="Z306" s="471"/>
      <c r="AA306" s="470"/>
      <c r="AB306" s="470"/>
      <c r="AC306" s="472"/>
      <c r="AD306" s="472"/>
      <c r="AE306" s="470"/>
      <c r="AF306" s="470"/>
      <c r="AH306" s="529"/>
      <c r="AL306" s="470"/>
      <c r="AM306" s="472"/>
      <c r="AN306" s="472"/>
    </row>
    <row r="307" spans="3:40">
      <c r="F307" s="479"/>
      <c r="H307" s="470"/>
      <c r="I307" s="470"/>
      <c r="J307" s="484"/>
      <c r="K307" s="484"/>
      <c r="L307" s="479"/>
      <c r="M307" s="479"/>
      <c r="N307" s="479"/>
      <c r="O307" s="479"/>
      <c r="P307" s="479"/>
      <c r="Q307" s="479"/>
      <c r="R307" s="479"/>
      <c r="V307" s="479"/>
      <c r="Y307" s="470"/>
      <c r="Z307" s="484"/>
      <c r="AA307" s="479"/>
      <c r="AB307" s="479"/>
      <c r="AC307" s="479"/>
      <c r="AD307" s="479"/>
      <c r="AE307" s="479"/>
      <c r="AF307" s="479"/>
      <c r="AI307" s="479"/>
      <c r="AJ307" s="479"/>
      <c r="AK307" s="485"/>
      <c r="AL307" s="479"/>
      <c r="AM307" s="472"/>
      <c r="AN307" s="472"/>
    </row>
    <row r="308" spans="3:40">
      <c r="C308" s="455"/>
      <c r="F308" s="476"/>
      <c r="H308" s="476"/>
      <c r="I308" s="476"/>
      <c r="J308" s="530"/>
      <c r="K308" s="530"/>
      <c r="L308" s="470"/>
      <c r="M308" s="470"/>
      <c r="N308" s="472"/>
      <c r="O308" s="472"/>
      <c r="P308" s="470"/>
      <c r="Q308" s="470"/>
      <c r="R308" s="470"/>
      <c r="S308" s="470"/>
      <c r="T308" s="455"/>
      <c r="V308" s="476"/>
      <c r="Y308" s="476"/>
      <c r="Z308" s="530"/>
      <c r="AA308" s="470"/>
      <c r="AB308" s="470"/>
      <c r="AC308" s="472"/>
      <c r="AD308" s="472"/>
      <c r="AE308" s="470"/>
      <c r="AF308" s="470"/>
      <c r="AH308" s="472"/>
      <c r="AI308" s="470"/>
      <c r="AJ308" s="470"/>
      <c r="AL308" s="470"/>
      <c r="AM308" s="472"/>
      <c r="AN308" s="472"/>
    </row>
    <row r="309" spans="3:40">
      <c r="C309" s="455"/>
      <c r="F309" s="476"/>
      <c r="H309" s="476"/>
      <c r="I309" s="476"/>
      <c r="J309" s="471"/>
      <c r="K309" s="471"/>
      <c r="L309" s="470"/>
      <c r="M309" s="470"/>
      <c r="N309" s="472"/>
      <c r="O309" s="472"/>
      <c r="P309" s="470"/>
      <c r="Q309" s="470"/>
      <c r="R309" s="470"/>
      <c r="T309" s="455"/>
      <c r="V309" s="476"/>
      <c r="Y309" s="470"/>
      <c r="Z309" s="471"/>
      <c r="AA309" s="470"/>
      <c r="AB309" s="470"/>
      <c r="AC309" s="472"/>
      <c r="AD309" s="472"/>
      <c r="AE309" s="470"/>
      <c r="AF309" s="470"/>
      <c r="AH309" s="529"/>
      <c r="AI309" s="470"/>
      <c r="AJ309" s="470"/>
      <c r="AL309" s="470"/>
      <c r="AM309" s="472"/>
      <c r="AN309" s="472"/>
    </row>
    <row r="310" spans="3:40">
      <c r="C310" s="455"/>
      <c r="F310" s="476"/>
      <c r="H310" s="476"/>
      <c r="I310" s="476"/>
      <c r="J310" s="471"/>
      <c r="K310" s="471"/>
      <c r="L310" s="470"/>
      <c r="M310" s="470"/>
      <c r="N310" s="472"/>
      <c r="O310" s="472"/>
      <c r="P310" s="470"/>
      <c r="Q310" s="470"/>
      <c r="R310" s="470"/>
      <c r="T310" s="455"/>
      <c r="V310" s="476"/>
      <c r="Y310" s="470"/>
      <c r="Z310" s="471"/>
      <c r="AA310" s="470"/>
      <c r="AB310" s="470"/>
      <c r="AC310" s="472"/>
      <c r="AD310" s="472"/>
      <c r="AE310" s="470"/>
      <c r="AF310" s="470"/>
      <c r="AH310" s="529"/>
      <c r="AI310" s="470"/>
      <c r="AJ310" s="470"/>
      <c r="AL310" s="470"/>
      <c r="AM310" s="472"/>
      <c r="AN310" s="472"/>
    </row>
    <row r="311" spans="3:40">
      <c r="F311" s="479"/>
      <c r="H311" s="479"/>
      <c r="I311" s="479"/>
      <c r="J311" s="484"/>
      <c r="K311" s="484"/>
      <c r="L311" s="479"/>
      <c r="M311" s="479"/>
      <c r="N311" s="479"/>
      <c r="O311" s="479"/>
      <c r="P311" s="479"/>
      <c r="Q311" s="479"/>
      <c r="R311" s="479"/>
      <c r="V311" s="479"/>
      <c r="Y311" s="479"/>
      <c r="Z311" s="484"/>
      <c r="AA311" s="479"/>
      <c r="AB311" s="479"/>
      <c r="AC311" s="479"/>
      <c r="AD311" s="479"/>
      <c r="AE311" s="479"/>
      <c r="AF311" s="479"/>
      <c r="AI311" s="479"/>
      <c r="AJ311" s="479"/>
      <c r="AK311" s="485"/>
      <c r="AL311" s="479"/>
      <c r="AM311" s="472"/>
      <c r="AN311" s="472"/>
    </row>
    <row r="312" spans="3:40">
      <c r="C312" s="455"/>
      <c r="F312" s="470"/>
      <c r="H312" s="470"/>
      <c r="I312" s="470"/>
      <c r="J312" s="503"/>
      <c r="K312" s="503"/>
      <c r="L312" s="470"/>
      <c r="M312" s="470"/>
      <c r="N312" s="472"/>
      <c r="O312" s="472"/>
      <c r="P312" s="470"/>
      <c r="Q312" s="470"/>
      <c r="R312" s="470"/>
      <c r="T312" s="455"/>
      <c r="V312" s="470"/>
      <c r="Y312" s="470"/>
      <c r="Z312" s="503"/>
      <c r="AA312" s="470"/>
      <c r="AB312" s="470"/>
      <c r="AC312" s="472"/>
      <c r="AD312" s="472"/>
      <c r="AE312" s="470"/>
      <c r="AF312" s="470"/>
      <c r="AH312" s="529"/>
      <c r="AI312" s="470"/>
      <c r="AJ312" s="470"/>
      <c r="AL312" s="470"/>
      <c r="AM312" s="472"/>
      <c r="AN312" s="472"/>
    </row>
    <row r="313" spans="3:40">
      <c r="F313" s="479"/>
      <c r="H313" s="479"/>
      <c r="I313" s="479"/>
      <c r="J313" s="484"/>
      <c r="K313" s="484"/>
      <c r="L313" s="479"/>
      <c r="M313" s="479"/>
      <c r="N313" s="479"/>
      <c r="O313" s="479"/>
      <c r="P313" s="479"/>
      <c r="Q313" s="479"/>
      <c r="R313" s="479"/>
      <c r="V313" s="479"/>
      <c r="Y313" s="479"/>
      <c r="Z313" s="484"/>
      <c r="AA313" s="479"/>
      <c r="AB313" s="479"/>
      <c r="AC313" s="479"/>
      <c r="AD313" s="479"/>
      <c r="AE313" s="479"/>
      <c r="AF313" s="479"/>
      <c r="AI313" s="479"/>
      <c r="AJ313" s="479"/>
      <c r="AK313" s="485"/>
      <c r="AL313" s="479"/>
      <c r="AM313" s="472"/>
      <c r="AN313" s="472"/>
    </row>
    <row r="314" spans="3:40">
      <c r="C314" s="455"/>
      <c r="F314" s="470"/>
      <c r="H314" s="470"/>
      <c r="I314" s="470"/>
      <c r="J314" s="503"/>
      <c r="K314" s="503"/>
      <c r="L314" s="470"/>
      <c r="M314" s="470"/>
      <c r="N314" s="472"/>
      <c r="O314" s="472"/>
      <c r="P314" s="470"/>
      <c r="Q314" s="470"/>
      <c r="R314" s="470"/>
      <c r="T314" s="455"/>
      <c r="V314" s="470"/>
      <c r="Y314" s="470"/>
      <c r="Z314" s="503"/>
      <c r="AA314" s="470"/>
      <c r="AB314" s="470"/>
      <c r="AC314" s="472"/>
      <c r="AD314" s="472"/>
      <c r="AE314" s="470"/>
      <c r="AF314" s="470"/>
      <c r="AH314" s="529"/>
      <c r="AI314" s="470"/>
      <c r="AJ314" s="470"/>
      <c r="AL314" s="470"/>
      <c r="AM314" s="472"/>
      <c r="AN314" s="472"/>
    </row>
    <row r="315" spans="3:40">
      <c r="C315" s="455"/>
      <c r="F315" s="470"/>
      <c r="H315" s="476"/>
      <c r="I315" s="476"/>
      <c r="J315" s="518"/>
      <c r="K315" s="518"/>
      <c r="L315" s="470"/>
      <c r="M315" s="470"/>
      <c r="N315" s="472"/>
      <c r="O315" s="472"/>
      <c r="P315" s="470"/>
      <c r="Q315" s="470"/>
      <c r="R315" s="470"/>
      <c r="T315" s="455"/>
      <c r="V315" s="470"/>
      <c r="Y315" s="470"/>
      <c r="Z315" s="483"/>
      <c r="AA315" s="470"/>
      <c r="AB315" s="470"/>
      <c r="AC315" s="472"/>
      <c r="AD315" s="472"/>
      <c r="AE315" s="470"/>
      <c r="AF315" s="470"/>
      <c r="AH315" s="529"/>
      <c r="AI315" s="470"/>
      <c r="AJ315" s="470"/>
      <c r="AL315" s="470"/>
      <c r="AM315" s="472"/>
      <c r="AN315" s="472"/>
    </row>
    <row r="316" spans="3:40">
      <c r="F316" s="479"/>
      <c r="H316" s="479"/>
      <c r="I316" s="479"/>
      <c r="J316" s="484"/>
      <c r="K316" s="484"/>
      <c r="L316" s="479"/>
      <c r="M316" s="479"/>
      <c r="N316" s="479"/>
      <c r="O316" s="479"/>
      <c r="P316" s="479"/>
      <c r="Q316" s="479"/>
      <c r="R316" s="479"/>
      <c r="V316" s="479"/>
      <c r="Y316" s="479"/>
      <c r="Z316" s="484"/>
      <c r="AA316" s="479"/>
      <c r="AB316" s="479"/>
      <c r="AC316" s="479"/>
      <c r="AD316" s="479"/>
      <c r="AE316" s="479"/>
      <c r="AF316" s="479"/>
      <c r="AI316" s="479"/>
      <c r="AJ316" s="479"/>
      <c r="AK316" s="485"/>
      <c r="AL316" s="479"/>
      <c r="AM316" s="472"/>
      <c r="AN316" s="472"/>
    </row>
    <row r="318" spans="3:40">
      <c r="C318" s="455"/>
      <c r="F318" s="470"/>
      <c r="H318" s="470"/>
      <c r="I318" s="470"/>
      <c r="J318" s="484"/>
      <c r="K318" s="484"/>
      <c r="L318" s="470"/>
      <c r="M318" s="470"/>
      <c r="N318" s="472"/>
      <c r="O318" s="472"/>
      <c r="P318" s="470"/>
      <c r="Q318" s="470"/>
      <c r="R318" s="470"/>
      <c r="S318" s="470"/>
      <c r="T318" s="455"/>
      <c r="V318" s="470"/>
      <c r="Y318" s="470"/>
      <c r="Z318" s="484"/>
      <c r="AA318" s="470"/>
      <c r="AB318" s="470"/>
      <c r="AC318" s="472"/>
      <c r="AD318" s="472"/>
      <c r="AE318" s="470"/>
      <c r="AF318" s="470"/>
      <c r="AH318" s="472"/>
      <c r="AI318" s="470"/>
      <c r="AJ318" s="470"/>
      <c r="AL318" s="470"/>
      <c r="AM318" s="472"/>
      <c r="AN318" s="472"/>
    </row>
    <row r="319" spans="3:40">
      <c r="F319" s="479"/>
      <c r="H319" s="479"/>
      <c r="I319" s="479"/>
      <c r="J319" s="484"/>
      <c r="K319" s="484"/>
      <c r="L319" s="479"/>
      <c r="M319" s="479"/>
      <c r="N319" s="479"/>
      <c r="O319" s="479"/>
      <c r="P319" s="479"/>
      <c r="Q319" s="479"/>
      <c r="R319" s="479"/>
      <c r="S319" s="470"/>
      <c r="V319" s="479"/>
      <c r="Y319" s="479"/>
      <c r="Z319" s="484"/>
      <c r="AA319" s="479"/>
      <c r="AB319" s="479"/>
      <c r="AC319" s="479"/>
      <c r="AD319" s="479"/>
      <c r="AE319" s="479"/>
      <c r="AF319" s="479"/>
      <c r="AI319" s="479"/>
      <c r="AJ319" s="479"/>
      <c r="AK319" s="485"/>
      <c r="AL319" s="479"/>
      <c r="AM319" s="472"/>
      <c r="AN319" s="472"/>
    </row>
    <row r="320" spans="3:40">
      <c r="C320" s="455"/>
      <c r="F320" s="476"/>
      <c r="H320" s="476"/>
      <c r="I320" s="476"/>
      <c r="J320" s="484"/>
      <c r="K320" s="484"/>
      <c r="L320" s="470"/>
      <c r="M320" s="470"/>
      <c r="N320" s="472"/>
      <c r="O320" s="472"/>
      <c r="P320" s="470"/>
      <c r="Q320" s="470"/>
      <c r="R320" s="470"/>
      <c r="S320" s="470"/>
      <c r="T320" s="455"/>
      <c r="V320" s="476"/>
      <c r="Y320" s="476"/>
      <c r="Z320" s="484"/>
      <c r="AA320" s="470"/>
      <c r="AB320" s="470"/>
      <c r="AC320" s="472"/>
      <c r="AD320" s="472"/>
      <c r="AE320" s="470"/>
      <c r="AF320" s="470"/>
      <c r="AI320" s="470"/>
      <c r="AJ320" s="470"/>
      <c r="AL320" s="470"/>
      <c r="AM320" s="472"/>
      <c r="AN320" s="472"/>
    </row>
    <row r="322" spans="3:40">
      <c r="C322" s="455"/>
      <c r="F322" s="476"/>
      <c r="H322" s="476"/>
      <c r="I322" s="476"/>
      <c r="J322" s="471"/>
      <c r="K322" s="471"/>
      <c r="L322" s="470"/>
      <c r="M322" s="470"/>
      <c r="N322" s="472"/>
      <c r="O322" s="472"/>
      <c r="R322" s="470"/>
      <c r="T322" s="455"/>
      <c r="V322" s="470"/>
      <c r="Y322" s="476"/>
      <c r="Z322" s="471"/>
      <c r="AA322" s="470"/>
      <c r="AB322" s="470"/>
      <c r="AC322" s="472"/>
      <c r="AD322" s="472"/>
      <c r="AE322" s="470"/>
      <c r="AF322" s="470"/>
      <c r="AH322" s="529"/>
      <c r="AL322" s="470"/>
      <c r="AM322" s="472"/>
      <c r="AN322" s="472"/>
    </row>
    <row r="323" spans="3:40">
      <c r="F323" s="479"/>
      <c r="H323" s="470"/>
      <c r="I323" s="470"/>
      <c r="J323" s="484"/>
      <c r="K323" s="484"/>
      <c r="L323" s="479"/>
      <c r="M323" s="479"/>
      <c r="N323" s="479"/>
      <c r="O323" s="479"/>
      <c r="P323" s="479"/>
      <c r="Q323" s="479"/>
      <c r="R323" s="479"/>
      <c r="V323" s="479"/>
      <c r="Y323" s="470"/>
      <c r="Z323" s="484"/>
      <c r="AA323" s="479"/>
      <c r="AB323" s="479"/>
      <c r="AC323" s="479"/>
      <c r="AD323" s="479"/>
      <c r="AE323" s="479"/>
      <c r="AF323" s="479"/>
      <c r="AI323" s="479"/>
      <c r="AJ323" s="479"/>
      <c r="AK323" s="485"/>
      <c r="AL323" s="479"/>
      <c r="AM323" s="472"/>
      <c r="AN323" s="472"/>
    </row>
    <row r="324" spans="3:40">
      <c r="C324" s="455"/>
      <c r="F324" s="476"/>
      <c r="H324" s="476"/>
      <c r="I324" s="476"/>
      <c r="J324" s="530"/>
      <c r="K324" s="530"/>
      <c r="L324" s="470"/>
      <c r="M324" s="470"/>
      <c r="N324" s="472"/>
      <c r="O324" s="472"/>
      <c r="P324" s="470"/>
      <c r="Q324" s="470"/>
      <c r="R324" s="470"/>
      <c r="S324" s="470"/>
      <c r="T324" s="455"/>
      <c r="V324" s="476"/>
      <c r="Y324" s="476"/>
      <c r="Z324" s="530"/>
      <c r="AA324" s="470"/>
      <c r="AB324" s="470"/>
      <c r="AC324" s="472"/>
      <c r="AD324" s="472"/>
      <c r="AE324" s="470"/>
      <c r="AF324" s="470"/>
      <c r="AH324" s="472"/>
      <c r="AI324" s="470"/>
      <c r="AJ324" s="470"/>
      <c r="AL324" s="470"/>
      <c r="AM324" s="472"/>
      <c r="AN324" s="472"/>
    </row>
    <row r="325" spans="3:40">
      <c r="C325" s="455"/>
      <c r="F325" s="476"/>
      <c r="H325" s="476"/>
      <c r="I325" s="476"/>
      <c r="J325" s="471"/>
      <c r="K325" s="471"/>
      <c r="L325" s="470"/>
      <c r="M325" s="470"/>
      <c r="N325" s="472"/>
      <c r="O325" s="472"/>
      <c r="P325" s="470"/>
      <c r="Q325" s="470"/>
      <c r="R325" s="470"/>
      <c r="T325" s="455"/>
      <c r="V325" s="476"/>
      <c r="Y325" s="470"/>
      <c r="Z325" s="471"/>
      <c r="AA325" s="470"/>
      <c r="AB325" s="470"/>
      <c r="AC325" s="472"/>
      <c r="AD325" s="472"/>
      <c r="AE325" s="470"/>
      <c r="AF325" s="470"/>
      <c r="AH325" s="529"/>
      <c r="AI325" s="470"/>
      <c r="AJ325" s="470"/>
      <c r="AL325" s="470"/>
      <c r="AM325" s="472"/>
      <c r="AN325" s="472"/>
    </row>
    <row r="326" spans="3:40">
      <c r="C326" s="455"/>
      <c r="F326" s="476"/>
      <c r="H326" s="476"/>
      <c r="I326" s="476"/>
      <c r="J326" s="471"/>
      <c r="K326" s="471"/>
      <c r="L326" s="470"/>
      <c r="M326" s="470"/>
      <c r="N326" s="472"/>
      <c r="O326" s="472"/>
      <c r="P326" s="470"/>
      <c r="Q326" s="470"/>
      <c r="R326" s="470"/>
      <c r="T326" s="455"/>
      <c r="V326" s="476"/>
      <c r="Y326" s="470"/>
      <c r="Z326" s="471"/>
      <c r="AA326" s="470"/>
      <c r="AB326" s="470"/>
      <c r="AC326" s="472"/>
      <c r="AD326" s="472"/>
      <c r="AE326" s="470"/>
      <c r="AF326" s="470"/>
      <c r="AH326" s="529"/>
      <c r="AI326" s="470"/>
      <c r="AJ326" s="470"/>
      <c r="AL326" s="470"/>
      <c r="AM326" s="472"/>
      <c r="AN326" s="472"/>
    </row>
    <row r="327" spans="3:40">
      <c r="F327" s="479"/>
      <c r="H327" s="479"/>
      <c r="I327" s="479"/>
      <c r="J327" s="484"/>
      <c r="K327" s="484"/>
      <c r="L327" s="479"/>
      <c r="M327" s="479"/>
      <c r="N327" s="479"/>
      <c r="O327" s="479"/>
      <c r="P327" s="479"/>
      <c r="Q327" s="479"/>
      <c r="R327" s="479"/>
      <c r="V327" s="479"/>
      <c r="Y327" s="479"/>
      <c r="Z327" s="484"/>
      <c r="AA327" s="479"/>
      <c r="AB327" s="479"/>
      <c r="AC327" s="479"/>
      <c r="AD327" s="479"/>
      <c r="AE327" s="479"/>
      <c r="AF327" s="479"/>
      <c r="AI327" s="479"/>
      <c r="AJ327" s="479"/>
      <c r="AK327" s="485"/>
      <c r="AL327" s="479"/>
      <c r="AM327" s="472"/>
      <c r="AN327" s="472"/>
    </row>
    <row r="328" spans="3:40">
      <c r="C328" s="455"/>
      <c r="F328" s="470"/>
      <c r="H328" s="470"/>
      <c r="I328" s="470"/>
      <c r="J328" s="503"/>
      <c r="K328" s="503"/>
      <c r="L328" s="470"/>
      <c r="M328" s="470"/>
      <c r="N328" s="472"/>
      <c r="O328" s="472"/>
      <c r="P328" s="470"/>
      <c r="Q328" s="470"/>
      <c r="R328" s="470"/>
      <c r="T328" s="455"/>
      <c r="V328" s="470"/>
      <c r="Y328" s="470"/>
      <c r="Z328" s="503"/>
      <c r="AA328" s="470"/>
      <c r="AB328" s="470"/>
      <c r="AC328" s="472"/>
      <c r="AD328" s="472"/>
      <c r="AE328" s="470"/>
      <c r="AF328" s="470"/>
      <c r="AH328" s="529"/>
      <c r="AI328" s="470"/>
      <c r="AJ328" s="470"/>
      <c r="AL328" s="470"/>
      <c r="AM328" s="472"/>
      <c r="AN328" s="472"/>
    </row>
    <row r="329" spans="3:40">
      <c r="F329" s="479"/>
      <c r="H329" s="479"/>
      <c r="I329" s="479"/>
      <c r="J329" s="484"/>
      <c r="K329" s="484"/>
      <c r="L329" s="479"/>
      <c r="M329" s="479"/>
      <c r="N329" s="479"/>
      <c r="O329" s="479"/>
      <c r="P329" s="479"/>
      <c r="Q329" s="479"/>
      <c r="R329" s="479"/>
      <c r="V329" s="479"/>
      <c r="Y329" s="479"/>
      <c r="Z329" s="484"/>
      <c r="AA329" s="479"/>
      <c r="AB329" s="479"/>
      <c r="AC329" s="479"/>
      <c r="AD329" s="479"/>
      <c r="AE329" s="479"/>
      <c r="AF329" s="479"/>
      <c r="AI329" s="479"/>
      <c r="AJ329" s="479"/>
      <c r="AK329" s="485"/>
      <c r="AL329" s="479"/>
      <c r="AM329" s="472"/>
      <c r="AN329" s="472"/>
    </row>
    <row r="330" spans="3:40">
      <c r="C330" s="455"/>
      <c r="F330" s="470"/>
      <c r="H330" s="470"/>
      <c r="I330" s="470"/>
      <c r="J330" s="503"/>
      <c r="K330" s="503"/>
      <c r="L330" s="470"/>
      <c r="M330" s="470"/>
      <c r="N330" s="472"/>
      <c r="O330" s="472"/>
      <c r="P330" s="470"/>
      <c r="Q330" s="470"/>
      <c r="R330" s="470"/>
      <c r="T330" s="455"/>
      <c r="V330" s="470"/>
      <c r="Y330" s="470"/>
      <c r="Z330" s="503"/>
      <c r="AA330" s="470"/>
      <c r="AB330" s="470"/>
      <c r="AC330" s="472"/>
      <c r="AD330" s="472"/>
      <c r="AE330" s="470"/>
      <c r="AF330" s="470"/>
      <c r="AH330" s="529"/>
      <c r="AI330" s="470"/>
      <c r="AJ330" s="470"/>
      <c r="AL330" s="470"/>
      <c r="AM330" s="472"/>
      <c r="AN330" s="472"/>
    </row>
    <row r="331" spans="3:40">
      <c r="C331" s="455"/>
      <c r="F331" s="470"/>
      <c r="H331" s="476"/>
      <c r="I331" s="476"/>
      <c r="J331" s="518"/>
      <c r="K331" s="518"/>
      <c r="L331" s="470"/>
      <c r="M331" s="470"/>
      <c r="N331" s="472"/>
      <c r="O331" s="472"/>
      <c r="P331" s="470"/>
      <c r="Q331" s="470"/>
      <c r="R331" s="470"/>
      <c r="T331" s="455"/>
      <c r="V331" s="470"/>
      <c r="Y331" s="470"/>
      <c r="Z331" s="483"/>
      <c r="AA331" s="470"/>
      <c r="AB331" s="470"/>
      <c r="AC331" s="472"/>
      <c r="AD331" s="472"/>
      <c r="AE331" s="470"/>
      <c r="AF331" s="470"/>
      <c r="AH331" s="529"/>
      <c r="AI331" s="470"/>
      <c r="AJ331" s="470"/>
      <c r="AL331" s="470"/>
      <c r="AM331" s="472"/>
      <c r="AN331" s="472"/>
    </row>
    <row r="332" spans="3:40">
      <c r="F332" s="479"/>
      <c r="H332" s="479"/>
      <c r="I332" s="479"/>
      <c r="J332" s="484"/>
      <c r="K332" s="484"/>
      <c r="L332" s="479"/>
      <c r="M332" s="479"/>
      <c r="N332" s="479"/>
      <c r="O332" s="479"/>
      <c r="P332" s="479"/>
      <c r="Q332" s="479"/>
      <c r="R332" s="479"/>
      <c r="V332" s="479"/>
      <c r="Y332" s="479"/>
      <c r="Z332" s="484"/>
      <c r="AA332" s="479"/>
      <c r="AB332" s="479"/>
      <c r="AC332" s="479"/>
      <c r="AD332" s="479"/>
      <c r="AE332" s="479"/>
      <c r="AF332" s="479"/>
      <c r="AI332" s="479"/>
      <c r="AJ332" s="479"/>
      <c r="AK332" s="485"/>
      <c r="AL332" s="479"/>
      <c r="AM332" s="472"/>
      <c r="AN332" s="472"/>
    </row>
    <row r="334" spans="3:40">
      <c r="C334" s="455"/>
      <c r="F334" s="470"/>
      <c r="H334" s="470"/>
      <c r="I334" s="470"/>
      <c r="J334" s="484"/>
      <c r="K334" s="484"/>
      <c r="L334" s="470"/>
      <c r="M334" s="470"/>
      <c r="N334" s="472"/>
      <c r="O334" s="472"/>
      <c r="P334" s="470"/>
      <c r="Q334" s="470"/>
      <c r="R334" s="470"/>
      <c r="S334" s="470"/>
      <c r="T334" s="455"/>
      <c r="V334" s="470"/>
      <c r="Y334" s="470"/>
      <c r="Z334" s="484"/>
      <c r="AA334" s="470"/>
      <c r="AB334" s="470"/>
      <c r="AC334" s="472"/>
      <c r="AD334" s="472"/>
      <c r="AE334" s="470"/>
      <c r="AF334" s="470"/>
      <c r="AH334" s="472"/>
      <c r="AI334" s="470"/>
      <c r="AJ334" s="470"/>
      <c r="AL334" s="470"/>
      <c r="AM334" s="472"/>
      <c r="AN334" s="472"/>
    </row>
    <row r="335" spans="3:40">
      <c r="F335" s="479"/>
      <c r="H335" s="479"/>
      <c r="I335" s="479"/>
      <c r="J335" s="484"/>
      <c r="K335" s="484"/>
      <c r="L335" s="479"/>
      <c r="M335" s="479"/>
      <c r="N335" s="479"/>
      <c r="O335" s="479"/>
      <c r="P335" s="479"/>
      <c r="Q335" s="479"/>
      <c r="R335" s="479"/>
      <c r="S335" s="470"/>
      <c r="V335" s="479"/>
      <c r="Y335" s="479"/>
      <c r="Z335" s="484"/>
      <c r="AA335" s="479"/>
      <c r="AB335" s="479"/>
      <c r="AC335" s="479"/>
      <c r="AD335" s="479"/>
      <c r="AE335" s="479"/>
      <c r="AF335" s="479"/>
      <c r="AI335" s="479"/>
      <c r="AJ335" s="479"/>
      <c r="AK335" s="485"/>
      <c r="AL335" s="479"/>
      <c r="AM335" s="472"/>
      <c r="AN335" s="472"/>
    </row>
    <row r="336" spans="3:40">
      <c r="C336" s="455"/>
      <c r="T336" s="455"/>
    </row>
    <row r="337" spans="1:40">
      <c r="C337" s="455"/>
      <c r="F337" s="470"/>
      <c r="H337" s="470"/>
      <c r="I337" s="470"/>
      <c r="L337" s="470"/>
      <c r="M337" s="470"/>
      <c r="N337" s="472"/>
      <c r="O337" s="472"/>
      <c r="P337" s="476"/>
      <c r="Q337" s="476"/>
      <c r="R337" s="470"/>
      <c r="T337" s="455"/>
      <c r="V337" s="470"/>
      <c r="Y337" s="470"/>
      <c r="AA337" s="470"/>
      <c r="AB337" s="470"/>
      <c r="AC337" s="472"/>
      <c r="AD337" s="472"/>
      <c r="AE337" s="470"/>
      <c r="AF337" s="470"/>
      <c r="AH337" s="472"/>
      <c r="AI337" s="476"/>
      <c r="AJ337" s="476"/>
      <c r="AL337" s="470"/>
      <c r="AM337" s="472"/>
      <c r="AN337" s="472"/>
    </row>
    <row r="338" spans="1:40">
      <c r="F338" s="479"/>
      <c r="H338" s="479"/>
      <c r="I338" s="479"/>
      <c r="J338" s="484"/>
      <c r="K338" s="484"/>
      <c r="L338" s="479"/>
      <c r="M338" s="479"/>
      <c r="N338" s="479"/>
      <c r="O338" s="479"/>
      <c r="P338" s="479"/>
      <c r="Q338" s="479"/>
      <c r="R338" s="479"/>
      <c r="V338" s="479"/>
      <c r="Y338" s="479"/>
      <c r="Z338" s="484"/>
      <c r="AA338" s="479"/>
      <c r="AB338" s="479"/>
      <c r="AC338" s="479"/>
      <c r="AD338" s="479"/>
      <c r="AE338" s="479"/>
      <c r="AF338" s="479"/>
      <c r="AI338" s="479"/>
      <c r="AJ338" s="479"/>
      <c r="AK338" s="485"/>
      <c r="AL338" s="479"/>
    </row>
    <row r="340" spans="1:40">
      <c r="C340" s="455"/>
      <c r="L340" s="470"/>
      <c r="M340" s="470"/>
      <c r="N340" s="470"/>
      <c r="O340" s="470"/>
      <c r="P340" s="470"/>
      <c r="Q340" s="470"/>
      <c r="R340" s="470"/>
      <c r="S340" s="470"/>
      <c r="T340" s="455"/>
      <c r="AA340" s="470"/>
      <c r="AB340" s="470"/>
      <c r="AC340" s="470"/>
      <c r="AD340" s="470"/>
      <c r="AI340" s="470"/>
      <c r="AJ340" s="470"/>
      <c r="AL340" s="470"/>
    </row>
    <row r="341" spans="1:40">
      <c r="A341" s="455"/>
    </row>
    <row r="343" spans="1:40">
      <c r="H343" s="455"/>
      <c r="I343" s="455"/>
      <c r="Y343" s="455"/>
    </row>
    <row r="345" spans="1:40">
      <c r="L345" s="455"/>
      <c r="M345" s="455"/>
      <c r="AA345" s="455"/>
      <c r="AB345" s="455"/>
    </row>
    <row r="346" spans="1:40">
      <c r="R346" s="455"/>
      <c r="AK346" s="456"/>
      <c r="AL346" s="455"/>
    </row>
    <row r="347" spans="1:40">
      <c r="R347" s="455"/>
      <c r="AK347" s="456"/>
      <c r="AL347" s="455"/>
    </row>
    <row r="348" spans="1:40">
      <c r="A348" s="455"/>
      <c r="R348" s="455"/>
      <c r="AK348" s="456"/>
      <c r="AL348" s="455"/>
    </row>
    <row r="349" spans="1:40">
      <c r="L349" s="455"/>
      <c r="M349" s="455"/>
      <c r="AA349" s="455"/>
      <c r="AB349" s="455"/>
    </row>
    <row r="350" spans="1:40">
      <c r="A350" s="460"/>
      <c r="B350" s="460"/>
      <c r="C350" s="460"/>
      <c r="D350" s="460"/>
      <c r="E350" s="460"/>
      <c r="F350" s="460"/>
      <c r="G350" s="460"/>
      <c r="H350" s="460"/>
      <c r="I350" s="460"/>
      <c r="J350" s="460"/>
      <c r="K350" s="460"/>
      <c r="L350" s="460"/>
      <c r="M350" s="460"/>
      <c r="N350" s="460"/>
      <c r="O350" s="460"/>
      <c r="P350" s="460"/>
      <c r="Q350" s="460"/>
      <c r="R350" s="460"/>
      <c r="T350" s="460"/>
      <c r="U350" s="460"/>
      <c r="V350" s="460"/>
      <c r="W350" s="460"/>
      <c r="X350" s="460"/>
      <c r="Y350" s="460"/>
      <c r="Z350" s="460"/>
      <c r="AA350" s="460"/>
      <c r="AB350" s="460"/>
      <c r="AC350" s="460"/>
      <c r="AD350" s="460"/>
      <c r="AE350" s="460"/>
      <c r="AF350" s="460"/>
      <c r="AG350" s="461"/>
      <c r="AH350" s="460"/>
      <c r="AI350" s="460"/>
      <c r="AJ350" s="460"/>
      <c r="AK350" s="461"/>
      <c r="AL350" s="460"/>
      <c r="AM350" s="460"/>
      <c r="AN350" s="460"/>
    </row>
    <row r="351" spans="1:40">
      <c r="L351" s="462"/>
      <c r="M351" s="462"/>
      <c r="N351" s="462"/>
      <c r="O351" s="462"/>
      <c r="R351" s="462"/>
      <c r="AA351" s="462"/>
      <c r="AB351" s="462"/>
      <c r="AC351" s="462"/>
      <c r="AD351" s="462"/>
      <c r="AE351" s="462"/>
      <c r="AF351" s="462"/>
      <c r="AG351" s="463"/>
      <c r="AH351" s="462"/>
      <c r="AK351" s="463"/>
      <c r="AL351" s="462"/>
      <c r="AM351" s="462"/>
      <c r="AN351" s="462"/>
    </row>
    <row r="352" spans="1:40">
      <c r="L352" s="462"/>
      <c r="M352" s="462"/>
      <c r="N352" s="462"/>
      <c r="O352" s="462"/>
      <c r="R352" s="462"/>
      <c r="Z352" s="462"/>
      <c r="AA352" s="462"/>
      <c r="AB352" s="462"/>
      <c r="AC352" s="462"/>
      <c r="AD352" s="462"/>
      <c r="AE352" s="462"/>
      <c r="AF352" s="462"/>
      <c r="AG352" s="463"/>
      <c r="AH352" s="462"/>
      <c r="AK352" s="463"/>
      <c r="AL352" s="462"/>
      <c r="AM352" s="462"/>
      <c r="AN352" s="462"/>
    </row>
    <row r="353" spans="1:40">
      <c r="A353" s="462"/>
      <c r="C353" s="462"/>
      <c r="D353" s="462"/>
      <c r="E353" s="462"/>
      <c r="F353" s="462"/>
      <c r="J353" s="462"/>
      <c r="K353" s="462"/>
      <c r="L353" s="462"/>
      <c r="M353" s="462"/>
      <c r="N353" s="462"/>
      <c r="O353" s="462"/>
      <c r="P353" s="462"/>
      <c r="Q353" s="462"/>
      <c r="R353" s="462"/>
      <c r="T353" s="462"/>
      <c r="U353" s="462"/>
      <c r="V353" s="462"/>
      <c r="Z353" s="462"/>
      <c r="AA353" s="462"/>
      <c r="AB353" s="462"/>
      <c r="AC353" s="462"/>
      <c r="AD353" s="462"/>
      <c r="AE353" s="462"/>
      <c r="AF353" s="462"/>
      <c r="AG353" s="463"/>
      <c r="AH353" s="462"/>
      <c r="AI353" s="462"/>
      <c r="AJ353" s="462"/>
      <c r="AK353" s="463"/>
      <c r="AL353" s="462"/>
      <c r="AM353" s="462"/>
      <c r="AN353" s="462"/>
    </row>
    <row r="354" spans="1:40">
      <c r="A354" s="462"/>
      <c r="C354" s="462"/>
      <c r="D354" s="462"/>
      <c r="E354" s="462"/>
      <c r="F354" s="462"/>
      <c r="H354" s="462"/>
      <c r="I354" s="462"/>
      <c r="J354" s="462"/>
      <c r="K354" s="462"/>
      <c r="L354" s="462"/>
      <c r="M354" s="462"/>
      <c r="N354" s="462"/>
      <c r="O354" s="462"/>
      <c r="P354" s="462"/>
      <c r="Q354" s="462"/>
      <c r="R354" s="462"/>
      <c r="T354" s="462"/>
      <c r="U354" s="462"/>
      <c r="V354" s="462"/>
      <c r="Y354" s="462"/>
      <c r="Z354" s="462"/>
      <c r="AA354" s="462"/>
      <c r="AB354" s="462"/>
      <c r="AC354" s="462"/>
      <c r="AD354" s="462"/>
      <c r="AE354" s="462"/>
      <c r="AF354" s="462"/>
      <c r="AG354" s="463"/>
      <c r="AH354" s="462"/>
      <c r="AI354" s="462"/>
      <c r="AJ354" s="462"/>
      <c r="AK354" s="463"/>
      <c r="AL354" s="462"/>
      <c r="AM354" s="462"/>
      <c r="AN354" s="462"/>
    </row>
    <row r="355" spans="1:40">
      <c r="C355" s="462"/>
      <c r="D355" s="462"/>
      <c r="E355" s="462"/>
      <c r="F355" s="462"/>
      <c r="H355" s="462"/>
      <c r="I355" s="462"/>
      <c r="J355" s="462"/>
      <c r="K355" s="462"/>
      <c r="L355" s="462"/>
      <c r="M355" s="462"/>
      <c r="N355" s="462"/>
      <c r="O355" s="462"/>
      <c r="P355" s="462"/>
      <c r="Q355" s="462"/>
      <c r="R355" s="462"/>
      <c r="T355" s="462"/>
      <c r="U355" s="462"/>
      <c r="V355" s="462"/>
      <c r="Y355" s="462"/>
      <c r="Z355" s="462"/>
      <c r="AA355" s="462"/>
      <c r="AB355" s="462"/>
      <c r="AC355" s="462"/>
      <c r="AD355" s="462"/>
      <c r="AE355" s="462"/>
      <c r="AF355" s="462"/>
      <c r="AG355" s="463"/>
      <c r="AH355" s="462"/>
      <c r="AI355" s="462"/>
      <c r="AJ355" s="462"/>
      <c r="AK355" s="463"/>
      <c r="AL355" s="462"/>
      <c r="AM355" s="462"/>
      <c r="AN355" s="462"/>
    </row>
    <row r="356" spans="1:40">
      <c r="A356" s="460"/>
      <c r="B356" s="460"/>
      <c r="C356" s="460"/>
      <c r="D356" s="460"/>
      <c r="E356" s="460"/>
      <c r="F356" s="460"/>
      <c r="G356" s="460"/>
      <c r="H356" s="460"/>
      <c r="I356" s="460"/>
      <c r="J356" s="460"/>
      <c r="K356" s="460"/>
      <c r="L356" s="460"/>
      <c r="M356" s="460"/>
      <c r="N356" s="460"/>
      <c r="O356" s="460"/>
      <c r="P356" s="460"/>
      <c r="Q356" s="460"/>
      <c r="R356" s="460"/>
      <c r="T356" s="460"/>
      <c r="U356" s="460"/>
      <c r="V356" s="460"/>
      <c r="W356" s="460"/>
      <c r="X356" s="460"/>
      <c r="Y356" s="460"/>
      <c r="Z356" s="460"/>
      <c r="AA356" s="460"/>
      <c r="AB356" s="460"/>
      <c r="AC356" s="460"/>
      <c r="AD356" s="460"/>
      <c r="AE356" s="460"/>
      <c r="AF356" s="460"/>
      <c r="AG356" s="461"/>
      <c r="AH356" s="460"/>
      <c r="AI356" s="460"/>
      <c r="AJ356" s="460"/>
      <c r="AK356" s="461"/>
      <c r="AL356" s="460"/>
      <c r="AM356" s="460"/>
      <c r="AN356" s="460"/>
    </row>
    <row r="357" spans="1:40">
      <c r="H357" s="462"/>
      <c r="I357" s="462"/>
      <c r="J357" s="462"/>
      <c r="K357" s="462"/>
      <c r="L357" s="462"/>
      <c r="M357" s="462"/>
      <c r="N357" s="462"/>
      <c r="O357" s="462"/>
      <c r="P357" s="462"/>
      <c r="Q357" s="462"/>
      <c r="R357" s="462"/>
      <c r="Y357" s="462"/>
      <c r="Z357" s="462"/>
      <c r="AA357" s="462"/>
      <c r="AB357" s="462"/>
      <c r="AC357" s="462"/>
      <c r="AD357" s="462"/>
      <c r="AE357" s="462"/>
      <c r="AF357" s="462"/>
      <c r="AG357" s="463"/>
      <c r="AH357" s="462"/>
      <c r="AI357" s="462"/>
      <c r="AJ357" s="462"/>
      <c r="AK357" s="463"/>
      <c r="AL357" s="462"/>
      <c r="AM357" s="462"/>
      <c r="AN357" s="462"/>
    </row>
    <row r="358" spans="1:40">
      <c r="C358" s="455"/>
      <c r="D358" s="455"/>
      <c r="E358" s="455"/>
      <c r="T358" s="455"/>
      <c r="U358" s="455"/>
    </row>
    <row r="359" spans="1:40">
      <c r="D359" s="455"/>
      <c r="E359" s="455"/>
      <c r="U359" s="455"/>
    </row>
    <row r="361" spans="1:40">
      <c r="C361" s="455"/>
      <c r="T361" s="455"/>
    </row>
    <row r="362" spans="1:40">
      <c r="C362" s="455"/>
      <c r="F362" s="476"/>
      <c r="H362" s="476"/>
      <c r="I362" s="476"/>
      <c r="J362" s="531"/>
      <c r="K362" s="531"/>
      <c r="L362" s="470"/>
      <c r="M362" s="470"/>
      <c r="N362" s="472"/>
      <c r="O362" s="472"/>
      <c r="P362" s="470"/>
      <c r="Q362" s="470"/>
      <c r="R362" s="470"/>
      <c r="T362" s="455"/>
      <c r="V362" s="476"/>
      <c r="W362" s="470"/>
      <c r="X362" s="470"/>
      <c r="Y362" s="476"/>
      <c r="Z362" s="531"/>
      <c r="AA362" s="470"/>
      <c r="AB362" s="470"/>
      <c r="AC362" s="472"/>
      <c r="AD362" s="472"/>
      <c r="AE362" s="470"/>
      <c r="AF362" s="470"/>
      <c r="AH362" s="529"/>
      <c r="AI362" s="470"/>
      <c r="AJ362" s="470"/>
      <c r="AL362" s="470"/>
      <c r="AM362" s="472"/>
      <c r="AN362" s="472"/>
    </row>
    <row r="363" spans="1:40">
      <c r="C363" s="455"/>
      <c r="F363" s="470"/>
      <c r="H363" s="470"/>
      <c r="I363" s="470"/>
      <c r="J363" s="484"/>
      <c r="K363" s="484"/>
      <c r="L363" s="470"/>
      <c r="M363" s="470"/>
      <c r="N363" s="472"/>
      <c r="O363" s="472"/>
      <c r="P363" s="470"/>
      <c r="Q363" s="470"/>
      <c r="R363" s="470"/>
      <c r="T363" s="455"/>
      <c r="V363" s="476"/>
      <c r="W363" s="470"/>
      <c r="X363" s="470"/>
      <c r="Y363" s="476"/>
      <c r="Z363" s="484"/>
      <c r="AA363" s="470"/>
      <c r="AB363" s="470"/>
      <c r="AC363" s="472"/>
      <c r="AD363" s="472"/>
      <c r="AE363" s="470"/>
      <c r="AF363" s="470"/>
      <c r="AH363" s="529"/>
      <c r="AI363" s="470"/>
      <c r="AJ363" s="470"/>
      <c r="AL363" s="470"/>
      <c r="AM363" s="472"/>
      <c r="AN363" s="472"/>
    </row>
    <row r="364" spans="1:40">
      <c r="C364" s="455"/>
      <c r="F364" s="476"/>
      <c r="H364" s="476"/>
      <c r="I364" s="476"/>
      <c r="J364" s="531"/>
      <c r="K364" s="531"/>
      <c r="L364" s="470"/>
      <c r="M364" s="470"/>
      <c r="N364" s="472"/>
      <c r="O364" s="472"/>
      <c r="P364" s="470"/>
      <c r="Q364" s="470"/>
      <c r="R364" s="470"/>
      <c r="T364" s="455"/>
      <c r="V364" s="476"/>
      <c r="W364" s="470"/>
      <c r="X364" s="470"/>
      <c r="Y364" s="476"/>
      <c r="Z364" s="531"/>
      <c r="AA364" s="470"/>
      <c r="AB364" s="470"/>
      <c r="AC364" s="472"/>
      <c r="AD364" s="472"/>
      <c r="AE364" s="470"/>
      <c r="AF364" s="470"/>
      <c r="AH364" s="529"/>
      <c r="AI364" s="470"/>
      <c r="AJ364" s="470"/>
      <c r="AL364" s="470"/>
      <c r="AM364" s="472"/>
      <c r="AN364" s="472"/>
    </row>
    <row r="365" spans="1:40">
      <c r="C365" s="455"/>
      <c r="F365" s="476"/>
      <c r="H365" s="476"/>
      <c r="I365" s="476"/>
      <c r="J365" s="531"/>
      <c r="K365" s="531"/>
      <c r="L365" s="470"/>
      <c r="M365" s="470"/>
      <c r="N365" s="472"/>
      <c r="O365" s="472"/>
      <c r="P365" s="470"/>
      <c r="Q365" s="470"/>
      <c r="R365" s="470"/>
      <c r="T365" s="455"/>
      <c r="V365" s="476"/>
      <c r="W365" s="470"/>
      <c r="X365" s="470"/>
      <c r="Y365" s="476"/>
      <c r="Z365" s="531"/>
      <c r="AA365" s="470"/>
      <c r="AB365" s="470"/>
      <c r="AC365" s="472"/>
      <c r="AD365" s="472"/>
      <c r="AE365" s="470"/>
      <c r="AF365" s="470"/>
      <c r="AH365" s="529"/>
      <c r="AI365" s="470"/>
      <c r="AJ365" s="470"/>
      <c r="AL365" s="470"/>
      <c r="AM365" s="472"/>
      <c r="AN365" s="472"/>
    </row>
    <row r="366" spans="1:40">
      <c r="C366" s="455"/>
      <c r="F366" s="476"/>
      <c r="H366" s="476"/>
      <c r="I366" s="476"/>
      <c r="J366" s="531"/>
      <c r="K366" s="531"/>
      <c r="L366" s="470"/>
      <c r="M366" s="470"/>
      <c r="N366" s="472"/>
      <c r="O366" s="472"/>
      <c r="P366" s="470"/>
      <c r="Q366" s="470"/>
      <c r="R366" s="470"/>
      <c r="T366" s="455"/>
      <c r="V366" s="476"/>
      <c r="W366" s="470"/>
      <c r="X366" s="470"/>
      <c r="Y366" s="476"/>
      <c r="Z366" s="531"/>
      <c r="AA366" s="470"/>
      <c r="AB366" s="470"/>
      <c r="AC366" s="472"/>
      <c r="AD366" s="472"/>
      <c r="AE366" s="470"/>
      <c r="AF366" s="470"/>
      <c r="AH366" s="529"/>
      <c r="AI366" s="470"/>
      <c r="AJ366" s="470"/>
      <c r="AL366" s="470"/>
      <c r="AM366" s="472"/>
      <c r="AN366" s="472"/>
    </row>
    <row r="367" spans="1:40">
      <c r="C367" s="455"/>
      <c r="F367" s="470"/>
      <c r="H367" s="470"/>
      <c r="I367" s="470"/>
      <c r="J367" s="531"/>
      <c r="K367" s="531"/>
      <c r="L367" s="470"/>
      <c r="M367" s="470"/>
      <c r="N367" s="472"/>
      <c r="O367" s="472"/>
      <c r="P367" s="470"/>
      <c r="Q367" s="470"/>
      <c r="R367" s="470"/>
      <c r="T367" s="455"/>
      <c r="V367" s="476"/>
      <c r="W367" s="470"/>
      <c r="X367" s="470"/>
      <c r="Y367" s="476"/>
      <c r="Z367" s="531"/>
      <c r="AA367" s="470"/>
      <c r="AB367" s="470"/>
      <c r="AC367" s="472"/>
      <c r="AD367" s="472"/>
      <c r="AE367" s="470"/>
      <c r="AF367" s="470"/>
      <c r="AH367" s="529"/>
      <c r="AI367" s="470"/>
      <c r="AJ367" s="470"/>
      <c r="AL367" s="470"/>
      <c r="AM367" s="472"/>
      <c r="AN367" s="472"/>
    </row>
    <row r="368" spans="1:40">
      <c r="C368" s="455"/>
      <c r="F368" s="470"/>
      <c r="H368" s="470"/>
      <c r="I368" s="470"/>
      <c r="J368" s="531"/>
      <c r="K368" s="531"/>
      <c r="L368" s="470"/>
      <c r="M368" s="470"/>
      <c r="N368" s="472"/>
      <c r="O368" s="472"/>
      <c r="P368" s="470"/>
      <c r="Q368" s="470"/>
      <c r="R368" s="470"/>
      <c r="T368" s="455"/>
      <c r="V368" s="476"/>
      <c r="W368" s="470"/>
      <c r="X368" s="470"/>
      <c r="Y368" s="476"/>
      <c r="Z368" s="531"/>
      <c r="AA368" s="470"/>
      <c r="AB368" s="470"/>
      <c r="AC368" s="472"/>
      <c r="AD368" s="472"/>
      <c r="AE368" s="470"/>
      <c r="AF368" s="470"/>
      <c r="AH368" s="529"/>
      <c r="AI368" s="470"/>
      <c r="AJ368" s="470"/>
      <c r="AL368" s="470"/>
      <c r="AM368" s="472"/>
      <c r="AN368" s="472"/>
    </row>
    <row r="369" spans="3:40">
      <c r="F369" s="534"/>
      <c r="H369" s="535"/>
      <c r="I369" s="535"/>
      <c r="J369" s="531"/>
      <c r="K369" s="531"/>
      <c r="L369" s="534"/>
      <c r="M369" s="534"/>
      <c r="N369" s="479"/>
      <c r="O369" s="479"/>
      <c r="P369" s="534"/>
      <c r="Q369" s="534"/>
      <c r="R369" s="534"/>
      <c r="V369" s="534"/>
      <c r="W369" s="470"/>
      <c r="X369" s="470"/>
      <c r="Y369" s="534"/>
      <c r="Z369" s="531"/>
      <c r="AA369" s="534"/>
      <c r="AB369" s="534"/>
      <c r="AC369" s="536"/>
      <c r="AD369" s="536"/>
      <c r="AE369" s="534"/>
      <c r="AF369" s="534"/>
      <c r="AH369" s="529"/>
      <c r="AI369" s="534"/>
      <c r="AJ369" s="534"/>
      <c r="AK369" s="461"/>
      <c r="AL369" s="534"/>
      <c r="AM369" s="472"/>
      <c r="AN369" s="472"/>
    </row>
    <row r="370" spans="3:40">
      <c r="C370" s="455"/>
      <c r="F370" s="470"/>
      <c r="H370" s="470"/>
      <c r="I370" s="470"/>
      <c r="J370" s="531"/>
      <c r="K370" s="531"/>
      <c r="L370" s="470"/>
      <c r="M370" s="470"/>
      <c r="N370" s="529"/>
      <c r="O370" s="529"/>
      <c r="P370" s="470"/>
      <c r="Q370" s="470"/>
      <c r="R370" s="470"/>
      <c r="T370" s="462"/>
      <c r="V370" s="470"/>
      <c r="W370" s="470"/>
      <c r="X370" s="470"/>
      <c r="Y370" s="470"/>
      <c r="Z370" s="531"/>
      <c r="AA370" s="470"/>
      <c r="AB370" s="470"/>
      <c r="AC370" s="529"/>
      <c r="AD370" s="529"/>
      <c r="AE370" s="470"/>
      <c r="AF370" s="470"/>
      <c r="AH370" s="529"/>
      <c r="AI370" s="470"/>
      <c r="AJ370" s="470"/>
      <c r="AL370" s="470"/>
      <c r="AM370" s="472"/>
      <c r="AN370" s="472"/>
    </row>
    <row r="371" spans="3:40">
      <c r="F371" s="460"/>
      <c r="H371" s="460"/>
      <c r="I371" s="460"/>
      <c r="L371" s="460"/>
      <c r="M371" s="460"/>
      <c r="N371" s="536"/>
      <c r="O371" s="536"/>
      <c r="P371" s="534"/>
      <c r="Q371" s="534"/>
      <c r="R371" s="534"/>
      <c r="V371" s="534"/>
      <c r="Y371" s="534"/>
      <c r="Z371" s="484"/>
      <c r="AA371" s="534"/>
      <c r="AB371" s="534"/>
      <c r="AC371" s="534"/>
      <c r="AD371" s="534"/>
      <c r="AE371" s="534"/>
      <c r="AF371" s="534"/>
      <c r="AI371" s="534"/>
      <c r="AJ371" s="534"/>
      <c r="AK371" s="461"/>
      <c r="AL371" s="534"/>
      <c r="AM371" s="536"/>
      <c r="AN371" s="536"/>
    </row>
    <row r="376" spans="3:40">
      <c r="N376" s="470"/>
      <c r="O376" s="470"/>
      <c r="P376" s="470"/>
      <c r="Q376" s="470"/>
      <c r="R376" s="470"/>
      <c r="V376" s="470"/>
      <c r="Y376" s="470"/>
      <c r="Z376" s="503"/>
      <c r="AA376" s="470"/>
      <c r="AB376" s="470"/>
      <c r="AC376" s="472"/>
      <c r="AD376" s="472"/>
      <c r="AE376" s="470"/>
      <c r="AF376" s="470"/>
      <c r="AH376" s="529"/>
      <c r="AI376" s="470"/>
      <c r="AJ376" s="470"/>
      <c r="AL376" s="470"/>
      <c r="AM376" s="472"/>
      <c r="AN376" s="472"/>
    </row>
    <row r="377" spans="3:40">
      <c r="C377" s="455"/>
      <c r="D377" s="455"/>
      <c r="E377" s="455"/>
      <c r="J377" s="537"/>
      <c r="K377" s="537"/>
      <c r="T377" s="455"/>
      <c r="U377" s="455"/>
      <c r="Z377" s="537"/>
      <c r="AE377" s="470"/>
      <c r="AF377" s="470"/>
      <c r="AI377" s="470"/>
      <c r="AJ377" s="470"/>
      <c r="AL377" s="470"/>
      <c r="AM377" s="472"/>
      <c r="AN377" s="472"/>
    </row>
    <row r="378" spans="3:40">
      <c r="D378" s="455"/>
      <c r="E378" s="455"/>
      <c r="F378" s="470"/>
      <c r="H378" s="470"/>
      <c r="I378" s="470"/>
      <c r="J378" s="531"/>
      <c r="K378" s="531"/>
      <c r="L378" s="470"/>
      <c r="M378" s="470"/>
      <c r="N378" s="472"/>
      <c r="O378" s="472"/>
      <c r="P378" s="470"/>
      <c r="Q378" s="470"/>
      <c r="R378" s="470"/>
      <c r="U378" s="455"/>
      <c r="V378" s="470"/>
      <c r="Y378" s="470"/>
      <c r="Z378" s="531"/>
      <c r="AA378" s="470"/>
      <c r="AB378" s="470"/>
      <c r="AC378" s="472"/>
      <c r="AD378" s="472"/>
      <c r="AE378" s="470"/>
      <c r="AF378" s="470"/>
      <c r="AH378" s="529"/>
      <c r="AI378" s="470"/>
      <c r="AJ378" s="470"/>
      <c r="AL378" s="470"/>
      <c r="AM378" s="472"/>
      <c r="AN378" s="472"/>
    </row>
    <row r="379" spans="3:40">
      <c r="F379" s="470"/>
      <c r="H379" s="470"/>
      <c r="I379" s="470"/>
      <c r="J379" s="484"/>
      <c r="K379" s="484"/>
      <c r="L379" s="470"/>
      <c r="M379" s="470"/>
      <c r="N379" s="470"/>
      <c r="O379" s="470"/>
      <c r="P379" s="470"/>
      <c r="Q379" s="470"/>
      <c r="R379" s="470"/>
      <c r="V379" s="470"/>
      <c r="Y379" s="470"/>
      <c r="Z379" s="484"/>
      <c r="AA379" s="470"/>
      <c r="AB379" s="470"/>
      <c r="AC379" s="470"/>
      <c r="AD379" s="470"/>
      <c r="AE379" s="470"/>
      <c r="AF379" s="470"/>
      <c r="AH379" s="529"/>
      <c r="AI379" s="476"/>
      <c r="AJ379" s="476"/>
      <c r="AL379" s="470"/>
      <c r="AM379" s="472"/>
      <c r="AN379" s="472"/>
    </row>
    <row r="380" spans="3:40">
      <c r="C380" s="455"/>
      <c r="F380" s="476"/>
      <c r="H380" s="476"/>
      <c r="I380" s="476"/>
      <c r="J380" s="483"/>
      <c r="K380" s="483"/>
      <c r="L380" s="470"/>
      <c r="M380" s="470"/>
      <c r="N380" s="472"/>
      <c r="O380" s="472"/>
      <c r="P380" s="470"/>
      <c r="Q380" s="470"/>
      <c r="R380" s="470"/>
      <c r="T380" s="455"/>
      <c r="V380" s="476"/>
      <c r="Y380" s="476"/>
      <c r="Z380" s="483"/>
      <c r="AA380" s="470"/>
      <c r="AB380" s="470"/>
      <c r="AC380" s="472"/>
      <c r="AD380" s="472"/>
      <c r="AE380" s="470"/>
      <c r="AF380" s="470"/>
      <c r="AH380" s="529"/>
      <c r="AI380" s="470"/>
      <c r="AJ380" s="470"/>
      <c r="AL380" s="470"/>
      <c r="AM380" s="472"/>
      <c r="AN380" s="472"/>
    </row>
    <row r="381" spans="3:40">
      <c r="F381" s="460"/>
      <c r="H381" s="460"/>
      <c r="I381" s="460"/>
      <c r="L381" s="460"/>
      <c r="M381" s="460"/>
      <c r="N381" s="460"/>
      <c r="O381" s="460"/>
      <c r="P381" s="460"/>
      <c r="Q381" s="460"/>
      <c r="R381" s="460"/>
      <c r="V381" s="460"/>
      <c r="Y381" s="460"/>
      <c r="AA381" s="460"/>
      <c r="AB381" s="460"/>
      <c r="AC381" s="460"/>
      <c r="AD381" s="460"/>
      <c r="AE381" s="460"/>
      <c r="AF381" s="460"/>
      <c r="AG381" s="461"/>
      <c r="AH381" s="460"/>
      <c r="AI381" s="460"/>
      <c r="AJ381" s="460"/>
      <c r="AK381" s="461"/>
      <c r="AL381" s="460"/>
      <c r="AM381" s="460"/>
      <c r="AN381" s="460"/>
    </row>
    <row r="382" spans="3:40">
      <c r="C382" s="462"/>
      <c r="F382" s="476"/>
      <c r="H382" s="476"/>
      <c r="I382" s="476"/>
      <c r="J382" s="471"/>
      <c r="K382" s="471"/>
      <c r="L382" s="476"/>
      <c r="M382" s="476"/>
      <c r="N382" s="472"/>
      <c r="O382" s="472"/>
      <c r="P382" s="476"/>
      <c r="Q382" s="476"/>
      <c r="R382" s="476"/>
      <c r="T382" s="462"/>
      <c r="V382" s="470"/>
      <c r="Y382" s="470"/>
      <c r="Z382" s="503"/>
      <c r="AA382" s="470"/>
      <c r="AB382" s="470"/>
      <c r="AC382" s="472"/>
      <c r="AD382" s="472"/>
      <c r="AH382" s="529"/>
      <c r="AI382" s="470"/>
      <c r="AJ382" s="470"/>
      <c r="AL382" s="470"/>
      <c r="AM382" s="472"/>
      <c r="AN382" s="472"/>
    </row>
    <row r="383" spans="3:40">
      <c r="F383" s="534"/>
      <c r="H383" s="534"/>
      <c r="I383" s="534"/>
      <c r="J383" s="484"/>
      <c r="K383" s="484"/>
      <c r="L383" s="534"/>
      <c r="M383" s="534"/>
      <c r="N383" s="534"/>
      <c r="O383" s="534"/>
      <c r="P383" s="534"/>
      <c r="Q383" s="534"/>
      <c r="R383" s="534"/>
      <c r="V383" s="460"/>
      <c r="Y383" s="460"/>
      <c r="AA383" s="460"/>
      <c r="AB383" s="460"/>
      <c r="AC383" s="460"/>
      <c r="AD383" s="460"/>
      <c r="AE383" s="460"/>
      <c r="AF383" s="460"/>
      <c r="AG383" s="461"/>
      <c r="AH383" s="460"/>
      <c r="AI383" s="460"/>
      <c r="AJ383" s="460"/>
      <c r="AK383" s="461"/>
      <c r="AL383" s="460"/>
      <c r="AM383" s="460"/>
      <c r="AN383" s="460"/>
    </row>
    <row r="384" spans="3:40">
      <c r="F384" s="476"/>
      <c r="H384" s="476"/>
      <c r="I384" s="476"/>
      <c r="J384" s="530"/>
      <c r="K384" s="530"/>
      <c r="L384" s="470"/>
      <c r="M384" s="470"/>
      <c r="N384" s="472"/>
      <c r="O384" s="472"/>
      <c r="P384" s="470"/>
      <c r="Q384" s="470"/>
      <c r="R384" s="470"/>
    </row>
    <row r="385" spans="1:40">
      <c r="A385" s="455"/>
      <c r="F385" s="476"/>
      <c r="H385" s="476"/>
      <c r="I385" s="476"/>
      <c r="J385" s="471"/>
      <c r="K385" s="471"/>
      <c r="L385" s="470"/>
      <c r="M385" s="470"/>
      <c r="N385" s="472"/>
      <c r="O385" s="472"/>
      <c r="P385" s="470"/>
      <c r="Q385" s="470"/>
      <c r="R385" s="470"/>
    </row>
    <row r="386" spans="1:40">
      <c r="F386" s="476"/>
      <c r="H386" s="476"/>
      <c r="I386" s="476"/>
      <c r="J386" s="471"/>
      <c r="K386" s="471"/>
      <c r="L386" s="470"/>
      <c r="M386" s="470"/>
      <c r="N386" s="472"/>
      <c r="O386" s="472"/>
      <c r="P386" s="470"/>
      <c r="Q386" s="470"/>
      <c r="R386" s="470"/>
    </row>
    <row r="387" spans="1:40">
      <c r="A387" s="455"/>
    </row>
    <row r="390" spans="1:40">
      <c r="H390" s="455"/>
      <c r="I390" s="455"/>
      <c r="Y390" s="455"/>
    </row>
    <row r="392" spans="1:40">
      <c r="L392" s="455"/>
      <c r="M392" s="455"/>
      <c r="AA392" s="455"/>
      <c r="AB392" s="455"/>
    </row>
    <row r="393" spans="1:40">
      <c r="R393" s="455"/>
      <c r="AK393" s="456"/>
      <c r="AL393" s="455"/>
    </row>
    <row r="394" spans="1:40">
      <c r="R394" s="455"/>
      <c r="AK394" s="456"/>
      <c r="AL394" s="455"/>
    </row>
    <row r="395" spans="1:40">
      <c r="A395" s="455"/>
      <c r="R395" s="455"/>
      <c r="AK395" s="456"/>
      <c r="AL395" s="455"/>
    </row>
    <row r="396" spans="1:40">
      <c r="L396" s="455"/>
      <c r="M396" s="455"/>
      <c r="AA396" s="455"/>
      <c r="AB396" s="455"/>
    </row>
    <row r="397" spans="1:40">
      <c r="A397" s="460"/>
      <c r="B397" s="460"/>
      <c r="C397" s="460"/>
      <c r="D397" s="460"/>
      <c r="E397" s="460"/>
      <c r="F397" s="460"/>
      <c r="G397" s="460"/>
      <c r="H397" s="460"/>
      <c r="I397" s="460"/>
      <c r="J397" s="460"/>
      <c r="K397" s="460"/>
      <c r="L397" s="460"/>
      <c r="M397" s="460"/>
      <c r="N397" s="460"/>
      <c r="O397" s="460"/>
      <c r="P397" s="460"/>
      <c r="Q397" s="460"/>
      <c r="R397" s="460"/>
      <c r="T397" s="460"/>
      <c r="U397" s="460"/>
      <c r="V397" s="460"/>
      <c r="W397" s="460"/>
      <c r="X397" s="460"/>
      <c r="Y397" s="460"/>
      <c r="Z397" s="460"/>
      <c r="AA397" s="460"/>
      <c r="AB397" s="460"/>
      <c r="AC397" s="460"/>
      <c r="AD397" s="460"/>
      <c r="AE397" s="460"/>
      <c r="AF397" s="460"/>
      <c r="AG397" s="461"/>
      <c r="AH397" s="460"/>
      <c r="AI397" s="460"/>
      <c r="AJ397" s="460"/>
      <c r="AK397" s="461"/>
      <c r="AL397" s="460"/>
      <c r="AM397" s="460"/>
      <c r="AN397" s="460"/>
    </row>
    <row r="398" spans="1:40">
      <c r="L398" s="462"/>
      <c r="M398" s="462"/>
      <c r="N398" s="462"/>
      <c r="O398" s="462"/>
      <c r="R398" s="462"/>
      <c r="AA398" s="462"/>
      <c r="AB398" s="462"/>
      <c r="AC398" s="462"/>
      <c r="AD398" s="462"/>
      <c r="AE398" s="462"/>
      <c r="AF398" s="462"/>
      <c r="AG398" s="463"/>
      <c r="AH398" s="462"/>
      <c r="AK398" s="463"/>
      <c r="AL398" s="462"/>
      <c r="AM398" s="462"/>
      <c r="AN398" s="462"/>
    </row>
    <row r="399" spans="1:40">
      <c r="L399" s="462"/>
      <c r="M399" s="462"/>
      <c r="N399" s="462"/>
      <c r="O399" s="462"/>
      <c r="R399" s="462"/>
      <c r="Z399" s="462"/>
      <c r="AA399" s="462"/>
      <c r="AB399" s="462"/>
      <c r="AC399" s="462"/>
      <c r="AD399" s="462"/>
      <c r="AE399" s="462"/>
      <c r="AF399" s="462"/>
      <c r="AG399" s="463"/>
      <c r="AH399" s="462"/>
      <c r="AK399" s="463"/>
      <c r="AL399" s="462"/>
      <c r="AM399" s="462"/>
      <c r="AN399" s="462"/>
    </row>
    <row r="400" spans="1:40">
      <c r="A400" s="462"/>
      <c r="C400" s="462"/>
      <c r="D400" s="462"/>
      <c r="E400" s="462"/>
      <c r="F400" s="462"/>
      <c r="J400" s="462"/>
      <c r="K400" s="462"/>
      <c r="L400" s="462"/>
      <c r="M400" s="462"/>
      <c r="N400" s="462"/>
      <c r="O400" s="462"/>
      <c r="P400" s="462"/>
      <c r="Q400" s="462"/>
      <c r="R400" s="462"/>
      <c r="T400" s="462"/>
      <c r="U400" s="462"/>
      <c r="V400" s="462"/>
      <c r="Z400" s="462"/>
      <c r="AA400" s="462"/>
      <c r="AB400" s="462"/>
      <c r="AC400" s="462"/>
      <c r="AD400" s="462"/>
      <c r="AE400" s="462"/>
      <c r="AF400" s="462"/>
      <c r="AG400" s="463"/>
      <c r="AH400" s="462"/>
      <c r="AI400" s="462"/>
      <c r="AJ400" s="462"/>
      <c r="AK400" s="463"/>
      <c r="AL400" s="462"/>
      <c r="AM400" s="462"/>
      <c r="AN400" s="462"/>
    </row>
    <row r="401" spans="1:40">
      <c r="A401" s="462"/>
      <c r="C401" s="462"/>
      <c r="D401" s="462"/>
      <c r="E401" s="462"/>
      <c r="F401" s="462"/>
      <c r="H401" s="462"/>
      <c r="I401" s="462"/>
      <c r="J401" s="462"/>
      <c r="K401" s="462"/>
      <c r="L401" s="462"/>
      <c r="M401" s="462"/>
      <c r="N401" s="462"/>
      <c r="O401" s="462"/>
      <c r="P401" s="462"/>
      <c r="Q401" s="462"/>
      <c r="R401" s="462"/>
      <c r="T401" s="462"/>
      <c r="U401" s="462"/>
      <c r="V401" s="462"/>
      <c r="Y401" s="462"/>
      <c r="Z401" s="462"/>
      <c r="AA401" s="462"/>
      <c r="AB401" s="462"/>
      <c r="AC401" s="462"/>
      <c r="AD401" s="462"/>
      <c r="AE401" s="462"/>
      <c r="AF401" s="462"/>
      <c r="AG401" s="463"/>
      <c r="AH401" s="462"/>
      <c r="AI401" s="462"/>
      <c r="AJ401" s="462"/>
      <c r="AK401" s="463"/>
      <c r="AL401" s="462"/>
      <c r="AM401" s="462"/>
      <c r="AN401" s="462"/>
    </row>
    <row r="402" spans="1:40">
      <c r="C402" s="462"/>
      <c r="D402" s="462"/>
      <c r="E402" s="462"/>
      <c r="F402" s="462"/>
      <c r="H402" s="462"/>
      <c r="I402" s="462"/>
      <c r="J402" s="462"/>
      <c r="K402" s="462"/>
      <c r="L402" s="462"/>
      <c r="M402" s="462"/>
      <c r="N402" s="462"/>
      <c r="O402" s="462"/>
      <c r="P402" s="462"/>
      <c r="Q402" s="462"/>
      <c r="R402" s="462"/>
      <c r="T402" s="462"/>
      <c r="U402" s="462"/>
      <c r="V402" s="462"/>
      <c r="Y402" s="462"/>
      <c r="Z402" s="462"/>
      <c r="AA402" s="462"/>
      <c r="AB402" s="462"/>
      <c r="AC402" s="462"/>
      <c r="AD402" s="462"/>
      <c r="AE402" s="462"/>
      <c r="AF402" s="462"/>
      <c r="AG402" s="463"/>
      <c r="AH402" s="462"/>
      <c r="AI402" s="462"/>
      <c r="AJ402" s="462"/>
      <c r="AK402" s="463"/>
      <c r="AL402" s="462"/>
      <c r="AM402" s="462"/>
      <c r="AN402" s="462"/>
    </row>
    <row r="403" spans="1:40">
      <c r="A403" s="460"/>
      <c r="B403" s="460"/>
      <c r="C403" s="460"/>
      <c r="D403" s="460"/>
      <c r="E403" s="460"/>
      <c r="F403" s="460"/>
      <c r="G403" s="460"/>
      <c r="H403" s="460"/>
      <c r="I403" s="460"/>
      <c r="J403" s="460"/>
      <c r="K403" s="460"/>
      <c r="L403" s="460"/>
      <c r="M403" s="460"/>
      <c r="N403" s="460"/>
      <c r="O403" s="460"/>
      <c r="P403" s="460"/>
      <c r="Q403" s="460"/>
      <c r="R403" s="460"/>
      <c r="T403" s="460"/>
      <c r="U403" s="460"/>
      <c r="V403" s="460"/>
      <c r="W403" s="460"/>
      <c r="X403" s="460"/>
      <c r="Y403" s="460"/>
      <c r="Z403" s="460"/>
      <c r="AA403" s="460"/>
      <c r="AB403" s="460"/>
      <c r="AC403" s="460"/>
      <c r="AD403" s="460"/>
      <c r="AE403" s="460"/>
      <c r="AF403" s="460"/>
      <c r="AG403" s="461"/>
      <c r="AH403" s="460"/>
      <c r="AI403" s="460"/>
      <c r="AJ403" s="460"/>
      <c r="AK403" s="461"/>
      <c r="AL403" s="460"/>
      <c r="AM403" s="460"/>
      <c r="AN403" s="460"/>
    </row>
    <row r="404" spans="1:40">
      <c r="H404" s="462"/>
      <c r="I404" s="462"/>
      <c r="J404" s="462"/>
      <c r="K404" s="462"/>
      <c r="L404" s="462"/>
      <c r="M404" s="462"/>
      <c r="N404" s="462"/>
      <c r="O404" s="462"/>
      <c r="P404" s="462"/>
      <c r="Q404" s="462"/>
      <c r="R404" s="462"/>
      <c r="Y404" s="462"/>
      <c r="Z404" s="462"/>
      <c r="AA404" s="462"/>
      <c r="AB404" s="462"/>
      <c r="AC404" s="462"/>
      <c r="AD404" s="462"/>
      <c r="AE404" s="462"/>
      <c r="AF404" s="462"/>
      <c r="AG404" s="463"/>
      <c r="AH404" s="462"/>
      <c r="AI404" s="462"/>
      <c r="AJ404" s="462"/>
      <c r="AK404" s="463"/>
      <c r="AL404" s="462"/>
      <c r="AM404" s="462"/>
      <c r="AN404" s="462"/>
    </row>
    <row r="405" spans="1:40">
      <c r="C405" s="455"/>
      <c r="D405" s="455"/>
      <c r="E405" s="455"/>
      <c r="T405" s="455"/>
      <c r="U405" s="455"/>
    </row>
    <row r="407" spans="1:40">
      <c r="C407" s="455"/>
      <c r="T407" s="455"/>
    </row>
    <row r="408" spans="1:40">
      <c r="C408" s="455"/>
      <c r="F408" s="476"/>
      <c r="H408" s="476"/>
      <c r="I408" s="476"/>
      <c r="J408" s="484"/>
      <c r="K408" s="484"/>
      <c r="L408" s="470"/>
      <c r="M408" s="470"/>
      <c r="N408" s="472"/>
      <c r="O408" s="472"/>
      <c r="P408" s="470"/>
      <c r="Q408" s="470"/>
      <c r="R408" s="470"/>
      <c r="T408" s="455"/>
      <c r="V408" s="476"/>
      <c r="Y408" s="476"/>
      <c r="Z408" s="484"/>
      <c r="AA408" s="470"/>
      <c r="AB408" s="470"/>
      <c r="AC408" s="472"/>
      <c r="AD408" s="472"/>
      <c r="AE408" s="470"/>
      <c r="AF408" s="470"/>
      <c r="AH408" s="529"/>
      <c r="AI408" s="470"/>
      <c r="AJ408" s="470"/>
      <c r="AL408" s="470"/>
      <c r="AM408" s="472"/>
      <c r="AN408" s="472"/>
    </row>
    <row r="409" spans="1:40">
      <c r="C409" s="455"/>
      <c r="T409" s="455"/>
    </row>
    <row r="410" spans="1:40">
      <c r="C410" s="455"/>
      <c r="F410" s="476"/>
      <c r="H410" s="476"/>
      <c r="I410" s="476"/>
      <c r="J410" s="531"/>
      <c r="K410" s="531"/>
      <c r="L410" s="470"/>
      <c r="M410" s="470"/>
      <c r="N410" s="472"/>
      <c r="O410" s="472"/>
      <c r="P410" s="470"/>
      <c r="Q410" s="470"/>
      <c r="R410" s="470"/>
      <c r="T410" s="455"/>
      <c r="V410" s="470"/>
      <c r="Y410" s="470"/>
      <c r="Z410" s="531"/>
      <c r="AA410" s="470"/>
      <c r="AB410" s="470"/>
      <c r="AC410" s="472"/>
      <c r="AD410" s="472"/>
      <c r="AE410" s="470"/>
      <c r="AF410" s="470"/>
      <c r="AH410" s="529"/>
      <c r="AI410" s="470"/>
      <c r="AJ410" s="470"/>
      <c r="AL410" s="470"/>
      <c r="AM410" s="472"/>
      <c r="AN410" s="472"/>
    </row>
    <row r="411" spans="1:40">
      <c r="C411" s="455"/>
      <c r="F411" s="476"/>
      <c r="H411" s="476"/>
      <c r="I411" s="476"/>
      <c r="J411" s="531"/>
      <c r="K411" s="531"/>
      <c r="L411" s="470"/>
      <c r="M411" s="470"/>
      <c r="N411" s="472"/>
      <c r="O411" s="472"/>
      <c r="P411" s="470"/>
      <c r="Q411" s="470"/>
      <c r="R411" s="470"/>
      <c r="T411" s="455"/>
      <c r="V411" s="470"/>
      <c r="Y411" s="470"/>
      <c r="Z411" s="531"/>
      <c r="AA411" s="470"/>
      <c r="AB411" s="470"/>
      <c r="AC411" s="472"/>
      <c r="AD411" s="472"/>
      <c r="AE411" s="470"/>
      <c r="AF411" s="470"/>
      <c r="AH411" s="529"/>
      <c r="AI411" s="470"/>
      <c r="AJ411" s="470"/>
      <c r="AL411" s="470"/>
      <c r="AM411" s="472"/>
      <c r="AN411" s="472"/>
    </row>
    <row r="412" spans="1:40">
      <c r="C412" s="455"/>
      <c r="F412" s="476"/>
      <c r="H412" s="476"/>
      <c r="I412" s="476"/>
      <c r="J412" s="531"/>
      <c r="K412" s="531"/>
      <c r="L412" s="470"/>
      <c r="M412" s="470"/>
      <c r="N412" s="472"/>
      <c r="O412" s="472"/>
      <c r="P412" s="470"/>
      <c r="Q412" s="470"/>
      <c r="R412" s="470"/>
      <c r="T412" s="455"/>
      <c r="V412" s="470"/>
      <c r="Y412" s="470"/>
      <c r="Z412" s="531"/>
      <c r="AA412" s="470"/>
      <c r="AB412" s="470"/>
      <c r="AC412" s="472"/>
      <c r="AD412" s="472"/>
      <c r="AE412" s="470"/>
      <c r="AF412" s="470"/>
      <c r="AH412" s="529"/>
      <c r="AI412" s="470"/>
      <c r="AJ412" s="470"/>
      <c r="AL412" s="470"/>
      <c r="AM412" s="472"/>
      <c r="AN412" s="472"/>
    </row>
    <row r="413" spans="1:40">
      <c r="C413" s="455"/>
      <c r="F413" s="476"/>
      <c r="H413" s="476"/>
      <c r="I413" s="476"/>
      <c r="J413" s="531"/>
      <c r="K413" s="531"/>
      <c r="L413" s="470"/>
      <c r="M413" s="470"/>
      <c r="N413" s="472"/>
      <c r="O413" s="472"/>
      <c r="P413" s="470"/>
      <c r="Q413" s="470"/>
      <c r="R413" s="470"/>
      <c r="T413" s="455"/>
      <c r="V413" s="470"/>
      <c r="Y413" s="470"/>
      <c r="Z413" s="531"/>
      <c r="AA413" s="470"/>
      <c r="AB413" s="470"/>
      <c r="AC413" s="472"/>
      <c r="AD413" s="472"/>
      <c r="AE413" s="470"/>
      <c r="AF413" s="470"/>
      <c r="AH413" s="529"/>
      <c r="AI413" s="470"/>
      <c r="AJ413" s="470"/>
      <c r="AL413" s="470"/>
      <c r="AM413" s="472"/>
      <c r="AN413" s="472"/>
    </row>
    <row r="414" spans="1:40">
      <c r="C414" s="455"/>
      <c r="J414" s="537"/>
      <c r="K414" s="537"/>
      <c r="T414" s="455"/>
      <c r="Z414" s="537"/>
    </row>
    <row r="415" spans="1:40">
      <c r="C415" s="455"/>
      <c r="F415" s="476"/>
      <c r="H415" s="476"/>
      <c r="I415" s="476"/>
      <c r="J415" s="531"/>
      <c r="K415" s="531"/>
      <c r="L415" s="470"/>
      <c r="M415" s="470"/>
      <c r="N415" s="472"/>
      <c r="O415" s="472"/>
      <c r="P415" s="470"/>
      <c r="Q415" s="470"/>
      <c r="R415" s="470"/>
      <c r="T415" s="455"/>
      <c r="V415" s="470"/>
      <c r="Y415" s="470"/>
      <c r="Z415" s="531"/>
      <c r="AA415" s="470"/>
      <c r="AB415" s="470"/>
      <c r="AC415" s="472"/>
      <c r="AD415" s="472"/>
      <c r="AE415" s="470"/>
      <c r="AF415" s="470"/>
      <c r="AH415" s="529"/>
      <c r="AI415" s="470"/>
      <c r="AJ415" s="470"/>
      <c r="AL415" s="470"/>
      <c r="AM415" s="472"/>
      <c r="AN415" s="472"/>
    </row>
    <row r="416" spans="1:40">
      <c r="C416" s="455"/>
      <c r="F416" s="476"/>
      <c r="H416" s="476"/>
      <c r="I416" s="476"/>
      <c r="J416" s="531"/>
      <c r="K416" s="531"/>
      <c r="L416" s="470"/>
      <c r="M416" s="470"/>
      <c r="N416" s="472"/>
      <c r="O416" s="472"/>
      <c r="P416" s="470"/>
      <c r="Q416" s="470"/>
      <c r="R416" s="470"/>
      <c r="T416" s="455"/>
      <c r="V416" s="470"/>
      <c r="Y416" s="470"/>
      <c r="Z416" s="531"/>
      <c r="AA416" s="470"/>
      <c r="AB416" s="470"/>
      <c r="AC416" s="472"/>
      <c r="AD416" s="472"/>
      <c r="AE416" s="470"/>
      <c r="AF416" s="470"/>
      <c r="AH416" s="529"/>
      <c r="AI416" s="470"/>
      <c r="AJ416" s="470"/>
      <c r="AL416" s="470"/>
      <c r="AM416" s="472"/>
      <c r="AN416" s="472"/>
    </row>
    <row r="417" spans="3:40">
      <c r="C417" s="455"/>
      <c r="F417" s="476"/>
      <c r="H417" s="476"/>
      <c r="I417" s="476"/>
      <c r="J417" s="531"/>
      <c r="K417" s="531"/>
      <c r="L417" s="470"/>
      <c r="M417" s="470"/>
      <c r="N417" s="472"/>
      <c r="O417" s="472"/>
      <c r="P417" s="470"/>
      <c r="Q417" s="470"/>
      <c r="R417" s="470"/>
      <c r="T417" s="455"/>
      <c r="V417" s="470"/>
      <c r="Y417" s="470"/>
      <c r="Z417" s="531"/>
      <c r="AA417" s="470"/>
      <c r="AB417" s="470"/>
      <c r="AC417" s="472"/>
      <c r="AD417" s="472"/>
      <c r="AE417" s="470"/>
      <c r="AF417" s="470"/>
      <c r="AH417" s="529"/>
      <c r="AI417" s="470"/>
      <c r="AJ417" s="470"/>
      <c r="AL417" s="470"/>
      <c r="AM417" s="472"/>
      <c r="AN417" s="472"/>
    </row>
    <row r="418" spans="3:40">
      <c r="C418" s="455"/>
      <c r="J418" s="537"/>
      <c r="K418" s="537"/>
      <c r="T418" s="455"/>
      <c r="Z418" s="537"/>
    </row>
    <row r="419" spans="3:40">
      <c r="C419" s="455"/>
      <c r="F419" s="476"/>
      <c r="H419" s="476"/>
      <c r="I419" s="476"/>
      <c r="J419" s="531"/>
      <c r="K419" s="531"/>
      <c r="L419" s="470"/>
      <c r="M419" s="470"/>
      <c r="N419" s="472"/>
      <c r="O419" s="472"/>
      <c r="P419" s="470"/>
      <c r="Q419" s="470"/>
      <c r="R419" s="470"/>
      <c r="T419" s="455"/>
      <c r="V419" s="470"/>
      <c r="Y419" s="470"/>
      <c r="Z419" s="531"/>
      <c r="AA419" s="470"/>
      <c r="AB419" s="470"/>
      <c r="AC419" s="472"/>
      <c r="AD419" s="472"/>
      <c r="AE419" s="470"/>
      <c r="AF419" s="470"/>
      <c r="AH419" s="529"/>
      <c r="AI419" s="470"/>
      <c r="AJ419" s="470"/>
      <c r="AL419" s="470"/>
      <c r="AM419" s="472"/>
      <c r="AN419" s="472"/>
    </row>
    <row r="420" spans="3:40">
      <c r="C420" s="455"/>
      <c r="F420" s="476"/>
      <c r="H420" s="476"/>
      <c r="I420" s="476"/>
      <c r="J420" s="531"/>
      <c r="K420" s="531"/>
      <c r="L420" s="470"/>
      <c r="M420" s="470"/>
      <c r="N420" s="472"/>
      <c r="O420" s="472"/>
      <c r="P420" s="470"/>
      <c r="Q420" s="470"/>
      <c r="R420" s="470"/>
      <c r="T420" s="455"/>
      <c r="V420" s="470"/>
      <c r="Y420" s="470"/>
      <c r="Z420" s="531"/>
      <c r="AA420" s="470"/>
      <c r="AB420" s="470"/>
      <c r="AC420" s="472"/>
      <c r="AD420" s="472"/>
      <c r="AE420" s="470"/>
      <c r="AF420" s="470"/>
      <c r="AH420" s="529"/>
      <c r="AI420" s="470"/>
      <c r="AJ420" s="470"/>
      <c r="AL420" s="470"/>
      <c r="AM420" s="472"/>
      <c r="AN420" s="472"/>
    </row>
    <row r="421" spans="3:40">
      <c r="C421" s="455"/>
      <c r="J421" s="537"/>
      <c r="K421" s="537"/>
      <c r="T421" s="455"/>
      <c r="Z421" s="537"/>
    </row>
    <row r="422" spans="3:40">
      <c r="C422" s="455"/>
      <c r="F422" s="476"/>
      <c r="H422" s="476"/>
      <c r="I422" s="476"/>
      <c r="J422" s="531"/>
      <c r="K422" s="531"/>
      <c r="L422" s="470"/>
      <c r="M422" s="470"/>
      <c r="N422" s="472"/>
      <c r="O422" s="472"/>
      <c r="P422" s="470"/>
      <c r="Q422" s="470"/>
      <c r="R422" s="470"/>
      <c r="T422" s="455"/>
      <c r="V422" s="470"/>
      <c r="Y422" s="470"/>
      <c r="Z422" s="531"/>
      <c r="AA422" s="470"/>
      <c r="AB422" s="470"/>
      <c r="AC422" s="472"/>
      <c r="AD422" s="472"/>
      <c r="AE422" s="470"/>
      <c r="AF422" s="470"/>
      <c r="AH422" s="529"/>
      <c r="AI422" s="470"/>
      <c r="AJ422" s="470"/>
      <c r="AL422" s="470"/>
      <c r="AM422" s="472"/>
      <c r="AN422" s="472"/>
    </row>
    <row r="423" spans="3:40">
      <c r="C423" s="455"/>
      <c r="F423" s="476"/>
      <c r="H423" s="476"/>
      <c r="I423" s="476"/>
      <c r="J423" s="531"/>
      <c r="K423" s="531"/>
      <c r="L423" s="470"/>
      <c r="M423" s="470"/>
      <c r="N423" s="472"/>
      <c r="O423" s="472"/>
      <c r="P423" s="470"/>
      <c r="Q423" s="470"/>
      <c r="R423" s="470"/>
      <c r="T423" s="455"/>
      <c r="V423" s="470"/>
      <c r="Y423" s="470"/>
      <c r="Z423" s="531"/>
      <c r="AA423" s="470"/>
      <c r="AB423" s="470"/>
      <c r="AC423" s="472"/>
      <c r="AD423" s="472"/>
      <c r="AE423" s="470"/>
      <c r="AF423" s="470"/>
      <c r="AH423" s="529"/>
      <c r="AI423" s="470"/>
      <c r="AJ423" s="470"/>
      <c r="AL423" s="470"/>
      <c r="AM423" s="472"/>
      <c r="AN423" s="472"/>
    </row>
    <row r="424" spans="3:40">
      <c r="C424" s="455"/>
      <c r="F424" s="476"/>
      <c r="H424" s="476"/>
      <c r="I424" s="476"/>
      <c r="J424" s="531"/>
      <c r="K424" s="531"/>
      <c r="L424" s="470"/>
      <c r="M424" s="470"/>
      <c r="N424" s="472"/>
      <c r="O424" s="472"/>
      <c r="P424" s="470"/>
      <c r="Q424" s="470"/>
      <c r="R424" s="470"/>
      <c r="T424" s="455"/>
      <c r="V424" s="470"/>
      <c r="Y424" s="470"/>
      <c r="Z424" s="531"/>
      <c r="AA424" s="470"/>
      <c r="AB424" s="470"/>
      <c r="AC424" s="472"/>
      <c r="AD424" s="472"/>
      <c r="AE424" s="470"/>
      <c r="AF424" s="470"/>
      <c r="AH424" s="529"/>
      <c r="AI424" s="470"/>
      <c r="AJ424" s="470"/>
      <c r="AL424" s="470"/>
      <c r="AM424" s="472"/>
      <c r="AN424" s="472"/>
    </row>
    <row r="425" spans="3:40">
      <c r="F425" s="479"/>
      <c r="H425" s="479"/>
      <c r="I425" s="479"/>
      <c r="J425" s="531"/>
      <c r="K425" s="531"/>
      <c r="L425" s="479"/>
      <c r="M425" s="479"/>
      <c r="N425" s="479"/>
      <c r="O425" s="479"/>
      <c r="P425" s="479"/>
      <c r="Q425" s="479"/>
      <c r="R425" s="479"/>
      <c r="V425" s="479"/>
      <c r="Y425" s="479"/>
      <c r="Z425" s="531"/>
      <c r="AA425" s="479"/>
      <c r="AB425" s="479"/>
      <c r="AC425" s="479"/>
      <c r="AD425" s="479"/>
      <c r="AE425" s="479"/>
      <c r="AF425" s="479"/>
      <c r="AI425" s="479"/>
      <c r="AJ425" s="479"/>
      <c r="AK425" s="485"/>
      <c r="AL425" s="479"/>
    </row>
    <row r="426" spans="3:40">
      <c r="C426" s="462"/>
      <c r="F426" s="470"/>
      <c r="H426" s="470"/>
      <c r="I426" s="470"/>
      <c r="J426" s="537"/>
      <c r="K426" s="537"/>
      <c r="L426" s="470"/>
      <c r="M426" s="470"/>
      <c r="N426" s="529"/>
      <c r="O426" s="529"/>
      <c r="P426" s="470"/>
      <c r="Q426" s="470"/>
      <c r="R426" s="470"/>
      <c r="T426" s="462"/>
      <c r="V426" s="470"/>
      <c r="Y426" s="470"/>
      <c r="Z426" s="537"/>
      <c r="AA426" s="470"/>
      <c r="AB426" s="470"/>
      <c r="AC426" s="470"/>
      <c r="AD426" s="470"/>
      <c r="AE426" s="470"/>
      <c r="AF426" s="470"/>
      <c r="AH426" s="529"/>
      <c r="AI426" s="470"/>
      <c r="AJ426" s="470"/>
      <c r="AL426" s="470"/>
      <c r="AM426" s="472"/>
      <c r="AN426" s="472"/>
    </row>
    <row r="427" spans="3:40">
      <c r="F427" s="479"/>
      <c r="H427" s="479"/>
      <c r="I427" s="479"/>
      <c r="J427" s="531"/>
      <c r="K427" s="531"/>
      <c r="L427" s="479"/>
      <c r="M427" s="479"/>
      <c r="N427" s="479"/>
      <c r="O427" s="479"/>
      <c r="P427" s="479"/>
      <c r="Q427" s="479"/>
      <c r="R427" s="479"/>
      <c r="V427" s="479"/>
      <c r="Y427" s="479"/>
      <c r="Z427" s="531"/>
      <c r="AA427" s="479"/>
      <c r="AB427" s="479"/>
      <c r="AC427" s="479"/>
      <c r="AD427" s="479"/>
      <c r="AE427" s="479"/>
      <c r="AF427" s="479"/>
      <c r="AI427" s="479"/>
      <c r="AJ427" s="479"/>
      <c r="AK427" s="485"/>
      <c r="AL427" s="479"/>
    </row>
    <row r="428" spans="3:40">
      <c r="C428" s="455"/>
      <c r="J428" s="537"/>
      <c r="K428" s="537"/>
      <c r="T428" s="455"/>
      <c r="Z428" s="537"/>
    </row>
    <row r="429" spans="3:40">
      <c r="C429" s="455"/>
      <c r="J429" s="537"/>
      <c r="K429" s="537"/>
      <c r="T429" s="455"/>
      <c r="Z429" s="537"/>
    </row>
    <row r="430" spans="3:40">
      <c r="C430" s="455"/>
      <c r="F430" s="476"/>
      <c r="H430" s="476"/>
      <c r="I430" s="476"/>
      <c r="J430" s="531"/>
      <c r="K430" s="531"/>
      <c r="L430" s="470"/>
      <c r="M430" s="470"/>
      <c r="N430" s="472"/>
      <c r="O430" s="472"/>
      <c r="P430" s="470"/>
      <c r="Q430" s="470"/>
      <c r="R430" s="470"/>
      <c r="T430" s="455"/>
      <c r="V430" s="470"/>
      <c r="Y430" s="470"/>
      <c r="Z430" s="531"/>
      <c r="AA430" s="470"/>
      <c r="AB430" s="470"/>
      <c r="AC430" s="472"/>
      <c r="AD430" s="472"/>
      <c r="AE430" s="470"/>
      <c r="AF430" s="470"/>
      <c r="AH430" s="529"/>
      <c r="AI430" s="470"/>
      <c r="AJ430" s="470"/>
      <c r="AL430" s="470"/>
      <c r="AM430" s="472"/>
      <c r="AN430" s="472"/>
    </row>
    <row r="431" spans="3:40">
      <c r="C431" s="455"/>
      <c r="F431" s="476"/>
      <c r="H431" s="476"/>
      <c r="I431" s="476"/>
      <c r="J431" s="531"/>
      <c r="K431" s="531"/>
      <c r="L431" s="470"/>
      <c r="M431" s="470"/>
      <c r="N431" s="472"/>
      <c r="O431" s="472"/>
      <c r="P431" s="470"/>
      <c r="Q431" s="470"/>
      <c r="R431" s="470"/>
      <c r="T431" s="455"/>
      <c r="V431" s="470"/>
      <c r="Y431" s="470"/>
      <c r="Z431" s="531"/>
      <c r="AA431" s="470"/>
      <c r="AB431" s="470"/>
      <c r="AC431" s="472"/>
      <c r="AD431" s="472"/>
      <c r="AE431" s="470"/>
      <c r="AF431" s="470"/>
      <c r="AH431" s="529"/>
      <c r="AI431" s="470"/>
      <c r="AJ431" s="470"/>
      <c r="AL431" s="470"/>
      <c r="AM431" s="472"/>
      <c r="AN431" s="472"/>
    </row>
    <row r="432" spans="3:40">
      <c r="C432" s="455"/>
      <c r="F432" s="476"/>
      <c r="H432" s="476"/>
      <c r="I432" s="476"/>
      <c r="J432" s="531"/>
      <c r="K432" s="531"/>
      <c r="L432" s="470"/>
      <c r="M432" s="470"/>
      <c r="N432" s="472"/>
      <c r="O432" s="472"/>
      <c r="P432" s="470"/>
      <c r="Q432" s="470"/>
      <c r="R432" s="470"/>
      <c r="T432" s="455"/>
      <c r="V432" s="470"/>
      <c r="Y432" s="470"/>
      <c r="Z432" s="531"/>
      <c r="AA432" s="470"/>
      <c r="AB432" s="470"/>
      <c r="AC432" s="472"/>
      <c r="AD432" s="472"/>
      <c r="AE432" s="470"/>
      <c r="AF432" s="470"/>
      <c r="AH432" s="529"/>
      <c r="AI432" s="470"/>
      <c r="AJ432" s="470"/>
      <c r="AL432" s="470"/>
      <c r="AM432" s="472"/>
      <c r="AN432" s="472"/>
    </row>
    <row r="433" spans="3:40">
      <c r="C433" s="455"/>
      <c r="F433" s="476"/>
      <c r="H433" s="476"/>
      <c r="I433" s="476"/>
      <c r="J433" s="531"/>
      <c r="K433" s="531"/>
      <c r="L433" s="470"/>
      <c r="M433" s="470"/>
      <c r="N433" s="472"/>
      <c r="O433" s="472"/>
      <c r="P433" s="470"/>
      <c r="Q433" s="470"/>
      <c r="R433" s="470"/>
      <c r="T433" s="455"/>
      <c r="V433" s="470"/>
      <c r="Y433" s="470"/>
      <c r="Z433" s="531"/>
      <c r="AA433" s="470"/>
      <c r="AB433" s="470"/>
      <c r="AC433" s="472"/>
      <c r="AD433" s="472"/>
      <c r="AE433" s="470"/>
      <c r="AF433" s="470"/>
      <c r="AH433" s="529"/>
      <c r="AI433" s="470"/>
      <c r="AJ433" s="470"/>
      <c r="AL433" s="470"/>
      <c r="AM433" s="472"/>
      <c r="AN433" s="472"/>
    </row>
    <row r="434" spans="3:40">
      <c r="C434" s="455"/>
      <c r="F434" s="476"/>
      <c r="H434" s="476"/>
      <c r="I434" s="476"/>
      <c r="J434" s="531"/>
      <c r="K434" s="531"/>
      <c r="L434" s="470"/>
      <c r="M434" s="470"/>
      <c r="N434" s="472"/>
      <c r="O434" s="472"/>
      <c r="P434" s="470"/>
      <c r="Q434" s="470"/>
      <c r="R434" s="470"/>
      <c r="T434" s="455"/>
      <c r="V434" s="470"/>
      <c r="Y434" s="470"/>
      <c r="Z434" s="531"/>
      <c r="AA434" s="470"/>
      <c r="AB434" s="470"/>
      <c r="AC434" s="472"/>
      <c r="AD434" s="472"/>
      <c r="AE434" s="470"/>
      <c r="AF434" s="470"/>
      <c r="AH434" s="529"/>
      <c r="AI434" s="470"/>
      <c r="AJ434" s="470"/>
      <c r="AL434" s="470"/>
      <c r="AM434" s="472"/>
      <c r="AN434" s="472"/>
    </row>
    <row r="435" spans="3:40">
      <c r="C435" s="455"/>
      <c r="F435" s="476"/>
      <c r="H435" s="476"/>
      <c r="I435" s="476"/>
      <c r="J435" s="531"/>
      <c r="K435" s="531"/>
      <c r="L435" s="470"/>
      <c r="M435" s="470"/>
      <c r="N435" s="472"/>
      <c r="O435" s="472"/>
      <c r="P435" s="470"/>
      <c r="Q435" s="470"/>
      <c r="R435" s="470"/>
      <c r="T435" s="455"/>
      <c r="V435" s="470"/>
      <c r="Y435" s="470"/>
      <c r="Z435" s="531"/>
      <c r="AA435" s="470"/>
      <c r="AB435" s="470"/>
      <c r="AC435" s="472"/>
      <c r="AD435" s="472"/>
      <c r="AE435" s="470"/>
      <c r="AF435" s="470"/>
      <c r="AH435" s="529"/>
      <c r="AI435" s="470"/>
      <c r="AJ435" s="470"/>
      <c r="AL435" s="470"/>
      <c r="AM435" s="472"/>
      <c r="AN435" s="472"/>
    </row>
    <row r="436" spans="3:40">
      <c r="C436" s="455"/>
      <c r="F436" s="476"/>
      <c r="H436" s="476"/>
      <c r="I436" s="476"/>
      <c r="J436" s="531"/>
      <c r="K436" s="531"/>
      <c r="L436" s="470"/>
      <c r="M436" s="470"/>
      <c r="N436" s="472"/>
      <c r="O436" s="472"/>
      <c r="P436" s="470"/>
      <c r="Q436" s="470"/>
      <c r="R436" s="470"/>
      <c r="T436" s="455"/>
      <c r="V436" s="470"/>
      <c r="Y436" s="470"/>
      <c r="Z436" s="531"/>
      <c r="AA436" s="470"/>
      <c r="AB436" s="470"/>
      <c r="AC436" s="472"/>
      <c r="AD436" s="472"/>
      <c r="AE436" s="470"/>
      <c r="AF436" s="470"/>
      <c r="AH436" s="529"/>
      <c r="AI436" s="470"/>
      <c r="AJ436" s="470"/>
      <c r="AL436" s="470"/>
      <c r="AM436" s="472"/>
      <c r="AN436" s="472"/>
    </row>
    <row r="437" spans="3:40">
      <c r="C437" s="455"/>
      <c r="J437" s="537"/>
      <c r="K437" s="537"/>
      <c r="T437" s="455"/>
      <c r="Z437" s="537"/>
    </row>
    <row r="438" spans="3:40">
      <c r="C438" s="455"/>
      <c r="F438" s="476"/>
      <c r="H438" s="476"/>
      <c r="I438" s="476"/>
      <c r="J438" s="531"/>
      <c r="K438" s="531"/>
      <c r="L438" s="470"/>
      <c r="M438" s="470"/>
      <c r="N438" s="472"/>
      <c r="O438" s="472"/>
      <c r="P438" s="470"/>
      <c r="Q438" s="470"/>
      <c r="R438" s="470"/>
      <c r="T438" s="455"/>
      <c r="V438" s="470"/>
      <c r="Y438" s="470"/>
      <c r="Z438" s="531"/>
      <c r="AA438" s="470"/>
      <c r="AB438" s="470"/>
      <c r="AC438" s="472"/>
      <c r="AD438" s="472"/>
      <c r="AE438" s="470"/>
      <c r="AF438" s="470"/>
      <c r="AH438" s="529"/>
      <c r="AI438" s="470"/>
      <c r="AJ438" s="470"/>
      <c r="AL438" s="470"/>
      <c r="AM438" s="472"/>
      <c r="AN438" s="472"/>
    </row>
    <row r="439" spans="3:40">
      <c r="C439" s="455"/>
      <c r="F439" s="476"/>
      <c r="H439" s="476"/>
      <c r="I439" s="476"/>
      <c r="J439" s="531"/>
      <c r="K439" s="531"/>
      <c r="L439" s="470"/>
      <c r="M439" s="470"/>
      <c r="N439" s="472"/>
      <c r="O439" s="472"/>
      <c r="P439" s="470"/>
      <c r="Q439" s="470"/>
      <c r="R439" s="470"/>
      <c r="T439" s="455"/>
      <c r="V439" s="470"/>
      <c r="Y439" s="470"/>
      <c r="Z439" s="531"/>
      <c r="AA439" s="470"/>
      <c r="AB439" s="470"/>
      <c r="AC439" s="472"/>
      <c r="AD439" s="472"/>
      <c r="AE439" s="470"/>
      <c r="AF439" s="470"/>
      <c r="AH439" s="529"/>
      <c r="AI439" s="470"/>
      <c r="AJ439" s="470"/>
      <c r="AL439" s="470"/>
      <c r="AM439" s="472"/>
      <c r="AN439" s="472"/>
    </row>
    <row r="440" spans="3:40">
      <c r="C440" s="455"/>
      <c r="F440" s="476"/>
      <c r="H440" s="476"/>
      <c r="I440" s="476"/>
      <c r="J440" s="531"/>
      <c r="K440" s="531"/>
      <c r="L440" s="470"/>
      <c r="M440" s="470"/>
      <c r="N440" s="472"/>
      <c r="O440" s="472"/>
      <c r="P440" s="470"/>
      <c r="Q440" s="470"/>
      <c r="R440" s="470"/>
      <c r="T440" s="455"/>
      <c r="V440" s="470"/>
      <c r="Y440" s="470"/>
      <c r="Z440" s="531"/>
      <c r="AA440" s="470"/>
      <c r="AB440" s="470"/>
      <c r="AC440" s="472"/>
      <c r="AD440" s="472"/>
      <c r="AE440" s="470"/>
      <c r="AF440" s="470"/>
      <c r="AH440" s="529"/>
      <c r="AI440" s="470"/>
      <c r="AJ440" s="470"/>
      <c r="AL440" s="470"/>
      <c r="AM440" s="472"/>
      <c r="AN440" s="472"/>
    </row>
    <row r="441" spans="3:40">
      <c r="C441" s="455"/>
      <c r="F441" s="476"/>
      <c r="H441" s="476"/>
      <c r="I441" s="476"/>
      <c r="J441" s="531"/>
      <c r="K441" s="531"/>
      <c r="L441" s="470"/>
      <c r="M441" s="470"/>
      <c r="N441" s="472"/>
      <c r="O441" s="472"/>
      <c r="P441" s="470"/>
      <c r="Q441" s="470"/>
      <c r="R441" s="470"/>
      <c r="T441" s="455"/>
      <c r="V441" s="470"/>
      <c r="Y441" s="470"/>
      <c r="Z441" s="531"/>
      <c r="AA441" s="470"/>
      <c r="AB441" s="470"/>
      <c r="AC441" s="472"/>
      <c r="AD441" s="472"/>
      <c r="AE441" s="470"/>
      <c r="AF441" s="470"/>
      <c r="AH441" s="529"/>
      <c r="AI441" s="470"/>
      <c r="AJ441" s="470"/>
      <c r="AL441" s="470"/>
      <c r="AM441" s="472"/>
      <c r="AN441" s="472"/>
    </row>
    <row r="442" spans="3:40">
      <c r="C442" s="455"/>
      <c r="J442" s="537"/>
      <c r="K442" s="537"/>
      <c r="T442" s="455"/>
      <c r="Z442" s="537"/>
    </row>
    <row r="443" spans="3:40">
      <c r="C443" s="455"/>
      <c r="F443" s="476"/>
      <c r="H443" s="476"/>
      <c r="I443" s="476"/>
      <c r="J443" s="531"/>
      <c r="K443" s="531"/>
      <c r="L443" s="470"/>
      <c r="M443" s="470"/>
      <c r="N443" s="472"/>
      <c r="O443" s="472"/>
      <c r="P443" s="470"/>
      <c r="Q443" s="470"/>
      <c r="R443" s="470"/>
      <c r="T443" s="455"/>
      <c r="V443" s="470"/>
      <c r="Y443" s="470"/>
      <c r="Z443" s="531"/>
      <c r="AA443" s="470"/>
      <c r="AB443" s="470"/>
      <c r="AC443" s="472"/>
      <c r="AD443" s="472"/>
      <c r="AE443" s="470"/>
      <c r="AF443" s="470"/>
      <c r="AH443" s="529"/>
      <c r="AI443" s="470"/>
      <c r="AJ443" s="470"/>
      <c r="AL443" s="470"/>
      <c r="AM443" s="472"/>
      <c r="AN443" s="472"/>
    </row>
    <row r="444" spans="3:40">
      <c r="C444" s="455"/>
      <c r="F444" s="476"/>
      <c r="H444" s="476"/>
      <c r="I444" s="476"/>
      <c r="J444" s="531"/>
      <c r="K444" s="531"/>
      <c r="L444" s="470"/>
      <c r="M444" s="470"/>
      <c r="N444" s="472"/>
      <c r="O444" s="472"/>
      <c r="P444" s="470"/>
      <c r="Q444" s="470"/>
      <c r="R444" s="470"/>
      <c r="T444" s="455"/>
      <c r="V444" s="470"/>
      <c r="Y444" s="470"/>
      <c r="Z444" s="531"/>
      <c r="AA444" s="470"/>
      <c r="AB444" s="470"/>
      <c r="AC444" s="472"/>
      <c r="AD444" s="472"/>
      <c r="AE444" s="470"/>
      <c r="AF444" s="470"/>
      <c r="AH444" s="529"/>
      <c r="AI444" s="470"/>
      <c r="AJ444" s="470"/>
      <c r="AL444" s="470"/>
      <c r="AM444" s="472"/>
      <c r="AN444" s="472"/>
    </row>
    <row r="445" spans="3:40">
      <c r="C445" s="455"/>
      <c r="F445" s="476"/>
      <c r="H445" s="476"/>
      <c r="I445" s="476"/>
      <c r="J445" s="531"/>
      <c r="K445" s="531"/>
      <c r="L445" s="470"/>
      <c r="M445" s="470"/>
      <c r="N445" s="472"/>
      <c r="O445" s="472"/>
      <c r="P445" s="470"/>
      <c r="Q445" s="470"/>
      <c r="R445" s="470"/>
      <c r="T445" s="455"/>
      <c r="V445" s="470"/>
      <c r="Y445" s="470"/>
      <c r="Z445" s="531"/>
      <c r="AA445" s="470"/>
      <c r="AB445" s="470"/>
      <c r="AC445" s="472"/>
      <c r="AD445" s="472"/>
      <c r="AE445" s="470"/>
      <c r="AF445" s="470"/>
      <c r="AH445" s="529"/>
      <c r="AI445" s="470"/>
      <c r="AJ445" s="470"/>
      <c r="AL445" s="470"/>
      <c r="AM445" s="472"/>
      <c r="AN445" s="472"/>
    </row>
    <row r="446" spans="3:40">
      <c r="C446" s="455"/>
      <c r="F446" s="476"/>
      <c r="H446" s="476"/>
      <c r="I446" s="476"/>
      <c r="J446" s="531"/>
      <c r="K446" s="531"/>
      <c r="L446" s="470"/>
      <c r="M446" s="470"/>
      <c r="N446" s="472"/>
      <c r="O446" s="472"/>
      <c r="P446" s="470"/>
      <c r="Q446" s="470"/>
      <c r="R446" s="470"/>
      <c r="T446" s="455"/>
      <c r="V446" s="470"/>
      <c r="Y446" s="470"/>
      <c r="Z446" s="531"/>
      <c r="AA446" s="470"/>
      <c r="AB446" s="470"/>
      <c r="AC446" s="472"/>
      <c r="AD446" s="472"/>
      <c r="AE446" s="470"/>
      <c r="AF446" s="470"/>
      <c r="AH446" s="529"/>
      <c r="AI446" s="470"/>
      <c r="AJ446" s="470"/>
      <c r="AL446" s="470"/>
      <c r="AM446" s="472"/>
      <c r="AN446" s="472"/>
    </row>
    <row r="447" spans="3:40">
      <c r="C447" s="455"/>
      <c r="F447" s="476"/>
      <c r="H447" s="476"/>
      <c r="I447" s="476"/>
      <c r="J447" s="531"/>
      <c r="K447" s="531"/>
      <c r="L447" s="470"/>
      <c r="M447" s="470"/>
      <c r="N447" s="472"/>
      <c r="O447" s="472"/>
      <c r="P447" s="470"/>
      <c r="Q447" s="470"/>
      <c r="R447" s="470"/>
      <c r="T447" s="455"/>
      <c r="V447" s="470"/>
      <c r="Y447" s="470"/>
      <c r="Z447" s="531"/>
      <c r="AA447" s="470"/>
      <c r="AB447" s="470"/>
      <c r="AC447" s="472"/>
      <c r="AD447" s="472"/>
      <c r="AE447" s="470"/>
      <c r="AF447" s="470"/>
      <c r="AH447" s="529"/>
      <c r="AI447" s="470"/>
      <c r="AJ447" s="470"/>
      <c r="AL447" s="470"/>
      <c r="AM447" s="472"/>
      <c r="AN447" s="472"/>
    </row>
    <row r="448" spans="3:40">
      <c r="F448" s="479"/>
      <c r="H448" s="479"/>
      <c r="I448" s="479"/>
      <c r="J448" s="484"/>
      <c r="K448" s="484"/>
      <c r="L448" s="479"/>
      <c r="M448" s="479"/>
      <c r="N448" s="479"/>
      <c r="O448" s="479"/>
      <c r="P448" s="479"/>
      <c r="Q448" s="479"/>
      <c r="R448" s="479"/>
      <c r="V448" s="479"/>
      <c r="Y448" s="479"/>
      <c r="Z448" s="531"/>
      <c r="AA448" s="479"/>
      <c r="AB448" s="479"/>
      <c r="AC448" s="479"/>
      <c r="AD448" s="479"/>
      <c r="AE448" s="479"/>
      <c r="AF448" s="479"/>
      <c r="AI448" s="479"/>
      <c r="AJ448" s="479"/>
      <c r="AK448" s="485"/>
      <c r="AL448" s="479"/>
    </row>
    <row r="449" spans="1:40">
      <c r="C449" s="455"/>
      <c r="F449" s="470"/>
      <c r="H449" s="470"/>
      <c r="I449" s="470"/>
      <c r="L449" s="470"/>
      <c r="M449" s="470"/>
      <c r="N449" s="529"/>
      <c r="O449" s="529"/>
      <c r="P449" s="470"/>
      <c r="Q449" s="470"/>
      <c r="R449" s="470"/>
      <c r="T449" s="455"/>
      <c r="V449" s="470"/>
      <c r="Y449" s="470"/>
      <c r="AA449" s="470"/>
      <c r="AB449" s="470"/>
      <c r="AC449" s="472"/>
      <c r="AD449" s="472"/>
      <c r="AE449" s="470"/>
      <c r="AF449" s="470"/>
      <c r="AH449" s="529"/>
      <c r="AI449" s="470"/>
      <c r="AJ449" s="470"/>
      <c r="AL449" s="470"/>
      <c r="AM449" s="472"/>
      <c r="AN449" s="472"/>
    </row>
    <row r="450" spans="1:40">
      <c r="F450" s="479"/>
      <c r="H450" s="479"/>
      <c r="I450" s="479"/>
      <c r="J450" s="484"/>
      <c r="K450" s="484"/>
      <c r="L450" s="479"/>
      <c r="M450" s="479"/>
      <c r="N450" s="479"/>
      <c r="O450" s="479"/>
      <c r="P450" s="479"/>
      <c r="Q450" s="479"/>
      <c r="R450" s="479"/>
      <c r="V450" s="479"/>
      <c r="Y450" s="479"/>
      <c r="Z450" s="484"/>
      <c r="AA450" s="479"/>
      <c r="AB450" s="479"/>
      <c r="AC450" s="479"/>
      <c r="AD450" s="479"/>
      <c r="AE450" s="479"/>
      <c r="AF450" s="479"/>
      <c r="AI450" s="479"/>
      <c r="AJ450" s="479"/>
      <c r="AK450" s="485"/>
      <c r="AL450" s="479"/>
    </row>
    <row r="451" spans="1:40">
      <c r="C451" s="455"/>
      <c r="T451" s="455"/>
    </row>
    <row r="452" spans="1:40">
      <c r="C452" s="455"/>
      <c r="F452" s="476"/>
      <c r="H452" s="476"/>
      <c r="I452" s="476"/>
      <c r="J452" s="471"/>
      <c r="K452" s="471"/>
      <c r="L452" s="470"/>
      <c r="M452" s="470"/>
      <c r="N452" s="472"/>
      <c r="O452" s="472"/>
      <c r="P452" s="470"/>
      <c r="Q452" s="470"/>
      <c r="R452" s="470"/>
      <c r="T452" s="455"/>
      <c r="V452" s="470"/>
      <c r="Y452" s="470"/>
      <c r="Z452" s="471"/>
      <c r="AA452" s="470"/>
      <c r="AB452" s="470"/>
      <c r="AC452" s="472"/>
      <c r="AD452" s="472"/>
      <c r="AE452" s="470"/>
      <c r="AF452" s="470"/>
      <c r="AH452" s="529"/>
      <c r="AI452" s="470"/>
      <c r="AJ452" s="470"/>
      <c r="AL452" s="470"/>
      <c r="AM452" s="472"/>
      <c r="AN452" s="472"/>
    </row>
    <row r="453" spans="1:40">
      <c r="C453" s="455"/>
      <c r="F453" s="476"/>
      <c r="H453" s="476"/>
      <c r="I453" s="476"/>
      <c r="J453" s="471"/>
      <c r="K453" s="471"/>
      <c r="L453" s="470"/>
      <c r="M453" s="470"/>
      <c r="N453" s="472"/>
      <c r="O453" s="472"/>
      <c r="P453" s="470"/>
      <c r="Q453" s="470"/>
      <c r="R453" s="470"/>
      <c r="T453" s="455"/>
      <c r="V453" s="470"/>
      <c r="Y453" s="470"/>
      <c r="Z453" s="471"/>
      <c r="AA453" s="470"/>
      <c r="AB453" s="470"/>
      <c r="AC453" s="472"/>
      <c r="AD453" s="472"/>
      <c r="AE453" s="470"/>
      <c r="AF453" s="470"/>
      <c r="AH453" s="529"/>
      <c r="AI453" s="470"/>
      <c r="AJ453" s="470"/>
      <c r="AL453" s="470"/>
      <c r="AM453" s="472"/>
      <c r="AN453" s="472"/>
    </row>
    <row r="454" spans="1:40">
      <c r="F454" s="479"/>
      <c r="H454" s="470"/>
      <c r="I454" s="470"/>
      <c r="J454" s="484"/>
      <c r="K454" s="484"/>
      <c r="L454" s="479"/>
      <c r="M454" s="479"/>
      <c r="N454" s="479"/>
      <c r="O454" s="479"/>
      <c r="P454" s="479"/>
      <c r="Q454" s="479"/>
      <c r="R454" s="479"/>
      <c r="V454" s="479"/>
      <c r="Y454" s="470"/>
      <c r="Z454" s="484"/>
      <c r="AA454" s="479"/>
      <c r="AB454" s="479"/>
      <c r="AC454" s="479"/>
      <c r="AD454" s="479"/>
      <c r="AE454" s="479"/>
      <c r="AF454" s="479"/>
      <c r="AI454" s="479"/>
      <c r="AJ454" s="479"/>
      <c r="AK454" s="485"/>
      <c r="AL454" s="479"/>
    </row>
    <row r="455" spans="1:40">
      <c r="F455" s="470"/>
      <c r="H455" s="470"/>
      <c r="I455" s="470"/>
      <c r="J455" s="484"/>
      <c r="K455" s="484"/>
      <c r="L455" s="470"/>
      <c r="M455" s="470"/>
      <c r="N455" s="470"/>
      <c r="O455" s="470"/>
      <c r="P455" s="470"/>
      <c r="Q455" s="470"/>
      <c r="R455" s="470"/>
      <c r="V455" s="470"/>
      <c r="Y455" s="470"/>
      <c r="Z455" s="484"/>
      <c r="AA455" s="470"/>
      <c r="AB455" s="470"/>
      <c r="AC455" s="470"/>
      <c r="AD455" s="470"/>
      <c r="AE455" s="470"/>
      <c r="AF455" s="470"/>
      <c r="AI455" s="470"/>
      <c r="AJ455" s="470"/>
      <c r="AL455" s="470"/>
    </row>
    <row r="456" spans="1:40">
      <c r="C456" s="455"/>
      <c r="F456" s="470"/>
      <c r="H456" s="470"/>
      <c r="I456" s="470"/>
      <c r="L456" s="470"/>
      <c r="M456" s="470"/>
      <c r="N456" s="472"/>
      <c r="O456" s="472"/>
      <c r="P456" s="470"/>
      <c r="Q456" s="470"/>
      <c r="R456" s="470"/>
      <c r="T456" s="455"/>
      <c r="V456" s="470"/>
      <c r="Y456" s="470"/>
      <c r="AA456" s="470"/>
      <c r="AB456" s="470"/>
      <c r="AC456" s="472"/>
      <c r="AD456" s="472"/>
      <c r="AE456" s="470"/>
      <c r="AF456" s="470"/>
      <c r="AH456" s="529"/>
      <c r="AI456" s="476"/>
      <c r="AJ456" s="476"/>
      <c r="AL456" s="470"/>
      <c r="AM456" s="472"/>
      <c r="AN456" s="472"/>
    </row>
    <row r="457" spans="1:40">
      <c r="F457" s="479"/>
      <c r="H457" s="479"/>
      <c r="I457" s="479"/>
      <c r="J457" s="484"/>
      <c r="K457" s="484"/>
      <c r="L457" s="479"/>
      <c r="M457" s="479"/>
      <c r="N457" s="479"/>
      <c r="O457" s="479"/>
      <c r="P457" s="479"/>
      <c r="Q457" s="479"/>
      <c r="R457" s="479"/>
      <c r="V457" s="479"/>
      <c r="Y457" s="479"/>
      <c r="Z457" s="484"/>
      <c r="AA457" s="479"/>
      <c r="AB457" s="479"/>
      <c r="AC457" s="479"/>
      <c r="AD457" s="479"/>
      <c r="AE457" s="479"/>
      <c r="AF457" s="479"/>
      <c r="AI457" s="479"/>
      <c r="AJ457" s="479"/>
      <c r="AK457" s="485"/>
      <c r="AL457" s="479"/>
    </row>
    <row r="459" spans="1:40">
      <c r="A459" s="455"/>
      <c r="T459" s="455"/>
    </row>
    <row r="460" spans="1:40">
      <c r="A460" s="455"/>
      <c r="T460" s="455"/>
    </row>
    <row r="461" spans="1:40">
      <c r="A461" s="455"/>
      <c r="T461" s="455"/>
    </row>
    <row r="462" spans="1:40">
      <c r="A462" s="455"/>
      <c r="T462" s="455"/>
    </row>
    <row r="463" spans="1:40">
      <c r="A463" s="455"/>
      <c r="T463" s="455"/>
    </row>
    <row r="464" spans="1:40">
      <c r="A464" s="455"/>
      <c r="T464" s="455"/>
    </row>
    <row r="465" spans="1:40">
      <c r="A465" s="455"/>
      <c r="T465" s="455"/>
    </row>
    <row r="466" spans="1:40">
      <c r="A466" s="455"/>
      <c r="T466" s="455"/>
    </row>
    <row r="467" spans="1:40">
      <c r="A467" s="455"/>
      <c r="T467" s="455"/>
    </row>
    <row r="469" spans="1:40">
      <c r="A469" s="455"/>
    </row>
    <row r="471" spans="1:40">
      <c r="H471" s="455"/>
      <c r="I471" s="455"/>
      <c r="Y471" s="455"/>
    </row>
    <row r="473" spans="1:40">
      <c r="L473" s="455"/>
      <c r="M473" s="455"/>
      <c r="AA473" s="455"/>
      <c r="AB473" s="455"/>
    </row>
    <row r="474" spans="1:40">
      <c r="R474" s="455"/>
      <c r="AK474" s="456"/>
      <c r="AL474" s="455"/>
    </row>
    <row r="475" spans="1:40">
      <c r="R475" s="455"/>
      <c r="AK475" s="456"/>
      <c r="AL475" s="455"/>
    </row>
    <row r="476" spans="1:40">
      <c r="A476" s="455"/>
      <c r="R476" s="455"/>
      <c r="AK476" s="456"/>
      <c r="AL476" s="455"/>
    </row>
    <row r="477" spans="1:40">
      <c r="L477" s="455"/>
      <c r="M477" s="455"/>
      <c r="AA477" s="455"/>
      <c r="AB477" s="455"/>
    </row>
    <row r="478" spans="1:40">
      <c r="A478" s="460"/>
      <c r="B478" s="460"/>
      <c r="C478" s="460"/>
      <c r="D478" s="460"/>
      <c r="E478" s="460"/>
      <c r="F478" s="460"/>
      <c r="G478" s="460"/>
      <c r="H478" s="460"/>
      <c r="I478" s="460"/>
      <c r="J478" s="460"/>
      <c r="K478" s="460"/>
      <c r="L478" s="460"/>
      <c r="M478" s="460"/>
      <c r="N478" s="460"/>
      <c r="O478" s="460"/>
      <c r="P478" s="460"/>
      <c r="Q478" s="460"/>
      <c r="R478" s="460"/>
      <c r="T478" s="460"/>
      <c r="U478" s="460"/>
      <c r="V478" s="460"/>
      <c r="W478" s="460"/>
      <c r="X478" s="460"/>
      <c r="Y478" s="460"/>
      <c r="Z478" s="460"/>
      <c r="AA478" s="460"/>
      <c r="AB478" s="460"/>
      <c r="AC478" s="460"/>
      <c r="AD478" s="460"/>
      <c r="AE478" s="460"/>
      <c r="AF478" s="460"/>
      <c r="AG478" s="461"/>
      <c r="AH478" s="460"/>
      <c r="AI478" s="460"/>
      <c r="AJ478" s="460"/>
      <c r="AK478" s="461"/>
      <c r="AL478" s="460"/>
      <c r="AM478" s="460"/>
      <c r="AN478" s="460"/>
    </row>
    <row r="479" spans="1:40">
      <c r="L479" s="462"/>
      <c r="M479" s="462"/>
      <c r="N479" s="462"/>
      <c r="O479" s="462"/>
      <c r="R479" s="462"/>
      <c r="AA479" s="462"/>
      <c r="AB479" s="462"/>
      <c r="AC479" s="462"/>
      <c r="AD479" s="462"/>
      <c r="AE479" s="462"/>
      <c r="AF479" s="462"/>
      <c r="AG479" s="463"/>
      <c r="AH479" s="462"/>
      <c r="AK479" s="463"/>
      <c r="AL479" s="462"/>
      <c r="AM479" s="462"/>
      <c r="AN479" s="462"/>
    </row>
    <row r="480" spans="1:40">
      <c r="L480" s="462"/>
      <c r="M480" s="462"/>
      <c r="N480" s="462"/>
      <c r="O480" s="462"/>
      <c r="R480" s="462"/>
      <c r="Z480" s="462"/>
      <c r="AA480" s="462"/>
      <c r="AB480" s="462"/>
      <c r="AC480" s="462"/>
      <c r="AD480" s="462"/>
      <c r="AE480" s="462"/>
      <c r="AF480" s="462"/>
      <c r="AG480" s="463"/>
      <c r="AH480" s="462"/>
      <c r="AK480" s="463"/>
      <c r="AL480" s="462"/>
      <c r="AM480" s="462"/>
      <c r="AN480" s="462"/>
    </row>
    <row r="481" spans="1:40">
      <c r="A481" s="462"/>
      <c r="C481" s="462"/>
      <c r="D481" s="462"/>
      <c r="E481" s="462"/>
      <c r="F481" s="462"/>
      <c r="J481" s="462"/>
      <c r="K481" s="462"/>
      <c r="L481" s="462"/>
      <c r="M481" s="462"/>
      <c r="N481" s="462"/>
      <c r="O481" s="462"/>
      <c r="P481" s="462"/>
      <c r="Q481" s="462"/>
      <c r="R481" s="462"/>
      <c r="T481" s="462"/>
      <c r="U481" s="462"/>
      <c r="V481" s="462"/>
      <c r="Z481" s="462"/>
      <c r="AA481" s="462"/>
      <c r="AB481" s="462"/>
      <c r="AC481" s="462"/>
      <c r="AD481" s="462"/>
      <c r="AE481" s="462"/>
      <c r="AF481" s="462"/>
      <c r="AG481" s="463"/>
      <c r="AH481" s="462"/>
      <c r="AI481" s="462"/>
      <c r="AJ481" s="462"/>
      <c r="AK481" s="463"/>
      <c r="AL481" s="462"/>
      <c r="AM481" s="462"/>
      <c r="AN481" s="462"/>
    </row>
    <row r="482" spans="1:40">
      <c r="A482" s="462"/>
      <c r="C482" s="462"/>
      <c r="D482" s="462"/>
      <c r="E482" s="462"/>
      <c r="F482" s="462"/>
      <c r="H482" s="462"/>
      <c r="I482" s="462"/>
      <c r="J482" s="462"/>
      <c r="K482" s="462"/>
      <c r="L482" s="462"/>
      <c r="M482" s="462"/>
      <c r="N482" s="462"/>
      <c r="O482" s="462"/>
      <c r="P482" s="462"/>
      <c r="Q482" s="462"/>
      <c r="R482" s="462"/>
      <c r="T482" s="462"/>
      <c r="U482" s="462"/>
      <c r="V482" s="462"/>
      <c r="Y482" s="462"/>
      <c r="Z482" s="462"/>
      <c r="AA482" s="462"/>
      <c r="AB482" s="462"/>
      <c r="AC482" s="462"/>
      <c r="AD482" s="462"/>
      <c r="AE482" s="462"/>
      <c r="AF482" s="462"/>
      <c r="AG482" s="463"/>
      <c r="AH482" s="462"/>
      <c r="AI482" s="462"/>
      <c r="AJ482" s="462"/>
      <c r="AK482" s="463"/>
      <c r="AL482" s="462"/>
      <c r="AM482" s="462"/>
      <c r="AN482" s="462"/>
    </row>
    <row r="483" spans="1:40">
      <c r="C483" s="462"/>
      <c r="D483" s="462"/>
      <c r="E483" s="462"/>
      <c r="F483" s="462"/>
      <c r="H483" s="462"/>
      <c r="I483" s="462"/>
      <c r="J483" s="462"/>
      <c r="K483" s="462"/>
      <c r="L483" s="462"/>
      <c r="M483" s="462"/>
      <c r="N483" s="462"/>
      <c r="O483" s="462"/>
      <c r="P483" s="462"/>
      <c r="Q483" s="462"/>
      <c r="R483" s="462"/>
      <c r="T483" s="462"/>
      <c r="U483" s="462"/>
      <c r="V483" s="462"/>
      <c r="Y483" s="462"/>
      <c r="Z483" s="462"/>
      <c r="AA483" s="462"/>
      <c r="AB483" s="462"/>
      <c r="AC483" s="462"/>
      <c r="AD483" s="462"/>
      <c r="AE483" s="462"/>
      <c r="AF483" s="462"/>
      <c r="AG483" s="463"/>
      <c r="AH483" s="462"/>
      <c r="AI483" s="462"/>
      <c r="AJ483" s="462"/>
      <c r="AK483" s="463"/>
      <c r="AL483" s="462"/>
      <c r="AM483" s="462"/>
      <c r="AN483" s="462"/>
    </row>
    <row r="484" spans="1:40">
      <c r="A484" s="460"/>
      <c r="B484" s="460"/>
      <c r="C484" s="460"/>
      <c r="D484" s="460"/>
      <c r="E484" s="460"/>
      <c r="F484" s="460"/>
      <c r="G484" s="460"/>
      <c r="H484" s="460"/>
      <c r="I484" s="460"/>
      <c r="J484" s="460"/>
      <c r="K484" s="460"/>
      <c r="L484" s="460"/>
      <c r="M484" s="460"/>
      <c r="N484" s="460"/>
      <c r="O484" s="460"/>
      <c r="P484" s="460"/>
      <c r="Q484" s="460"/>
      <c r="R484" s="460"/>
      <c r="T484" s="460"/>
      <c r="U484" s="460"/>
      <c r="V484" s="460"/>
      <c r="W484" s="460"/>
      <c r="X484" s="460"/>
      <c r="Y484" s="460"/>
      <c r="Z484" s="460"/>
      <c r="AA484" s="460"/>
      <c r="AB484" s="460"/>
      <c r="AC484" s="460"/>
      <c r="AD484" s="460"/>
      <c r="AE484" s="460"/>
      <c r="AF484" s="460"/>
      <c r="AG484" s="461"/>
      <c r="AH484" s="460"/>
      <c r="AI484" s="460"/>
      <c r="AJ484" s="460"/>
      <c r="AK484" s="461"/>
      <c r="AL484" s="460"/>
      <c r="AM484" s="460"/>
      <c r="AN484" s="460"/>
    </row>
    <row r="485" spans="1:40">
      <c r="H485" s="462"/>
      <c r="I485" s="462"/>
      <c r="J485" s="462"/>
      <c r="K485" s="462"/>
      <c r="L485" s="462"/>
      <c r="M485" s="462"/>
      <c r="N485" s="462"/>
      <c r="O485" s="462"/>
      <c r="P485" s="462"/>
      <c r="Q485" s="462"/>
      <c r="R485" s="462"/>
      <c r="Y485" s="462"/>
      <c r="Z485" s="462"/>
      <c r="AA485" s="462"/>
      <c r="AB485" s="462"/>
      <c r="AC485" s="462"/>
      <c r="AD485" s="462"/>
      <c r="AE485" s="462"/>
      <c r="AF485" s="462"/>
      <c r="AG485" s="463"/>
      <c r="AH485" s="462"/>
      <c r="AI485" s="462"/>
      <c r="AJ485" s="462"/>
      <c r="AK485" s="463"/>
      <c r="AL485" s="462"/>
      <c r="AM485" s="462"/>
      <c r="AN485" s="462"/>
    </row>
    <row r="486" spans="1:40">
      <c r="C486" s="455"/>
      <c r="D486" s="455"/>
      <c r="E486" s="455"/>
      <c r="T486" s="455"/>
      <c r="U486" s="455"/>
    </row>
    <row r="487" spans="1:40">
      <c r="D487" s="455"/>
      <c r="E487" s="455"/>
      <c r="U487" s="455"/>
    </row>
    <row r="489" spans="1:40">
      <c r="C489" s="455"/>
      <c r="F489" s="470"/>
      <c r="J489" s="473"/>
      <c r="K489" s="473"/>
      <c r="L489" s="470"/>
      <c r="M489" s="470"/>
      <c r="R489" s="470"/>
      <c r="T489" s="455"/>
      <c r="V489" s="470"/>
      <c r="Z489" s="473"/>
      <c r="AA489" s="470"/>
      <c r="AB489" s="470"/>
      <c r="AH489" s="470"/>
      <c r="AL489" s="470"/>
    </row>
    <row r="490" spans="1:40">
      <c r="C490" s="455"/>
      <c r="F490" s="470"/>
      <c r="R490" s="470"/>
      <c r="T490" s="455"/>
      <c r="V490" s="470"/>
      <c r="AH490" s="470"/>
      <c r="AL490" s="470"/>
    </row>
    <row r="491" spans="1:40">
      <c r="AI491" s="470"/>
      <c r="AJ491" s="470"/>
      <c r="AL491" s="470"/>
      <c r="AM491" s="472"/>
      <c r="AN491" s="472"/>
    </row>
    <row r="492" spans="1:40">
      <c r="C492" s="455"/>
      <c r="F492" s="476"/>
      <c r="H492" s="476"/>
      <c r="I492" s="476"/>
      <c r="J492" s="530"/>
      <c r="K492" s="530"/>
      <c r="L492" s="470"/>
      <c r="M492" s="470"/>
      <c r="N492" s="472"/>
      <c r="O492" s="472"/>
      <c r="P492" s="470"/>
      <c r="Q492" s="470"/>
      <c r="R492" s="470"/>
      <c r="T492" s="455"/>
      <c r="V492" s="470"/>
      <c r="Y492" s="470"/>
      <c r="Z492" s="530"/>
      <c r="AA492" s="470"/>
      <c r="AB492" s="470"/>
      <c r="AC492" s="472"/>
      <c r="AD492" s="472"/>
      <c r="AE492" s="470"/>
      <c r="AF492" s="470"/>
      <c r="AH492" s="529"/>
      <c r="AI492" s="470"/>
      <c r="AJ492" s="470"/>
      <c r="AL492" s="470"/>
      <c r="AM492" s="472"/>
      <c r="AN492" s="472"/>
    </row>
    <row r="493" spans="1:40">
      <c r="F493" s="470"/>
      <c r="H493" s="470"/>
      <c r="I493" s="470"/>
      <c r="J493" s="503"/>
      <c r="K493" s="503"/>
      <c r="L493" s="470"/>
      <c r="M493" s="470"/>
      <c r="P493" s="470"/>
      <c r="Q493" s="470"/>
      <c r="R493" s="470"/>
      <c r="V493" s="470"/>
      <c r="Y493" s="470"/>
      <c r="Z493" s="503"/>
      <c r="AA493" s="470"/>
      <c r="AB493" s="470"/>
      <c r="AI493" s="470"/>
      <c r="AJ493" s="470"/>
      <c r="AL493" s="470"/>
      <c r="AM493" s="472"/>
      <c r="AN493" s="472"/>
    </row>
    <row r="494" spans="1:40">
      <c r="F494" s="470"/>
      <c r="R494" s="470"/>
      <c r="V494" s="470"/>
      <c r="AL494" s="470"/>
      <c r="AM494" s="472"/>
      <c r="AN494" s="472"/>
    </row>
    <row r="495" spans="1:40">
      <c r="C495" s="455"/>
      <c r="F495" s="470"/>
      <c r="J495" s="473"/>
      <c r="K495" s="473"/>
      <c r="L495" s="470"/>
      <c r="M495" s="470"/>
      <c r="N495" s="472"/>
      <c r="O495" s="472"/>
      <c r="R495" s="470"/>
      <c r="T495" s="455"/>
      <c r="V495" s="470"/>
      <c r="Z495" s="473"/>
      <c r="AA495" s="470"/>
      <c r="AB495" s="470"/>
      <c r="AC495" s="472"/>
      <c r="AD495" s="472"/>
      <c r="AL495" s="470"/>
      <c r="AM495" s="472"/>
      <c r="AN495" s="472"/>
    </row>
    <row r="496" spans="1:40">
      <c r="C496" s="455"/>
      <c r="F496" s="470"/>
      <c r="H496" s="470"/>
      <c r="I496" s="470"/>
      <c r="J496" s="473"/>
      <c r="K496" s="473"/>
      <c r="L496" s="470"/>
      <c r="M496" s="470"/>
      <c r="N496" s="472"/>
      <c r="O496" s="472"/>
      <c r="P496" s="470"/>
      <c r="Q496" s="470"/>
      <c r="R496" s="470"/>
      <c r="T496" s="455"/>
      <c r="V496" s="470"/>
      <c r="Y496" s="470"/>
      <c r="Z496" s="473"/>
      <c r="AA496" s="470"/>
      <c r="AB496" s="470"/>
      <c r="AC496" s="472"/>
      <c r="AD496" s="472"/>
      <c r="AI496" s="470"/>
      <c r="AJ496" s="470"/>
      <c r="AL496" s="470"/>
      <c r="AM496" s="472"/>
      <c r="AN496" s="472"/>
    </row>
    <row r="497" spans="1:40">
      <c r="C497" s="455"/>
      <c r="T497" s="455"/>
      <c r="AM497" s="472"/>
      <c r="AN497" s="472"/>
    </row>
    <row r="498" spans="1:40">
      <c r="C498" s="455"/>
      <c r="T498" s="455"/>
      <c r="AM498" s="472"/>
      <c r="AN498" s="472"/>
    </row>
    <row r="499" spans="1:40">
      <c r="AM499" s="472"/>
      <c r="AN499" s="472"/>
    </row>
    <row r="500" spans="1:40">
      <c r="C500" s="455"/>
      <c r="F500" s="476"/>
      <c r="H500" s="476"/>
      <c r="I500" s="476"/>
      <c r="J500" s="530"/>
      <c r="K500" s="530"/>
      <c r="L500" s="470"/>
      <c r="M500" s="470"/>
      <c r="N500" s="472"/>
      <c r="O500" s="472"/>
      <c r="P500" s="470"/>
      <c r="Q500" s="470"/>
      <c r="R500" s="470"/>
      <c r="T500" s="455"/>
      <c r="V500" s="470"/>
      <c r="Y500" s="470"/>
      <c r="Z500" s="530"/>
      <c r="AA500" s="470"/>
      <c r="AB500" s="470"/>
      <c r="AC500" s="472"/>
      <c r="AD500" s="472"/>
      <c r="AE500" s="470"/>
      <c r="AF500" s="470"/>
      <c r="AH500" s="529"/>
      <c r="AI500" s="470"/>
      <c r="AJ500" s="470"/>
      <c r="AL500" s="470"/>
      <c r="AM500" s="472"/>
      <c r="AN500" s="472"/>
    </row>
    <row r="501" spans="1:40">
      <c r="F501" s="479"/>
      <c r="H501" s="479"/>
      <c r="I501" s="479"/>
      <c r="J501" s="484"/>
      <c r="K501" s="484"/>
      <c r="L501" s="479"/>
      <c r="M501" s="479"/>
      <c r="N501" s="479"/>
      <c r="O501" s="479"/>
      <c r="P501" s="479"/>
      <c r="Q501" s="479"/>
      <c r="R501" s="479"/>
      <c r="V501" s="479"/>
      <c r="Y501" s="479"/>
      <c r="Z501" s="484"/>
      <c r="AA501" s="479"/>
      <c r="AB501" s="479"/>
      <c r="AC501" s="479"/>
      <c r="AD501" s="479"/>
      <c r="AE501" s="479"/>
      <c r="AF501" s="479"/>
      <c r="AI501" s="479"/>
      <c r="AJ501" s="479"/>
      <c r="AK501" s="485"/>
      <c r="AL501" s="479"/>
      <c r="AM501" s="472"/>
      <c r="AN501" s="472"/>
    </row>
    <row r="502" spans="1:40">
      <c r="H502" s="470"/>
      <c r="I502" s="470"/>
      <c r="Y502" s="470"/>
      <c r="AM502" s="472"/>
      <c r="AN502" s="472"/>
    </row>
    <row r="503" spans="1:40">
      <c r="C503" s="455"/>
      <c r="F503" s="470"/>
      <c r="H503" s="470"/>
      <c r="I503" s="470"/>
      <c r="L503" s="470"/>
      <c r="M503" s="470"/>
      <c r="N503" s="472"/>
      <c r="O503" s="472"/>
      <c r="P503" s="476"/>
      <c r="Q503" s="476"/>
      <c r="R503" s="470"/>
      <c r="T503" s="455"/>
      <c r="V503" s="470"/>
      <c r="Y503" s="470"/>
      <c r="AA503" s="470"/>
      <c r="AB503" s="470"/>
      <c r="AC503" s="472"/>
      <c r="AD503" s="472"/>
      <c r="AE503" s="470"/>
      <c r="AF503" s="470"/>
      <c r="AH503" s="529"/>
      <c r="AI503" s="476"/>
      <c r="AJ503" s="476"/>
      <c r="AL503" s="470"/>
      <c r="AM503" s="472"/>
      <c r="AN503" s="472"/>
    </row>
    <row r="504" spans="1:40">
      <c r="F504" s="479"/>
      <c r="H504" s="479"/>
      <c r="I504" s="479"/>
      <c r="J504" s="484"/>
      <c r="K504" s="484"/>
      <c r="L504" s="479"/>
      <c r="M504" s="479"/>
      <c r="N504" s="479"/>
      <c r="O504" s="479"/>
      <c r="P504" s="479"/>
      <c r="Q504" s="479"/>
      <c r="R504" s="479"/>
      <c r="V504" s="479"/>
      <c r="Y504" s="479"/>
      <c r="Z504" s="484"/>
      <c r="AA504" s="479"/>
      <c r="AB504" s="479"/>
      <c r="AC504" s="479"/>
      <c r="AD504" s="479"/>
      <c r="AE504" s="479"/>
      <c r="AF504" s="479"/>
      <c r="AI504" s="479"/>
      <c r="AJ504" s="479"/>
      <c r="AK504" s="485"/>
      <c r="AL504" s="479"/>
      <c r="AM504" s="472"/>
      <c r="AN504" s="472"/>
    </row>
    <row r="506" spans="1:40">
      <c r="F506" s="470"/>
      <c r="H506" s="470"/>
      <c r="I506" s="470"/>
      <c r="J506" s="503"/>
      <c r="K506" s="503"/>
      <c r="L506" s="470"/>
      <c r="M506" s="470"/>
      <c r="N506" s="470"/>
      <c r="O506" s="470"/>
      <c r="P506" s="470"/>
      <c r="Q506" s="470"/>
      <c r="R506" s="470"/>
      <c r="V506" s="470"/>
      <c r="Y506" s="470"/>
      <c r="Z506" s="503"/>
      <c r="AA506" s="470"/>
      <c r="AB506" s="470"/>
      <c r="AC506" s="470"/>
      <c r="AD506" s="470"/>
      <c r="AE506" s="470"/>
      <c r="AF506" s="470"/>
      <c r="AH506" s="470"/>
      <c r="AI506" s="470"/>
      <c r="AJ506" s="470"/>
      <c r="AL506" s="470"/>
    </row>
    <row r="507" spans="1:40">
      <c r="A507" s="455"/>
    </row>
    <row r="509" spans="1:40">
      <c r="H509" s="455"/>
      <c r="I509" s="455"/>
      <c r="Y509" s="455"/>
    </row>
    <row r="511" spans="1:40">
      <c r="L511" s="455"/>
      <c r="M511" s="455"/>
      <c r="AA511" s="455"/>
      <c r="AB511" s="455"/>
    </row>
    <row r="512" spans="1:40">
      <c r="R512" s="455"/>
      <c r="AK512" s="456"/>
      <c r="AL512" s="455"/>
    </row>
    <row r="513" spans="1:40">
      <c r="R513" s="455"/>
      <c r="AK513" s="456"/>
      <c r="AL513" s="455"/>
    </row>
    <row r="514" spans="1:40">
      <c r="A514" s="455"/>
      <c r="R514" s="455"/>
      <c r="AK514" s="456"/>
      <c r="AL514" s="455"/>
    </row>
    <row r="515" spans="1:40">
      <c r="L515" s="455"/>
      <c r="M515" s="455"/>
      <c r="AA515" s="455"/>
      <c r="AB515" s="455"/>
    </row>
    <row r="516" spans="1:40">
      <c r="A516" s="460"/>
      <c r="B516" s="460"/>
      <c r="C516" s="460"/>
      <c r="D516" s="460"/>
      <c r="E516" s="460"/>
      <c r="F516" s="460"/>
      <c r="G516" s="460"/>
      <c r="H516" s="460"/>
      <c r="I516" s="460"/>
      <c r="J516" s="460"/>
      <c r="K516" s="460"/>
      <c r="L516" s="460"/>
      <c r="M516" s="460"/>
      <c r="N516" s="460"/>
      <c r="O516" s="460"/>
      <c r="P516" s="460"/>
      <c r="Q516" s="460"/>
      <c r="R516" s="460"/>
      <c r="T516" s="460"/>
      <c r="U516" s="460"/>
      <c r="V516" s="460"/>
      <c r="W516" s="460"/>
      <c r="X516" s="460"/>
      <c r="Y516" s="460"/>
      <c r="Z516" s="460"/>
      <c r="AA516" s="460"/>
      <c r="AB516" s="460"/>
      <c r="AC516" s="460"/>
      <c r="AD516" s="460"/>
      <c r="AE516" s="460"/>
      <c r="AF516" s="460"/>
      <c r="AG516" s="461"/>
      <c r="AH516" s="460"/>
      <c r="AI516" s="460"/>
      <c r="AJ516" s="460"/>
      <c r="AK516" s="461"/>
      <c r="AL516" s="460"/>
      <c r="AM516" s="460"/>
      <c r="AN516" s="460"/>
    </row>
    <row r="517" spans="1:40">
      <c r="L517" s="462"/>
      <c r="M517" s="462"/>
      <c r="N517" s="462"/>
      <c r="O517" s="462"/>
      <c r="R517" s="462"/>
      <c r="AA517" s="462"/>
      <c r="AB517" s="462"/>
      <c r="AC517" s="462"/>
      <c r="AD517" s="462"/>
      <c r="AE517" s="462"/>
      <c r="AF517" s="462"/>
      <c r="AG517" s="463"/>
      <c r="AH517" s="462"/>
      <c r="AK517" s="463"/>
      <c r="AL517" s="462"/>
      <c r="AM517" s="462"/>
      <c r="AN517" s="462"/>
    </row>
    <row r="518" spans="1:40">
      <c r="L518" s="462"/>
      <c r="M518" s="462"/>
      <c r="N518" s="462"/>
      <c r="O518" s="462"/>
      <c r="R518" s="462"/>
      <c r="Z518" s="462"/>
      <c r="AA518" s="462"/>
      <c r="AB518" s="462"/>
      <c r="AC518" s="462"/>
      <c r="AD518" s="462"/>
      <c r="AE518" s="462"/>
      <c r="AF518" s="462"/>
      <c r="AG518" s="463"/>
      <c r="AH518" s="462"/>
      <c r="AK518" s="463"/>
      <c r="AL518" s="462"/>
      <c r="AM518" s="462"/>
      <c r="AN518" s="462"/>
    </row>
    <row r="519" spans="1:40">
      <c r="A519" s="462"/>
      <c r="C519" s="462"/>
      <c r="D519" s="462"/>
      <c r="E519" s="462"/>
      <c r="F519" s="462"/>
      <c r="J519" s="462"/>
      <c r="K519" s="462"/>
      <c r="L519" s="462"/>
      <c r="M519" s="462"/>
      <c r="N519" s="462"/>
      <c r="O519" s="462"/>
      <c r="P519" s="462"/>
      <c r="Q519" s="462"/>
      <c r="R519" s="462"/>
      <c r="T519" s="462"/>
      <c r="U519" s="462"/>
      <c r="V519" s="462"/>
      <c r="Z519" s="462"/>
      <c r="AA519" s="462"/>
      <c r="AB519" s="462"/>
      <c r="AC519" s="462"/>
      <c r="AD519" s="462"/>
      <c r="AE519" s="462"/>
      <c r="AF519" s="462"/>
      <c r="AG519" s="463"/>
      <c r="AH519" s="462"/>
      <c r="AI519" s="462"/>
      <c r="AJ519" s="462"/>
      <c r="AK519" s="463"/>
      <c r="AL519" s="462"/>
      <c r="AM519" s="462"/>
      <c r="AN519" s="462"/>
    </row>
    <row r="520" spans="1:40">
      <c r="A520" s="462"/>
      <c r="C520" s="462"/>
      <c r="D520" s="462"/>
      <c r="E520" s="462"/>
      <c r="F520" s="462"/>
      <c r="H520" s="462"/>
      <c r="I520" s="462"/>
      <c r="J520" s="462"/>
      <c r="K520" s="462"/>
      <c r="L520" s="462"/>
      <c r="M520" s="462"/>
      <c r="N520" s="462"/>
      <c r="O520" s="462"/>
      <c r="P520" s="462"/>
      <c r="Q520" s="462"/>
      <c r="R520" s="462"/>
      <c r="T520" s="462"/>
      <c r="U520" s="462"/>
      <c r="V520" s="462"/>
      <c r="Y520" s="462"/>
      <c r="Z520" s="462"/>
      <c r="AA520" s="462"/>
      <c r="AB520" s="462"/>
      <c r="AC520" s="462"/>
      <c r="AD520" s="462"/>
      <c r="AE520" s="462"/>
      <c r="AF520" s="462"/>
      <c r="AG520" s="463"/>
      <c r="AH520" s="462"/>
      <c r="AI520" s="462"/>
      <c r="AJ520" s="462"/>
      <c r="AK520" s="463"/>
      <c r="AL520" s="462"/>
      <c r="AM520" s="462"/>
      <c r="AN520" s="462"/>
    </row>
    <row r="521" spans="1:40">
      <c r="C521" s="462"/>
      <c r="D521" s="462"/>
      <c r="E521" s="462"/>
      <c r="F521" s="462"/>
      <c r="H521" s="462"/>
      <c r="I521" s="462"/>
      <c r="J521" s="462"/>
      <c r="K521" s="462"/>
      <c r="L521" s="462"/>
      <c r="M521" s="462"/>
      <c r="N521" s="462"/>
      <c r="O521" s="462"/>
      <c r="P521" s="462"/>
      <c r="Q521" s="462"/>
      <c r="R521" s="462"/>
      <c r="T521" s="462"/>
      <c r="U521" s="462"/>
      <c r="V521" s="462"/>
      <c r="Y521" s="462"/>
      <c r="Z521" s="462"/>
      <c r="AA521" s="462"/>
      <c r="AB521" s="462"/>
      <c r="AC521" s="462"/>
      <c r="AD521" s="462"/>
      <c r="AE521" s="462"/>
      <c r="AF521" s="462"/>
      <c r="AG521" s="463"/>
      <c r="AH521" s="462"/>
      <c r="AI521" s="462"/>
      <c r="AJ521" s="462"/>
      <c r="AK521" s="463"/>
      <c r="AL521" s="462"/>
      <c r="AM521" s="462"/>
      <c r="AN521" s="462"/>
    </row>
    <row r="522" spans="1:40">
      <c r="A522" s="460"/>
      <c r="B522" s="460"/>
      <c r="C522" s="460"/>
      <c r="D522" s="460"/>
      <c r="E522" s="460"/>
      <c r="F522" s="460"/>
      <c r="G522" s="460"/>
      <c r="H522" s="460"/>
      <c r="I522" s="460"/>
      <c r="J522" s="460"/>
      <c r="K522" s="460"/>
      <c r="L522" s="460"/>
      <c r="M522" s="460"/>
      <c r="N522" s="460"/>
      <c r="O522" s="460"/>
      <c r="P522" s="460"/>
      <c r="Q522" s="460"/>
      <c r="R522" s="460"/>
      <c r="T522" s="460"/>
      <c r="U522" s="460"/>
      <c r="V522" s="460"/>
      <c r="W522" s="460"/>
      <c r="X522" s="460"/>
      <c r="Y522" s="460"/>
      <c r="Z522" s="460"/>
      <c r="AA522" s="460"/>
      <c r="AB522" s="460"/>
      <c r="AC522" s="460"/>
      <c r="AD522" s="460"/>
      <c r="AE522" s="460"/>
      <c r="AF522" s="460"/>
      <c r="AG522" s="461"/>
      <c r="AH522" s="460"/>
      <c r="AI522" s="460"/>
      <c r="AJ522" s="460"/>
      <c r="AK522" s="461"/>
      <c r="AL522" s="460"/>
      <c r="AM522" s="460"/>
      <c r="AN522" s="460"/>
    </row>
    <row r="523" spans="1:40">
      <c r="H523" s="462"/>
      <c r="I523" s="462"/>
      <c r="J523" s="462"/>
      <c r="K523" s="462"/>
      <c r="L523" s="462"/>
      <c r="M523" s="462"/>
      <c r="N523" s="462"/>
      <c r="O523" s="462"/>
      <c r="P523" s="462"/>
      <c r="Q523" s="462"/>
      <c r="R523" s="462"/>
      <c r="Y523" s="462"/>
      <c r="Z523" s="462"/>
      <c r="AA523" s="462"/>
      <c r="AB523" s="462"/>
      <c r="AC523" s="462"/>
      <c r="AD523" s="462"/>
      <c r="AE523" s="462"/>
      <c r="AF523" s="462"/>
      <c r="AG523" s="463"/>
      <c r="AH523" s="462"/>
      <c r="AI523" s="462"/>
      <c r="AJ523" s="462"/>
      <c r="AK523" s="463"/>
      <c r="AL523" s="462"/>
      <c r="AM523" s="462"/>
      <c r="AN523" s="462"/>
    </row>
    <row r="524" spans="1:40">
      <c r="C524" s="455"/>
      <c r="D524" s="455"/>
      <c r="E524" s="455"/>
      <c r="T524" s="455"/>
      <c r="U524" s="455"/>
      <c r="V524" s="470"/>
      <c r="W524" s="470"/>
      <c r="X524" s="470"/>
      <c r="Y524" s="470"/>
      <c r="Z524" s="530"/>
    </row>
    <row r="526" spans="1:40">
      <c r="C526" s="455"/>
      <c r="T526" s="455"/>
      <c r="V526" s="470"/>
      <c r="W526" s="470"/>
      <c r="X526" s="470"/>
      <c r="Y526" s="470"/>
      <c r="Z526" s="530"/>
    </row>
    <row r="527" spans="1:40">
      <c r="C527" s="455"/>
      <c r="F527" s="476"/>
      <c r="H527" s="476"/>
      <c r="I527" s="476"/>
      <c r="J527" s="531"/>
      <c r="K527" s="531"/>
      <c r="L527" s="470"/>
      <c r="M527" s="470"/>
      <c r="N527" s="472"/>
      <c r="O527" s="472"/>
      <c r="P527" s="470"/>
      <c r="Q527" s="470"/>
      <c r="R527" s="470"/>
      <c r="T527" s="455"/>
      <c r="V527" s="470"/>
      <c r="W527" s="470"/>
      <c r="X527" s="470"/>
      <c r="Y527" s="470"/>
      <c r="Z527" s="531"/>
      <c r="AA527" s="470"/>
      <c r="AB527" s="470"/>
      <c r="AC527" s="472"/>
      <c r="AD527" s="472"/>
      <c r="AE527" s="470"/>
      <c r="AF527" s="470"/>
      <c r="AH527" s="529"/>
      <c r="AI527" s="470"/>
      <c r="AJ527" s="470"/>
      <c r="AL527" s="470"/>
      <c r="AM527" s="472"/>
      <c r="AN527" s="472"/>
    </row>
    <row r="528" spans="1:40">
      <c r="C528" s="455"/>
      <c r="F528" s="476"/>
      <c r="H528" s="476"/>
      <c r="I528" s="476"/>
      <c r="J528" s="531"/>
      <c r="K528" s="531"/>
      <c r="L528" s="470"/>
      <c r="M528" s="470"/>
      <c r="N528" s="472"/>
      <c r="O528" s="472"/>
      <c r="P528" s="470"/>
      <c r="Q528" s="470"/>
      <c r="R528" s="470"/>
      <c r="T528" s="455"/>
      <c r="V528" s="470"/>
      <c r="W528" s="470"/>
      <c r="X528" s="470"/>
      <c r="Y528" s="470"/>
      <c r="Z528" s="531"/>
      <c r="AA528" s="470"/>
      <c r="AB528" s="470"/>
      <c r="AC528" s="472"/>
      <c r="AD528" s="472"/>
      <c r="AE528" s="470"/>
      <c r="AF528" s="470"/>
      <c r="AH528" s="529"/>
      <c r="AI528" s="470"/>
      <c r="AJ528" s="470"/>
      <c r="AL528" s="470"/>
      <c r="AM528" s="472"/>
      <c r="AN528" s="472"/>
    </row>
    <row r="529" spans="1:40">
      <c r="C529" s="455"/>
      <c r="F529" s="476"/>
      <c r="H529" s="476"/>
      <c r="I529" s="476"/>
      <c r="J529" s="531"/>
      <c r="K529" s="531"/>
      <c r="L529" s="470"/>
      <c r="M529" s="470"/>
      <c r="N529" s="472"/>
      <c r="O529" s="472"/>
      <c r="P529" s="470"/>
      <c r="Q529" s="470"/>
      <c r="R529" s="470"/>
      <c r="T529" s="455"/>
      <c r="V529" s="470"/>
      <c r="W529" s="470"/>
      <c r="X529" s="470"/>
      <c r="Y529" s="470"/>
      <c r="Z529" s="531"/>
      <c r="AA529" s="470"/>
      <c r="AB529" s="470"/>
      <c r="AC529" s="472"/>
      <c r="AD529" s="472"/>
      <c r="AE529" s="470"/>
      <c r="AF529" s="470"/>
      <c r="AH529" s="529"/>
      <c r="AI529" s="470"/>
      <c r="AJ529" s="470"/>
      <c r="AL529" s="470"/>
      <c r="AM529" s="472"/>
      <c r="AN529" s="472"/>
    </row>
    <row r="530" spans="1:40">
      <c r="C530" s="455"/>
      <c r="F530" s="476"/>
      <c r="H530" s="476"/>
      <c r="I530" s="476"/>
      <c r="J530" s="531"/>
      <c r="K530" s="531"/>
      <c r="L530" s="470"/>
      <c r="M530" s="470"/>
      <c r="N530" s="472"/>
      <c r="O530" s="472"/>
      <c r="P530" s="470"/>
      <c r="Q530" s="470"/>
      <c r="R530" s="470"/>
      <c r="T530" s="455"/>
      <c r="V530" s="470"/>
      <c r="W530" s="470"/>
      <c r="X530" s="470"/>
      <c r="Y530" s="470"/>
      <c r="Z530" s="531"/>
      <c r="AA530" s="470"/>
      <c r="AB530" s="470"/>
      <c r="AC530" s="472"/>
      <c r="AD530" s="472"/>
      <c r="AE530" s="470"/>
      <c r="AF530" s="470"/>
      <c r="AH530" s="529"/>
      <c r="AI530" s="470"/>
      <c r="AJ530" s="470"/>
      <c r="AL530" s="470"/>
      <c r="AM530" s="472"/>
      <c r="AN530" s="472"/>
    </row>
    <row r="531" spans="1:40">
      <c r="J531" s="537"/>
      <c r="K531" s="537"/>
      <c r="V531" s="470"/>
      <c r="W531" s="470"/>
      <c r="X531" s="470"/>
      <c r="Y531" s="470"/>
      <c r="Z531" s="531"/>
    </row>
    <row r="532" spans="1:40">
      <c r="C532" s="455"/>
      <c r="F532" s="476"/>
      <c r="H532" s="476"/>
      <c r="I532" s="476"/>
      <c r="J532" s="531"/>
      <c r="K532" s="531"/>
      <c r="L532" s="470"/>
      <c r="M532" s="470"/>
      <c r="N532" s="472"/>
      <c r="O532" s="472"/>
      <c r="P532" s="470"/>
      <c r="Q532" s="470"/>
      <c r="R532" s="470"/>
      <c r="T532" s="455"/>
      <c r="V532" s="470"/>
      <c r="W532" s="470"/>
      <c r="X532" s="470"/>
      <c r="Y532" s="470"/>
      <c r="Z532" s="531"/>
      <c r="AA532" s="470"/>
      <c r="AB532" s="470"/>
      <c r="AC532" s="472"/>
      <c r="AD532" s="472"/>
      <c r="AE532" s="470"/>
      <c r="AF532" s="470"/>
      <c r="AH532" s="529"/>
      <c r="AI532" s="470"/>
      <c r="AJ532" s="470"/>
      <c r="AL532" s="470"/>
      <c r="AM532" s="529"/>
      <c r="AN532" s="529"/>
    </row>
    <row r="533" spans="1:40">
      <c r="C533" s="455"/>
      <c r="J533" s="537"/>
      <c r="K533" s="537"/>
      <c r="T533" s="455"/>
      <c r="V533" s="470"/>
      <c r="W533" s="470"/>
      <c r="X533" s="470"/>
      <c r="Y533" s="470"/>
      <c r="Z533" s="531"/>
    </row>
    <row r="534" spans="1:40">
      <c r="C534" s="455"/>
      <c r="F534" s="476"/>
      <c r="H534" s="476"/>
      <c r="I534" s="476"/>
      <c r="J534" s="531"/>
      <c r="K534" s="531"/>
      <c r="L534" s="470"/>
      <c r="M534" s="470"/>
      <c r="N534" s="472"/>
      <c r="O534" s="472"/>
      <c r="P534" s="470"/>
      <c r="Q534" s="470"/>
      <c r="R534" s="470"/>
      <c r="T534" s="455"/>
      <c r="V534" s="470"/>
      <c r="W534" s="470"/>
      <c r="X534" s="470"/>
      <c r="Y534" s="470"/>
      <c r="Z534" s="531"/>
      <c r="AA534" s="470"/>
      <c r="AB534" s="470"/>
      <c r="AC534" s="472"/>
      <c r="AD534" s="472"/>
      <c r="AE534" s="470"/>
      <c r="AF534" s="470"/>
      <c r="AH534" s="529"/>
      <c r="AI534" s="470"/>
      <c r="AJ534" s="470"/>
      <c r="AL534" s="470"/>
      <c r="AM534" s="529"/>
      <c r="AN534" s="529"/>
    </row>
    <row r="535" spans="1:40">
      <c r="J535" s="537"/>
      <c r="K535" s="537"/>
      <c r="Z535" s="537"/>
    </row>
    <row r="536" spans="1:40">
      <c r="C536" s="455"/>
      <c r="J536" s="537"/>
      <c r="K536" s="537"/>
      <c r="T536" s="455"/>
      <c r="V536" s="470"/>
      <c r="W536" s="470"/>
      <c r="X536" s="470"/>
      <c r="Y536" s="470"/>
      <c r="Z536" s="531"/>
    </row>
    <row r="537" spans="1:40">
      <c r="C537" s="455"/>
      <c r="F537" s="476"/>
      <c r="H537" s="476"/>
      <c r="I537" s="476"/>
      <c r="J537" s="531"/>
      <c r="K537" s="531"/>
      <c r="L537" s="470"/>
      <c r="M537" s="470"/>
      <c r="N537" s="472"/>
      <c r="O537" s="472"/>
      <c r="P537" s="470"/>
      <c r="Q537" s="470"/>
      <c r="R537" s="470"/>
      <c r="T537" s="455"/>
      <c r="V537" s="470"/>
      <c r="W537" s="470"/>
      <c r="X537" s="470"/>
      <c r="Y537" s="470"/>
      <c r="Z537" s="531"/>
      <c r="AA537" s="470"/>
      <c r="AB537" s="470"/>
      <c r="AC537" s="472"/>
      <c r="AD537" s="472"/>
      <c r="AE537" s="470"/>
      <c r="AF537" s="470"/>
      <c r="AH537" s="529"/>
      <c r="AI537" s="470"/>
      <c r="AJ537" s="470"/>
      <c r="AL537" s="470"/>
      <c r="AM537" s="529"/>
      <c r="AN537" s="529"/>
    </row>
    <row r="538" spans="1:40">
      <c r="C538" s="455"/>
      <c r="F538" s="476"/>
      <c r="H538" s="476"/>
      <c r="I538" s="476"/>
      <c r="J538" s="531"/>
      <c r="K538" s="531"/>
      <c r="L538" s="470"/>
      <c r="M538" s="470"/>
      <c r="N538" s="472"/>
      <c r="O538" s="472"/>
      <c r="P538" s="470"/>
      <c r="Q538" s="470"/>
      <c r="R538" s="470"/>
      <c r="T538" s="455"/>
      <c r="V538" s="470"/>
      <c r="W538" s="470"/>
      <c r="X538" s="470"/>
      <c r="Y538" s="470"/>
      <c r="Z538" s="531"/>
      <c r="AA538" s="470"/>
      <c r="AB538" s="470"/>
      <c r="AC538" s="472"/>
      <c r="AD538" s="472"/>
      <c r="AE538" s="470"/>
      <c r="AF538" s="470"/>
      <c r="AH538" s="529"/>
      <c r="AI538" s="470"/>
      <c r="AJ538" s="470"/>
      <c r="AL538" s="470"/>
      <c r="AM538" s="529"/>
      <c r="AN538" s="529"/>
    </row>
    <row r="539" spans="1:40">
      <c r="F539" s="479"/>
      <c r="H539" s="479"/>
      <c r="I539" s="479"/>
      <c r="J539" s="531"/>
      <c r="K539" s="531"/>
      <c r="L539" s="479"/>
      <c r="M539" s="479"/>
      <c r="N539" s="479"/>
      <c r="O539" s="479"/>
      <c r="P539" s="479"/>
      <c r="Q539" s="479"/>
      <c r="R539" s="479"/>
      <c r="V539" s="479"/>
      <c r="Y539" s="479"/>
      <c r="Z539" s="484"/>
      <c r="AA539" s="479"/>
      <c r="AB539" s="479"/>
      <c r="AC539" s="479"/>
      <c r="AD539" s="479"/>
      <c r="AE539" s="479"/>
      <c r="AF539" s="479"/>
      <c r="AI539" s="479"/>
      <c r="AJ539" s="479"/>
      <c r="AK539" s="485"/>
      <c r="AL539" s="479"/>
    </row>
    <row r="540" spans="1:40">
      <c r="C540" s="455"/>
      <c r="F540" s="470"/>
      <c r="H540" s="470"/>
      <c r="I540" s="470"/>
      <c r="L540" s="470"/>
      <c r="M540" s="470"/>
      <c r="N540" s="472"/>
      <c r="O540" s="472"/>
      <c r="P540" s="476"/>
      <c r="Q540" s="476"/>
      <c r="R540" s="470"/>
      <c r="T540" s="455"/>
      <c r="V540" s="470"/>
      <c r="W540" s="470"/>
      <c r="X540" s="470"/>
      <c r="Y540" s="470"/>
      <c r="Z540" s="530"/>
      <c r="AA540" s="470"/>
      <c r="AB540" s="470"/>
      <c r="AC540" s="472"/>
      <c r="AD540" s="472"/>
      <c r="AE540" s="470"/>
      <c r="AF540" s="470"/>
      <c r="AH540" s="529"/>
      <c r="AI540" s="476"/>
      <c r="AJ540" s="476"/>
      <c r="AL540" s="470"/>
      <c r="AM540" s="529"/>
      <c r="AN540" s="529"/>
    </row>
    <row r="541" spans="1:40">
      <c r="F541" s="479"/>
      <c r="H541" s="479"/>
      <c r="I541" s="479"/>
      <c r="J541" s="484"/>
      <c r="K541" s="484"/>
      <c r="L541" s="479"/>
      <c r="M541" s="479"/>
      <c r="N541" s="479"/>
      <c r="O541" s="479"/>
      <c r="P541" s="479"/>
      <c r="Q541" s="479"/>
      <c r="R541" s="479"/>
      <c r="V541" s="479"/>
      <c r="Y541" s="479"/>
      <c r="Z541" s="484"/>
      <c r="AA541" s="479"/>
      <c r="AB541" s="479"/>
      <c r="AC541" s="479"/>
      <c r="AD541" s="479"/>
      <c r="AE541" s="479"/>
      <c r="AF541" s="479"/>
      <c r="AI541" s="479"/>
      <c r="AJ541" s="479"/>
      <c r="AK541" s="485"/>
      <c r="AL541" s="479"/>
    </row>
    <row r="544" spans="1:40">
      <c r="A544" s="455"/>
    </row>
    <row r="546" spans="1:40">
      <c r="H546" s="455"/>
      <c r="I546" s="455"/>
      <c r="Y546" s="455"/>
    </row>
    <row r="548" spans="1:40">
      <c r="L548" s="455"/>
      <c r="M548" s="455"/>
      <c r="AA548" s="455"/>
      <c r="AB548" s="455"/>
    </row>
    <row r="549" spans="1:40">
      <c r="R549" s="455"/>
      <c r="AK549" s="456"/>
      <c r="AL549" s="455"/>
    </row>
    <row r="550" spans="1:40">
      <c r="R550" s="455"/>
      <c r="AK550" s="456"/>
      <c r="AL550" s="455"/>
    </row>
    <row r="551" spans="1:40">
      <c r="A551" s="455"/>
      <c r="R551" s="455"/>
      <c r="AK551" s="456"/>
      <c r="AL551" s="455"/>
    </row>
    <row r="552" spans="1:40">
      <c r="L552" s="455"/>
      <c r="M552" s="455"/>
      <c r="AA552" s="455"/>
      <c r="AB552" s="455"/>
    </row>
    <row r="553" spans="1:40">
      <c r="A553" s="460"/>
      <c r="B553" s="460"/>
      <c r="C553" s="460"/>
      <c r="D553" s="460"/>
      <c r="E553" s="460"/>
      <c r="F553" s="460"/>
      <c r="G553" s="460"/>
      <c r="H553" s="460"/>
      <c r="I553" s="460"/>
      <c r="J553" s="460"/>
      <c r="K553" s="460"/>
      <c r="L553" s="460"/>
      <c r="M553" s="460"/>
      <c r="N553" s="460"/>
      <c r="O553" s="460"/>
      <c r="P553" s="460"/>
      <c r="Q553" s="460"/>
      <c r="R553" s="460"/>
      <c r="T553" s="460"/>
      <c r="U553" s="460"/>
      <c r="V553" s="460"/>
      <c r="W553" s="460"/>
      <c r="X553" s="460"/>
      <c r="Y553" s="460"/>
      <c r="Z553" s="460"/>
      <c r="AA553" s="460"/>
      <c r="AB553" s="460"/>
      <c r="AC553" s="460"/>
      <c r="AD553" s="460"/>
      <c r="AE553" s="460"/>
      <c r="AF553" s="460"/>
      <c r="AG553" s="461"/>
      <c r="AH553" s="460"/>
      <c r="AI553" s="460"/>
      <c r="AJ553" s="460"/>
      <c r="AK553" s="461"/>
      <c r="AL553" s="460"/>
      <c r="AM553" s="460"/>
      <c r="AN553" s="460"/>
    </row>
    <row r="554" spans="1:40">
      <c r="L554" s="462"/>
      <c r="M554" s="462"/>
      <c r="N554" s="462"/>
      <c r="O554" s="462"/>
      <c r="R554" s="462"/>
      <c r="AA554" s="462"/>
      <c r="AB554" s="462"/>
      <c r="AC554" s="462"/>
      <c r="AD554" s="462"/>
      <c r="AE554" s="462"/>
      <c r="AF554" s="462"/>
      <c r="AG554" s="463"/>
      <c r="AH554" s="462"/>
      <c r="AK554" s="463"/>
      <c r="AL554" s="462"/>
      <c r="AM554" s="462"/>
      <c r="AN554" s="462"/>
    </row>
    <row r="555" spans="1:40">
      <c r="L555" s="462"/>
      <c r="M555" s="462"/>
      <c r="N555" s="462"/>
      <c r="O555" s="462"/>
      <c r="R555" s="462"/>
      <c r="Z555" s="462"/>
      <c r="AA555" s="462"/>
      <c r="AB555" s="462"/>
      <c r="AC555" s="462"/>
      <c r="AD555" s="462"/>
      <c r="AE555" s="462"/>
      <c r="AF555" s="462"/>
      <c r="AG555" s="463"/>
      <c r="AH555" s="462"/>
      <c r="AK555" s="463"/>
      <c r="AL555" s="462"/>
      <c r="AM555" s="462"/>
      <c r="AN555" s="462"/>
    </row>
    <row r="556" spans="1:40">
      <c r="A556" s="462"/>
      <c r="C556" s="462"/>
      <c r="D556" s="462"/>
      <c r="E556" s="462"/>
      <c r="F556" s="462"/>
      <c r="J556" s="462"/>
      <c r="K556" s="462"/>
      <c r="L556" s="462"/>
      <c r="M556" s="462"/>
      <c r="N556" s="462"/>
      <c r="O556" s="462"/>
      <c r="P556" s="462"/>
      <c r="Q556" s="462"/>
      <c r="R556" s="462"/>
      <c r="T556" s="462"/>
      <c r="U556" s="462"/>
      <c r="V556" s="462"/>
      <c r="Z556" s="462"/>
      <c r="AA556" s="462"/>
      <c r="AB556" s="462"/>
      <c r="AC556" s="462"/>
      <c r="AD556" s="462"/>
      <c r="AE556" s="462"/>
      <c r="AF556" s="462"/>
      <c r="AG556" s="463"/>
      <c r="AH556" s="462"/>
      <c r="AI556" s="462"/>
      <c r="AJ556" s="462"/>
      <c r="AK556" s="463"/>
      <c r="AL556" s="462"/>
      <c r="AM556" s="462"/>
      <c r="AN556" s="462"/>
    </row>
    <row r="557" spans="1:40">
      <c r="A557" s="462"/>
      <c r="C557" s="462"/>
      <c r="D557" s="462"/>
      <c r="E557" s="462"/>
      <c r="F557" s="462"/>
      <c r="H557" s="462"/>
      <c r="I557" s="462"/>
      <c r="J557" s="462"/>
      <c r="K557" s="462"/>
      <c r="L557" s="462"/>
      <c r="M557" s="462"/>
      <c r="N557" s="462"/>
      <c r="O557" s="462"/>
      <c r="P557" s="462"/>
      <c r="Q557" s="462"/>
      <c r="R557" s="462"/>
      <c r="T557" s="462"/>
      <c r="U557" s="462"/>
      <c r="V557" s="462"/>
      <c r="Y557" s="462"/>
      <c r="Z557" s="462"/>
      <c r="AA557" s="462"/>
      <c r="AB557" s="462"/>
      <c r="AC557" s="462"/>
      <c r="AD557" s="462"/>
      <c r="AE557" s="462"/>
      <c r="AF557" s="462"/>
      <c r="AG557" s="463"/>
      <c r="AH557" s="462"/>
      <c r="AI557" s="462"/>
      <c r="AJ557" s="462"/>
      <c r="AK557" s="463"/>
      <c r="AL557" s="462"/>
      <c r="AM557" s="462"/>
      <c r="AN557" s="462"/>
    </row>
    <row r="558" spans="1:40">
      <c r="C558" s="462"/>
      <c r="D558" s="462"/>
      <c r="E558" s="462"/>
      <c r="F558" s="462"/>
      <c r="H558" s="462"/>
      <c r="I558" s="462"/>
      <c r="J558" s="462"/>
      <c r="K558" s="462"/>
      <c r="L558" s="462"/>
      <c r="M558" s="462"/>
      <c r="N558" s="462"/>
      <c r="O558" s="462"/>
      <c r="P558" s="462"/>
      <c r="Q558" s="462"/>
      <c r="R558" s="462"/>
      <c r="T558" s="462"/>
      <c r="U558" s="462"/>
      <c r="V558" s="462"/>
      <c r="Y558" s="462"/>
      <c r="Z558" s="462"/>
      <c r="AA558" s="462"/>
      <c r="AB558" s="462"/>
      <c r="AC558" s="462"/>
      <c r="AD558" s="462"/>
      <c r="AE558" s="462"/>
      <c r="AF558" s="462"/>
      <c r="AG558" s="463"/>
      <c r="AH558" s="462"/>
      <c r="AI558" s="462"/>
      <c r="AJ558" s="462"/>
      <c r="AK558" s="463"/>
      <c r="AL558" s="462"/>
      <c r="AM558" s="462"/>
      <c r="AN558" s="462"/>
    </row>
    <row r="559" spans="1:40">
      <c r="A559" s="460"/>
      <c r="B559" s="460"/>
      <c r="C559" s="460"/>
      <c r="D559" s="460"/>
      <c r="E559" s="460"/>
      <c r="F559" s="460"/>
      <c r="G559" s="460"/>
      <c r="H559" s="460"/>
      <c r="I559" s="460"/>
      <c r="J559" s="460"/>
      <c r="K559" s="460"/>
      <c r="L559" s="460"/>
      <c r="M559" s="460"/>
      <c r="N559" s="460"/>
      <c r="O559" s="460"/>
      <c r="P559" s="460"/>
      <c r="Q559" s="460"/>
      <c r="R559" s="460"/>
      <c r="T559" s="460"/>
      <c r="U559" s="460"/>
      <c r="V559" s="460"/>
      <c r="W559" s="460"/>
      <c r="X559" s="460"/>
      <c r="Y559" s="460"/>
      <c r="Z559" s="460"/>
      <c r="AA559" s="460"/>
      <c r="AB559" s="460"/>
      <c r="AC559" s="460"/>
      <c r="AD559" s="460"/>
      <c r="AE559" s="460"/>
      <c r="AF559" s="460"/>
      <c r="AG559" s="461"/>
      <c r="AH559" s="460"/>
      <c r="AI559" s="460"/>
      <c r="AJ559" s="460"/>
      <c r="AK559" s="461"/>
      <c r="AL559" s="460"/>
      <c r="AM559" s="460"/>
      <c r="AN559" s="460"/>
    </row>
    <row r="560" spans="1:40">
      <c r="H560" s="462"/>
      <c r="I560" s="462"/>
      <c r="J560" s="462"/>
      <c r="K560" s="462"/>
      <c r="L560" s="462"/>
      <c r="M560" s="462"/>
      <c r="N560" s="462"/>
      <c r="O560" s="462"/>
      <c r="P560" s="462"/>
      <c r="Q560" s="462"/>
      <c r="R560" s="462"/>
      <c r="Y560" s="462"/>
      <c r="Z560" s="462"/>
      <c r="AA560" s="462"/>
      <c r="AB560" s="462"/>
      <c r="AC560" s="462"/>
      <c r="AD560" s="462"/>
      <c r="AE560" s="462"/>
      <c r="AF560" s="462"/>
      <c r="AG560" s="463"/>
      <c r="AH560" s="462"/>
      <c r="AI560" s="462"/>
      <c r="AJ560" s="462"/>
      <c r="AK560" s="463"/>
      <c r="AL560" s="462"/>
      <c r="AM560" s="462"/>
      <c r="AN560" s="462"/>
    </row>
    <row r="561" spans="3:40">
      <c r="C561" s="455"/>
      <c r="D561" s="455"/>
      <c r="E561" s="455"/>
      <c r="T561" s="455"/>
      <c r="U561" s="455"/>
    </row>
    <row r="563" spans="3:40">
      <c r="C563" s="455"/>
      <c r="T563" s="455"/>
    </row>
    <row r="564" spans="3:40">
      <c r="C564" s="455"/>
      <c r="T564" s="455"/>
    </row>
    <row r="565" spans="3:40">
      <c r="C565" s="455"/>
      <c r="F565" s="476"/>
      <c r="H565" s="476"/>
      <c r="I565" s="476"/>
      <c r="J565" s="531"/>
      <c r="K565" s="531"/>
      <c r="L565" s="470"/>
      <c r="M565" s="470"/>
      <c r="N565" s="472"/>
      <c r="O565" s="472"/>
      <c r="P565" s="470"/>
      <c r="Q565" s="470"/>
      <c r="R565" s="470"/>
      <c r="T565" s="455"/>
      <c r="V565" s="470"/>
      <c r="W565" s="470"/>
      <c r="X565" s="470"/>
      <c r="Y565" s="470"/>
      <c r="Z565" s="531"/>
      <c r="AA565" s="470"/>
      <c r="AB565" s="470"/>
      <c r="AC565" s="472"/>
      <c r="AD565" s="472"/>
      <c r="AE565" s="470"/>
      <c r="AF565" s="470"/>
      <c r="AH565" s="529"/>
      <c r="AI565" s="470"/>
      <c r="AJ565" s="470"/>
      <c r="AL565" s="470"/>
      <c r="AM565" s="529"/>
      <c r="AN565" s="529"/>
    </row>
    <row r="566" spans="3:40">
      <c r="C566" s="455"/>
      <c r="F566" s="470"/>
      <c r="H566" s="470"/>
      <c r="I566" s="470"/>
      <c r="J566" s="537"/>
      <c r="K566" s="537"/>
      <c r="L566" s="470"/>
      <c r="M566" s="470"/>
      <c r="N566" s="472"/>
      <c r="O566" s="472"/>
      <c r="P566" s="470"/>
      <c r="Q566" s="470"/>
      <c r="R566" s="470"/>
      <c r="T566" s="455"/>
      <c r="V566" s="470"/>
      <c r="W566" s="470"/>
      <c r="X566" s="470"/>
      <c r="Y566" s="470"/>
      <c r="Z566" s="537"/>
      <c r="AA566" s="470"/>
      <c r="AB566" s="470"/>
      <c r="AC566" s="472"/>
      <c r="AD566" s="472"/>
      <c r="AE566" s="470"/>
      <c r="AF566" s="470"/>
      <c r="AH566" s="529"/>
      <c r="AI566" s="470"/>
      <c r="AJ566" s="470"/>
      <c r="AL566" s="470"/>
      <c r="AM566" s="529"/>
      <c r="AN566" s="529"/>
    </row>
    <row r="567" spans="3:40">
      <c r="C567" s="455"/>
      <c r="F567" s="470"/>
      <c r="H567" s="470"/>
      <c r="I567" s="470"/>
      <c r="J567" s="537"/>
      <c r="K567" s="537"/>
      <c r="L567" s="470"/>
      <c r="M567" s="470"/>
      <c r="N567" s="472"/>
      <c r="O567" s="472"/>
      <c r="P567" s="470"/>
      <c r="Q567" s="470"/>
      <c r="R567" s="470"/>
      <c r="T567" s="455"/>
      <c r="V567" s="470"/>
      <c r="W567" s="470"/>
      <c r="X567" s="470"/>
      <c r="Y567" s="470"/>
      <c r="Z567" s="537"/>
      <c r="AA567" s="470"/>
      <c r="AB567" s="470"/>
      <c r="AC567" s="472"/>
      <c r="AD567" s="472"/>
      <c r="AE567" s="470"/>
      <c r="AF567" s="470"/>
      <c r="AH567" s="529"/>
      <c r="AI567" s="470"/>
      <c r="AJ567" s="470"/>
      <c r="AL567" s="470"/>
      <c r="AM567" s="529"/>
      <c r="AN567" s="529"/>
    </row>
    <row r="568" spans="3:40">
      <c r="C568" s="455"/>
      <c r="F568" s="470"/>
      <c r="H568" s="470"/>
      <c r="I568" s="470"/>
      <c r="J568" s="537"/>
      <c r="K568" s="537"/>
      <c r="T568" s="455"/>
      <c r="V568" s="470"/>
      <c r="Z568" s="537"/>
    </row>
    <row r="569" spans="3:40">
      <c r="C569" s="455"/>
      <c r="F569" s="476"/>
      <c r="H569" s="476"/>
      <c r="I569" s="476"/>
      <c r="J569" s="531"/>
      <c r="K569" s="531"/>
      <c r="L569" s="470"/>
      <c r="M569" s="470"/>
      <c r="N569" s="472"/>
      <c r="O569" s="472"/>
      <c r="P569" s="470"/>
      <c r="Q569" s="470"/>
      <c r="R569" s="470"/>
      <c r="T569" s="455"/>
      <c r="V569" s="470"/>
      <c r="W569" s="470"/>
      <c r="X569" s="470"/>
      <c r="Y569" s="470"/>
      <c r="Z569" s="531"/>
      <c r="AA569" s="470"/>
      <c r="AB569" s="470"/>
      <c r="AC569" s="472"/>
      <c r="AD569" s="472"/>
      <c r="AE569" s="470"/>
      <c r="AF569" s="470"/>
      <c r="AH569" s="529"/>
      <c r="AI569" s="470"/>
      <c r="AJ569" s="470"/>
      <c r="AL569" s="470"/>
      <c r="AM569" s="529"/>
      <c r="AN569" s="529"/>
    </row>
    <row r="570" spans="3:40">
      <c r="C570" s="455"/>
      <c r="F570" s="470"/>
      <c r="H570" s="470"/>
      <c r="I570" s="470"/>
      <c r="J570" s="537"/>
      <c r="K570" s="537"/>
      <c r="T570" s="455"/>
      <c r="V570" s="470"/>
      <c r="W570" s="470"/>
      <c r="X570" s="470"/>
      <c r="Y570" s="470"/>
      <c r="Z570" s="537"/>
      <c r="AC570" s="472"/>
      <c r="AD570" s="472"/>
      <c r="AE570" s="470"/>
      <c r="AF570" s="470"/>
      <c r="AH570" s="529"/>
      <c r="AI570" s="470"/>
      <c r="AJ570" s="470"/>
      <c r="AL570" s="470"/>
      <c r="AM570" s="529"/>
      <c r="AN570" s="529"/>
    </row>
    <row r="571" spans="3:40">
      <c r="C571" s="455"/>
      <c r="F571" s="476"/>
      <c r="H571" s="476"/>
      <c r="I571" s="476"/>
      <c r="J571" s="531"/>
      <c r="K571" s="531"/>
      <c r="L571" s="470"/>
      <c r="M571" s="470"/>
      <c r="N571" s="472"/>
      <c r="O571" s="472"/>
      <c r="P571" s="470"/>
      <c r="Q571" s="470"/>
      <c r="R571" s="470"/>
      <c r="T571" s="455"/>
      <c r="V571" s="470"/>
      <c r="W571" s="470"/>
      <c r="X571" s="470"/>
      <c r="Y571" s="470"/>
      <c r="Z571" s="531"/>
      <c r="AA571" s="470"/>
      <c r="AB571" s="470"/>
      <c r="AC571" s="472"/>
      <c r="AD571" s="472"/>
      <c r="AE571" s="470"/>
      <c r="AF571" s="470"/>
      <c r="AH571" s="529"/>
      <c r="AI571" s="470"/>
      <c r="AJ571" s="470"/>
      <c r="AL571" s="470"/>
      <c r="AM571" s="529"/>
      <c r="AN571" s="529"/>
    </row>
    <row r="572" spans="3:40">
      <c r="C572" s="455"/>
      <c r="F572" s="470"/>
      <c r="H572" s="470"/>
      <c r="I572" s="470"/>
      <c r="J572" s="537"/>
      <c r="K572" s="537"/>
      <c r="L572" s="470"/>
      <c r="M572" s="470"/>
      <c r="N572" s="472"/>
      <c r="O572" s="472"/>
      <c r="P572" s="470"/>
      <c r="Q572" s="470"/>
      <c r="R572" s="470"/>
      <c r="T572" s="455"/>
      <c r="V572" s="470"/>
      <c r="W572" s="470"/>
      <c r="X572" s="470"/>
      <c r="Y572" s="470"/>
      <c r="Z572" s="537"/>
      <c r="AA572" s="470"/>
      <c r="AB572" s="470"/>
      <c r="AC572" s="472"/>
      <c r="AD572" s="472"/>
      <c r="AE572" s="470"/>
      <c r="AF572" s="470"/>
      <c r="AH572" s="529"/>
      <c r="AI572" s="470"/>
      <c r="AJ572" s="470"/>
      <c r="AL572" s="470"/>
      <c r="AM572" s="529"/>
      <c r="AN572" s="529"/>
    </row>
    <row r="573" spans="3:40">
      <c r="F573" s="470"/>
      <c r="H573" s="470"/>
      <c r="I573" s="470"/>
      <c r="J573" s="537"/>
      <c r="K573" s="537"/>
      <c r="Z573" s="537"/>
    </row>
    <row r="574" spans="3:40">
      <c r="C574" s="455"/>
      <c r="F574" s="470"/>
      <c r="H574" s="476"/>
      <c r="I574" s="476"/>
      <c r="J574" s="531"/>
      <c r="K574" s="531"/>
      <c r="L574" s="470"/>
      <c r="M574" s="470"/>
      <c r="N574" s="472"/>
      <c r="O574" s="472"/>
      <c r="P574" s="470"/>
      <c r="Q574" s="470"/>
      <c r="R574" s="470"/>
      <c r="T574" s="455"/>
      <c r="V574" s="470"/>
      <c r="W574" s="470"/>
      <c r="X574" s="470"/>
      <c r="Y574" s="470"/>
      <c r="Z574" s="531"/>
      <c r="AA574" s="470"/>
      <c r="AB574" s="470"/>
      <c r="AC574" s="472"/>
      <c r="AD574" s="472"/>
      <c r="AE574" s="470"/>
      <c r="AF574" s="470"/>
      <c r="AH574" s="529"/>
      <c r="AI574" s="470"/>
      <c r="AJ574" s="470"/>
      <c r="AL574" s="470"/>
      <c r="AM574" s="529"/>
      <c r="AN574" s="529"/>
    </row>
    <row r="575" spans="3:40">
      <c r="F575" s="479"/>
      <c r="H575" s="479"/>
      <c r="I575" s="479"/>
      <c r="J575" s="531"/>
      <c r="K575" s="531"/>
      <c r="L575" s="479"/>
      <c r="M575" s="479"/>
      <c r="N575" s="479"/>
      <c r="O575" s="479"/>
      <c r="P575" s="479"/>
      <c r="Q575" s="479"/>
      <c r="R575" s="479"/>
      <c r="V575" s="479"/>
      <c r="Y575" s="479"/>
      <c r="Z575" s="531"/>
      <c r="AA575" s="479"/>
      <c r="AB575" s="479"/>
      <c r="AC575" s="479"/>
      <c r="AD575" s="479"/>
      <c r="AE575" s="479"/>
      <c r="AF575" s="479"/>
      <c r="AI575" s="479"/>
      <c r="AJ575" s="479"/>
      <c r="AK575" s="485"/>
      <c r="AL575" s="479"/>
    </row>
    <row r="576" spans="3:40">
      <c r="C576" s="455"/>
      <c r="F576" s="470"/>
      <c r="H576" s="470"/>
      <c r="I576" s="470"/>
      <c r="J576" s="537"/>
      <c r="K576" s="537"/>
      <c r="L576" s="470"/>
      <c r="M576" s="470"/>
      <c r="P576" s="470"/>
      <c r="Q576" s="470"/>
      <c r="R576" s="470"/>
      <c r="T576" s="455"/>
      <c r="V576" s="470"/>
      <c r="Y576" s="470"/>
      <c r="Z576" s="537"/>
      <c r="AA576" s="470"/>
      <c r="AB576" s="470"/>
      <c r="AC576" s="529"/>
      <c r="AD576" s="529"/>
      <c r="AE576" s="470"/>
      <c r="AF576" s="470"/>
      <c r="AH576" s="529"/>
      <c r="AI576" s="470"/>
      <c r="AJ576" s="470"/>
      <c r="AL576" s="470"/>
      <c r="AM576" s="529"/>
      <c r="AN576" s="529"/>
    </row>
    <row r="577" spans="1:40">
      <c r="F577" s="479"/>
      <c r="H577" s="479"/>
      <c r="I577" s="479"/>
      <c r="J577" s="531"/>
      <c r="K577" s="531"/>
      <c r="L577" s="479"/>
      <c r="M577" s="479"/>
      <c r="N577" s="479"/>
      <c r="O577" s="479"/>
      <c r="P577" s="479"/>
      <c r="Q577" s="479"/>
      <c r="R577" s="479"/>
      <c r="V577" s="479"/>
      <c r="Y577" s="479"/>
      <c r="Z577" s="531"/>
      <c r="AA577" s="479"/>
      <c r="AB577" s="479"/>
      <c r="AC577" s="479"/>
      <c r="AD577" s="479"/>
      <c r="AE577" s="479"/>
      <c r="AF577" s="479"/>
      <c r="AI577" s="479"/>
      <c r="AJ577" s="479"/>
      <c r="AK577" s="485"/>
      <c r="AL577" s="479"/>
    </row>
    <row r="578" spans="1:40">
      <c r="J578" s="537"/>
      <c r="K578" s="537"/>
      <c r="Z578" s="537"/>
    </row>
    <row r="579" spans="1:40">
      <c r="C579" s="455"/>
      <c r="J579" s="537"/>
      <c r="K579" s="537"/>
      <c r="T579" s="455"/>
      <c r="Z579" s="537"/>
    </row>
    <row r="580" spans="1:40">
      <c r="C580" s="455"/>
      <c r="J580" s="537"/>
      <c r="K580" s="537"/>
      <c r="T580" s="455"/>
      <c r="Z580" s="537"/>
    </row>
    <row r="581" spans="1:40">
      <c r="C581" s="455"/>
      <c r="F581" s="476"/>
      <c r="H581" s="476"/>
      <c r="I581" s="476"/>
      <c r="J581" s="531"/>
      <c r="K581" s="531"/>
      <c r="L581" s="470"/>
      <c r="M581" s="470"/>
      <c r="N581" s="472"/>
      <c r="O581" s="472"/>
      <c r="P581" s="470"/>
      <c r="Q581" s="470"/>
      <c r="R581" s="470"/>
      <c r="T581" s="455"/>
      <c r="V581" s="470"/>
      <c r="W581" s="470"/>
      <c r="X581" s="470"/>
      <c r="Y581" s="470"/>
      <c r="Z581" s="531"/>
      <c r="AA581" s="470"/>
      <c r="AB581" s="470"/>
      <c r="AC581" s="472"/>
      <c r="AD581" s="472"/>
      <c r="AE581" s="470"/>
      <c r="AF581" s="470"/>
      <c r="AH581" s="529"/>
      <c r="AI581" s="470"/>
      <c r="AJ581" s="470"/>
      <c r="AL581" s="470"/>
      <c r="AM581" s="529"/>
      <c r="AN581" s="529"/>
    </row>
    <row r="582" spans="1:40">
      <c r="C582" s="455"/>
      <c r="J582" s="537"/>
      <c r="K582" s="537"/>
      <c r="T582" s="455"/>
      <c r="Z582" s="537"/>
    </row>
    <row r="583" spans="1:40">
      <c r="C583" s="455"/>
      <c r="F583" s="476"/>
      <c r="H583" s="476"/>
      <c r="I583" s="476"/>
      <c r="J583" s="531"/>
      <c r="K583" s="531"/>
      <c r="L583" s="470"/>
      <c r="M583" s="470"/>
      <c r="N583" s="472"/>
      <c r="O583" s="472"/>
      <c r="P583" s="470"/>
      <c r="Q583" s="470"/>
      <c r="R583" s="470"/>
      <c r="T583" s="455"/>
      <c r="V583" s="470"/>
      <c r="W583" s="470"/>
      <c r="X583" s="470"/>
      <c r="Y583" s="470"/>
      <c r="Z583" s="531"/>
      <c r="AA583" s="470"/>
      <c r="AB583" s="470"/>
      <c r="AC583" s="472"/>
      <c r="AD583" s="472"/>
      <c r="AE583" s="470"/>
      <c r="AF583" s="470"/>
      <c r="AH583" s="529"/>
      <c r="AI583" s="470"/>
      <c r="AJ583" s="470"/>
      <c r="AL583" s="470"/>
      <c r="AM583" s="529"/>
      <c r="AN583" s="529"/>
    </row>
    <row r="584" spans="1:40">
      <c r="F584" s="479"/>
      <c r="H584" s="479"/>
      <c r="I584" s="479"/>
      <c r="J584" s="531"/>
      <c r="K584" s="531"/>
      <c r="L584" s="479"/>
      <c r="M584" s="479"/>
      <c r="N584" s="479"/>
      <c r="O584" s="479"/>
      <c r="P584" s="479"/>
      <c r="Q584" s="479"/>
      <c r="R584" s="479"/>
      <c r="V584" s="479"/>
      <c r="Y584" s="479"/>
      <c r="Z584" s="531"/>
      <c r="AA584" s="479"/>
      <c r="AB584" s="479"/>
      <c r="AC584" s="479"/>
      <c r="AD584" s="479"/>
      <c r="AE584" s="479"/>
      <c r="AF584" s="479"/>
      <c r="AI584" s="479"/>
      <c r="AJ584" s="479"/>
      <c r="AK584" s="485"/>
      <c r="AL584" s="479"/>
    </row>
    <row r="585" spans="1:40">
      <c r="C585" s="455"/>
      <c r="F585" s="470"/>
      <c r="H585" s="470"/>
      <c r="I585" s="470"/>
      <c r="J585" s="537"/>
      <c r="K585" s="537"/>
      <c r="L585" s="470"/>
      <c r="M585" s="470"/>
      <c r="N585" s="529"/>
      <c r="O585" s="529"/>
      <c r="P585" s="470"/>
      <c r="Q585" s="470"/>
      <c r="R585" s="470"/>
      <c r="T585" s="455"/>
      <c r="V585" s="470"/>
      <c r="Y585" s="470"/>
      <c r="Z585" s="537"/>
      <c r="AA585" s="470"/>
      <c r="AB585" s="470"/>
      <c r="AC585" s="529"/>
      <c r="AD585" s="529"/>
      <c r="AE585" s="470"/>
      <c r="AF585" s="470"/>
      <c r="AH585" s="529"/>
      <c r="AI585" s="470"/>
      <c r="AJ585" s="470"/>
      <c r="AL585" s="470"/>
      <c r="AM585" s="529"/>
      <c r="AN585" s="529"/>
    </row>
    <row r="586" spans="1:40">
      <c r="F586" s="479"/>
      <c r="H586" s="479"/>
      <c r="I586" s="479"/>
      <c r="J586" s="531"/>
      <c r="K586" s="531"/>
      <c r="L586" s="479"/>
      <c r="M586" s="479"/>
      <c r="N586" s="479"/>
      <c r="O586" s="479"/>
      <c r="P586" s="479"/>
      <c r="Q586" s="479"/>
      <c r="R586" s="479"/>
      <c r="V586" s="479"/>
      <c r="Y586" s="479"/>
      <c r="Z586" s="484"/>
      <c r="AA586" s="479"/>
      <c r="AB586" s="479"/>
      <c r="AC586" s="479"/>
      <c r="AD586" s="479"/>
      <c r="AE586" s="479"/>
      <c r="AF586" s="479"/>
      <c r="AI586" s="479"/>
      <c r="AJ586" s="479"/>
      <c r="AK586" s="485"/>
      <c r="AL586" s="479"/>
    </row>
    <row r="587" spans="1:40">
      <c r="J587" s="537"/>
      <c r="K587" s="537"/>
    </row>
    <row r="588" spans="1:40">
      <c r="C588" s="455"/>
      <c r="F588" s="470"/>
      <c r="H588" s="470"/>
      <c r="I588" s="470"/>
      <c r="J588" s="537"/>
      <c r="K588" s="537"/>
      <c r="L588" s="470"/>
      <c r="M588" s="470"/>
      <c r="N588" s="472"/>
      <c r="O588" s="472"/>
      <c r="P588" s="476"/>
      <c r="Q588" s="476"/>
      <c r="R588" s="470"/>
      <c r="T588" s="455"/>
      <c r="V588" s="470"/>
      <c r="Y588" s="470"/>
      <c r="AA588" s="470"/>
      <c r="AB588" s="470"/>
      <c r="AC588" s="529"/>
      <c r="AD588" s="529"/>
      <c r="AE588" s="470"/>
      <c r="AF588" s="470"/>
      <c r="AH588" s="529"/>
      <c r="AI588" s="476"/>
      <c r="AJ588" s="476"/>
      <c r="AL588" s="470"/>
      <c r="AM588" s="529"/>
      <c r="AN588" s="529"/>
    </row>
    <row r="589" spans="1:40">
      <c r="F589" s="479"/>
      <c r="H589" s="479"/>
      <c r="I589" s="479"/>
      <c r="J589" s="531"/>
      <c r="K589" s="531"/>
      <c r="L589" s="479"/>
      <c r="M589" s="479"/>
      <c r="N589" s="479"/>
      <c r="O589" s="479"/>
      <c r="P589" s="479"/>
      <c r="Q589" s="479"/>
      <c r="R589" s="479"/>
      <c r="V589" s="479"/>
      <c r="Y589" s="479"/>
      <c r="Z589" s="484"/>
      <c r="AA589" s="479"/>
      <c r="AB589" s="479"/>
      <c r="AC589" s="479"/>
      <c r="AD589" s="479"/>
      <c r="AE589" s="479"/>
      <c r="AF589" s="479"/>
      <c r="AI589" s="479"/>
      <c r="AJ589" s="479"/>
      <c r="AK589" s="485"/>
      <c r="AL589" s="479"/>
    </row>
    <row r="592" spans="1:40">
      <c r="A592" s="455"/>
    </row>
    <row r="594" spans="1:40">
      <c r="H594" s="455"/>
      <c r="I594" s="455"/>
      <c r="Y594" s="455"/>
    </row>
    <row r="596" spans="1:40">
      <c r="L596" s="455"/>
      <c r="M596" s="455"/>
      <c r="AA596" s="455"/>
      <c r="AB596" s="455"/>
    </row>
    <row r="597" spans="1:40">
      <c r="R597" s="455"/>
      <c r="AK597" s="456"/>
      <c r="AL597" s="455"/>
    </row>
    <row r="598" spans="1:40">
      <c r="R598" s="455"/>
      <c r="AK598" s="456"/>
      <c r="AL598" s="455"/>
    </row>
    <row r="599" spans="1:40">
      <c r="A599" s="455"/>
      <c r="R599" s="455"/>
      <c r="AK599" s="456"/>
      <c r="AL599" s="455"/>
    </row>
    <row r="600" spans="1:40">
      <c r="L600" s="455"/>
      <c r="M600" s="455"/>
      <c r="AA600" s="455"/>
      <c r="AB600" s="455"/>
    </row>
    <row r="601" spans="1:40">
      <c r="A601" s="460"/>
      <c r="B601" s="460"/>
      <c r="C601" s="460"/>
      <c r="D601" s="460"/>
      <c r="E601" s="460"/>
      <c r="F601" s="460"/>
      <c r="G601" s="460"/>
      <c r="H601" s="460"/>
      <c r="I601" s="460"/>
      <c r="J601" s="460"/>
      <c r="K601" s="460"/>
      <c r="L601" s="460"/>
      <c r="M601" s="460"/>
      <c r="N601" s="460"/>
      <c r="O601" s="460"/>
      <c r="P601" s="460"/>
      <c r="Q601" s="460"/>
      <c r="R601" s="460"/>
      <c r="T601" s="460"/>
      <c r="U601" s="460"/>
      <c r="V601" s="460"/>
      <c r="W601" s="460"/>
      <c r="X601" s="460"/>
      <c r="Y601" s="460"/>
      <c r="Z601" s="460"/>
      <c r="AA601" s="460"/>
      <c r="AB601" s="460"/>
      <c r="AC601" s="460"/>
      <c r="AD601" s="460"/>
      <c r="AE601" s="460"/>
      <c r="AF601" s="460"/>
      <c r="AG601" s="461"/>
      <c r="AH601" s="460"/>
      <c r="AI601" s="460"/>
      <c r="AJ601" s="460"/>
      <c r="AK601" s="461"/>
      <c r="AL601" s="460"/>
      <c r="AM601" s="460"/>
      <c r="AN601" s="460"/>
    </row>
    <row r="602" spans="1:40">
      <c r="L602" s="462"/>
      <c r="M602" s="462"/>
      <c r="N602" s="462"/>
      <c r="O602" s="462"/>
      <c r="R602" s="462"/>
      <c r="AA602" s="462"/>
      <c r="AB602" s="462"/>
      <c r="AC602" s="462"/>
      <c r="AD602" s="462"/>
      <c r="AE602" s="462"/>
      <c r="AF602" s="462"/>
      <c r="AG602" s="463"/>
      <c r="AH602" s="462"/>
      <c r="AK602" s="463"/>
      <c r="AL602" s="462"/>
      <c r="AM602" s="462"/>
      <c r="AN602" s="462"/>
    </row>
    <row r="603" spans="1:40">
      <c r="L603" s="462"/>
      <c r="M603" s="462"/>
      <c r="N603" s="462"/>
      <c r="O603" s="462"/>
      <c r="R603" s="462"/>
      <c r="Z603" s="462"/>
      <c r="AA603" s="462"/>
      <c r="AB603" s="462"/>
      <c r="AC603" s="462"/>
      <c r="AD603" s="462"/>
      <c r="AE603" s="462"/>
      <c r="AF603" s="462"/>
      <c r="AG603" s="463"/>
      <c r="AH603" s="462"/>
      <c r="AK603" s="463"/>
      <c r="AL603" s="462"/>
      <c r="AM603" s="462"/>
      <c r="AN603" s="462"/>
    </row>
    <row r="604" spans="1:40">
      <c r="A604" s="462"/>
      <c r="C604" s="462"/>
      <c r="D604" s="462"/>
      <c r="E604" s="462"/>
      <c r="F604" s="462"/>
      <c r="J604" s="462"/>
      <c r="K604" s="462"/>
      <c r="L604" s="462"/>
      <c r="M604" s="462"/>
      <c r="N604" s="462"/>
      <c r="O604" s="462"/>
      <c r="P604" s="462"/>
      <c r="Q604" s="462"/>
      <c r="R604" s="462"/>
      <c r="T604" s="462"/>
      <c r="U604" s="462"/>
      <c r="V604" s="462"/>
      <c r="Z604" s="462"/>
      <c r="AA604" s="462"/>
      <c r="AB604" s="462"/>
      <c r="AC604" s="462"/>
      <c r="AD604" s="462"/>
      <c r="AE604" s="462"/>
      <c r="AF604" s="462"/>
      <c r="AG604" s="463"/>
      <c r="AH604" s="462"/>
      <c r="AI604" s="462"/>
      <c r="AJ604" s="462"/>
      <c r="AK604" s="463"/>
      <c r="AL604" s="462"/>
      <c r="AM604" s="462"/>
      <c r="AN604" s="462"/>
    </row>
    <row r="605" spans="1:40">
      <c r="A605" s="462"/>
      <c r="C605" s="462"/>
      <c r="D605" s="462"/>
      <c r="E605" s="462"/>
      <c r="F605" s="462"/>
      <c r="H605" s="462"/>
      <c r="I605" s="462"/>
      <c r="J605" s="462"/>
      <c r="K605" s="462"/>
      <c r="L605" s="462"/>
      <c r="M605" s="462"/>
      <c r="N605" s="462"/>
      <c r="O605" s="462"/>
      <c r="P605" s="462"/>
      <c r="Q605" s="462"/>
      <c r="R605" s="462"/>
      <c r="T605" s="462"/>
      <c r="U605" s="462"/>
      <c r="V605" s="462"/>
      <c r="Y605" s="462"/>
      <c r="Z605" s="462"/>
      <c r="AA605" s="462"/>
      <c r="AB605" s="462"/>
      <c r="AC605" s="462"/>
      <c r="AD605" s="462"/>
      <c r="AE605" s="462"/>
      <c r="AF605" s="462"/>
      <c r="AG605" s="463"/>
      <c r="AH605" s="462"/>
      <c r="AI605" s="462"/>
      <c r="AJ605" s="462"/>
      <c r="AK605" s="463"/>
      <c r="AL605" s="462"/>
      <c r="AM605" s="462"/>
      <c r="AN605" s="462"/>
    </row>
    <row r="606" spans="1:40">
      <c r="C606" s="462"/>
      <c r="D606" s="462"/>
      <c r="E606" s="462"/>
      <c r="F606" s="462"/>
      <c r="H606" s="462"/>
      <c r="I606" s="462"/>
      <c r="J606" s="462"/>
      <c r="K606" s="462"/>
      <c r="L606" s="462"/>
      <c r="M606" s="462"/>
      <c r="N606" s="462"/>
      <c r="O606" s="462"/>
      <c r="P606" s="462"/>
      <c r="Q606" s="462"/>
      <c r="R606" s="462"/>
      <c r="T606" s="462"/>
      <c r="U606" s="462"/>
      <c r="V606" s="462"/>
      <c r="Y606" s="462"/>
      <c r="Z606" s="462"/>
      <c r="AA606" s="462"/>
      <c r="AB606" s="462"/>
      <c r="AC606" s="462"/>
      <c r="AD606" s="462"/>
      <c r="AE606" s="462"/>
      <c r="AF606" s="462"/>
      <c r="AG606" s="463"/>
      <c r="AH606" s="462"/>
      <c r="AI606" s="462"/>
      <c r="AJ606" s="462"/>
      <c r="AK606" s="463"/>
      <c r="AL606" s="462"/>
      <c r="AM606" s="462"/>
      <c r="AN606" s="462"/>
    </row>
    <row r="607" spans="1:40">
      <c r="A607" s="460"/>
      <c r="B607" s="460"/>
      <c r="C607" s="460"/>
      <c r="D607" s="460"/>
      <c r="E607" s="460"/>
      <c r="F607" s="460"/>
      <c r="G607" s="460"/>
      <c r="H607" s="460"/>
      <c r="I607" s="460"/>
      <c r="J607" s="460"/>
      <c r="K607" s="460"/>
      <c r="L607" s="460"/>
      <c r="M607" s="460"/>
      <c r="N607" s="460"/>
      <c r="O607" s="460"/>
      <c r="P607" s="460"/>
      <c r="Q607" s="460"/>
      <c r="R607" s="460"/>
      <c r="T607" s="460"/>
      <c r="U607" s="460"/>
      <c r="V607" s="460"/>
      <c r="W607" s="460"/>
      <c r="X607" s="460"/>
      <c r="Y607" s="460"/>
      <c r="Z607" s="460"/>
      <c r="AA607" s="460"/>
      <c r="AB607" s="460"/>
      <c r="AC607" s="460"/>
      <c r="AD607" s="460"/>
      <c r="AE607" s="460"/>
      <c r="AF607" s="460"/>
      <c r="AG607" s="461"/>
      <c r="AH607" s="460"/>
      <c r="AI607" s="460"/>
      <c r="AJ607" s="460"/>
      <c r="AK607" s="461"/>
      <c r="AL607" s="460"/>
      <c r="AM607" s="460"/>
      <c r="AN607" s="460"/>
    </row>
    <row r="608" spans="1:40">
      <c r="H608" s="462"/>
      <c r="I608" s="462"/>
      <c r="J608" s="462"/>
      <c r="K608" s="462"/>
      <c r="L608" s="462"/>
      <c r="M608" s="462"/>
      <c r="N608" s="462"/>
      <c r="O608" s="462"/>
      <c r="P608" s="462"/>
      <c r="Q608" s="462"/>
      <c r="R608" s="462"/>
      <c r="Y608" s="462"/>
      <c r="Z608" s="462"/>
      <c r="AA608" s="462"/>
      <c r="AB608" s="462"/>
      <c r="AC608" s="462"/>
      <c r="AD608" s="462"/>
      <c r="AE608" s="462"/>
      <c r="AF608" s="462"/>
      <c r="AG608" s="463"/>
      <c r="AH608" s="462"/>
      <c r="AI608" s="462"/>
      <c r="AJ608" s="462"/>
      <c r="AK608" s="463"/>
      <c r="AL608" s="462"/>
      <c r="AM608" s="462"/>
      <c r="AN608" s="462"/>
    </row>
    <row r="609" spans="3:40">
      <c r="C609" s="455"/>
      <c r="D609" s="455"/>
      <c r="E609" s="455"/>
      <c r="T609" s="455"/>
      <c r="U609" s="455"/>
    </row>
    <row r="611" spans="3:40">
      <c r="C611" s="455"/>
      <c r="D611" s="455"/>
      <c r="E611" s="455"/>
      <c r="T611" s="455"/>
      <c r="U611" s="455"/>
    </row>
    <row r="612" spans="3:40">
      <c r="C612" s="455"/>
      <c r="T612" s="455"/>
    </row>
    <row r="613" spans="3:40">
      <c r="C613" s="455"/>
      <c r="T613" s="455"/>
    </row>
    <row r="614" spans="3:40">
      <c r="C614" s="455"/>
      <c r="F614" s="476"/>
      <c r="H614" s="476"/>
      <c r="I614" s="476"/>
      <c r="J614" s="531"/>
      <c r="K614" s="531"/>
      <c r="L614" s="470"/>
      <c r="M614" s="470"/>
      <c r="N614" s="472"/>
      <c r="O614" s="472"/>
      <c r="P614" s="470"/>
      <c r="Q614" s="470"/>
      <c r="R614" s="470"/>
      <c r="T614" s="455"/>
      <c r="V614" s="470"/>
      <c r="W614" s="470"/>
      <c r="X614" s="470"/>
      <c r="Y614" s="470"/>
      <c r="Z614" s="531"/>
      <c r="AA614" s="470"/>
      <c r="AB614" s="470"/>
      <c r="AC614" s="472"/>
      <c r="AD614" s="472"/>
      <c r="AE614" s="470"/>
      <c r="AF614" s="470"/>
      <c r="AH614" s="529"/>
      <c r="AI614" s="470"/>
      <c r="AJ614" s="470"/>
      <c r="AL614" s="470"/>
      <c r="AM614" s="472"/>
      <c r="AN614" s="472"/>
    </row>
    <row r="615" spans="3:40">
      <c r="C615" s="455"/>
      <c r="J615" s="537"/>
      <c r="K615" s="537"/>
      <c r="T615" s="455"/>
      <c r="V615" s="470"/>
      <c r="W615" s="470"/>
      <c r="X615" s="470"/>
      <c r="Y615" s="470"/>
      <c r="Z615" s="531"/>
    </row>
    <row r="616" spans="3:40">
      <c r="C616" s="455"/>
      <c r="F616" s="476"/>
      <c r="H616" s="476"/>
      <c r="I616" s="476"/>
      <c r="J616" s="531"/>
      <c r="K616" s="531"/>
      <c r="L616" s="470"/>
      <c r="M616" s="470"/>
      <c r="N616" s="472"/>
      <c r="O616" s="472"/>
      <c r="P616" s="470"/>
      <c r="Q616" s="470"/>
      <c r="R616" s="470"/>
      <c r="T616" s="455"/>
      <c r="V616" s="470"/>
      <c r="W616" s="470"/>
      <c r="X616" s="470"/>
      <c r="Y616" s="470"/>
      <c r="Z616" s="531"/>
      <c r="AA616" s="470"/>
      <c r="AB616" s="470"/>
      <c r="AC616" s="472"/>
      <c r="AD616" s="472"/>
      <c r="AE616" s="470"/>
      <c r="AF616" s="470"/>
      <c r="AH616" s="529"/>
      <c r="AI616" s="470"/>
      <c r="AJ616" s="470"/>
      <c r="AL616" s="470"/>
      <c r="AM616" s="472"/>
      <c r="AN616" s="472"/>
    </row>
    <row r="617" spans="3:40">
      <c r="C617" s="455"/>
      <c r="J617" s="537"/>
      <c r="K617" s="537"/>
      <c r="T617" s="455"/>
      <c r="V617" s="470"/>
      <c r="W617" s="470"/>
      <c r="X617" s="470"/>
      <c r="Y617" s="470"/>
      <c r="Z617" s="531"/>
    </row>
    <row r="618" spans="3:40">
      <c r="C618" s="455"/>
      <c r="F618" s="476"/>
      <c r="H618" s="476"/>
      <c r="I618" s="476"/>
      <c r="J618" s="531"/>
      <c r="K618" s="531"/>
      <c r="L618" s="470"/>
      <c r="M618" s="470"/>
      <c r="N618" s="472"/>
      <c r="O618" s="472"/>
      <c r="P618" s="470"/>
      <c r="Q618" s="470"/>
      <c r="R618" s="470"/>
      <c r="T618" s="455"/>
      <c r="V618" s="470"/>
      <c r="W618" s="470"/>
      <c r="X618" s="470"/>
      <c r="Y618" s="470"/>
      <c r="Z618" s="531"/>
      <c r="AA618" s="470"/>
      <c r="AB618" s="470"/>
      <c r="AC618" s="472"/>
      <c r="AD618" s="472"/>
      <c r="AE618" s="470"/>
      <c r="AF618" s="470"/>
      <c r="AH618" s="529"/>
      <c r="AI618" s="470"/>
      <c r="AJ618" s="470"/>
      <c r="AL618" s="470"/>
      <c r="AM618" s="472"/>
      <c r="AN618" s="472"/>
    </row>
    <row r="619" spans="3:40">
      <c r="C619" s="455"/>
      <c r="J619" s="537"/>
      <c r="K619" s="537"/>
      <c r="T619" s="455"/>
      <c r="V619" s="470"/>
      <c r="W619" s="470"/>
      <c r="X619" s="470"/>
      <c r="Y619" s="470"/>
      <c r="Z619" s="531"/>
    </row>
    <row r="620" spans="3:40">
      <c r="C620" s="455"/>
      <c r="F620" s="476"/>
      <c r="H620" s="476"/>
      <c r="I620" s="476"/>
      <c r="J620" s="531"/>
      <c r="K620" s="531"/>
      <c r="L620" s="470"/>
      <c r="M620" s="470"/>
      <c r="N620" s="472"/>
      <c r="O620" s="472"/>
      <c r="P620" s="470"/>
      <c r="Q620" s="470"/>
      <c r="R620" s="470"/>
      <c r="T620" s="455"/>
      <c r="V620" s="470"/>
      <c r="W620" s="470"/>
      <c r="X620" s="470"/>
      <c r="Y620" s="470"/>
      <c r="Z620" s="531"/>
      <c r="AA620" s="470"/>
      <c r="AB620" s="470"/>
      <c r="AC620" s="472"/>
      <c r="AD620" s="472"/>
      <c r="AE620" s="470"/>
      <c r="AF620" s="470"/>
      <c r="AH620" s="529"/>
      <c r="AI620" s="470"/>
      <c r="AJ620" s="470"/>
      <c r="AL620" s="470"/>
      <c r="AM620" s="472"/>
      <c r="AN620" s="472"/>
    </row>
    <row r="621" spans="3:40">
      <c r="C621" s="455"/>
      <c r="J621" s="537"/>
      <c r="K621" s="537"/>
      <c r="T621" s="455"/>
      <c r="V621" s="470"/>
      <c r="W621" s="470"/>
      <c r="X621" s="470"/>
      <c r="Y621" s="470"/>
      <c r="Z621" s="531"/>
    </row>
    <row r="622" spans="3:40">
      <c r="C622" s="455"/>
      <c r="F622" s="476"/>
      <c r="H622" s="476"/>
      <c r="I622" s="476"/>
      <c r="J622" s="531"/>
      <c r="K622" s="531"/>
      <c r="L622" s="470"/>
      <c r="M622" s="470"/>
      <c r="N622" s="472"/>
      <c r="O622" s="472"/>
      <c r="P622" s="470"/>
      <c r="Q622" s="470"/>
      <c r="R622" s="470"/>
      <c r="T622" s="455"/>
      <c r="V622" s="470"/>
      <c r="W622" s="470"/>
      <c r="X622" s="470"/>
      <c r="Y622" s="470"/>
      <c r="Z622" s="531"/>
      <c r="AA622" s="470"/>
      <c r="AB622" s="470"/>
      <c r="AC622" s="472"/>
      <c r="AD622" s="472"/>
      <c r="AE622" s="470"/>
      <c r="AF622" s="470"/>
      <c r="AH622" s="529"/>
      <c r="AI622" s="470"/>
      <c r="AJ622" s="470"/>
      <c r="AL622" s="470"/>
      <c r="AM622" s="472"/>
      <c r="AN622" s="472"/>
    </row>
    <row r="623" spans="3:40">
      <c r="C623" s="455"/>
      <c r="J623" s="537"/>
      <c r="K623" s="537"/>
      <c r="T623" s="455"/>
      <c r="V623" s="470"/>
      <c r="W623" s="470"/>
      <c r="X623" s="470"/>
      <c r="Y623" s="470"/>
      <c r="Z623" s="531"/>
    </row>
    <row r="624" spans="3:40">
      <c r="C624" s="455"/>
      <c r="F624" s="476"/>
      <c r="H624" s="476"/>
      <c r="I624" s="476"/>
      <c r="J624" s="531"/>
      <c r="K624" s="531"/>
      <c r="L624" s="470"/>
      <c r="M624" s="470"/>
      <c r="N624" s="472"/>
      <c r="O624" s="472"/>
      <c r="P624" s="470"/>
      <c r="Q624" s="470"/>
      <c r="R624" s="470"/>
      <c r="T624" s="455"/>
      <c r="V624" s="470"/>
      <c r="W624" s="470"/>
      <c r="X624" s="470"/>
      <c r="Y624" s="470"/>
      <c r="Z624" s="531"/>
      <c r="AA624" s="470"/>
      <c r="AB624" s="470"/>
      <c r="AC624" s="472"/>
      <c r="AD624" s="472"/>
      <c r="AE624" s="470"/>
      <c r="AF624" s="470"/>
      <c r="AH624" s="529"/>
      <c r="AI624" s="470"/>
      <c r="AJ624" s="470"/>
      <c r="AL624" s="470"/>
      <c r="AM624" s="472"/>
      <c r="AN624" s="472"/>
    </row>
    <row r="625" spans="3:40">
      <c r="F625" s="479"/>
      <c r="H625" s="479"/>
      <c r="I625" s="479"/>
      <c r="J625" s="531"/>
      <c r="K625" s="531"/>
      <c r="L625" s="479"/>
      <c r="M625" s="479"/>
      <c r="N625" s="479"/>
      <c r="O625" s="479"/>
      <c r="P625" s="479"/>
      <c r="Q625" s="479"/>
      <c r="R625" s="479"/>
      <c r="V625" s="479"/>
      <c r="Y625" s="479"/>
      <c r="Z625" s="531"/>
      <c r="AA625" s="479"/>
      <c r="AB625" s="479"/>
      <c r="AC625" s="479"/>
      <c r="AD625" s="479"/>
      <c r="AE625" s="479"/>
      <c r="AF625" s="479"/>
      <c r="AI625" s="479"/>
      <c r="AJ625" s="479"/>
      <c r="AK625" s="485"/>
      <c r="AL625" s="479"/>
      <c r="AM625" s="472"/>
      <c r="AN625" s="472"/>
    </row>
    <row r="626" spans="3:40">
      <c r="C626" s="455"/>
      <c r="F626" s="470"/>
      <c r="H626" s="470"/>
      <c r="I626" s="470"/>
      <c r="J626" s="537"/>
      <c r="K626" s="537"/>
      <c r="L626" s="470"/>
      <c r="M626" s="470"/>
      <c r="N626" s="472"/>
      <c r="O626" s="472"/>
      <c r="P626" s="476"/>
      <c r="Q626" s="476"/>
      <c r="R626" s="470"/>
      <c r="T626" s="455"/>
      <c r="V626" s="470"/>
      <c r="W626" s="470"/>
      <c r="X626" s="470"/>
      <c r="Y626" s="470"/>
      <c r="Z626" s="531"/>
      <c r="AA626" s="470"/>
      <c r="AB626" s="470"/>
      <c r="AC626" s="472"/>
      <c r="AD626" s="472"/>
      <c r="AE626" s="470"/>
      <c r="AF626" s="470"/>
      <c r="AH626" s="529"/>
      <c r="AI626" s="476"/>
      <c r="AJ626" s="476"/>
      <c r="AL626" s="470"/>
      <c r="AM626" s="472"/>
      <c r="AN626" s="472"/>
    </row>
    <row r="627" spans="3:40">
      <c r="F627" s="479"/>
      <c r="H627" s="479"/>
      <c r="I627" s="479"/>
      <c r="J627" s="531"/>
      <c r="K627" s="531"/>
      <c r="L627" s="479"/>
      <c r="M627" s="479"/>
      <c r="N627" s="479"/>
      <c r="O627" s="479"/>
      <c r="P627" s="479"/>
      <c r="Q627" s="479"/>
      <c r="R627" s="479"/>
      <c r="V627" s="479"/>
      <c r="Y627" s="479"/>
      <c r="Z627" s="531"/>
      <c r="AA627" s="479"/>
      <c r="AB627" s="479"/>
      <c r="AC627" s="479"/>
      <c r="AD627" s="479"/>
      <c r="AE627" s="479"/>
      <c r="AF627" s="479"/>
      <c r="AI627" s="479"/>
      <c r="AJ627" s="479"/>
      <c r="AK627" s="485"/>
      <c r="AL627" s="479"/>
    </row>
    <row r="628" spans="3:40">
      <c r="C628" s="455"/>
      <c r="D628" s="455"/>
      <c r="E628" s="455"/>
      <c r="J628" s="537"/>
      <c r="K628" s="537"/>
      <c r="T628" s="455"/>
      <c r="U628" s="455"/>
      <c r="V628" s="470"/>
      <c r="W628" s="470"/>
      <c r="X628" s="470"/>
      <c r="Y628" s="470"/>
      <c r="Z628" s="531"/>
    </row>
    <row r="629" spans="3:40">
      <c r="C629" s="455"/>
      <c r="J629" s="537"/>
      <c r="K629" s="537"/>
      <c r="T629" s="455"/>
      <c r="V629" s="470"/>
      <c r="W629" s="470"/>
      <c r="X629" s="470"/>
      <c r="Y629" s="470"/>
      <c r="Z629" s="531"/>
    </row>
    <row r="630" spans="3:40">
      <c r="C630" s="455"/>
      <c r="J630" s="537"/>
      <c r="K630" s="537"/>
      <c r="T630" s="455"/>
      <c r="V630" s="470"/>
      <c r="W630" s="470"/>
      <c r="X630" s="470"/>
      <c r="Y630" s="470"/>
      <c r="Z630" s="531"/>
    </row>
    <row r="631" spans="3:40">
      <c r="C631" s="455"/>
      <c r="F631" s="476"/>
      <c r="H631" s="476"/>
      <c r="I631" s="476"/>
      <c r="J631" s="531"/>
      <c r="K631" s="531"/>
      <c r="L631" s="470"/>
      <c r="M631" s="470"/>
      <c r="N631" s="472"/>
      <c r="O631" s="472"/>
      <c r="P631" s="470"/>
      <c r="Q631" s="470"/>
      <c r="R631" s="470"/>
      <c r="T631" s="455"/>
      <c r="V631" s="470"/>
      <c r="W631" s="470"/>
      <c r="X631" s="470"/>
      <c r="Y631" s="470"/>
      <c r="Z631" s="531"/>
      <c r="AA631" s="470"/>
      <c r="AB631" s="470"/>
      <c r="AC631" s="472"/>
      <c r="AD631" s="472"/>
      <c r="AE631" s="470"/>
      <c r="AF631" s="470"/>
      <c r="AH631" s="529"/>
      <c r="AI631" s="470"/>
      <c r="AJ631" s="470"/>
      <c r="AL631" s="470"/>
      <c r="AM631" s="472"/>
      <c r="AN631" s="472"/>
    </row>
    <row r="632" spans="3:40">
      <c r="C632" s="455"/>
      <c r="J632" s="537"/>
      <c r="K632" s="537"/>
      <c r="T632" s="455"/>
      <c r="V632" s="470"/>
      <c r="W632" s="470"/>
      <c r="X632" s="470"/>
      <c r="Y632" s="470"/>
      <c r="Z632" s="531"/>
    </row>
    <row r="633" spans="3:40">
      <c r="C633" s="455"/>
      <c r="F633" s="476"/>
      <c r="H633" s="476"/>
      <c r="I633" s="476"/>
      <c r="J633" s="531"/>
      <c r="K633" s="531"/>
      <c r="L633" s="470"/>
      <c r="M633" s="470"/>
      <c r="N633" s="472"/>
      <c r="O633" s="472"/>
      <c r="P633" s="470"/>
      <c r="Q633" s="470"/>
      <c r="R633" s="470"/>
      <c r="T633" s="455"/>
      <c r="V633" s="470"/>
      <c r="W633" s="470"/>
      <c r="X633" s="470"/>
      <c r="Y633" s="470"/>
      <c r="Z633" s="531"/>
      <c r="AA633" s="470"/>
      <c r="AB633" s="470"/>
      <c r="AC633" s="472"/>
      <c r="AD633" s="472"/>
      <c r="AE633" s="470"/>
      <c r="AF633" s="470"/>
      <c r="AH633" s="529"/>
      <c r="AI633" s="470"/>
      <c r="AJ633" s="470"/>
      <c r="AL633" s="470"/>
      <c r="AM633" s="472"/>
      <c r="AN633" s="472"/>
    </row>
    <row r="634" spans="3:40">
      <c r="F634" s="479"/>
      <c r="H634" s="479"/>
      <c r="I634" s="479"/>
      <c r="J634" s="531"/>
      <c r="K634" s="531"/>
      <c r="L634" s="479"/>
      <c r="M634" s="479"/>
      <c r="N634" s="479"/>
      <c r="O634" s="479"/>
      <c r="P634" s="479"/>
      <c r="Q634" s="479"/>
      <c r="R634" s="479"/>
      <c r="V634" s="479"/>
      <c r="Y634" s="479"/>
      <c r="Z634" s="484"/>
      <c r="AA634" s="479"/>
      <c r="AB634" s="479"/>
      <c r="AC634" s="479"/>
      <c r="AD634" s="479"/>
      <c r="AE634" s="479"/>
      <c r="AF634" s="479"/>
      <c r="AI634" s="479"/>
      <c r="AJ634" s="479"/>
      <c r="AK634" s="485"/>
      <c r="AL634" s="479"/>
    </row>
    <row r="635" spans="3:40">
      <c r="C635" s="455"/>
      <c r="F635" s="470"/>
      <c r="H635" s="470"/>
      <c r="I635" s="470"/>
      <c r="L635" s="470"/>
      <c r="M635" s="470"/>
      <c r="N635" s="472"/>
      <c r="O635" s="472"/>
      <c r="P635" s="476"/>
      <c r="Q635" s="476"/>
      <c r="R635" s="470"/>
      <c r="T635" s="455"/>
      <c r="V635" s="470"/>
      <c r="W635" s="470"/>
      <c r="X635" s="470"/>
      <c r="Y635" s="470"/>
      <c r="Z635" s="530"/>
      <c r="AA635" s="470"/>
      <c r="AB635" s="470"/>
      <c r="AC635" s="472"/>
      <c r="AD635" s="472"/>
      <c r="AE635" s="470"/>
      <c r="AF635" s="470"/>
      <c r="AH635" s="529"/>
      <c r="AI635" s="476"/>
      <c r="AJ635" s="476"/>
      <c r="AL635" s="470"/>
      <c r="AM635" s="472"/>
      <c r="AN635" s="472"/>
    </row>
    <row r="636" spans="3:40">
      <c r="F636" s="479"/>
      <c r="H636" s="479"/>
      <c r="I636" s="479"/>
      <c r="J636" s="484"/>
      <c r="K636" s="484"/>
      <c r="L636" s="479"/>
      <c r="M636" s="479"/>
      <c r="N636" s="479"/>
      <c r="O636" s="479"/>
      <c r="P636" s="479"/>
      <c r="Q636" s="479"/>
      <c r="R636" s="479"/>
      <c r="V636" s="479"/>
      <c r="Y636" s="479"/>
      <c r="Z636" s="484"/>
      <c r="AA636" s="479"/>
      <c r="AB636" s="479"/>
      <c r="AC636" s="479"/>
      <c r="AD636" s="479"/>
      <c r="AE636" s="479"/>
      <c r="AF636" s="479"/>
      <c r="AI636" s="479"/>
      <c r="AJ636" s="479"/>
      <c r="AK636" s="485"/>
      <c r="AL636" s="479"/>
    </row>
    <row r="637" spans="3:40">
      <c r="C637" s="455"/>
      <c r="D637" s="455"/>
      <c r="E637" s="455"/>
      <c r="T637" s="455"/>
      <c r="U637" s="455"/>
      <c r="V637" s="470"/>
      <c r="W637" s="470"/>
      <c r="X637" s="470"/>
      <c r="Y637" s="470"/>
      <c r="Z637" s="530"/>
    </row>
    <row r="638" spans="3:40">
      <c r="C638" s="455"/>
      <c r="T638" s="455"/>
      <c r="V638" s="470"/>
      <c r="W638" s="470"/>
      <c r="X638" s="470"/>
      <c r="Y638" s="470"/>
      <c r="Z638" s="530"/>
    </row>
    <row r="639" spans="3:40">
      <c r="C639" s="455"/>
      <c r="F639" s="476"/>
      <c r="H639" s="476"/>
      <c r="I639" s="476"/>
      <c r="J639" s="530"/>
      <c r="K639" s="530"/>
      <c r="L639" s="470"/>
      <c r="M639" s="470"/>
      <c r="N639" s="472"/>
      <c r="O639" s="472"/>
      <c r="P639" s="470"/>
      <c r="Q639" s="470"/>
      <c r="R639" s="470"/>
      <c r="T639" s="455"/>
      <c r="V639" s="470"/>
      <c r="W639" s="470"/>
      <c r="X639" s="470"/>
      <c r="Y639" s="470"/>
      <c r="Z639" s="530"/>
      <c r="AA639" s="470"/>
      <c r="AB639" s="470"/>
      <c r="AC639" s="472"/>
      <c r="AD639" s="472"/>
      <c r="AE639" s="470"/>
      <c r="AF639" s="470"/>
      <c r="AH639" s="529"/>
      <c r="AI639" s="470"/>
      <c r="AJ639" s="470"/>
      <c r="AL639" s="470"/>
      <c r="AM639" s="472"/>
      <c r="AN639" s="472"/>
    </row>
    <row r="640" spans="3:40">
      <c r="C640" s="455"/>
      <c r="T640" s="455"/>
      <c r="V640" s="470"/>
      <c r="W640" s="470"/>
      <c r="X640" s="470"/>
      <c r="Y640" s="470"/>
      <c r="Z640" s="530"/>
    </row>
    <row r="641" spans="1:40">
      <c r="C641" s="455"/>
      <c r="F641" s="476"/>
      <c r="H641" s="476"/>
      <c r="I641" s="476"/>
      <c r="J641" s="530"/>
      <c r="K641" s="530"/>
      <c r="L641" s="470"/>
      <c r="M641" s="470"/>
      <c r="N641" s="472"/>
      <c r="O641" s="472"/>
      <c r="P641" s="470"/>
      <c r="Q641" s="470"/>
      <c r="R641" s="470"/>
      <c r="T641" s="455"/>
      <c r="V641" s="470"/>
      <c r="W641" s="470"/>
      <c r="X641" s="470"/>
      <c r="Y641" s="470"/>
      <c r="Z641" s="530"/>
      <c r="AA641" s="470"/>
      <c r="AB641" s="470"/>
      <c r="AC641" s="472"/>
      <c r="AD641" s="472"/>
      <c r="AE641" s="470"/>
      <c r="AF641" s="470"/>
      <c r="AH641" s="529"/>
      <c r="AI641" s="470"/>
      <c r="AJ641" s="470"/>
      <c r="AL641" s="470"/>
      <c r="AM641" s="472"/>
      <c r="AN641" s="472"/>
    </row>
    <row r="642" spans="1:40">
      <c r="C642" s="455"/>
      <c r="T642" s="455"/>
      <c r="V642" s="470"/>
      <c r="W642" s="470"/>
      <c r="X642" s="470"/>
      <c r="Y642" s="470"/>
      <c r="Z642" s="530"/>
    </row>
    <row r="643" spans="1:40">
      <c r="C643" s="455"/>
      <c r="F643" s="476"/>
      <c r="H643" s="476"/>
      <c r="I643" s="476"/>
      <c r="J643" s="530"/>
      <c r="K643" s="530"/>
      <c r="L643" s="470"/>
      <c r="M643" s="470"/>
      <c r="N643" s="472"/>
      <c r="O643" s="472"/>
      <c r="P643" s="470"/>
      <c r="Q643" s="470"/>
      <c r="R643" s="470"/>
      <c r="T643" s="455"/>
      <c r="V643" s="470"/>
      <c r="W643" s="470"/>
      <c r="X643" s="470"/>
      <c r="Y643" s="470"/>
      <c r="Z643" s="530"/>
      <c r="AA643" s="470"/>
      <c r="AB643" s="470"/>
      <c r="AC643" s="472"/>
      <c r="AD643" s="472"/>
      <c r="AE643" s="470"/>
      <c r="AF643" s="470"/>
      <c r="AH643" s="529"/>
      <c r="AI643" s="470"/>
      <c r="AJ643" s="470"/>
      <c r="AL643" s="470"/>
      <c r="AM643" s="472"/>
      <c r="AN643" s="472"/>
    </row>
    <row r="644" spans="1:40">
      <c r="C644" s="455"/>
      <c r="T644" s="455"/>
      <c r="V644" s="470"/>
      <c r="W644" s="470"/>
      <c r="X644" s="470"/>
      <c r="Y644" s="470"/>
      <c r="Z644" s="530"/>
    </row>
    <row r="645" spans="1:40">
      <c r="C645" s="455"/>
      <c r="F645" s="476"/>
      <c r="H645" s="476"/>
      <c r="I645" s="476"/>
      <c r="J645" s="530"/>
      <c r="K645" s="530"/>
      <c r="L645" s="470"/>
      <c r="M645" s="470"/>
      <c r="N645" s="472"/>
      <c r="O645" s="472"/>
      <c r="P645" s="470"/>
      <c r="Q645" s="470"/>
      <c r="R645" s="470"/>
      <c r="T645" s="455"/>
      <c r="V645" s="470"/>
      <c r="W645" s="470"/>
      <c r="X645" s="470"/>
      <c r="Y645" s="470"/>
      <c r="Z645" s="530"/>
      <c r="AA645" s="470"/>
      <c r="AB645" s="470"/>
      <c r="AC645" s="472"/>
      <c r="AD645" s="472"/>
      <c r="AE645" s="470"/>
      <c r="AF645" s="470"/>
      <c r="AH645" s="529"/>
      <c r="AI645" s="470"/>
      <c r="AJ645" s="470"/>
      <c r="AL645" s="470"/>
      <c r="AM645" s="472"/>
      <c r="AN645" s="472"/>
    </row>
    <row r="646" spans="1:40">
      <c r="F646" s="479"/>
      <c r="H646" s="479"/>
      <c r="I646" s="479"/>
      <c r="J646" s="484"/>
      <c r="K646" s="484"/>
      <c r="L646" s="479"/>
      <c r="M646" s="479"/>
      <c r="N646" s="479"/>
      <c r="O646" s="479"/>
      <c r="P646" s="479"/>
      <c r="Q646" s="479"/>
      <c r="R646" s="479"/>
      <c r="V646" s="479"/>
      <c r="Y646" s="479"/>
      <c r="Z646" s="484"/>
      <c r="AA646" s="479"/>
      <c r="AB646" s="479"/>
      <c r="AC646" s="479"/>
      <c r="AD646" s="479"/>
      <c r="AE646" s="479"/>
      <c r="AF646" s="479"/>
      <c r="AI646" s="479"/>
      <c r="AJ646" s="479"/>
      <c r="AK646" s="485"/>
      <c r="AL646" s="479"/>
    </row>
    <row r="647" spans="1:40">
      <c r="C647" s="455"/>
      <c r="F647" s="470"/>
      <c r="H647" s="470"/>
      <c r="I647" s="470"/>
      <c r="L647" s="470"/>
      <c r="M647" s="470"/>
      <c r="N647" s="472"/>
      <c r="O647" s="472"/>
      <c r="P647" s="476"/>
      <c r="Q647" s="476"/>
      <c r="R647" s="470"/>
      <c r="T647" s="455"/>
      <c r="V647" s="470"/>
      <c r="W647" s="470"/>
      <c r="X647" s="470"/>
      <c r="Y647" s="470"/>
      <c r="Z647" s="530"/>
      <c r="AA647" s="470"/>
      <c r="AB647" s="470"/>
      <c r="AC647" s="472"/>
      <c r="AD647" s="472"/>
      <c r="AE647" s="470"/>
      <c r="AF647" s="470"/>
      <c r="AH647" s="529"/>
      <c r="AI647" s="476"/>
      <c r="AJ647" s="476"/>
      <c r="AL647" s="470"/>
      <c r="AM647" s="472"/>
      <c r="AN647" s="472"/>
    </row>
    <row r="648" spans="1:40">
      <c r="F648" s="479"/>
      <c r="H648" s="479"/>
      <c r="I648" s="479"/>
      <c r="J648" s="484"/>
      <c r="K648" s="484"/>
      <c r="L648" s="479"/>
      <c r="M648" s="479"/>
      <c r="N648" s="479"/>
      <c r="O648" s="479"/>
      <c r="P648" s="479"/>
      <c r="Q648" s="479"/>
      <c r="R648" s="479"/>
      <c r="V648" s="479"/>
      <c r="Y648" s="479"/>
      <c r="Z648" s="484"/>
      <c r="AA648" s="479"/>
      <c r="AB648" s="479"/>
      <c r="AC648" s="479"/>
      <c r="AD648" s="479"/>
      <c r="AE648" s="479"/>
      <c r="AF648" s="479"/>
      <c r="AI648" s="479"/>
      <c r="AJ648" s="479"/>
      <c r="AK648" s="485"/>
      <c r="AL648" s="479"/>
    </row>
    <row r="649" spans="1:40">
      <c r="C649" s="455"/>
      <c r="F649" s="470"/>
      <c r="H649" s="470"/>
      <c r="I649" s="470"/>
      <c r="L649" s="470"/>
      <c r="M649" s="470"/>
      <c r="N649" s="472"/>
      <c r="O649" s="472"/>
      <c r="P649" s="470"/>
      <c r="Q649" s="470"/>
      <c r="R649" s="470"/>
      <c r="T649" s="455"/>
      <c r="V649" s="470"/>
      <c r="W649" s="470"/>
      <c r="X649" s="470"/>
      <c r="Y649" s="470"/>
      <c r="AA649" s="470"/>
      <c r="AB649" s="470"/>
      <c r="AC649" s="472"/>
      <c r="AD649" s="472"/>
      <c r="AE649" s="470"/>
      <c r="AF649" s="470"/>
      <c r="AH649" s="529"/>
      <c r="AI649" s="470"/>
      <c r="AJ649" s="470"/>
      <c r="AL649" s="470"/>
      <c r="AM649" s="529"/>
      <c r="AN649" s="529"/>
    </row>
    <row r="650" spans="1:40">
      <c r="F650" s="479"/>
      <c r="H650" s="479"/>
      <c r="I650" s="479"/>
      <c r="J650" s="484"/>
      <c r="K650" s="484"/>
      <c r="L650" s="479"/>
      <c r="M650" s="479"/>
      <c r="N650" s="479"/>
      <c r="O650" s="479"/>
      <c r="P650" s="479"/>
      <c r="Q650" s="479"/>
      <c r="R650" s="479"/>
      <c r="V650" s="479"/>
      <c r="Y650" s="479"/>
      <c r="Z650" s="484"/>
      <c r="AA650" s="479"/>
      <c r="AB650" s="479"/>
      <c r="AC650" s="479"/>
      <c r="AD650" s="479"/>
      <c r="AE650" s="479"/>
      <c r="AF650" s="479"/>
      <c r="AI650" s="479"/>
      <c r="AJ650" s="479"/>
      <c r="AK650" s="485"/>
      <c r="AL650" s="479"/>
    </row>
    <row r="653" spans="1:40">
      <c r="A653" s="455"/>
    </row>
    <row r="655" spans="1:40">
      <c r="H655" s="455"/>
      <c r="I655" s="455"/>
      <c r="Y655" s="455"/>
    </row>
    <row r="657" spans="1:40">
      <c r="L657" s="455"/>
      <c r="M657" s="455"/>
      <c r="AA657" s="455"/>
      <c r="AB657" s="455"/>
    </row>
    <row r="658" spans="1:40">
      <c r="R658" s="455"/>
      <c r="AK658" s="456"/>
      <c r="AL658" s="455"/>
    </row>
    <row r="659" spans="1:40">
      <c r="R659" s="455"/>
      <c r="AK659" s="456"/>
      <c r="AL659" s="455"/>
    </row>
    <row r="660" spans="1:40">
      <c r="A660" s="455"/>
      <c r="R660" s="455"/>
      <c r="AK660" s="456"/>
      <c r="AL660" s="455"/>
    </row>
    <row r="661" spans="1:40">
      <c r="L661" s="455"/>
      <c r="M661" s="455"/>
      <c r="AA661" s="455"/>
      <c r="AB661" s="455"/>
    </row>
    <row r="662" spans="1:40">
      <c r="A662" s="460"/>
      <c r="B662" s="460"/>
      <c r="C662" s="460"/>
      <c r="D662" s="460"/>
      <c r="E662" s="460"/>
      <c r="F662" s="460"/>
      <c r="G662" s="460"/>
      <c r="H662" s="460"/>
      <c r="I662" s="460"/>
      <c r="J662" s="460"/>
      <c r="K662" s="460"/>
      <c r="L662" s="460"/>
      <c r="M662" s="460"/>
      <c r="N662" s="460"/>
      <c r="O662" s="460"/>
      <c r="P662" s="460"/>
      <c r="Q662" s="460"/>
      <c r="R662" s="460"/>
      <c r="T662" s="460"/>
      <c r="U662" s="460"/>
      <c r="V662" s="460"/>
      <c r="W662" s="460"/>
      <c r="X662" s="460"/>
      <c r="Y662" s="460"/>
      <c r="Z662" s="460"/>
      <c r="AA662" s="460"/>
      <c r="AB662" s="460"/>
      <c r="AC662" s="460"/>
      <c r="AD662" s="460"/>
      <c r="AE662" s="460"/>
      <c r="AF662" s="460"/>
      <c r="AG662" s="461"/>
      <c r="AH662" s="460"/>
      <c r="AI662" s="460"/>
      <c r="AJ662" s="460"/>
      <c r="AK662" s="461"/>
      <c r="AL662" s="460"/>
      <c r="AM662" s="460"/>
      <c r="AN662" s="460"/>
    </row>
    <row r="663" spans="1:40">
      <c r="L663" s="462"/>
      <c r="M663" s="462"/>
      <c r="N663" s="462"/>
      <c r="O663" s="462"/>
      <c r="R663" s="462"/>
      <c r="AA663" s="462"/>
      <c r="AB663" s="462"/>
      <c r="AC663" s="462"/>
      <c r="AD663" s="462"/>
      <c r="AE663" s="462"/>
      <c r="AF663" s="462"/>
      <c r="AG663" s="463"/>
      <c r="AH663" s="462"/>
      <c r="AK663" s="463"/>
      <c r="AL663" s="462"/>
      <c r="AM663" s="462"/>
      <c r="AN663" s="462"/>
    </row>
    <row r="664" spans="1:40">
      <c r="L664" s="462"/>
      <c r="M664" s="462"/>
      <c r="N664" s="462"/>
      <c r="O664" s="462"/>
      <c r="R664" s="462"/>
      <c r="Z664" s="462"/>
      <c r="AA664" s="462"/>
      <c r="AB664" s="462"/>
      <c r="AC664" s="462"/>
      <c r="AD664" s="462"/>
      <c r="AE664" s="462"/>
      <c r="AF664" s="462"/>
      <c r="AG664" s="463"/>
      <c r="AH664" s="462"/>
      <c r="AK664" s="463"/>
      <c r="AL664" s="462"/>
      <c r="AM664" s="462"/>
      <c r="AN664" s="462"/>
    </row>
    <row r="665" spans="1:40">
      <c r="A665" s="462"/>
      <c r="C665" s="462"/>
      <c r="D665" s="462"/>
      <c r="E665" s="462"/>
      <c r="F665" s="462"/>
      <c r="J665" s="462"/>
      <c r="K665" s="462"/>
      <c r="L665" s="462"/>
      <c r="M665" s="462"/>
      <c r="N665" s="462"/>
      <c r="O665" s="462"/>
      <c r="P665" s="462"/>
      <c r="Q665" s="462"/>
      <c r="R665" s="462"/>
      <c r="T665" s="462"/>
      <c r="U665" s="462"/>
      <c r="V665" s="462"/>
      <c r="Z665" s="462"/>
      <c r="AA665" s="462"/>
      <c r="AB665" s="462"/>
      <c r="AC665" s="462"/>
      <c r="AD665" s="462"/>
      <c r="AE665" s="462"/>
      <c r="AF665" s="462"/>
      <c r="AG665" s="463"/>
      <c r="AH665" s="462"/>
      <c r="AI665" s="462"/>
      <c r="AJ665" s="462"/>
      <c r="AK665" s="463"/>
      <c r="AL665" s="462"/>
      <c r="AM665" s="462"/>
      <c r="AN665" s="462"/>
    </row>
    <row r="666" spans="1:40">
      <c r="A666" s="462"/>
      <c r="C666" s="462"/>
      <c r="D666" s="462"/>
      <c r="E666" s="462"/>
      <c r="F666" s="462"/>
      <c r="H666" s="462"/>
      <c r="I666" s="462"/>
      <c r="J666" s="462"/>
      <c r="K666" s="462"/>
      <c r="L666" s="462"/>
      <c r="M666" s="462"/>
      <c r="N666" s="462"/>
      <c r="O666" s="462"/>
      <c r="P666" s="462"/>
      <c r="Q666" s="462"/>
      <c r="R666" s="462"/>
      <c r="T666" s="462"/>
      <c r="U666" s="462"/>
      <c r="V666" s="462"/>
      <c r="Y666" s="462"/>
      <c r="Z666" s="462"/>
      <c r="AA666" s="462"/>
      <c r="AB666" s="462"/>
      <c r="AC666" s="462"/>
      <c r="AD666" s="462"/>
      <c r="AE666" s="462"/>
      <c r="AF666" s="462"/>
      <c r="AG666" s="463"/>
      <c r="AH666" s="462"/>
      <c r="AI666" s="462"/>
      <c r="AJ666" s="462"/>
      <c r="AK666" s="463"/>
      <c r="AL666" s="462"/>
      <c r="AM666" s="462"/>
      <c r="AN666" s="462"/>
    </row>
    <row r="667" spans="1:40">
      <c r="C667" s="462"/>
      <c r="D667" s="462"/>
      <c r="E667" s="462"/>
      <c r="F667" s="462"/>
      <c r="H667" s="462"/>
      <c r="I667" s="462"/>
      <c r="J667" s="462"/>
      <c r="K667" s="462"/>
      <c r="L667" s="462"/>
      <c r="M667" s="462"/>
      <c r="N667" s="462"/>
      <c r="O667" s="462"/>
      <c r="P667" s="462"/>
      <c r="Q667" s="462"/>
      <c r="R667" s="462"/>
      <c r="T667" s="462"/>
      <c r="U667" s="462"/>
      <c r="V667" s="462"/>
      <c r="Y667" s="462"/>
      <c r="Z667" s="462"/>
      <c r="AA667" s="462"/>
      <c r="AB667" s="462"/>
      <c r="AC667" s="462"/>
      <c r="AD667" s="462"/>
      <c r="AE667" s="462"/>
      <c r="AF667" s="462"/>
      <c r="AG667" s="463"/>
      <c r="AH667" s="462"/>
      <c r="AI667" s="462"/>
      <c r="AJ667" s="462"/>
      <c r="AK667" s="463"/>
      <c r="AL667" s="462"/>
      <c r="AM667" s="462"/>
      <c r="AN667" s="462"/>
    </row>
    <row r="668" spans="1:40">
      <c r="A668" s="460"/>
      <c r="B668" s="460"/>
      <c r="C668" s="460"/>
      <c r="D668" s="460"/>
      <c r="E668" s="460"/>
      <c r="F668" s="460"/>
      <c r="G668" s="460"/>
      <c r="H668" s="460"/>
      <c r="I668" s="460"/>
      <c r="J668" s="460"/>
      <c r="K668" s="460"/>
      <c r="L668" s="460"/>
      <c r="M668" s="460"/>
      <c r="N668" s="460"/>
      <c r="O668" s="460"/>
      <c r="P668" s="460"/>
      <c r="Q668" s="460"/>
      <c r="R668" s="460"/>
      <c r="T668" s="460"/>
      <c r="U668" s="460"/>
      <c r="V668" s="460"/>
      <c r="W668" s="460"/>
      <c r="X668" s="460"/>
      <c r="Y668" s="460"/>
      <c r="Z668" s="460"/>
      <c r="AA668" s="460"/>
      <c r="AB668" s="460"/>
      <c r="AC668" s="460"/>
      <c r="AD668" s="460"/>
      <c r="AE668" s="460"/>
      <c r="AF668" s="460"/>
      <c r="AG668" s="461"/>
      <c r="AH668" s="460"/>
      <c r="AI668" s="460"/>
      <c r="AJ668" s="460"/>
      <c r="AK668" s="461"/>
      <c r="AL668" s="460"/>
      <c r="AM668" s="460"/>
      <c r="AN668" s="460"/>
    </row>
    <row r="669" spans="1:40">
      <c r="H669" s="462"/>
      <c r="I669" s="462"/>
      <c r="J669" s="462"/>
      <c r="K669" s="462"/>
      <c r="L669" s="462"/>
      <c r="M669" s="462"/>
      <c r="N669" s="462"/>
      <c r="O669" s="462"/>
      <c r="P669" s="462"/>
      <c r="Q669" s="462"/>
      <c r="R669" s="462"/>
      <c r="Y669" s="462"/>
      <c r="Z669" s="462"/>
      <c r="AA669" s="462"/>
      <c r="AB669" s="462"/>
      <c r="AC669" s="462"/>
      <c r="AD669" s="462"/>
      <c r="AE669" s="462"/>
      <c r="AF669" s="462"/>
      <c r="AG669" s="463"/>
      <c r="AH669" s="462"/>
      <c r="AI669" s="462"/>
      <c r="AJ669" s="462"/>
      <c r="AK669" s="463"/>
      <c r="AL669" s="462"/>
      <c r="AM669" s="462"/>
      <c r="AN669" s="462"/>
    </row>
    <row r="670" spans="1:40">
      <c r="C670" s="455"/>
      <c r="D670" s="455"/>
      <c r="E670" s="455"/>
      <c r="F670" s="470"/>
      <c r="H670" s="470"/>
      <c r="I670" s="470"/>
      <c r="J670" s="503"/>
      <c r="K670" s="503"/>
      <c r="L670" s="470"/>
      <c r="M670" s="470"/>
      <c r="N670" s="503"/>
      <c r="O670" s="503"/>
      <c r="P670" s="470"/>
      <c r="Q670" s="470"/>
      <c r="R670" s="470"/>
      <c r="T670" s="455"/>
      <c r="U670" s="455"/>
      <c r="V670" s="470"/>
      <c r="Y670" s="470"/>
      <c r="Z670" s="503"/>
      <c r="AA670" s="470"/>
      <c r="AB670" s="470"/>
      <c r="AC670" s="503"/>
      <c r="AD670" s="503"/>
      <c r="AE670" s="470"/>
      <c r="AF670" s="470"/>
      <c r="AH670" s="529"/>
      <c r="AI670" s="470"/>
      <c r="AJ670" s="470"/>
      <c r="AL670" s="470"/>
      <c r="AM670" s="472"/>
      <c r="AN670" s="472"/>
    </row>
    <row r="671" spans="1:40">
      <c r="F671" s="479"/>
      <c r="H671" s="479"/>
      <c r="I671" s="479"/>
      <c r="J671" s="484"/>
      <c r="K671" s="484"/>
      <c r="L671" s="479"/>
      <c r="M671" s="479"/>
      <c r="N671" s="479"/>
      <c r="O671" s="479"/>
      <c r="P671" s="479"/>
      <c r="Q671" s="479"/>
      <c r="R671" s="479"/>
      <c r="V671" s="479"/>
      <c r="Y671" s="479"/>
      <c r="Z671" s="484"/>
      <c r="AA671" s="479"/>
      <c r="AB671" s="479"/>
      <c r="AC671" s="479"/>
      <c r="AD671" s="479"/>
      <c r="AE671" s="479"/>
      <c r="AF671" s="479"/>
      <c r="AI671" s="479"/>
      <c r="AJ671" s="479"/>
      <c r="AK671" s="485"/>
      <c r="AL671" s="479"/>
      <c r="AM671" s="472"/>
      <c r="AN671" s="472"/>
    </row>
    <row r="672" spans="1:40">
      <c r="C672" s="455"/>
      <c r="F672" s="470"/>
      <c r="H672" s="470"/>
      <c r="I672" s="470"/>
      <c r="J672" s="503"/>
      <c r="K672" s="503"/>
      <c r="L672" s="470"/>
      <c r="M672" s="470"/>
      <c r="N672" s="503"/>
      <c r="O672" s="503"/>
      <c r="P672" s="470"/>
      <c r="Q672" s="470"/>
      <c r="R672" s="470"/>
      <c r="T672" s="455"/>
      <c r="V672" s="470"/>
      <c r="Y672" s="470"/>
      <c r="Z672" s="503"/>
      <c r="AA672" s="470"/>
      <c r="AB672" s="470"/>
      <c r="AC672" s="503"/>
      <c r="AD672" s="503"/>
      <c r="AE672" s="470"/>
      <c r="AF672" s="470"/>
      <c r="AH672" s="529"/>
      <c r="AI672" s="470"/>
      <c r="AJ672" s="470"/>
      <c r="AL672" s="470"/>
      <c r="AM672" s="472"/>
      <c r="AN672" s="472"/>
    </row>
    <row r="673" spans="3:40">
      <c r="F673" s="470"/>
      <c r="H673" s="470"/>
      <c r="I673" s="470"/>
      <c r="J673" s="503"/>
      <c r="K673" s="503"/>
      <c r="L673" s="470"/>
      <c r="M673" s="470"/>
      <c r="N673" s="503"/>
      <c r="O673" s="503"/>
      <c r="P673" s="470"/>
      <c r="Q673" s="470"/>
      <c r="R673" s="470"/>
      <c r="V673" s="470"/>
      <c r="Y673" s="470"/>
      <c r="Z673" s="503"/>
      <c r="AA673" s="470"/>
      <c r="AB673" s="470"/>
      <c r="AC673" s="503"/>
      <c r="AD673" s="503"/>
      <c r="AH673" s="529"/>
      <c r="AI673" s="470"/>
      <c r="AJ673" s="470"/>
      <c r="AL673" s="470"/>
      <c r="AM673" s="472"/>
      <c r="AN673" s="472"/>
    </row>
    <row r="674" spans="3:40">
      <c r="C674" s="455"/>
      <c r="D674" s="455"/>
      <c r="E674" s="455"/>
      <c r="F674" s="470"/>
      <c r="H674" s="470"/>
      <c r="I674" s="470"/>
      <c r="J674" s="503"/>
      <c r="K674" s="503"/>
      <c r="L674" s="470"/>
      <c r="M674" s="470"/>
      <c r="N674" s="503"/>
      <c r="O674" s="503"/>
      <c r="P674" s="470"/>
      <c r="Q674" s="470"/>
      <c r="R674" s="470"/>
      <c r="T674" s="455"/>
      <c r="U674" s="455"/>
      <c r="V674" s="470"/>
      <c r="Y674" s="470"/>
      <c r="Z674" s="503"/>
      <c r="AA674" s="470"/>
      <c r="AB674" s="470"/>
      <c r="AC674" s="503"/>
      <c r="AD674" s="503"/>
      <c r="AE674" s="470"/>
      <c r="AF674" s="470"/>
      <c r="AH674" s="529"/>
      <c r="AI674" s="470"/>
      <c r="AJ674" s="470"/>
      <c r="AL674" s="470"/>
      <c r="AM674" s="472"/>
      <c r="AN674" s="472"/>
    </row>
    <row r="675" spans="3:40">
      <c r="C675" s="455"/>
      <c r="D675" s="455"/>
      <c r="E675" s="455"/>
      <c r="F675" s="470"/>
      <c r="H675" s="470"/>
      <c r="I675" s="470"/>
      <c r="J675" s="503"/>
      <c r="K675" s="503"/>
      <c r="L675" s="470"/>
      <c r="M675" s="470"/>
      <c r="N675" s="503"/>
      <c r="O675" s="503"/>
      <c r="P675" s="470"/>
      <c r="Q675" s="470"/>
      <c r="R675" s="470"/>
      <c r="T675" s="455"/>
      <c r="U675" s="455"/>
      <c r="V675" s="470"/>
      <c r="Y675" s="470"/>
      <c r="Z675" s="503"/>
      <c r="AA675" s="470"/>
      <c r="AB675" s="470"/>
      <c r="AC675" s="503"/>
      <c r="AD675" s="503"/>
      <c r="AE675" s="470"/>
      <c r="AF675" s="470"/>
      <c r="AH675" s="529"/>
      <c r="AI675" s="470"/>
      <c r="AJ675" s="470"/>
      <c r="AL675" s="470"/>
      <c r="AM675" s="472"/>
      <c r="AN675" s="472"/>
    </row>
    <row r="676" spans="3:40">
      <c r="C676" s="455"/>
      <c r="D676" s="455"/>
      <c r="E676" s="455"/>
      <c r="F676" s="470"/>
      <c r="H676" s="470"/>
      <c r="I676" s="470"/>
      <c r="J676" s="503"/>
      <c r="K676" s="503"/>
      <c r="L676" s="470"/>
      <c r="M676" s="470"/>
      <c r="N676" s="503"/>
      <c r="O676" s="503"/>
      <c r="P676" s="470"/>
      <c r="Q676" s="470"/>
      <c r="R676" s="470"/>
      <c r="T676" s="455"/>
      <c r="U676" s="455"/>
      <c r="V676" s="470"/>
      <c r="Y676" s="470"/>
      <c r="Z676" s="503"/>
      <c r="AA676" s="470"/>
      <c r="AB676" s="470"/>
      <c r="AC676" s="503"/>
      <c r="AD676" s="503"/>
      <c r="AE676" s="470"/>
      <c r="AF676" s="470"/>
      <c r="AH676" s="529"/>
      <c r="AI676" s="470"/>
      <c r="AJ676" s="470"/>
      <c r="AL676" s="470"/>
      <c r="AM676" s="472"/>
      <c r="AN676" s="472"/>
    </row>
    <row r="677" spans="3:40">
      <c r="C677" s="455"/>
      <c r="D677" s="455"/>
      <c r="E677" s="455"/>
      <c r="F677" s="470"/>
      <c r="H677" s="470"/>
      <c r="I677" s="470"/>
      <c r="J677" s="503"/>
      <c r="K677" s="503"/>
      <c r="L677" s="470"/>
      <c r="M677" s="470"/>
      <c r="N677" s="503"/>
      <c r="O677" s="503"/>
      <c r="P677" s="470"/>
      <c r="Q677" s="470"/>
      <c r="R677" s="470"/>
      <c r="T677" s="455"/>
      <c r="U677" s="455"/>
      <c r="V677" s="470"/>
      <c r="Y677" s="470"/>
      <c r="Z677" s="503"/>
      <c r="AA677" s="470"/>
      <c r="AB677" s="470"/>
      <c r="AC677" s="503"/>
      <c r="AD677" s="503"/>
      <c r="AE677" s="470"/>
      <c r="AF677" s="470"/>
      <c r="AH677" s="529"/>
      <c r="AI677" s="470"/>
      <c r="AJ677" s="470"/>
      <c r="AL677" s="470"/>
      <c r="AM677" s="472"/>
      <c r="AN677" s="472"/>
    </row>
    <row r="678" spans="3:40">
      <c r="C678" s="455"/>
      <c r="D678" s="455"/>
      <c r="E678" s="455"/>
      <c r="F678" s="470"/>
      <c r="H678" s="470"/>
      <c r="I678" s="470"/>
      <c r="J678" s="503"/>
      <c r="K678" s="503"/>
      <c r="L678" s="470"/>
      <c r="M678" s="470"/>
      <c r="N678" s="503"/>
      <c r="O678" s="503"/>
      <c r="P678" s="470"/>
      <c r="Q678" s="470"/>
      <c r="R678" s="470"/>
      <c r="T678" s="455"/>
      <c r="U678" s="455"/>
      <c r="V678" s="470"/>
      <c r="Y678" s="470"/>
      <c r="Z678" s="503"/>
      <c r="AA678" s="470"/>
      <c r="AB678" s="470"/>
      <c r="AC678" s="503"/>
      <c r="AD678" s="503"/>
      <c r="AE678" s="470"/>
      <c r="AF678" s="470"/>
      <c r="AH678" s="529"/>
      <c r="AI678" s="470"/>
      <c r="AJ678" s="470"/>
      <c r="AL678" s="470"/>
      <c r="AM678" s="472"/>
      <c r="AN678" s="472"/>
    </row>
    <row r="679" spans="3:40">
      <c r="C679" s="455"/>
      <c r="D679" s="455"/>
      <c r="E679" s="455"/>
      <c r="F679" s="470"/>
      <c r="H679" s="470"/>
      <c r="I679" s="470"/>
      <c r="J679" s="503"/>
      <c r="K679" s="503"/>
      <c r="L679" s="470"/>
      <c r="M679" s="470"/>
      <c r="N679" s="503"/>
      <c r="O679" s="503"/>
      <c r="P679" s="470"/>
      <c r="Q679" s="470"/>
      <c r="R679" s="470"/>
      <c r="T679" s="455"/>
      <c r="U679" s="455"/>
      <c r="V679" s="470"/>
      <c r="Y679" s="470"/>
      <c r="Z679" s="503"/>
      <c r="AA679" s="470"/>
      <c r="AB679" s="470"/>
      <c r="AC679" s="503"/>
      <c r="AD679" s="503"/>
      <c r="AE679" s="470"/>
      <c r="AF679" s="470"/>
      <c r="AH679" s="529"/>
      <c r="AI679" s="470"/>
      <c r="AJ679" s="470"/>
      <c r="AL679" s="470"/>
      <c r="AM679" s="472"/>
      <c r="AN679" s="472"/>
    </row>
    <row r="680" spans="3:40">
      <c r="F680" s="479"/>
      <c r="H680" s="479"/>
      <c r="I680" s="479"/>
      <c r="J680" s="484"/>
      <c r="K680" s="484"/>
      <c r="L680" s="479"/>
      <c r="M680" s="479"/>
      <c r="N680" s="479"/>
      <c r="O680" s="479"/>
      <c r="P680" s="479"/>
      <c r="Q680" s="479"/>
      <c r="R680" s="479"/>
      <c r="V680" s="479"/>
      <c r="Y680" s="479"/>
      <c r="Z680" s="484"/>
      <c r="AA680" s="479"/>
      <c r="AB680" s="479"/>
      <c r="AC680" s="479"/>
      <c r="AD680" s="479"/>
      <c r="AE680" s="479"/>
      <c r="AF680" s="479"/>
      <c r="AI680" s="479"/>
      <c r="AJ680" s="479"/>
      <c r="AK680" s="485"/>
      <c r="AL680" s="479"/>
      <c r="AM680" s="472"/>
      <c r="AN680" s="472"/>
    </row>
    <row r="681" spans="3:40">
      <c r="C681" s="455"/>
      <c r="F681" s="470"/>
      <c r="H681" s="470"/>
      <c r="I681" s="470"/>
      <c r="J681" s="503"/>
      <c r="K681" s="503"/>
      <c r="L681" s="470"/>
      <c r="M681" s="470"/>
      <c r="N681" s="503"/>
      <c r="O681" s="503"/>
      <c r="P681" s="470"/>
      <c r="Q681" s="470"/>
      <c r="R681" s="470"/>
      <c r="T681" s="455"/>
      <c r="V681" s="470"/>
      <c r="Y681" s="470"/>
      <c r="Z681" s="503"/>
      <c r="AA681" s="470"/>
      <c r="AB681" s="470"/>
      <c r="AC681" s="503"/>
      <c r="AD681" s="503"/>
      <c r="AE681" s="470"/>
      <c r="AF681" s="470"/>
      <c r="AH681" s="529"/>
      <c r="AI681" s="470"/>
      <c r="AJ681" s="470"/>
      <c r="AL681" s="470"/>
      <c r="AM681" s="472"/>
      <c r="AN681" s="472"/>
    </row>
    <row r="682" spans="3:40">
      <c r="F682" s="470"/>
      <c r="H682" s="470"/>
      <c r="I682" s="470"/>
      <c r="J682" s="503"/>
      <c r="K682" s="503"/>
      <c r="L682" s="470"/>
      <c r="M682" s="470"/>
      <c r="N682" s="503"/>
      <c r="O682" s="503"/>
      <c r="P682" s="470"/>
      <c r="Q682" s="470"/>
      <c r="R682" s="470"/>
      <c r="V682" s="470"/>
      <c r="Y682" s="470"/>
      <c r="Z682" s="503"/>
      <c r="AA682" s="470"/>
      <c r="AB682" s="470"/>
      <c r="AC682" s="503"/>
      <c r="AD682" s="503"/>
      <c r="AH682" s="529"/>
      <c r="AI682" s="470"/>
      <c r="AJ682" s="470"/>
      <c r="AL682" s="470"/>
      <c r="AM682" s="472"/>
      <c r="AN682" s="472"/>
    </row>
    <row r="683" spans="3:40">
      <c r="C683" s="455"/>
      <c r="D683" s="455"/>
      <c r="E683" s="455"/>
      <c r="F683" s="470"/>
      <c r="H683" s="470"/>
      <c r="I683" s="470"/>
      <c r="J683" s="503"/>
      <c r="K683" s="503"/>
      <c r="L683" s="470"/>
      <c r="M683" s="470"/>
      <c r="N683" s="503"/>
      <c r="O683" s="503"/>
      <c r="P683" s="470"/>
      <c r="Q683" s="470"/>
      <c r="R683" s="470"/>
      <c r="T683" s="455"/>
      <c r="U683" s="455"/>
      <c r="V683" s="470"/>
      <c r="Y683" s="470"/>
      <c r="Z683" s="503"/>
      <c r="AA683" s="470"/>
      <c r="AB683" s="470"/>
      <c r="AC683" s="503"/>
      <c r="AD683" s="503"/>
      <c r="AE683" s="470"/>
      <c r="AF683" s="470"/>
      <c r="AH683" s="529"/>
      <c r="AI683" s="470"/>
      <c r="AJ683" s="470"/>
      <c r="AL683" s="470"/>
      <c r="AM683" s="472"/>
      <c r="AN683" s="472"/>
    </row>
    <row r="684" spans="3:40">
      <c r="F684" s="479"/>
      <c r="H684" s="479"/>
      <c r="I684" s="479"/>
      <c r="J684" s="484"/>
      <c r="K684" s="484"/>
      <c r="L684" s="479"/>
      <c r="M684" s="479"/>
      <c r="N684" s="479"/>
      <c r="O684" s="479"/>
      <c r="P684" s="479"/>
      <c r="Q684" s="479"/>
      <c r="R684" s="479"/>
      <c r="V684" s="479"/>
      <c r="Y684" s="479"/>
      <c r="Z684" s="484"/>
      <c r="AA684" s="479"/>
      <c r="AB684" s="479"/>
      <c r="AC684" s="479"/>
      <c r="AD684" s="479"/>
      <c r="AE684" s="479"/>
      <c r="AF684" s="479"/>
      <c r="AI684" s="479"/>
      <c r="AJ684" s="479"/>
      <c r="AK684" s="485"/>
      <c r="AL684" s="479"/>
      <c r="AM684" s="472"/>
      <c r="AN684" s="472"/>
    </row>
    <row r="685" spans="3:40">
      <c r="C685" s="455"/>
      <c r="F685" s="470"/>
      <c r="H685" s="470"/>
      <c r="I685" s="470"/>
      <c r="J685" s="503"/>
      <c r="K685" s="503"/>
      <c r="L685" s="470"/>
      <c r="M685" s="470"/>
      <c r="N685" s="503"/>
      <c r="O685" s="503"/>
      <c r="P685" s="470"/>
      <c r="Q685" s="470"/>
      <c r="R685" s="470"/>
      <c r="T685" s="455"/>
      <c r="V685" s="470"/>
      <c r="Y685" s="470"/>
      <c r="Z685" s="503"/>
      <c r="AA685" s="470"/>
      <c r="AB685" s="470"/>
      <c r="AC685" s="503"/>
      <c r="AD685" s="503"/>
      <c r="AE685" s="470"/>
      <c r="AF685" s="470"/>
      <c r="AH685" s="529"/>
      <c r="AI685" s="470"/>
      <c r="AJ685" s="470"/>
      <c r="AL685" s="470"/>
      <c r="AM685" s="472"/>
      <c r="AN685" s="472"/>
    </row>
    <row r="686" spans="3:40">
      <c r="F686" s="470"/>
      <c r="H686" s="470"/>
      <c r="I686" s="470"/>
      <c r="J686" s="503"/>
      <c r="K686" s="503"/>
      <c r="L686" s="470"/>
      <c r="M686" s="470"/>
      <c r="N686" s="503"/>
      <c r="O686" s="503"/>
      <c r="P686" s="470"/>
      <c r="Q686" s="470"/>
      <c r="R686" s="470"/>
      <c r="V686" s="470"/>
      <c r="Y686" s="470"/>
      <c r="Z686" s="503"/>
      <c r="AA686" s="470"/>
      <c r="AB686" s="470"/>
      <c r="AC686" s="503"/>
      <c r="AD686" s="503"/>
      <c r="AH686" s="529"/>
      <c r="AI686" s="470"/>
      <c r="AJ686" s="470"/>
      <c r="AL686" s="470"/>
      <c r="AM686" s="472"/>
      <c r="AN686" s="472"/>
    </row>
    <row r="687" spans="3:40">
      <c r="C687" s="455"/>
      <c r="D687" s="455"/>
      <c r="E687" s="455"/>
      <c r="F687" s="470"/>
      <c r="H687" s="470"/>
      <c r="I687" s="470"/>
      <c r="J687" s="503"/>
      <c r="K687" s="503"/>
      <c r="L687" s="470"/>
      <c r="M687" s="470"/>
      <c r="N687" s="503"/>
      <c r="O687" s="503"/>
      <c r="P687" s="470"/>
      <c r="Q687" s="470"/>
      <c r="R687" s="470"/>
      <c r="T687" s="455"/>
      <c r="U687" s="455"/>
      <c r="V687" s="470"/>
      <c r="Y687" s="470"/>
      <c r="Z687" s="503"/>
      <c r="AA687" s="470"/>
      <c r="AB687" s="470"/>
      <c r="AC687" s="503"/>
      <c r="AD687" s="503"/>
      <c r="AE687" s="470"/>
      <c r="AF687" s="470"/>
      <c r="AH687" s="529"/>
      <c r="AI687" s="470"/>
      <c r="AJ687" s="470"/>
      <c r="AL687" s="470"/>
      <c r="AM687" s="472"/>
      <c r="AN687" s="472"/>
    </row>
    <row r="688" spans="3:40">
      <c r="C688" s="455"/>
      <c r="D688" s="455"/>
      <c r="E688" s="455"/>
      <c r="F688" s="470"/>
      <c r="G688" s="470"/>
      <c r="H688" s="470"/>
      <c r="I688" s="470"/>
      <c r="J688" s="503"/>
      <c r="K688" s="503"/>
      <c r="L688" s="470"/>
      <c r="M688" s="470"/>
      <c r="N688" s="503"/>
      <c r="O688" s="503"/>
      <c r="P688" s="470"/>
      <c r="Q688" s="470"/>
      <c r="R688" s="470"/>
      <c r="T688" s="455"/>
      <c r="U688" s="455"/>
      <c r="V688" s="470"/>
      <c r="W688" s="470"/>
      <c r="X688" s="470"/>
      <c r="Y688" s="470"/>
      <c r="Z688" s="503"/>
      <c r="AA688" s="470"/>
      <c r="AB688" s="470"/>
      <c r="AC688" s="503"/>
      <c r="AD688" s="503"/>
      <c r="AE688" s="470"/>
      <c r="AF688" s="470"/>
      <c r="AH688" s="529"/>
      <c r="AI688" s="470"/>
      <c r="AJ688" s="470"/>
      <c r="AL688" s="470"/>
      <c r="AM688" s="472"/>
      <c r="AN688" s="472"/>
    </row>
    <row r="689" spans="3:40">
      <c r="C689" s="455"/>
      <c r="D689" s="455"/>
      <c r="E689" s="455"/>
      <c r="F689" s="470"/>
      <c r="G689" s="470"/>
      <c r="H689" s="470"/>
      <c r="I689" s="470"/>
      <c r="J689" s="503"/>
      <c r="K689" s="503"/>
      <c r="L689" s="470"/>
      <c r="M689" s="470"/>
      <c r="N689" s="503"/>
      <c r="O689" s="503"/>
      <c r="P689" s="470"/>
      <c r="Q689" s="470"/>
      <c r="R689" s="470"/>
      <c r="T689" s="455"/>
      <c r="U689" s="455"/>
      <c r="V689" s="470"/>
      <c r="W689" s="470"/>
      <c r="X689" s="470"/>
      <c r="Y689" s="470"/>
      <c r="Z689" s="503"/>
      <c r="AA689" s="470"/>
      <c r="AB689" s="470"/>
      <c r="AC689" s="503"/>
      <c r="AD689" s="503"/>
      <c r="AE689" s="470"/>
      <c r="AF689" s="470"/>
      <c r="AH689" s="529"/>
      <c r="AI689" s="470"/>
      <c r="AJ689" s="470"/>
      <c r="AL689" s="470"/>
      <c r="AM689" s="472"/>
      <c r="AN689" s="472"/>
    </row>
    <row r="690" spans="3:40">
      <c r="C690" s="455"/>
      <c r="D690" s="455"/>
      <c r="E690" s="455"/>
      <c r="F690" s="470"/>
      <c r="H690" s="470"/>
      <c r="I690" s="470"/>
      <c r="J690" s="503"/>
      <c r="K690" s="503"/>
      <c r="L690" s="470"/>
      <c r="M690" s="470"/>
      <c r="N690" s="503"/>
      <c r="O690" s="503"/>
      <c r="P690" s="470"/>
      <c r="Q690" s="470"/>
      <c r="R690" s="470"/>
      <c r="T690" s="455"/>
      <c r="U690" s="455"/>
      <c r="V690" s="470"/>
      <c r="Y690" s="470"/>
      <c r="Z690" s="503"/>
      <c r="AA690" s="470"/>
      <c r="AB690" s="470"/>
      <c r="AC690" s="503"/>
      <c r="AD690" s="503"/>
      <c r="AE690" s="470"/>
      <c r="AF690" s="470"/>
      <c r="AH690" s="529"/>
      <c r="AI690" s="470"/>
      <c r="AJ690" s="470"/>
      <c r="AL690" s="470"/>
      <c r="AM690" s="472"/>
      <c r="AN690" s="472"/>
    </row>
    <row r="691" spans="3:40">
      <c r="C691" s="455"/>
      <c r="D691" s="455"/>
      <c r="E691" s="455"/>
      <c r="F691" s="470"/>
      <c r="H691" s="470"/>
      <c r="I691" s="470"/>
      <c r="J691" s="503"/>
      <c r="K691" s="503"/>
      <c r="L691" s="470"/>
      <c r="M691" s="470"/>
      <c r="N691" s="503"/>
      <c r="O691" s="503"/>
      <c r="P691" s="470"/>
      <c r="Q691" s="470"/>
      <c r="R691" s="470"/>
      <c r="T691" s="455"/>
      <c r="U691" s="455"/>
      <c r="V691" s="470"/>
      <c r="Y691" s="470"/>
      <c r="Z691" s="503"/>
      <c r="AA691" s="470"/>
      <c r="AB691" s="470"/>
      <c r="AC691" s="503"/>
      <c r="AD691" s="503"/>
      <c r="AE691" s="470"/>
      <c r="AF691" s="470"/>
      <c r="AH691" s="529"/>
      <c r="AI691" s="470"/>
      <c r="AJ691" s="470"/>
      <c r="AL691" s="470"/>
      <c r="AM691" s="472"/>
      <c r="AN691" s="472"/>
    </row>
    <row r="692" spans="3:40">
      <c r="C692" s="455"/>
      <c r="D692" s="455"/>
      <c r="E692" s="455"/>
      <c r="F692" s="470"/>
      <c r="H692" s="470"/>
      <c r="I692" s="470"/>
      <c r="J692" s="503"/>
      <c r="K692" s="503"/>
      <c r="L692" s="470"/>
      <c r="M692" s="470"/>
      <c r="N692" s="503"/>
      <c r="O692" s="503"/>
      <c r="P692" s="470"/>
      <c r="Q692" s="470"/>
      <c r="R692" s="470"/>
      <c r="T692" s="455"/>
      <c r="U692" s="455"/>
      <c r="V692" s="470"/>
      <c r="Y692" s="470"/>
      <c r="Z692" s="503"/>
      <c r="AA692" s="470"/>
      <c r="AB692" s="470"/>
      <c r="AC692" s="503"/>
      <c r="AD692" s="503"/>
      <c r="AE692" s="470"/>
      <c r="AF692" s="470"/>
      <c r="AH692" s="529"/>
      <c r="AI692" s="470"/>
      <c r="AJ692" s="470"/>
      <c r="AL692" s="470"/>
      <c r="AM692" s="472"/>
      <c r="AN692" s="472"/>
    </row>
    <row r="693" spans="3:40">
      <c r="C693" s="455"/>
      <c r="D693" s="455"/>
      <c r="E693" s="455"/>
      <c r="F693" s="470"/>
      <c r="H693" s="470"/>
      <c r="I693" s="470"/>
      <c r="J693" s="503"/>
      <c r="K693" s="503"/>
      <c r="L693" s="470"/>
      <c r="M693" s="470"/>
      <c r="N693" s="503"/>
      <c r="O693" s="503"/>
      <c r="P693" s="470"/>
      <c r="Q693" s="470"/>
      <c r="R693" s="470"/>
      <c r="T693" s="455"/>
      <c r="U693" s="455"/>
      <c r="V693" s="470"/>
      <c r="Y693" s="470"/>
      <c r="Z693" s="503"/>
      <c r="AA693" s="470"/>
      <c r="AB693" s="470"/>
      <c r="AC693" s="503"/>
      <c r="AD693" s="503"/>
      <c r="AE693" s="470"/>
      <c r="AF693" s="470"/>
      <c r="AH693" s="529"/>
      <c r="AI693" s="470"/>
      <c r="AJ693" s="470"/>
      <c r="AL693" s="470"/>
      <c r="AM693" s="472"/>
      <c r="AN693" s="472"/>
    </row>
    <row r="694" spans="3:40">
      <c r="F694" s="479"/>
      <c r="H694" s="479"/>
      <c r="I694" s="479"/>
      <c r="J694" s="484"/>
      <c r="K694" s="484"/>
      <c r="L694" s="479"/>
      <c r="M694" s="479"/>
      <c r="N694" s="479"/>
      <c r="O694" s="479"/>
      <c r="P694" s="479"/>
      <c r="Q694" s="479"/>
      <c r="R694" s="479"/>
      <c r="V694" s="479"/>
      <c r="Y694" s="479"/>
      <c r="Z694" s="484"/>
      <c r="AA694" s="479"/>
      <c r="AB694" s="479"/>
      <c r="AC694" s="479"/>
      <c r="AD694" s="479"/>
      <c r="AE694" s="479"/>
      <c r="AF694" s="479"/>
      <c r="AI694" s="479"/>
      <c r="AJ694" s="479"/>
      <c r="AK694" s="485"/>
      <c r="AL694" s="479"/>
      <c r="AM694" s="472"/>
      <c r="AN694" s="472"/>
    </row>
    <row r="695" spans="3:40">
      <c r="C695" s="455"/>
      <c r="F695" s="470"/>
      <c r="H695" s="470"/>
      <c r="I695" s="470"/>
      <c r="J695" s="503"/>
      <c r="K695" s="503"/>
      <c r="L695" s="470"/>
      <c r="M695" s="470"/>
      <c r="N695" s="503"/>
      <c r="O695" s="503"/>
      <c r="P695" s="470"/>
      <c r="Q695" s="470"/>
      <c r="R695" s="470"/>
      <c r="T695" s="455"/>
      <c r="V695" s="470"/>
      <c r="Y695" s="470"/>
      <c r="Z695" s="503"/>
      <c r="AA695" s="470"/>
      <c r="AB695" s="470"/>
      <c r="AC695" s="503"/>
      <c r="AD695" s="503"/>
      <c r="AE695" s="470"/>
      <c r="AF695" s="470"/>
      <c r="AH695" s="529"/>
      <c r="AI695" s="470"/>
      <c r="AJ695" s="470"/>
      <c r="AL695" s="470"/>
      <c r="AM695" s="472"/>
      <c r="AN695" s="472"/>
    </row>
    <row r="696" spans="3:40">
      <c r="V696" s="470"/>
      <c r="Y696" s="470"/>
      <c r="Z696" s="484"/>
      <c r="AA696" s="470"/>
      <c r="AB696" s="470"/>
      <c r="AC696" s="470"/>
      <c r="AD696" s="470"/>
      <c r="AE696" s="470"/>
      <c r="AF696" s="470"/>
      <c r="AI696" s="470"/>
      <c r="AJ696" s="470"/>
      <c r="AL696" s="470"/>
      <c r="AM696" s="472"/>
      <c r="AN696" s="472"/>
    </row>
    <row r="697" spans="3:40">
      <c r="C697" s="455"/>
      <c r="D697" s="455"/>
      <c r="E697" s="455"/>
      <c r="L697" s="470"/>
      <c r="M697" s="470"/>
      <c r="N697" s="503"/>
      <c r="O697" s="503"/>
      <c r="R697" s="470"/>
      <c r="T697" s="455"/>
      <c r="U697" s="455"/>
      <c r="AA697" s="470"/>
      <c r="AB697" s="470"/>
      <c r="AC697" s="503"/>
      <c r="AD697" s="503"/>
      <c r="AE697" s="470"/>
      <c r="AF697" s="470"/>
      <c r="AH697" s="529"/>
      <c r="AL697" s="470"/>
      <c r="AM697" s="472"/>
      <c r="AN697" s="472"/>
    </row>
    <row r="698" spans="3:40">
      <c r="D698" s="455"/>
      <c r="E698" s="455"/>
      <c r="F698" s="476"/>
      <c r="H698" s="476"/>
      <c r="I698" s="476"/>
      <c r="J698" s="503"/>
      <c r="K698" s="503"/>
      <c r="L698" s="470"/>
      <c r="M698" s="470"/>
      <c r="N698" s="503"/>
      <c r="O698" s="503"/>
      <c r="P698" s="476"/>
      <c r="Q698" s="476"/>
      <c r="R698" s="470"/>
      <c r="U698" s="455"/>
      <c r="V698" s="470"/>
      <c r="Y698" s="470"/>
      <c r="Z698" s="503"/>
      <c r="AA698" s="470"/>
      <c r="AB698" s="470"/>
      <c r="AC698" s="503"/>
      <c r="AD698" s="503"/>
      <c r="AE698" s="470"/>
      <c r="AF698" s="470"/>
      <c r="AH698" s="529"/>
      <c r="AI698" s="470"/>
      <c r="AJ698" s="470"/>
      <c r="AL698" s="470"/>
      <c r="AM698" s="472"/>
      <c r="AN698" s="472"/>
    </row>
    <row r="699" spans="3:40">
      <c r="F699" s="479"/>
      <c r="H699" s="479"/>
      <c r="I699" s="479"/>
      <c r="J699" s="484"/>
      <c r="K699" s="484"/>
      <c r="L699" s="479"/>
      <c r="M699" s="479"/>
      <c r="N699" s="479"/>
      <c r="O699" s="479"/>
      <c r="P699" s="479"/>
      <c r="Q699" s="479"/>
      <c r="R699" s="479"/>
      <c r="V699" s="479"/>
      <c r="Y699" s="479"/>
      <c r="Z699" s="484"/>
      <c r="AA699" s="479"/>
      <c r="AB699" s="479"/>
      <c r="AC699" s="479"/>
      <c r="AD699" s="479"/>
      <c r="AE699" s="479"/>
      <c r="AF699" s="479"/>
      <c r="AI699" s="479"/>
      <c r="AJ699" s="479"/>
      <c r="AK699" s="485"/>
      <c r="AL699" s="479"/>
      <c r="AM699" s="472"/>
      <c r="AN699" s="472"/>
    </row>
    <row r="700" spans="3:40">
      <c r="C700" s="455"/>
      <c r="F700" s="470"/>
      <c r="H700" s="470"/>
      <c r="I700" s="470"/>
      <c r="J700" s="503"/>
      <c r="K700" s="503"/>
      <c r="L700" s="470"/>
      <c r="M700" s="470"/>
      <c r="N700" s="503"/>
      <c r="O700" s="503"/>
      <c r="P700" s="470"/>
      <c r="Q700" s="470"/>
      <c r="R700" s="470"/>
      <c r="T700" s="455"/>
      <c r="V700" s="470"/>
      <c r="Y700" s="470"/>
      <c r="Z700" s="503"/>
      <c r="AA700" s="470"/>
      <c r="AB700" s="470"/>
      <c r="AC700" s="503"/>
      <c r="AD700" s="503"/>
      <c r="AE700" s="470"/>
      <c r="AF700" s="470"/>
      <c r="AH700" s="529"/>
      <c r="AI700" s="470"/>
      <c r="AJ700" s="470"/>
      <c r="AL700" s="470"/>
      <c r="AM700" s="472"/>
      <c r="AN700" s="472"/>
    </row>
    <row r="701" spans="3:40">
      <c r="F701" s="470"/>
      <c r="H701" s="470"/>
      <c r="I701" s="470"/>
      <c r="J701" s="503"/>
      <c r="K701" s="503"/>
      <c r="L701" s="470"/>
      <c r="M701" s="470"/>
      <c r="N701" s="503"/>
      <c r="O701" s="503"/>
      <c r="P701" s="470"/>
      <c r="Q701" s="470"/>
      <c r="R701" s="470"/>
      <c r="V701" s="470"/>
      <c r="Y701" s="470"/>
      <c r="Z701" s="503"/>
      <c r="AA701" s="470"/>
      <c r="AB701" s="470"/>
      <c r="AC701" s="503"/>
      <c r="AD701" s="503"/>
      <c r="AH701" s="529"/>
      <c r="AI701" s="470"/>
      <c r="AJ701" s="470"/>
      <c r="AL701" s="470"/>
      <c r="AM701" s="472"/>
      <c r="AN701" s="472"/>
    </row>
    <row r="702" spans="3:40">
      <c r="D702" s="455"/>
      <c r="E702" s="455"/>
      <c r="F702" s="470"/>
      <c r="H702" s="470"/>
      <c r="I702" s="470"/>
      <c r="J702" s="503"/>
      <c r="K702" s="503"/>
      <c r="L702" s="476"/>
      <c r="M702" s="476"/>
      <c r="N702" s="503"/>
      <c r="O702" s="503"/>
      <c r="P702" s="470"/>
      <c r="Q702" s="470"/>
      <c r="R702" s="470"/>
      <c r="U702" s="455"/>
      <c r="V702" s="470"/>
      <c r="Y702" s="470"/>
      <c r="Z702" s="503"/>
      <c r="AA702" s="476"/>
      <c r="AB702" s="476"/>
      <c r="AC702" s="503"/>
      <c r="AD702" s="503"/>
      <c r="AE702" s="470"/>
      <c r="AF702" s="470"/>
      <c r="AH702" s="529"/>
      <c r="AI702" s="470"/>
      <c r="AJ702" s="470"/>
      <c r="AL702" s="470"/>
      <c r="AM702" s="472"/>
      <c r="AN702" s="472"/>
    </row>
    <row r="703" spans="3:40">
      <c r="D703" s="455"/>
      <c r="E703" s="455"/>
      <c r="F703" s="470"/>
      <c r="H703" s="470"/>
      <c r="I703" s="470"/>
      <c r="J703" s="503"/>
      <c r="K703" s="503"/>
      <c r="L703" s="476"/>
      <c r="M703" s="476"/>
      <c r="N703" s="503"/>
      <c r="O703" s="503"/>
      <c r="P703" s="470"/>
      <c r="Q703" s="470"/>
      <c r="R703" s="470"/>
      <c r="U703" s="455"/>
      <c r="V703" s="470"/>
      <c r="Y703" s="470"/>
      <c r="Z703" s="503"/>
      <c r="AA703" s="476"/>
      <c r="AB703" s="476"/>
      <c r="AC703" s="503"/>
      <c r="AD703" s="503"/>
      <c r="AE703" s="470"/>
      <c r="AF703" s="470"/>
      <c r="AH703" s="529"/>
      <c r="AI703" s="470"/>
      <c r="AJ703" s="470"/>
      <c r="AL703" s="470"/>
      <c r="AM703" s="472"/>
      <c r="AN703" s="472"/>
    </row>
    <row r="704" spans="3:40">
      <c r="D704" s="455"/>
      <c r="E704" s="455"/>
      <c r="F704" s="470"/>
      <c r="H704" s="470"/>
      <c r="I704" s="470"/>
      <c r="J704" s="503"/>
      <c r="K704" s="503"/>
      <c r="L704" s="476"/>
      <c r="M704" s="476"/>
      <c r="N704" s="503"/>
      <c r="O704" s="503"/>
      <c r="P704" s="470"/>
      <c r="Q704" s="470"/>
      <c r="R704" s="470"/>
      <c r="U704" s="455"/>
      <c r="V704" s="470"/>
      <c r="Y704" s="470"/>
      <c r="Z704" s="503"/>
      <c r="AA704" s="476"/>
      <c r="AB704" s="476"/>
      <c r="AC704" s="503"/>
      <c r="AD704" s="503"/>
      <c r="AE704" s="470"/>
      <c r="AF704" s="470"/>
      <c r="AH704" s="529"/>
      <c r="AI704" s="470"/>
      <c r="AJ704" s="470"/>
      <c r="AL704" s="470"/>
      <c r="AM704" s="472"/>
      <c r="AN704" s="472"/>
    </row>
    <row r="705" spans="1:40">
      <c r="F705" s="479"/>
      <c r="H705" s="479"/>
      <c r="I705" s="479"/>
      <c r="J705" s="484"/>
      <c r="K705" s="484"/>
      <c r="L705" s="479"/>
      <c r="M705" s="479"/>
      <c r="N705" s="479"/>
      <c r="O705" s="479"/>
      <c r="P705" s="479"/>
      <c r="Q705" s="479"/>
      <c r="R705" s="479"/>
      <c r="V705" s="479"/>
      <c r="Y705" s="479"/>
      <c r="Z705" s="484"/>
      <c r="AA705" s="479"/>
      <c r="AB705" s="479"/>
      <c r="AC705" s="479"/>
      <c r="AD705" s="479"/>
      <c r="AE705" s="479"/>
      <c r="AF705" s="479"/>
      <c r="AI705" s="479"/>
      <c r="AJ705" s="479"/>
      <c r="AK705" s="485"/>
      <c r="AL705" s="479"/>
      <c r="AM705" s="472"/>
      <c r="AN705" s="472"/>
    </row>
    <row r="706" spans="1:40">
      <c r="C706" s="455"/>
      <c r="F706" s="470"/>
      <c r="H706" s="470"/>
      <c r="I706" s="470"/>
      <c r="J706" s="503"/>
      <c r="K706" s="503"/>
      <c r="L706" s="470"/>
      <c r="M706" s="470"/>
      <c r="N706" s="503"/>
      <c r="O706" s="503"/>
      <c r="P706" s="470"/>
      <c r="Q706" s="470"/>
      <c r="R706" s="470"/>
      <c r="T706" s="455"/>
      <c r="V706" s="470"/>
      <c r="Y706" s="470"/>
      <c r="Z706" s="503"/>
      <c r="AA706" s="470"/>
      <c r="AB706" s="470"/>
      <c r="AC706" s="503"/>
      <c r="AD706" s="503"/>
      <c r="AE706" s="470"/>
      <c r="AF706" s="470"/>
      <c r="AH706" s="529"/>
      <c r="AI706" s="470"/>
      <c r="AJ706" s="470"/>
      <c r="AL706" s="470"/>
      <c r="AM706" s="472"/>
      <c r="AN706" s="472"/>
    </row>
    <row r="707" spans="1:40">
      <c r="F707" s="470"/>
      <c r="H707" s="470"/>
      <c r="I707" s="470"/>
      <c r="J707" s="503"/>
      <c r="K707" s="503"/>
      <c r="L707" s="470"/>
      <c r="M707" s="470"/>
      <c r="N707" s="503"/>
      <c r="O707" s="503"/>
      <c r="P707" s="470"/>
      <c r="Q707" s="470"/>
      <c r="R707" s="470"/>
      <c r="V707" s="470"/>
      <c r="Y707" s="470"/>
      <c r="Z707" s="503"/>
      <c r="AA707" s="470"/>
      <c r="AB707" s="470"/>
      <c r="AC707" s="503"/>
      <c r="AD707" s="503"/>
      <c r="AH707" s="529"/>
      <c r="AI707" s="470"/>
      <c r="AJ707" s="470"/>
      <c r="AL707" s="470"/>
      <c r="AM707" s="472"/>
      <c r="AN707" s="472"/>
    </row>
    <row r="708" spans="1:40">
      <c r="C708" s="455"/>
      <c r="F708" s="470"/>
      <c r="H708" s="470"/>
      <c r="I708" s="470"/>
      <c r="J708" s="503"/>
      <c r="K708" s="503"/>
      <c r="L708" s="470"/>
      <c r="M708" s="470"/>
      <c r="N708" s="503"/>
      <c r="O708" s="503"/>
      <c r="P708" s="470"/>
      <c r="Q708" s="470"/>
      <c r="R708" s="470"/>
      <c r="T708" s="455"/>
      <c r="V708" s="470"/>
      <c r="Y708" s="470"/>
      <c r="Z708" s="503"/>
      <c r="AA708" s="470"/>
      <c r="AB708" s="470"/>
      <c r="AC708" s="503"/>
      <c r="AD708" s="503"/>
      <c r="AE708" s="470"/>
      <c r="AF708" s="470"/>
      <c r="AH708" s="529"/>
      <c r="AI708" s="470"/>
      <c r="AJ708" s="470"/>
      <c r="AL708" s="470"/>
      <c r="AM708" s="472"/>
      <c r="AN708" s="472"/>
    </row>
    <row r="709" spans="1:40">
      <c r="F709" s="479"/>
      <c r="H709" s="479"/>
      <c r="I709" s="479"/>
      <c r="J709" s="484"/>
      <c r="K709" s="484"/>
      <c r="L709" s="479"/>
      <c r="M709" s="479"/>
      <c r="N709" s="479"/>
      <c r="O709" s="479"/>
      <c r="P709" s="479"/>
      <c r="Q709" s="479"/>
      <c r="R709" s="479"/>
      <c r="V709" s="479"/>
      <c r="Y709" s="479"/>
      <c r="Z709" s="484"/>
      <c r="AA709" s="479"/>
      <c r="AB709" s="479"/>
      <c r="AC709" s="479"/>
      <c r="AD709" s="479"/>
      <c r="AE709" s="479"/>
      <c r="AF709" s="479"/>
      <c r="AI709" s="479"/>
      <c r="AJ709" s="479"/>
      <c r="AK709" s="485"/>
      <c r="AL709" s="479"/>
    </row>
    <row r="711" spans="1:40">
      <c r="C711" s="455"/>
      <c r="L711" s="470"/>
      <c r="M711" s="470"/>
      <c r="P711" s="470"/>
      <c r="Q711" s="470"/>
      <c r="R711" s="470"/>
      <c r="T711" s="455"/>
    </row>
    <row r="712" spans="1:40">
      <c r="A712" s="455"/>
      <c r="L712" s="470"/>
      <c r="M712" s="470"/>
      <c r="P712" s="470"/>
      <c r="Q712" s="470"/>
      <c r="R712" s="470"/>
    </row>
    <row r="713" spans="1:40">
      <c r="L713" s="470"/>
      <c r="M713" s="470"/>
      <c r="P713" s="470"/>
      <c r="Q713" s="470"/>
      <c r="R713" s="470"/>
    </row>
    <row r="714" spans="1:40">
      <c r="L714" s="470"/>
      <c r="M714" s="470"/>
      <c r="P714" s="470"/>
      <c r="Q714" s="470"/>
      <c r="R714" s="470"/>
    </row>
    <row r="715" spans="1:40">
      <c r="L715" s="470"/>
      <c r="M715" s="470"/>
      <c r="P715" s="470"/>
      <c r="Q715" s="470"/>
      <c r="R715" s="470"/>
    </row>
    <row r="716" spans="1:40">
      <c r="L716" s="470"/>
      <c r="M716" s="470"/>
      <c r="P716" s="470"/>
      <c r="Q716" s="470"/>
      <c r="R716" s="470"/>
    </row>
    <row r="717" spans="1:40">
      <c r="L717" s="470"/>
      <c r="M717" s="470"/>
      <c r="P717" s="470"/>
      <c r="Q717" s="470"/>
      <c r="R717" s="470"/>
    </row>
    <row r="750" spans="49:49">
      <c r="AW750" s="470"/>
    </row>
    <row r="751" spans="49:49">
      <c r="AW751" s="470"/>
    </row>
    <row r="752" spans="49:49">
      <c r="AW752" s="470"/>
    </row>
    <row r="753" spans="49:49">
      <c r="AW753" s="470"/>
    </row>
    <row r="754" spans="49:49">
      <c r="AW754" s="470"/>
    </row>
    <row r="755" spans="49:49">
      <c r="AW755" s="470"/>
    </row>
    <row r="758" spans="49:49">
      <c r="AW758" s="470"/>
    </row>
    <row r="759" spans="49:49">
      <c r="AW759" s="470"/>
    </row>
    <row r="760" spans="49:49">
      <c r="AW760" s="470"/>
    </row>
    <row r="761" spans="49:49">
      <c r="AW761" s="470"/>
    </row>
    <row r="762" spans="49:49">
      <c r="AW762" s="470"/>
    </row>
    <row r="763" spans="49:49">
      <c r="AW763" s="470"/>
    </row>
    <row r="764" spans="49:49">
      <c r="AW764" s="470"/>
    </row>
    <row r="765" spans="49:49">
      <c r="AW765" s="470"/>
    </row>
    <row r="768" spans="49:49">
      <c r="AW768" s="470"/>
    </row>
    <row r="769" spans="49:51">
      <c r="AW769" s="470"/>
    </row>
    <row r="772" spans="49:51">
      <c r="AW772" s="470"/>
    </row>
    <row r="773" spans="49:51">
      <c r="AW773" s="470"/>
    </row>
    <row r="774" spans="49:51">
      <c r="AW774" s="470"/>
    </row>
    <row r="775" spans="49:51">
      <c r="AW775" s="470"/>
    </row>
    <row r="783" spans="49:51">
      <c r="AY783" s="455"/>
    </row>
    <row r="784" spans="49:51">
      <c r="AY784" s="455"/>
    </row>
    <row r="785" spans="45:69">
      <c r="BD785" s="455"/>
    </row>
    <row r="786" spans="45:69">
      <c r="BD786" s="455"/>
    </row>
    <row r="787" spans="45:69">
      <c r="AS787" s="455"/>
      <c r="BD787" s="455"/>
    </row>
    <row r="789" spans="45:69">
      <c r="AS789" s="460"/>
      <c r="AT789" s="460"/>
      <c r="AU789" s="460"/>
      <c r="AV789" s="460"/>
      <c r="AW789" s="460"/>
      <c r="AX789" s="460"/>
      <c r="AY789" s="460"/>
      <c r="AZ789" s="460"/>
      <c r="BA789" s="460"/>
      <c r="BB789" s="460"/>
      <c r="BC789" s="460"/>
      <c r="BD789" s="460"/>
      <c r="BE789" s="460"/>
    </row>
    <row r="790" spans="45:69">
      <c r="AX790" s="455"/>
    </row>
    <row r="791" spans="45:69">
      <c r="AX791" s="460"/>
      <c r="AY791" s="460"/>
      <c r="AZ791" s="460"/>
      <c r="BA791" s="460"/>
      <c r="BC791" s="462"/>
      <c r="BD791" s="462"/>
    </row>
    <row r="792" spans="45:69">
      <c r="AV792" s="462"/>
      <c r="AW792" s="462"/>
      <c r="AZ792" s="462"/>
      <c r="BA792" s="462"/>
      <c r="BC792" s="462"/>
      <c r="BD792" s="462"/>
      <c r="BE792" s="462"/>
      <c r="BG792" s="460"/>
      <c r="BH792" s="455"/>
      <c r="BK792" s="460"/>
      <c r="BM792" s="460"/>
      <c r="BN792" s="455"/>
      <c r="BQ792" s="460"/>
    </row>
    <row r="793" spans="45:69">
      <c r="AV793" s="462"/>
      <c r="AW793" s="462"/>
      <c r="AX793" s="462"/>
      <c r="AY793" s="462"/>
      <c r="AZ793" s="462"/>
      <c r="BA793" s="462"/>
      <c r="BB793" s="462"/>
      <c r="BC793" s="462"/>
      <c r="BD793" s="462"/>
      <c r="BE793" s="462"/>
      <c r="BH793" s="462"/>
      <c r="BI793" s="462"/>
      <c r="BJ793" s="462"/>
      <c r="BN793" s="462"/>
      <c r="BO793" s="462"/>
      <c r="BP793" s="462"/>
    </row>
    <row r="794" spans="45:69">
      <c r="AS794" s="462"/>
      <c r="AU794" s="455"/>
      <c r="AV794" s="462"/>
      <c r="AW794" s="462"/>
      <c r="AX794" s="462"/>
      <c r="AY794" s="462"/>
      <c r="AZ794" s="462"/>
      <c r="BA794" s="462"/>
      <c r="BB794" s="462"/>
      <c r="BC794" s="462"/>
      <c r="BD794" s="462"/>
      <c r="BE794" s="462"/>
      <c r="BG794" s="462"/>
      <c r="BH794" s="462"/>
      <c r="BI794" s="462"/>
      <c r="BJ794" s="462"/>
      <c r="BK794" s="462"/>
      <c r="BM794" s="462"/>
      <c r="BN794" s="462"/>
      <c r="BO794" s="462"/>
      <c r="BP794" s="462"/>
      <c r="BQ794" s="462"/>
    </row>
    <row r="795" spans="45:69">
      <c r="AS795" s="462"/>
      <c r="AU795" s="455"/>
      <c r="AV795" s="462"/>
      <c r="AW795" s="462"/>
      <c r="AX795" s="462"/>
      <c r="AY795" s="462"/>
      <c r="AZ795" s="462"/>
      <c r="BA795" s="462"/>
      <c r="BB795" s="462"/>
      <c r="BC795" s="462"/>
      <c r="BD795" s="462"/>
      <c r="BE795" s="462"/>
      <c r="BG795" s="462"/>
      <c r="BH795" s="462"/>
      <c r="BI795" s="462"/>
      <c r="BJ795" s="462"/>
      <c r="BK795" s="462"/>
      <c r="BM795" s="462"/>
      <c r="BN795" s="462"/>
      <c r="BO795" s="462"/>
      <c r="BP795" s="462"/>
      <c r="BQ795" s="462"/>
    </row>
    <row r="796" spans="45:69">
      <c r="AS796" s="460"/>
      <c r="AT796" s="460"/>
      <c r="AU796" s="460"/>
      <c r="AV796" s="460"/>
      <c r="AW796" s="460"/>
      <c r="AX796" s="460"/>
      <c r="AY796" s="460"/>
      <c r="AZ796" s="460"/>
      <c r="BA796" s="460"/>
      <c r="BB796" s="460"/>
      <c r="BC796" s="460"/>
      <c r="BD796" s="460"/>
      <c r="BE796" s="460"/>
      <c r="BG796" s="460"/>
      <c r="BH796" s="460"/>
      <c r="BI796" s="460"/>
      <c r="BJ796" s="460"/>
      <c r="BK796" s="460"/>
      <c r="BM796" s="460"/>
      <c r="BN796" s="460"/>
      <c r="BO796" s="460"/>
      <c r="BP796" s="460"/>
      <c r="BQ796" s="460"/>
    </row>
    <row r="797" spans="45:69">
      <c r="AV797" s="462"/>
      <c r="AW797" s="462"/>
      <c r="AX797" s="462"/>
      <c r="AY797" s="462"/>
      <c r="AZ797" s="462"/>
      <c r="BA797" s="462"/>
      <c r="BB797" s="462"/>
      <c r="BC797" s="462"/>
      <c r="BD797" s="462"/>
      <c r="BE797" s="462"/>
    </row>
    <row r="798" spans="45:69">
      <c r="AU798" s="455"/>
      <c r="AV798" s="462"/>
      <c r="AY798" s="503"/>
    </row>
    <row r="799" spans="45:69">
      <c r="AV799" s="462"/>
      <c r="AW799" s="470"/>
      <c r="AX799" s="537"/>
      <c r="AY799" s="537"/>
      <c r="AZ799" s="537"/>
      <c r="BA799" s="472"/>
      <c r="BB799" s="537"/>
      <c r="BC799" s="503"/>
      <c r="BD799" s="503"/>
      <c r="BE799" s="472"/>
      <c r="BG799" s="537"/>
      <c r="BH799" s="537"/>
      <c r="BI799" s="537"/>
      <c r="BJ799" s="537"/>
      <c r="BK799" s="537"/>
      <c r="BM799" s="537"/>
      <c r="BN799" s="537"/>
      <c r="BO799" s="537"/>
      <c r="BP799" s="537"/>
      <c r="BQ799" s="537"/>
    </row>
    <row r="800" spans="45:69">
      <c r="AV800" s="462"/>
      <c r="AW800" s="470"/>
      <c r="AX800" s="537"/>
      <c r="AY800" s="537"/>
      <c r="AZ800" s="537"/>
      <c r="BA800" s="472"/>
      <c r="BB800" s="537"/>
      <c r="BC800" s="503"/>
      <c r="BD800" s="503"/>
      <c r="BE800" s="472"/>
      <c r="BG800" s="537"/>
      <c r="BH800" s="537"/>
      <c r="BI800" s="537"/>
      <c r="BJ800" s="537"/>
      <c r="BK800" s="537"/>
      <c r="BM800" s="537"/>
      <c r="BN800" s="537"/>
      <c r="BO800" s="537"/>
      <c r="BP800" s="537"/>
      <c r="BQ800" s="537"/>
    </row>
    <row r="801" spans="48:69">
      <c r="AV801" s="462"/>
      <c r="AW801" s="470"/>
      <c r="AX801" s="537"/>
      <c r="AY801" s="537"/>
      <c r="AZ801" s="537"/>
      <c r="BA801" s="472"/>
      <c r="BB801" s="537"/>
      <c r="BC801" s="503"/>
      <c r="BD801" s="503"/>
      <c r="BE801" s="472"/>
      <c r="BG801" s="537"/>
      <c r="BH801" s="537"/>
      <c r="BI801" s="537"/>
      <c r="BJ801" s="537"/>
      <c r="BK801" s="537"/>
      <c r="BM801" s="537"/>
      <c r="BN801" s="537"/>
      <c r="BO801" s="537"/>
      <c r="BP801" s="537"/>
      <c r="BQ801" s="537"/>
    </row>
    <row r="802" spans="48:69">
      <c r="AV802" s="462"/>
      <c r="AW802" s="470"/>
      <c r="AX802" s="537"/>
      <c r="AY802" s="537"/>
      <c r="AZ802" s="537"/>
      <c r="BA802" s="472"/>
      <c r="BB802" s="537"/>
      <c r="BC802" s="503"/>
      <c r="BD802" s="503"/>
      <c r="BE802" s="472"/>
      <c r="BG802" s="537"/>
      <c r="BH802" s="537"/>
      <c r="BI802" s="537"/>
      <c r="BJ802" s="537"/>
      <c r="BK802" s="537"/>
      <c r="BM802" s="537"/>
      <c r="BN802" s="537"/>
      <c r="BO802" s="537"/>
      <c r="BP802" s="537"/>
      <c r="BQ802" s="537"/>
    </row>
    <row r="803" spans="48:69">
      <c r="AV803" s="462"/>
      <c r="AW803" s="470"/>
      <c r="AX803" s="537"/>
      <c r="AY803" s="537"/>
      <c r="AZ803" s="537"/>
      <c r="BA803" s="472"/>
      <c r="BB803" s="537"/>
      <c r="BC803" s="503"/>
      <c r="BD803" s="503"/>
      <c r="BE803" s="472"/>
      <c r="BG803" s="537"/>
      <c r="BH803" s="537"/>
      <c r="BI803" s="537"/>
      <c r="BJ803" s="537"/>
      <c r="BK803" s="537"/>
      <c r="BM803" s="537"/>
      <c r="BN803" s="537"/>
      <c r="BO803" s="537"/>
      <c r="BP803" s="537"/>
      <c r="BQ803" s="537"/>
    </row>
    <row r="804" spans="48:69">
      <c r="AV804" s="462"/>
      <c r="AW804" s="470"/>
      <c r="AX804" s="537"/>
      <c r="AY804" s="537"/>
      <c r="AZ804" s="537"/>
      <c r="BA804" s="472"/>
      <c r="BB804" s="537"/>
      <c r="BC804" s="503"/>
      <c r="BD804" s="503"/>
      <c r="BE804" s="472"/>
      <c r="BG804" s="537"/>
      <c r="BH804" s="537"/>
      <c r="BI804" s="537"/>
      <c r="BJ804" s="537"/>
      <c r="BK804" s="537"/>
      <c r="BM804" s="537"/>
      <c r="BN804" s="537"/>
      <c r="BO804" s="537"/>
      <c r="BP804" s="537"/>
      <c r="BQ804" s="537"/>
    </row>
    <row r="805" spans="48:69">
      <c r="AV805" s="462"/>
      <c r="AW805" s="470"/>
      <c r="AX805" s="537"/>
      <c r="AY805" s="537"/>
      <c r="AZ805" s="537"/>
      <c r="BA805" s="472"/>
      <c r="BB805" s="537"/>
      <c r="BC805" s="503"/>
      <c r="BD805" s="503"/>
      <c r="BE805" s="472"/>
      <c r="BG805" s="537"/>
      <c r="BH805" s="537"/>
      <c r="BI805" s="537"/>
      <c r="BJ805" s="537"/>
      <c r="BK805" s="537"/>
      <c r="BM805" s="537"/>
      <c r="BN805" s="537"/>
      <c r="BO805" s="537"/>
      <c r="BP805" s="537"/>
      <c r="BQ805" s="537"/>
    </row>
    <row r="806" spans="48:69">
      <c r="AY806" s="503"/>
      <c r="AZ806" s="537"/>
      <c r="BA806" s="472"/>
      <c r="BB806" s="537"/>
      <c r="BC806" s="503"/>
      <c r="BD806" s="503"/>
      <c r="BE806" s="472"/>
      <c r="BK806" s="537"/>
      <c r="BQ806" s="537"/>
    </row>
    <row r="807" spans="48:69">
      <c r="AV807" s="462"/>
      <c r="AY807" s="503"/>
      <c r="AZ807" s="537"/>
      <c r="BA807" s="472"/>
      <c r="BB807" s="537"/>
      <c r="BC807" s="503"/>
      <c r="BD807" s="503"/>
      <c r="BE807" s="472"/>
      <c r="BK807" s="537"/>
      <c r="BQ807" s="537"/>
    </row>
    <row r="808" spans="48:69">
      <c r="AV808" s="462"/>
      <c r="AW808" s="470"/>
      <c r="AX808" s="537"/>
      <c r="AY808" s="537"/>
      <c r="AZ808" s="537"/>
      <c r="BA808" s="472"/>
      <c r="BB808" s="537"/>
      <c r="BC808" s="503"/>
      <c r="BD808" s="503"/>
      <c r="BE808" s="472"/>
      <c r="BG808" s="537"/>
      <c r="BH808" s="537"/>
      <c r="BI808" s="537"/>
      <c r="BJ808" s="537"/>
      <c r="BK808" s="537"/>
      <c r="BM808" s="537"/>
      <c r="BN808" s="537"/>
      <c r="BO808" s="537"/>
      <c r="BP808" s="537"/>
      <c r="BQ808" s="537"/>
    </row>
    <row r="809" spans="48:69">
      <c r="AV809" s="462"/>
      <c r="AW809" s="470"/>
      <c r="AX809" s="537"/>
      <c r="AY809" s="537"/>
      <c r="AZ809" s="537"/>
      <c r="BA809" s="472"/>
      <c r="BB809" s="537"/>
      <c r="BC809" s="503"/>
      <c r="BD809" s="503"/>
      <c r="BE809" s="472"/>
      <c r="BG809" s="537"/>
      <c r="BH809" s="537"/>
      <c r="BI809" s="537"/>
      <c r="BJ809" s="537"/>
      <c r="BK809" s="537"/>
      <c r="BM809" s="537"/>
      <c r="BN809" s="537"/>
      <c r="BO809" s="537"/>
      <c r="BP809" s="537"/>
      <c r="BQ809" s="537"/>
    </row>
    <row r="810" spans="48:69">
      <c r="AV810" s="462"/>
      <c r="AW810" s="470"/>
      <c r="AX810" s="537"/>
      <c r="AY810" s="537"/>
      <c r="AZ810" s="537"/>
      <c r="BA810" s="472"/>
      <c r="BB810" s="537"/>
      <c r="BC810" s="503"/>
      <c r="BD810" s="503"/>
      <c r="BE810" s="472"/>
      <c r="BG810" s="537"/>
      <c r="BH810" s="537"/>
      <c r="BI810" s="537"/>
      <c r="BJ810" s="537"/>
      <c r="BK810" s="537"/>
      <c r="BM810" s="537"/>
      <c r="BN810" s="537"/>
      <c r="BO810" s="537"/>
      <c r="BP810" s="537"/>
      <c r="BQ810" s="537"/>
    </row>
    <row r="811" spans="48:69">
      <c r="AV811" s="462"/>
      <c r="AW811" s="470"/>
      <c r="AX811" s="537"/>
      <c r="AY811" s="537"/>
      <c r="AZ811" s="537"/>
      <c r="BA811" s="472"/>
      <c r="BB811" s="537"/>
      <c r="BC811" s="503"/>
      <c r="BD811" s="503"/>
      <c r="BE811" s="472"/>
      <c r="BG811" s="537"/>
      <c r="BH811" s="537"/>
      <c r="BI811" s="537"/>
      <c r="BJ811" s="537"/>
      <c r="BK811" s="537"/>
      <c r="BM811" s="537"/>
      <c r="BN811" s="537"/>
      <c r="BO811" s="537"/>
      <c r="BP811" s="537"/>
      <c r="BQ811" s="537"/>
    </row>
    <row r="812" spans="48:69">
      <c r="AV812" s="462"/>
      <c r="AW812" s="470"/>
      <c r="AX812" s="537"/>
      <c r="AY812" s="537"/>
      <c r="AZ812" s="537"/>
      <c r="BA812" s="472"/>
      <c r="BB812" s="537"/>
      <c r="BC812" s="503"/>
      <c r="BD812" s="503"/>
      <c r="BE812" s="472"/>
      <c r="BG812" s="537"/>
      <c r="BH812" s="537"/>
      <c r="BI812" s="537"/>
      <c r="BJ812" s="537"/>
      <c r="BK812" s="537"/>
      <c r="BM812" s="537"/>
      <c r="BN812" s="537"/>
      <c r="BO812" s="537"/>
      <c r="BP812" s="537"/>
      <c r="BQ812" s="537"/>
    </row>
    <row r="813" spans="48:69">
      <c r="AV813" s="462"/>
      <c r="AW813" s="470"/>
      <c r="AX813" s="537"/>
      <c r="AY813" s="537"/>
      <c r="AZ813" s="537"/>
      <c r="BA813" s="472"/>
      <c r="BB813" s="537"/>
      <c r="BC813" s="503"/>
      <c r="BD813" s="503"/>
      <c r="BE813" s="472"/>
      <c r="BG813" s="537"/>
      <c r="BH813" s="537"/>
      <c r="BI813" s="537"/>
      <c r="BJ813" s="537"/>
      <c r="BK813" s="537"/>
      <c r="BM813" s="537"/>
      <c r="BN813" s="537"/>
      <c r="BO813" s="537"/>
      <c r="BP813" s="537"/>
      <c r="BQ813" s="537"/>
    </row>
    <row r="814" spans="48:69">
      <c r="AV814" s="462"/>
      <c r="AW814" s="470"/>
      <c r="AX814" s="537"/>
      <c r="AY814" s="537"/>
      <c r="AZ814" s="537"/>
      <c r="BA814" s="472"/>
      <c r="BB814" s="537"/>
      <c r="BC814" s="503"/>
      <c r="BD814" s="503"/>
      <c r="BE814" s="472"/>
      <c r="BG814" s="537"/>
      <c r="BH814" s="537"/>
      <c r="BI814" s="537"/>
      <c r="BJ814" s="537"/>
      <c r="BK814" s="537"/>
      <c r="BM814" s="537"/>
      <c r="BN814" s="537"/>
      <c r="BO814" s="537"/>
      <c r="BP814" s="537"/>
      <c r="BQ814" s="537"/>
    </row>
    <row r="815" spans="48:69">
      <c r="AV815" s="462"/>
      <c r="AW815" s="470"/>
      <c r="AX815" s="537"/>
      <c r="AY815" s="537"/>
      <c r="AZ815" s="537"/>
      <c r="BA815" s="472"/>
      <c r="BB815" s="537"/>
      <c r="BC815" s="503"/>
      <c r="BD815" s="503"/>
      <c r="BE815" s="472"/>
      <c r="BG815" s="537"/>
      <c r="BH815" s="537"/>
      <c r="BI815" s="537"/>
      <c r="BJ815" s="537"/>
      <c r="BK815" s="537"/>
      <c r="BM815" s="537"/>
      <c r="BN815" s="537"/>
      <c r="BO815" s="537"/>
      <c r="BP815" s="537"/>
      <c r="BQ815" s="537"/>
    </row>
    <row r="816" spans="48:69">
      <c r="AY816" s="503"/>
      <c r="AZ816" s="537"/>
      <c r="BA816" s="472"/>
      <c r="BB816" s="537"/>
      <c r="BC816" s="503"/>
      <c r="BD816" s="503"/>
      <c r="BE816" s="472"/>
      <c r="BK816" s="537"/>
      <c r="BQ816" s="537"/>
    </row>
    <row r="817" spans="45:75">
      <c r="AU817" s="455"/>
      <c r="AZ817" s="537"/>
      <c r="BB817" s="537"/>
      <c r="BG817" s="537"/>
      <c r="BH817" s="537"/>
      <c r="BJ817" s="537"/>
      <c r="BK817" s="537"/>
    </row>
    <row r="818" spans="45:75">
      <c r="AZ818" s="537"/>
      <c r="BB818" s="537"/>
    </row>
    <row r="819" spans="45:75">
      <c r="AS819" s="455"/>
      <c r="AZ819" s="537"/>
      <c r="BB819" s="537"/>
      <c r="BI819" s="537"/>
    </row>
    <row r="820" spans="45:75">
      <c r="AZ820" s="537"/>
      <c r="BB820" s="537"/>
    </row>
    <row r="821" spans="45:75">
      <c r="AY821" s="537"/>
      <c r="BB821" s="537"/>
    </row>
    <row r="822" spans="45:75">
      <c r="AY822" s="455"/>
      <c r="AZ822" s="537"/>
      <c r="BB822" s="537"/>
    </row>
    <row r="823" spans="45:75">
      <c r="AY823" s="455"/>
      <c r="AZ823" s="537"/>
      <c r="BB823" s="537"/>
    </row>
    <row r="824" spans="45:75">
      <c r="AZ824" s="537"/>
      <c r="BB824" s="537"/>
      <c r="BD824" s="455"/>
    </row>
    <row r="825" spans="45:75">
      <c r="AZ825" s="537"/>
      <c r="BB825" s="537"/>
      <c r="BD825" s="455"/>
    </row>
    <row r="826" spans="45:75">
      <c r="AS826" s="455"/>
      <c r="AZ826" s="537"/>
      <c r="BB826" s="537"/>
      <c r="BD826" s="455"/>
    </row>
    <row r="827" spans="45:75">
      <c r="AZ827" s="537"/>
      <c r="BB827" s="537"/>
    </row>
    <row r="828" spans="45:75">
      <c r="AS828" s="460"/>
      <c r="AT828" s="460"/>
      <c r="AU828" s="460"/>
      <c r="AV828" s="460"/>
      <c r="AW828" s="460"/>
      <c r="AX828" s="460"/>
      <c r="AY828" s="460"/>
      <c r="AZ828" s="538"/>
      <c r="BA828" s="460"/>
      <c r="BB828" s="538"/>
      <c r="BC828" s="460"/>
      <c r="BD828" s="460"/>
      <c r="BE828" s="460"/>
    </row>
    <row r="829" spans="45:75">
      <c r="AX829" s="455"/>
      <c r="AZ829" s="537"/>
      <c r="BB829" s="537"/>
    </row>
    <row r="830" spans="45:75">
      <c r="AX830" s="460"/>
      <c r="AY830" s="460"/>
      <c r="AZ830" s="538"/>
      <c r="BA830" s="460"/>
      <c r="BB830" s="537"/>
      <c r="BC830" s="462"/>
      <c r="BD830" s="462"/>
    </row>
    <row r="831" spans="45:75">
      <c r="AV831" s="462"/>
      <c r="AW831" s="462"/>
      <c r="AZ831" s="539"/>
      <c r="BA831" s="462"/>
      <c r="BB831" s="537"/>
      <c r="BC831" s="462"/>
      <c r="BD831" s="462"/>
      <c r="BE831" s="462"/>
      <c r="BG831" s="460"/>
      <c r="BH831" s="460"/>
      <c r="BI831" s="455"/>
      <c r="BM831" s="460"/>
      <c r="BN831" s="460"/>
      <c r="BP831" s="460"/>
      <c r="BQ831" s="460"/>
      <c r="BR831" s="455"/>
      <c r="BV831" s="460"/>
      <c r="BW831" s="460"/>
    </row>
    <row r="832" spans="45:75">
      <c r="AV832" s="462"/>
      <c r="AW832" s="462"/>
      <c r="AX832" s="462"/>
      <c r="AY832" s="462"/>
      <c r="AZ832" s="539"/>
      <c r="BA832" s="462"/>
      <c r="BB832" s="539"/>
      <c r="BC832" s="462"/>
      <c r="BD832" s="462"/>
      <c r="BE832" s="462"/>
      <c r="BH832" s="462"/>
      <c r="BI832" s="462"/>
      <c r="BJ832" s="462"/>
      <c r="BK832" s="462"/>
      <c r="BL832" s="462"/>
      <c r="BM832" s="462"/>
      <c r="BQ832" s="462"/>
      <c r="BR832" s="462"/>
      <c r="BS832" s="462"/>
      <c r="BT832" s="462"/>
      <c r="BU832" s="462"/>
      <c r="BV832" s="462"/>
    </row>
    <row r="833" spans="45:75">
      <c r="AS833" s="462"/>
      <c r="AU833" s="455"/>
      <c r="AV833" s="462"/>
      <c r="AW833" s="462"/>
      <c r="AX833" s="462"/>
      <c r="AY833" s="462"/>
      <c r="AZ833" s="539"/>
      <c r="BA833" s="462"/>
      <c r="BB833" s="539"/>
      <c r="BC833" s="462"/>
      <c r="BD833" s="462"/>
      <c r="BE833" s="462"/>
      <c r="BG833" s="462"/>
      <c r="BH833" s="462"/>
      <c r="BI833" s="462"/>
      <c r="BJ833" s="462"/>
      <c r="BK833" s="462"/>
      <c r="BL833" s="462"/>
      <c r="BM833" s="462"/>
      <c r="BN833" s="462"/>
      <c r="BP833" s="462"/>
      <c r="BQ833" s="462"/>
      <c r="BR833" s="462"/>
      <c r="BS833" s="462"/>
      <c r="BT833" s="462"/>
      <c r="BU833" s="462"/>
      <c r="BV833" s="462"/>
      <c r="BW833" s="462"/>
    </row>
    <row r="834" spans="45:75">
      <c r="AS834" s="462"/>
      <c r="AU834" s="455"/>
      <c r="AV834" s="462"/>
      <c r="AW834" s="462"/>
      <c r="AX834" s="462"/>
      <c r="AY834" s="462"/>
      <c r="AZ834" s="539"/>
      <c r="BA834" s="462"/>
      <c r="BB834" s="539"/>
      <c r="BC834" s="462"/>
      <c r="BD834" s="462"/>
      <c r="BE834" s="462"/>
      <c r="BG834" s="462"/>
      <c r="BH834" s="462"/>
      <c r="BI834" s="462"/>
      <c r="BJ834" s="462"/>
      <c r="BK834" s="462"/>
      <c r="BL834" s="462"/>
      <c r="BM834" s="462"/>
      <c r="BN834" s="462"/>
      <c r="BP834" s="462"/>
      <c r="BQ834" s="462"/>
      <c r="BR834" s="462"/>
      <c r="BS834" s="462"/>
      <c r="BT834" s="462"/>
      <c r="BU834" s="462"/>
      <c r="BV834" s="462"/>
      <c r="BW834" s="462"/>
    </row>
    <row r="835" spans="45:75">
      <c r="AS835" s="460"/>
      <c r="AT835" s="460"/>
      <c r="AU835" s="460"/>
      <c r="AV835" s="460"/>
      <c r="AW835" s="460"/>
      <c r="AX835" s="460"/>
      <c r="AY835" s="460"/>
      <c r="AZ835" s="538"/>
      <c r="BA835" s="460"/>
      <c r="BB835" s="538"/>
      <c r="BC835" s="460"/>
      <c r="BD835" s="460"/>
      <c r="BE835" s="460"/>
      <c r="BG835" s="460"/>
      <c r="BH835" s="460"/>
      <c r="BI835" s="460"/>
      <c r="BJ835" s="460"/>
      <c r="BK835" s="460"/>
      <c r="BL835" s="460"/>
      <c r="BM835" s="460"/>
      <c r="BN835" s="460"/>
      <c r="BP835" s="460"/>
      <c r="BQ835" s="460"/>
      <c r="BR835" s="460"/>
      <c r="BS835" s="460"/>
      <c r="BT835" s="460"/>
      <c r="BU835" s="460"/>
      <c r="BV835" s="460"/>
      <c r="BW835" s="460"/>
    </row>
    <row r="836" spans="45:75">
      <c r="AV836" s="462"/>
      <c r="AW836" s="462"/>
      <c r="AX836" s="462"/>
      <c r="AY836" s="462"/>
      <c r="AZ836" s="539"/>
      <c r="BA836" s="462"/>
      <c r="BB836" s="539"/>
      <c r="BC836" s="462"/>
      <c r="BD836" s="462"/>
      <c r="BE836" s="462"/>
      <c r="BG836" s="537"/>
      <c r="BH836" s="537"/>
      <c r="BI836" s="537"/>
      <c r="BJ836" s="537"/>
      <c r="BK836" s="537"/>
      <c r="BL836" s="537"/>
      <c r="BM836" s="537"/>
      <c r="BN836" s="537"/>
      <c r="BO836" s="537"/>
      <c r="BP836" s="537"/>
      <c r="BQ836" s="537"/>
      <c r="BR836" s="537"/>
      <c r="BS836" s="537"/>
      <c r="BT836" s="537"/>
      <c r="BU836" s="537"/>
      <c r="BV836" s="537"/>
      <c r="BW836" s="537"/>
    </row>
    <row r="837" spans="45:75">
      <c r="AU837" s="455"/>
      <c r="AW837" s="470"/>
      <c r="AX837" s="537"/>
      <c r="AY837" s="537"/>
      <c r="AZ837" s="537"/>
      <c r="BA837" s="529"/>
      <c r="BB837" s="537"/>
      <c r="BC837" s="537"/>
      <c r="BD837" s="537"/>
      <c r="BE837" s="529"/>
      <c r="BG837" s="537"/>
      <c r="BH837" s="537"/>
      <c r="BI837" s="537"/>
      <c r="BJ837" s="537"/>
      <c r="BK837" s="537"/>
      <c r="BL837" s="537"/>
      <c r="BM837" s="537"/>
      <c r="BN837" s="537"/>
      <c r="BO837" s="537"/>
      <c r="BP837" s="537"/>
      <c r="BQ837" s="537"/>
      <c r="BR837" s="537"/>
      <c r="BS837" s="537"/>
      <c r="BT837" s="537"/>
      <c r="BU837" s="537"/>
      <c r="BV837" s="537"/>
      <c r="BW837" s="537"/>
    </row>
    <row r="838" spans="45:75">
      <c r="AW838" s="470"/>
      <c r="AX838" s="537"/>
      <c r="AY838" s="537"/>
      <c r="AZ838" s="537"/>
      <c r="BA838" s="529"/>
      <c r="BB838" s="537"/>
      <c r="BC838" s="537"/>
      <c r="BD838" s="537"/>
      <c r="BE838" s="529"/>
      <c r="BG838" s="537"/>
      <c r="BH838" s="537"/>
      <c r="BI838" s="537"/>
      <c r="BJ838" s="537"/>
      <c r="BK838" s="537"/>
      <c r="BL838" s="537"/>
      <c r="BM838" s="537"/>
      <c r="BN838" s="537"/>
      <c r="BO838" s="537"/>
      <c r="BP838" s="537"/>
      <c r="BQ838" s="537"/>
      <c r="BR838" s="537"/>
      <c r="BS838" s="537"/>
      <c r="BT838" s="537"/>
      <c r="BU838" s="537"/>
      <c r="BV838" s="537"/>
      <c r="BW838" s="537"/>
    </row>
    <row r="839" spans="45:75">
      <c r="AW839" s="470"/>
      <c r="AX839" s="537"/>
      <c r="AY839" s="537"/>
      <c r="AZ839" s="537"/>
      <c r="BA839" s="529"/>
      <c r="BB839" s="537"/>
      <c r="BC839" s="537"/>
      <c r="BD839" s="537"/>
      <c r="BE839" s="529"/>
      <c r="BG839" s="537"/>
      <c r="BH839" s="537"/>
      <c r="BI839" s="537"/>
      <c r="BJ839" s="537"/>
      <c r="BK839" s="537"/>
      <c r="BL839" s="537"/>
      <c r="BM839" s="537"/>
      <c r="BN839" s="537"/>
      <c r="BO839" s="537"/>
      <c r="BP839" s="537"/>
      <c r="BQ839" s="537"/>
      <c r="BR839" s="537"/>
      <c r="BS839" s="537"/>
      <c r="BT839" s="537"/>
      <c r="BU839" s="537"/>
      <c r="BV839" s="537"/>
      <c r="BW839" s="537"/>
    </row>
    <row r="840" spans="45:75">
      <c r="AW840" s="470"/>
      <c r="AX840" s="537"/>
      <c r="AY840" s="537"/>
      <c r="AZ840" s="537"/>
      <c r="BA840" s="529"/>
      <c r="BB840" s="537"/>
      <c r="BC840" s="537"/>
      <c r="BD840" s="537"/>
      <c r="BE840" s="529"/>
      <c r="BG840" s="537"/>
      <c r="BH840" s="537"/>
      <c r="BI840" s="537"/>
      <c r="BJ840" s="537"/>
      <c r="BK840" s="537"/>
      <c r="BL840" s="537"/>
      <c r="BM840" s="537"/>
      <c r="BN840" s="537"/>
      <c r="BO840" s="537"/>
      <c r="BP840" s="537"/>
      <c r="BQ840" s="537"/>
      <c r="BR840" s="537"/>
      <c r="BS840" s="537"/>
      <c r="BT840" s="537"/>
      <c r="BU840" s="537"/>
      <c r="BV840" s="537"/>
      <c r="BW840" s="537"/>
    </row>
    <row r="841" spans="45:75">
      <c r="AW841" s="470"/>
      <c r="AX841" s="537"/>
      <c r="AY841" s="537"/>
      <c r="AZ841" s="537"/>
      <c r="BA841" s="529"/>
      <c r="BB841" s="537"/>
      <c r="BC841" s="537"/>
      <c r="BD841" s="537"/>
      <c r="BE841" s="529"/>
      <c r="BG841" s="537"/>
      <c r="BH841" s="537"/>
      <c r="BI841" s="537"/>
      <c r="BJ841" s="537"/>
      <c r="BK841" s="537"/>
      <c r="BL841" s="537"/>
      <c r="BM841" s="537"/>
      <c r="BN841" s="537"/>
      <c r="BO841" s="537"/>
      <c r="BP841" s="537"/>
      <c r="BQ841" s="537"/>
      <c r="BR841" s="537"/>
      <c r="BS841" s="537"/>
      <c r="BT841" s="537"/>
      <c r="BU841" s="537"/>
      <c r="BV841" s="537"/>
      <c r="BW841" s="537"/>
    </row>
    <row r="842" spans="45:75">
      <c r="AW842" s="470"/>
      <c r="AX842" s="537"/>
      <c r="AY842" s="537"/>
      <c r="AZ842" s="537"/>
      <c r="BA842" s="529"/>
      <c r="BB842" s="537"/>
      <c r="BC842" s="537"/>
      <c r="BD842" s="537"/>
      <c r="BE842" s="529"/>
      <c r="BG842" s="537"/>
      <c r="BH842" s="537"/>
      <c r="BI842" s="537"/>
      <c r="BJ842" s="537"/>
      <c r="BK842" s="537"/>
      <c r="BL842" s="537"/>
      <c r="BM842" s="537"/>
      <c r="BN842" s="537"/>
      <c r="BO842" s="537"/>
      <c r="BP842" s="537"/>
      <c r="BQ842" s="537"/>
      <c r="BR842" s="537"/>
      <c r="BS842" s="537"/>
      <c r="BT842" s="537"/>
      <c r="BU842" s="537"/>
      <c r="BV842" s="537"/>
      <c r="BW842" s="537"/>
    </row>
    <row r="843" spans="45:75">
      <c r="AW843" s="470"/>
      <c r="AX843" s="537"/>
      <c r="AY843" s="537"/>
      <c r="AZ843" s="537"/>
      <c r="BA843" s="529"/>
      <c r="BB843" s="537"/>
      <c r="BC843" s="537"/>
      <c r="BD843" s="537"/>
      <c r="BE843" s="529"/>
      <c r="BG843" s="537"/>
      <c r="BH843" s="537"/>
      <c r="BI843" s="537"/>
      <c r="BJ843" s="537"/>
      <c r="BK843" s="537"/>
      <c r="BL843" s="537"/>
      <c r="BM843" s="537"/>
      <c r="BN843" s="537"/>
      <c r="BO843" s="537"/>
      <c r="BP843" s="537"/>
      <c r="BQ843" s="537"/>
      <c r="BR843" s="537"/>
      <c r="BS843" s="537"/>
      <c r="BT843" s="537"/>
      <c r="BU843" s="537"/>
      <c r="BV843" s="537"/>
      <c r="BW843" s="537"/>
    </row>
    <row r="844" spans="45:75">
      <c r="AW844" s="470"/>
      <c r="AX844" s="537"/>
      <c r="AY844" s="537"/>
      <c r="AZ844" s="537"/>
      <c r="BA844" s="529"/>
      <c r="BB844" s="537"/>
      <c r="BC844" s="537"/>
      <c r="BD844" s="537"/>
      <c r="BE844" s="529"/>
      <c r="BG844" s="537"/>
      <c r="BH844" s="537"/>
      <c r="BI844" s="537"/>
      <c r="BJ844" s="537"/>
      <c r="BK844" s="537"/>
      <c r="BL844" s="537"/>
      <c r="BM844" s="537"/>
      <c r="BN844" s="537"/>
      <c r="BO844" s="537"/>
      <c r="BP844" s="537"/>
      <c r="BQ844" s="537"/>
      <c r="BR844" s="537"/>
      <c r="BS844" s="537"/>
      <c r="BT844" s="537"/>
      <c r="BU844" s="537"/>
      <c r="BV844" s="537"/>
      <c r="BW844" s="537"/>
    </row>
    <row r="845" spans="45:75">
      <c r="AW845" s="470"/>
      <c r="AX845" s="537"/>
      <c r="AY845" s="537"/>
      <c r="AZ845" s="537"/>
      <c r="BA845" s="529"/>
      <c r="BB845" s="537"/>
      <c r="BC845" s="537"/>
      <c r="BD845" s="537"/>
      <c r="BE845" s="529"/>
      <c r="BG845" s="537"/>
      <c r="BH845" s="537"/>
      <c r="BI845" s="537"/>
      <c r="BJ845" s="537"/>
      <c r="BK845" s="537"/>
      <c r="BL845" s="537"/>
      <c r="BM845" s="537"/>
      <c r="BN845" s="537"/>
      <c r="BO845" s="537"/>
      <c r="BP845" s="537"/>
      <c r="BQ845" s="537"/>
      <c r="BR845" s="537"/>
      <c r="BS845" s="537"/>
      <c r="BT845" s="537"/>
      <c r="BU845" s="537"/>
      <c r="BV845" s="537"/>
      <c r="BW845" s="537"/>
    </row>
    <row r="846" spans="45:75">
      <c r="AW846" s="470"/>
      <c r="AX846" s="537"/>
      <c r="AY846" s="537"/>
      <c r="AZ846" s="537"/>
      <c r="BA846" s="529"/>
      <c r="BB846" s="537"/>
      <c r="BC846" s="537"/>
      <c r="BD846" s="537"/>
      <c r="BE846" s="529"/>
      <c r="BG846" s="537"/>
      <c r="BH846" s="537"/>
      <c r="BI846" s="537"/>
      <c r="BJ846" s="537"/>
      <c r="BK846" s="537"/>
      <c r="BL846" s="537"/>
      <c r="BM846" s="537"/>
      <c r="BN846" s="537"/>
      <c r="BO846" s="537"/>
      <c r="BP846" s="537"/>
      <c r="BQ846" s="537"/>
      <c r="BR846" s="537"/>
      <c r="BS846" s="537"/>
      <c r="BT846" s="537"/>
      <c r="BU846" s="537"/>
      <c r="BV846" s="537"/>
      <c r="BW846" s="537"/>
    </row>
    <row r="847" spans="45:75">
      <c r="AW847" s="470"/>
      <c r="AX847" s="537"/>
      <c r="AY847" s="537"/>
      <c r="AZ847" s="537"/>
      <c r="BA847" s="529"/>
      <c r="BB847" s="537"/>
      <c r="BC847" s="537"/>
      <c r="BD847" s="537"/>
      <c r="BE847" s="529"/>
      <c r="BG847" s="537"/>
      <c r="BH847" s="537"/>
      <c r="BI847" s="537"/>
      <c r="BJ847" s="537"/>
      <c r="BK847" s="537"/>
      <c r="BL847" s="537"/>
      <c r="BM847" s="537"/>
      <c r="BN847" s="537"/>
      <c r="BO847" s="537"/>
      <c r="BP847" s="537"/>
      <c r="BQ847" s="537"/>
      <c r="BR847" s="537"/>
      <c r="BS847" s="537"/>
      <c r="BT847" s="537"/>
      <c r="BU847" s="537"/>
      <c r="BV847" s="537"/>
      <c r="BW847" s="537"/>
    </row>
    <row r="848" spans="45:75">
      <c r="AW848" s="470"/>
      <c r="AX848" s="537"/>
      <c r="AY848" s="537"/>
      <c r="AZ848" s="537"/>
      <c r="BA848" s="529"/>
      <c r="BB848" s="537"/>
      <c r="BC848" s="537"/>
      <c r="BD848" s="537"/>
      <c r="BE848" s="529"/>
      <c r="BG848" s="537"/>
      <c r="BH848" s="537"/>
      <c r="BI848" s="537"/>
      <c r="BJ848" s="537"/>
      <c r="BK848" s="537"/>
      <c r="BL848" s="537"/>
      <c r="BM848" s="537"/>
      <c r="BN848" s="537"/>
      <c r="BO848" s="537"/>
      <c r="BP848" s="537"/>
      <c r="BQ848" s="537"/>
      <c r="BR848" s="537"/>
      <c r="BS848" s="537"/>
      <c r="BT848" s="537"/>
      <c r="BU848" s="537"/>
      <c r="BV848" s="537"/>
      <c r="BW848" s="537"/>
    </row>
    <row r="849" spans="47:75">
      <c r="AW849" s="470"/>
      <c r="AX849" s="537"/>
      <c r="AY849" s="537"/>
      <c r="AZ849" s="537"/>
      <c r="BA849" s="529"/>
      <c r="BB849" s="537"/>
      <c r="BC849" s="537"/>
      <c r="BD849" s="537"/>
      <c r="BE849" s="529"/>
      <c r="BG849" s="537"/>
      <c r="BH849" s="537"/>
      <c r="BI849" s="537"/>
      <c r="BJ849" s="537"/>
      <c r="BK849" s="537"/>
      <c r="BL849" s="537"/>
      <c r="BM849" s="537"/>
      <c r="BN849" s="537"/>
      <c r="BO849" s="537"/>
      <c r="BP849" s="537"/>
      <c r="BQ849" s="537"/>
      <c r="BR849" s="537"/>
      <c r="BS849" s="537"/>
      <c r="BT849" s="537"/>
      <c r="BU849" s="537"/>
      <c r="BV849" s="537"/>
      <c r="BW849" s="537"/>
    </row>
    <row r="850" spans="47:75">
      <c r="AW850" s="470"/>
      <c r="AX850" s="537"/>
      <c r="AY850" s="537"/>
      <c r="AZ850" s="537"/>
      <c r="BA850" s="529"/>
      <c r="BB850" s="537"/>
      <c r="BC850" s="537"/>
      <c r="BD850" s="537"/>
      <c r="BE850" s="529"/>
      <c r="BG850" s="537"/>
      <c r="BH850" s="537"/>
      <c r="BI850" s="537"/>
      <c r="BJ850" s="537"/>
      <c r="BK850" s="537"/>
      <c r="BL850" s="537"/>
      <c r="BM850" s="537"/>
      <c r="BN850" s="537"/>
      <c r="BO850" s="537"/>
      <c r="BP850" s="537"/>
      <c r="BQ850" s="537"/>
      <c r="BR850" s="537"/>
      <c r="BS850" s="537"/>
      <c r="BT850" s="537"/>
      <c r="BU850" s="537"/>
      <c r="BV850" s="537"/>
      <c r="BW850" s="537"/>
    </row>
    <row r="851" spans="47:75">
      <c r="AW851" s="470"/>
      <c r="AX851" s="537"/>
      <c r="AY851" s="537"/>
      <c r="AZ851" s="537"/>
      <c r="BA851" s="529"/>
      <c r="BB851" s="537"/>
      <c r="BC851" s="537"/>
      <c r="BD851" s="537"/>
      <c r="BE851" s="529"/>
      <c r="BG851" s="537"/>
      <c r="BH851" s="537"/>
      <c r="BI851" s="537"/>
      <c r="BJ851" s="537"/>
      <c r="BK851" s="537"/>
      <c r="BL851" s="537"/>
      <c r="BM851" s="537"/>
      <c r="BN851" s="537"/>
      <c r="BO851" s="537"/>
      <c r="BP851" s="537"/>
      <c r="BQ851" s="537"/>
      <c r="BR851" s="537"/>
      <c r="BS851" s="537"/>
      <c r="BT851" s="537"/>
      <c r="BU851" s="537"/>
      <c r="BV851" s="537"/>
      <c r="BW851" s="537"/>
    </row>
    <row r="852" spans="47:75">
      <c r="AW852" s="470"/>
      <c r="AX852" s="537"/>
      <c r="AY852" s="537"/>
      <c r="AZ852" s="537"/>
      <c r="BA852" s="529"/>
      <c r="BB852" s="537"/>
      <c r="BC852" s="537"/>
      <c r="BD852" s="537"/>
      <c r="BE852" s="529"/>
      <c r="BG852" s="537"/>
      <c r="BH852" s="537"/>
      <c r="BI852" s="537"/>
      <c r="BJ852" s="537"/>
      <c r="BK852" s="537"/>
      <c r="BL852" s="537"/>
      <c r="BM852" s="537"/>
      <c r="BN852" s="537"/>
      <c r="BO852" s="537"/>
      <c r="BP852" s="537"/>
      <c r="BQ852" s="537"/>
      <c r="BR852" s="537"/>
      <c r="BS852" s="537"/>
      <c r="BT852" s="537"/>
      <c r="BU852" s="537"/>
      <c r="BV852" s="537"/>
      <c r="BW852" s="537"/>
    </row>
    <row r="853" spans="47:75">
      <c r="AW853" s="470"/>
      <c r="AX853" s="537"/>
      <c r="AY853" s="537"/>
      <c r="AZ853" s="537"/>
      <c r="BA853" s="529"/>
      <c r="BB853" s="537"/>
      <c r="BC853" s="537"/>
      <c r="BD853" s="537"/>
      <c r="BE853" s="529"/>
      <c r="BG853" s="537"/>
      <c r="BH853" s="537"/>
      <c r="BI853" s="537"/>
      <c r="BJ853" s="537"/>
      <c r="BK853" s="537"/>
      <c r="BL853" s="537"/>
      <c r="BM853" s="537"/>
      <c r="BN853" s="537"/>
      <c r="BO853" s="537"/>
      <c r="BP853" s="537"/>
      <c r="BQ853" s="537"/>
      <c r="BR853" s="537"/>
      <c r="BS853" s="537"/>
      <c r="BT853" s="537"/>
      <c r="BU853" s="537"/>
      <c r="BV853" s="537"/>
      <c r="BW853" s="537"/>
    </row>
    <row r="854" spans="47:75">
      <c r="AW854" s="470"/>
      <c r="AX854" s="537"/>
      <c r="AY854" s="537"/>
      <c r="AZ854" s="537"/>
      <c r="BA854" s="529"/>
      <c r="BB854" s="537"/>
      <c r="BC854" s="537"/>
      <c r="BD854" s="537"/>
      <c r="BE854" s="529"/>
      <c r="BG854" s="537"/>
      <c r="BH854" s="537"/>
      <c r="BI854" s="537"/>
      <c r="BJ854" s="537"/>
      <c r="BK854" s="537"/>
      <c r="BL854" s="537"/>
      <c r="BM854" s="537"/>
      <c r="BN854" s="537"/>
      <c r="BO854" s="537"/>
      <c r="BP854" s="537"/>
      <c r="BQ854" s="537"/>
      <c r="BR854" s="537"/>
      <c r="BS854" s="537"/>
      <c r="BT854" s="537"/>
      <c r="BU854" s="537"/>
      <c r="BV854" s="537"/>
      <c r="BW854" s="537"/>
    </row>
    <row r="855" spans="47:75">
      <c r="AW855" s="470"/>
      <c r="AX855" s="537"/>
      <c r="AY855" s="537"/>
      <c r="AZ855" s="537"/>
      <c r="BA855" s="529"/>
      <c r="BB855" s="537"/>
      <c r="BC855" s="537"/>
      <c r="BD855" s="537"/>
      <c r="BE855" s="529"/>
      <c r="BG855" s="537"/>
      <c r="BH855" s="537"/>
      <c r="BI855" s="537"/>
      <c r="BJ855" s="537"/>
      <c r="BK855" s="537"/>
      <c r="BL855" s="537"/>
      <c r="BM855" s="537"/>
      <c r="BN855" s="537"/>
      <c r="BO855" s="537"/>
      <c r="BP855" s="537"/>
      <c r="BQ855" s="537"/>
      <c r="BR855" s="537"/>
      <c r="BS855" s="537"/>
      <c r="BT855" s="537"/>
      <c r="BU855" s="537"/>
      <c r="BV855" s="537"/>
      <c r="BW855" s="537"/>
    </row>
    <row r="856" spans="47:75">
      <c r="AW856" s="470"/>
      <c r="AX856" s="537"/>
      <c r="AY856" s="537"/>
      <c r="AZ856" s="537"/>
      <c r="BA856" s="529"/>
      <c r="BB856" s="537"/>
      <c r="BC856" s="537"/>
      <c r="BD856" s="537"/>
      <c r="BE856" s="529"/>
      <c r="BG856" s="537"/>
      <c r="BH856" s="537"/>
      <c r="BI856" s="537"/>
      <c r="BJ856" s="537"/>
      <c r="BK856" s="537"/>
      <c r="BL856" s="537"/>
      <c r="BM856" s="537"/>
      <c r="BN856" s="537"/>
      <c r="BO856" s="537"/>
      <c r="BP856" s="537"/>
      <c r="BQ856" s="537"/>
      <c r="BR856" s="537"/>
      <c r="BS856" s="537"/>
      <c r="BT856" s="537"/>
      <c r="BU856" s="537"/>
      <c r="BV856" s="537"/>
      <c r="BW856" s="537"/>
    </row>
    <row r="857" spans="47:75">
      <c r="AW857" s="470"/>
      <c r="AX857" s="537"/>
      <c r="AY857" s="537"/>
      <c r="AZ857" s="537"/>
      <c r="BA857" s="529"/>
      <c r="BB857" s="537"/>
      <c r="BC857" s="537"/>
      <c r="BD857" s="537"/>
      <c r="BE857" s="529"/>
      <c r="BG857" s="537"/>
      <c r="BH857" s="537"/>
      <c r="BI857" s="537"/>
      <c r="BJ857" s="537"/>
      <c r="BK857" s="537"/>
      <c r="BL857" s="537"/>
      <c r="BM857" s="537"/>
      <c r="BN857" s="537"/>
      <c r="BO857" s="537"/>
      <c r="BP857" s="537"/>
      <c r="BQ857" s="537"/>
      <c r="BR857" s="537"/>
      <c r="BS857" s="537"/>
      <c r="BT857" s="537"/>
      <c r="BU857" s="537"/>
      <c r="BV857" s="537"/>
      <c r="BW857" s="537"/>
    </row>
    <row r="858" spans="47:75">
      <c r="AW858" s="470"/>
      <c r="AX858" s="537"/>
      <c r="AY858" s="537"/>
      <c r="AZ858" s="537"/>
      <c r="BA858" s="529"/>
      <c r="BB858" s="537"/>
      <c r="BC858" s="537"/>
      <c r="BD858" s="537"/>
      <c r="BE858" s="529"/>
      <c r="BG858" s="460"/>
      <c r="BH858" s="460"/>
      <c r="BI858" s="455"/>
      <c r="BM858" s="460"/>
      <c r="BN858" s="460"/>
      <c r="BO858" s="537"/>
      <c r="BP858" s="460"/>
      <c r="BQ858" s="460"/>
      <c r="BR858" s="455"/>
      <c r="BV858" s="460"/>
      <c r="BW858" s="460"/>
    </row>
    <row r="859" spans="47:75">
      <c r="AU859" s="455"/>
      <c r="AV859" s="462"/>
      <c r="AW859" s="470"/>
      <c r="AX859" s="537"/>
      <c r="AY859" s="537"/>
      <c r="AZ859" s="537"/>
      <c r="BA859" s="529"/>
      <c r="BB859" s="537"/>
      <c r="BC859" s="537"/>
      <c r="BD859" s="537"/>
      <c r="BE859" s="529"/>
      <c r="BG859" s="539"/>
      <c r="BH859" s="537"/>
      <c r="BI859" s="537"/>
      <c r="BJ859" s="537"/>
      <c r="BK859" s="539"/>
      <c r="BL859" s="540"/>
      <c r="BM859" s="537"/>
      <c r="BN859" s="539"/>
      <c r="BO859" s="537"/>
      <c r="BP859" s="539"/>
      <c r="BQ859" s="537"/>
      <c r="BR859" s="537"/>
      <c r="BS859" s="537"/>
      <c r="BT859" s="539"/>
      <c r="BU859" s="540"/>
      <c r="BV859" s="537"/>
      <c r="BW859" s="539"/>
    </row>
    <row r="860" spans="47:75">
      <c r="AV860" s="462"/>
      <c r="AW860" s="470"/>
      <c r="AX860" s="537"/>
      <c r="AY860" s="537"/>
      <c r="AZ860" s="537"/>
      <c r="BA860" s="529"/>
      <c r="BB860" s="537"/>
      <c r="BC860" s="537"/>
      <c r="BD860" s="537"/>
      <c r="BE860" s="529"/>
      <c r="BG860" s="537"/>
      <c r="BH860" s="537"/>
      <c r="BI860" s="537"/>
      <c r="BJ860" s="537"/>
      <c r="BK860" s="537"/>
      <c r="BL860" s="540"/>
      <c r="BM860" s="537"/>
      <c r="BN860" s="537"/>
      <c r="BO860" s="537"/>
      <c r="BP860" s="537"/>
      <c r="BQ860" s="537"/>
      <c r="BR860" s="537"/>
      <c r="BS860" s="537"/>
      <c r="BT860" s="537"/>
      <c r="BU860" s="540"/>
      <c r="BV860" s="537"/>
      <c r="BW860" s="537"/>
    </row>
    <row r="861" spans="47:75">
      <c r="AV861" s="462"/>
      <c r="AW861" s="470"/>
      <c r="AX861" s="537"/>
      <c r="AY861" s="537"/>
      <c r="AZ861" s="537"/>
      <c r="BA861" s="529"/>
      <c r="BB861" s="537"/>
      <c r="BC861" s="537"/>
      <c r="BD861" s="537"/>
      <c r="BE861" s="529"/>
      <c r="BG861" s="537"/>
      <c r="BH861" s="537"/>
      <c r="BI861" s="537"/>
      <c r="BJ861" s="537"/>
      <c r="BK861" s="537"/>
      <c r="BL861" s="540"/>
      <c r="BM861" s="537"/>
      <c r="BN861" s="537"/>
      <c r="BO861" s="537"/>
      <c r="BP861" s="537"/>
      <c r="BQ861" s="537"/>
      <c r="BR861" s="537"/>
      <c r="BS861" s="537"/>
      <c r="BT861" s="537"/>
      <c r="BU861" s="540"/>
      <c r="BV861" s="537"/>
      <c r="BW861" s="537"/>
    </row>
    <row r="862" spans="47:75">
      <c r="AV862" s="462"/>
      <c r="AW862" s="470"/>
      <c r="AX862" s="537"/>
      <c r="AY862" s="537"/>
      <c r="AZ862" s="537"/>
      <c r="BA862" s="529"/>
      <c r="BB862" s="537"/>
      <c r="BC862" s="537"/>
      <c r="BD862" s="537"/>
      <c r="BE862" s="529"/>
      <c r="BG862" s="537"/>
      <c r="BH862" s="537"/>
      <c r="BI862" s="537"/>
      <c r="BJ862" s="537"/>
      <c r="BK862" s="537"/>
      <c r="BL862" s="540"/>
      <c r="BM862" s="537"/>
      <c r="BN862" s="537"/>
      <c r="BO862" s="537"/>
      <c r="BP862" s="537"/>
      <c r="BQ862" s="537"/>
      <c r="BR862" s="537"/>
      <c r="BS862" s="537"/>
      <c r="BT862" s="537"/>
      <c r="BU862" s="540"/>
      <c r="BV862" s="537"/>
      <c r="BW862" s="537"/>
    </row>
    <row r="863" spans="47:75">
      <c r="AX863" s="537"/>
      <c r="AY863" s="537"/>
      <c r="AZ863" s="537"/>
      <c r="BA863" s="529"/>
      <c r="BB863" s="537"/>
      <c r="BC863" s="537"/>
      <c r="BD863" s="537"/>
      <c r="BE863" s="529"/>
      <c r="BG863" s="537"/>
      <c r="BH863" s="537"/>
      <c r="BI863" s="537"/>
      <c r="BJ863" s="537"/>
      <c r="BK863" s="537"/>
      <c r="BL863" s="537"/>
      <c r="BM863" s="537"/>
      <c r="BN863" s="537"/>
      <c r="BO863" s="537"/>
      <c r="BP863" s="537"/>
      <c r="BQ863" s="537"/>
      <c r="BR863" s="537"/>
      <c r="BS863" s="537"/>
      <c r="BT863" s="537"/>
      <c r="BU863" s="537"/>
      <c r="BV863" s="537"/>
    </row>
    <row r="864" spans="47:75">
      <c r="AU864" s="455"/>
    </row>
    <row r="865" spans="45:74">
      <c r="AU865" s="455"/>
      <c r="AZ865" s="537"/>
      <c r="BA865" s="529"/>
      <c r="BB865" s="537"/>
      <c r="BC865" s="537"/>
      <c r="BD865" s="537"/>
      <c r="BE865" s="529"/>
      <c r="BG865" s="537"/>
      <c r="BH865" s="537"/>
      <c r="BI865" s="537"/>
      <c r="BJ865" s="537"/>
      <c r="BK865" s="537"/>
      <c r="BL865" s="537"/>
      <c r="BM865" s="537"/>
      <c r="BN865" s="537"/>
      <c r="BO865" s="537"/>
      <c r="BP865" s="537"/>
      <c r="BQ865" s="537"/>
      <c r="BR865" s="537"/>
      <c r="BS865" s="537"/>
      <c r="BT865" s="537"/>
      <c r="BU865" s="537"/>
      <c r="BV865" s="537"/>
    </row>
    <row r="866" spans="45:74">
      <c r="AS866" s="455"/>
      <c r="AZ866" s="537"/>
      <c r="BB866" s="537"/>
    </row>
    <row r="867" spans="45:74">
      <c r="AZ867" s="537"/>
      <c r="BB867" s="537"/>
      <c r="BO867" s="537"/>
      <c r="BP867" s="537"/>
      <c r="BQ867" s="537"/>
      <c r="BR867" s="537"/>
      <c r="BS867" s="537"/>
      <c r="BT867" s="537"/>
      <c r="BU867" s="537"/>
      <c r="BV867" s="537"/>
    </row>
    <row r="868" spans="45:74">
      <c r="AY868" s="537"/>
      <c r="AZ868" s="537"/>
      <c r="BB868" s="537"/>
      <c r="BO868" s="537"/>
      <c r="BP868" s="537"/>
      <c r="BQ868" s="537"/>
      <c r="BR868" s="537"/>
      <c r="BS868" s="537"/>
      <c r="BT868" s="537"/>
      <c r="BU868" s="537"/>
      <c r="BV868" s="537"/>
    </row>
    <row r="869" spans="45:74">
      <c r="AY869" s="455"/>
      <c r="AZ869" s="537"/>
      <c r="BB869" s="537"/>
      <c r="BO869" s="537"/>
      <c r="BP869" s="537"/>
      <c r="BQ869" s="537"/>
      <c r="BR869" s="537"/>
      <c r="BS869" s="537"/>
      <c r="BT869" s="537"/>
      <c r="BU869" s="537"/>
      <c r="BV869" s="537"/>
    </row>
    <row r="870" spans="45:74">
      <c r="AY870" s="455"/>
      <c r="AZ870" s="537"/>
      <c r="BB870" s="537"/>
      <c r="BO870" s="537"/>
      <c r="BP870" s="537"/>
      <c r="BQ870" s="537"/>
      <c r="BR870" s="537"/>
      <c r="BS870" s="537"/>
      <c r="BT870" s="537"/>
      <c r="BU870" s="537"/>
      <c r="BV870" s="537"/>
    </row>
    <row r="871" spans="45:74">
      <c r="AZ871" s="537"/>
      <c r="BB871" s="537"/>
      <c r="BD871" s="455"/>
      <c r="BO871" s="537"/>
      <c r="BP871" s="537"/>
      <c r="BQ871" s="537"/>
      <c r="BR871" s="537"/>
      <c r="BS871" s="537"/>
      <c r="BT871" s="537"/>
      <c r="BU871" s="537"/>
      <c r="BV871" s="537"/>
    </row>
    <row r="872" spans="45:74">
      <c r="AZ872" s="537"/>
      <c r="BB872" s="537"/>
      <c r="BD872" s="455"/>
      <c r="BO872" s="537"/>
      <c r="BP872" s="537"/>
      <c r="BQ872" s="537"/>
      <c r="BR872" s="537"/>
      <c r="BS872" s="537"/>
      <c r="BT872" s="537"/>
      <c r="BU872" s="537"/>
      <c r="BV872" s="537"/>
    </row>
    <row r="873" spans="45:74">
      <c r="AS873" s="455"/>
      <c r="AZ873" s="537"/>
      <c r="BB873" s="537"/>
      <c r="BD873" s="455"/>
      <c r="BO873" s="537"/>
      <c r="BP873" s="537"/>
      <c r="BQ873" s="537"/>
      <c r="BR873" s="537"/>
      <c r="BS873" s="537"/>
      <c r="BT873" s="537"/>
      <c r="BU873" s="537"/>
      <c r="BV873" s="537"/>
    </row>
    <row r="874" spans="45:74">
      <c r="AZ874" s="537"/>
      <c r="BB874" s="537"/>
      <c r="BO874" s="537"/>
      <c r="BP874" s="537"/>
      <c r="BQ874" s="537"/>
      <c r="BR874" s="537"/>
      <c r="BS874" s="537"/>
      <c r="BT874" s="537"/>
      <c r="BU874" s="537"/>
      <c r="BV874" s="537"/>
    </row>
    <row r="875" spans="45:74">
      <c r="AS875" s="460"/>
      <c r="AT875" s="460"/>
      <c r="AU875" s="460"/>
      <c r="AV875" s="460"/>
      <c r="AW875" s="460"/>
      <c r="AX875" s="460"/>
      <c r="AY875" s="460"/>
      <c r="AZ875" s="538"/>
      <c r="BA875" s="460"/>
      <c r="BB875" s="538"/>
      <c r="BC875" s="460"/>
      <c r="BD875" s="460"/>
      <c r="BE875" s="460"/>
      <c r="BO875" s="537"/>
      <c r="BP875" s="537"/>
      <c r="BQ875" s="537"/>
      <c r="BR875" s="537"/>
      <c r="BS875" s="537"/>
      <c r="BT875" s="537"/>
      <c r="BU875" s="537"/>
      <c r="BV875" s="537"/>
    </row>
    <row r="876" spans="45:74">
      <c r="AX876" s="455"/>
      <c r="AZ876" s="537"/>
      <c r="BB876" s="537"/>
      <c r="BO876" s="537"/>
      <c r="BP876" s="537"/>
      <c r="BQ876" s="537"/>
      <c r="BR876" s="537"/>
      <c r="BS876" s="537"/>
      <c r="BT876" s="537"/>
      <c r="BU876" s="537"/>
      <c r="BV876" s="537"/>
    </row>
    <row r="877" spans="45:74">
      <c r="AX877" s="460"/>
      <c r="AY877" s="460"/>
      <c r="AZ877" s="538"/>
      <c r="BA877" s="460"/>
      <c r="BB877" s="537"/>
      <c r="BC877" s="462"/>
      <c r="BD877" s="462"/>
      <c r="BO877" s="537"/>
      <c r="BP877" s="537"/>
      <c r="BQ877" s="537"/>
      <c r="BR877" s="537"/>
      <c r="BS877" s="537"/>
      <c r="BT877" s="537"/>
      <c r="BU877" s="537"/>
      <c r="BV877" s="537"/>
    </row>
    <row r="878" spans="45:74">
      <c r="AV878" s="462"/>
      <c r="AW878" s="462"/>
      <c r="AZ878" s="539"/>
      <c r="BA878" s="462"/>
      <c r="BB878" s="537"/>
      <c r="BC878" s="462"/>
      <c r="BD878" s="462"/>
      <c r="BE878" s="462"/>
      <c r="BG878" s="460"/>
      <c r="BH878" s="455"/>
      <c r="BK878" s="460"/>
      <c r="BM878" s="460"/>
      <c r="BN878" s="455"/>
      <c r="BQ878" s="460"/>
    </row>
    <row r="879" spans="45:74">
      <c r="AV879" s="462"/>
      <c r="AW879" s="462"/>
      <c r="AX879" s="462"/>
      <c r="AY879" s="462"/>
      <c r="AZ879" s="539"/>
      <c r="BA879" s="462"/>
      <c r="BB879" s="539"/>
      <c r="BC879" s="462"/>
      <c r="BD879" s="462"/>
      <c r="BE879" s="462"/>
      <c r="BH879" s="462"/>
      <c r="BI879" s="462"/>
      <c r="BN879" s="462"/>
      <c r="BO879" s="462"/>
    </row>
    <row r="880" spans="45:74">
      <c r="AS880" s="462"/>
      <c r="AU880" s="455"/>
      <c r="AV880" s="462"/>
      <c r="AW880" s="462"/>
      <c r="AX880" s="462"/>
      <c r="AY880" s="462"/>
      <c r="AZ880" s="539"/>
      <c r="BA880" s="462"/>
      <c r="BB880" s="539"/>
      <c r="BC880" s="462"/>
      <c r="BD880" s="462"/>
      <c r="BE880" s="462"/>
      <c r="BG880" s="462"/>
      <c r="BH880" s="462"/>
      <c r="BI880" s="462"/>
      <c r="BJ880" s="462"/>
      <c r="BK880" s="462"/>
      <c r="BM880" s="462"/>
      <c r="BN880" s="462"/>
      <c r="BO880" s="462"/>
      <c r="BP880" s="462"/>
      <c r="BQ880" s="462"/>
    </row>
    <row r="881" spans="45:71">
      <c r="AS881" s="462"/>
      <c r="AU881" s="455"/>
      <c r="AV881" s="462"/>
      <c r="AW881" s="462"/>
      <c r="AX881" s="462"/>
      <c r="AY881" s="462"/>
      <c r="AZ881" s="539"/>
      <c r="BA881" s="462"/>
      <c r="BB881" s="539"/>
      <c r="BC881" s="462"/>
      <c r="BD881" s="462"/>
      <c r="BE881" s="462"/>
      <c r="BG881" s="462"/>
      <c r="BH881" s="462"/>
      <c r="BI881" s="462"/>
      <c r="BJ881" s="462"/>
      <c r="BK881" s="462"/>
      <c r="BM881" s="462"/>
      <c r="BN881" s="462"/>
      <c r="BO881" s="462"/>
      <c r="BP881" s="462"/>
      <c r="BQ881" s="462"/>
    </row>
    <row r="882" spans="45:71">
      <c r="AS882" s="460"/>
      <c r="AT882" s="460"/>
      <c r="AU882" s="460"/>
      <c r="AV882" s="460"/>
      <c r="AW882" s="460"/>
      <c r="AX882" s="460"/>
      <c r="AY882" s="460"/>
      <c r="AZ882" s="538"/>
      <c r="BA882" s="460"/>
      <c r="BB882" s="538"/>
      <c r="BC882" s="460"/>
      <c r="BD882" s="460"/>
      <c r="BE882" s="460"/>
      <c r="BG882" s="460"/>
      <c r="BH882" s="460"/>
      <c r="BI882" s="460"/>
      <c r="BJ882" s="460"/>
      <c r="BK882" s="460"/>
      <c r="BM882" s="460"/>
      <c r="BN882" s="460"/>
      <c r="BO882" s="460"/>
      <c r="BP882" s="460"/>
      <c r="BQ882" s="460"/>
    </row>
    <row r="883" spans="45:71">
      <c r="AV883" s="462"/>
      <c r="AW883" s="462"/>
      <c r="AX883" s="462"/>
      <c r="AY883" s="462"/>
      <c r="AZ883" s="539"/>
      <c r="BA883" s="462"/>
      <c r="BB883" s="539"/>
      <c r="BC883" s="462"/>
      <c r="BD883" s="462"/>
      <c r="BE883" s="462"/>
      <c r="BG883" s="537"/>
      <c r="BH883" s="537"/>
      <c r="BI883" s="537"/>
      <c r="BJ883" s="537"/>
      <c r="BK883" s="537"/>
      <c r="BL883" s="537"/>
      <c r="BM883" s="537"/>
      <c r="BN883" s="537"/>
      <c r="BO883" s="537"/>
      <c r="BP883" s="537"/>
      <c r="BQ883" s="537"/>
    </row>
    <row r="884" spans="45:71">
      <c r="AT884" s="455"/>
      <c r="AV884" s="470"/>
      <c r="AW884" s="470"/>
      <c r="AX884" s="537"/>
      <c r="AY884" s="537"/>
      <c r="AZ884" s="537"/>
      <c r="BA884" s="529"/>
      <c r="BB884" s="537"/>
      <c r="BC884" s="537"/>
      <c r="BD884" s="537"/>
      <c r="BE884" s="529"/>
      <c r="BG884" s="537"/>
      <c r="BH884" s="537"/>
      <c r="BI884" s="537"/>
      <c r="BJ884" s="537"/>
      <c r="BK884" s="537"/>
      <c r="BL884" s="537"/>
      <c r="BM884" s="537"/>
      <c r="BN884" s="537"/>
      <c r="BO884" s="537"/>
      <c r="BP884" s="537"/>
      <c r="BQ884" s="537"/>
      <c r="BR884" s="537"/>
      <c r="BS884" s="537"/>
    </row>
    <row r="885" spans="45:71">
      <c r="AV885" s="470"/>
      <c r="AW885" s="470"/>
      <c r="AX885" s="537"/>
      <c r="AY885" s="537"/>
      <c r="AZ885" s="537"/>
      <c r="BA885" s="529"/>
      <c r="BB885" s="537"/>
      <c r="BC885" s="537"/>
      <c r="BD885" s="537"/>
      <c r="BE885" s="529"/>
      <c r="BG885" s="537"/>
      <c r="BH885" s="537"/>
      <c r="BI885" s="537"/>
      <c r="BJ885" s="537"/>
      <c r="BK885" s="537"/>
      <c r="BL885" s="537"/>
      <c r="BM885" s="537"/>
      <c r="BN885" s="537"/>
      <c r="BO885" s="537"/>
      <c r="BP885" s="537"/>
      <c r="BQ885" s="537"/>
      <c r="BR885" s="537"/>
      <c r="BS885" s="537"/>
    </row>
    <row r="886" spans="45:71">
      <c r="AV886" s="470"/>
      <c r="AW886" s="470"/>
      <c r="AX886" s="537"/>
      <c r="AY886" s="537"/>
      <c r="AZ886" s="537"/>
      <c r="BA886" s="529"/>
      <c r="BB886" s="537"/>
      <c r="BC886" s="537"/>
      <c r="BD886" s="537"/>
      <c r="BE886" s="529"/>
      <c r="BG886" s="537"/>
      <c r="BH886" s="537"/>
      <c r="BI886" s="537"/>
      <c r="BJ886" s="537"/>
      <c r="BK886" s="537"/>
      <c r="BL886" s="537"/>
      <c r="BM886" s="537"/>
      <c r="BN886" s="537"/>
      <c r="BO886" s="537"/>
      <c r="BP886" s="537"/>
      <c r="BQ886" s="537"/>
      <c r="BR886" s="537"/>
      <c r="BS886" s="537"/>
    </row>
    <row r="887" spans="45:71">
      <c r="AV887" s="470"/>
      <c r="AW887" s="470"/>
      <c r="AX887" s="537"/>
      <c r="AY887" s="537"/>
      <c r="AZ887" s="537"/>
      <c r="BA887" s="529"/>
      <c r="BB887" s="537"/>
      <c r="BC887" s="537"/>
      <c r="BD887" s="537"/>
      <c r="BE887" s="529"/>
      <c r="BG887" s="537"/>
      <c r="BH887" s="537"/>
      <c r="BI887" s="537"/>
      <c r="BJ887" s="537"/>
      <c r="BK887" s="537"/>
      <c r="BL887" s="537"/>
      <c r="BM887" s="537"/>
      <c r="BN887" s="537"/>
      <c r="BO887" s="537"/>
      <c r="BP887" s="537"/>
      <c r="BQ887" s="537"/>
      <c r="BR887" s="537"/>
      <c r="BS887" s="537"/>
    </row>
    <row r="888" spans="45:71">
      <c r="AV888" s="470"/>
      <c r="AW888" s="470"/>
      <c r="AX888" s="537"/>
      <c r="AY888" s="537"/>
      <c r="AZ888" s="537"/>
      <c r="BA888" s="529"/>
      <c r="BB888" s="537"/>
      <c r="BC888" s="537"/>
      <c r="BD888" s="537"/>
      <c r="BE888" s="529"/>
      <c r="BG888" s="537"/>
      <c r="BH888" s="537"/>
      <c r="BI888" s="537"/>
      <c r="BJ888" s="537"/>
      <c r="BK888" s="537"/>
      <c r="BL888" s="537"/>
      <c r="BM888" s="537"/>
      <c r="BN888" s="537"/>
      <c r="BO888" s="537"/>
      <c r="BP888" s="537"/>
      <c r="BQ888" s="537"/>
      <c r="BR888" s="537"/>
      <c r="BS888" s="537"/>
    </row>
    <row r="889" spans="45:71">
      <c r="AV889" s="470"/>
      <c r="AW889" s="470"/>
      <c r="AX889" s="537"/>
      <c r="AY889" s="537"/>
      <c r="AZ889" s="537"/>
      <c r="BA889" s="529"/>
      <c r="BB889" s="537"/>
      <c r="BC889" s="537"/>
      <c r="BD889" s="537"/>
      <c r="BE889" s="529"/>
      <c r="BG889" s="537"/>
      <c r="BH889" s="537"/>
      <c r="BI889" s="537"/>
      <c r="BJ889" s="537"/>
      <c r="BK889" s="537"/>
      <c r="BL889" s="537"/>
      <c r="BM889" s="537"/>
      <c r="BN889" s="537"/>
      <c r="BO889" s="537"/>
      <c r="BP889" s="537"/>
      <c r="BQ889" s="537"/>
      <c r="BR889" s="537"/>
      <c r="BS889" s="537"/>
    </row>
    <row r="890" spans="45:71">
      <c r="AV890" s="470"/>
      <c r="AW890" s="470"/>
      <c r="AX890" s="537"/>
      <c r="AY890" s="537"/>
      <c r="AZ890" s="537"/>
      <c r="BA890" s="529"/>
      <c r="BB890" s="537"/>
      <c r="BC890" s="537"/>
      <c r="BD890" s="537"/>
      <c r="BE890" s="529"/>
      <c r="BG890" s="537"/>
      <c r="BH890" s="537"/>
      <c r="BI890" s="537"/>
      <c r="BJ890" s="537"/>
      <c r="BK890" s="537"/>
      <c r="BL890" s="537"/>
      <c r="BM890" s="537"/>
      <c r="BN890" s="537"/>
      <c r="BO890" s="537"/>
      <c r="BP890" s="537"/>
      <c r="BQ890" s="537"/>
      <c r="BR890" s="537"/>
      <c r="BS890" s="537"/>
    </row>
    <row r="891" spans="45:71">
      <c r="AV891" s="470"/>
      <c r="AW891" s="470"/>
      <c r="AX891" s="537"/>
      <c r="AY891" s="537"/>
      <c r="AZ891" s="537"/>
      <c r="BA891" s="529"/>
      <c r="BB891" s="537"/>
      <c r="BC891" s="537"/>
      <c r="BD891" s="537"/>
      <c r="BE891" s="529"/>
      <c r="BG891" s="537"/>
      <c r="BH891" s="537"/>
      <c r="BI891" s="537"/>
      <c r="BJ891" s="537"/>
      <c r="BK891" s="537"/>
      <c r="BL891" s="537"/>
      <c r="BM891" s="537"/>
      <c r="BN891" s="537"/>
      <c r="BO891" s="537"/>
      <c r="BP891" s="537"/>
      <c r="BQ891" s="537"/>
      <c r="BR891" s="537"/>
      <c r="BS891" s="537"/>
    </row>
    <row r="892" spans="45:71">
      <c r="AV892" s="470"/>
      <c r="AW892" s="470"/>
      <c r="AX892" s="537"/>
      <c r="AY892" s="537"/>
      <c r="AZ892" s="537"/>
      <c r="BA892" s="529"/>
      <c r="BB892" s="537"/>
      <c r="BC892" s="537"/>
      <c r="BD892" s="537"/>
      <c r="BE892" s="529"/>
      <c r="BG892" s="537"/>
      <c r="BH892" s="537"/>
      <c r="BI892" s="537"/>
      <c r="BJ892" s="537"/>
      <c r="BK892" s="537"/>
      <c r="BL892" s="537"/>
      <c r="BM892" s="537"/>
      <c r="BN892" s="537"/>
      <c r="BO892" s="537"/>
      <c r="BP892" s="537"/>
      <c r="BQ892" s="537"/>
      <c r="BR892" s="537"/>
      <c r="BS892" s="537"/>
    </row>
    <row r="893" spans="45:71">
      <c r="AV893" s="470"/>
      <c r="AW893" s="470"/>
      <c r="AX893" s="537"/>
      <c r="AY893" s="537"/>
      <c r="AZ893" s="537"/>
      <c r="BA893" s="529"/>
      <c r="BB893" s="537"/>
      <c r="BC893" s="537"/>
      <c r="BD893" s="537"/>
      <c r="BE893" s="529"/>
      <c r="BG893" s="537"/>
      <c r="BH893" s="537"/>
      <c r="BI893" s="537"/>
      <c r="BJ893" s="537"/>
      <c r="BK893" s="537"/>
      <c r="BL893" s="537"/>
      <c r="BM893" s="537"/>
      <c r="BN893" s="537"/>
      <c r="BO893" s="537"/>
      <c r="BP893" s="537"/>
      <c r="BQ893" s="537"/>
      <c r="BR893" s="537"/>
      <c r="BS893" s="537"/>
    </row>
    <row r="894" spans="45:71">
      <c r="AV894" s="470"/>
      <c r="AW894" s="470"/>
      <c r="AX894" s="537"/>
      <c r="AY894" s="537"/>
      <c r="AZ894" s="537"/>
      <c r="BA894" s="529"/>
      <c r="BB894" s="537"/>
      <c r="BC894" s="537"/>
      <c r="BD894" s="537"/>
      <c r="BE894" s="529"/>
      <c r="BG894" s="537"/>
      <c r="BH894" s="537"/>
      <c r="BI894" s="537"/>
      <c r="BJ894" s="537"/>
      <c r="BK894" s="537"/>
      <c r="BL894" s="537"/>
      <c r="BM894" s="537"/>
      <c r="BN894" s="537"/>
      <c r="BO894" s="537"/>
      <c r="BP894" s="537"/>
      <c r="BQ894" s="537"/>
      <c r="BR894" s="537"/>
      <c r="BS894" s="537"/>
    </row>
    <row r="895" spans="45:71">
      <c r="AV895" s="470"/>
      <c r="AW895" s="470"/>
      <c r="AX895" s="537"/>
      <c r="AY895" s="537"/>
      <c r="AZ895" s="537"/>
      <c r="BA895" s="529"/>
      <c r="BB895" s="537"/>
      <c r="BC895" s="537"/>
      <c r="BD895" s="537"/>
      <c r="BE895" s="529"/>
      <c r="BG895" s="537"/>
      <c r="BH895" s="537"/>
      <c r="BI895" s="537"/>
      <c r="BJ895" s="537"/>
      <c r="BK895" s="537"/>
      <c r="BL895" s="537"/>
      <c r="BM895" s="537"/>
      <c r="BN895" s="537"/>
      <c r="BO895" s="537"/>
      <c r="BP895" s="537"/>
      <c r="BQ895" s="537"/>
      <c r="BR895" s="537"/>
      <c r="BS895" s="537"/>
    </row>
    <row r="896" spans="45:71">
      <c r="AV896" s="470"/>
      <c r="AW896" s="470"/>
      <c r="AX896" s="537"/>
      <c r="AY896" s="537"/>
      <c r="AZ896" s="537"/>
      <c r="BA896" s="529"/>
      <c r="BB896" s="537"/>
      <c r="BC896" s="537"/>
      <c r="BD896" s="537"/>
      <c r="BE896" s="529"/>
      <c r="BG896" s="537"/>
      <c r="BH896" s="537"/>
      <c r="BI896" s="537"/>
      <c r="BJ896" s="537"/>
      <c r="BK896" s="537"/>
      <c r="BL896" s="537"/>
      <c r="BM896" s="537"/>
      <c r="BN896" s="537"/>
      <c r="BO896" s="537"/>
      <c r="BP896" s="537"/>
      <c r="BQ896" s="537"/>
      <c r="BR896" s="537"/>
      <c r="BS896" s="537"/>
    </row>
    <row r="897" spans="46:71">
      <c r="AV897" s="470"/>
      <c r="AW897" s="470"/>
      <c r="AX897" s="537"/>
      <c r="AY897" s="537"/>
      <c r="AZ897" s="537"/>
      <c r="BA897" s="529"/>
      <c r="BB897" s="537"/>
      <c r="BC897" s="537"/>
      <c r="BD897" s="537"/>
      <c r="BE897" s="529"/>
      <c r="BG897" s="537"/>
      <c r="BH897" s="537"/>
      <c r="BI897" s="537"/>
      <c r="BJ897" s="537"/>
      <c r="BK897" s="537"/>
      <c r="BL897" s="537"/>
      <c r="BM897" s="537"/>
      <c r="BN897" s="537"/>
      <c r="BO897" s="537"/>
      <c r="BP897" s="537"/>
      <c r="BQ897" s="537"/>
      <c r="BR897" s="537"/>
      <c r="BS897" s="537"/>
    </row>
    <row r="898" spans="46:71">
      <c r="AV898" s="470"/>
      <c r="AW898" s="470"/>
      <c r="AX898" s="537"/>
      <c r="AY898" s="537"/>
      <c r="AZ898" s="537"/>
      <c r="BA898" s="529"/>
      <c r="BB898" s="537"/>
      <c r="BC898" s="537"/>
      <c r="BD898" s="537"/>
      <c r="BE898" s="529"/>
      <c r="BG898" s="537"/>
      <c r="BH898" s="537"/>
      <c r="BI898" s="537"/>
      <c r="BJ898" s="537"/>
      <c r="BK898" s="537"/>
      <c r="BL898" s="537"/>
      <c r="BM898" s="537"/>
      <c r="BN898" s="537"/>
      <c r="BO898" s="537"/>
      <c r="BP898" s="537"/>
      <c r="BQ898" s="537"/>
      <c r="BR898" s="537"/>
      <c r="BS898" s="537"/>
    </row>
    <row r="899" spans="46:71">
      <c r="AV899" s="470"/>
      <c r="AW899" s="470"/>
      <c r="AX899" s="537"/>
      <c r="AY899" s="537"/>
      <c r="AZ899" s="537"/>
      <c r="BA899" s="529"/>
      <c r="BB899" s="537"/>
      <c r="BC899" s="537"/>
      <c r="BD899" s="537"/>
      <c r="BE899" s="529"/>
      <c r="BG899" s="537"/>
      <c r="BH899" s="537"/>
      <c r="BI899" s="537"/>
      <c r="BJ899" s="537"/>
      <c r="BK899" s="537"/>
      <c r="BL899" s="537"/>
      <c r="BM899" s="537"/>
      <c r="BN899" s="537"/>
      <c r="BO899" s="537"/>
      <c r="BP899" s="537"/>
      <c r="BQ899" s="537"/>
      <c r="BR899" s="537"/>
      <c r="BS899" s="537"/>
    </row>
    <row r="900" spans="46:71">
      <c r="AV900" s="470"/>
      <c r="AW900" s="470"/>
      <c r="AX900" s="537"/>
      <c r="AY900" s="537"/>
      <c r="AZ900" s="537"/>
      <c r="BA900" s="529"/>
      <c r="BB900" s="537"/>
      <c r="BC900" s="537"/>
      <c r="BD900" s="537"/>
      <c r="BE900" s="529"/>
      <c r="BG900" s="537"/>
      <c r="BH900" s="537"/>
      <c r="BI900" s="537"/>
      <c r="BJ900" s="537"/>
      <c r="BK900" s="537"/>
      <c r="BL900" s="537"/>
      <c r="BM900" s="537"/>
      <c r="BN900" s="537"/>
      <c r="BO900" s="537"/>
      <c r="BP900" s="537"/>
      <c r="BQ900" s="537"/>
      <c r="BR900" s="537"/>
      <c r="BS900" s="537"/>
    </row>
    <row r="901" spans="46:71">
      <c r="AV901" s="470"/>
      <c r="AW901" s="470"/>
      <c r="AX901" s="537"/>
      <c r="AY901" s="537"/>
      <c r="AZ901" s="537"/>
      <c r="BA901" s="529"/>
      <c r="BB901" s="537"/>
      <c r="BC901" s="537"/>
      <c r="BD901" s="537"/>
      <c r="BE901" s="529"/>
      <c r="BG901" s="537"/>
      <c r="BH901" s="537"/>
      <c r="BI901" s="537"/>
      <c r="BJ901" s="537"/>
      <c r="BK901" s="537"/>
      <c r="BL901" s="537"/>
      <c r="BM901" s="537"/>
      <c r="BN901" s="537"/>
      <c r="BO901" s="537"/>
      <c r="BP901" s="537"/>
      <c r="BQ901" s="537"/>
      <c r="BR901" s="537"/>
      <c r="BS901" s="537"/>
    </row>
    <row r="902" spans="46:71">
      <c r="AZ902" s="537"/>
      <c r="BB902" s="537"/>
      <c r="BC902" s="537"/>
      <c r="BD902" s="537"/>
      <c r="BG902" s="537"/>
      <c r="BH902" s="537"/>
      <c r="BI902" s="537"/>
      <c r="BJ902" s="537"/>
      <c r="BK902" s="537"/>
      <c r="BL902" s="537"/>
      <c r="BM902" s="537"/>
      <c r="BN902" s="537"/>
      <c r="BO902" s="537"/>
      <c r="BP902" s="537"/>
      <c r="BQ902" s="537"/>
      <c r="BR902" s="537"/>
      <c r="BS902" s="537"/>
    </row>
    <row r="903" spans="46:71">
      <c r="AT903" s="455"/>
      <c r="AV903" s="470"/>
      <c r="AW903" s="470"/>
      <c r="AX903" s="537"/>
      <c r="AY903" s="537"/>
      <c r="AZ903" s="537"/>
      <c r="BA903" s="529"/>
      <c r="BB903" s="537"/>
      <c r="BC903" s="537"/>
      <c r="BD903" s="537"/>
      <c r="BE903" s="529"/>
    </row>
    <row r="904" spans="46:71">
      <c r="AV904" s="470"/>
      <c r="AW904" s="470"/>
      <c r="AX904" s="537"/>
      <c r="AY904" s="537"/>
      <c r="AZ904" s="537"/>
      <c r="BA904" s="529"/>
      <c r="BB904" s="537"/>
      <c r="BC904" s="537"/>
      <c r="BD904" s="537"/>
      <c r="BE904" s="529"/>
    </row>
    <row r="905" spans="46:71">
      <c r="AV905" s="470"/>
      <c r="AW905" s="470"/>
      <c r="AX905" s="537"/>
      <c r="AY905" s="537"/>
      <c r="AZ905" s="537"/>
      <c r="BA905" s="529"/>
      <c r="BB905" s="537"/>
      <c r="BC905" s="537"/>
      <c r="BD905" s="537"/>
      <c r="BE905" s="529"/>
    </row>
    <row r="906" spans="46:71">
      <c r="AV906" s="470"/>
      <c r="AW906" s="470"/>
      <c r="AX906" s="537"/>
      <c r="AY906" s="537"/>
      <c r="AZ906" s="537"/>
      <c r="BA906" s="529"/>
      <c r="BB906" s="537"/>
      <c r="BC906" s="537"/>
      <c r="BD906" s="537"/>
      <c r="BE906" s="529"/>
    </row>
    <row r="907" spans="46:71">
      <c r="AV907" s="470"/>
      <c r="AW907" s="470"/>
      <c r="AX907" s="537"/>
      <c r="AY907" s="537"/>
      <c r="AZ907" s="537"/>
      <c r="BA907" s="529"/>
      <c r="BB907" s="537"/>
      <c r="BC907" s="537"/>
      <c r="BD907" s="537"/>
      <c r="BE907" s="529"/>
    </row>
    <row r="908" spans="46:71">
      <c r="AV908" s="470"/>
      <c r="AW908" s="470"/>
      <c r="AX908" s="537"/>
      <c r="AY908" s="537"/>
      <c r="AZ908" s="537"/>
      <c r="BA908" s="529"/>
      <c r="BB908" s="537"/>
      <c r="BC908" s="537"/>
      <c r="BD908" s="537"/>
      <c r="BE908" s="529"/>
    </row>
    <row r="909" spans="46:71">
      <c r="AV909" s="470"/>
      <c r="AW909" s="470"/>
      <c r="AX909" s="537"/>
      <c r="AY909" s="537"/>
      <c r="AZ909" s="537"/>
      <c r="BA909" s="529"/>
      <c r="BB909" s="537"/>
      <c r="BC909" s="537"/>
      <c r="BD909" s="537"/>
      <c r="BE909" s="529"/>
    </row>
    <row r="910" spans="46:71">
      <c r="AV910" s="470"/>
      <c r="AW910" s="470"/>
      <c r="AX910" s="537"/>
      <c r="AY910" s="537"/>
      <c r="AZ910" s="537"/>
      <c r="BA910" s="529"/>
      <c r="BB910" s="537"/>
      <c r="BC910" s="537"/>
      <c r="BD910" s="537"/>
      <c r="BE910" s="529"/>
    </row>
    <row r="911" spans="46:71">
      <c r="AV911" s="470"/>
      <c r="AW911" s="470"/>
      <c r="AX911" s="537"/>
      <c r="AY911" s="537"/>
      <c r="AZ911" s="537"/>
      <c r="BA911" s="529"/>
      <c r="BB911" s="537"/>
      <c r="BC911" s="537"/>
      <c r="BD911" s="537"/>
      <c r="BE911" s="529"/>
    </row>
    <row r="912" spans="46:71">
      <c r="AV912" s="470"/>
      <c r="AW912" s="470"/>
      <c r="AX912" s="537"/>
      <c r="AY912" s="537"/>
      <c r="AZ912" s="537"/>
      <c r="BA912" s="529"/>
      <c r="BB912" s="537"/>
      <c r="BC912" s="537"/>
      <c r="BD912" s="537"/>
      <c r="BE912" s="529"/>
    </row>
    <row r="913" spans="45:57">
      <c r="AV913" s="470"/>
      <c r="AW913" s="470"/>
      <c r="AX913" s="537"/>
      <c r="AY913" s="537"/>
      <c r="AZ913" s="537"/>
      <c r="BA913" s="529"/>
      <c r="BB913" s="537"/>
      <c r="BC913" s="537"/>
      <c r="BD913" s="537"/>
      <c r="BE913" s="529"/>
    </row>
    <row r="914" spans="45:57">
      <c r="AV914" s="470"/>
      <c r="AW914" s="470"/>
      <c r="AX914" s="537"/>
      <c r="AY914" s="537"/>
      <c r="AZ914" s="537"/>
      <c r="BA914" s="529"/>
      <c r="BB914" s="537"/>
      <c r="BC914" s="537"/>
      <c r="BD914" s="537"/>
      <c r="BE914" s="529"/>
    </row>
    <row r="915" spans="45:57">
      <c r="AV915" s="470"/>
      <c r="AW915" s="470"/>
      <c r="AX915" s="537"/>
      <c r="AY915" s="537"/>
      <c r="AZ915" s="537"/>
      <c r="BA915" s="529"/>
      <c r="BB915" s="537"/>
      <c r="BC915" s="537"/>
      <c r="BD915" s="537"/>
      <c r="BE915" s="529"/>
    </row>
    <row r="916" spans="45:57">
      <c r="AV916" s="470"/>
      <c r="AW916" s="470"/>
      <c r="AX916" s="537"/>
      <c r="AY916" s="537"/>
      <c r="AZ916" s="537"/>
      <c r="BA916" s="529"/>
      <c r="BB916" s="537"/>
      <c r="BC916" s="537"/>
      <c r="BD916" s="537"/>
      <c r="BE916" s="529"/>
    </row>
    <row r="917" spans="45:57">
      <c r="AV917" s="470"/>
      <c r="AW917" s="470"/>
      <c r="AX917" s="537"/>
      <c r="AY917" s="537"/>
      <c r="AZ917" s="537"/>
      <c r="BA917" s="529"/>
      <c r="BB917" s="537"/>
      <c r="BC917" s="537"/>
      <c r="BD917" s="537"/>
      <c r="BE917" s="529"/>
    </row>
    <row r="918" spans="45:57">
      <c r="AV918" s="470"/>
      <c r="AW918" s="470"/>
      <c r="AX918" s="537"/>
      <c r="AY918" s="537"/>
      <c r="AZ918" s="537"/>
      <c r="BA918" s="529"/>
      <c r="BB918" s="537"/>
      <c r="BC918" s="537"/>
      <c r="BD918" s="537"/>
      <c r="BE918" s="529"/>
    </row>
    <row r="919" spans="45:57">
      <c r="AV919" s="470"/>
      <c r="AW919" s="470"/>
      <c r="AX919" s="537"/>
      <c r="AY919" s="537"/>
      <c r="AZ919" s="537"/>
      <c r="BA919" s="529"/>
      <c r="BB919" s="537"/>
      <c r="BC919" s="537"/>
      <c r="BD919" s="537"/>
      <c r="BE919" s="529"/>
    </row>
    <row r="920" spans="45:57">
      <c r="AV920" s="470"/>
      <c r="AW920" s="470"/>
      <c r="AX920" s="537"/>
      <c r="AY920" s="537"/>
      <c r="AZ920" s="537"/>
      <c r="BA920" s="529"/>
      <c r="BB920" s="537"/>
      <c r="BC920" s="537"/>
      <c r="BD920" s="537"/>
      <c r="BE920" s="529"/>
    </row>
    <row r="921" spans="45:57">
      <c r="BB921" s="537"/>
    </row>
    <row r="922" spans="45:57">
      <c r="AU922" s="455"/>
      <c r="BB922" s="537"/>
    </row>
    <row r="923" spans="45:57">
      <c r="AU923" s="455"/>
    </row>
    <row r="924" spans="45:57">
      <c r="AU924" s="455"/>
      <c r="BB924" s="537"/>
    </row>
    <row r="925" spans="45:57">
      <c r="AS925" s="455"/>
      <c r="AZ925" s="537"/>
      <c r="BB925" s="537"/>
    </row>
    <row r="926" spans="45:57">
      <c r="AZ926" s="537"/>
      <c r="BB926" s="537"/>
    </row>
    <row r="927" spans="45:57">
      <c r="AY927" s="537"/>
      <c r="AZ927" s="537"/>
      <c r="BB927" s="537"/>
    </row>
    <row r="928" spans="45:57">
      <c r="AY928" s="455"/>
      <c r="AZ928" s="537"/>
      <c r="BB928" s="537"/>
    </row>
    <row r="929" spans="45:57">
      <c r="AY929" s="455"/>
      <c r="AZ929" s="537"/>
      <c r="BB929" s="537"/>
    </row>
    <row r="930" spans="45:57">
      <c r="AZ930" s="537"/>
      <c r="BB930" s="537"/>
      <c r="BD930" s="455"/>
    </row>
    <row r="931" spans="45:57">
      <c r="AZ931" s="537"/>
      <c r="BB931" s="537"/>
      <c r="BD931" s="455"/>
    </row>
    <row r="932" spans="45:57">
      <c r="AS932" s="455"/>
      <c r="AZ932" s="537"/>
      <c r="BB932" s="537"/>
      <c r="BD932" s="455"/>
    </row>
    <row r="933" spans="45:57">
      <c r="AZ933" s="537"/>
      <c r="BB933" s="537"/>
    </row>
    <row r="934" spans="45:57">
      <c r="AS934" s="460"/>
      <c r="AT934" s="460"/>
      <c r="AU934" s="460"/>
      <c r="AV934" s="460"/>
      <c r="AW934" s="460"/>
      <c r="AX934" s="460"/>
      <c r="AY934" s="460"/>
      <c r="AZ934" s="538"/>
      <c r="BA934" s="460"/>
      <c r="BB934" s="538"/>
      <c r="BC934" s="460"/>
      <c r="BD934" s="460"/>
      <c r="BE934" s="460"/>
    </row>
    <row r="935" spans="45:57">
      <c r="AX935" s="455"/>
      <c r="AZ935" s="537"/>
      <c r="BB935" s="537"/>
    </row>
    <row r="936" spans="45:57">
      <c r="AX936" s="460"/>
      <c r="AY936" s="460"/>
      <c r="AZ936" s="538"/>
      <c r="BA936" s="460"/>
      <c r="BB936" s="537"/>
      <c r="BC936" s="462"/>
      <c r="BD936" s="462"/>
    </row>
    <row r="937" spans="45:57">
      <c r="AV937" s="462"/>
      <c r="AW937" s="462"/>
      <c r="AZ937" s="539"/>
      <c r="BA937" s="462"/>
      <c r="BB937" s="537"/>
      <c r="BC937" s="462"/>
      <c r="BD937" s="462"/>
      <c r="BE937" s="462"/>
    </row>
    <row r="938" spans="45:57">
      <c r="AV938" s="462"/>
      <c r="AW938" s="462"/>
      <c r="AX938" s="462"/>
      <c r="AY938" s="462"/>
      <c r="AZ938" s="539"/>
      <c r="BA938" s="462"/>
      <c r="BB938" s="539"/>
      <c r="BC938" s="462"/>
      <c r="BD938" s="462"/>
      <c r="BE938" s="462"/>
    </row>
    <row r="939" spans="45:57">
      <c r="AS939" s="462"/>
      <c r="AU939" s="455"/>
      <c r="AV939" s="462"/>
      <c r="AW939" s="462"/>
      <c r="AX939" s="462"/>
      <c r="AY939" s="462"/>
      <c r="AZ939" s="539"/>
      <c r="BA939" s="462"/>
      <c r="BB939" s="539"/>
      <c r="BC939" s="462"/>
      <c r="BD939" s="462"/>
      <c r="BE939" s="462"/>
    </row>
    <row r="940" spans="45:57">
      <c r="AS940" s="462"/>
      <c r="AU940" s="455"/>
      <c r="AV940" s="462"/>
      <c r="AW940" s="462"/>
      <c r="AX940" s="462"/>
      <c r="AY940" s="462"/>
      <c r="AZ940" s="539"/>
      <c r="BA940" s="462"/>
      <c r="BB940" s="539"/>
      <c r="BC940" s="462"/>
      <c r="BD940" s="462"/>
      <c r="BE940" s="462"/>
    </row>
    <row r="941" spans="45:57">
      <c r="AS941" s="460"/>
      <c r="AT941" s="460"/>
      <c r="AU941" s="460"/>
      <c r="AV941" s="460"/>
      <c r="AW941" s="460"/>
      <c r="AX941" s="460"/>
      <c r="AY941" s="460"/>
      <c r="AZ941" s="538"/>
      <c r="BA941" s="460"/>
      <c r="BB941" s="538"/>
      <c r="BC941" s="460"/>
      <c r="BD941" s="460"/>
      <c r="BE941" s="460"/>
    </row>
    <row r="942" spans="45:57">
      <c r="AV942" s="462"/>
      <c r="AW942" s="462"/>
      <c r="AX942" s="462"/>
      <c r="AY942" s="462"/>
      <c r="AZ942" s="539"/>
      <c r="BA942" s="462"/>
      <c r="BB942" s="539"/>
      <c r="BC942" s="462"/>
      <c r="BD942" s="462"/>
      <c r="BE942" s="462"/>
    </row>
    <row r="943" spans="45:57">
      <c r="AT943" s="455"/>
      <c r="AV943" s="470"/>
      <c r="AW943" s="470"/>
      <c r="AX943" s="537"/>
      <c r="AY943" s="537"/>
      <c r="AZ943" s="537"/>
      <c r="BA943" s="529"/>
      <c r="BB943" s="537"/>
      <c r="BC943" s="537"/>
      <c r="BD943" s="537"/>
      <c r="BE943" s="529"/>
    </row>
    <row r="944" spans="45:57">
      <c r="AV944" s="470"/>
      <c r="AW944" s="470"/>
      <c r="AX944" s="537"/>
      <c r="AY944" s="537"/>
      <c r="AZ944" s="537"/>
      <c r="BA944" s="529"/>
      <c r="BB944" s="537"/>
      <c r="BC944" s="537"/>
      <c r="BD944" s="537"/>
      <c r="BE944" s="529"/>
    </row>
    <row r="945" spans="46:57">
      <c r="AV945" s="470"/>
      <c r="AW945" s="470"/>
      <c r="AX945" s="537"/>
      <c r="AY945" s="537"/>
      <c r="AZ945" s="537"/>
      <c r="BA945" s="529"/>
      <c r="BB945" s="537"/>
      <c r="BC945" s="537"/>
      <c r="BD945" s="537"/>
      <c r="BE945" s="529"/>
    </row>
    <row r="946" spans="46:57">
      <c r="AV946" s="470"/>
      <c r="AW946" s="470"/>
      <c r="AX946" s="537"/>
      <c r="AY946" s="537"/>
      <c r="AZ946" s="537"/>
      <c r="BA946" s="529"/>
      <c r="BB946" s="537"/>
      <c r="BC946" s="537"/>
      <c r="BD946" s="537"/>
      <c r="BE946" s="529"/>
    </row>
    <row r="947" spans="46:57">
      <c r="AV947" s="470"/>
      <c r="AW947" s="470"/>
      <c r="AX947" s="537"/>
      <c r="AY947" s="537"/>
      <c r="AZ947" s="537"/>
      <c r="BA947" s="529"/>
      <c r="BB947" s="537"/>
      <c r="BC947" s="537"/>
      <c r="BD947" s="537"/>
      <c r="BE947" s="529"/>
    </row>
    <row r="948" spans="46:57">
      <c r="AV948" s="470"/>
      <c r="AW948" s="470"/>
      <c r="AX948" s="537"/>
      <c r="AY948" s="537"/>
      <c r="AZ948" s="537"/>
      <c r="BA948" s="529"/>
      <c r="BB948" s="537"/>
      <c r="BC948" s="537"/>
      <c r="BD948" s="537"/>
      <c r="BE948" s="529"/>
    </row>
    <row r="949" spans="46:57">
      <c r="AV949" s="470"/>
      <c r="AW949" s="470"/>
      <c r="AX949" s="537"/>
      <c r="AY949" s="537"/>
      <c r="AZ949" s="537"/>
      <c r="BA949" s="529"/>
      <c r="BB949" s="537"/>
      <c r="BC949" s="537"/>
      <c r="BD949" s="537"/>
      <c r="BE949" s="529"/>
    </row>
    <row r="950" spans="46:57">
      <c r="AV950" s="470"/>
      <c r="AW950" s="470"/>
      <c r="AX950" s="537"/>
      <c r="AY950" s="537"/>
      <c r="AZ950" s="537"/>
      <c r="BA950" s="529"/>
      <c r="BB950" s="537"/>
      <c r="BC950" s="537"/>
      <c r="BD950" s="537"/>
      <c r="BE950" s="529"/>
    </row>
    <row r="951" spans="46:57">
      <c r="AV951" s="470"/>
      <c r="AW951" s="470"/>
      <c r="AX951" s="537"/>
      <c r="AY951" s="537"/>
      <c r="AZ951" s="537"/>
      <c r="BA951" s="529"/>
      <c r="BB951" s="537"/>
      <c r="BC951" s="537"/>
      <c r="BD951" s="537"/>
      <c r="BE951" s="529"/>
    </row>
    <row r="952" spans="46:57">
      <c r="AV952" s="470"/>
      <c r="AW952" s="470"/>
      <c r="AX952" s="537"/>
      <c r="AY952" s="537"/>
      <c r="AZ952" s="537"/>
      <c r="BA952" s="529"/>
      <c r="BB952" s="537"/>
      <c r="BC952" s="537"/>
      <c r="BD952" s="537"/>
      <c r="BE952" s="529"/>
    </row>
    <row r="953" spans="46:57">
      <c r="AV953" s="470"/>
      <c r="AW953" s="470"/>
      <c r="BB953" s="537"/>
    </row>
    <row r="954" spans="46:57">
      <c r="AT954" s="455"/>
      <c r="AV954" s="470"/>
      <c r="AW954" s="470"/>
      <c r="AX954" s="537"/>
      <c r="AY954" s="537"/>
      <c r="AZ954" s="537"/>
      <c r="BA954" s="529"/>
      <c r="BB954" s="537"/>
      <c r="BC954" s="537"/>
      <c r="BD954" s="537"/>
      <c r="BE954" s="529"/>
    </row>
    <row r="955" spans="46:57">
      <c r="AV955" s="470"/>
      <c r="AW955" s="470"/>
      <c r="AX955" s="537"/>
      <c r="AY955" s="537"/>
      <c r="AZ955" s="537"/>
      <c r="BA955" s="529"/>
      <c r="BB955" s="537"/>
      <c r="BC955" s="537"/>
      <c r="BD955" s="537"/>
      <c r="BE955" s="529"/>
    </row>
    <row r="956" spans="46:57">
      <c r="AV956" s="470"/>
      <c r="AW956" s="470"/>
      <c r="AX956" s="537"/>
      <c r="AY956" s="537"/>
      <c r="AZ956" s="537"/>
      <c r="BA956" s="529"/>
      <c r="BB956" s="537"/>
      <c r="BC956" s="537"/>
      <c r="BD956" s="537"/>
      <c r="BE956" s="529"/>
    </row>
    <row r="957" spans="46:57">
      <c r="AV957" s="470"/>
      <c r="AW957" s="470"/>
      <c r="AX957" s="537"/>
      <c r="AY957" s="537"/>
      <c r="AZ957" s="537"/>
      <c r="BA957" s="529"/>
      <c r="BB957" s="537"/>
      <c r="BC957" s="537"/>
      <c r="BD957" s="537"/>
      <c r="BE957" s="529"/>
    </row>
    <row r="958" spans="46:57">
      <c r="AV958" s="470"/>
      <c r="AW958" s="470"/>
      <c r="AX958" s="537"/>
      <c r="AY958" s="537"/>
      <c r="AZ958" s="537"/>
      <c r="BA958" s="529"/>
      <c r="BB958" s="537"/>
      <c r="BC958" s="537"/>
      <c r="BD958" s="537"/>
      <c r="BE958" s="529"/>
    </row>
    <row r="959" spans="46:57">
      <c r="AV959" s="470"/>
      <c r="AW959" s="470"/>
      <c r="AX959" s="537"/>
      <c r="AY959" s="537"/>
      <c r="AZ959" s="537"/>
      <c r="BA959" s="529"/>
      <c r="BB959" s="537"/>
      <c r="BC959" s="537"/>
      <c r="BD959" s="537"/>
      <c r="BE959" s="529"/>
    </row>
    <row r="960" spans="46:57">
      <c r="AV960" s="470"/>
      <c r="AW960" s="470"/>
      <c r="AX960" s="537"/>
      <c r="AY960" s="537"/>
      <c r="AZ960" s="537"/>
      <c r="BA960" s="529"/>
      <c r="BB960" s="537"/>
      <c r="BC960" s="537"/>
      <c r="BD960" s="537"/>
      <c r="BE960" s="529"/>
    </row>
    <row r="961" spans="45:57">
      <c r="AV961" s="470"/>
      <c r="AW961" s="470"/>
      <c r="AX961" s="537"/>
      <c r="AY961" s="537"/>
      <c r="AZ961" s="537"/>
      <c r="BA961" s="529"/>
      <c r="BB961" s="537"/>
      <c r="BC961" s="537"/>
      <c r="BD961" s="537"/>
      <c r="BE961" s="529"/>
    </row>
    <row r="962" spans="45:57">
      <c r="AV962" s="470"/>
      <c r="AW962" s="470"/>
      <c r="AX962" s="537"/>
      <c r="AY962" s="537"/>
      <c r="AZ962" s="537"/>
      <c r="BA962" s="529"/>
      <c r="BB962" s="537"/>
      <c r="BC962" s="537"/>
      <c r="BD962" s="537"/>
      <c r="BE962" s="529"/>
    </row>
    <row r="963" spans="45:57">
      <c r="AV963" s="470"/>
      <c r="AW963" s="470"/>
      <c r="AX963" s="537"/>
      <c r="AY963" s="537"/>
      <c r="AZ963" s="537"/>
      <c r="BA963" s="529"/>
      <c r="BB963" s="537"/>
      <c r="BC963" s="537"/>
      <c r="BD963" s="537"/>
      <c r="BE963" s="529"/>
    </row>
    <row r="965" spans="45:57">
      <c r="AU965" s="455"/>
    </row>
    <row r="966" spans="45:57">
      <c r="AU966" s="455"/>
    </row>
    <row r="967" spans="45:57">
      <c r="AU967" s="455"/>
    </row>
    <row r="968" spans="45:57">
      <c r="AS968" s="455"/>
    </row>
    <row r="989" spans="52:71">
      <c r="AZ989" s="537"/>
      <c r="BB989" s="537"/>
      <c r="BC989" s="537"/>
      <c r="BD989" s="537"/>
      <c r="BG989" s="537"/>
      <c r="BH989" s="537"/>
      <c r="BI989" s="537"/>
      <c r="BJ989" s="537"/>
      <c r="BK989" s="537"/>
      <c r="BL989" s="537"/>
      <c r="BM989" s="537"/>
      <c r="BN989" s="537"/>
      <c r="BO989" s="537"/>
      <c r="BP989" s="537"/>
      <c r="BQ989" s="537"/>
      <c r="BR989" s="537"/>
      <c r="BS989" s="537"/>
    </row>
    <row r="990" spans="52:71">
      <c r="AZ990" s="537"/>
      <c r="BB990" s="537"/>
      <c r="BC990" s="537"/>
      <c r="BD990" s="537"/>
      <c r="BG990" s="537"/>
      <c r="BH990" s="537"/>
      <c r="BI990" s="537"/>
      <c r="BJ990" s="537"/>
      <c r="BK990" s="537"/>
      <c r="BL990" s="537"/>
      <c r="BM990" s="537"/>
      <c r="BN990" s="537"/>
      <c r="BO990" s="537"/>
      <c r="BP990" s="537"/>
      <c r="BQ990" s="537"/>
      <c r="BR990" s="537"/>
      <c r="BS990" s="537"/>
    </row>
    <row r="991" spans="52:71">
      <c r="AZ991" s="537"/>
      <c r="BB991" s="537"/>
      <c r="BC991" s="537"/>
      <c r="BD991" s="537"/>
      <c r="BG991" s="537"/>
      <c r="BH991" s="537"/>
      <c r="BI991" s="537"/>
      <c r="BJ991" s="537"/>
      <c r="BK991" s="537"/>
      <c r="BL991" s="537"/>
      <c r="BM991" s="537"/>
      <c r="BN991" s="537"/>
      <c r="BO991" s="537"/>
      <c r="BP991" s="537"/>
      <c r="BQ991" s="537"/>
      <c r="BR991" s="537"/>
      <c r="BS991" s="537"/>
    </row>
    <row r="992" spans="52:71">
      <c r="AZ992" s="537"/>
      <c r="BB992" s="537"/>
      <c r="BC992" s="537"/>
      <c r="BD992" s="537"/>
      <c r="BG992" s="537"/>
      <c r="BH992" s="537"/>
      <c r="BI992" s="537"/>
      <c r="BJ992" s="537"/>
      <c r="BK992" s="537"/>
      <c r="BL992" s="537"/>
      <c r="BM992" s="537"/>
      <c r="BN992" s="537"/>
      <c r="BO992" s="537"/>
      <c r="BP992" s="537"/>
      <c r="BQ992" s="537"/>
      <c r="BR992" s="537"/>
      <c r="BS992" s="537"/>
    </row>
    <row r="993" spans="52:71">
      <c r="AZ993" s="537"/>
      <c r="BB993" s="537"/>
      <c r="BC993" s="537"/>
      <c r="BD993" s="537"/>
      <c r="BG993" s="537"/>
      <c r="BH993" s="537"/>
      <c r="BI993" s="537"/>
      <c r="BJ993" s="537"/>
      <c r="BK993" s="537"/>
      <c r="BL993" s="537"/>
      <c r="BM993" s="537"/>
      <c r="BN993" s="537"/>
      <c r="BO993" s="537"/>
      <c r="BP993" s="537"/>
      <c r="BQ993" s="537"/>
      <c r="BR993" s="537"/>
      <c r="BS993" s="537"/>
    </row>
    <row r="994" spans="52:71">
      <c r="AZ994" s="537"/>
      <c r="BB994" s="537"/>
      <c r="BC994" s="537"/>
      <c r="BD994" s="537"/>
      <c r="BG994" s="537"/>
      <c r="BH994" s="537"/>
      <c r="BI994" s="537"/>
      <c r="BJ994" s="537"/>
      <c r="BK994" s="537"/>
      <c r="BL994" s="537"/>
      <c r="BM994" s="537"/>
      <c r="BN994" s="537"/>
      <c r="BO994" s="537"/>
      <c r="BP994" s="537"/>
      <c r="BQ994" s="537"/>
      <c r="BR994" s="537"/>
      <c r="BS994" s="537"/>
    </row>
    <row r="995" spans="52:71">
      <c r="AZ995" s="537"/>
      <c r="BB995" s="537"/>
      <c r="BC995" s="537"/>
      <c r="BD995" s="537"/>
      <c r="BG995" s="537"/>
      <c r="BH995" s="537"/>
      <c r="BI995" s="537"/>
      <c r="BJ995" s="537"/>
      <c r="BK995" s="537"/>
      <c r="BL995" s="537"/>
      <c r="BM995" s="537"/>
      <c r="BN995" s="537"/>
      <c r="BO995" s="537"/>
      <c r="BP995" s="537"/>
      <c r="BQ995" s="537"/>
      <c r="BR995" s="537"/>
      <c r="BS995" s="537"/>
    </row>
    <row r="996" spans="52:71">
      <c r="AZ996" s="537"/>
      <c r="BB996" s="537"/>
      <c r="BC996" s="537"/>
      <c r="BD996" s="537"/>
      <c r="BG996" s="537"/>
      <c r="BH996" s="537"/>
      <c r="BI996" s="537"/>
      <c r="BJ996" s="537"/>
      <c r="BK996" s="537"/>
      <c r="BL996" s="537"/>
      <c r="BM996" s="537"/>
      <c r="BN996" s="537"/>
      <c r="BO996" s="537"/>
      <c r="BP996" s="537"/>
      <c r="BQ996" s="537"/>
      <c r="BR996" s="537"/>
      <c r="BS996" s="537"/>
    </row>
    <row r="997" spans="52:71">
      <c r="AZ997" s="537"/>
      <c r="BB997" s="537"/>
      <c r="BC997" s="537"/>
      <c r="BD997" s="537"/>
      <c r="BG997" s="537"/>
      <c r="BH997" s="537"/>
      <c r="BI997" s="537"/>
      <c r="BJ997" s="537"/>
      <c r="BK997" s="537"/>
      <c r="BL997" s="537"/>
      <c r="BM997" s="537"/>
      <c r="BN997" s="537"/>
      <c r="BO997" s="537"/>
      <c r="BP997" s="537"/>
      <c r="BQ997" s="537"/>
      <c r="BR997" s="537"/>
      <c r="BS997" s="537"/>
    </row>
    <row r="998" spans="52:71">
      <c r="AZ998" s="537"/>
      <c r="BB998" s="537"/>
      <c r="BC998" s="537"/>
      <c r="BD998" s="537"/>
      <c r="BG998" s="537"/>
      <c r="BH998" s="537"/>
      <c r="BI998" s="537"/>
      <c r="BJ998" s="537"/>
      <c r="BK998" s="537"/>
      <c r="BL998" s="537"/>
      <c r="BM998" s="537"/>
      <c r="BN998" s="537"/>
      <c r="BO998" s="537"/>
      <c r="BP998" s="537"/>
      <c r="BQ998" s="537"/>
      <c r="BR998" s="537"/>
      <c r="BS998" s="537"/>
    </row>
    <row r="999" spans="52:71">
      <c r="AZ999" s="537"/>
      <c r="BB999" s="537"/>
      <c r="BC999" s="537"/>
      <c r="BD999" s="537"/>
      <c r="BG999" s="537"/>
      <c r="BH999" s="537"/>
      <c r="BI999" s="537"/>
      <c r="BJ999" s="537"/>
      <c r="BK999" s="537"/>
      <c r="BL999" s="537"/>
      <c r="BM999" s="537"/>
      <c r="BN999" s="537"/>
      <c r="BO999" s="537"/>
      <c r="BP999" s="537"/>
      <c r="BQ999" s="537"/>
      <c r="BR999" s="537"/>
      <c r="BS999" s="537"/>
    </row>
    <row r="1000" spans="52:71">
      <c r="AZ1000" s="537"/>
      <c r="BB1000" s="537"/>
      <c r="BC1000" s="537"/>
      <c r="BD1000" s="537"/>
      <c r="BG1000" s="537"/>
      <c r="BH1000" s="537"/>
      <c r="BI1000" s="537"/>
      <c r="BJ1000" s="537"/>
      <c r="BK1000" s="537"/>
      <c r="BL1000" s="537"/>
      <c r="BM1000" s="537"/>
      <c r="BN1000" s="537"/>
      <c r="BO1000" s="537"/>
      <c r="BP1000" s="537"/>
      <c r="BQ1000" s="537"/>
      <c r="BR1000" s="537"/>
      <c r="BS1000" s="537"/>
    </row>
    <row r="1001" spans="52:71">
      <c r="AZ1001" s="537"/>
      <c r="BG1001" s="537"/>
      <c r="BH1001" s="537"/>
      <c r="BI1001" s="537"/>
      <c r="BJ1001" s="537"/>
      <c r="BK1001" s="537"/>
      <c r="BL1001" s="537"/>
      <c r="BM1001" s="537"/>
      <c r="BN1001" s="537"/>
      <c r="BO1001" s="537"/>
      <c r="BP1001" s="537"/>
      <c r="BQ1001" s="537"/>
      <c r="BR1001" s="537"/>
      <c r="BS1001" s="537"/>
    </row>
    <row r="1002" spans="52:71">
      <c r="AZ1002" s="537"/>
      <c r="BG1002" s="537"/>
      <c r="BH1002" s="537"/>
      <c r="BI1002" s="537"/>
      <c r="BJ1002" s="537"/>
      <c r="BK1002" s="537"/>
      <c r="BL1002" s="537"/>
      <c r="BM1002" s="537"/>
      <c r="BN1002" s="537"/>
      <c r="BO1002" s="537"/>
      <c r="BP1002" s="537"/>
      <c r="BQ1002" s="537"/>
      <c r="BR1002" s="537"/>
      <c r="BS1002" s="537"/>
    </row>
    <row r="1003" spans="52:71">
      <c r="AZ1003" s="537"/>
      <c r="BG1003" s="537"/>
      <c r="BH1003" s="537"/>
      <c r="BI1003" s="537"/>
      <c r="BJ1003" s="537"/>
      <c r="BK1003" s="537"/>
      <c r="BL1003" s="537"/>
      <c r="BM1003" s="537"/>
      <c r="BN1003" s="537"/>
      <c r="BO1003" s="537"/>
      <c r="BP1003" s="537"/>
      <c r="BQ1003" s="537"/>
      <c r="BR1003" s="537"/>
      <c r="BS1003" s="537"/>
    </row>
    <row r="1004" spans="52:71">
      <c r="AZ1004" s="537"/>
      <c r="BG1004" s="537"/>
      <c r="BH1004" s="537"/>
      <c r="BI1004" s="537"/>
      <c r="BJ1004" s="537"/>
      <c r="BK1004" s="537"/>
      <c r="BL1004" s="537"/>
      <c r="BM1004" s="537"/>
      <c r="BN1004" s="537"/>
      <c r="BO1004" s="537"/>
      <c r="BP1004" s="537"/>
      <c r="BQ1004" s="537"/>
      <c r="BR1004" s="537"/>
      <c r="BS1004" s="537"/>
    </row>
    <row r="1005" spans="52:71">
      <c r="AZ1005" s="537"/>
      <c r="BG1005" s="537"/>
      <c r="BH1005" s="537"/>
      <c r="BI1005" s="537"/>
      <c r="BJ1005" s="537"/>
      <c r="BK1005" s="537"/>
      <c r="BL1005" s="537"/>
      <c r="BM1005" s="537"/>
      <c r="BN1005" s="537"/>
      <c r="BO1005" s="537"/>
      <c r="BP1005" s="537"/>
      <c r="BQ1005" s="537"/>
      <c r="BR1005" s="537"/>
      <c r="BS1005" s="537"/>
    </row>
    <row r="1006" spans="52:71">
      <c r="AZ1006" s="537"/>
      <c r="BG1006" s="537"/>
      <c r="BH1006" s="537"/>
      <c r="BI1006" s="537"/>
      <c r="BJ1006" s="537"/>
      <c r="BK1006" s="537"/>
      <c r="BL1006" s="537"/>
      <c r="BM1006" s="537"/>
      <c r="BN1006" s="537"/>
      <c r="BO1006" s="537"/>
      <c r="BP1006" s="537"/>
      <c r="BQ1006" s="537"/>
      <c r="BR1006" s="537"/>
      <c r="BS1006" s="537"/>
    </row>
    <row r="1007" spans="52:71">
      <c r="AZ1007" s="537"/>
      <c r="BG1007" s="537"/>
      <c r="BH1007" s="537"/>
      <c r="BI1007" s="537"/>
      <c r="BJ1007" s="537"/>
      <c r="BK1007" s="537"/>
      <c r="BL1007" s="537"/>
      <c r="BM1007" s="537"/>
      <c r="BN1007" s="537"/>
      <c r="BO1007" s="537"/>
      <c r="BP1007" s="537"/>
      <c r="BQ1007" s="537"/>
      <c r="BR1007" s="537"/>
      <c r="BS1007" s="537"/>
    </row>
    <row r="1008" spans="52:71">
      <c r="AZ1008" s="537"/>
    </row>
    <row r="1009" spans="1:52">
      <c r="AZ1009" s="537"/>
    </row>
    <row r="1023" spans="1:52">
      <c r="A1023" s="455"/>
    </row>
    <row r="1026" spans="1:28">
      <c r="Y1026" s="455"/>
    </row>
    <row r="1027" spans="1:28">
      <c r="A1027" s="455"/>
      <c r="H1027" s="455"/>
      <c r="I1027" s="455"/>
    </row>
    <row r="1028" spans="1:28">
      <c r="A1028" s="455"/>
      <c r="V1028" s="462"/>
      <c r="AA1028" s="462"/>
      <c r="AB1028" s="462"/>
    </row>
    <row r="1029" spans="1:28">
      <c r="A1029" s="455"/>
      <c r="V1029" s="460"/>
      <c r="AA1029" s="460"/>
      <c r="AB1029" s="460"/>
    </row>
    <row r="1030" spans="1:28">
      <c r="A1030" s="455"/>
      <c r="U1030" s="455"/>
      <c r="AA1030" s="462"/>
      <c r="AB1030" s="462"/>
    </row>
    <row r="1031" spans="1:28">
      <c r="A1031" s="455"/>
    </row>
    <row r="1032" spans="1:28">
      <c r="A1032" s="455"/>
      <c r="U1032" s="455"/>
      <c r="AA1032" s="462"/>
      <c r="AB1032" s="462"/>
    </row>
    <row r="1033" spans="1:28">
      <c r="A1033" s="455"/>
    </row>
    <row r="1034" spans="1:28">
      <c r="A1034" s="455"/>
      <c r="U1034" s="455"/>
      <c r="V1034" s="541"/>
      <c r="AA1034" s="462"/>
      <c r="AB1034" s="462"/>
    </row>
    <row r="1035" spans="1:28">
      <c r="A1035" s="455"/>
    </row>
    <row r="1036" spans="1:28">
      <c r="A1036" s="455"/>
      <c r="U1036" s="455"/>
      <c r="AA1036" s="462"/>
      <c r="AB1036" s="462"/>
    </row>
    <row r="1037" spans="1:28">
      <c r="A1037" s="455"/>
    </row>
    <row r="1038" spans="1:28">
      <c r="A1038" s="455"/>
      <c r="U1038" s="455"/>
      <c r="AA1038" s="462"/>
      <c r="AB1038" s="462"/>
    </row>
    <row r="1039" spans="1:28">
      <c r="A1039" s="455"/>
    </row>
    <row r="1040" spans="1:28">
      <c r="A1040" s="455"/>
    </row>
    <row r="1041" spans="1:9">
      <c r="A1041" s="455"/>
    </row>
    <row r="1042" spans="1:9">
      <c r="A1042" s="455"/>
    </row>
    <row r="1043" spans="1:9">
      <c r="A1043" s="455"/>
    </row>
    <row r="1044" spans="1:9">
      <c r="A1044" s="455"/>
    </row>
    <row r="1045" spans="1:9">
      <c r="A1045" s="455"/>
    </row>
    <row r="1046" spans="1:9">
      <c r="A1046" s="455"/>
    </row>
    <row r="1047" spans="1:9">
      <c r="A1047" s="455"/>
    </row>
    <row r="1048" spans="1:9">
      <c r="A1048" s="455"/>
    </row>
    <row r="1049" spans="1:9">
      <c r="A1049" s="455"/>
      <c r="H1049" s="455"/>
      <c r="I1049" s="455"/>
    </row>
    <row r="1052" spans="1:9">
      <c r="A1052" s="455"/>
    </row>
    <row r="1055" spans="1:9">
      <c r="A1055" s="455"/>
    </row>
    <row r="1058" spans="1:1">
      <c r="A1058" s="455"/>
    </row>
    <row r="1059" spans="1:1">
      <c r="A1059" s="455"/>
    </row>
    <row r="1060" spans="1:1">
      <c r="A1060" s="455"/>
    </row>
    <row r="1061" spans="1:1">
      <c r="A1061" s="455"/>
    </row>
    <row r="1062" spans="1:1">
      <c r="A1062" s="455"/>
    </row>
    <row r="1063" spans="1:1">
      <c r="A1063" s="455"/>
    </row>
    <row r="1064" spans="1:1">
      <c r="A1064" s="455"/>
    </row>
    <row r="1065" spans="1:1">
      <c r="A1065" s="455"/>
    </row>
    <row r="1066" spans="1:1">
      <c r="A1066" s="455"/>
    </row>
    <row r="1067" spans="1:1">
      <c r="A1067" s="455"/>
    </row>
    <row r="1068" spans="1:1">
      <c r="A1068" s="455"/>
    </row>
    <row r="1069" spans="1:1">
      <c r="A1069" s="455"/>
    </row>
    <row r="1070" spans="1:1">
      <c r="A1070" s="455"/>
    </row>
    <row r="1071" spans="1:1">
      <c r="A1071" s="455"/>
    </row>
    <row r="1072" spans="1:1">
      <c r="A1072" s="455"/>
    </row>
    <row r="1073" spans="1:1">
      <c r="A1073" s="455"/>
    </row>
    <row r="1074" spans="1:1">
      <c r="A1074" s="455"/>
    </row>
    <row r="1075" spans="1:1">
      <c r="A1075" s="455"/>
    </row>
    <row r="1076" spans="1:1">
      <c r="A1076" s="455"/>
    </row>
    <row r="1077" spans="1:1">
      <c r="A1077" s="455"/>
    </row>
    <row r="1078" spans="1:1">
      <c r="A1078" s="455"/>
    </row>
    <row r="1079" spans="1:1">
      <c r="A1079" s="455"/>
    </row>
    <row r="1080" spans="1:1">
      <c r="A1080" s="455"/>
    </row>
    <row r="1081" spans="1:1">
      <c r="A1081" s="455"/>
    </row>
    <row r="1082" spans="1:1">
      <c r="A1082" s="455"/>
    </row>
    <row r="1083" spans="1:1">
      <c r="A1083" s="455"/>
    </row>
    <row r="1084" spans="1:1">
      <c r="A1084" s="455"/>
    </row>
    <row r="1085" spans="1:1">
      <c r="A1085" s="455"/>
    </row>
    <row r="1086" spans="1:1">
      <c r="A1086" s="455"/>
    </row>
    <row r="1087" spans="1:1">
      <c r="A1087" s="455"/>
    </row>
    <row r="1088" spans="1:1">
      <c r="A1088" s="455"/>
    </row>
    <row r="1089" spans="1:1">
      <c r="A1089" s="455"/>
    </row>
    <row r="1090" spans="1:1">
      <c r="A1090" s="455"/>
    </row>
    <row r="1091" spans="1:1">
      <c r="A1091" s="455"/>
    </row>
    <row r="1092" spans="1:1">
      <c r="A1092" s="455"/>
    </row>
    <row r="1097" spans="1:1">
      <c r="A1097" s="455"/>
    </row>
    <row r="1098" spans="1:1">
      <c r="A1098" s="455"/>
    </row>
    <row r="1101" spans="1:1">
      <c r="A1101" s="455"/>
    </row>
    <row r="1103" spans="1:1">
      <c r="A1103" s="455"/>
    </row>
    <row r="1105" spans="1:1">
      <c r="A1105" s="455"/>
    </row>
    <row r="1107" spans="1:1">
      <c r="A1107" s="455"/>
    </row>
    <row r="1110" spans="1:1">
      <c r="A1110" s="455"/>
    </row>
    <row r="1111" spans="1:1">
      <c r="A1111" s="455"/>
    </row>
    <row r="1112" spans="1:1">
      <c r="A1112" s="455"/>
    </row>
    <row r="1113" spans="1:1">
      <c r="A1113" s="455"/>
    </row>
    <row r="1114" spans="1:1">
      <c r="A1114" s="455"/>
    </row>
    <row r="1115" spans="1:1">
      <c r="A1115" s="455"/>
    </row>
    <row r="1116" spans="1:1">
      <c r="A1116" s="455"/>
    </row>
    <row r="1117" spans="1:1">
      <c r="A1117" s="455"/>
    </row>
  </sheetData>
  <pageMargins left="0.5" right="0.5" top="1" bottom="0" header="0" footer="0"/>
  <pageSetup scale="52" orientation="landscape" r:id="rId1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transitionEntry="1" codeName="Sheet8">
    <pageSetUpPr fitToPage="1"/>
  </sheetPr>
  <dimension ref="A1:BW1101"/>
  <sheetViews>
    <sheetView workbookViewId="0"/>
  </sheetViews>
  <sheetFormatPr defaultColWidth="9.69921875" defaultRowHeight="15.75"/>
  <cols>
    <col min="1" max="1" width="5" style="41" customWidth="1"/>
    <col min="2" max="2" width="0.69921875" style="41" customWidth="1"/>
    <col min="3" max="3" width="7.69921875" style="41" customWidth="1"/>
    <col min="4" max="4" width="35.3984375" style="41" customWidth="1"/>
    <col min="5" max="5" width="0.69921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2.6992187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2.69921875" style="41" customWidth="1"/>
    <col min="17" max="17" width="0.59765625" style="41" customWidth="1"/>
    <col min="18" max="18" width="17.09765625" style="41" customWidth="1"/>
    <col min="19" max="19" width="6.69921875" style="41" customWidth="1"/>
    <col min="20" max="20" width="5.09765625" style="41" customWidth="1"/>
    <col min="21" max="21" width="0.59765625" style="41" customWidth="1"/>
    <col min="22" max="22" width="9.3984375" style="41" customWidth="1"/>
    <col min="23" max="23" width="36.59765625" style="41" customWidth="1"/>
    <col min="24" max="24" width="0.6992187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3984375" style="41" customWidth="1"/>
    <col min="29" max="29" width="11.3984375" style="41" customWidth="1"/>
    <col min="30" max="30" width="0.2968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6992187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4 OF "&amp;TEXT(Page_Num_2.3,"00")</f>
        <v>PAGE 4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>
      <c r="A10" s="133" t="str">
        <f>INPUT!B5</f>
        <v xml:space="preserve"> </v>
      </c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>
      <c r="H19" s="309" t="s">
        <v>196</v>
      </c>
      <c r="I19" s="308"/>
      <c r="J19" s="309" t="s">
        <v>331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A20" s="41">
        <v>1</v>
      </c>
      <c r="C20" s="133" t="s">
        <v>378</v>
      </c>
      <c r="D20" s="133" t="s">
        <v>375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>
      <c r="A21" s="41">
        <v>2</v>
      </c>
      <c r="C21" s="133" t="s">
        <v>54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>
      <c r="A22" s="41">
        <v>3</v>
      </c>
      <c r="C22" s="133" t="s">
        <v>133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45"/>
      <c r="T22" s="42"/>
      <c r="V22" s="45"/>
      <c r="Y22" s="45"/>
      <c r="Z22" s="316"/>
      <c r="AA22" s="45"/>
      <c r="AB22" s="45"/>
      <c r="AC22" s="46"/>
      <c r="AD22" s="46"/>
      <c r="AE22" s="45"/>
      <c r="AF22" s="45"/>
      <c r="AH22" s="46"/>
      <c r="AI22" s="45"/>
      <c r="AJ22" s="45"/>
      <c r="AL22" s="45"/>
      <c r="AM22" s="46"/>
      <c r="AN22" s="46"/>
    </row>
    <row r="23" spans="1:40">
      <c r="A23" s="41">
        <v>4</v>
      </c>
      <c r="C23" s="42" t="s">
        <v>144</v>
      </c>
      <c r="F23" s="164">
        <f>'[11]Forecast BILLS'!$B$71</f>
        <v>131</v>
      </c>
      <c r="G23" s="1"/>
      <c r="H23" s="68"/>
      <c r="I23" s="1"/>
      <c r="J23" s="316">
        <f>INPUT!D70</f>
        <v>160</v>
      </c>
      <c r="K23" s="1"/>
      <c r="L23" s="3">
        <f>ROUND(+F23*J23,0)</f>
        <v>20960</v>
      </c>
      <c r="M23" s="1"/>
      <c r="N23" s="104">
        <f>ROUND((+L23/$L$65)*100,1)</f>
        <v>0</v>
      </c>
      <c r="O23" s="1"/>
      <c r="P23" s="3"/>
      <c r="Q23" s="1"/>
      <c r="R23" s="3">
        <f>L23+P23</f>
        <v>20960</v>
      </c>
      <c r="S23" s="45"/>
      <c r="T23" s="42"/>
      <c r="V23" s="45"/>
      <c r="Y23" s="45"/>
      <c r="Z23" s="325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 ht="20.100000000000001" customHeight="1">
      <c r="A24" s="41">
        <v>5</v>
      </c>
      <c r="C24" s="133" t="s">
        <v>136</v>
      </c>
      <c r="F24" s="72">
        <f>SUM(F23:F23)</f>
        <v>131</v>
      </c>
      <c r="G24" s="1"/>
      <c r="H24" s="3"/>
      <c r="I24" s="1"/>
      <c r="J24" s="314"/>
      <c r="K24" s="1"/>
      <c r="L24" s="72">
        <f>SUM(L23:L23)</f>
        <v>20960</v>
      </c>
      <c r="M24" s="1"/>
      <c r="N24" s="105">
        <f>ROUND((+L24/$L$65)*100,1)</f>
        <v>0</v>
      </c>
      <c r="O24" s="1"/>
      <c r="P24" s="72"/>
      <c r="Q24" s="3"/>
      <c r="R24" s="72">
        <f>SUM(R23:R23)</f>
        <v>20960</v>
      </c>
      <c r="S24" s="45"/>
      <c r="V24" s="50"/>
      <c r="Y24" s="50"/>
      <c r="Z24" s="326"/>
      <c r="AA24" s="50"/>
      <c r="AB24" s="50"/>
      <c r="AC24" s="50"/>
      <c r="AD24" s="50"/>
      <c r="AE24" s="50"/>
      <c r="AF24" s="50"/>
      <c r="AI24" s="50"/>
      <c r="AJ24" s="50"/>
      <c r="AK24" s="111"/>
      <c r="AL24" s="50"/>
      <c r="AM24" s="46"/>
      <c r="AN24" s="46"/>
    </row>
    <row r="25" spans="1:40">
      <c r="A25" s="41">
        <v>6</v>
      </c>
      <c r="C25" s="133" t="s">
        <v>63</v>
      </c>
      <c r="F25" s="68"/>
      <c r="G25" s="1"/>
      <c r="H25" s="68"/>
      <c r="I25" s="1"/>
      <c r="J25" s="340"/>
      <c r="K25" s="1"/>
      <c r="L25" s="3"/>
      <c r="M25" s="1"/>
      <c r="N25" s="103"/>
      <c r="O25" s="1"/>
      <c r="P25" s="3"/>
      <c r="Q25" s="3"/>
      <c r="R25" s="3"/>
      <c r="S25" s="45"/>
      <c r="V25" s="164"/>
      <c r="Y25" s="164"/>
      <c r="Z25" s="326"/>
      <c r="AA25" s="45"/>
      <c r="AB25" s="45"/>
      <c r="AC25" s="46"/>
      <c r="AD25" s="46"/>
      <c r="AE25" s="45"/>
      <c r="AF25" s="45"/>
      <c r="AI25" s="45"/>
      <c r="AJ25" s="45"/>
      <c r="AL25" s="45"/>
      <c r="AM25" s="46"/>
      <c r="AN25" s="46"/>
    </row>
    <row r="26" spans="1:40">
      <c r="A26" s="41">
        <v>7</v>
      </c>
      <c r="C26" s="42" t="s">
        <v>64</v>
      </c>
      <c r="F26" s="68"/>
      <c r="G26" s="1"/>
      <c r="H26" s="164">
        <f>'[11]Forecast KW'!$C$72</f>
        <v>338380</v>
      </c>
      <c r="I26" s="1"/>
      <c r="J26" s="316">
        <f>INPUT!D76</f>
        <v>16.73</v>
      </c>
      <c r="K26" s="1"/>
      <c r="L26" s="3">
        <f>ROUND(+H26*J26,0)</f>
        <v>5661097</v>
      </c>
      <c r="M26" s="1"/>
      <c r="N26" s="103">
        <f>ROUND((+L26/$L$65)*100,1)</f>
        <v>10.8</v>
      </c>
      <c r="O26" s="1"/>
      <c r="P26" s="3"/>
      <c r="Q26" s="3"/>
      <c r="R26" s="3">
        <f>L26+P26</f>
        <v>5661097</v>
      </c>
      <c r="S26" s="45"/>
      <c r="V26" s="64"/>
      <c r="Y26" s="164"/>
      <c r="Z26" s="326"/>
      <c r="AA26" s="45"/>
      <c r="AB26" s="45"/>
      <c r="AC26" s="46"/>
      <c r="AD26" s="46"/>
      <c r="AE26" s="45"/>
      <c r="AF26" s="45"/>
      <c r="AH26" s="46"/>
      <c r="AI26" s="45"/>
      <c r="AJ26" s="45"/>
      <c r="AL26" s="45"/>
      <c r="AM26" s="46"/>
      <c r="AN26" s="46"/>
    </row>
    <row r="27" spans="1:40">
      <c r="A27" s="41">
        <v>8</v>
      </c>
      <c r="C27" s="42" t="s">
        <v>65</v>
      </c>
      <c r="F27" s="68"/>
      <c r="G27" s="1"/>
      <c r="H27" s="164">
        <f>'[11]Forecast KW'!$B$72</f>
        <v>7223</v>
      </c>
      <c r="I27" s="1"/>
      <c r="J27" s="316">
        <f>INPUT!D77</f>
        <v>1.5</v>
      </c>
      <c r="K27" s="1"/>
      <c r="L27" s="3">
        <f>ROUND(+H27*J27,0)</f>
        <v>10835</v>
      </c>
      <c r="M27" s="1"/>
      <c r="N27" s="103">
        <f>ROUND((+L27/$L$65)*100,1)</f>
        <v>0</v>
      </c>
      <c r="O27" s="1"/>
      <c r="P27" s="3"/>
      <c r="Q27" s="3"/>
      <c r="R27" s="3">
        <f>L27+P27</f>
        <v>10835</v>
      </c>
      <c r="S27" s="45"/>
      <c r="T27" s="42"/>
      <c r="V27" s="132"/>
      <c r="Y27" s="45"/>
      <c r="Z27" s="325"/>
      <c r="AA27" s="45"/>
      <c r="AB27" s="45"/>
      <c r="AC27" s="46"/>
      <c r="AD27" s="46"/>
      <c r="AE27" s="45"/>
      <c r="AF27" s="45"/>
      <c r="AH27" s="46"/>
      <c r="AI27" s="45"/>
      <c r="AJ27" s="45"/>
      <c r="AL27" s="45"/>
      <c r="AM27" s="46"/>
      <c r="AN27" s="46"/>
    </row>
    <row r="28" spans="1:40">
      <c r="A28" s="41">
        <v>9</v>
      </c>
      <c r="C28" s="42" t="s">
        <v>974</v>
      </c>
      <c r="F28" s="68"/>
      <c r="G28" s="1"/>
      <c r="H28" s="164">
        <f>H26+H27</f>
        <v>345603</v>
      </c>
      <c r="I28" s="1"/>
      <c r="J28" s="316">
        <f>INPUT!$D$82</f>
        <v>7.77</v>
      </c>
      <c r="K28" s="1"/>
      <c r="L28" s="3">
        <f>ROUND(+H28*J28,0)</f>
        <v>2685335</v>
      </c>
      <c r="M28" s="1"/>
      <c r="N28" s="104">
        <f>ROUND((+L28/$L$65)*100,1)</f>
        <v>5.0999999999999996</v>
      </c>
      <c r="O28" s="1"/>
      <c r="P28" s="3"/>
      <c r="Q28" s="3"/>
      <c r="R28" s="3">
        <f>L28+P28</f>
        <v>2685335</v>
      </c>
      <c r="S28" s="45"/>
      <c r="T28" s="42"/>
      <c r="V28" s="132"/>
      <c r="Y28" s="45"/>
      <c r="Z28" s="325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 ht="20.100000000000001" customHeight="1">
      <c r="A29" s="41">
        <v>10</v>
      </c>
      <c r="C29" s="133" t="s">
        <v>145</v>
      </c>
      <c r="F29" s="3"/>
      <c r="G29" s="1"/>
      <c r="H29" s="72">
        <f>SUM(H26:H27)</f>
        <v>345603</v>
      </c>
      <c r="I29" s="1"/>
      <c r="J29" s="314"/>
      <c r="K29" s="1"/>
      <c r="L29" s="72">
        <f>SUM(L26:L28)</f>
        <v>8357267</v>
      </c>
      <c r="M29" s="1"/>
      <c r="N29" s="105">
        <f>ROUND((+L29/$L$65)*100,1)</f>
        <v>15.9</v>
      </c>
      <c r="O29" s="1"/>
      <c r="P29" s="72"/>
      <c r="Q29" s="68"/>
      <c r="R29" s="72">
        <f>SUM(R26:R28)</f>
        <v>8357267</v>
      </c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>
      <c r="A30" s="41">
        <v>11</v>
      </c>
      <c r="C30" s="133" t="s">
        <v>146</v>
      </c>
      <c r="F30" s="3"/>
      <c r="G30" s="1"/>
      <c r="H30" s="3"/>
      <c r="I30" s="1"/>
      <c r="J30" s="314"/>
      <c r="K30" s="1"/>
      <c r="L30" s="3"/>
      <c r="M30" s="1"/>
      <c r="N30" s="103"/>
      <c r="O30" s="1"/>
      <c r="P30" s="3"/>
      <c r="Q30" s="68"/>
      <c r="R30" s="3"/>
      <c r="S30" s="45"/>
      <c r="V30" s="163"/>
      <c r="Y30" s="50"/>
      <c r="Z30" s="326"/>
      <c r="AA30" s="50"/>
      <c r="AB30" s="50"/>
      <c r="AC30" s="50"/>
      <c r="AD30" s="50"/>
      <c r="AE30" s="50"/>
      <c r="AF30" s="50"/>
      <c r="AI30" s="50"/>
      <c r="AJ30" s="50"/>
      <c r="AK30" s="111"/>
      <c r="AL30" s="50"/>
      <c r="AM30" s="46"/>
      <c r="AN30" s="46"/>
    </row>
    <row r="31" spans="1:40">
      <c r="A31" s="41">
        <v>12</v>
      </c>
      <c r="C31" s="128" t="s">
        <v>147</v>
      </c>
      <c r="F31" s="3"/>
      <c r="G31" s="1"/>
      <c r="H31" s="164">
        <f>ROUND('[11]Forecast KW'!$J$72/('[11]Forecast KW'!$J$72+'[11]Forecast KW'!$K$72)*H29,0)</f>
        <v>115458</v>
      </c>
      <c r="I31" s="1"/>
      <c r="J31" s="316">
        <f>INPUT!D80</f>
        <v>-0.85</v>
      </c>
      <c r="K31" s="1"/>
      <c r="L31" s="3">
        <f>ROUND(+H31*J31,0)</f>
        <v>-98139</v>
      </c>
      <c r="M31" s="1"/>
      <c r="N31" s="103">
        <f>ROUND((+L31/$L$65)*100,1)</f>
        <v>-0.2</v>
      </c>
      <c r="O31" s="1"/>
      <c r="P31" s="3"/>
      <c r="Q31" s="68"/>
      <c r="R31" s="3">
        <f>L31+P31</f>
        <v>-98139</v>
      </c>
      <c r="S31" s="45"/>
      <c r="T31" s="42"/>
      <c r="V31" s="176"/>
      <c r="Z31" s="326"/>
      <c r="AA31" s="45"/>
      <c r="AB31" s="45"/>
      <c r="AC31" s="46"/>
      <c r="AD31" s="46"/>
      <c r="AE31" s="45"/>
      <c r="AF31" s="45"/>
      <c r="AH31" s="46"/>
      <c r="AI31" s="45"/>
      <c r="AJ31" s="45"/>
      <c r="AL31" s="45"/>
      <c r="AM31" s="46"/>
      <c r="AN31" s="46"/>
    </row>
    <row r="32" spans="1:40">
      <c r="A32" s="41">
        <v>13</v>
      </c>
      <c r="C32" s="128" t="s">
        <v>148</v>
      </c>
      <c r="F32" s="1"/>
      <c r="G32" s="1"/>
      <c r="H32" s="318">
        <f>H29-H31</f>
        <v>230145</v>
      </c>
      <c r="I32" s="1"/>
      <c r="J32" s="316">
        <f>INPUT!D81</f>
        <v>-0.66</v>
      </c>
      <c r="K32" s="1"/>
      <c r="L32" s="3">
        <f>ROUND(+H32*J32,0)</f>
        <v>-151896</v>
      </c>
      <c r="M32" s="1"/>
      <c r="N32" s="103">
        <f>ROUND((+L32/$L$65)*100,1)</f>
        <v>-0.3</v>
      </c>
      <c r="O32" s="1"/>
      <c r="P32" s="3"/>
      <c r="Q32" s="3"/>
      <c r="R32" s="3">
        <f>L32+P32</f>
        <v>-151896</v>
      </c>
      <c r="S32" s="45"/>
      <c r="V32" s="292"/>
      <c r="Y32" s="50"/>
      <c r="Z32" s="326"/>
      <c r="AA32" s="50"/>
      <c r="AB32" s="50"/>
      <c r="AC32" s="50"/>
      <c r="AD32" s="50"/>
      <c r="AE32" s="50"/>
      <c r="AF32" s="50"/>
      <c r="AI32" s="50"/>
      <c r="AJ32" s="50"/>
      <c r="AK32" s="111"/>
      <c r="AL32" s="50"/>
    </row>
    <row r="33" spans="1:38" ht="20.100000000000001" customHeight="1">
      <c r="A33" s="41">
        <v>14</v>
      </c>
      <c r="C33" s="133" t="s">
        <v>66</v>
      </c>
      <c r="F33" s="3"/>
      <c r="G33" s="1"/>
      <c r="H33" s="72">
        <f>SUM(H31:H32)</f>
        <v>345603</v>
      </c>
      <c r="I33" s="1"/>
      <c r="J33" s="7"/>
      <c r="K33" s="1"/>
      <c r="L33" s="72">
        <f>L29+L31+L32</f>
        <v>8107232</v>
      </c>
      <c r="M33" s="1"/>
      <c r="N33" s="105">
        <f>ROUND((+L33/$L$65)*100,1)</f>
        <v>15.4</v>
      </c>
      <c r="O33" s="1"/>
      <c r="P33" s="72"/>
      <c r="Q33" s="3"/>
      <c r="R33" s="72">
        <f>R29+R31+R32</f>
        <v>8107232</v>
      </c>
      <c r="S33" s="45"/>
      <c r="AA33" s="45"/>
      <c r="AB33" s="45"/>
      <c r="AC33" s="45"/>
      <c r="AD33" s="45"/>
      <c r="AI33" s="45"/>
      <c r="AJ33" s="45"/>
      <c r="AL33" s="45"/>
    </row>
    <row r="34" spans="1:38">
      <c r="A34" s="41">
        <v>15</v>
      </c>
      <c r="C34" s="310" t="s">
        <v>371</v>
      </c>
      <c r="F34" s="3"/>
      <c r="G34" s="1"/>
      <c r="H34" s="3"/>
      <c r="I34" s="1"/>
      <c r="J34" s="7"/>
      <c r="K34" s="1"/>
      <c r="L34" s="3"/>
      <c r="M34" s="1"/>
      <c r="N34" s="103"/>
      <c r="O34" s="1"/>
      <c r="P34" s="3"/>
      <c r="Q34" s="3"/>
      <c r="R34" s="3"/>
      <c r="Y34" s="42"/>
    </row>
    <row r="35" spans="1:38">
      <c r="A35" s="41">
        <v>16</v>
      </c>
      <c r="C35" s="42" t="s">
        <v>383</v>
      </c>
      <c r="F35" s="3"/>
      <c r="G35" s="1"/>
      <c r="H35" s="45">
        <f>'[11]Forecast KWH'!$C$70</f>
        <v>47977504</v>
      </c>
      <c r="I35" s="1"/>
      <c r="J35" s="134">
        <f>INPUT!D72</f>
        <v>6.4528000000000002E-2</v>
      </c>
      <c r="K35" s="1"/>
      <c r="L35" s="3">
        <f>ROUND((+H35*J35),0)-P35</f>
        <v>3095892</v>
      </c>
      <c r="M35" s="1"/>
      <c r="N35" s="4">
        <f>ROUND((+L35/$L$65)*100,1)</f>
        <v>5.9</v>
      </c>
      <c r="O35" s="1"/>
      <c r="P35" s="3"/>
      <c r="Q35" s="3"/>
      <c r="R35" s="3">
        <f>L35+P35</f>
        <v>3095892</v>
      </c>
      <c r="Y35" s="42"/>
    </row>
    <row r="36" spans="1:38">
      <c r="A36" s="41">
        <v>17</v>
      </c>
      <c r="C36" s="42" t="s">
        <v>384</v>
      </c>
      <c r="F36" s="66"/>
      <c r="G36" s="1"/>
      <c r="H36" s="318">
        <f>'[11]Forecast KWH'!$B$70</f>
        <v>122342951</v>
      </c>
      <c r="I36" s="1"/>
      <c r="J36" s="134">
        <f>INPUT!D74</f>
        <v>5.4975999999999997E-2</v>
      </c>
      <c r="K36" s="1"/>
      <c r="L36" s="66">
        <f>ROUND((+H36*J36),0)-P36</f>
        <v>6725926</v>
      </c>
      <c r="M36" s="1"/>
      <c r="N36" s="70">
        <f>ROUND((+L36/$L$65)*100,1)</f>
        <v>12.8</v>
      </c>
      <c r="O36" s="1"/>
      <c r="P36" s="66"/>
      <c r="Q36" s="3"/>
      <c r="R36" s="66">
        <f>L36+P36</f>
        <v>6725926</v>
      </c>
    </row>
    <row r="37" spans="1:38" ht="24.75" customHeight="1">
      <c r="A37" s="41">
        <v>18</v>
      </c>
      <c r="C37" s="133" t="s">
        <v>56</v>
      </c>
      <c r="F37" s="72">
        <f>F24</f>
        <v>131</v>
      </c>
      <c r="G37" s="1"/>
      <c r="H37" s="72">
        <f>H35+H36</f>
        <v>170320455</v>
      </c>
      <c r="I37" s="1"/>
      <c r="J37" s="314"/>
      <c r="K37" s="1"/>
      <c r="L37" s="72">
        <f>L24+L33+L35+L36</f>
        <v>17950010</v>
      </c>
      <c r="M37" s="1"/>
      <c r="N37" s="74">
        <f>ROUND((+L37/$L$65)*100,1)</f>
        <v>34.200000000000003</v>
      </c>
      <c r="O37" s="1"/>
      <c r="P37" s="72"/>
      <c r="Q37" s="1"/>
      <c r="R37" s="72">
        <f>R24+R33+R35+R36</f>
        <v>17950010</v>
      </c>
      <c r="AK37" s="110"/>
      <c r="AL37" s="42"/>
    </row>
    <row r="38" spans="1:38">
      <c r="C38" s="42"/>
      <c r="F38" s="3"/>
      <c r="G38" s="1"/>
      <c r="H38" s="3"/>
      <c r="I38" s="1"/>
      <c r="J38" s="314"/>
      <c r="K38" s="1"/>
      <c r="L38" s="3"/>
      <c r="M38" s="1"/>
      <c r="N38" s="103"/>
      <c r="O38" s="1"/>
      <c r="P38" s="3"/>
      <c r="Q38" s="1"/>
      <c r="R38" s="3"/>
      <c r="AK38" s="110"/>
      <c r="AL38" s="42"/>
    </row>
    <row r="39" spans="1:38">
      <c r="A39" s="41">
        <v>19</v>
      </c>
      <c r="C39" s="133" t="s">
        <v>57</v>
      </c>
      <c r="F39" s="68"/>
      <c r="G39" s="1"/>
      <c r="H39" s="341">
        <f>185857814-185857934</f>
        <v>-120</v>
      </c>
      <c r="I39" s="1"/>
      <c r="J39" s="314"/>
      <c r="K39" s="1"/>
      <c r="L39" s="3"/>
      <c r="M39" s="1"/>
      <c r="N39" s="103"/>
      <c r="O39" s="1"/>
      <c r="P39" s="3"/>
      <c r="Q39" s="1"/>
      <c r="R39" s="3"/>
    </row>
    <row r="40" spans="1:38">
      <c r="A40" s="41">
        <v>20</v>
      </c>
      <c r="C40" s="133" t="s">
        <v>133</v>
      </c>
      <c r="F40" s="1"/>
      <c r="G40" s="1"/>
      <c r="H40" s="1"/>
      <c r="I40" s="1"/>
      <c r="J40" s="1"/>
      <c r="K40" s="1"/>
      <c r="L40" s="1"/>
      <c r="M40" s="1"/>
      <c r="N40" s="103"/>
      <c r="O40" s="1"/>
      <c r="P40" s="1"/>
      <c r="Q40" s="77"/>
      <c r="R40" s="1"/>
    </row>
    <row r="41" spans="1:38">
      <c r="A41" s="41">
        <v>21</v>
      </c>
      <c r="C41" s="42" t="s">
        <v>144</v>
      </c>
      <c r="F41" s="164">
        <f>'[11]Forecast BILLS'!$C$71</f>
        <v>264</v>
      </c>
      <c r="G41" s="1"/>
      <c r="H41" s="68"/>
      <c r="I41" s="1"/>
      <c r="J41" s="76">
        <f>J23</f>
        <v>160</v>
      </c>
      <c r="K41" s="1"/>
      <c r="L41" s="3">
        <f>ROUND(+F41*J41,0)</f>
        <v>42240</v>
      </c>
      <c r="M41" s="1"/>
      <c r="N41" s="104">
        <f>ROUND((+L41/$L$65)*100,1)</f>
        <v>0.1</v>
      </c>
      <c r="O41" s="1"/>
      <c r="P41" s="3"/>
      <c r="Q41" s="2"/>
      <c r="R41" s="3">
        <f>L41+P41</f>
        <v>42240</v>
      </c>
    </row>
    <row r="42" spans="1:38" ht="20.100000000000001" customHeight="1">
      <c r="A42" s="41">
        <v>22</v>
      </c>
      <c r="C42" s="133" t="s">
        <v>136</v>
      </c>
      <c r="F42" s="72">
        <f>SUM(F41:F41)</f>
        <v>264</v>
      </c>
      <c r="G42" s="1"/>
      <c r="H42" s="3"/>
      <c r="I42" s="1"/>
      <c r="J42" s="314"/>
      <c r="K42" s="1"/>
      <c r="L42" s="72">
        <f>SUM(L41:L41)</f>
        <v>42240</v>
      </c>
      <c r="M42" s="1"/>
      <c r="N42" s="105">
        <f>ROUND((+L42/$L$65)*100,1)</f>
        <v>0.1</v>
      </c>
      <c r="O42" s="1"/>
      <c r="P42" s="72"/>
      <c r="Q42" s="2"/>
      <c r="R42" s="72">
        <f>SUM(R41:R41)</f>
        <v>42240</v>
      </c>
    </row>
    <row r="43" spans="1:38">
      <c r="A43" s="41">
        <v>23</v>
      </c>
      <c r="C43" s="133" t="s">
        <v>63</v>
      </c>
      <c r="F43" s="68"/>
      <c r="G43" s="1"/>
      <c r="H43" s="68"/>
      <c r="I43" s="1"/>
      <c r="J43" s="340"/>
      <c r="K43" s="1"/>
      <c r="L43" s="3"/>
      <c r="M43" s="1"/>
      <c r="N43" s="103"/>
      <c r="O43" s="1"/>
      <c r="P43" s="3"/>
      <c r="Q43" s="77"/>
      <c r="R43" s="3"/>
    </row>
    <row r="44" spans="1:38">
      <c r="A44" s="41">
        <v>24</v>
      </c>
      <c r="C44" s="42" t="s">
        <v>64</v>
      </c>
      <c r="F44" s="68"/>
      <c r="G44" s="1"/>
      <c r="H44" s="164">
        <f>'[11]Forecast KW'!$E$72</f>
        <v>611457</v>
      </c>
      <c r="I44" s="1"/>
      <c r="J44" s="316">
        <f>INPUT!D78</f>
        <v>15.83</v>
      </c>
      <c r="K44" s="1"/>
      <c r="L44" s="3">
        <f>ROUND(+H44*J44,0)</f>
        <v>9679364</v>
      </c>
      <c r="M44" s="1"/>
      <c r="N44" s="103">
        <f>ROUND((+L44/$L$65)*100,1)</f>
        <v>18.399999999999999</v>
      </c>
      <c r="O44" s="1"/>
      <c r="P44" s="3"/>
      <c r="Q44" s="2"/>
      <c r="R44" s="3">
        <f>L44+P44</f>
        <v>9679364</v>
      </c>
    </row>
    <row r="45" spans="1:38">
      <c r="A45" s="41">
        <v>25</v>
      </c>
      <c r="C45" s="42" t="s">
        <v>65</v>
      </c>
      <c r="F45" s="68"/>
      <c r="G45" s="1"/>
      <c r="H45" s="164">
        <f>'[11]Forecast KW'!$D$72</f>
        <v>14975</v>
      </c>
      <c r="I45" s="1"/>
      <c r="J45" s="316">
        <f>INPUT!D79</f>
        <v>1.5</v>
      </c>
      <c r="K45" s="1"/>
      <c r="L45" s="3">
        <f>ROUND(+H45*J45,0)</f>
        <v>22463</v>
      </c>
      <c r="M45" s="1"/>
      <c r="N45" s="103">
        <f>ROUND((+L45/$L$65)*100,1)</f>
        <v>0</v>
      </c>
      <c r="O45" s="1"/>
      <c r="P45" s="3"/>
      <c r="Q45" s="1"/>
      <c r="R45" s="3">
        <f>L45+P45</f>
        <v>22463</v>
      </c>
    </row>
    <row r="46" spans="1:38">
      <c r="A46" s="41">
        <v>26</v>
      </c>
      <c r="C46" s="42" t="s">
        <v>974</v>
      </c>
      <c r="F46" s="68"/>
      <c r="G46" s="1"/>
      <c r="H46" s="164">
        <f>H44+H45</f>
        <v>626432</v>
      </c>
      <c r="I46" s="1"/>
      <c r="J46" s="316">
        <f>INPUT!$D$82</f>
        <v>7.77</v>
      </c>
      <c r="K46" s="1"/>
      <c r="L46" s="3">
        <f>ROUND(+H46*J46,0)</f>
        <v>4867377</v>
      </c>
      <c r="M46" s="1"/>
      <c r="N46" s="104">
        <f>ROUND((+L46/$L$65)*100,1)</f>
        <v>9.3000000000000007</v>
      </c>
      <c r="O46" s="1"/>
      <c r="P46" s="3"/>
      <c r="Q46" s="1"/>
      <c r="R46" s="3">
        <f>L46+P46</f>
        <v>4867377</v>
      </c>
    </row>
    <row r="47" spans="1:38" ht="20.100000000000001" customHeight="1">
      <c r="A47" s="41">
        <v>27</v>
      </c>
      <c r="C47" s="133" t="s">
        <v>145</v>
      </c>
      <c r="F47" s="3"/>
      <c r="G47" s="1"/>
      <c r="H47" s="72">
        <f>SUM(H44:H45)</f>
        <v>626432</v>
      </c>
      <c r="I47" s="1"/>
      <c r="J47" s="314"/>
      <c r="K47" s="1"/>
      <c r="L47" s="72">
        <f>SUM(L44:L46)</f>
        <v>14569204</v>
      </c>
      <c r="M47" s="1"/>
      <c r="N47" s="105">
        <f>ROUND((+L47/$L$65)*100,1)+0.1</f>
        <v>27.900000000000002</v>
      </c>
      <c r="O47" s="1"/>
      <c r="P47" s="72"/>
      <c r="Q47" s="1"/>
      <c r="R47" s="72">
        <f>SUM(R44:R46)</f>
        <v>14569204</v>
      </c>
    </row>
    <row r="48" spans="1:38">
      <c r="A48" s="41">
        <v>28</v>
      </c>
      <c r="C48" s="133" t="s">
        <v>146</v>
      </c>
      <c r="F48" s="3"/>
      <c r="G48" s="1"/>
      <c r="H48" s="3"/>
      <c r="I48" s="1"/>
      <c r="J48" s="314"/>
      <c r="K48" s="1"/>
      <c r="L48" s="3"/>
      <c r="M48" s="1"/>
      <c r="N48" s="103"/>
      <c r="O48" s="1"/>
      <c r="P48" s="3"/>
      <c r="Q48" s="1"/>
      <c r="R48" s="3"/>
    </row>
    <row r="49" spans="1:18">
      <c r="A49" s="41">
        <v>29</v>
      </c>
      <c r="C49" s="128" t="s">
        <v>147</v>
      </c>
      <c r="F49" s="3"/>
      <c r="G49" s="1"/>
      <c r="H49" s="164">
        <f>ROUND(('[11]Forecast KW'!$L$72/('[11]Forecast KW'!$L$72+'[11]Forecast KW'!$M$72))*H47,0)</f>
        <v>235583</v>
      </c>
      <c r="I49" s="1"/>
      <c r="J49" s="76">
        <f>J31</f>
        <v>-0.85</v>
      </c>
      <c r="K49" s="1"/>
      <c r="L49" s="3">
        <f>ROUND(+H49*J49,0)</f>
        <v>-200246</v>
      </c>
      <c r="M49" s="1"/>
      <c r="N49" s="103">
        <f>ROUND((+L49/$L$65)*100,1)</f>
        <v>-0.4</v>
      </c>
      <c r="O49" s="1"/>
      <c r="P49" s="3"/>
      <c r="Q49" s="1"/>
      <c r="R49" s="3">
        <f>L49+P49</f>
        <v>-200246</v>
      </c>
    </row>
    <row r="50" spans="1:18">
      <c r="A50" s="41">
        <v>30</v>
      </c>
      <c r="C50" s="128" t="s">
        <v>148</v>
      </c>
      <c r="F50" s="1"/>
      <c r="G50" s="1"/>
      <c r="H50" s="318">
        <f>H47-H49</f>
        <v>390849</v>
      </c>
      <c r="I50" s="1"/>
      <c r="J50" s="76">
        <f>J32</f>
        <v>-0.66</v>
      </c>
      <c r="K50" s="1"/>
      <c r="L50" s="3">
        <f>ROUND(+H50*J50,0)</f>
        <v>-257960</v>
      </c>
      <c r="M50" s="1"/>
      <c r="N50" s="104">
        <f>ROUND((+L50/$L$65)*100,1)</f>
        <v>-0.5</v>
      </c>
      <c r="O50" s="1"/>
      <c r="P50" s="3"/>
      <c r="Q50" s="78"/>
      <c r="R50" s="3">
        <f>L50+P50</f>
        <v>-257960</v>
      </c>
    </row>
    <row r="51" spans="1:18" ht="20.100000000000001" customHeight="1">
      <c r="A51" s="41">
        <v>31</v>
      </c>
      <c r="C51" s="133" t="s">
        <v>66</v>
      </c>
      <c r="F51" s="3"/>
      <c r="G51" s="1"/>
      <c r="H51" s="72">
        <f>SUM(H49:H50)</f>
        <v>626432</v>
      </c>
      <c r="I51" s="1"/>
      <c r="J51" s="7"/>
      <c r="K51" s="1"/>
      <c r="L51" s="72">
        <f>L47+L49+L50</f>
        <v>14110998</v>
      </c>
      <c r="M51" s="1"/>
      <c r="N51" s="105">
        <f>ROUND((+L51/$L$65)*100,1)</f>
        <v>26.9</v>
      </c>
      <c r="O51" s="1"/>
      <c r="P51" s="72"/>
      <c r="Q51" s="78"/>
      <c r="R51" s="72">
        <f>R47+R49+R50</f>
        <v>14110998</v>
      </c>
    </row>
    <row r="52" spans="1:18">
      <c r="A52" s="41">
        <v>32</v>
      </c>
      <c r="C52" s="310" t="s">
        <v>371</v>
      </c>
      <c r="F52" s="3"/>
      <c r="G52" s="1"/>
      <c r="H52" s="3"/>
      <c r="I52" s="1"/>
      <c r="J52" s="7"/>
      <c r="K52" s="1"/>
      <c r="L52" s="3"/>
      <c r="M52" s="1"/>
      <c r="N52" s="103"/>
      <c r="O52" s="1"/>
      <c r="P52" s="3"/>
      <c r="Q52" s="3"/>
      <c r="R52" s="3"/>
    </row>
    <row r="53" spans="1:18">
      <c r="A53" s="41">
        <v>33</v>
      </c>
      <c r="C53" s="42" t="s">
        <v>383</v>
      </c>
      <c r="F53" s="3"/>
      <c r="G53" s="1"/>
      <c r="H53" s="45">
        <f>'[11]Forecast KWH'!$E$70</f>
        <v>83597903</v>
      </c>
      <c r="I53" s="1"/>
      <c r="J53" s="323">
        <f>INPUT!D73</f>
        <v>6.2133000000000001E-2</v>
      </c>
      <c r="K53" s="1"/>
      <c r="L53" s="3">
        <f>ROUND((+H53*J53),0)-P53</f>
        <v>5194189</v>
      </c>
      <c r="M53" s="1"/>
      <c r="N53" s="4">
        <f>ROUND((+L53/$L$65)*100,1)</f>
        <v>9.9</v>
      </c>
      <c r="O53" s="1"/>
      <c r="P53" s="3"/>
      <c r="Q53" s="3"/>
      <c r="R53" s="3">
        <f>L53+P53</f>
        <v>5194189</v>
      </c>
    </row>
    <row r="54" spans="1:18">
      <c r="A54" s="41">
        <v>34</v>
      </c>
      <c r="C54" s="42" t="s">
        <v>384</v>
      </c>
      <c r="F54" s="69"/>
      <c r="G54" s="1"/>
      <c r="H54" s="318">
        <f>'[11]Forecast KWH'!$L$70</f>
        <v>221049082</v>
      </c>
      <c r="I54" s="1"/>
      <c r="J54" s="155">
        <f>J36</f>
        <v>5.4975999999999997E-2</v>
      </c>
      <c r="K54" s="1"/>
      <c r="L54" s="66">
        <f>ROUND((+H54*J54),0)-P54</f>
        <v>12152394</v>
      </c>
      <c r="M54" s="1"/>
      <c r="N54" s="70">
        <f>ROUND((+L54/$L$65)*100,1)-0.1</f>
        <v>23.099999999999998</v>
      </c>
      <c r="O54" s="1"/>
      <c r="P54" s="66"/>
      <c r="Q54" s="3"/>
      <c r="R54" s="66">
        <f>L54+P54</f>
        <v>12152394</v>
      </c>
    </row>
    <row r="55" spans="1:18" ht="21.75" customHeight="1">
      <c r="A55" s="41">
        <v>35</v>
      </c>
      <c r="C55" s="133" t="s">
        <v>58</v>
      </c>
      <c r="F55" s="72">
        <f>F42</f>
        <v>264</v>
      </c>
      <c r="G55" s="1"/>
      <c r="H55" s="72">
        <f>H53+H54</f>
        <v>304646985</v>
      </c>
      <c r="I55" s="1"/>
      <c r="J55" s="155"/>
      <c r="K55" s="1"/>
      <c r="L55" s="72">
        <f>L42+L51+L53+L54</f>
        <v>31499821</v>
      </c>
      <c r="M55" s="1"/>
      <c r="N55" s="74">
        <f>ROUND((+L55/$L$65)*100,1)</f>
        <v>60</v>
      </c>
      <c r="O55" s="1"/>
      <c r="P55" s="72"/>
      <c r="Q55" s="1"/>
      <c r="R55" s="72">
        <f>R42+R51+R53+R54</f>
        <v>31499821</v>
      </c>
    </row>
    <row r="56" spans="1:18" ht="20.100000000000001" customHeight="1">
      <c r="A56" s="41">
        <v>36</v>
      </c>
      <c r="C56" s="310" t="s">
        <v>439</v>
      </c>
      <c r="F56" s="66">
        <f>F37+F55</f>
        <v>395</v>
      </c>
      <c r="G56" s="1"/>
      <c r="H56" s="66">
        <f>H37+H55</f>
        <v>474967440</v>
      </c>
      <c r="I56" s="1"/>
      <c r="J56" s="155"/>
      <c r="K56" s="1"/>
      <c r="L56" s="72">
        <f>L37+L55</f>
        <v>49449831</v>
      </c>
      <c r="M56" s="1"/>
      <c r="N56" s="74">
        <f>ROUND((+L56/$L$65)*100,1)</f>
        <v>94.2</v>
      </c>
      <c r="O56" s="1"/>
      <c r="P56" s="72"/>
      <c r="Q56" s="78"/>
      <c r="R56" s="72">
        <f>L56+P56</f>
        <v>49449831</v>
      </c>
    </row>
    <row r="57" spans="1:18">
      <c r="C57" s="42"/>
      <c r="F57" s="3"/>
      <c r="G57" s="1"/>
      <c r="H57" s="3"/>
      <c r="I57" s="1"/>
      <c r="J57" s="155"/>
      <c r="K57" s="1"/>
      <c r="L57" s="3"/>
      <c r="M57" s="1"/>
      <c r="N57" s="103"/>
      <c r="O57" s="1"/>
      <c r="P57" s="3"/>
      <c r="Q57" s="78"/>
      <c r="R57" s="3"/>
    </row>
    <row r="58" spans="1:18">
      <c r="A58" s="41">
        <v>37</v>
      </c>
      <c r="C58" s="133" t="s">
        <v>430</v>
      </c>
      <c r="F58" s="3"/>
      <c r="G58" s="1"/>
      <c r="H58" s="3"/>
      <c r="I58" s="1"/>
      <c r="J58" s="155"/>
      <c r="K58" s="1"/>
      <c r="L58" s="3"/>
      <c r="M58" s="1"/>
      <c r="N58" s="103"/>
      <c r="O58" s="1"/>
      <c r="P58" s="3"/>
      <c r="Q58" s="78"/>
      <c r="R58" s="3"/>
    </row>
    <row r="59" spans="1:18">
      <c r="A59" s="41">
        <v>38</v>
      </c>
      <c r="C59" s="128" t="str">
        <f>DSMR_Name</f>
        <v>DEMAND SIDE MANAGEMENT RIDER (DSMR)</v>
      </c>
      <c r="F59" s="3"/>
      <c r="G59" s="1"/>
      <c r="H59" s="3"/>
      <c r="I59" s="1"/>
      <c r="J59" s="327">
        <f>PRO_DSM_DIST</f>
        <v>3.503E-3</v>
      </c>
      <c r="K59" s="1"/>
      <c r="L59" s="3">
        <f>ROUND($H$56*J59,0)</f>
        <v>1663811</v>
      </c>
      <c r="M59" s="1"/>
      <c r="N59" s="103">
        <f>ROUND((+L59/$L$65)*100,1)</f>
        <v>3.2</v>
      </c>
      <c r="O59" s="1"/>
      <c r="P59" s="3"/>
      <c r="Q59" s="78"/>
      <c r="R59" s="3">
        <f>L59+P59</f>
        <v>1663811</v>
      </c>
    </row>
    <row r="60" spans="1:18">
      <c r="A60" s="41">
        <v>39</v>
      </c>
      <c r="C60" s="128" t="str">
        <f>ESM_Name</f>
        <v>ENVIRONMENTAL SURCHARGE MECHANISM RIDER (ESM)</v>
      </c>
      <c r="F60" s="3"/>
      <c r="G60" s="1"/>
      <c r="H60" s="3"/>
      <c r="I60" s="1"/>
      <c r="J60" s="321">
        <f>PRO_ESM_NONRES</f>
        <v>5.4606095773317587E-3</v>
      </c>
      <c r="K60" s="1"/>
      <c r="L60" s="3">
        <f>ROUND((R56-(PRO_BASE_FUEL*H56)+R59+R62)*J60,0)</f>
        <v>197919</v>
      </c>
      <c r="M60" s="1"/>
      <c r="N60" s="103">
        <f>ROUND((+L60/$L$65)*100,1)</f>
        <v>0.4</v>
      </c>
      <c r="O60" s="1"/>
      <c r="P60" s="3"/>
      <c r="Q60" s="78"/>
      <c r="R60" s="3">
        <f>L60+P60</f>
        <v>197919</v>
      </c>
    </row>
    <row r="61" spans="1:18">
      <c r="A61" s="41">
        <v>40</v>
      </c>
      <c r="C61" s="128" t="str">
        <f>FAC_Name</f>
        <v>FUEL ADJUSTMENT CLAUSE (FAC)</v>
      </c>
      <c r="F61" s="3"/>
      <c r="G61" s="1"/>
      <c r="H61" s="3"/>
      <c r="I61" s="1"/>
      <c r="J61" s="327">
        <f>PRO_FAC</f>
        <v>3.4872127999999998E-3</v>
      </c>
      <c r="K61" s="1"/>
      <c r="L61" s="3"/>
      <c r="M61" s="1"/>
      <c r="N61" s="103"/>
      <c r="O61" s="1"/>
      <c r="P61" s="3">
        <f>ROUND(H56*PRO_FAC,0)</f>
        <v>1656313</v>
      </c>
      <c r="Q61" s="78"/>
      <c r="R61" s="3">
        <f>L61+P61</f>
        <v>1656313</v>
      </c>
    </row>
    <row r="62" spans="1:18">
      <c r="A62" s="41">
        <v>41</v>
      </c>
      <c r="C62" s="128" t="str">
        <f>PSM_Name</f>
        <v>PROFIT SHARING MECHANISM (PSM)</v>
      </c>
      <c r="F62" s="3"/>
      <c r="G62" s="1"/>
      <c r="H62" s="3"/>
      <c r="I62" s="1"/>
      <c r="J62" s="327">
        <f>PRO_PSM</f>
        <v>2.4750000000000002E-3</v>
      </c>
      <c r="K62" s="1"/>
      <c r="L62" s="66">
        <f>ROUND(H56*PRO_PSM,0)</f>
        <v>1175544</v>
      </c>
      <c r="M62" s="1"/>
      <c r="N62" s="104">
        <f>ROUND((+L62/$L$65)*100,1)</f>
        <v>2.2000000000000002</v>
      </c>
      <c r="O62" s="1"/>
      <c r="P62" s="66"/>
      <c r="Q62" s="78"/>
      <c r="R62" s="3">
        <f>L62+P62</f>
        <v>1175544</v>
      </c>
    </row>
    <row r="63" spans="1:18" ht="20.100000000000001" customHeight="1">
      <c r="A63" s="41">
        <v>42</v>
      </c>
      <c r="C63" s="133" t="s">
        <v>435</v>
      </c>
      <c r="F63" s="66"/>
      <c r="G63" s="1"/>
      <c r="H63" s="66"/>
      <c r="I63" s="1"/>
      <c r="J63" s="314"/>
      <c r="K63" s="1"/>
      <c r="L63" s="72">
        <f>SUM(L59:L62)</f>
        <v>3037274</v>
      </c>
      <c r="M63" s="1"/>
      <c r="N63" s="105">
        <f>ROUND((+L63/$L$65)*100,1)</f>
        <v>5.8</v>
      </c>
      <c r="O63" s="1"/>
      <c r="P63" s="72">
        <f>SUM(P59:P62)</f>
        <v>1656313</v>
      </c>
      <c r="Q63" s="78"/>
      <c r="R63" s="72">
        <f>SUM(R59:R62)</f>
        <v>4693587</v>
      </c>
    </row>
    <row r="64" spans="1:18">
      <c r="C64" s="42"/>
      <c r="F64" s="3"/>
      <c r="G64" s="1"/>
      <c r="H64" s="3"/>
      <c r="I64" s="1"/>
      <c r="J64" s="314"/>
      <c r="K64" s="1"/>
      <c r="L64" s="3"/>
      <c r="M64" s="1"/>
      <c r="N64" s="103"/>
      <c r="O64" s="1"/>
      <c r="P64" s="3"/>
      <c r="Q64" s="78"/>
      <c r="R64" s="3"/>
    </row>
    <row r="65" spans="1:43" ht="20.100000000000001" customHeight="1" thickBot="1">
      <c r="A65" s="41">
        <v>43</v>
      </c>
      <c r="C65" s="310" t="s">
        <v>440</v>
      </c>
      <c r="F65" s="67">
        <f>F56</f>
        <v>395</v>
      </c>
      <c r="G65" s="1"/>
      <c r="H65" s="67">
        <f>H56</f>
        <v>474967440</v>
      </c>
      <c r="I65" s="1"/>
      <c r="J65" s="1"/>
      <c r="K65" s="1"/>
      <c r="L65" s="67">
        <f>L56+L63</f>
        <v>52487105</v>
      </c>
      <c r="M65" s="1"/>
      <c r="N65" s="106">
        <v>100</v>
      </c>
      <c r="O65" s="1"/>
      <c r="P65" s="67">
        <f>P56+P63</f>
        <v>1656313</v>
      </c>
      <c r="Q65" s="68"/>
      <c r="R65" s="67">
        <f>R56+R63</f>
        <v>54143418</v>
      </c>
    </row>
    <row r="66" spans="1:43" ht="16.5" thickTop="1">
      <c r="F66" s="1"/>
      <c r="G66" s="1"/>
      <c r="H66" s="1"/>
      <c r="I66" s="1"/>
      <c r="J66" s="1"/>
      <c r="K66" s="1"/>
      <c r="L66" s="1"/>
      <c r="M66" s="1"/>
      <c r="N66" s="103"/>
      <c r="O66" s="1"/>
      <c r="P66" s="1"/>
      <c r="Q66" s="78"/>
      <c r="R66" s="1"/>
    </row>
    <row r="67" spans="1:43">
      <c r="C67" s="140" t="s">
        <v>59</v>
      </c>
      <c r="L67" s="45"/>
      <c r="N67" s="99"/>
      <c r="P67" s="45"/>
      <c r="Q67" s="45"/>
      <c r="R67" s="45"/>
    </row>
    <row r="68" spans="1:43">
      <c r="C68" s="140" t="str">
        <f>"(2) REFLECTS FUEL COMPONENT OF "&amp;TEXT(PRO_FAC,"$0.000000;($0.000000)")&amp;"  PER KWH."</f>
        <v>(2) REFLECTS FUEL COMPONENT OF $0.003487  PER KWH.</v>
      </c>
      <c r="L68" s="45"/>
      <c r="N68" s="99"/>
      <c r="P68" s="45"/>
      <c r="Q68" s="45"/>
      <c r="R68" s="45"/>
    </row>
    <row r="69" spans="1:43">
      <c r="C69" s="140" t="str">
        <f>"(3) REFLECTS FUEL COST RECOVERY INCLUDED IN BASE RATES OF "&amp;TEXT(PRO_BASE_FUEL,"$0.000000;($0.000000)")&amp;"  PER KWH."</f>
        <v>(3) REFLECTS FUEL COST RECOVERY INCLUDED IN BASE RATES OF $0.033780  PER KWH.</v>
      </c>
      <c r="F69" s="50"/>
      <c r="H69" s="50"/>
      <c r="J69" s="50"/>
      <c r="L69" s="326"/>
      <c r="N69" s="333"/>
      <c r="P69" s="50"/>
      <c r="Q69" s="50"/>
      <c r="R69" s="50"/>
    </row>
    <row r="70" spans="1:43">
      <c r="F70" s="45"/>
      <c r="H70" s="45"/>
      <c r="J70" s="45"/>
      <c r="L70" s="47"/>
      <c r="N70" s="99"/>
      <c r="P70" s="45"/>
      <c r="Q70" s="45"/>
      <c r="R70" s="45"/>
    </row>
    <row r="71" spans="1:43">
      <c r="C71" s="42"/>
      <c r="F71" s="45"/>
      <c r="H71" s="45"/>
      <c r="J71" s="45"/>
      <c r="L71" s="47"/>
      <c r="N71" s="47"/>
      <c r="P71" s="45"/>
      <c r="Q71" s="45"/>
      <c r="R71" s="45"/>
    </row>
    <row r="72" spans="1:43">
      <c r="F72" s="45"/>
      <c r="H72" s="45"/>
      <c r="J72" s="45"/>
      <c r="L72" s="47"/>
      <c r="N72" s="47"/>
      <c r="P72" s="45"/>
      <c r="Q72" s="45"/>
      <c r="R72" s="45"/>
    </row>
    <row r="73" spans="1:43">
      <c r="A73" s="42"/>
      <c r="F73" s="45"/>
      <c r="H73" s="45"/>
      <c r="L73" s="47"/>
      <c r="N73" s="47"/>
      <c r="P73" s="45"/>
      <c r="Q73" s="45"/>
      <c r="R73" s="45"/>
      <c r="T73" s="40" t="str">
        <f>NAME</f>
        <v>DUKE ENERGY KENTUCKY, INC.</v>
      </c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100"/>
      <c r="AH73" s="40"/>
      <c r="AI73" s="40"/>
      <c r="AJ73" s="40"/>
      <c r="AK73" s="100"/>
      <c r="AL73" s="40"/>
      <c r="AM73" s="40"/>
      <c r="AN73" s="40"/>
      <c r="AO73" s="40"/>
      <c r="AP73" s="40"/>
      <c r="AQ73" s="100"/>
    </row>
    <row r="74" spans="1:43">
      <c r="A74" s="42"/>
      <c r="F74" s="45"/>
      <c r="H74" s="45"/>
      <c r="J74" s="45"/>
      <c r="L74" s="47"/>
      <c r="N74" s="47"/>
      <c r="P74" s="45"/>
      <c r="Q74" s="45"/>
      <c r="R74" s="45"/>
      <c r="T74" s="40" t="str">
        <f>CASE_NO</f>
        <v>CASE NO.   2024-00354</v>
      </c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100"/>
      <c r="AH74" s="40"/>
      <c r="AI74" s="40"/>
      <c r="AJ74" s="40"/>
      <c r="AK74" s="100"/>
      <c r="AL74" s="40"/>
      <c r="AM74" s="40"/>
      <c r="AN74" s="40"/>
      <c r="AO74" s="40"/>
      <c r="AP74" s="40"/>
      <c r="AQ74" s="100"/>
    </row>
    <row r="75" spans="1:43">
      <c r="F75" s="160"/>
      <c r="T75" s="40" t="str">
        <f>TITLE</f>
        <v>ANNUALIZED TEST YEAR REVENUES AT PROPOSED VS. MOST CURRENT RATES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43">
      <c r="T76" s="40" t="str">
        <f>DATE</f>
        <v>FOR THE TWELVE MONTHS ENDED June 30, 2026</v>
      </c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00"/>
      <c r="AH76" s="40"/>
      <c r="AI76" s="40"/>
      <c r="AJ76" s="40"/>
      <c r="AK76" s="100"/>
      <c r="AL76" s="40"/>
      <c r="AM76" s="40"/>
      <c r="AN76" s="40"/>
      <c r="AO76" s="40"/>
      <c r="AP76" s="40"/>
      <c r="AQ76" s="100"/>
    </row>
    <row r="77" spans="1:43">
      <c r="P77" s="45"/>
      <c r="Q77" s="45"/>
      <c r="R77" s="45"/>
      <c r="T77" s="40" t="str">
        <f>SERVICE</f>
        <v>(ELECTRIC SERVICE)</v>
      </c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00"/>
      <c r="AH77" s="40"/>
      <c r="AI77" s="40"/>
      <c r="AJ77" s="40"/>
      <c r="AK77" s="100"/>
      <c r="AL77" s="40"/>
      <c r="AM77" s="40"/>
      <c r="AN77" s="40"/>
      <c r="AO77" s="40"/>
      <c r="AP77" s="40"/>
      <c r="AQ77" s="100"/>
    </row>
    <row r="78" spans="1:43">
      <c r="T78" s="41" t="str">
        <f>DATA_PERIOD</f>
        <v>DATA: ____ BASE PERIOD   __X__FORECASTED PERIOD</v>
      </c>
      <c r="AO78" s="42" t="s">
        <v>157</v>
      </c>
      <c r="AP78" s="42"/>
    </row>
    <row r="79" spans="1:43">
      <c r="T79" s="41" t="str">
        <f>TYPE</f>
        <v>TYPE OF FILING: _X_ ORIGINAL   ___UPDATED  ___ REVISED</v>
      </c>
      <c r="AO79" s="48" t="str">
        <f>"PAGE 4 OF "&amp;TEXT(Page_Num_2.2,"00")</f>
        <v>PAGE 4 OF 24</v>
      </c>
      <c r="AP79" s="42"/>
    </row>
    <row r="80" spans="1:43">
      <c r="H80" s="42"/>
      <c r="J80" s="42"/>
      <c r="T80" s="42" t="s">
        <v>170</v>
      </c>
      <c r="AO80" s="42" t="s">
        <v>3</v>
      </c>
      <c r="AP80" s="42"/>
    </row>
    <row r="81" spans="1:43">
      <c r="T81" s="133" t="str">
        <f>TIME</f>
        <v>12 Months Projected with Riders</v>
      </c>
      <c r="AO81" s="41" t="str">
        <f>WIT</f>
        <v>B. L. Sailers</v>
      </c>
    </row>
    <row r="82" spans="1:43">
      <c r="T82" s="133" t="str">
        <f>INPUT!B5</f>
        <v xml:space="preserve"> </v>
      </c>
    </row>
    <row r="83" spans="1:43">
      <c r="P83" s="42"/>
      <c r="T83" s="40" t="s">
        <v>130</v>
      </c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100"/>
      <c r="AH83" s="40"/>
      <c r="AI83" s="40"/>
      <c r="AJ83" s="40"/>
      <c r="AK83" s="100"/>
      <c r="AL83" s="40"/>
      <c r="AM83" s="40"/>
      <c r="AN83" s="40"/>
      <c r="AO83" s="40"/>
      <c r="AP83" s="40"/>
      <c r="AQ83" s="100"/>
    </row>
    <row r="84" spans="1:43">
      <c r="R84" s="42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101"/>
      <c r="AH84" s="43"/>
      <c r="AI84" s="43"/>
      <c r="AJ84" s="43"/>
      <c r="AK84" s="101"/>
      <c r="AL84" s="43"/>
      <c r="AM84" s="43"/>
      <c r="AN84" s="43"/>
      <c r="AO84" s="43"/>
      <c r="AP84" s="43"/>
      <c r="AQ84" s="101"/>
    </row>
    <row r="85" spans="1:43" ht="18" customHeight="1">
      <c r="R85" s="42"/>
      <c r="AE85" s="44" t="s">
        <v>8</v>
      </c>
      <c r="AF85" s="44"/>
      <c r="AG85" s="102" t="s">
        <v>7</v>
      </c>
      <c r="AH85" s="44"/>
      <c r="AI85" s="44" t="s">
        <v>9</v>
      </c>
      <c r="AJ85" s="44"/>
      <c r="AK85" s="102" t="s">
        <v>10</v>
      </c>
      <c r="AL85" s="44"/>
      <c r="AO85" s="44" t="s">
        <v>8</v>
      </c>
      <c r="AP85" s="44"/>
      <c r="AQ85" s="102" t="s">
        <v>11</v>
      </c>
    </row>
    <row r="86" spans="1:43">
      <c r="A86" s="42"/>
      <c r="R86" s="42"/>
      <c r="AC86" s="44" t="s">
        <v>14</v>
      </c>
      <c r="AD86" s="44"/>
      <c r="AE86" s="44" t="s">
        <v>12</v>
      </c>
      <c r="AF86" s="44"/>
      <c r="AG86" s="102" t="s">
        <v>13</v>
      </c>
      <c r="AH86" s="44"/>
      <c r="AI86" s="44" t="s">
        <v>15</v>
      </c>
      <c r="AJ86" s="44"/>
      <c r="AK86" s="102" t="s">
        <v>16</v>
      </c>
      <c r="AL86" s="44"/>
      <c r="AO86" s="44" t="s">
        <v>11</v>
      </c>
      <c r="AP86" s="44"/>
      <c r="AQ86" s="102" t="s">
        <v>9</v>
      </c>
    </row>
    <row r="87" spans="1:43">
      <c r="O87" s="42"/>
      <c r="T87" s="44" t="s">
        <v>17</v>
      </c>
      <c r="V87" s="44" t="s">
        <v>18</v>
      </c>
      <c r="W87" s="44" t="s">
        <v>19</v>
      </c>
      <c r="X87" s="44"/>
      <c r="Y87" s="44" t="s">
        <v>20</v>
      </c>
      <c r="AC87" s="44" t="s">
        <v>8</v>
      </c>
      <c r="AD87" s="44"/>
      <c r="AE87" s="44" t="s">
        <v>841</v>
      </c>
      <c r="AF87" s="44"/>
      <c r="AG87" s="102" t="s">
        <v>841</v>
      </c>
      <c r="AH87" s="44"/>
      <c r="AI87" s="60" t="s">
        <v>964</v>
      </c>
      <c r="AJ87" s="44"/>
      <c r="AK87" s="277" t="s">
        <v>964</v>
      </c>
      <c r="AL87" s="44"/>
      <c r="AM87" s="44" t="s">
        <v>841</v>
      </c>
      <c r="AN87" s="44"/>
      <c r="AO87" s="44" t="s">
        <v>9</v>
      </c>
      <c r="AP87" s="44"/>
      <c r="AQ87" s="102" t="s">
        <v>21</v>
      </c>
    </row>
    <row r="88" spans="1:43">
      <c r="A88" s="49"/>
      <c r="B88" s="49"/>
      <c r="C88" s="49"/>
      <c r="D88" s="49"/>
      <c r="E88" s="49"/>
      <c r="F88" s="49"/>
      <c r="G88" s="49"/>
      <c r="H88" s="49"/>
      <c r="J88" s="49"/>
      <c r="L88" s="49"/>
      <c r="N88" s="49"/>
      <c r="O88" s="49"/>
      <c r="P88" s="49"/>
      <c r="Q88" s="49"/>
      <c r="R88" s="49"/>
      <c r="T88" s="44" t="s">
        <v>22</v>
      </c>
      <c r="V88" s="44" t="s">
        <v>23</v>
      </c>
      <c r="W88" s="44" t="s">
        <v>24</v>
      </c>
      <c r="X88" s="44"/>
      <c r="Y88" s="44" t="s">
        <v>25</v>
      </c>
      <c r="AA88" s="44" t="s">
        <v>26</v>
      </c>
      <c r="AB88" s="44"/>
      <c r="AC88" s="44" t="s">
        <v>27</v>
      </c>
      <c r="AD88" s="44"/>
      <c r="AE88" s="44" t="s">
        <v>9</v>
      </c>
      <c r="AF88" s="44"/>
      <c r="AG88" s="102" t="s">
        <v>9</v>
      </c>
      <c r="AH88" s="44"/>
      <c r="AI88" s="304" t="s">
        <v>29</v>
      </c>
      <c r="AJ88" s="304"/>
      <c r="AK88" s="311" t="s">
        <v>30</v>
      </c>
      <c r="AL88" s="44"/>
      <c r="AM88" s="44" t="s">
        <v>323</v>
      </c>
      <c r="AN88" s="44"/>
      <c r="AO88" s="304" t="s">
        <v>31</v>
      </c>
      <c r="AP88" s="304"/>
      <c r="AQ88" s="311" t="s">
        <v>32</v>
      </c>
    </row>
    <row r="89" spans="1:43">
      <c r="O89" s="44"/>
      <c r="P89" s="44"/>
      <c r="R89" s="44"/>
      <c r="V89" s="304" t="s">
        <v>33</v>
      </c>
      <c r="W89" s="304" t="s">
        <v>34</v>
      </c>
      <c r="X89" s="304"/>
      <c r="Y89" s="304" t="s">
        <v>35</v>
      </c>
      <c r="Z89" s="130"/>
      <c r="AA89" s="304" t="s">
        <v>36</v>
      </c>
      <c r="AB89" s="304"/>
      <c r="AC89" s="304" t="s">
        <v>42</v>
      </c>
      <c r="AD89" s="304"/>
      <c r="AE89" s="304" t="s">
        <v>43</v>
      </c>
      <c r="AF89" s="304"/>
      <c r="AG89" s="311" t="s">
        <v>44</v>
      </c>
      <c r="AH89" s="304"/>
      <c r="AI89" s="304" t="s">
        <v>45</v>
      </c>
      <c r="AJ89" s="304"/>
      <c r="AK89" s="311" t="s">
        <v>46</v>
      </c>
      <c r="AL89" s="304"/>
      <c r="AM89" s="304" t="s">
        <v>40</v>
      </c>
      <c r="AN89" s="304"/>
      <c r="AO89" s="304" t="s">
        <v>47</v>
      </c>
      <c r="AP89" s="304"/>
      <c r="AQ89" s="311" t="s">
        <v>48</v>
      </c>
    </row>
    <row r="90" spans="1:43">
      <c r="O90" s="44"/>
      <c r="P90" s="44"/>
      <c r="R90" s="44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101"/>
      <c r="AH90" s="43"/>
      <c r="AI90" s="43"/>
      <c r="AJ90" s="43"/>
      <c r="AK90" s="101"/>
      <c r="AL90" s="43"/>
      <c r="AM90" s="43"/>
      <c r="AN90" s="43"/>
      <c r="AO90" s="43"/>
      <c r="AP90" s="43"/>
      <c r="AQ90" s="101"/>
    </row>
    <row r="91" spans="1:43" ht="17.100000000000001" customHeight="1">
      <c r="A91" s="44"/>
      <c r="C91" s="44"/>
      <c r="D91" s="44"/>
      <c r="E91" s="44"/>
      <c r="F91" s="44"/>
      <c r="L91" s="44"/>
      <c r="N91" s="44"/>
      <c r="O91" s="44"/>
      <c r="P91" s="44"/>
      <c r="Q91" s="44"/>
      <c r="R91" s="44"/>
      <c r="AA91" s="309" t="s">
        <v>196</v>
      </c>
      <c r="AB91" s="308"/>
      <c r="AC91" s="309" t="s">
        <v>331</v>
      </c>
      <c r="AD91" s="308"/>
      <c r="AE91" s="308" t="s">
        <v>50</v>
      </c>
      <c r="AF91" s="308"/>
      <c r="AG91" s="312" t="s">
        <v>51</v>
      </c>
      <c r="AH91" s="308"/>
      <c r="AI91" s="308" t="s">
        <v>50</v>
      </c>
      <c r="AJ91" s="308"/>
      <c r="AK91" s="312" t="s">
        <v>51</v>
      </c>
      <c r="AL91" s="308"/>
      <c r="AM91" s="308" t="s">
        <v>50</v>
      </c>
      <c r="AN91" s="308"/>
      <c r="AO91" s="308" t="s">
        <v>50</v>
      </c>
      <c r="AP91" s="308"/>
      <c r="AQ91" s="312" t="s">
        <v>51</v>
      </c>
    </row>
    <row r="92" spans="1:43">
      <c r="A92" s="44"/>
      <c r="C92" s="44"/>
      <c r="D92" s="44"/>
      <c r="E92" s="44"/>
      <c r="F92" s="44"/>
      <c r="H92" s="44"/>
      <c r="J92" s="44"/>
      <c r="L92" s="44"/>
      <c r="N92" s="44"/>
      <c r="O92" s="44"/>
      <c r="P92" s="44"/>
      <c r="Q92" s="44"/>
      <c r="R92" s="44"/>
      <c r="T92" s="41">
        <v>1</v>
      </c>
      <c r="V92" s="133" t="s">
        <v>378</v>
      </c>
      <c r="W92" s="133" t="s">
        <v>375</v>
      </c>
      <c r="X92" s="42"/>
      <c r="Y92" s="1"/>
      <c r="Z92" s="1"/>
      <c r="AA92" s="324"/>
      <c r="AB92" s="324"/>
      <c r="AC92" s="309" t="s">
        <v>328</v>
      </c>
      <c r="AD92" s="324"/>
      <c r="AE92" s="324"/>
      <c r="AF92" s="324"/>
      <c r="AG92" s="328"/>
      <c r="AH92" s="324"/>
      <c r="AI92" s="324"/>
      <c r="AJ92" s="324"/>
      <c r="AK92" s="328"/>
      <c r="AL92" s="324"/>
      <c r="AM92" s="324"/>
      <c r="AN92" s="324"/>
      <c r="AO92" s="324"/>
      <c r="AP92" s="324"/>
      <c r="AQ92" s="328"/>
    </row>
    <row r="93" spans="1:43">
      <c r="C93" s="44"/>
      <c r="D93" s="44"/>
      <c r="E93" s="44"/>
      <c r="F93" s="44"/>
      <c r="H93" s="44"/>
      <c r="J93" s="44"/>
      <c r="L93" s="44"/>
      <c r="N93" s="44"/>
      <c r="O93" s="44"/>
      <c r="P93" s="44"/>
      <c r="Q93" s="44"/>
      <c r="R93" s="44"/>
      <c r="T93" s="41">
        <v>2</v>
      </c>
      <c r="V93" s="133" t="s">
        <v>54</v>
      </c>
      <c r="Y93" s="1"/>
      <c r="Z93" s="1"/>
      <c r="AA93" s="1"/>
      <c r="AB93" s="1"/>
      <c r="AC93" s="1"/>
      <c r="AD93" s="1"/>
      <c r="AE93" s="1"/>
      <c r="AF93" s="1"/>
      <c r="AG93" s="103"/>
      <c r="AH93" s="1"/>
      <c r="AI93" s="1"/>
      <c r="AJ93" s="1"/>
      <c r="AK93" s="103"/>
      <c r="AL93" s="1"/>
      <c r="AM93" s="1"/>
      <c r="AN93" s="1"/>
      <c r="AO93" s="1"/>
      <c r="AP93" s="1"/>
      <c r="AQ93" s="103"/>
    </row>
    <row r="94" spans="1:43">
      <c r="H94" s="44"/>
      <c r="J94" s="44"/>
      <c r="L94" s="44"/>
      <c r="N94" s="44"/>
      <c r="O94" s="44"/>
      <c r="P94" s="44"/>
      <c r="Q94" s="44"/>
      <c r="R94" s="44"/>
      <c r="T94" s="41">
        <v>3</v>
      </c>
      <c r="V94" s="133" t="s">
        <v>133</v>
      </c>
      <c r="Y94" s="1"/>
      <c r="Z94" s="1"/>
      <c r="AA94" s="1"/>
      <c r="AB94" s="1"/>
      <c r="AC94" s="1"/>
      <c r="AD94" s="1"/>
      <c r="AE94" s="1"/>
      <c r="AF94" s="1"/>
      <c r="AG94" s="103"/>
      <c r="AH94" s="1"/>
      <c r="AI94" s="1"/>
      <c r="AJ94" s="1"/>
      <c r="AK94" s="103"/>
      <c r="AL94" s="1"/>
      <c r="AM94" s="1"/>
      <c r="AN94" s="1"/>
      <c r="AO94" s="1"/>
      <c r="AP94" s="1"/>
      <c r="AQ94" s="103"/>
    </row>
    <row r="95" spans="1:43">
      <c r="T95" s="41">
        <v>4</v>
      </c>
      <c r="V95" s="42" t="s">
        <v>144</v>
      </c>
      <c r="Y95" s="3">
        <f>F23</f>
        <v>131</v>
      </c>
      <c r="Z95" s="1"/>
      <c r="AA95" s="68"/>
      <c r="AB95" s="68"/>
      <c r="AC95" s="316">
        <f>INPUT!C70</f>
        <v>138</v>
      </c>
      <c r="AD95" s="76"/>
      <c r="AE95" s="3">
        <f>ROUND(+Y95*AC95,0)</f>
        <v>18078</v>
      </c>
      <c r="AF95" s="1"/>
      <c r="AG95" s="104">
        <f>ROUND((+AE95/$AE$137)*100,1)</f>
        <v>0</v>
      </c>
      <c r="AH95" s="1"/>
      <c r="AI95" s="3">
        <f>L23-AE95</f>
        <v>2882</v>
      </c>
      <c r="AJ95" s="3"/>
      <c r="AK95" s="104">
        <f>IF(AE95=0,0,ROUND((AI95/AE95)*100,1))</f>
        <v>15.9</v>
      </c>
      <c r="AL95" s="6"/>
      <c r="AM95" s="3"/>
      <c r="AN95" s="1"/>
      <c r="AO95" s="3">
        <f>AE95+AM95</f>
        <v>18078</v>
      </c>
      <c r="AP95" s="1"/>
      <c r="AQ95" s="104">
        <f>ROUND((+AI95/AO95)*100,1)</f>
        <v>15.9</v>
      </c>
    </row>
    <row r="96" spans="1:43" ht="20.100000000000001" customHeight="1">
      <c r="C96" s="42"/>
      <c r="F96" s="164"/>
      <c r="H96" s="164"/>
      <c r="J96" s="164"/>
      <c r="L96" s="316"/>
      <c r="N96" s="316"/>
      <c r="O96" s="45"/>
      <c r="P96" s="46"/>
      <c r="R96" s="45"/>
      <c r="T96" s="41">
        <v>5</v>
      </c>
      <c r="V96" s="133" t="s">
        <v>136</v>
      </c>
      <c r="Y96" s="72">
        <f>F24</f>
        <v>131</v>
      </c>
      <c r="Z96" s="1"/>
      <c r="AA96" s="3"/>
      <c r="AB96" s="3"/>
      <c r="AC96" s="7"/>
      <c r="AD96" s="7"/>
      <c r="AE96" s="72">
        <f>SUM(AE95:AE95)</f>
        <v>18078</v>
      </c>
      <c r="AF96" s="1"/>
      <c r="AG96" s="105">
        <f>ROUND((+AE96/$AE$137)*100,1)</f>
        <v>0</v>
      </c>
      <c r="AH96" s="1"/>
      <c r="AI96" s="72">
        <f>SUM(AI95:AI95)</f>
        <v>2882</v>
      </c>
      <c r="AJ96" s="3"/>
      <c r="AK96" s="105">
        <f>IF(AE96=0,0,ROUND((AI96/AE96)*100,1))</f>
        <v>15.9</v>
      </c>
      <c r="AL96" s="6"/>
      <c r="AM96" s="72"/>
      <c r="AN96" s="1"/>
      <c r="AO96" s="72">
        <f>SUM(AO95:AO95)</f>
        <v>18078</v>
      </c>
      <c r="AP96" s="1"/>
      <c r="AQ96" s="105">
        <f>ROUND((+AI96/AO96)*100,1)</f>
        <v>15.9</v>
      </c>
    </row>
    <row r="97" spans="3:43">
      <c r="C97" s="42"/>
      <c r="F97" s="164"/>
      <c r="H97" s="164"/>
      <c r="J97" s="164"/>
      <c r="L97" s="316"/>
      <c r="N97" s="316"/>
      <c r="O97" s="45"/>
      <c r="P97" s="46"/>
      <c r="R97" s="45"/>
      <c r="T97" s="41">
        <v>6</v>
      </c>
      <c r="V97" s="133" t="s">
        <v>63</v>
      </c>
      <c r="Y97" s="68"/>
      <c r="Z97" s="1"/>
      <c r="AA97" s="68"/>
      <c r="AB97" s="68"/>
      <c r="AC97" s="340"/>
      <c r="AD97" s="340"/>
      <c r="AE97" s="3"/>
      <c r="AF97" s="1"/>
      <c r="AG97" s="103"/>
      <c r="AH97" s="1"/>
      <c r="AI97" s="3"/>
      <c r="AJ97" s="3"/>
      <c r="AK97" s="103"/>
      <c r="AL97" s="4"/>
      <c r="AM97" s="3"/>
      <c r="AN97" s="1"/>
      <c r="AO97" s="3"/>
      <c r="AP97" s="1"/>
      <c r="AQ97" s="103"/>
    </row>
    <row r="98" spans="3:43">
      <c r="F98" s="50"/>
      <c r="H98" s="45"/>
      <c r="J98" s="45"/>
      <c r="L98" s="326"/>
      <c r="N98" s="326"/>
      <c r="O98" s="50"/>
      <c r="P98" s="50"/>
      <c r="Q98" s="50"/>
      <c r="R98" s="50"/>
      <c r="T98" s="41">
        <v>7</v>
      </c>
      <c r="V98" s="42" t="s">
        <v>64</v>
      </c>
      <c r="Y98" s="68"/>
      <c r="Z98" s="1"/>
      <c r="AA98" s="3">
        <f>H26</f>
        <v>338380</v>
      </c>
      <c r="AB98" s="3"/>
      <c r="AC98" s="316">
        <f>INPUT!C76</f>
        <v>14.71</v>
      </c>
      <c r="AD98" s="76"/>
      <c r="AE98" s="3">
        <f>ROUND(+AA98*AC98,0)</f>
        <v>4977570</v>
      </c>
      <c r="AF98" s="1"/>
      <c r="AG98" s="103">
        <f>ROUND((+AE98/$AE$137)*100,1)</f>
        <v>10.9</v>
      </c>
      <c r="AH98" s="1"/>
      <c r="AI98" s="3">
        <f>L26-AE98</f>
        <v>683527</v>
      </c>
      <c r="AJ98" s="3"/>
      <c r="AK98" s="103">
        <f t="shared" ref="AK98:AK109" si="0">IF(AE98=0,0,ROUND((AI98/AE98)*100,1))</f>
        <v>13.7</v>
      </c>
      <c r="AL98" s="6"/>
      <c r="AM98" s="3"/>
      <c r="AN98" s="1"/>
      <c r="AO98" s="3">
        <f>AE98+AM98</f>
        <v>4977570</v>
      </c>
      <c r="AP98" s="1"/>
      <c r="AQ98" s="103">
        <f>ROUND((+AI98/AO98)*100,1)</f>
        <v>13.7</v>
      </c>
    </row>
    <row r="99" spans="3:43">
      <c r="C99" s="42"/>
      <c r="F99" s="45"/>
      <c r="H99" s="45"/>
      <c r="J99" s="45"/>
      <c r="L99" s="326"/>
      <c r="N99" s="326"/>
      <c r="O99" s="45"/>
      <c r="P99" s="46"/>
      <c r="Q99" s="45"/>
      <c r="R99" s="45"/>
      <c r="T99" s="41">
        <v>8</v>
      </c>
      <c r="V99" s="42" t="s">
        <v>65</v>
      </c>
      <c r="Y99" s="68"/>
      <c r="Z99" s="1"/>
      <c r="AA99" s="3">
        <f>H27</f>
        <v>7223</v>
      </c>
      <c r="AB99" s="3"/>
      <c r="AC99" s="316">
        <f>INPUT!C77</f>
        <v>1.32</v>
      </c>
      <c r="AD99" s="76"/>
      <c r="AE99" s="3">
        <f>ROUND(+AA99*AC99,0)</f>
        <v>9534</v>
      </c>
      <c r="AF99" s="1"/>
      <c r="AG99" s="103">
        <f>ROUND((+AE99/$AE$137)*100,1)</f>
        <v>0</v>
      </c>
      <c r="AH99" s="1"/>
      <c r="AI99" s="3">
        <f>L27-AE99</f>
        <v>1301</v>
      </c>
      <c r="AJ99" s="3"/>
      <c r="AK99" s="103">
        <f t="shared" si="0"/>
        <v>13.6</v>
      </c>
      <c r="AL99" s="6"/>
      <c r="AM99" s="3"/>
      <c r="AN99" s="1"/>
      <c r="AO99" s="3">
        <f>AE99+AM99</f>
        <v>9534</v>
      </c>
      <c r="AP99" s="1"/>
      <c r="AQ99" s="103">
        <f>ROUND((+AI99/AO99)*100,1)</f>
        <v>13.6</v>
      </c>
    </row>
    <row r="100" spans="3:43">
      <c r="C100" s="42"/>
      <c r="F100" s="45"/>
      <c r="H100" s="45"/>
      <c r="J100" s="45"/>
      <c r="L100" s="326"/>
      <c r="N100" s="326"/>
      <c r="O100" s="45"/>
      <c r="P100" s="46"/>
      <c r="Q100" s="45"/>
      <c r="R100" s="45"/>
      <c r="T100" s="41">
        <v>9</v>
      </c>
      <c r="V100" s="42" t="s">
        <v>974</v>
      </c>
      <c r="Y100" s="68"/>
      <c r="Z100" s="1"/>
      <c r="AA100" s="66">
        <f>AA98+AA99</f>
        <v>345603</v>
      </c>
      <c r="AB100" s="3"/>
      <c r="AC100" s="316">
        <f>INPUT!$C$82</f>
        <v>6.07</v>
      </c>
      <c r="AD100" s="76"/>
      <c r="AE100" s="3">
        <f>ROUND(+AA100*AC100,0)</f>
        <v>2097810</v>
      </c>
      <c r="AF100" s="1"/>
      <c r="AG100" s="104">
        <f>ROUND((+AE100/$AE$137)*100,1)</f>
        <v>4.5999999999999996</v>
      </c>
      <c r="AH100" s="1"/>
      <c r="AI100" s="3">
        <f>L28-AE100</f>
        <v>587525</v>
      </c>
      <c r="AJ100" s="3"/>
      <c r="AK100" s="104">
        <f>IF(AE100=0,0,ROUND((AI100/AE100)*100,1))</f>
        <v>28</v>
      </c>
      <c r="AL100" s="6"/>
      <c r="AM100" s="3"/>
      <c r="AN100" s="1"/>
      <c r="AO100" s="3">
        <f>AE100+AM100</f>
        <v>2097810</v>
      </c>
      <c r="AP100" s="1"/>
      <c r="AQ100" s="104">
        <f>ROUND((+AI100/AO100)*100,1)</f>
        <v>28</v>
      </c>
    </row>
    <row r="101" spans="3:43" ht="19.5" customHeight="1">
      <c r="C101" s="42"/>
      <c r="F101" s="164"/>
      <c r="H101" s="164"/>
      <c r="J101" s="164"/>
      <c r="L101" s="336"/>
      <c r="N101" s="336"/>
      <c r="O101" s="45"/>
      <c r="P101" s="46"/>
      <c r="Q101" s="45"/>
      <c r="R101" s="45"/>
      <c r="S101" s="45"/>
      <c r="T101" s="41">
        <v>10</v>
      </c>
      <c r="V101" s="133" t="s">
        <v>145</v>
      </c>
      <c r="Y101" s="3"/>
      <c r="Z101" s="1"/>
      <c r="AA101" s="72">
        <f>H29</f>
        <v>345603</v>
      </c>
      <c r="AB101" s="3"/>
      <c r="AC101" s="314"/>
      <c r="AD101" s="314"/>
      <c r="AE101" s="72">
        <f>SUM(AE98:AE100)</f>
        <v>7084914</v>
      </c>
      <c r="AF101" s="1"/>
      <c r="AG101" s="105">
        <f>ROUND((+AE101/$AE$137)*100,1)</f>
        <v>15.5</v>
      </c>
      <c r="AH101" s="1"/>
      <c r="AI101" s="72">
        <f>SUM(AI98:AI100)</f>
        <v>1272353</v>
      </c>
      <c r="AJ101" s="3"/>
      <c r="AK101" s="105">
        <f t="shared" si="0"/>
        <v>18</v>
      </c>
      <c r="AL101" s="6"/>
      <c r="AM101" s="72"/>
      <c r="AN101" s="1"/>
      <c r="AO101" s="72">
        <f>SUM(AO98:AO100)</f>
        <v>7084914</v>
      </c>
      <c r="AP101" s="1"/>
      <c r="AQ101" s="105">
        <f>ROUND((+AI101/AO101)*100,1)</f>
        <v>18</v>
      </c>
    </row>
    <row r="102" spans="3:43">
      <c r="C102" s="42"/>
      <c r="F102" s="164"/>
      <c r="H102" s="164"/>
      <c r="J102" s="164"/>
      <c r="L102" s="316"/>
      <c r="N102" s="316"/>
      <c r="O102" s="45"/>
      <c r="P102" s="46"/>
      <c r="Q102" s="45"/>
      <c r="R102" s="45"/>
      <c r="T102" s="41">
        <v>11</v>
      </c>
      <c r="V102" s="133" t="s">
        <v>146</v>
      </c>
      <c r="Y102" s="3"/>
      <c r="Z102" s="1"/>
      <c r="AA102" s="3"/>
      <c r="AB102" s="3"/>
      <c r="AC102" s="314"/>
      <c r="AD102" s="314"/>
      <c r="AE102" s="3"/>
      <c r="AF102" s="1"/>
      <c r="AG102" s="103"/>
      <c r="AH102" s="1"/>
      <c r="AI102" s="3"/>
      <c r="AJ102" s="3"/>
      <c r="AK102" s="103"/>
      <c r="AL102" s="6"/>
      <c r="AM102" s="3"/>
      <c r="AN102" s="1"/>
      <c r="AO102" s="3"/>
      <c r="AP102" s="1"/>
      <c r="AQ102" s="103"/>
    </row>
    <row r="103" spans="3:43">
      <c r="F103" s="45"/>
      <c r="H103" s="50"/>
      <c r="J103" s="50"/>
      <c r="L103" s="326"/>
      <c r="N103" s="326"/>
      <c r="O103" s="50"/>
      <c r="P103" s="50"/>
      <c r="Q103" s="50"/>
      <c r="R103" s="50"/>
      <c r="T103" s="41">
        <v>12</v>
      </c>
      <c r="V103" s="128" t="s">
        <v>147</v>
      </c>
      <c r="Y103" s="3"/>
      <c r="Z103" s="1"/>
      <c r="AA103" s="3">
        <f>H31</f>
        <v>115458</v>
      </c>
      <c r="AB103" s="3"/>
      <c r="AC103" s="316">
        <f>INPUT!C80</f>
        <v>-0.75</v>
      </c>
      <c r="AD103" s="342"/>
      <c r="AE103" s="3">
        <f>ROUND(+AA103*AC103,0)</f>
        <v>-86594</v>
      </c>
      <c r="AF103" s="1"/>
      <c r="AG103" s="103">
        <f>ROUND((+AE103/$AE$137)*100,1)</f>
        <v>-0.2</v>
      </c>
      <c r="AH103" s="1"/>
      <c r="AI103" s="3">
        <f>L31-AE103</f>
        <v>-11545</v>
      </c>
      <c r="AJ103" s="3"/>
      <c r="AK103" s="103">
        <f t="shared" si="0"/>
        <v>13.3</v>
      </c>
      <c r="AL103" s="6"/>
      <c r="AM103" s="3"/>
      <c r="AN103" s="1"/>
      <c r="AO103" s="3">
        <f>AE103+AM103</f>
        <v>-86594</v>
      </c>
      <c r="AP103" s="1"/>
      <c r="AQ103" s="103">
        <f>ROUND((+AI103/AO103)*100,1)</f>
        <v>13.3</v>
      </c>
    </row>
    <row r="104" spans="3:43">
      <c r="C104" s="42"/>
      <c r="F104" s="45"/>
      <c r="H104" s="45"/>
      <c r="J104" s="45"/>
      <c r="L104" s="326"/>
      <c r="N104" s="326"/>
      <c r="O104" s="45"/>
      <c r="P104" s="46"/>
      <c r="Q104" s="45"/>
      <c r="R104" s="45"/>
      <c r="T104" s="41">
        <v>13</v>
      </c>
      <c r="V104" s="128" t="s">
        <v>148</v>
      </c>
      <c r="Y104" s="1"/>
      <c r="Z104" s="1"/>
      <c r="AA104" s="66">
        <f>H32</f>
        <v>230145</v>
      </c>
      <c r="AB104" s="3"/>
      <c r="AC104" s="316">
        <f>INPUT!C81</f>
        <v>-0.57999999999999996</v>
      </c>
      <c r="AD104" s="342"/>
      <c r="AE104" s="3">
        <f>ROUND(+AA104*AC104,0)</f>
        <v>-133484</v>
      </c>
      <c r="AF104" s="1"/>
      <c r="AG104" s="104">
        <f>ROUND((+AE104/$AE$137)*100,1)</f>
        <v>-0.3</v>
      </c>
      <c r="AH104" s="1"/>
      <c r="AI104" s="3">
        <f>L32-AE104</f>
        <v>-18412</v>
      </c>
      <c r="AJ104" s="3"/>
      <c r="AK104" s="104">
        <f t="shared" si="0"/>
        <v>13.8</v>
      </c>
      <c r="AL104" s="6"/>
      <c r="AM104" s="3"/>
      <c r="AN104" s="1"/>
      <c r="AO104" s="3">
        <f>AE104+AM104</f>
        <v>-133484</v>
      </c>
      <c r="AP104" s="1"/>
      <c r="AQ104" s="104">
        <f>ROUND((+AI104/AO104)*100,1)</f>
        <v>13.8</v>
      </c>
    </row>
    <row r="105" spans="3:43" ht="20.100000000000001" customHeight="1">
      <c r="C105" s="42"/>
      <c r="F105" s="45"/>
      <c r="H105" s="45"/>
      <c r="J105" s="45"/>
      <c r="L105" s="326"/>
      <c r="N105" s="326"/>
      <c r="O105" s="45"/>
      <c r="P105" s="45"/>
      <c r="Q105" s="45"/>
      <c r="R105" s="45"/>
      <c r="T105" s="41">
        <v>14</v>
      </c>
      <c r="V105" s="133" t="s">
        <v>66</v>
      </c>
      <c r="Y105" s="3"/>
      <c r="Z105" s="1"/>
      <c r="AA105" s="66">
        <f>H33</f>
        <v>345603</v>
      </c>
      <c r="AB105" s="3"/>
      <c r="AC105" s="7"/>
      <c r="AD105" s="7"/>
      <c r="AE105" s="72">
        <f>AE101+AE103+AE104</f>
        <v>6864836</v>
      </c>
      <c r="AF105" s="1"/>
      <c r="AG105" s="105">
        <f>ROUND((+AE105/$AE$137)*100,1)</f>
        <v>15</v>
      </c>
      <c r="AH105" s="1"/>
      <c r="AI105" s="72">
        <f>AI101+AI103+AI104</f>
        <v>1242396</v>
      </c>
      <c r="AJ105" s="3"/>
      <c r="AK105" s="105">
        <f t="shared" si="0"/>
        <v>18.100000000000001</v>
      </c>
      <c r="AL105" s="6"/>
      <c r="AM105" s="72"/>
      <c r="AN105" s="1"/>
      <c r="AO105" s="72">
        <f>AO101+AO103+AO104</f>
        <v>6864836</v>
      </c>
      <c r="AP105" s="1"/>
      <c r="AQ105" s="105">
        <f>ROUND((+AI105/AO105)*100,1)</f>
        <v>18.100000000000001</v>
      </c>
    </row>
    <row r="106" spans="3:43">
      <c r="C106" s="42"/>
      <c r="H106" s="164"/>
      <c r="J106" s="164"/>
      <c r="L106" s="132"/>
      <c r="N106" s="132"/>
      <c r="O106" s="45"/>
      <c r="P106" s="46"/>
      <c r="Q106" s="45"/>
      <c r="R106" s="45"/>
      <c r="T106" s="41">
        <v>15</v>
      </c>
      <c r="V106" s="310" t="s">
        <v>371</v>
      </c>
      <c r="Y106" s="3"/>
      <c r="Z106" s="1"/>
      <c r="AA106" s="3"/>
      <c r="AB106" s="3"/>
      <c r="AC106" s="7"/>
      <c r="AD106" s="7"/>
      <c r="AE106" s="3"/>
      <c r="AF106" s="1"/>
      <c r="AG106" s="103"/>
      <c r="AH106" s="1"/>
      <c r="AI106" s="3"/>
      <c r="AJ106" s="3"/>
      <c r="AK106" s="103"/>
      <c r="AL106" s="6"/>
      <c r="AM106" s="3"/>
      <c r="AN106" s="1"/>
      <c r="AO106" s="3"/>
      <c r="AP106" s="1"/>
      <c r="AQ106" s="103"/>
    </row>
    <row r="107" spans="3:43">
      <c r="C107" s="42"/>
      <c r="H107" s="164"/>
      <c r="J107" s="164"/>
      <c r="L107" s="132"/>
      <c r="N107" s="132"/>
      <c r="O107" s="45"/>
      <c r="P107" s="46"/>
      <c r="Q107" s="45"/>
      <c r="R107" s="45"/>
      <c r="T107" s="41">
        <v>16</v>
      </c>
      <c r="V107" s="42" t="s">
        <v>383</v>
      </c>
      <c r="Y107" s="3"/>
      <c r="Z107" s="1"/>
      <c r="AA107" s="3">
        <f>H35</f>
        <v>47977504</v>
      </c>
      <c r="AB107" s="1"/>
      <c r="AC107" s="134">
        <f>INPUT!C72</f>
        <v>5.6746999999999999E-2</v>
      </c>
      <c r="AD107" s="7"/>
      <c r="AE107" s="3">
        <f>ROUND((+AA107*AC107),0)-AM107</f>
        <v>2722579</v>
      </c>
      <c r="AF107" s="1"/>
      <c r="AG107" s="103">
        <f>ROUND((+AE107/$AE$137)*100,1)</f>
        <v>5.9</v>
      </c>
      <c r="AH107" s="1"/>
      <c r="AI107" s="3">
        <f>L35-AE107</f>
        <v>373313</v>
      </c>
      <c r="AJ107" s="3"/>
      <c r="AK107" s="103">
        <f>IF(AE107=0,0,ROUND((AI107/AE107)*100,1))</f>
        <v>13.7</v>
      </c>
      <c r="AL107" s="6"/>
      <c r="AM107" s="3"/>
      <c r="AN107" s="1"/>
      <c r="AO107" s="3">
        <f>AE107+AM107</f>
        <v>2722579</v>
      </c>
      <c r="AP107" s="1"/>
      <c r="AQ107" s="103">
        <f>ROUND((+AI107/AO107)*100,1)</f>
        <v>13.7</v>
      </c>
    </row>
    <row r="108" spans="3:43">
      <c r="F108" s="45"/>
      <c r="H108" s="45"/>
      <c r="J108" s="45"/>
      <c r="L108" s="326"/>
      <c r="N108" s="326"/>
      <c r="O108" s="50"/>
      <c r="P108" s="50"/>
      <c r="Q108" s="50"/>
      <c r="R108" s="50"/>
      <c r="T108" s="41">
        <v>17</v>
      </c>
      <c r="V108" s="42" t="s">
        <v>384</v>
      </c>
      <c r="Y108" s="69"/>
      <c r="Z108" s="1"/>
      <c r="AA108" s="66">
        <f>H36</f>
        <v>122342951</v>
      </c>
      <c r="AB108" s="3"/>
      <c r="AC108" s="134">
        <f>INPUT!C74</f>
        <v>4.8348000000000002E-2</v>
      </c>
      <c r="AD108" s="319"/>
      <c r="AE108" s="66">
        <f>ROUND((+AA108*AC108),0)-AM108</f>
        <v>5915037</v>
      </c>
      <c r="AF108" s="1"/>
      <c r="AG108" s="104">
        <f>ROUND((+AE108/$AE$137)*100,1)</f>
        <v>12.9</v>
      </c>
      <c r="AH108" s="1"/>
      <c r="AI108" s="66">
        <f>L36-AE108</f>
        <v>810889</v>
      </c>
      <c r="AJ108" s="3"/>
      <c r="AK108" s="104">
        <f t="shared" si="0"/>
        <v>13.7</v>
      </c>
      <c r="AL108" s="6"/>
      <c r="AM108" s="66"/>
      <c r="AN108" s="1"/>
      <c r="AO108" s="66">
        <f>AE108+AM108</f>
        <v>5915037</v>
      </c>
      <c r="AP108" s="1"/>
      <c r="AQ108" s="104">
        <f>ROUND((+AI108/AO108)*100,1)</f>
        <v>13.7</v>
      </c>
    </row>
    <row r="109" spans="3:43" ht="22.5" customHeight="1">
      <c r="F109" s="45"/>
      <c r="H109" s="45"/>
      <c r="J109" s="45"/>
      <c r="L109" s="326"/>
      <c r="N109" s="326"/>
      <c r="O109" s="50"/>
      <c r="P109" s="50"/>
      <c r="Q109" s="50"/>
      <c r="R109" s="50"/>
      <c r="T109" s="41">
        <v>18</v>
      </c>
      <c r="V109" s="133" t="s">
        <v>56</v>
      </c>
      <c r="Y109" s="72">
        <f>F37</f>
        <v>131</v>
      </c>
      <c r="Z109" s="1"/>
      <c r="AA109" s="72">
        <f>H37</f>
        <v>170320455</v>
      </c>
      <c r="AB109" s="3"/>
      <c r="AC109" s="314"/>
      <c r="AD109" s="314"/>
      <c r="AE109" s="72">
        <f>AE96+AE105+AE107+AE108</f>
        <v>15520530</v>
      </c>
      <c r="AF109" s="1"/>
      <c r="AG109" s="105">
        <f>ROUND((+AE109/$AE$137)*100,1)</f>
        <v>33.9</v>
      </c>
      <c r="AH109" s="1"/>
      <c r="AI109" s="72">
        <f>AI96+AI105+AI107+AI108</f>
        <v>2429480</v>
      </c>
      <c r="AJ109" s="3"/>
      <c r="AK109" s="105">
        <f t="shared" si="0"/>
        <v>15.7</v>
      </c>
      <c r="AL109" s="6"/>
      <c r="AM109" s="72"/>
      <c r="AN109" s="1"/>
      <c r="AO109" s="72">
        <f>AO96+AO105+AO107+AO108</f>
        <v>15520530</v>
      </c>
      <c r="AP109" s="1"/>
      <c r="AQ109" s="105">
        <f>ROUND((+AI109/AO109)*100,1)</f>
        <v>15.7</v>
      </c>
    </row>
    <row r="110" spans="3:43">
      <c r="F110" s="45"/>
      <c r="H110" s="45"/>
      <c r="J110" s="45"/>
      <c r="L110" s="326"/>
      <c r="N110" s="326"/>
      <c r="O110" s="50"/>
      <c r="P110" s="50"/>
      <c r="Q110" s="50"/>
      <c r="R110" s="50"/>
      <c r="V110" s="42"/>
      <c r="Y110" s="3"/>
      <c r="Z110" s="1"/>
      <c r="AA110" s="3"/>
      <c r="AB110" s="3"/>
      <c r="AC110" s="314"/>
      <c r="AD110" s="314"/>
      <c r="AE110" s="3"/>
      <c r="AF110" s="1"/>
      <c r="AG110" s="103"/>
      <c r="AH110" s="1"/>
      <c r="AI110" s="3"/>
      <c r="AJ110" s="3"/>
      <c r="AK110" s="103"/>
      <c r="AL110" s="6"/>
      <c r="AM110" s="3"/>
      <c r="AN110" s="1"/>
      <c r="AO110" s="3"/>
      <c r="AP110" s="1"/>
      <c r="AQ110" s="103"/>
    </row>
    <row r="111" spans="3:43">
      <c r="C111" s="42"/>
      <c r="F111" s="45"/>
      <c r="H111" s="164"/>
      <c r="J111" s="164"/>
      <c r="L111" s="331"/>
      <c r="N111" s="331"/>
      <c r="O111" s="45"/>
      <c r="P111" s="46"/>
      <c r="Q111" s="45"/>
      <c r="R111" s="45"/>
      <c r="T111" s="41">
        <v>19</v>
      </c>
      <c r="V111" s="133" t="s">
        <v>57</v>
      </c>
      <c r="Y111" s="68"/>
      <c r="Z111" s="1"/>
      <c r="AA111" s="68"/>
      <c r="AB111" s="68"/>
      <c r="AC111" s="314"/>
      <c r="AD111" s="314"/>
      <c r="AE111" s="3"/>
      <c r="AF111" s="1"/>
      <c r="AG111" s="103"/>
      <c r="AH111" s="1"/>
      <c r="AI111" s="3"/>
      <c r="AJ111" s="3"/>
      <c r="AK111" s="103"/>
      <c r="AL111" s="1"/>
      <c r="AM111" s="3"/>
      <c r="AN111" s="1"/>
      <c r="AO111" s="3"/>
      <c r="AP111" s="1"/>
      <c r="AQ111" s="103"/>
    </row>
    <row r="112" spans="3:43">
      <c r="C112" s="42"/>
      <c r="F112" s="45"/>
      <c r="H112" s="45"/>
      <c r="J112" s="45"/>
      <c r="L112" s="326"/>
      <c r="N112" s="326"/>
      <c r="O112" s="45"/>
      <c r="P112" s="46"/>
      <c r="Q112" s="45"/>
      <c r="R112" s="45"/>
      <c r="S112" s="45"/>
      <c r="T112" s="41">
        <v>20</v>
      </c>
      <c r="V112" s="133" t="s">
        <v>133</v>
      </c>
      <c r="Y112" s="1"/>
      <c r="Z112" s="1"/>
      <c r="AA112" s="1"/>
      <c r="AB112" s="1"/>
      <c r="AC112" s="1"/>
      <c r="AD112" s="1"/>
      <c r="AE112" s="1"/>
      <c r="AF112" s="1"/>
      <c r="AG112" s="103"/>
      <c r="AH112" s="1"/>
      <c r="AI112" s="1"/>
      <c r="AJ112" s="1"/>
      <c r="AK112" s="103"/>
      <c r="AL112" s="1"/>
      <c r="AM112" s="1"/>
      <c r="AN112" s="1"/>
      <c r="AO112" s="1"/>
      <c r="AP112" s="1"/>
      <c r="AQ112" s="103"/>
    </row>
    <row r="113" spans="3:43">
      <c r="T113" s="41">
        <v>21</v>
      </c>
      <c r="V113" s="42" t="s">
        <v>144</v>
      </c>
      <c r="Y113" s="3">
        <f>F41</f>
        <v>264</v>
      </c>
      <c r="Z113" s="1"/>
      <c r="AA113" s="68"/>
      <c r="AB113" s="68"/>
      <c r="AC113" s="76">
        <f>AC95</f>
        <v>138</v>
      </c>
      <c r="AD113" s="76"/>
      <c r="AE113" s="3">
        <f>ROUND(+Y113*AC113,0)</f>
        <v>36432</v>
      </c>
      <c r="AF113" s="1"/>
      <c r="AG113" s="104">
        <f>ROUND((+AE113/$AE$137)*100,1)</f>
        <v>0.1</v>
      </c>
      <c r="AH113" s="1"/>
      <c r="AI113" s="3">
        <f>L41-AE113</f>
        <v>5808</v>
      </c>
      <c r="AJ113" s="3"/>
      <c r="AK113" s="104">
        <f>IF(AE113=0,0,ROUND((AI113/AE113)*100,1))</f>
        <v>15.9</v>
      </c>
      <c r="AL113" s="6"/>
      <c r="AM113" s="3"/>
      <c r="AN113" s="1"/>
      <c r="AO113" s="3">
        <f>AE113+AM113</f>
        <v>36432</v>
      </c>
      <c r="AP113" s="1"/>
      <c r="AQ113" s="104">
        <f>ROUND((+AI113/AO113)*100,1)</f>
        <v>15.9</v>
      </c>
    </row>
    <row r="114" spans="3:43" ht="20.100000000000001" customHeight="1">
      <c r="C114" s="42"/>
      <c r="F114" s="164"/>
      <c r="H114" s="164"/>
      <c r="J114" s="164"/>
      <c r="L114" s="316"/>
      <c r="N114" s="316"/>
      <c r="O114" s="45"/>
      <c r="P114" s="46"/>
      <c r="R114" s="45"/>
      <c r="T114" s="41">
        <v>22</v>
      </c>
      <c r="V114" s="133" t="s">
        <v>136</v>
      </c>
      <c r="Y114" s="72">
        <f>F42</f>
        <v>264</v>
      </c>
      <c r="Z114" s="1"/>
      <c r="AA114" s="3"/>
      <c r="AB114" s="3"/>
      <c r="AC114" s="314"/>
      <c r="AD114" s="314"/>
      <c r="AE114" s="72">
        <f>SUM(AE113:AE113)</f>
        <v>36432</v>
      </c>
      <c r="AF114" s="1"/>
      <c r="AG114" s="105">
        <f>ROUND((+AE114/$AE$137)*100,1)</f>
        <v>0.1</v>
      </c>
      <c r="AH114" s="1"/>
      <c r="AI114" s="72">
        <f>SUM(AI113:AI113)</f>
        <v>5808</v>
      </c>
      <c r="AJ114" s="3"/>
      <c r="AK114" s="105">
        <f>IF(AE114=0,0,ROUND((AI114/AE114)*100,1))</f>
        <v>15.9</v>
      </c>
      <c r="AL114" s="6"/>
      <c r="AM114" s="72"/>
      <c r="AN114" s="1"/>
      <c r="AO114" s="72">
        <f>SUM(AO113:AO113)</f>
        <v>36432</v>
      </c>
      <c r="AP114" s="1"/>
      <c r="AQ114" s="105">
        <f>ROUND((+AI114/AO114)*100,1)</f>
        <v>15.9</v>
      </c>
    </row>
    <row r="115" spans="3:43">
      <c r="C115" s="42"/>
      <c r="F115" s="164"/>
      <c r="H115" s="164"/>
      <c r="J115" s="164"/>
      <c r="L115" s="316"/>
      <c r="N115" s="316"/>
      <c r="O115" s="45"/>
      <c r="P115" s="46"/>
      <c r="R115" s="45"/>
      <c r="T115" s="41">
        <v>23</v>
      </c>
      <c r="V115" s="133" t="s">
        <v>63</v>
      </c>
      <c r="Y115" s="68"/>
      <c r="Z115" s="1"/>
      <c r="AA115" s="68"/>
      <c r="AB115" s="68"/>
      <c r="AC115" s="340"/>
      <c r="AD115" s="340"/>
      <c r="AE115" s="3"/>
      <c r="AF115" s="1"/>
      <c r="AG115" s="103"/>
      <c r="AH115" s="1"/>
      <c r="AI115" s="3"/>
      <c r="AJ115" s="3"/>
      <c r="AK115" s="103"/>
      <c r="AL115" s="4"/>
      <c r="AM115" s="3"/>
      <c r="AN115" s="1"/>
      <c r="AO115" s="3"/>
      <c r="AP115" s="1"/>
      <c r="AQ115" s="103"/>
    </row>
    <row r="116" spans="3:43">
      <c r="F116" s="50"/>
      <c r="H116" s="45"/>
      <c r="J116" s="45"/>
      <c r="L116" s="326"/>
      <c r="N116" s="326"/>
      <c r="O116" s="50"/>
      <c r="P116" s="50"/>
      <c r="Q116" s="50"/>
      <c r="R116" s="50"/>
      <c r="T116" s="41">
        <v>24</v>
      </c>
      <c r="V116" s="42" t="s">
        <v>64</v>
      </c>
      <c r="Y116" s="68"/>
      <c r="Z116" s="1"/>
      <c r="AA116" s="3">
        <f>H44</f>
        <v>611457</v>
      </c>
      <c r="AB116" s="3"/>
      <c r="AC116" s="316">
        <f>INPUT!C78</f>
        <v>13.92</v>
      </c>
      <c r="AD116" s="76"/>
      <c r="AE116" s="3">
        <f>ROUND(+AA116*AC116,0)</f>
        <v>8511481</v>
      </c>
      <c r="AF116" s="1"/>
      <c r="AG116" s="103">
        <f>ROUND((+AE116/$AE$137)*100,1)</f>
        <v>18.600000000000001</v>
      </c>
      <c r="AH116" s="1"/>
      <c r="AI116" s="3">
        <f>L44-AE116</f>
        <v>1167883</v>
      </c>
      <c r="AJ116" s="3"/>
      <c r="AK116" s="103">
        <f>IF(AE116=0,0,ROUND((AI116/AE116)*100,1))</f>
        <v>13.7</v>
      </c>
      <c r="AL116" s="6"/>
      <c r="AM116" s="3"/>
      <c r="AN116" s="1"/>
      <c r="AO116" s="3">
        <f>AE116+AM116</f>
        <v>8511481</v>
      </c>
      <c r="AP116" s="1"/>
      <c r="AQ116" s="103">
        <f>ROUND((+AI116/AO116)*100,1)</f>
        <v>13.7</v>
      </c>
    </row>
    <row r="117" spans="3:43">
      <c r="C117" s="42"/>
      <c r="F117" s="45"/>
      <c r="H117" s="45"/>
      <c r="J117" s="45"/>
      <c r="L117" s="326"/>
      <c r="N117" s="326"/>
      <c r="O117" s="45"/>
      <c r="P117" s="46"/>
      <c r="Q117" s="45"/>
      <c r="R117" s="45"/>
      <c r="T117" s="41">
        <v>26</v>
      </c>
      <c r="V117" s="42" t="s">
        <v>65</v>
      </c>
      <c r="Y117" s="68"/>
      <c r="Z117" s="1"/>
      <c r="AA117" s="3">
        <f>H45</f>
        <v>14975</v>
      </c>
      <c r="AB117" s="3"/>
      <c r="AC117" s="316">
        <f>INPUT!C79</f>
        <v>1.32</v>
      </c>
      <c r="AD117" s="76"/>
      <c r="AE117" s="3">
        <f>ROUND(+AA117*AC117,0)</f>
        <v>19767</v>
      </c>
      <c r="AF117" s="1"/>
      <c r="AG117" s="103">
        <f>ROUND((+AE117/$AE$137)*100,1)</f>
        <v>0</v>
      </c>
      <c r="AH117" s="1"/>
      <c r="AI117" s="3">
        <f>L45-AE117</f>
        <v>2696</v>
      </c>
      <c r="AJ117" s="3"/>
      <c r="AK117" s="103">
        <f>IF(AE117=0,0,ROUND((AI117/AE117)*100,1))</f>
        <v>13.6</v>
      </c>
      <c r="AL117" s="6"/>
      <c r="AM117" s="3"/>
      <c r="AN117" s="1"/>
      <c r="AO117" s="3">
        <f>AE117+AM117</f>
        <v>19767</v>
      </c>
      <c r="AP117" s="1"/>
      <c r="AQ117" s="103">
        <f>ROUND((+AI117/AO117)*100,1)</f>
        <v>13.6</v>
      </c>
    </row>
    <row r="118" spans="3:43">
      <c r="C118" s="42"/>
      <c r="F118" s="45"/>
      <c r="H118" s="45"/>
      <c r="J118" s="45"/>
      <c r="L118" s="326"/>
      <c r="N118" s="326"/>
      <c r="O118" s="45"/>
      <c r="P118" s="46"/>
      <c r="Q118" s="45"/>
      <c r="R118" s="45"/>
      <c r="V118" s="42" t="s">
        <v>974</v>
      </c>
      <c r="Y118" s="68"/>
      <c r="Z118" s="1"/>
      <c r="AA118" s="66">
        <f>AA116+AA117</f>
        <v>626432</v>
      </c>
      <c r="AB118" s="3"/>
      <c r="AC118" s="316">
        <f>AC100</f>
        <v>6.07</v>
      </c>
      <c r="AD118" s="76"/>
      <c r="AE118" s="3">
        <f>ROUND(+AA118*AC118,0)</f>
        <v>3802442</v>
      </c>
      <c r="AF118" s="1"/>
      <c r="AG118" s="104">
        <f>ROUND((+AE118/$AE$137)*100,1)</f>
        <v>8.3000000000000007</v>
      </c>
      <c r="AH118" s="1"/>
      <c r="AI118" s="3">
        <f>L46-AE118</f>
        <v>1064935</v>
      </c>
      <c r="AJ118" s="3"/>
      <c r="AK118" s="104">
        <f>IF(AE118=0,0,ROUND((AI118/AE118)*100,1))</f>
        <v>28</v>
      </c>
      <c r="AL118" s="6"/>
      <c r="AM118" s="3"/>
      <c r="AN118" s="1"/>
      <c r="AO118" s="3">
        <f>AE118+AM118</f>
        <v>3802442</v>
      </c>
      <c r="AP118" s="1"/>
      <c r="AQ118" s="104">
        <f>ROUND((+AI118/AO118)*100,1)</f>
        <v>28</v>
      </c>
    </row>
    <row r="119" spans="3:43" ht="20.100000000000001" customHeight="1">
      <c r="C119" s="42"/>
      <c r="F119" s="164"/>
      <c r="H119" s="164"/>
      <c r="J119" s="164"/>
      <c r="L119" s="336"/>
      <c r="N119" s="336"/>
      <c r="O119" s="45"/>
      <c r="P119" s="46"/>
      <c r="Q119" s="45"/>
      <c r="R119" s="45"/>
      <c r="S119" s="45"/>
      <c r="T119" s="41">
        <v>26</v>
      </c>
      <c r="V119" s="133" t="s">
        <v>145</v>
      </c>
      <c r="Y119" s="3"/>
      <c r="Z119" s="1"/>
      <c r="AA119" s="72">
        <f>H47</f>
        <v>626432</v>
      </c>
      <c r="AB119" s="3"/>
      <c r="AC119" s="314"/>
      <c r="AD119" s="314"/>
      <c r="AE119" s="72">
        <f>SUM(AE116:AE118)</f>
        <v>12333690</v>
      </c>
      <c r="AF119" s="1"/>
      <c r="AG119" s="105">
        <f>ROUND((+AE119/$AE$137)*100,1)</f>
        <v>26.9</v>
      </c>
      <c r="AH119" s="1"/>
      <c r="AI119" s="72">
        <f>SUM(AI116:AI118)</f>
        <v>2235514</v>
      </c>
      <c r="AJ119" s="3"/>
      <c r="AK119" s="105">
        <f>IF(AE119=0,0,ROUND((AI119/AE119)*100,1))</f>
        <v>18.100000000000001</v>
      </c>
      <c r="AL119" s="6"/>
      <c r="AM119" s="72"/>
      <c r="AN119" s="1"/>
      <c r="AO119" s="72">
        <f>SUM(AO116:AO118)</f>
        <v>12333690</v>
      </c>
      <c r="AP119" s="1"/>
      <c r="AQ119" s="105">
        <f>ROUND((+AI119/AO119)*100,1)</f>
        <v>18.100000000000001</v>
      </c>
    </row>
    <row r="120" spans="3:43">
      <c r="C120" s="42"/>
      <c r="F120" s="164"/>
      <c r="H120" s="164"/>
      <c r="J120" s="164"/>
      <c r="L120" s="316"/>
      <c r="N120" s="316"/>
      <c r="O120" s="45"/>
      <c r="P120" s="46"/>
      <c r="Q120" s="45"/>
      <c r="R120" s="45"/>
      <c r="T120" s="41">
        <v>27</v>
      </c>
      <c r="V120" s="133" t="s">
        <v>146</v>
      </c>
      <c r="Y120" s="3"/>
      <c r="Z120" s="1"/>
      <c r="AA120" s="3"/>
      <c r="AB120" s="3"/>
      <c r="AC120" s="314"/>
      <c r="AD120" s="314"/>
      <c r="AE120" s="3"/>
      <c r="AF120" s="1"/>
      <c r="AG120" s="103"/>
      <c r="AH120" s="1"/>
      <c r="AI120" s="3"/>
      <c r="AJ120" s="3"/>
      <c r="AK120" s="103"/>
      <c r="AL120" s="6"/>
      <c r="AM120" s="3"/>
      <c r="AN120" s="1"/>
      <c r="AO120" s="3"/>
      <c r="AP120" s="1"/>
      <c r="AQ120" s="103"/>
    </row>
    <row r="121" spans="3:43">
      <c r="F121" s="45"/>
      <c r="H121" s="50"/>
      <c r="J121" s="50"/>
      <c r="L121" s="326"/>
      <c r="N121" s="326"/>
      <c r="O121" s="50"/>
      <c r="P121" s="50"/>
      <c r="Q121" s="50"/>
      <c r="R121" s="50"/>
      <c r="T121" s="41">
        <v>28</v>
      </c>
      <c r="V121" s="128" t="s">
        <v>147</v>
      </c>
      <c r="Y121" s="3"/>
      <c r="Z121" s="1"/>
      <c r="AA121" s="3">
        <f>H49</f>
        <v>235583</v>
      </c>
      <c r="AB121" s="3"/>
      <c r="AC121" s="76">
        <f>AC103</f>
        <v>-0.75</v>
      </c>
      <c r="AD121" s="342"/>
      <c r="AE121" s="3">
        <f>ROUND(+AA121*AC121,0)</f>
        <v>-176687</v>
      </c>
      <c r="AF121" s="1"/>
      <c r="AG121" s="103">
        <f>ROUND((+AE121/$AE$137)*100,1)</f>
        <v>-0.4</v>
      </c>
      <c r="AH121" s="1"/>
      <c r="AI121" s="3">
        <f>L49-AE121</f>
        <v>-23559</v>
      </c>
      <c r="AJ121" s="3"/>
      <c r="AK121" s="103">
        <f>IF(AE121=0,0,ROUND((AI121/AE121)*100,1))</f>
        <v>13.3</v>
      </c>
      <c r="AL121" s="6"/>
      <c r="AM121" s="3"/>
      <c r="AN121" s="1"/>
      <c r="AO121" s="3">
        <f>AE121+AM121</f>
        <v>-176687</v>
      </c>
      <c r="AP121" s="1"/>
      <c r="AQ121" s="103">
        <f>ROUND((+AI121/AO121)*100,1)</f>
        <v>13.3</v>
      </c>
    </row>
    <row r="122" spans="3:43" ht="20.100000000000001" customHeight="1">
      <c r="C122" s="42"/>
      <c r="F122" s="45"/>
      <c r="H122" s="45"/>
      <c r="J122" s="45"/>
      <c r="L122" s="326"/>
      <c r="N122" s="326"/>
      <c r="O122" s="45"/>
      <c r="P122" s="46"/>
      <c r="Q122" s="45"/>
      <c r="R122" s="45"/>
      <c r="T122" s="41">
        <v>29</v>
      </c>
      <c r="V122" s="128" t="s">
        <v>148</v>
      </c>
      <c r="Y122" s="1"/>
      <c r="Z122" s="1"/>
      <c r="AA122" s="66">
        <f>H50</f>
        <v>390849</v>
      </c>
      <c r="AB122" s="3"/>
      <c r="AC122" s="76">
        <f>AC104</f>
        <v>-0.57999999999999996</v>
      </c>
      <c r="AD122" s="342"/>
      <c r="AE122" s="3">
        <f>ROUND(+AA122*AC122,0)</f>
        <v>-226692</v>
      </c>
      <c r="AF122" s="1"/>
      <c r="AG122" s="104">
        <f>ROUND((+AE122/$AE$137)*100,1)</f>
        <v>-0.5</v>
      </c>
      <c r="AH122" s="1"/>
      <c r="AI122" s="3">
        <f>L50-AE122</f>
        <v>-31268</v>
      </c>
      <c r="AJ122" s="3"/>
      <c r="AK122" s="104">
        <f>IF(AE122=0,0,ROUND((AI122/AE122)*100,1))</f>
        <v>13.8</v>
      </c>
      <c r="AL122" s="6"/>
      <c r="AM122" s="3"/>
      <c r="AN122" s="1"/>
      <c r="AO122" s="3">
        <f>AE122+AM122</f>
        <v>-226692</v>
      </c>
      <c r="AP122" s="1"/>
      <c r="AQ122" s="104">
        <f>ROUND((+AI122/AO122)*100,1)</f>
        <v>13.8</v>
      </c>
    </row>
    <row r="123" spans="3:43" ht="20.100000000000001" customHeight="1">
      <c r="C123" s="42"/>
      <c r="F123" s="45"/>
      <c r="H123" s="45"/>
      <c r="J123" s="45"/>
      <c r="L123" s="326"/>
      <c r="N123" s="326"/>
      <c r="O123" s="45"/>
      <c r="P123" s="45"/>
      <c r="Q123" s="45"/>
      <c r="R123" s="45"/>
      <c r="T123" s="41">
        <v>30</v>
      </c>
      <c r="V123" s="133" t="s">
        <v>66</v>
      </c>
      <c r="Y123" s="3"/>
      <c r="Z123" s="1"/>
      <c r="AA123" s="66">
        <f>H51</f>
        <v>626432</v>
      </c>
      <c r="AB123" s="3"/>
      <c r="AC123" s="7"/>
      <c r="AD123" s="7"/>
      <c r="AE123" s="72">
        <f>AE119+AE121+AE122</f>
        <v>11930311</v>
      </c>
      <c r="AF123" s="1"/>
      <c r="AG123" s="105">
        <f>ROUND((+AE123/$AE$137)*100,1)</f>
        <v>26.1</v>
      </c>
      <c r="AH123" s="1"/>
      <c r="AI123" s="72">
        <f>AI119+AI121+AI122</f>
        <v>2180687</v>
      </c>
      <c r="AJ123" s="3"/>
      <c r="AK123" s="105">
        <f>IF(AE123=0,0,ROUND((AI123/AE123)*100,1))</f>
        <v>18.3</v>
      </c>
      <c r="AL123" s="6"/>
      <c r="AM123" s="72"/>
      <c r="AN123" s="1"/>
      <c r="AO123" s="72">
        <f>AO119+AO121+AO122</f>
        <v>11930311</v>
      </c>
      <c r="AP123" s="1"/>
      <c r="AQ123" s="105">
        <f>ROUND((+AI123/AO123)*100,1)</f>
        <v>18.3</v>
      </c>
    </row>
    <row r="124" spans="3:43">
      <c r="C124" s="42"/>
      <c r="H124" s="164"/>
      <c r="J124" s="164"/>
      <c r="L124" s="132"/>
      <c r="N124" s="132"/>
      <c r="O124" s="45"/>
      <c r="P124" s="46"/>
      <c r="Q124" s="45"/>
      <c r="R124" s="45"/>
      <c r="T124" s="41">
        <v>31</v>
      </c>
      <c r="V124" s="310" t="s">
        <v>371</v>
      </c>
      <c r="Y124" s="3"/>
      <c r="Z124" s="1"/>
      <c r="AA124" s="3"/>
      <c r="AB124" s="3"/>
      <c r="AC124" s="7"/>
      <c r="AD124" s="7"/>
      <c r="AE124" s="3"/>
      <c r="AF124" s="1"/>
      <c r="AG124" s="103"/>
      <c r="AH124" s="1"/>
      <c r="AI124" s="3"/>
      <c r="AJ124" s="3"/>
      <c r="AK124" s="103"/>
      <c r="AL124" s="6"/>
      <c r="AM124" s="3"/>
      <c r="AN124" s="1"/>
      <c r="AO124" s="3"/>
      <c r="AP124" s="1"/>
      <c r="AQ124" s="103"/>
    </row>
    <row r="125" spans="3:43">
      <c r="C125" s="42"/>
      <c r="H125" s="164"/>
      <c r="J125" s="164"/>
      <c r="L125" s="132"/>
      <c r="N125" s="132"/>
      <c r="O125" s="45"/>
      <c r="P125" s="46"/>
      <c r="Q125" s="45"/>
      <c r="R125" s="45"/>
      <c r="T125" s="41">
        <v>32</v>
      </c>
      <c r="V125" s="42" t="s">
        <v>383</v>
      </c>
      <c r="Y125" s="3"/>
      <c r="Z125" s="1"/>
      <c r="AA125" s="3">
        <f>H53</f>
        <v>83597903</v>
      </c>
      <c r="AB125" s="3"/>
      <c r="AC125" s="323">
        <f>INPUT!C73</f>
        <v>5.4640000000000001E-2</v>
      </c>
      <c r="AD125" s="319"/>
      <c r="AE125" s="3">
        <f>ROUND((+AA125*AC125),0)-AM125</f>
        <v>4567789</v>
      </c>
      <c r="AF125" s="1"/>
      <c r="AG125" s="103">
        <f>ROUND((+AE125/$AE$137)*100,1)</f>
        <v>10</v>
      </c>
      <c r="AH125" s="1"/>
      <c r="AI125" s="3">
        <f>L53-AE125</f>
        <v>626400</v>
      </c>
      <c r="AJ125" s="3"/>
      <c r="AK125" s="103">
        <f>IF(AE125=0,0,ROUND((AI125/AE125)*100,1))</f>
        <v>13.7</v>
      </c>
      <c r="AL125" s="6"/>
      <c r="AM125" s="3"/>
      <c r="AN125" s="1"/>
      <c r="AO125" s="3">
        <f>AE125+AM125</f>
        <v>4567789</v>
      </c>
      <c r="AP125" s="1"/>
      <c r="AQ125" s="103">
        <f>ROUND((+AI125/AO125)*100,1)</f>
        <v>13.7</v>
      </c>
    </row>
    <row r="126" spans="3:43">
      <c r="F126" s="45"/>
      <c r="H126" s="45"/>
      <c r="J126" s="45"/>
      <c r="L126" s="326"/>
      <c r="N126" s="326"/>
      <c r="O126" s="50"/>
      <c r="P126" s="50"/>
      <c r="Q126" s="50"/>
      <c r="R126" s="50"/>
      <c r="T126" s="41">
        <v>33</v>
      </c>
      <c r="V126" s="42" t="s">
        <v>384</v>
      </c>
      <c r="Y126" s="69"/>
      <c r="Z126" s="1"/>
      <c r="AA126" s="3">
        <f>H54</f>
        <v>221049082</v>
      </c>
      <c r="AB126" s="3"/>
      <c r="AC126" s="155">
        <f>AC108</f>
        <v>4.8348000000000002E-2</v>
      </c>
      <c r="AD126" s="319"/>
      <c r="AE126" s="66">
        <f>ROUND((+AA126*AC126),0)-AM126</f>
        <v>10687281</v>
      </c>
      <c r="AF126" s="1"/>
      <c r="AG126" s="104">
        <f>ROUND((+AE126/$AE$137)*100,1)</f>
        <v>23.3</v>
      </c>
      <c r="AH126" s="1"/>
      <c r="AI126" s="66">
        <f>L54-AE126</f>
        <v>1465113</v>
      </c>
      <c r="AJ126" s="3"/>
      <c r="AK126" s="104">
        <f>IF(AE126=0,0,ROUND((AI126/AE126)*100,1))</f>
        <v>13.7</v>
      </c>
      <c r="AL126" s="6"/>
      <c r="AM126" s="66"/>
      <c r="AN126" s="1"/>
      <c r="AO126" s="66">
        <f>AE126+AM126</f>
        <v>10687281</v>
      </c>
      <c r="AP126" s="1"/>
      <c r="AQ126" s="104">
        <f>ROUND((+AI126/AO126)*100,1)</f>
        <v>13.7</v>
      </c>
    </row>
    <row r="127" spans="3:43" ht="22.5" customHeight="1">
      <c r="F127" s="45"/>
      <c r="H127" s="45"/>
      <c r="J127" s="45"/>
      <c r="L127" s="326"/>
      <c r="N127" s="326"/>
      <c r="O127" s="50"/>
      <c r="P127" s="50"/>
      <c r="Q127" s="50"/>
      <c r="R127" s="50"/>
      <c r="T127" s="41">
        <v>34</v>
      </c>
      <c r="V127" s="133" t="s">
        <v>58</v>
      </c>
      <c r="Y127" s="72">
        <f>F55</f>
        <v>264</v>
      </c>
      <c r="Z127" s="1"/>
      <c r="AA127" s="72">
        <f>H55</f>
        <v>304646985</v>
      </c>
      <c r="AB127" s="3"/>
      <c r="AC127" s="155"/>
      <c r="AD127" s="314"/>
      <c r="AE127" s="72">
        <f>AE114+AE123+AE125+AE126</f>
        <v>27221813</v>
      </c>
      <c r="AF127" s="1"/>
      <c r="AG127" s="105">
        <f>ROUND((+AE127/$AE$137)*100,1)</f>
        <v>59.5</v>
      </c>
      <c r="AH127" s="1"/>
      <c r="AI127" s="72">
        <f>AI114+AI123+AI125+AI126</f>
        <v>4278008</v>
      </c>
      <c r="AJ127" s="3"/>
      <c r="AK127" s="105">
        <f>IF(AE127=0,0,ROUND((AI127/AE127)*100,1))</f>
        <v>15.7</v>
      </c>
      <c r="AL127" s="6"/>
      <c r="AM127" s="72"/>
      <c r="AN127" s="1"/>
      <c r="AO127" s="72">
        <f>AO114+AO123+AO125+AO126</f>
        <v>27221813</v>
      </c>
      <c r="AP127" s="1"/>
      <c r="AQ127" s="105">
        <f>ROUND((+AI127/AO127)*100,1)</f>
        <v>15.7</v>
      </c>
    </row>
    <row r="128" spans="3:43" ht="22.5" customHeight="1">
      <c r="F128" s="45"/>
      <c r="H128" s="45"/>
      <c r="J128" s="45"/>
      <c r="L128" s="326"/>
      <c r="N128" s="326"/>
      <c r="O128" s="50"/>
      <c r="P128" s="50"/>
      <c r="Q128" s="50"/>
      <c r="R128" s="50"/>
      <c r="T128" s="41">
        <v>35</v>
      </c>
      <c r="V128" s="310" t="s">
        <v>439</v>
      </c>
      <c r="Y128" s="66">
        <f>Y109+Y127</f>
        <v>395</v>
      </c>
      <c r="Z128" s="1"/>
      <c r="AA128" s="66">
        <f>AA109+AA127</f>
        <v>474967440</v>
      </c>
      <c r="AB128" s="1"/>
      <c r="AC128" s="155"/>
      <c r="AD128" s="314"/>
      <c r="AE128" s="72">
        <f>AE127+AE109</f>
        <v>42742343</v>
      </c>
      <c r="AF128" s="1"/>
      <c r="AG128" s="105">
        <f>ROUND((+AE128/$AE$137)*100,1)</f>
        <v>93.4</v>
      </c>
      <c r="AH128" s="1"/>
      <c r="AI128" s="66">
        <f>AI127+AI109</f>
        <v>6707488</v>
      </c>
      <c r="AJ128" s="3"/>
      <c r="AK128" s="105">
        <f>IF(AE128=0,0,ROUND((AI128/AE128)*100,1))</f>
        <v>15.7</v>
      </c>
      <c r="AL128" s="6"/>
      <c r="AM128" s="72"/>
      <c r="AN128" s="1"/>
      <c r="AO128" s="72">
        <f>AO127+AO109</f>
        <v>42742343</v>
      </c>
      <c r="AP128" s="1"/>
      <c r="AQ128" s="105">
        <f>ROUND((+AI128/AO128)*100,1)</f>
        <v>15.7</v>
      </c>
    </row>
    <row r="129" spans="3:43" ht="15.75" customHeight="1">
      <c r="F129" s="45"/>
      <c r="H129" s="45"/>
      <c r="J129" s="45"/>
      <c r="L129" s="326"/>
      <c r="N129" s="326"/>
      <c r="O129" s="50"/>
      <c r="P129" s="50"/>
      <c r="Q129" s="50"/>
      <c r="R129" s="50"/>
      <c r="V129" s="42"/>
      <c r="Y129" s="3"/>
      <c r="Z129" s="1"/>
      <c r="AA129" s="3"/>
      <c r="AB129" s="1"/>
      <c r="AC129" s="155"/>
      <c r="AD129" s="314"/>
      <c r="AE129" s="3"/>
      <c r="AF129" s="1"/>
      <c r="AG129" s="103"/>
      <c r="AH129" s="1"/>
      <c r="AI129" s="3"/>
      <c r="AJ129" s="3"/>
      <c r="AK129" s="103"/>
      <c r="AL129" s="6"/>
      <c r="AM129" s="45"/>
      <c r="AN129" s="1"/>
      <c r="AO129" s="3"/>
      <c r="AP129" s="1"/>
      <c r="AQ129" s="103"/>
    </row>
    <row r="130" spans="3:43" ht="15.75" customHeight="1">
      <c r="F130" s="45"/>
      <c r="H130" s="45"/>
      <c r="J130" s="45"/>
      <c r="L130" s="326"/>
      <c r="N130" s="326"/>
      <c r="O130" s="50"/>
      <c r="P130" s="50"/>
      <c r="Q130" s="50"/>
      <c r="R130" s="50"/>
      <c r="T130" s="41">
        <f t="shared" ref="T130:T135" si="1">A58</f>
        <v>37</v>
      </c>
      <c r="V130" s="133" t="s">
        <v>430</v>
      </c>
      <c r="Y130" s="3"/>
      <c r="Z130" s="1"/>
      <c r="AA130" s="3"/>
      <c r="AB130" s="1"/>
      <c r="AC130" s="155"/>
      <c r="AD130" s="314"/>
      <c r="AE130" s="3"/>
      <c r="AF130" s="1"/>
      <c r="AG130" s="103"/>
      <c r="AH130" s="1"/>
      <c r="AI130" s="3"/>
      <c r="AJ130" s="3"/>
      <c r="AK130" s="103"/>
      <c r="AL130" s="6"/>
      <c r="AM130" s="45"/>
      <c r="AN130" s="1"/>
      <c r="AO130" s="3"/>
      <c r="AP130" s="1"/>
      <c r="AQ130" s="103"/>
    </row>
    <row r="131" spans="3:43" ht="15.75" customHeight="1">
      <c r="F131" s="45"/>
      <c r="H131" s="45"/>
      <c r="J131" s="45"/>
      <c r="L131" s="326"/>
      <c r="N131" s="326"/>
      <c r="O131" s="50"/>
      <c r="P131" s="50"/>
      <c r="Q131" s="50"/>
      <c r="R131" s="50"/>
      <c r="T131" s="41">
        <f t="shared" si="1"/>
        <v>38</v>
      </c>
      <c r="V131" s="128" t="str">
        <f>C59</f>
        <v>DEMAND SIDE MANAGEMENT RIDER (DSMR)</v>
      </c>
      <c r="Y131" s="3"/>
      <c r="Z131" s="1"/>
      <c r="AA131" s="3"/>
      <c r="AB131" s="1"/>
      <c r="AC131" s="327">
        <f>DSM_DIST</f>
        <v>3.503E-3</v>
      </c>
      <c r="AD131" s="314"/>
      <c r="AE131" s="3">
        <f>ROUND($AA$128*AC131,0)</f>
        <v>1663811</v>
      </c>
      <c r="AF131" s="1"/>
      <c r="AG131" s="103">
        <f>ROUND((+AE131/$AE$137)*100,1)</f>
        <v>3.6</v>
      </c>
      <c r="AH131" s="1"/>
      <c r="AI131" s="3">
        <f>L59-AE131</f>
        <v>0</v>
      </c>
      <c r="AJ131" s="3"/>
      <c r="AK131" s="103">
        <f>IF(AE131=0,0,ROUND((AI131/AE131)*100,1))</f>
        <v>0</v>
      </c>
      <c r="AL131" s="6"/>
      <c r="AM131" s="45"/>
      <c r="AN131" s="1"/>
      <c r="AO131" s="3">
        <f>AE131+AM131</f>
        <v>1663811</v>
      </c>
      <c r="AP131" s="1"/>
      <c r="AQ131" s="103">
        <f>IF(AO131=0,0,ROUND((+AI131/AO131)*100,1))</f>
        <v>0</v>
      </c>
    </row>
    <row r="132" spans="3:43" ht="15.75" customHeight="1">
      <c r="F132" s="45"/>
      <c r="H132" s="45"/>
      <c r="J132" s="45"/>
      <c r="L132" s="326"/>
      <c r="N132" s="326"/>
      <c r="O132" s="50"/>
      <c r="P132" s="50"/>
      <c r="Q132" s="50"/>
      <c r="R132" s="50"/>
      <c r="T132" s="41">
        <f t="shared" si="1"/>
        <v>39</v>
      </c>
      <c r="V132" s="128" t="str">
        <f>C60</f>
        <v>ENVIRONMENTAL SURCHARGE MECHANISM RIDER (ESM)</v>
      </c>
      <c r="Y132" s="3"/>
      <c r="Z132" s="1"/>
      <c r="AA132" s="3"/>
      <c r="AB132" s="1"/>
      <c r="AC132" s="332">
        <f>CUR_ESM_NonRes</f>
        <v>6.4941608437496566E-3</v>
      </c>
      <c r="AD132" s="314"/>
      <c r="AE132" s="3">
        <f>ROUND((AO128-(CUR_BASE_FUEL*AA128)+AO131+AO134)*AC132,0)</f>
        <v>191820</v>
      </c>
      <c r="AF132" s="1"/>
      <c r="AG132" s="103">
        <f>ROUND((+AE132/$AE$137)*100,1)</f>
        <v>0.4</v>
      </c>
      <c r="AH132" s="1"/>
      <c r="AI132" s="3">
        <f>L60-AE132</f>
        <v>6099</v>
      </c>
      <c r="AJ132" s="3"/>
      <c r="AK132" s="103">
        <f>IF(AE132=0,0,ROUND((AI132/AE132)*100,1))</f>
        <v>3.2</v>
      </c>
      <c r="AL132" s="6"/>
      <c r="AM132" s="45"/>
      <c r="AN132" s="1"/>
      <c r="AO132" s="3">
        <f>AE132+AM132</f>
        <v>191820</v>
      </c>
      <c r="AP132" s="1"/>
      <c r="AQ132" s="103">
        <f>IF(AO132=0,0,ROUND((+AI132/AO132)*100,1))</f>
        <v>3.2</v>
      </c>
    </row>
    <row r="133" spans="3:43" ht="15.75" customHeight="1">
      <c r="F133" s="45"/>
      <c r="H133" s="45"/>
      <c r="J133" s="45"/>
      <c r="L133" s="326"/>
      <c r="N133" s="326"/>
      <c r="O133" s="50"/>
      <c r="P133" s="50"/>
      <c r="Q133" s="50"/>
      <c r="R133" s="50"/>
      <c r="T133" s="41">
        <f t="shared" si="1"/>
        <v>40</v>
      </c>
      <c r="V133" s="128" t="str">
        <f>C61</f>
        <v>FUEL ADJUSTMENT CLAUSE (FAC)</v>
      </c>
      <c r="Y133" s="3"/>
      <c r="Z133" s="1"/>
      <c r="AA133" s="3"/>
      <c r="AB133" s="1"/>
      <c r="AC133" s="327">
        <f>CUR_FAC</f>
        <v>3.4872127999999998E-3</v>
      </c>
      <c r="AD133" s="314"/>
      <c r="AE133" s="3"/>
      <c r="AF133" s="1"/>
      <c r="AG133" s="103"/>
      <c r="AH133" s="1"/>
      <c r="AI133" s="3"/>
      <c r="AJ133" s="3"/>
      <c r="AK133" s="103"/>
      <c r="AL133" s="6"/>
      <c r="AM133" s="3">
        <f>ROUND(AA128*CUR_FAC,0)</f>
        <v>1656313</v>
      </c>
      <c r="AN133" s="1"/>
      <c r="AO133" s="3">
        <f>AE133+AM133</f>
        <v>1656313</v>
      </c>
      <c r="AP133" s="1"/>
      <c r="AQ133" s="103">
        <f>IF(AO133=0,0,ROUND((+AI133/AO133)*100,1))</f>
        <v>0</v>
      </c>
    </row>
    <row r="134" spans="3:43" ht="15.75" customHeight="1">
      <c r="F134" s="45"/>
      <c r="H134" s="45"/>
      <c r="J134" s="45"/>
      <c r="L134" s="326"/>
      <c r="N134" s="326"/>
      <c r="O134" s="50"/>
      <c r="P134" s="50"/>
      <c r="Q134" s="50"/>
      <c r="R134" s="50"/>
      <c r="T134" s="41">
        <f t="shared" si="1"/>
        <v>41</v>
      </c>
      <c r="V134" s="128" t="str">
        <f>C62</f>
        <v>PROFIT SHARING MECHANISM (PSM)</v>
      </c>
      <c r="Y134" s="3"/>
      <c r="Z134" s="1"/>
      <c r="AA134" s="3"/>
      <c r="AB134" s="1"/>
      <c r="AC134" s="327">
        <f>RS_PSM</f>
        <v>2.4750000000000002E-3</v>
      </c>
      <c r="AD134" s="314"/>
      <c r="AE134" s="66">
        <f>ROUND(AA128*RS_PSM,0)</f>
        <v>1175544</v>
      </c>
      <c r="AF134" s="1"/>
      <c r="AG134" s="104">
        <f>ROUND((+AE134/$AE$137)*100,1)</f>
        <v>2.6</v>
      </c>
      <c r="AH134" s="1"/>
      <c r="AI134" s="66">
        <f>L62-AE134</f>
        <v>0</v>
      </c>
      <c r="AJ134" s="3"/>
      <c r="AK134" s="104">
        <f>IF(AE134=0,0,ROUND((AI134/AE134)*100,1))</f>
        <v>0</v>
      </c>
      <c r="AL134" s="6"/>
      <c r="AM134" s="343"/>
      <c r="AN134" s="1"/>
      <c r="AO134" s="66">
        <f>AE134+AM134</f>
        <v>1175544</v>
      </c>
      <c r="AP134" s="1"/>
      <c r="AQ134" s="104">
        <f>IF(AO134=0,0,ROUND((+AI134/AO134)*100,1))</f>
        <v>0</v>
      </c>
    </row>
    <row r="135" spans="3:43" ht="22.5" customHeight="1">
      <c r="F135" s="45"/>
      <c r="H135" s="45"/>
      <c r="J135" s="45"/>
      <c r="L135" s="326"/>
      <c r="N135" s="326"/>
      <c r="O135" s="50"/>
      <c r="P135" s="50"/>
      <c r="Q135" s="50"/>
      <c r="R135" s="50"/>
      <c r="T135" s="41">
        <f t="shared" si="1"/>
        <v>42</v>
      </c>
      <c r="V135" s="133" t="s">
        <v>435</v>
      </c>
      <c r="Y135" s="66"/>
      <c r="Z135" s="1"/>
      <c r="AA135" s="66"/>
      <c r="AB135" s="1"/>
      <c r="AC135" s="314"/>
      <c r="AD135" s="314"/>
      <c r="AE135" s="72">
        <f>SUM(AE131:AE134)</f>
        <v>3031175</v>
      </c>
      <c r="AF135" s="1"/>
      <c r="AG135" s="105">
        <f>ROUND((+AE135/$AE$137)*100,1)</f>
        <v>6.6</v>
      </c>
      <c r="AH135" s="1"/>
      <c r="AI135" s="72">
        <f>SUM(AI131:AI134)</f>
        <v>6099</v>
      </c>
      <c r="AJ135" s="3"/>
      <c r="AK135" s="105">
        <f>IF(AE135=0,0,ROUND((AI135/AE135)*100,1))</f>
        <v>0.2</v>
      </c>
      <c r="AL135" s="6"/>
      <c r="AM135" s="72">
        <f>AM133</f>
        <v>1656313</v>
      </c>
      <c r="AN135" s="1"/>
      <c r="AO135" s="72">
        <f>SUM(AO131:AO134)</f>
        <v>4687488</v>
      </c>
      <c r="AP135" s="1"/>
      <c r="AQ135" s="105">
        <f>ROUND((+AI135/AO135)*100,1)</f>
        <v>0.1</v>
      </c>
    </row>
    <row r="136" spans="3:43">
      <c r="F136" s="45"/>
      <c r="H136" s="45"/>
      <c r="J136" s="45"/>
      <c r="L136" s="326"/>
      <c r="N136" s="326"/>
      <c r="O136" s="50"/>
      <c r="P136" s="50"/>
      <c r="Q136" s="50"/>
      <c r="R136" s="50"/>
      <c r="V136" s="42"/>
      <c r="Y136" s="3"/>
      <c r="Z136" s="1"/>
      <c r="AA136" s="3"/>
      <c r="AB136" s="3"/>
      <c r="AC136" s="314"/>
      <c r="AD136" s="314"/>
      <c r="AE136" s="3"/>
      <c r="AF136" s="1"/>
      <c r="AG136" s="103"/>
      <c r="AH136" s="1"/>
      <c r="AI136" s="3"/>
      <c r="AJ136" s="3"/>
      <c r="AK136" s="103"/>
      <c r="AL136" s="6"/>
      <c r="AM136" s="3"/>
      <c r="AN136" s="1"/>
      <c r="AO136" s="3"/>
      <c r="AP136" s="1"/>
      <c r="AQ136" s="103"/>
    </row>
    <row r="137" spans="3:43" ht="20.100000000000001" customHeight="1" thickBot="1">
      <c r="F137" s="50"/>
      <c r="H137" s="50"/>
      <c r="J137" s="50"/>
      <c r="L137" s="326"/>
      <c r="N137" s="326"/>
      <c r="O137" s="50"/>
      <c r="P137" s="50"/>
      <c r="Q137" s="50"/>
      <c r="R137" s="50"/>
      <c r="T137" s="41">
        <f>A65</f>
        <v>43</v>
      </c>
      <c r="V137" s="310" t="s">
        <v>440</v>
      </c>
      <c r="Y137" s="67">
        <f>F65</f>
        <v>395</v>
      </c>
      <c r="Z137" s="1"/>
      <c r="AA137" s="67">
        <f>H65</f>
        <v>474967440</v>
      </c>
      <c r="AB137" s="3"/>
      <c r="AC137" s="1"/>
      <c r="AD137" s="1"/>
      <c r="AE137" s="67">
        <f>AE128+AE135</f>
        <v>45773518</v>
      </c>
      <c r="AF137" s="1"/>
      <c r="AG137" s="106">
        <v>100</v>
      </c>
      <c r="AH137" s="1"/>
      <c r="AI137" s="67">
        <f>AI128+AI135</f>
        <v>6713587</v>
      </c>
      <c r="AJ137" s="3"/>
      <c r="AK137" s="106">
        <f>IF(AE137=0,0,ROUND((AI137/AE137)*100,1))</f>
        <v>14.7</v>
      </c>
      <c r="AL137" s="6"/>
      <c r="AM137" s="67">
        <f>AM128+AM135</f>
        <v>1656313</v>
      </c>
      <c r="AN137" s="1"/>
      <c r="AO137" s="67">
        <f>AO128+AO135</f>
        <v>47429831</v>
      </c>
      <c r="AP137" s="1"/>
      <c r="AQ137" s="106">
        <f>ROUND((+AI137/AO137)*100,1)</f>
        <v>14.2</v>
      </c>
    </row>
    <row r="138" spans="3:43" ht="16.5" thickTop="1">
      <c r="F138" s="50"/>
      <c r="H138" s="50"/>
      <c r="J138" s="50"/>
      <c r="K138" s="326"/>
      <c r="L138" s="326"/>
      <c r="N138" s="50"/>
      <c r="O138" s="50"/>
      <c r="P138" s="50"/>
      <c r="Q138" s="50"/>
      <c r="R138" s="50"/>
      <c r="S138" s="45"/>
      <c r="Y138" s="1"/>
      <c r="Z138" s="1"/>
      <c r="AA138" s="1"/>
      <c r="AB138" s="1"/>
      <c r="AC138" s="1"/>
      <c r="AD138" s="1"/>
      <c r="AE138" s="1"/>
      <c r="AF138" s="1"/>
      <c r="AG138" s="103"/>
      <c r="AH138" s="1"/>
      <c r="AI138" s="1"/>
      <c r="AJ138" s="1"/>
      <c r="AK138" s="103"/>
      <c r="AL138" s="1"/>
      <c r="AM138" s="1"/>
      <c r="AN138" s="1"/>
      <c r="AO138" s="1"/>
      <c r="AP138" s="1"/>
      <c r="AQ138" s="103"/>
    </row>
    <row r="139" spans="3:43">
      <c r="C139" s="42"/>
      <c r="V139" s="140" t="s">
        <v>59</v>
      </c>
      <c r="AE139" s="45"/>
      <c r="AF139" s="45"/>
      <c r="AM139" s="45"/>
      <c r="AO139" s="45"/>
    </row>
    <row r="140" spans="3:43">
      <c r="C140" s="42"/>
      <c r="V140" s="140" t="str">
        <f>"(2) REFLECTS FUEL COMPONENT OF "&amp;TEXT(CUR_FAC,"$0.000000;($0.000000)")&amp;"  PER KWH."</f>
        <v>(2) REFLECTS FUEL COMPONENT OF $0.003487  PER KWH.</v>
      </c>
      <c r="AE140" s="45"/>
      <c r="AF140" s="45"/>
      <c r="AM140" s="45"/>
      <c r="AO140" s="45"/>
    </row>
    <row r="141" spans="3:43">
      <c r="C141" s="42"/>
      <c r="F141" s="45"/>
      <c r="H141" s="45"/>
      <c r="J141" s="45"/>
      <c r="N141" s="45"/>
      <c r="O141" s="45"/>
      <c r="P141" s="46"/>
      <c r="Q141" s="164"/>
      <c r="R141" s="45"/>
      <c r="T141" s="42"/>
      <c r="V141" s="140" t="str">
        <f>"(3) REFLECTS FUEL COST RECOVERY INCLUDED IN BASE RATES OF "&amp;TEXT(CUR_BASE_FUEL,"$0.000000;($0.000000)")&amp;"  PER KWH."</f>
        <v>(3) REFLECTS FUEL COST RECOVERY INCLUDED IN BASE RATES OF $0.033780  PER KWH.</v>
      </c>
      <c r="Y141" s="45"/>
      <c r="Z141" s="132"/>
      <c r="AA141" s="45"/>
      <c r="AB141" s="45"/>
      <c r="AC141" s="46"/>
      <c r="AD141" s="46"/>
      <c r="AE141" s="45"/>
      <c r="AF141" s="45"/>
      <c r="AI141" s="51"/>
      <c r="AJ141" s="51"/>
      <c r="AL141" s="45"/>
      <c r="AO141" s="46"/>
    </row>
    <row r="142" spans="3:43">
      <c r="F142" s="50"/>
      <c r="H142" s="50"/>
      <c r="J142" s="50"/>
      <c r="K142" s="326"/>
      <c r="L142" s="326"/>
      <c r="N142" s="50"/>
      <c r="O142" s="50"/>
      <c r="P142" s="50"/>
      <c r="Q142" s="50"/>
      <c r="R142" s="50"/>
      <c r="Y142" s="45"/>
      <c r="Z142" s="326"/>
      <c r="AA142" s="50"/>
      <c r="AB142" s="50"/>
      <c r="AC142" s="50"/>
      <c r="AD142" s="50"/>
      <c r="AE142" s="50"/>
      <c r="AF142" s="50"/>
      <c r="AK142" s="111"/>
      <c r="AL142" s="50"/>
      <c r="AO142" s="46"/>
      <c r="AQ142" s="111"/>
    </row>
    <row r="143" spans="3:43">
      <c r="T143" s="42"/>
      <c r="V143" s="45"/>
      <c r="Y143" s="45"/>
      <c r="Z143" s="47"/>
      <c r="AA143" s="45"/>
      <c r="AB143" s="45"/>
      <c r="AC143" s="46"/>
      <c r="AD143" s="46"/>
      <c r="AE143" s="45"/>
      <c r="AF143" s="45"/>
      <c r="AI143" s="51"/>
      <c r="AJ143" s="51"/>
      <c r="AL143" s="45"/>
      <c r="AO143" s="46"/>
    </row>
    <row r="144" spans="3:43">
      <c r="C144" s="42"/>
      <c r="N144" s="45"/>
      <c r="O144" s="45"/>
      <c r="P144" s="45"/>
      <c r="Q144" s="45"/>
      <c r="R144" s="45"/>
      <c r="S144" s="45"/>
      <c r="V144" s="45"/>
      <c r="Y144" s="45"/>
      <c r="Z144" s="326"/>
      <c r="AA144" s="50"/>
      <c r="AB144" s="50"/>
      <c r="AC144" s="50"/>
      <c r="AD144" s="50"/>
      <c r="AE144" s="50"/>
      <c r="AF144" s="50"/>
      <c r="AK144" s="111"/>
      <c r="AL144" s="50"/>
      <c r="AO144" s="46"/>
      <c r="AQ144" s="111"/>
    </row>
    <row r="145" spans="1:43">
      <c r="A145" s="42"/>
      <c r="T145" s="42"/>
      <c r="V145" s="45"/>
      <c r="Y145" s="45"/>
      <c r="Z145" s="47"/>
      <c r="AA145" s="45"/>
      <c r="AB145" s="45"/>
      <c r="AC145" s="46"/>
      <c r="AD145" s="46"/>
      <c r="AE145" s="45"/>
      <c r="AF145" s="45"/>
      <c r="AI145" s="51"/>
      <c r="AJ145" s="51"/>
      <c r="AL145" s="45"/>
      <c r="AO145" s="46"/>
    </row>
    <row r="146" spans="1:43">
      <c r="T146" s="42"/>
      <c r="V146" s="164"/>
      <c r="Y146" s="45"/>
      <c r="Z146" s="331"/>
      <c r="AA146" s="45"/>
      <c r="AB146" s="45"/>
      <c r="AC146" s="46"/>
      <c r="AD146" s="46"/>
      <c r="AE146" s="45"/>
      <c r="AF146" s="45"/>
      <c r="AI146" s="51"/>
      <c r="AJ146" s="51"/>
      <c r="AL146" s="45"/>
      <c r="AO146" s="46"/>
    </row>
    <row r="147" spans="1:43">
      <c r="H147" s="42"/>
      <c r="J147" s="42"/>
      <c r="V147" s="50"/>
      <c r="Y147" s="50"/>
      <c r="Z147" s="326"/>
      <c r="AA147" s="50"/>
      <c r="AB147" s="50"/>
      <c r="AC147" s="50"/>
      <c r="AD147" s="50"/>
      <c r="AE147" s="50"/>
      <c r="AF147" s="50"/>
      <c r="AK147" s="111"/>
      <c r="AL147" s="50"/>
      <c r="AO147" s="46"/>
      <c r="AQ147" s="111"/>
    </row>
    <row r="148" spans="1:43">
      <c r="T148" s="42"/>
      <c r="V148" s="45"/>
      <c r="Y148" s="45"/>
      <c r="Z148" s="326"/>
      <c r="AA148" s="45"/>
      <c r="AB148" s="45"/>
      <c r="AC148" s="46"/>
      <c r="AD148" s="46"/>
      <c r="AE148" s="45"/>
      <c r="AF148" s="45"/>
      <c r="AI148" s="46"/>
      <c r="AJ148" s="46"/>
      <c r="AL148" s="45"/>
      <c r="AO148" s="46"/>
    </row>
    <row r="149" spans="1:43">
      <c r="M149" s="42"/>
      <c r="N149" s="42"/>
      <c r="V149" s="50"/>
      <c r="Y149" s="50"/>
      <c r="Z149" s="326"/>
      <c r="AA149" s="50"/>
      <c r="AB149" s="50"/>
      <c r="AC149" s="50"/>
      <c r="AD149" s="50"/>
      <c r="AE149" s="50"/>
      <c r="AF149" s="50"/>
      <c r="AK149" s="111"/>
      <c r="AL149" s="50"/>
      <c r="AO149" s="46"/>
      <c r="AQ149" s="111"/>
    </row>
    <row r="150" spans="1:43">
      <c r="R150" s="42"/>
      <c r="T150" s="42"/>
      <c r="V150" s="164"/>
      <c r="Y150" s="164"/>
      <c r="Z150" s="326"/>
      <c r="AA150" s="45"/>
      <c r="AB150" s="45"/>
      <c r="AC150" s="46"/>
      <c r="AD150" s="46"/>
      <c r="AE150" s="45"/>
      <c r="AF150" s="45"/>
      <c r="AL150" s="45"/>
      <c r="AO150" s="46"/>
    </row>
    <row r="151" spans="1:43">
      <c r="R151" s="42"/>
    </row>
    <row r="152" spans="1:43">
      <c r="A152" s="42"/>
      <c r="R152" s="42"/>
      <c r="T152" s="42"/>
    </row>
    <row r="153" spans="1:43">
      <c r="M153" s="42"/>
      <c r="N153" s="42"/>
      <c r="T153" s="42"/>
      <c r="V153" s="45"/>
      <c r="Y153" s="164"/>
      <c r="Z153" s="316"/>
      <c r="AA153" s="45"/>
      <c r="AB153" s="45"/>
      <c r="AC153" s="46"/>
      <c r="AD153" s="46"/>
      <c r="AE153" s="45"/>
      <c r="AF153" s="45"/>
      <c r="AG153" s="333"/>
      <c r="AI153" s="334"/>
      <c r="AJ153" s="334"/>
      <c r="AO153" s="335"/>
    </row>
    <row r="154" spans="1:43">
      <c r="A154" s="49"/>
      <c r="B154" s="49"/>
      <c r="C154" s="49"/>
      <c r="D154" s="49"/>
      <c r="E154" s="49"/>
      <c r="F154" s="49"/>
      <c r="G154" s="49"/>
      <c r="H154" s="49"/>
      <c r="J154" s="49"/>
      <c r="K154" s="49"/>
      <c r="L154" s="49"/>
      <c r="M154" s="49"/>
      <c r="N154" s="49"/>
      <c r="O154" s="49"/>
      <c r="P154" s="49"/>
      <c r="Q154" s="49"/>
      <c r="R154" s="49"/>
      <c r="T154" s="42"/>
      <c r="V154" s="45"/>
      <c r="Y154" s="164"/>
      <c r="Z154" s="316"/>
      <c r="AA154" s="45"/>
      <c r="AB154" s="45"/>
      <c r="AC154" s="46"/>
      <c r="AD154" s="46"/>
      <c r="AE154" s="45"/>
      <c r="AF154" s="45"/>
      <c r="AI154" s="51"/>
      <c r="AJ154" s="51"/>
      <c r="AO154" s="46"/>
    </row>
    <row r="155" spans="1:43">
      <c r="M155" s="44"/>
      <c r="N155" s="44"/>
      <c r="O155" s="44"/>
      <c r="P155" s="44"/>
      <c r="R155" s="44"/>
      <c r="T155" s="42"/>
      <c r="V155" s="45"/>
      <c r="Y155" s="164"/>
      <c r="Z155" s="316"/>
      <c r="AA155" s="45"/>
      <c r="AB155" s="45"/>
      <c r="AC155" s="46"/>
      <c r="AD155" s="46"/>
      <c r="AE155" s="45"/>
      <c r="AF155" s="45"/>
      <c r="AI155" s="51"/>
      <c r="AJ155" s="51"/>
      <c r="AO155" s="46"/>
    </row>
    <row r="156" spans="1:43">
      <c r="M156" s="44"/>
      <c r="N156" s="44"/>
      <c r="O156" s="44"/>
      <c r="P156" s="44"/>
      <c r="R156" s="44"/>
      <c r="V156" s="50"/>
      <c r="Y156" s="45"/>
      <c r="Z156" s="326"/>
      <c r="AA156" s="50"/>
      <c r="AB156" s="50"/>
      <c r="AC156" s="50"/>
      <c r="AD156" s="50"/>
      <c r="AE156" s="50"/>
      <c r="AF156" s="50"/>
      <c r="AK156" s="111"/>
      <c r="AL156" s="50"/>
      <c r="AO156" s="46"/>
      <c r="AQ156" s="111"/>
    </row>
    <row r="157" spans="1:43">
      <c r="A157" s="44"/>
      <c r="C157" s="44"/>
      <c r="D157" s="44"/>
      <c r="E157" s="44"/>
      <c r="F157" s="44"/>
      <c r="K157" s="44"/>
      <c r="L157" s="44"/>
      <c r="M157" s="44"/>
      <c r="N157" s="44"/>
      <c r="O157" s="44"/>
      <c r="P157" s="44"/>
      <c r="Q157" s="44"/>
      <c r="R157" s="44"/>
      <c r="T157" s="42"/>
      <c r="V157" s="45"/>
      <c r="Y157" s="45"/>
      <c r="Z157" s="326"/>
      <c r="AA157" s="45"/>
      <c r="AB157" s="45"/>
      <c r="AC157" s="46"/>
      <c r="AD157" s="46"/>
      <c r="AE157" s="45"/>
      <c r="AF157" s="45"/>
      <c r="AI157" s="51"/>
      <c r="AJ157" s="51"/>
      <c r="AL157" s="45"/>
      <c r="AO157" s="46"/>
    </row>
    <row r="158" spans="1:43">
      <c r="A158" s="44"/>
      <c r="C158" s="44"/>
      <c r="D158" s="44"/>
      <c r="E158" s="44"/>
      <c r="F158" s="44"/>
      <c r="H158" s="44"/>
      <c r="J158" s="44"/>
      <c r="K158" s="44"/>
      <c r="L158" s="44"/>
      <c r="M158" s="44"/>
      <c r="N158" s="44"/>
      <c r="O158" s="44"/>
      <c r="P158" s="44"/>
      <c r="Q158" s="44"/>
      <c r="R158" s="44"/>
      <c r="V158" s="50"/>
      <c r="Y158" s="45"/>
      <c r="Z158" s="326"/>
      <c r="AA158" s="50"/>
      <c r="AB158" s="50"/>
      <c r="AC158" s="50"/>
      <c r="AD158" s="50"/>
      <c r="AE158" s="50"/>
      <c r="AF158" s="50"/>
      <c r="AK158" s="111"/>
      <c r="AL158" s="50"/>
      <c r="AO158" s="46"/>
      <c r="AQ158" s="111"/>
    </row>
    <row r="159" spans="1:43">
      <c r="C159" s="44"/>
      <c r="D159" s="44"/>
      <c r="E159" s="44"/>
      <c r="F159" s="44"/>
      <c r="H159" s="44"/>
      <c r="J159" s="44"/>
      <c r="K159" s="44"/>
      <c r="L159" s="44"/>
      <c r="M159" s="44"/>
      <c r="N159" s="44"/>
      <c r="O159" s="44"/>
      <c r="P159" s="44"/>
      <c r="Q159" s="44"/>
      <c r="R159" s="44"/>
      <c r="T159" s="42"/>
      <c r="V159" s="164"/>
      <c r="Y159" s="164"/>
      <c r="Z159" s="336"/>
      <c r="AA159" s="45"/>
      <c r="AB159" s="45"/>
      <c r="AC159" s="46"/>
      <c r="AD159" s="46"/>
      <c r="AE159" s="45"/>
      <c r="AF159" s="45"/>
      <c r="AI159" s="46"/>
      <c r="AJ159" s="46"/>
      <c r="AL159" s="45"/>
      <c r="AO159" s="46"/>
    </row>
    <row r="160" spans="1:43">
      <c r="A160" s="49"/>
      <c r="B160" s="49"/>
      <c r="C160" s="49"/>
      <c r="D160" s="49"/>
      <c r="E160" s="49"/>
      <c r="F160" s="49"/>
      <c r="G160" s="49"/>
      <c r="H160" s="49"/>
      <c r="J160" s="49"/>
      <c r="K160" s="49"/>
      <c r="L160" s="49"/>
      <c r="M160" s="49"/>
      <c r="N160" s="49"/>
      <c r="O160" s="49"/>
      <c r="P160" s="49"/>
      <c r="Q160" s="49"/>
      <c r="R160" s="49"/>
      <c r="T160" s="42"/>
      <c r="V160" s="164"/>
      <c r="Y160" s="45"/>
      <c r="Z160" s="316"/>
      <c r="AA160" s="45"/>
      <c r="AB160" s="45"/>
      <c r="AC160" s="46"/>
      <c r="AD160" s="46"/>
      <c r="AE160" s="45"/>
      <c r="AF160" s="45"/>
      <c r="AI160" s="51"/>
      <c r="AJ160" s="51"/>
      <c r="AL160" s="45"/>
      <c r="AO160" s="46"/>
    </row>
    <row r="161" spans="3:43">
      <c r="H161" s="44"/>
      <c r="J161" s="44"/>
      <c r="K161" s="44"/>
      <c r="L161" s="44"/>
      <c r="M161" s="44"/>
      <c r="N161" s="44"/>
      <c r="O161" s="44"/>
      <c r="P161" s="44"/>
      <c r="Q161" s="44"/>
      <c r="R161" s="44"/>
      <c r="T161" s="42"/>
      <c r="V161" s="164"/>
      <c r="Y161" s="45"/>
      <c r="Z161" s="316"/>
      <c r="AA161" s="45"/>
      <c r="AB161" s="45"/>
      <c r="AC161" s="46"/>
      <c r="AD161" s="46"/>
      <c r="AE161" s="45"/>
      <c r="AF161" s="45"/>
      <c r="AI161" s="51"/>
      <c r="AJ161" s="51"/>
      <c r="AL161" s="45"/>
      <c r="AO161" s="46"/>
    </row>
    <row r="162" spans="3:43">
      <c r="C162" s="42"/>
      <c r="D162" s="42"/>
      <c r="E162" s="42"/>
      <c r="V162" s="45"/>
      <c r="Y162" s="50"/>
      <c r="Z162" s="326"/>
      <c r="AA162" s="50"/>
      <c r="AB162" s="50"/>
      <c r="AC162" s="50"/>
      <c r="AD162" s="50"/>
      <c r="AE162" s="50"/>
      <c r="AF162" s="50"/>
      <c r="AK162" s="111"/>
      <c r="AL162" s="50"/>
      <c r="AO162" s="46"/>
      <c r="AQ162" s="111"/>
    </row>
    <row r="163" spans="3:43">
      <c r="D163" s="42"/>
      <c r="E163" s="42"/>
      <c r="T163" s="42"/>
      <c r="V163" s="45"/>
      <c r="Y163" s="45"/>
      <c r="Z163" s="326"/>
      <c r="AA163" s="45"/>
      <c r="AB163" s="45"/>
      <c r="AC163" s="46"/>
      <c r="AD163" s="46"/>
      <c r="AE163" s="45"/>
      <c r="AF163" s="45"/>
      <c r="AI163" s="51"/>
      <c r="AJ163" s="51"/>
      <c r="AL163" s="45"/>
      <c r="AO163" s="46"/>
    </row>
    <row r="164" spans="3:43">
      <c r="V164" s="45"/>
      <c r="Y164" s="50"/>
      <c r="Z164" s="326"/>
      <c r="AA164" s="50"/>
      <c r="AB164" s="50"/>
      <c r="AC164" s="50"/>
      <c r="AD164" s="50"/>
      <c r="AE164" s="50"/>
      <c r="AF164" s="50"/>
      <c r="AK164" s="111"/>
      <c r="AL164" s="50"/>
      <c r="AO164" s="46"/>
      <c r="AQ164" s="111"/>
    </row>
    <row r="165" spans="3:43">
      <c r="C165" s="42"/>
      <c r="F165" s="164"/>
      <c r="H165" s="164"/>
      <c r="J165" s="164"/>
      <c r="K165" s="316"/>
      <c r="L165" s="316"/>
      <c r="M165" s="45"/>
      <c r="N165" s="45"/>
      <c r="O165" s="46"/>
      <c r="P165" s="46"/>
      <c r="R165" s="45"/>
      <c r="T165" s="42"/>
      <c r="V165" s="45"/>
      <c r="Y165" s="45"/>
      <c r="Z165" s="326"/>
      <c r="AA165" s="45"/>
      <c r="AB165" s="45"/>
      <c r="AC165" s="45"/>
      <c r="AD165" s="45"/>
      <c r="AE165" s="45"/>
      <c r="AF165" s="45"/>
      <c r="AI165" s="51"/>
      <c r="AJ165" s="51"/>
      <c r="AL165" s="45"/>
      <c r="AO165" s="46"/>
    </row>
    <row r="166" spans="3:43">
      <c r="C166" s="42"/>
      <c r="F166" s="164"/>
      <c r="H166" s="164"/>
      <c r="J166" s="164"/>
      <c r="K166" s="316"/>
      <c r="L166" s="316"/>
      <c r="M166" s="45"/>
      <c r="N166" s="45"/>
      <c r="O166" s="46"/>
      <c r="P166" s="46"/>
      <c r="R166" s="45"/>
      <c r="T166" s="42"/>
      <c r="V166" s="45"/>
      <c r="Y166" s="45"/>
      <c r="Z166" s="132"/>
      <c r="AA166" s="45"/>
      <c r="AB166" s="45"/>
      <c r="AC166" s="46"/>
      <c r="AD166" s="46"/>
      <c r="AE166" s="45"/>
      <c r="AF166" s="45"/>
      <c r="AI166" s="51"/>
      <c r="AJ166" s="51"/>
      <c r="AL166" s="45"/>
      <c r="AO166" s="46"/>
    </row>
    <row r="167" spans="3:43">
      <c r="F167" s="50"/>
      <c r="H167" s="45"/>
      <c r="J167" s="45"/>
      <c r="K167" s="326"/>
      <c r="L167" s="326"/>
      <c r="M167" s="50"/>
      <c r="N167" s="50"/>
      <c r="O167" s="50"/>
      <c r="P167" s="50"/>
      <c r="Q167" s="50"/>
      <c r="R167" s="50"/>
      <c r="T167" s="42"/>
      <c r="Y167" s="45"/>
      <c r="Z167" s="132"/>
      <c r="AA167" s="45"/>
      <c r="AB167" s="45"/>
      <c r="AC167" s="46"/>
      <c r="AD167" s="46"/>
      <c r="AE167" s="45"/>
      <c r="AF167" s="45"/>
      <c r="AI167" s="51"/>
      <c r="AJ167" s="51"/>
      <c r="AL167" s="45"/>
      <c r="AO167" s="46"/>
    </row>
    <row r="168" spans="3:43">
      <c r="C168" s="42"/>
      <c r="F168" s="45"/>
      <c r="H168" s="45"/>
      <c r="J168" s="45"/>
      <c r="K168" s="326"/>
      <c r="L168" s="326"/>
      <c r="M168" s="45"/>
      <c r="N168" s="45"/>
      <c r="O168" s="46"/>
      <c r="P168" s="46"/>
      <c r="Q168" s="45"/>
      <c r="R168" s="45"/>
      <c r="V168" s="45"/>
      <c r="Y168" s="45"/>
      <c r="Z168" s="326"/>
      <c r="AA168" s="50"/>
      <c r="AB168" s="50"/>
      <c r="AC168" s="50"/>
      <c r="AD168" s="50"/>
      <c r="AE168" s="50"/>
      <c r="AF168" s="50"/>
      <c r="AK168" s="111"/>
      <c r="AL168" s="50"/>
      <c r="AO168" s="46"/>
      <c r="AQ168" s="111"/>
    </row>
    <row r="169" spans="3:43">
      <c r="F169" s="50"/>
      <c r="H169" s="45"/>
      <c r="J169" s="45"/>
      <c r="K169" s="326"/>
      <c r="L169" s="326"/>
      <c r="M169" s="50"/>
      <c r="N169" s="50"/>
      <c r="O169" s="50"/>
      <c r="P169" s="50"/>
      <c r="Q169" s="50"/>
      <c r="R169" s="50"/>
      <c r="T169" s="42"/>
      <c r="V169" s="45"/>
      <c r="Y169" s="45"/>
      <c r="Z169" s="47"/>
      <c r="AA169" s="45"/>
      <c r="AB169" s="45"/>
      <c r="AC169" s="46"/>
      <c r="AD169" s="46"/>
      <c r="AE169" s="45"/>
      <c r="AF169" s="45"/>
      <c r="AI169" s="51"/>
      <c r="AJ169" s="51"/>
      <c r="AL169" s="45"/>
      <c r="AO169" s="46"/>
    </row>
    <row r="170" spans="3:43">
      <c r="F170" s="45"/>
      <c r="H170" s="45"/>
      <c r="J170" s="45"/>
      <c r="K170" s="326"/>
      <c r="L170" s="326"/>
      <c r="M170" s="45"/>
      <c r="N170" s="45"/>
      <c r="O170" s="46"/>
      <c r="P170" s="46"/>
      <c r="Q170" s="45"/>
      <c r="R170" s="45"/>
      <c r="V170" s="45"/>
      <c r="Y170" s="45"/>
      <c r="Z170" s="326"/>
      <c r="AA170" s="50"/>
      <c r="AB170" s="50"/>
      <c r="AC170" s="50"/>
      <c r="AD170" s="50"/>
      <c r="AE170" s="50"/>
      <c r="AF170" s="50"/>
      <c r="AK170" s="111"/>
      <c r="AL170" s="50"/>
      <c r="AO170" s="46"/>
      <c r="AQ170" s="111"/>
    </row>
    <row r="171" spans="3:43">
      <c r="C171" s="42"/>
      <c r="F171" s="164"/>
      <c r="H171" s="164"/>
      <c r="J171" s="164"/>
      <c r="K171" s="316"/>
      <c r="L171" s="316"/>
      <c r="M171" s="45"/>
      <c r="N171" s="45"/>
      <c r="O171" s="46"/>
      <c r="P171" s="46"/>
      <c r="Q171" s="45"/>
      <c r="R171" s="45"/>
      <c r="T171" s="42"/>
      <c r="V171" s="45"/>
      <c r="Y171" s="45"/>
      <c r="Z171" s="47"/>
      <c r="AA171" s="45"/>
      <c r="AB171" s="45"/>
      <c r="AC171" s="46"/>
      <c r="AD171" s="46"/>
      <c r="AE171" s="45"/>
      <c r="AF171" s="45"/>
      <c r="AI171" s="51"/>
      <c r="AJ171" s="51"/>
      <c r="AL171" s="45"/>
      <c r="AO171" s="46"/>
    </row>
    <row r="172" spans="3:43">
      <c r="C172" s="42"/>
      <c r="F172" s="164"/>
      <c r="H172" s="164"/>
      <c r="J172" s="164"/>
      <c r="K172" s="316"/>
      <c r="L172" s="316"/>
      <c r="M172" s="45"/>
      <c r="N172" s="45"/>
      <c r="O172" s="46"/>
      <c r="P172" s="46"/>
      <c r="Q172" s="45"/>
      <c r="R172" s="45"/>
      <c r="T172" s="42"/>
      <c r="V172" s="164"/>
      <c r="Y172" s="45"/>
      <c r="Z172" s="331"/>
      <c r="AA172" s="45"/>
      <c r="AB172" s="45"/>
      <c r="AC172" s="46"/>
      <c r="AD172" s="46"/>
      <c r="AE172" s="45"/>
      <c r="AF172" s="45"/>
      <c r="AI172" s="51"/>
      <c r="AJ172" s="51"/>
      <c r="AL172" s="45"/>
      <c r="AO172" s="46"/>
    </row>
    <row r="173" spans="3:43">
      <c r="F173" s="45"/>
      <c r="H173" s="50"/>
      <c r="J173" s="50"/>
      <c r="K173" s="326"/>
      <c r="L173" s="326"/>
      <c r="M173" s="50"/>
      <c r="N173" s="50"/>
      <c r="O173" s="50"/>
      <c r="P173" s="50"/>
      <c r="Q173" s="50"/>
      <c r="R173" s="50"/>
      <c r="V173" s="50"/>
      <c r="Y173" s="50"/>
      <c r="Z173" s="326"/>
      <c r="AA173" s="50"/>
      <c r="AB173" s="50"/>
      <c r="AC173" s="50"/>
      <c r="AD173" s="50"/>
      <c r="AE173" s="50"/>
      <c r="AF173" s="50"/>
      <c r="AK173" s="111"/>
      <c r="AL173" s="50"/>
      <c r="AO173" s="46"/>
      <c r="AQ173" s="111"/>
    </row>
    <row r="174" spans="3:43">
      <c r="C174" s="42"/>
      <c r="F174" s="45"/>
      <c r="H174" s="45"/>
      <c r="J174" s="45"/>
      <c r="K174" s="326"/>
      <c r="L174" s="326"/>
      <c r="M174" s="45"/>
      <c r="N174" s="45"/>
      <c r="O174" s="46"/>
      <c r="P174" s="46"/>
      <c r="Q174" s="45"/>
      <c r="R174" s="45"/>
      <c r="T174" s="42"/>
      <c r="V174" s="45"/>
      <c r="Y174" s="45"/>
      <c r="Z174" s="326"/>
      <c r="AA174" s="45"/>
      <c r="AB174" s="45"/>
      <c r="AC174" s="46"/>
      <c r="AD174" s="46"/>
      <c r="AE174" s="45"/>
      <c r="AF174" s="45"/>
      <c r="AI174" s="46"/>
      <c r="AJ174" s="46"/>
      <c r="AL174" s="45"/>
      <c r="AO174" s="46"/>
    </row>
    <row r="175" spans="3:43">
      <c r="F175" s="45"/>
      <c r="H175" s="50"/>
      <c r="J175" s="50"/>
      <c r="K175" s="326"/>
      <c r="L175" s="326"/>
      <c r="M175" s="50"/>
      <c r="N175" s="50"/>
      <c r="O175" s="50"/>
      <c r="P175" s="50"/>
      <c r="Q175" s="50"/>
      <c r="R175" s="50"/>
      <c r="V175" s="50"/>
      <c r="Y175" s="50"/>
      <c r="Z175" s="326"/>
      <c r="AA175" s="50"/>
      <c r="AB175" s="50"/>
      <c r="AC175" s="50"/>
      <c r="AD175" s="50"/>
      <c r="AE175" s="50"/>
      <c r="AF175" s="50"/>
      <c r="AK175" s="111"/>
      <c r="AL175" s="50"/>
      <c r="AO175" s="46"/>
      <c r="AQ175" s="111"/>
    </row>
    <row r="176" spans="3:43">
      <c r="F176" s="45"/>
      <c r="H176" s="45"/>
      <c r="J176" s="45"/>
      <c r="K176" s="326"/>
      <c r="L176" s="326"/>
      <c r="M176" s="45"/>
      <c r="N176" s="45"/>
      <c r="O176" s="45"/>
      <c r="P176" s="45"/>
      <c r="Q176" s="45"/>
      <c r="R176" s="45"/>
      <c r="T176" s="42"/>
    </row>
    <row r="177" spans="1:43">
      <c r="C177" s="42"/>
      <c r="F177" s="164"/>
      <c r="H177" s="164"/>
      <c r="J177" s="164"/>
      <c r="K177" s="331"/>
      <c r="L177" s="331"/>
      <c r="M177" s="45"/>
      <c r="N177" s="45"/>
      <c r="O177" s="46"/>
      <c r="P177" s="46"/>
      <c r="Q177" s="164"/>
      <c r="R177" s="45"/>
      <c r="T177" s="42"/>
      <c r="V177" s="45"/>
      <c r="Y177" s="45"/>
      <c r="AA177" s="45"/>
      <c r="AB177" s="45"/>
      <c r="AC177" s="46"/>
      <c r="AD177" s="46"/>
      <c r="AE177" s="45"/>
      <c r="AF177" s="45"/>
      <c r="AI177" s="46"/>
      <c r="AJ177" s="46"/>
      <c r="AK177" s="333"/>
      <c r="AL177" s="164"/>
      <c r="AO177" s="46"/>
    </row>
    <row r="178" spans="1:43">
      <c r="C178" s="42"/>
      <c r="F178" s="164"/>
      <c r="H178" s="164"/>
      <c r="J178" s="164"/>
      <c r="K178" s="331"/>
      <c r="L178" s="331"/>
      <c r="M178" s="45"/>
      <c r="N178" s="45"/>
      <c r="O178" s="46"/>
      <c r="P178" s="46"/>
      <c r="Q178" s="164"/>
      <c r="R178" s="45"/>
      <c r="V178" s="50"/>
      <c r="Y178" s="50"/>
      <c r="Z178" s="326"/>
      <c r="AA178" s="50"/>
      <c r="AB178" s="50"/>
      <c r="AC178" s="50"/>
      <c r="AD178" s="50"/>
      <c r="AE178" s="50"/>
      <c r="AF178" s="50"/>
      <c r="AK178" s="111"/>
      <c r="AL178" s="50"/>
      <c r="AQ178" s="111"/>
    </row>
    <row r="179" spans="1:43">
      <c r="C179" s="42"/>
      <c r="F179" s="164"/>
      <c r="H179" s="164"/>
      <c r="J179" s="164"/>
      <c r="K179" s="331"/>
      <c r="L179" s="331"/>
      <c r="M179" s="45"/>
      <c r="N179" s="45"/>
      <c r="O179" s="46"/>
      <c r="P179" s="46"/>
      <c r="Q179" s="164"/>
      <c r="R179" s="45"/>
    </row>
    <row r="180" spans="1:43">
      <c r="F180" s="50"/>
      <c r="H180" s="50"/>
      <c r="J180" s="50"/>
      <c r="K180" s="326"/>
      <c r="L180" s="326"/>
      <c r="M180" s="50"/>
      <c r="N180" s="50"/>
      <c r="O180" s="50"/>
      <c r="P180" s="50"/>
      <c r="Q180" s="50"/>
      <c r="R180" s="50"/>
      <c r="T180" s="42"/>
      <c r="AA180" s="45"/>
      <c r="AB180" s="45"/>
      <c r="AC180" s="45"/>
      <c r="AD180" s="45"/>
      <c r="AI180" s="45"/>
      <c r="AJ180" s="45"/>
      <c r="AL180" s="45"/>
    </row>
    <row r="181" spans="1:43">
      <c r="C181" s="42"/>
      <c r="F181" s="45"/>
      <c r="H181" s="45"/>
      <c r="J181" s="45"/>
      <c r="K181" s="47"/>
      <c r="L181" s="47"/>
      <c r="M181" s="45"/>
      <c r="N181" s="45"/>
      <c r="O181" s="46"/>
      <c r="P181" s="46"/>
      <c r="Q181" s="45"/>
      <c r="R181" s="45"/>
    </row>
    <row r="182" spans="1:43">
      <c r="F182" s="50"/>
      <c r="H182" s="50"/>
      <c r="J182" s="50"/>
      <c r="K182" s="326"/>
      <c r="L182" s="326"/>
      <c r="M182" s="50"/>
      <c r="N182" s="50"/>
      <c r="O182" s="50"/>
      <c r="P182" s="50"/>
      <c r="Q182" s="50"/>
      <c r="R182" s="50"/>
    </row>
    <row r="183" spans="1:43">
      <c r="C183" s="42"/>
      <c r="F183" s="45"/>
      <c r="H183" s="45"/>
      <c r="J183" s="45"/>
      <c r="K183" s="47"/>
      <c r="L183" s="47"/>
      <c r="M183" s="45"/>
      <c r="N183" s="45"/>
      <c r="O183" s="46"/>
      <c r="P183" s="46"/>
      <c r="Q183" s="45"/>
      <c r="R183" s="45"/>
      <c r="Y183" s="42"/>
    </row>
    <row r="184" spans="1:43">
      <c r="C184" s="42"/>
      <c r="F184" s="45"/>
      <c r="H184" s="45"/>
      <c r="I184" s="45"/>
      <c r="J184" s="47"/>
      <c r="K184" s="47"/>
      <c r="L184" s="45"/>
      <c r="M184" s="45"/>
      <c r="N184" s="46"/>
      <c r="O184" s="46"/>
      <c r="P184" s="45"/>
      <c r="Q184" s="45"/>
      <c r="R184" s="45"/>
    </row>
    <row r="185" spans="1:43">
      <c r="F185" s="50"/>
      <c r="H185" s="50"/>
      <c r="I185" s="50"/>
      <c r="J185" s="326"/>
      <c r="K185" s="326"/>
      <c r="L185" s="50"/>
      <c r="M185" s="50"/>
      <c r="N185" s="50"/>
      <c r="O185" s="50"/>
      <c r="P185" s="50"/>
      <c r="Q185" s="50"/>
      <c r="R185" s="50"/>
      <c r="AA185" s="42"/>
      <c r="AB185" s="42"/>
    </row>
    <row r="186" spans="1:43">
      <c r="F186" s="45"/>
      <c r="H186" s="45"/>
      <c r="I186" s="45"/>
      <c r="J186" s="47"/>
      <c r="K186" s="47"/>
      <c r="L186" s="45"/>
      <c r="M186" s="45"/>
      <c r="N186" s="45"/>
      <c r="O186" s="45"/>
      <c r="P186" s="45"/>
      <c r="Q186" s="45"/>
      <c r="R186" s="45"/>
      <c r="AK186" s="110"/>
      <c r="AL186" s="42"/>
    </row>
    <row r="187" spans="1:43">
      <c r="C187" s="42"/>
      <c r="F187" s="45"/>
      <c r="H187" s="45"/>
      <c r="I187" s="45"/>
      <c r="J187" s="47"/>
      <c r="K187" s="47"/>
      <c r="L187" s="45"/>
      <c r="M187" s="45"/>
      <c r="N187" s="45"/>
      <c r="O187" s="45"/>
      <c r="P187" s="45"/>
      <c r="Q187" s="45"/>
      <c r="R187" s="45"/>
      <c r="AK187" s="110"/>
      <c r="AL187" s="42"/>
    </row>
    <row r="188" spans="1:43">
      <c r="A188" s="42"/>
      <c r="AK188" s="110"/>
      <c r="AL188" s="42"/>
    </row>
    <row r="190" spans="1:43">
      <c r="H190" s="42"/>
      <c r="I190" s="42"/>
      <c r="Y190" s="42"/>
    </row>
    <row r="192" spans="1:43">
      <c r="L192" s="42"/>
      <c r="M192" s="42"/>
      <c r="AA192" s="42"/>
      <c r="AB192" s="42"/>
    </row>
    <row r="193" spans="1:40">
      <c r="R193" s="42"/>
      <c r="AK193" s="110"/>
      <c r="AL193" s="42"/>
    </row>
    <row r="194" spans="1:40">
      <c r="R194" s="42"/>
      <c r="AK194" s="110"/>
      <c r="AL194" s="42"/>
    </row>
    <row r="195" spans="1:40">
      <c r="A195" s="42"/>
      <c r="R195" s="42"/>
      <c r="AK195" s="110"/>
      <c r="AL195" s="42"/>
    </row>
    <row r="196" spans="1:40">
      <c r="L196" s="42"/>
      <c r="M196" s="42"/>
      <c r="AA196" s="42"/>
      <c r="AB196" s="42"/>
    </row>
    <row r="197" spans="1:40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107"/>
      <c r="AH197" s="49"/>
      <c r="AI197" s="49"/>
      <c r="AJ197" s="49"/>
      <c r="AK197" s="107"/>
      <c r="AL197" s="49"/>
      <c r="AM197" s="49"/>
      <c r="AN197" s="49"/>
    </row>
    <row r="198" spans="1:40">
      <c r="L198" s="44"/>
      <c r="M198" s="44"/>
      <c r="N198" s="44"/>
      <c r="O198" s="44"/>
      <c r="R198" s="44"/>
      <c r="AA198" s="44"/>
      <c r="AB198" s="44"/>
      <c r="AC198" s="44"/>
      <c r="AD198" s="44"/>
      <c r="AE198" s="44"/>
      <c r="AF198" s="44"/>
      <c r="AG198" s="102"/>
      <c r="AH198" s="44"/>
      <c r="AK198" s="102"/>
      <c r="AL198" s="44"/>
      <c r="AM198" s="44"/>
      <c r="AN198" s="44"/>
    </row>
    <row r="199" spans="1:40">
      <c r="L199" s="44"/>
      <c r="M199" s="44"/>
      <c r="N199" s="44"/>
      <c r="O199" s="44"/>
      <c r="R199" s="44"/>
      <c r="Z199" s="44"/>
      <c r="AA199" s="44"/>
      <c r="AB199" s="44"/>
      <c r="AC199" s="44"/>
      <c r="AD199" s="44"/>
      <c r="AE199" s="44"/>
      <c r="AF199" s="44"/>
      <c r="AG199" s="102"/>
      <c r="AH199" s="44"/>
      <c r="AK199" s="102"/>
      <c r="AL199" s="44"/>
      <c r="AM199" s="44"/>
      <c r="AN199" s="44"/>
    </row>
    <row r="200" spans="1:40">
      <c r="A200" s="44"/>
      <c r="C200" s="44"/>
      <c r="D200" s="44"/>
      <c r="E200" s="44"/>
      <c r="F200" s="44"/>
      <c r="J200" s="44"/>
      <c r="K200" s="44"/>
      <c r="L200" s="44"/>
      <c r="M200" s="44"/>
      <c r="N200" s="44"/>
      <c r="O200" s="44"/>
      <c r="P200" s="44"/>
      <c r="Q200" s="44"/>
      <c r="R200" s="44"/>
      <c r="T200" s="44"/>
      <c r="U200" s="44"/>
      <c r="V200" s="44"/>
      <c r="Z200" s="44"/>
      <c r="AA200" s="44"/>
      <c r="AB200" s="44"/>
      <c r="AC200" s="44"/>
      <c r="AD200" s="44"/>
      <c r="AE200" s="44"/>
      <c r="AF200" s="44"/>
      <c r="AG200" s="102"/>
      <c r="AH200" s="44"/>
      <c r="AI200" s="44"/>
      <c r="AJ200" s="44"/>
      <c r="AK200" s="102"/>
      <c r="AL200" s="44"/>
      <c r="AM200" s="44"/>
      <c r="AN200" s="44"/>
    </row>
    <row r="201" spans="1:40">
      <c r="A201" s="44"/>
      <c r="C201" s="44"/>
      <c r="D201" s="44"/>
      <c r="E201" s="44"/>
      <c r="F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T201" s="44"/>
      <c r="U201" s="44"/>
      <c r="V201" s="44"/>
      <c r="Y201" s="44"/>
      <c r="Z201" s="44"/>
      <c r="AA201" s="44"/>
      <c r="AB201" s="44"/>
      <c r="AC201" s="44"/>
      <c r="AD201" s="44"/>
      <c r="AE201" s="44"/>
      <c r="AF201" s="44"/>
      <c r="AG201" s="102"/>
      <c r="AH201" s="44"/>
      <c r="AI201" s="44"/>
      <c r="AJ201" s="44"/>
      <c r="AK201" s="102"/>
      <c r="AL201" s="44"/>
      <c r="AM201" s="44"/>
      <c r="AN201" s="44"/>
    </row>
    <row r="202" spans="1:40">
      <c r="C202" s="44"/>
      <c r="D202" s="44"/>
      <c r="E202" s="44"/>
      <c r="F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T202" s="44"/>
      <c r="U202" s="44"/>
      <c r="V202" s="44"/>
      <c r="Y202" s="44"/>
      <c r="Z202" s="44"/>
      <c r="AA202" s="44"/>
      <c r="AB202" s="44"/>
      <c r="AC202" s="44"/>
      <c r="AD202" s="44"/>
      <c r="AE202" s="44"/>
      <c r="AF202" s="44"/>
      <c r="AG202" s="102"/>
      <c r="AH202" s="44"/>
      <c r="AI202" s="44"/>
      <c r="AJ202" s="44"/>
      <c r="AK202" s="102"/>
      <c r="AL202" s="44"/>
      <c r="AM202" s="44"/>
      <c r="AN202" s="44"/>
    </row>
    <row r="203" spans="1:40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107"/>
      <c r="AH203" s="49"/>
      <c r="AI203" s="49"/>
      <c r="AJ203" s="49"/>
      <c r="AK203" s="107"/>
      <c r="AL203" s="49"/>
      <c r="AM203" s="49"/>
      <c r="AN203" s="49"/>
    </row>
    <row r="204" spans="1:40"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Y204" s="44"/>
      <c r="Z204" s="44"/>
      <c r="AA204" s="44"/>
      <c r="AB204" s="44"/>
      <c r="AC204" s="44"/>
      <c r="AD204" s="44"/>
      <c r="AE204" s="44"/>
      <c r="AF204" s="44"/>
      <c r="AG204" s="102"/>
      <c r="AH204" s="44"/>
      <c r="AI204" s="44"/>
      <c r="AJ204" s="44"/>
      <c r="AK204" s="102"/>
      <c r="AL204" s="44"/>
      <c r="AM204" s="44"/>
      <c r="AN204" s="44"/>
    </row>
    <row r="205" spans="1:40">
      <c r="C205" s="42"/>
      <c r="D205" s="42"/>
      <c r="E205" s="42"/>
      <c r="T205" s="42"/>
      <c r="U205" s="42"/>
    </row>
    <row r="207" spans="1:40">
      <c r="C207" s="42"/>
      <c r="F207" s="164"/>
      <c r="H207" s="329"/>
      <c r="I207" s="329"/>
      <c r="J207" s="316"/>
      <c r="K207" s="316"/>
      <c r="L207" s="45"/>
      <c r="M207" s="45"/>
      <c r="R207" s="45"/>
      <c r="T207" s="42"/>
      <c r="V207" s="45"/>
      <c r="Z207" s="316"/>
      <c r="AA207" s="45"/>
      <c r="AB207" s="45"/>
      <c r="AE207" s="45"/>
      <c r="AF207" s="45"/>
      <c r="AG207" s="333"/>
      <c r="AH207" s="334"/>
      <c r="AI207" s="45"/>
      <c r="AJ207" s="45"/>
      <c r="AL207" s="45"/>
      <c r="AM207" s="335"/>
      <c r="AN207" s="335"/>
    </row>
    <row r="208" spans="1:40">
      <c r="F208" s="164"/>
      <c r="H208" s="329"/>
      <c r="I208" s="329"/>
      <c r="J208" s="329"/>
      <c r="K208" s="329"/>
      <c r="R208" s="45"/>
      <c r="V208" s="45"/>
      <c r="Z208" s="329"/>
    </row>
    <row r="209" spans="3:40">
      <c r="C209" s="42"/>
      <c r="F209" s="164"/>
      <c r="H209" s="164"/>
      <c r="I209" s="164"/>
      <c r="J209" s="331"/>
      <c r="K209" s="331"/>
      <c r="L209" s="45"/>
      <c r="M209" s="45"/>
      <c r="N209" s="46"/>
      <c r="O209" s="46"/>
      <c r="P209" s="164"/>
      <c r="Q209" s="164"/>
      <c r="R209" s="45"/>
      <c r="T209" s="42"/>
      <c r="V209" s="45"/>
      <c r="Y209" s="45"/>
      <c r="Z209" s="325"/>
      <c r="AA209" s="45"/>
      <c r="AB209" s="45"/>
      <c r="AC209" s="46"/>
      <c r="AD209" s="46"/>
      <c r="AE209" s="45"/>
      <c r="AF209" s="45"/>
      <c r="AH209" s="51"/>
      <c r="AI209" s="164"/>
      <c r="AJ209" s="164"/>
      <c r="AL209" s="45"/>
      <c r="AM209" s="46"/>
      <c r="AN209" s="46"/>
    </row>
    <row r="210" spans="3:40">
      <c r="F210" s="50"/>
      <c r="H210" s="50"/>
      <c r="I210" s="50"/>
      <c r="J210" s="326"/>
      <c r="K210" s="326"/>
      <c r="L210" s="50"/>
      <c r="M210" s="50"/>
      <c r="N210" s="50"/>
      <c r="O210" s="50"/>
      <c r="P210" s="50"/>
      <c r="Q210" s="50"/>
      <c r="R210" s="50"/>
      <c r="V210" s="50"/>
      <c r="Y210" s="50"/>
      <c r="Z210" s="326"/>
      <c r="AA210" s="50"/>
      <c r="AB210" s="50"/>
      <c r="AC210" s="50"/>
      <c r="AD210" s="50"/>
      <c r="AE210" s="50"/>
      <c r="AF210" s="50"/>
      <c r="AI210" s="50"/>
      <c r="AJ210" s="50"/>
      <c r="AK210" s="111"/>
      <c r="AL210" s="50"/>
    </row>
    <row r="211" spans="3:40">
      <c r="D211" s="42"/>
      <c r="E211" s="42"/>
      <c r="F211" s="45"/>
      <c r="H211" s="45"/>
      <c r="I211" s="45"/>
      <c r="J211" s="47"/>
      <c r="K211" s="47"/>
      <c r="L211" s="45"/>
      <c r="M211" s="45"/>
      <c r="N211" s="46"/>
      <c r="O211" s="46"/>
      <c r="P211" s="45"/>
      <c r="Q211" s="45"/>
      <c r="R211" s="45"/>
      <c r="U211" s="42"/>
      <c r="V211" s="45"/>
      <c r="Y211" s="45"/>
      <c r="Z211" s="47"/>
      <c r="AA211" s="45"/>
      <c r="AB211" s="45"/>
      <c r="AC211" s="46"/>
      <c r="AD211" s="46"/>
      <c r="AE211" s="45"/>
      <c r="AF211" s="45"/>
      <c r="AH211" s="51"/>
      <c r="AI211" s="45"/>
      <c r="AJ211" s="45"/>
      <c r="AL211" s="45"/>
      <c r="AM211" s="46"/>
      <c r="AN211" s="46"/>
    </row>
    <row r="212" spans="3:40">
      <c r="F212" s="50"/>
      <c r="H212" s="50"/>
      <c r="I212" s="50"/>
      <c r="J212" s="326"/>
      <c r="K212" s="326"/>
      <c r="L212" s="50"/>
      <c r="M212" s="50"/>
      <c r="N212" s="50"/>
      <c r="O212" s="50"/>
      <c r="P212" s="50"/>
      <c r="Q212" s="50"/>
      <c r="R212" s="50"/>
      <c r="V212" s="50"/>
      <c r="Y212" s="50"/>
      <c r="Z212" s="326"/>
      <c r="AA212" s="50"/>
      <c r="AB212" s="50"/>
      <c r="AC212" s="50"/>
      <c r="AD212" s="50"/>
      <c r="AE212" s="50"/>
      <c r="AF212" s="50"/>
      <c r="AI212" s="50"/>
      <c r="AJ212" s="50"/>
      <c r="AK212" s="111"/>
      <c r="AL212" s="50"/>
    </row>
    <row r="213" spans="3:40">
      <c r="R213" s="45"/>
    </row>
    <row r="214" spans="3:40">
      <c r="R214" s="45"/>
    </row>
    <row r="215" spans="3:40">
      <c r="R215" s="45"/>
    </row>
    <row r="216" spans="3:40">
      <c r="C216" s="42"/>
      <c r="D216" s="42"/>
      <c r="E216" s="42"/>
      <c r="H216" s="45"/>
      <c r="I216" s="45"/>
      <c r="J216" s="47"/>
      <c r="K216" s="47"/>
      <c r="L216" s="45"/>
      <c r="M216" s="45"/>
      <c r="N216" s="46"/>
      <c r="O216" s="46"/>
      <c r="P216" s="45"/>
      <c r="Q216" s="45"/>
      <c r="R216" s="45"/>
      <c r="T216" s="42"/>
      <c r="U216" s="42"/>
      <c r="Y216" s="45"/>
      <c r="Z216" s="47"/>
      <c r="AA216" s="45"/>
      <c r="AB216" s="45"/>
      <c r="AC216" s="46"/>
      <c r="AD216" s="46"/>
    </row>
    <row r="217" spans="3:40">
      <c r="H217" s="45"/>
      <c r="I217" s="45"/>
      <c r="J217" s="47"/>
      <c r="K217" s="47"/>
      <c r="L217" s="45"/>
      <c r="M217" s="45"/>
      <c r="N217" s="46"/>
      <c r="O217" s="46"/>
      <c r="P217" s="45"/>
      <c r="Q217" s="45"/>
      <c r="R217" s="45"/>
      <c r="Y217" s="45"/>
      <c r="Z217" s="47"/>
      <c r="AA217" s="45"/>
      <c r="AB217" s="45"/>
      <c r="AC217" s="46"/>
      <c r="AD217" s="46"/>
    </row>
    <row r="218" spans="3:40">
      <c r="C218" s="42"/>
      <c r="F218" s="164"/>
      <c r="H218" s="164"/>
      <c r="I218" s="164"/>
      <c r="J218" s="52"/>
      <c r="K218" s="52"/>
      <c r="L218" s="164"/>
      <c r="M218" s="164"/>
      <c r="N218" s="46"/>
      <c r="O218" s="46"/>
      <c r="P218" s="45"/>
      <c r="Q218" s="45"/>
      <c r="R218" s="45"/>
      <c r="T218" s="42"/>
      <c r="V218" s="45"/>
      <c r="Y218" s="45"/>
      <c r="Z218" s="52"/>
      <c r="AA218" s="45"/>
      <c r="AB218" s="45"/>
      <c r="AC218" s="46"/>
      <c r="AD218" s="46"/>
      <c r="AE218" s="45"/>
      <c r="AF218" s="45"/>
      <c r="AH218" s="51"/>
      <c r="AI218" s="45"/>
      <c r="AJ218" s="45"/>
      <c r="AL218" s="45"/>
      <c r="AM218" s="46"/>
      <c r="AN218" s="46"/>
    </row>
    <row r="219" spans="3:40">
      <c r="F219" s="164"/>
      <c r="H219" s="329"/>
      <c r="I219" s="329"/>
      <c r="J219" s="329"/>
      <c r="K219" s="329"/>
      <c r="R219" s="45"/>
      <c r="V219" s="45"/>
      <c r="Z219" s="329"/>
    </row>
    <row r="220" spans="3:40">
      <c r="C220" s="42"/>
      <c r="F220" s="164"/>
      <c r="H220" s="164"/>
      <c r="I220" s="164"/>
      <c r="J220" s="316"/>
      <c r="K220" s="316"/>
      <c r="L220" s="45"/>
      <c r="M220" s="45"/>
      <c r="N220" s="46"/>
      <c r="O220" s="46"/>
      <c r="P220" s="45"/>
      <c r="Q220" s="45"/>
      <c r="R220" s="45"/>
      <c r="T220" s="42"/>
      <c r="V220" s="45"/>
      <c r="Y220" s="45"/>
      <c r="Z220" s="316"/>
      <c r="AA220" s="45"/>
      <c r="AB220" s="45"/>
      <c r="AC220" s="46"/>
      <c r="AD220" s="46"/>
      <c r="AE220" s="45"/>
      <c r="AF220" s="45"/>
      <c r="AH220" s="51"/>
      <c r="AI220" s="45"/>
      <c r="AJ220" s="45"/>
      <c r="AL220" s="45"/>
      <c r="AM220" s="46"/>
      <c r="AN220" s="46"/>
    </row>
    <row r="221" spans="3:40">
      <c r="F221" s="164"/>
      <c r="H221" s="329"/>
      <c r="I221" s="329"/>
      <c r="J221" s="329"/>
      <c r="K221" s="329"/>
      <c r="R221" s="45"/>
      <c r="V221" s="45"/>
      <c r="Z221" s="329"/>
    </row>
    <row r="222" spans="3:40">
      <c r="C222" s="42"/>
      <c r="F222" s="164"/>
      <c r="H222" s="164"/>
      <c r="I222" s="164"/>
      <c r="J222" s="331"/>
      <c r="K222" s="331"/>
      <c r="L222" s="45"/>
      <c r="M222" s="45"/>
      <c r="N222" s="46"/>
      <c r="O222" s="46"/>
      <c r="P222" s="45"/>
      <c r="Q222" s="45"/>
      <c r="R222" s="45"/>
      <c r="T222" s="42"/>
      <c r="V222" s="45"/>
      <c r="Y222" s="45"/>
      <c r="Z222" s="325"/>
      <c r="AA222" s="45"/>
      <c r="AB222" s="45"/>
      <c r="AC222" s="46"/>
      <c r="AD222" s="46"/>
      <c r="AE222" s="45"/>
      <c r="AF222" s="45"/>
      <c r="AH222" s="51"/>
      <c r="AI222" s="45"/>
      <c r="AJ222" s="45"/>
      <c r="AL222" s="45"/>
      <c r="AM222" s="46"/>
      <c r="AN222" s="46"/>
    </row>
    <row r="223" spans="3:40">
      <c r="F223" s="50"/>
      <c r="H223" s="50"/>
      <c r="I223" s="50"/>
      <c r="J223" s="326"/>
      <c r="K223" s="326"/>
      <c r="L223" s="50"/>
      <c r="M223" s="50"/>
      <c r="N223" s="50"/>
      <c r="O223" s="50"/>
      <c r="P223" s="50"/>
      <c r="Q223" s="50"/>
      <c r="R223" s="50"/>
      <c r="S223" s="45"/>
      <c r="V223" s="50"/>
      <c r="Y223" s="50"/>
      <c r="Z223" s="326"/>
      <c r="AA223" s="50"/>
      <c r="AB223" s="50"/>
      <c r="AC223" s="50"/>
      <c r="AD223" s="50"/>
      <c r="AE223" s="50"/>
      <c r="AF223" s="50"/>
      <c r="AI223" s="50"/>
      <c r="AJ223" s="50"/>
      <c r="AK223" s="111"/>
      <c r="AL223" s="50"/>
    </row>
    <row r="224" spans="3:40">
      <c r="D224" s="42"/>
      <c r="E224" s="42"/>
      <c r="F224" s="45"/>
      <c r="H224" s="45"/>
      <c r="I224" s="45"/>
      <c r="J224" s="47"/>
      <c r="K224" s="47"/>
      <c r="L224" s="45"/>
      <c r="M224" s="45"/>
      <c r="N224" s="46"/>
      <c r="O224" s="46"/>
      <c r="P224" s="164"/>
      <c r="Q224" s="164"/>
      <c r="R224" s="45"/>
      <c r="S224" s="45"/>
      <c r="U224" s="42"/>
      <c r="V224" s="45"/>
      <c r="Y224" s="45"/>
      <c r="Z224" s="47"/>
      <c r="AA224" s="45"/>
      <c r="AB224" s="45"/>
      <c r="AC224" s="46"/>
      <c r="AD224" s="46"/>
      <c r="AE224" s="45"/>
      <c r="AF224" s="45"/>
      <c r="AH224" s="51"/>
      <c r="AI224" s="164"/>
      <c r="AJ224" s="164"/>
      <c r="AL224" s="45"/>
      <c r="AM224" s="46"/>
      <c r="AN224" s="46"/>
    </row>
    <row r="225" spans="1:40">
      <c r="F225" s="50"/>
      <c r="H225" s="50"/>
      <c r="I225" s="50"/>
      <c r="J225" s="326"/>
      <c r="K225" s="326"/>
      <c r="L225" s="50"/>
      <c r="M225" s="50"/>
      <c r="N225" s="50"/>
      <c r="O225" s="50"/>
      <c r="P225" s="50"/>
      <c r="Q225" s="50"/>
      <c r="R225" s="50"/>
      <c r="S225" s="45"/>
      <c r="V225" s="50"/>
      <c r="Y225" s="50"/>
      <c r="Z225" s="326"/>
      <c r="AA225" s="50"/>
      <c r="AB225" s="50"/>
      <c r="AC225" s="50"/>
      <c r="AD225" s="50"/>
      <c r="AE225" s="50"/>
      <c r="AF225" s="50"/>
      <c r="AI225" s="50"/>
      <c r="AJ225" s="50"/>
      <c r="AK225" s="111"/>
      <c r="AL225" s="50"/>
    </row>
    <row r="226" spans="1:40">
      <c r="R226" s="45"/>
    </row>
    <row r="227" spans="1:40">
      <c r="F227" s="45"/>
      <c r="H227" s="45"/>
      <c r="I227" s="45"/>
      <c r="J227" s="47"/>
      <c r="K227" s="47"/>
      <c r="L227" s="45"/>
      <c r="M227" s="45"/>
      <c r="N227" s="45"/>
      <c r="O227" s="45"/>
      <c r="P227" s="45"/>
      <c r="Q227" s="45"/>
      <c r="R227" s="45"/>
      <c r="V227" s="45"/>
      <c r="Y227" s="45"/>
      <c r="Z227" s="47"/>
      <c r="AA227" s="45"/>
      <c r="AB227" s="45"/>
      <c r="AC227" s="45"/>
      <c r="AD227" s="45"/>
    </row>
    <row r="228" spans="1:40">
      <c r="C228" s="42"/>
      <c r="F228" s="45"/>
      <c r="H228" s="45"/>
      <c r="I228" s="45"/>
      <c r="J228" s="47"/>
      <c r="K228" s="47"/>
      <c r="L228" s="45"/>
      <c r="M228" s="45"/>
      <c r="N228" s="45"/>
      <c r="O228" s="45"/>
      <c r="P228" s="45"/>
      <c r="Q228" s="45"/>
      <c r="R228" s="45"/>
      <c r="T228" s="42"/>
      <c r="V228" s="45"/>
      <c r="Y228" s="45"/>
      <c r="Z228" s="47"/>
      <c r="AA228" s="45"/>
      <c r="AB228" s="45"/>
      <c r="AC228" s="45"/>
      <c r="AD228" s="45"/>
    </row>
    <row r="229" spans="1:40">
      <c r="C229" s="42"/>
      <c r="T229" s="42"/>
    </row>
    <row r="230" spans="1:40">
      <c r="A230" s="42"/>
    </row>
    <row r="233" spans="1:40">
      <c r="H233" s="42"/>
      <c r="I233" s="42"/>
      <c r="Y233" s="42"/>
    </row>
    <row r="235" spans="1:40">
      <c r="L235" s="42"/>
      <c r="M235" s="42"/>
      <c r="AA235" s="42"/>
      <c r="AB235" s="42"/>
    </row>
    <row r="236" spans="1:40">
      <c r="R236" s="42"/>
      <c r="AK236" s="110"/>
      <c r="AL236" s="42"/>
    </row>
    <row r="237" spans="1:40">
      <c r="R237" s="42"/>
      <c r="AK237" s="110"/>
      <c r="AL237" s="42"/>
    </row>
    <row r="238" spans="1:40">
      <c r="A238" s="42"/>
      <c r="R238" s="42"/>
      <c r="AK238" s="110"/>
      <c r="AL238" s="42"/>
    </row>
    <row r="239" spans="1:40">
      <c r="L239" s="42"/>
      <c r="M239" s="42"/>
      <c r="AA239" s="42"/>
      <c r="AB239" s="42"/>
    </row>
    <row r="240" spans="1:40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107"/>
      <c r="AH240" s="49"/>
      <c r="AI240" s="49"/>
      <c r="AJ240" s="49"/>
      <c r="AK240" s="107"/>
      <c r="AL240" s="49"/>
      <c r="AM240" s="49"/>
      <c r="AN240" s="49"/>
    </row>
    <row r="241" spans="1:40">
      <c r="L241" s="44"/>
      <c r="M241" s="44"/>
      <c r="N241" s="44"/>
      <c r="O241" s="44"/>
      <c r="R241" s="44"/>
      <c r="AA241" s="44"/>
      <c r="AB241" s="44"/>
      <c r="AC241" s="44"/>
      <c r="AD241" s="44"/>
      <c r="AE241" s="44"/>
      <c r="AF241" s="44"/>
      <c r="AG241" s="102"/>
      <c r="AH241" s="44"/>
      <c r="AK241" s="102"/>
      <c r="AL241" s="44"/>
      <c r="AM241" s="44"/>
      <c r="AN241" s="44"/>
    </row>
    <row r="242" spans="1:40">
      <c r="L242" s="44"/>
      <c r="M242" s="44"/>
      <c r="N242" s="44"/>
      <c r="O242" s="44"/>
      <c r="R242" s="44"/>
      <c r="Z242" s="44"/>
      <c r="AA242" s="44"/>
      <c r="AB242" s="44"/>
      <c r="AC242" s="44"/>
      <c r="AD242" s="44"/>
      <c r="AE242" s="44"/>
      <c r="AF242" s="44"/>
      <c r="AG242" s="102"/>
      <c r="AH242" s="44"/>
      <c r="AK242" s="102"/>
      <c r="AL242" s="44"/>
      <c r="AM242" s="44"/>
      <c r="AN242" s="44"/>
    </row>
    <row r="243" spans="1:40">
      <c r="A243" s="44"/>
      <c r="C243" s="44"/>
      <c r="D243" s="44"/>
      <c r="E243" s="44"/>
      <c r="F243" s="44"/>
      <c r="J243" s="44"/>
      <c r="K243" s="44"/>
      <c r="L243" s="44"/>
      <c r="M243" s="44"/>
      <c r="N243" s="44"/>
      <c r="O243" s="44"/>
      <c r="P243" s="44"/>
      <c r="Q243" s="44"/>
      <c r="R243" s="44"/>
      <c r="T243" s="44"/>
      <c r="U243" s="44"/>
      <c r="V243" s="44"/>
      <c r="Z243" s="44"/>
      <c r="AA243" s="44"/>
      <c r="AB243" s="44"/>
      <c r="AC243" s="44"/>
      <c r="AD243" s="44"/>
      <c r="AE243" s="44"/>
      <c r="AF243" s="44"/>
      <c r="AG243" s="102"/>
      <c r="AH243" s="44"/>
      <c r="AI243" s="44"/>
      <c r="AJ243" s="44"/>
      <c r="AK243" s="102"/>
      <c r="AL243" s="44"/>
      <c r="AM243" s="44"/>
      <c r="AN243" s="44"/>
    </row>
    <row r="244" spans="1:40">
      <c r="A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T244" s="44"/>
      <c r="U244" s="44"/>
      <c r="V244" s="44"/>
      <c r="Y244" s="44"/>
      <c r="Z244" s="44"/>
      <c r="AA244" s="44"/>
      <c r="AB244" s="44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</row>
    <row r="245" spans="1:40"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T245" s="44"/>
      <c r="U245" s="44"/>
      <c r="V245" s="44"/>
      <c r="Y245" s="44"/>
      <c r="Z245" s="44"/>
      <c r="AA245" s="44"/>
      <c r="AB245" s="44"/>
      <c r="AC245" s="44"/>
      <c r="AD245" s="44"/>
      <c r="AE245" s="44"/>
      <c r="AF245" s="44"/>
      <c r="AG245" s="102"/>
      <c r="AH245" s="44"/>
      <c r="AI245" s="44"/>
      <c r="AJ245" s="44"/>
      <c r="AK245" s="102"/>
      <c r="AL245" s="44"/>
      <c r="AM245" s="44"/>
      <c r="AN245" s="44"/>
    </row>
    <row r="246" spans="1:40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107"/>
      <c r="AH246" s="49"/>
      <c r="AI246" s="49"/>
      <c r="AJ246" s="49"/>
      <c r="AK246" s="107"/>
      <c r="AL246" s="49"/>
      <c r="AM246" s="49"/>
      <c r="AN246" s="49"/>
    </row>
    <row r="247" spans="1:40"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Y247" s="44"/>
      <c r="Z247" s="44"/>
      <c r="AA247" s="44"/>
      <c r="AB247" s="44"/>
      <c r="AC247" s="44"/>
      <c r="AD247" s="44"/>
      <c r="AE247" s="44"/>
      <c r="AF247" s="44"/>
      <c r="AG247" s="102"/>
      <c r="AH247" s="44"/>
      <c r="AI247" s="44"/>
      <c r="AJ247" s="44"/>
      <c r="AK247" s="102"/>
      <c r="AL247" s="44"/>
      <c r="AM247" s="44"/>
      <c r="AN247" s="44"/>
    </row>
    <row r="248" spans="1:40">
      <c r="C248" s="42"/>
      <c r="D248" s="42"/>
      <c r="E248" s="42"/>
      <c r="T248" s="42"/>
      <c r="U248" s="42"/>
    </row>
    <row r="249" spans="1:40">
      <c r="D249" s="42"/>
      <c r="E249" s="42"/>
      <c r="U249" s="42"/>
    </row>
    <row r="251" spans="1:40">
      <c r="C251" s="42"/>
      <c r="F251" s="45"/>
      <c r="J251" s="53"/>
      <c r="K251" s="53"/>
      <c r="L251" s="45"/>
      <c r="M251" s="45"/>
      <c r="R251" s="45"/>
      <c r="T251" s="42"/>
      <c r="V251" s="45"/>
      <c r="Z251" s="53"/>
      <c r="AA251" s="45"/>
      <c r="AB251" s="45"/>
      <c r="AL251" s="45"/>
    </row>
    <row r="252" spans="1:40">
      <c r="F252" s="45"/>
      <c r="R252" s="45"/>
      <c r="V252" s="45"/>
      <c r="AL252" s="45"/>
    </row>
    <row r="253" spans="1:40">
      <c r="C253" s="42"/>
      <c r="F253" s="164"/>
      <c r="H253" s="164"/>
      <c r="I253" s="164"/>
      <c r="J253" s="316"/>
      <c r="K253" s="316"/>
      <c r="L253" s="45"/>
      <c r="M253" s="45"/>
      <c r="N253" s="46"/>
      <c r="O253" s="46"/>
      <c r="P253" s="45"/>
      <c r="Q253" s="45"/>
      <c r="R253" s="45"/>
      <c r="T253" s="42"/>
      <c r="V253" s="45"/>
      <c r="Y253" s="45"/>
      <c r="Z253" s="316"/>
      <c r="AA253" s="45"/>
      <c r="AB253" s="45"/>
      <c r="AC253" s="46"/>
      <c r="AD253" s="46"/>
      <c r="AE253" s="45"/>
      <c r="AF253" s="45"/>
      <c r="AH253" s="51"/>
      <c r="AI253" s="45"/>
      <c r="AJ253" s="45"/>
      <c r="AL253" s="45"/>
      <c r="AM253" s="46"/>
      <c r="AN253" s="46"/>
    </row>
    <row r="254" spans="1:40">
      <c r="C254" s="42"/>
      <c r="F254" s="164"/>
      <c r="H254" s="329"/>
      <c r="I254" s="329"/>
      <c r="J254" s="316"/>
      <c r="K254" s="316"/>
      <c r="L254" s="45"/>
      <c r="M254" s="45"/>
      <c r="N254" s="46"/>
      <c r="O254" s="46"/>
      <c r="P254" s="45"/>
      <c r="Q254" s="45"/>
      <c r="R254" s="45"/>
      <c r="T254" s="42"/>
      <c r="V254" s="45"/>
      <c r="Y254" s="45"/>
      <c r="Z254" s="316"/>
      <c r="AA254" s="45"/>
      <c r="AB254" s="45"/>
      <c r="AC254" s="46"/>
      <c r="AD254" s="46"/>
      <c r="AE254" s="45"/>
      <c r="AF254" s="45"/>
      <c r="AH254" s="51"/>
      <c r="AI254" s="45"/>
      <c r="AJ254" s="45"/>
      <c r="AL254" s="45"/>
      <c r="AM254" s="46"/>
      <c r="AN254" s="46"/>
    </row>
    <row r="255" spans="1:40">
      <c r="F255" s="50"/>
      <c r="H255" s="45"/>
      <c r="I255" s="45"/>
      <c r="J255" s="326"/>
      <c r="K255" s="326"/>
      <c r="L255" s="50"/>
      <c r="M255" s="50"/>
      <c r="N255" s="50"/>
      <c r="O255" s="50"/>
      <c r="P255" s="50"/>
      <c r="Q255" s="50"/>
      <c r="R255" s="50"/>
      <c r="V255" s="50"/>
      <c r="Y255" s="45"/>
      <c r="Z255" s="326"/>
      <c r="AA255" s="50"/>
      <c r="AB255" s="50"/>
      <c r="AC255" s="50"/>
      <c r="AD255" s="50"/>
      <c r="AE255" s="50"/>
      <c r="AF255" s="50"/>
      <c r="AI255" s="50"/>
      <c r="AJ255" s="50"/>
      <c r="AK255" s="111"/>
      <c r="AL255" s="50"/>
    </row>
    <row r="256" spans="1:40">
      <c r="C256" s="42"/>
      <c r="F256" s="45"/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T256" s="42"/>
      <c r="V256" s="45"/>
      <c r="Y256" s="45"/>
      <c r="Z256" s="47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1:40">
      <c r="F257" s="50"/>
      <c r="H257" s="45"/>
      <c r="I257" s="45"/>
      <c r="J257" s="326"/>
      <c r="K257" s="326"/>
      <c r="L257" s="50"/>
      <c r="M257" s="50"/>
      <c r="N257" s="50"/>
      <c r="O257" s="50"/>
      <c r="P257" s="50"/>
      <c r="Q257" s="50"/>
      <c r="R257" s="50"/>
      <c r="V257" s="50"/>
      <c r="Y257" s="45"/>
      <c r="Z257" s="326"/>
      <c r="AA257" s="50"/>
      <c r="AB257" s="50"/>
      <c r="AC257" s="50"/>
      <c r="AD257" s="50"/>
      <c r="AE257" s="50"/>
      <c r="AF257" s="50"/>
      <c r="AI257" s="50"/>
      <c r="AJ257" s="50"/>
      <c r="AK257" s="111"/>
      <c r="AL257" s="50"/>
    </row>
    <row r="258" spans="1:40">
      <c r="F258" s="45"/>
      <c r="R258" s="45"/>
      <c r="V258" s="45"/>
      <c r="AL258" s="45"/>
    </row>
    <row r="259" spans="1:40">
      <c r="C259" s="42"/>
      <c r="F259" s="45"/>
      <c r="R259" s="45"/>
      <c r="T259" s="42"/>
      <c r="V259" s="45"/>
      <c r="AL259" s="45"/>
    </row>
    <row r="260" spans="1:40">
      <c r="F260" s="45"/>
      <c r="R260" s="45"/>
      <c r="V260" s="45"/>
      <c r="AL260" s="45"/>
    </row>
    <row r="261" spans="1:40">
      <c r="C261" s="42"/>
      <c r="F261" s="45"/>
      <c r="H261" s="164"/>
      <c r="I261" s="164"/>
      <c r="J261" s="331"/>
      <c r="K261" s="331"/>
      <c r="L261" s="45"/>
      <c r="M261" s="45"/>
      <c r="N261" s="46"/>
      <c r="O261" s="46"/>
      <c r="P261" s="164"/>
      <c r="Q261" s="164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164"/>
      <c r="AJ261" s="164"/>
      <c r="AL261" s="45"/>
      <c r="AM261" s="46"/>
      <c r="AN261" s="46"/>
    </row>
    <row r="262" spans="1:40">
      <c r="F262" s="50"/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</row>
    <row r="264" spans="1:40">
      <c r="C264" s="42"/>
      <c r="F264" s="45"/>
      <c r="H264" s="45"/>
      <c r="I264" s="45"/>
      <c r="J264" s="53"/>
      <c r="K264" s="53"/>
      <c r="L264" s="45"/>
      <c r="M264" s="45"/>
      <c r="N264" s="46"/>
      <c r="O264" s="46"/>
      <c r="P264" s="45"/>
      <c r="Q264" s="45"/>
      <c r="R264" s="45"/>
      <c r="T264" s="42"/>
      <c r="V264" s="45"/>
      <c r="Y264" s="45"/>
      <c r="Z264" s="53"/>
      <c r="AA264" s="45"/>
      <c r="AB264" s="45"/>
      <c r="AC264" s="46"/>
      <c r="AD264" s="46"/>
      <c r="AE264" s="45"/>
      <c r="AF264" s="45"/>
      <c r="AH264" s="51"/>
      <c r="AI264" s="45"/>
      <c r="AJ264" s="45"/>
      <c r="AL264" s="45"/>
      <c r="AM264" s="46"/>
      <c r="AN264" s="46"/>
    </row>
    <row r="265" spans="1:40">
      <c r="F265" s="50"/>
      <c r="H265" s="50"/>
      <c r="I265" s="50"/>
      <c r="J265" s="326"/>
      <c r="K265" s="326"/>
      <c r="L265" s="50"/>
      <c r="M265" s="50"/>
      <c r="N265" s="50"/>
      <c r="O265" s="50"/>
      <c r="P265" s="50"/>
      <c r="Q265" s="50"/>
      <c r="R265" s="50"/>
      <c r="V265" s="50"/>
      <c r="Y265" s="50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</row>
    <row r="266" spans="1:40">
      <c r="R266" s="45"/>
      <c r="AH266" s="45"/>
    </row>
    <row r="267" spans="1:40">
      <c r="F267" s="45"/>
      <c r="H267" s="45"/>
      <c r="I267" s="45"/>
      <c r="J267" s="47"/>
      <c r="K267" s="47"/>
      <c r="L267" s="45"/>
      <c r="M267" s="45"/>
      <c r="N267" s="45"/>
      <c r="O267" s="45"/>
      <c r="P267" s="45"/>
      <c r="Q267" s="45"/>
      <c r="R267" s="45"/>
      <c r="V267" s="45"/>
      <c r="Y267" s="45"/>
      <c r="Z267" s="47"/>
      <c r="AA267" s="45"/>
      <c r="AB267" s="45"/>
      <c r="AC267" s="45"/>
      <c r="AD267" s="45"/>
      <c r="AE267" s="45"/>
      <c r="AF267" s="45"/>
      <c r="AH267" s="45"/>
    </row>
    <row r="268" spans="1:40">
      <c r="C268" s="42"/>
      <c r="F268" s="45"/>
      <c r="H268" s="45"/>
      <c r="I268" s="45"/>
      <c r="J268" s="47"/>
      <c r="K268" s="47"/>
      <c r="L268" s="45"/>
      <c r="M268" s="45"/>
      <c r="N268" s="45"/>
      <c r="O268" s="45"/>
      <c r="P268" s="45"/>
      <c r="Q268" s="45"/>
      <c r="R268" s="45"/>
      <c r="T268" s="42"/>
      <c r="V268" s="45"/>
      <c r="Y268" s="45"/>
      <c r="Z268" s="47"/>
      <c r="AA268" s="45"/>
      <c r="AB268" s="45"/>
      <c r="AC268" s="45"/>
      <c r="AD268" s="45"/>
      <c r="AE268" s="45"/>
      <c r="AF268" s="45"/>
      <c r="AH268" s="45"/>
    </row>
    <row r="269" spans="1:40">
      <c r="A269" s="42"/>
    </row>
    <row r="272" spans="1:40">
      <c r="H272" s="42"/>
      <c r="I272" s="42"/>
      <c r="Y272" s="42"/>
    </row>
    <row r="274" spans="1:40">
      <c r="L274" s="42"/>
      <c r="M274" s="42"/>
      <c r="AA274" s="42"/>
      <c r="AB274" s="42"/>
    </row>
    <row r="275" spans="1:40">
      <c r="R275" s="42"/>
      <c r="AK275" s="110"/>
      <c r="AL275" s="42"/>
    </row>
    <row r="276" spans="1:40">
      <c r="R276" s="42"/>
      <c r="AK276" s="110"/>
      <c r="AL276" s="42"/>
    </row>
    <row r="277" spans="1:40">
      <c r="A277" s="42"/>
      <c r="R277" s="42"/>
      <c r="AK277" s="110"/>
      <c r="AL277" s="42"/>
    </row>
    <row r="278" spans="1:40">
      <c r="L278" s="42"/>
      <c r="M278" s="42"/>
      <c r="AA278" s="42"/>
      <c r="AB278" s="42"/>
    </row>
    <row r="279" spans="1:40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107"/>
      <c r="AH279" s="49"/>
      <c r="AI279" s="49"/>
      <c r="AJ279" s="49"/>
      <c r="AK279" s="107"/>
      <c r="AL279" s="49"/>
      <c r="AM279" s="49"/>
      <c r="AN279" s="49"/>
    </row>
    <row r="280" spans="1:40">
      <c r="L280" s="44"/>
      <c r="M280" s="44"/>
      <c r="N280" s="44"/>
      <c r="O280" s="44"/>
      <c r="R280" s="44"/>
      <c r="AA280" s="44"/>
      <c r="AB280" s="44"/>
      <c r="AC280" s="44"/>
      <c r="AD280" s="44"/>
      <c r="AE280" s="44"/>
      <c r="AF280" s="44"/>
      <c r="AG280" s="102"/>
      <c r="AH280" s="44"/>
      <c r="AK280" s="102"/>
      <c r="AL280" s="44"/>
      <c r="AM280" s="44"/>
      <c r="AN280" s="44"/>
    </row>
    <row r="281" spans="1:40">
      <c r="L281" s="44"/>
      <c r="M281" s="44"/>
      <c r="N281" s="44"/>
      <c r="O281" s="44"/>
      <c r="R281" s="44"/>
      <c r="Z281" s="44"/>
      <c r="AA281" s="44"/>
      <c r="AB281" s="44"/>
      <c r="AC281" s="44"/>
      <c r="AD281" s="44"/>
      <c r="AE281" s="44"/>
      <c r="AF281" s="44"/>
      <c r="AG281" s="102"/>
      <c r="AH281" s="44"/>
      <c r="AK281" s="102"/>
      <c r="AL281" s="44"/>
      <c r="AM281" s="44"/>
      <c r="AN281" s="44"/>
    </row>
    <row r="282" spans="1:40">
      <c r="A282" s="44"/>
      <c r="C282" s="44"/>
      <c r="D282" s="44"/>
      <c r="E282" s="44"/>
      <c r="F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>
      <c r="A283" s="44"/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02"/>
      <c r="AH283" s="44"/>
      <c r="AI283" s="44"/>
      <c r="AJ283" s="44"/>
      <c r="AK283" s="102"/>
      <c r="AL283" s="44"/>
      <c r="AM283" s="44"/>
      <c r="AN283" s="44"/>
    </row>
    <row r="284" spans="1:40">
      <c r="C284" s="44"/>
      <c r="D284" s="44"/>
      <c r="E284" s="44"/>
      <c r="F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T284" s="44"/>
      <c r="U284" s="44"/>
      <c r="V284" s="44"/>
      <c r="Y284" s="44"/>
      <c r="Z284" s="44"/>
      <c r="AA284" s="44"/>
      <c r="AB284" s="44"/>
      <c r="AC284" s="44"/>
      <c r="AD284" s="44"/>
      <c r="AE284" s="44"/>
      <c r="AF284" s="44"/>
      <c r="AG284" s="102"/>
      <c r="AH284" s="44"/>
      <c r="AI284" s="44"/>
      <c r="AJ284" s="44"/>
      <c r="AK284" s="102"/>
      <c r="AL284" s="44"/>
      <c r="AM284" s="44"/>
      <c r="AN284" s="44"/>
    </row>
    <row r="285" spans="1:40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107"/>
      <c r="AH285" s="49"/>
      <c r="AI285" s="49"/>
      <c r="AJ285" s="49"/>
      <c r="AK285" s="107"/>
      <c r="AL285" s="49"/>
      <c r="AM285" s="49"/>
      <c r="AN285" s="49"/>
    </row>
    <row r="286" spans="1:40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Y286" s="44"/>
      <c r="Z286" s="44"/>
      <c r="AA286" s="44"/>
      <c r="AB286" s="44"/>
      <c r="AC286" s="44"/>
      <c r="AD286" s="44"/>
      <c r="AE286" s="44"/>
      <c r="AF286" s="44"/>
      <c r="AG286" s="102"/>
      <c r="AH286" s="44"/>
      <c r="AI286" s="44"/>
      <c r="AJ286" s="44"/>
      <c r="AK286" s="102"/>
      <c r="AL286" s="44"/>
      <c r="AM286" s="44"/>
      <c r="AN286" s="44"/>
    </row>
    <row r="287" spans="1:40">
      <c r="C287" s="42"/>
      <c r="D287" s="42"/>
      <c r="E287" s="42"/>
      <c r="T287" s="42"/>
      <c r="U287" s="42"/>
    </row>
    <row r="288" spans="1:40">
      <c r="C288" s="42"/>
      <c r="T288" s="42"/>
    </row>
    <row r="290" spans="3:40">
      <c r="C290" s="42"/>
      <c r="F290" s="164"/>
      <c r="H290" s="164"/>
      <c r="I290" s="164"/>
      <c r="J290" s="316"/>
      <c r="K290" s="316"/>
      <c r="L290" s="45"/>
      <c r="M290" s="45"/>
      <c r="N290" s="46"/>
      <c r="O290" s="46"/>
      <c r="R290" s="45"/>
      <c r="T290" s="42"/>
      <c r="V290" s="45"/>
      <c r="Y290" s="164"/>
      <c r="Z290" s="316"/>
      <c r="AA290" s="45"/>
      <c r="AB290" s="45"/>
      <c r="AC290" s="46"/>
      <c r="AD290" s="46"/>
      <c r="AE290" s="45"/>
      <c r="AF290" s="45"/>
      <c r="AH290" s="51"/>
      <c r="AL290" s="45"/>
      <c r="AM290" s="46"/>
      <c r="AN290" s="46"/>
    </row>
    <row r="291" spans="3:40">
      <c r="F291" s="50"/>
      <c r="H291" s="45"/>
      <c r="I291" s="45"/>
      <c r="J291" s="326"/>
      <c r="K291" s="326"/>
      <c r="L291" s="50"/>
      <c r="M291" s="50"/>
      <c r="N291" s="50"/>
      <c r="O291" s="50"/>
      <c r="P291" s="50"/>
      <c r="Q291" s="50"/>
      <c r="R291" s="50"/>
      <c r="V291" s="50"/>
      <c r="Y291" s="45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  <c r="AM291" s="46"/>
      <c r="AN291" s="46"/>
    </row>
    <row r="292" spans="3:40">
      <c r="C292" s="42"/>
      <c r="F292" s="164"/>
      <c r="H292" s="164"/>
      <c r="I292" s="164"/>
      <c r="J292" s="336"/>
      <c r="K292" s="336"/>
      <c r="L292" s="45"/>
      <c r="M292" s="45"/>
      <c r="N292" s="46"/>
      <c r="O292" s="46"/>
      <c r="P292" s="45"/>
      <c r="Q292" s="45"/>
      <c r="R292" s="45"/>
      <c r="S292" s="45"/>
      <c r="T292" s="42"/>
      <c r="V292" s="164"/>
      <c r="Y292" s="164"/>
      <c r="Z292" s="336"/>
      <c r="AA292" s="45"/>
      <c r="AB292" s="45"/>
      <c r="AC292" s="46"/>
      <c r="AD292" s="46"/>
      <c r="AE292" s="45"/>
      <c r="AF292" s="45"/>
      <c r="AH292" s="46"/>
      <c r="AI292" s="45"/>
      <c r="AJ292" s="45"/>
      <c r="AL292" s="45"/>
      <c r="AM292" s="46"/>
      <c r="AN292" s="46"/>
    </row>
    <row r="293" spans="3:40">
      <c r="C293" s="42"/>
      <c r="F293" s="164"/>
      <c r="H293" s="164"/>
      <c r="I293" s="164"/>
      <c r="J293" s="316"/>
      <c r="K293" s="316"/>
      <c r="L293" s="45"/>
      <c r="M293" s="45"/>
      <c r="N293" s="46"/>
      <c r="O293" s="46"/>
      <c r="P293" s="45"/>
      <c r="Q293" s="45"/>
      <c r="R293" s="45"/>
      <c r="T293" s="42"/>
      <c r="V293" s="164"/>
      <c r="Y293" s="45"/>
      <c r="Z293" s="316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>
      <c r="C294" s="42"/>
      <c r="F294" s="164"/>
      <c r="H294" s="164"/>
      <c r="I294" s="164"/>
      <c r="J294" s="316"/>
      <c r="K294" s="316"/>
      <c r="L294" s="45"/>
      <c r="M294" s="45"/>
      <c r="N294" s="46"/>
      <c r="O294" s="46"/>
      <c r="P294" s="45"/>
      <c r="Q294" s="45"/>
      <c r="R294" s="45"/>
      <c r="T294" s="42"/>
      <c r="V294" s="164"/>
      <c r="Y294" s="45"/>
      <c r="Z294" s="316"/>
      <c r="AA294" s="45"/>
      <c r="AB294" s="45"/>
      <c r="AC294" s="46"/>
      <c r="AD294" s="46"/>
      <c r="AE294" s="45"/>
      <c r="AF294" s="45"/>
      <c r="AH294" s="51"/>
      <c r="AI294" s="45"/>
      <c r="AJ294" s="45"/>
      <c r="AL294" s="45"/>
      <c r="AM294" s="46"/>
      <c r="AN294" s="46"/>
    </row>
    <row r="295" spans="3:40">
      <c r="F295" s="50"/>
      <c r="H295" s="50"/>
      <c r="I295" s="50"/>
      <c r="J295" s="326"/>
      <c r="K295" s="326"/>
      <c r="L295" s="50"/>
      <c r="M295" s="50"/>
      <c r="N295" s="50"/>
      <c r="O295" s="50"/>
      <c r="P295" s="50"/>
      <c r="Q295" s="50"/>
      <c r="R295" s="50"/>
      <c r="V295" s="50"/>
      <c r="Y295" s="50"/>
      <c r="Z295" s="326"/>
      <c r="AA295" s="50"/>
      <c r="AB295" s="50"/>
      <c r="AC295" s="50"/>
      <c r="AD295" s="50"/>
      <c r="AE295" s="50"/>
      <c r="AF295" s="50"/>
      <c r="AI295" s="50"/>
      <c r="AJ295" s="50"/>
      <c r="AK295" s="111"/>
      <c r="AL295" s="50"/>
      <c r="AM295" s="46"/>
      <c r="AN295" s="46"/>
    </row>
    <row r="296" spans="3:40">
      <c r="C296" s="42"/>
      <c r="F296" s="45"/>
      <c r="H296" s="45"/>
      <c r="I296" s="45"/>
      <c r="J296" s="47"/>
      <c r="K296" s="47"/>
      <c r="L296" s="45"/>
      <c r="M296" s="45"/>
      <c r="N296" s="46"/>
      <c r="O296" s="46"/>
      <c r="P296" s="45"/>
      <c r="Q296" s="45"/>
      <c r="R296" s="45"/>
      <c r="T296" s="42"/>
      <c r="V296" s="45"/>
      <c r="Y296" s="45"/>
      <c r="Z296" s="47"/>
      <c r="AA296" s="45"/>
      <c r="AB296" s="45"/>
      <c r="AC296" s="46"/>
      <c r="AD296" s="46"/>
      <c r="AE296" s="45"/>
      <c r="AF296" s="45"/>
      <c r="AH296" s="51"/>
      <c r="AI296" s="45"/>
      <c r="AJ296" s="45"/>
      <c r="AL296" s="45"/>
      <c r="AM296" s="46"/>
      <c r="AN296" s="46"/>
    </row>
    <row r="297" spans="3:40">
      <c r="F297" s="50"/>
      <c r="H297" s="50"/>
      <c r="I297" s="50"/>
      <c r="J297" s="326"/>
      <c r="K297" s="326"/>
      <c r="L297" s="50"/>
      <c r="M297" s="50"/>
      <c r="N297" s="50"/>
      <c r="O297" s="50"/>
      <c r="P297" s="50"/>
      <c r="Q297" s="50"/>
      <c r="R297" s="50"/>
      <c r="V297" s="50"/>
      <c r="Y297" s="50"/>
      <c r="Z297" s="326"/>
      <c r="AA297" s="50"/>
      <c r="AB297" s="50"/>
      <c r="AC297" s="50"/>
      <c r="AD297" s="50"/>
      <c r="AE297" s="50"/>
      <c r="AF297" s="50"/>
      <c r="AI297" s="50"/>
      <c r="AJ297" s="50"/>
      <c r="AK297" s="111"/>
      <c r="AL297" s="50"/>
      <c r="AM297" s="46"/>
      <c r="AN297" s="46"/>
    </row>
    <row r="298" spans="3:40">
      <c r="C298" s="42"/>
      <c r="F298" s="45"/>
      <c r="H298" s="45"/>
      <c r="I298" s="45"/>
      <c r="J298" s="47"/>
      <c r="K298" s="47"/>
      <c r="L298" s="45"/>
      <c r="M298" s="45"/>
      <c r="N298" s="46"/>
      <c r="O298" s="46"/>
      <c r="P298" s="45"/>
      <c r="Q298" s="45"/>
      <c r="R298" s="45"/>
      <c r="T298" s="42"/>
      <c r="V298" s="45"/>
      <c r="Y298" s="45"/>
      <c r="Z298" s="47"/>
      <c r="AA298" s="45"/>
      <c r="AB298" s="45"/>
      <c r="AC298" s="46"/>
      <c r="AD298" s="46"/>
      <c r="AE298" s="45"/>
      <c r="AF298" s="45"/>
      <c r="AH298" s="51"/>
      <c r="AI298" s="45"/>
      <c r="AJ298" s="45"/>
      <c r="AL298" s="45"/>
      <c r="AM298" s="46"/>
      <c r="AN298" s="46"/>
    </row>
    <row r="299" spans="3:40">
      <c r="C299" s="42"/>
      <c r="F299" s="45"/>
      <c r="H299" s="164"/>
      <c r="I299" s="164"/>
      <c r="J299" s="331"/>
      <c r="K299" s="331"/>
      <c r="L299" s="45"/>
      <c r="M299" s="45"/>
      <c r="N299" s="46"/>
      <c r="O299" s="46"/>
      <c r="P299" s="45"/>
      <c r="Q299" s="45"/>
      <c r="R299" s="45"/>
      <c r="T299" s="42"/>
      <c r="V299" s="45"/>
      <c r="Y299" s="45"/>
      <c r="Z299" s="325"/>
      <c r="AA299" s="45"/>
      <c r="AB299" s="45"/>
      <c r="AC299" s="46"/>
      <c r="AD299" s="46"/>
      <c r="AE299" s="45"/>
      <c r="AF299" s="45"/>
      <c r="AH299" s="51"/>
      <c r="AI299" s="45"/>
      <c r="AJ299" s="45"/>
      <c r="AL299" s="45"/>
      <c r="AM299" s="46"/>
      <c r="AN299" s="46"/>
    </row>
    <row r="300" spans="3:40">
      <c r="F300" s="50"/>
      <c r="H300" s="50"/>
      <c r="I300" s="50"/>
      <c r="J300" s="326"/>
      <c r="K300" s="326"/>
      <c r="L300" s="50"/>
      <c r="M300" s="50"/>
      <c r="N300" s="50"/>
      <c r="O300" s="50"/>
      <c r="P300" s="50"/>
      <c r="Q300" s="50"/>
      <c r="R300" s="50"/>
      <c r="V300" s="50"/>
      <c r="Y300" s="50"/>
      <c r="Z300" s="326"/>
      <c r="AA300" s="50"/>
      <c r="AB300" s="50"/>
      <c r="AC300" s="50"/>
      <c r="AD300" s="50"/>
      <c r="AE300" s="50"/>
      <c r="AF300" s="50"/>
      <c r="AI300" s="50"/>
      <c r="AJ300" s="50"/>
      <c r="AK300" s="111"/>
      <c r="AL300" s="50"/>
      <c r="AM300" s="46"/>
      <c r="AN300" s="46"/>
    </row>
    <row r="302" spans="3:40">
      <c r="C302" s="42"/>
      <c r="F302" s="45"/>
      <c r="H302" s="45"/>
      <c r="I302" s="45"/>
      <c r="J302" s="326"/>
      <c r="K302" s="326"/>
      <c r="L302" s="45"/>
      <c r="M302" s="45"/>
      <c r="N302" s="46"/>
      <c r="O302" s="46"/>
      <c r="P302" s="45"/>
      <c r="Q302" s="45"/>
      <c r="R302" s="45"/>
      <c r="S302" s="45"/>
      <c r="T302" s="42"/>
      <c r="V302" s="45"/>
      <c r="Y302" s="45"/>
      <c r="Z302" s="326"/>
      <c r="AA302" s="45"/>
      <c r="AB302" s="45"/>
      <c r="AC302" s="46"/>
      <c r="AD302" s="46"/>
      <c r="AE302" s="45"/>
      <c r="AF302" s="45"/>
      <c r="AH302" s="46"/>
      <c r="AI302" s="45"/>
      <c r="AJ302" s="45"/>
      <c r="AL302" s="45"/>
      <c r="AM302" s="46"/>
      <c r="AN302" s="46"/>
    </row>
    <row r="303" spans="3:40">
      <c r="F303" s="50"/>
      <c r="H303" s="50"/>
      <c r="I303" s="50"/>
      <c r="J303" s="326"/>
      <c r="K303" s="326"/>
      <c r="L303" s="50"/>
      <c r="M303" s="50"/>
      <c r="N303" s="50"/>
      <c r="O303" s="50"/>
      <c r="P303" s="50"/>
      <c r="Q303" s="50"/>
      <c r="R303" s="50"/>
      <c r="S303" s="45"/>
      <c r="V303" s="50"/>
      <c r="Y303" s="50"/>
      <c r="Z303" s="326"/>
      <c r="AA303" s="50"/>
      <c r="AB303" s="50"/>
      <c r="AC303" s="50"/>
      <c r="AD303" s="50"/>
      <c r="AE303" s="50"/>
      <c r="AF303" s="50"/>
      <c r="AI303" s="50"/>
      <c r="AJ303" s="50"/>
      <c r="AK303" s="111"/>
      <c r="AL303" s="50"/>
      <c r="AM303" s="46"/>
      <c r="AN303" s="46"/>
    </row>
    <row r="304" spans="3:40">
      <c r="C304" s="42"/>
      <c r="F304" s="164"/>
      <c r="H304" s="164"/>
      <c r="I304" s="164"/>
      <c r="J304" s="326"/>
      <c r="K304" s="326"/>
      <c r="L304" s="45"/>
      <c r="M304" s="45"/>
      <c r="N304" s="46"/>
      <c r="O304" s="46"/>
      <c r="P304" s="45"/>
      <c r="Q304" s="45"/>
      <c r="R304" s="45"/>
      <c r="S304" s="45"/>
      <c r="T304" s="42"/>
      <c r="V304" s="164"/>
      <c r="Y304" s="164"/>
      <c r="Z304" s="326"/>
      <c r="AA304" s="45"/>
      <c r="AB304" s="45"/>
      <c r="AC304" s="46"/>
      <c r="AD304" s="46"/>
      <c r="AE304" s="45"/>
      <c r="AF304" s="45"/>
      <c r="AI304" s="45"/>
      <c r="AJ304" s="45"/>
      <c r="AL304" s="45"/>
      <c r="AM304" s="46"/>
      <c r="AN304" s="46"/>
    </row>
    <row r="306" spans="3:40">
      <c r="C306" s="42"/>
      <c r="F306" s="164"/>
      <c r="H306" s="164"/>
      <c r="I306" s="164"/>
      <c r="J306" s="316"/>
      <c r="K306" s="316"/>
      <c r="L306" s="45"/>
      <c r="M306" s="45"/>
      <c r="N306" s="46"/>
      <c r="O306" s="46"/>
      <c r="R306" s="45"/>
      <c r="T306" s="42"/>
      <c r="V306" s="45"/>
      <c r="Y306" s="164"/>
      <c r="Z306" s="316"/>
      <c r="AA306" s="45"/>
      <c r="AB306" s="45"/>
      <c r="AC306" s="46"/>
      <c r="AD306" s="46"/>
      <c r="AE306" s="45"/>
      <c r="AF306" s="45"/>
      <c r="AH306" s="51"/>
      <c r="AL306" s="45"/>
      <c r="AM306" s="46"/>
      <c r="AN306" s="46"/>
    </row>
    <row r="307" spans="3:40">
      <c r="F307" s="50"/>
      <c r="H307" s="45"/>
      <c r="I307" s="45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45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3:40">
      <c r="C308" s="42"/>
      <c r="F308" s="164"/>
      <c r="H308" s="164"/>
      <c r="I308" s="164"/>
      <c r="J308" s="336"/>
      <c r="K308" s="336"/>
      <c r="L308" s="45"/>
      <c r="M308" s="45"/>
      <c r="N308" s="46"/>
      <c r="O308" s="46"/>
      <c r="P308" s="45"/>
      <c r="Q308" s="45"/>
      <c r="R308" s="45"/>
      <c r="S308" s="45"/>
      <c r="T308" s="42"/>
      <c r="V308" s="164"/>
      <c r="Y308" s="164"/>
      <c r="Z308" s="336"/>
      <c r="AA308" s="45"/>
      <c r="AB308" s="45"/>
      <c r="AC308" s="46"/>
      <c r="AD308" s="46"/>
      <c r="AE308" s="45"/>
      <c r="AF308" s="45"/>
      <c r="AH308" s="46"/>
      <c r="AI308" s="45"/>
      <c r="AJ308" s="45"/>
      <c r="AL308" s="45"/>
      <c r="AM308" s="46"/>
      <c r="AN308" s="46"/>
    </row>
    <row r="309" spans="3:40">
      <c r="C309" s="42"/>
      <c r="F309" s="164"/>
      <c r="H309" s="164"/>
      <c r="I309" s="164"/>
      <c r="J309" s="316"/>
      <c r="K309" s="316"/>
      <c r="L309" s="45"/>
      <c r="M309" s="45"/>
      <c r="N309" s="46"/>
      <c r="O309" s="46"/>
      <c r="P309" s="45"/>
      <c r="Q309" s="45"/>
      <c r="R309" s="45"/>
      <c r="T309" s="42"/>
      <c r="V309" s="164"/>
      <c r="Y309" s="45"/>
      <c r="Z309" s="316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>
      <c r="C310" s="42"/>
      <c r="F310" s="164"/>
      <c r="H310" s="164"/>
      <c r="I310" s="164"/>
      <c r="J310" s="316"/>
      <c r="K310" s="316"/>
      <c r="L310" s="45"/>
      <c r="M310" s="45"/>
      <c r="N310" s="46"/>
      <c r="O310" s="46"/>
      <c r="P310" s="45"/>
      <c r="Q310" s="45"/>
      <c r="R310" s="45"/>
      <c r="T310" s="42"/>
      <c r="V310" s="164"/>
      <c r="Y310" s="45"/>
      <c r="Z310" s="316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>
      <c r="F311" s="50"/>
      <c r="H311" s="50"/>
      <c r="I311" s="50"/>
      <c r="J311" s="326"/>
      <c r="K311" s="326"/>
      <c r="L311" s="50"/>
      <c r="M311" s="50"/>
      <c r="N311" s="50"/>
      <c r="O311" s="50"/>
      <c r="P311" s="50"/>
      <c r="Q311" s="50"/>
      <c r="R311" s="50"/>
      <c r="V311" s="50"/>
      <c r="Y311" s="50"/>
      <c r="Z311" s="326"/>
      <c r="AA311" s="50"/>
      <c r="AB311" s="50"/>
      <c r="AC311" s="50"/>
      <c r="AD311" s="50"/>
      <c r="AE311" s="50"/>
      <c r="AF311" s="50"/>
      <c r="AI311" s="50"/>
      <c r="AJ311" s="50"/>
      <c r="AK311" s="111"/>
      <c r="AL311" s="50"/>
      <c r="AM311" s="46"/>
      <c r="AN311" s="46"/>
    </row>
    <row r="312" spans="3:40">
      <c r="C312" s="42"/>
      <c r="F312" s="45"/>
      <c r="H312" s="45"/>
      <c r="I312" s="45"/>
      <c r="J312" s="47"/>
      <c r="K312" s="47"/>
      <c r="L312" s="45"/>
      <c r="M312" s="45"/>
      <c r="N312" s="46"/>
      <c r="O312" s="46"/>
      <c r="P312" s="45"/>
      <c r="Q312" s="45"/>
      <c r="R312" s="45"/>
      <c r="T312" s="42"/>
      <c r="V312" s="45"/>
      <c r="Y312" s="45"/>
      <c r="Z312" s="47"/>
      <c r="AA312" s="45"/>
      <c r="AB312" s="45"/>
      <c r="AC312" s="46"/>
      <c r="AD312" s="46"/>
      <c r="AE312" s="45"/>
      <c r="AF312" s="45"/>
      <c r="AH312" s="51"/>
      <c r="AI312" s="45"/>
      <c r="AJ312" s="45"/>
      <c r="AL312" s="45"/>
      <c r="AM312" s="46"/>
      <c r="AN312" s="46"/>
    </row>
    <row r="313" spans="3:40">
      <c r="F313" s="50"/>
      <c r="H313" s="50"/>
      <c r="I313" s="50"/>
      <c r="J313" s="326"/>
      <c r="K313" s="326"/>
      <c r="L313" s="50"/>
      <c r="M313" s="50"/>
      <c r="N313" s="50"/>
      <c r="O313" s="50"/>
      <c r="P313" s="50"/>
      <c r="Q313" s="50"/>
      <c r="R313" s="50"/>
      <c r="V313" s="50"/>
      <c r="Y313" s="50"/>
      <c r="Z313" s="326"/>
      <c r="AA313" s="50"/>
      <c r="AB313" s="50"/>
      <c r="AC313" s="50"/>
      <c r="AD313" s="50"/>
      <c r="AE313" s="50"/>
      <c r="AF313" s="50"/>
      <c r="AI313" s="50"/>
      <c r="AJ313" s="50"/>
      <c r="AK313" s="111"/>
      <c r="AL313" s="50"/>
      <c r="AM313" s="46"/>
      <c r="AN313" s="46"/>
    </row>
    <row r="314" spans="3:40">
      <c r="C314" s="42"/>
      <c r="F314" s="45"/>
      <c r="H314" s="45"/>
      <c r="I314" s="45"/>
      <c r="J314" s="47"/>
      <c r="K314" s="47"/>
      <c r="L314" s="45"/>
      <c r="M314" s="45"/>
      <c r="N314" s="46"/>
      <c r="O314" s="46"/>
      <c r="P314" s="45"/>
      <c r="Q314" s="45"/>
      <c r="R314" s="45"/>
      <c r="T314" s="42"/>
      <c r="V314" s="45"/>
      <c r="Y314" s="45"/>
      <c r="Z314" s="47"/>
      <c r="AA314" s="45"/>
      <c r="AB314" s="45"/>
      <c r="AC314" s="46"/>
      <c r="AD314" s="46"/>
      <c r="AE314" s="45"/>
      <c r="AF314" s="45"/>
      <c r="AH314" s="51"/>
      <c r="AI314" s="45"/>
      <c r="AJ314" s="45"/>
      <c r="AL314" s="45"/>
      <c r="AM314" s="46"/>
      <c r="AN314" s="46"/>
    </row>
    <row r="315" spans="3:40">
      <c r="C315" s="42"/>
      <c r="F315" s="45"/>
      <c r="H315" s="164"/>
      <c r="I315" s="164"/>
      <c r="J315" s="331"/>
      <c r="K315" s="331"/>
      <c r="L315" s="45"/>
      <c r="M315" s="45"/>
      <c r="N315" s="46"/>
      <c r="O315" s="46"/>
      <c r="P315" s="45"/>
      <c r="Q315" s="45"/>
      <c r="R315" s="45"/>
      <c r="T315" s="42"/>
      <c r="V315" s="45"/>
      <c r="Y315" s="45"/>
      <c r="Z315" s="325"/>
      <c r="AA315" s="45"/>
      <c r="AB315" s="45"/>
      <c r="AC315" s="46"/>
      <c r="AD315" s="46"/>
      <c r="AE315" s="45"/>
      <c r="AF315" s="45"/>
      <c r="AH315" s="51"/>
      <c r="AI315" s="45"/>
      <c r="AJ315" s="45"/>
      <c r="AL315" s="45"/>
      <c r="AM315" s="46"/>
      <c r="AN315" s="46"/>
    </row>
    <row r="316" spans="3:40">
      <c r="F316" s="50"/>
      <c r="H316" s="50"/>
      <c r="I316" s="50"/>
      <c r="J316" s="326"/>
      <c r="K316" s="326"/>
      <c r="L316" s="50"/>
      <c r="M316" s="50"/>
      <c r="N316" s="50"/>
      <c r="O316" s="50"/>
      <c r="P316" s="50"/>
      <c r="Q316" s="50"/>
      <c r="R316" s="50"/>
      <c r="V316" s="50"/>
      <c r="Y316" s="50"/>
      <c r="Z316" s="326"/>
      <c r="AA316" s="50"/>
      <c r="AB316" s="50"/>
      <c r="AC316" s="50"/>
      <c r="AD316" s="50"/>
      <c r="AE316" s="50"/>
      <c r="AF316" s="50"/>
      <c r="AI316" s="50"/>
      <c r="AJ316" s="50"/>
      <c r="AK316" s="111"/>
      <c r="AL316" s="50"/>
      <c r="AM316" s="46"/>
      <c r="AN316" s="46"/>
    </row>
    <row r="318" spans="3:40">
      <c r="C318" s="42"/>
      <c r="F318" s="45"/>
      <c r="H318" s="45"/>
      <c r="I318" s="45"/>
      <c r="J318" s="326"/>
      <c r="K318" s="326"/>
      <c r="L318" s="45"/>
      <c r="M318" s="45"/>
      <c r="N318" s="46"/>
      <c r="O318" s="46"/>
      <c r="P318" s="45"/>
      <c r="Q318" s="45"/>
      <c r="R318" s="45"/>
      <c r="S318" s="45"/>
      <c r="T318" s="42"/>
      <c r="V318" s="45"/>
      <c r="Y318" s="45"/>
      <c r="Z318" s="326"/>
      <c r="AA318" s="45"/>
      <c r="AB318" s="45"/>
      <c r="AC318" s="46"/>
      <c r="AD318" s="46"/>
      <c r="AE318" s="45"/>
      <c r="AF318" s="45"/>
      <c r="AH318" s="46"/>
      <c r="AI318" s="45"/>
      <c r="AJ318" s="45"/>
      <c r="AL318" s="45"/>
      <c r="AM318" s="46"/>
      <c r="AN318" s="46"/>
    </row>
    <row r="319" spans="3:40">
      <c r="F319" s="50"/>
      <c r="H319" s="50"/>
      <c r="I319" s="50"/>
      <c r="J319" s="326"/>
      <c r="K319" s="326"/>
      <c r="L319" s="50"/>
      <c r="M319" s="50"/>
      <c r="N319" s="50"/>
      <c r="O319" s="50"/>
      <c r="P319" s="50"/>
      <c r="Q319" s="50"/>
      <c r="R319" s="50"/>
      <c r="S319" s="45"/>
      <c r="V319" s="50"/>
      <c r="Y319" s="50"/>
      <c r="Z319" s="326"/>
      <c r="AA319" s="50"/>
      <c r="AB319" s="50"/>
      <c r="AC319" s="50"/>
      <c r="AD319" s="50"/>
      <c r="AE319" s="50"/>
      <c r="AF319" s="50"/>
      <c r="AI319" s="50"/>
      <c r="AJ319" s="50"/>
      <c r="AK319" s="111"/>
      <c r="AL319" s="50"/>
      <c r="AM319" s="46"/>
      <c r="AN319" s="46"/>
    </row>
    <row r="320" spans="3:40">
      <c r="C320" s="42"/>
      <c r="T320" s="42"/>
    </row>
    <row r="321" spans="1:40">
      <c r="C321" s="42"/>
      <c r="F321" s="45"/>
      <c r="H321" s="45"/>
      <c r="I321" s="45"/>
      <c r="L321" s="45"/>
      <c r="M321" s="45"/>
      <c r="N321" s="46"/>
      <c r="O321" s="46"/>
      <c r="P321" s="164"/>
      <c r="Q321" s="164"/>
      <c r="R321" s="45"/>
      <c r="T321" s="42"/>
      <c r="V321" s="45"/>
      <c r="Y321" s="45"/>
      <c r="AA321" s="45"/>
      <c r="AB321" s="45"/>
      <c r="AC321" s="46"/>
      <c r="AD321" s="46"/>
      <c r="AE321" s="45"/>
      <c r="AF321" s="45"/>
      <c r="AH321" s="46"/>
      <c r="AI321" s="164"/>
      <c r="AJ321" s="164"/>
      <c r="AL321" s="45"/>
      <c r="AM321" s="46"/>
      <c r="AN321" s="46"/>
    </row>
    <row r="322" spans="1:40">
      <c r="F322" s="50"/>
      <c r="H322" s="50"/>
      <c r="I322" s="50"/>
      <c r="J322" s="326"/>
      <c r="K322" s="326"/>
      <c r="L322" s="50"/>
      <c r="M322" s="50"/>
      <c r="N322" s="50"/>
      <c r="O322" s="50"/>
      <c r="P322" s="50"/>
      <c r="Q322" s="50"/>
      <c r="R322" s="50"/>
      <c r="V322" s="50"/>
      <c r="Y322" s="50"/>
      <c r="Z322" s="326"/>
      <c r="AA322" s="50"/>
      <c r="AB322" s="50"/>
      <c r="AC322" s="50"/>
      <c r="AD322" s="50"/>
      <c r="AE322" s="50"/>
      <c r="AF322" s="50"/>
      <c r="AI322" s="50"/>
      <c r="AJ322" s="50"/>
      <c r="AK322" s="111"/>
      <c r="AL322" s="50"/>
    </row>
    <row r="324" spans="1:40">
      <c r="C324" s="42"/>
      <c r="L324" s="45"/>
      <c r="M324" s="45"/>
      <c r="N324" s="45"/>
      <c r="O324" s="45"/>
      <c r="P324" s="45"/>
      <c r="Q324" s="45"/>
      <c r="R324" s="45"/>
      <c r="S324" s="45"/>
      <c r="T324" s="42"/>
      <c r="AA324" s="45"/>
      <c r="AB324" s="45"/>
      <c r="AC324" s="45"/>
      <c r="AD324" s="45"/>
      <c r="AI324" s="45"/>
      <c r="AJ324" s="45"/>
      <c r="AL324" s="45"/>
    </row>
    <row r="325" spans="1:40">
      <c r="A325" s="42"/>
    </row>
    <row r="327" spans="1:40">
      <c r="H327" s="42"/>
      <c r="I327" s="42"/>
      <c r="Y327" s="42"/>
    </row>
    <row r="329" spans="1:40">
      <c r="L329" s="42"/>
      <c r="M329" s="42"/>
      <c r="AA329" s="42"/>
      <c r="AB329" s="42"/>
    </row>
    <row r="330" spans="1:40">
      <c r="R330" s="42"/>
      <c r="AK330" s="110"/>
      <c r="AL330" s="42"/>
    </row>
    <row r="331" spans="1:40">
      <c r="R331" s="42"/>
      <c r="AK331" s="110"/>
      <c r="AL331" s="42"/>
    </row>
    <row r="332" spans="1:40">
      <c r="A332" s="42"/>
      <c r="R332" s="42"/>
      <c r="AK332" s="110"/>
      <c r="AL332" s="42"/>
    </row>
    <row r="333" spans="1:40">
      <c r="L333" s="42"/>
      <c r="M333" s="42"/>
      <c r="AA333" s="42"/>
      <c r="AB333" s="42"/>
    </row>
    <row r="334" spans="1:40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107"/>
      <c r="AH334" s="49"/>
      <c r="AI334" s="49"/>
      <c r="AJ334" s="49"/>
      <c r="AK334" s="107"/>
      <c r="AL334" s="49"/>
      <c r="AM334" s="49"/>
      <c r="AN334" s="49"/>
    </row>
    <row r="335" spans="1:40">
      <c r="L335" s="44"/>
      <c r="M335" s="44"/>
      <c r="N335" s="44"/>
      <c r="O335" s="44"/>
      <c r="R335" s="44"/>
      <c r="AA335" s="44"/>
      <c r="AB335" s="44"/>
      <c r="AC335" s="44"/>
      <c r="AD335" s="44"/>
      <c r="AE335" s="44"/>
      <c r="AF335" s="44"/>
      <c r="AG335" s="102"/>
      <c r="AH335" s="44"/>
      <c r="AK335" s="102"/>
      <c r="AL335" s="44"/>
      <c r="AM335" s="44"/>
      <c r="AN335" s="44"/>
    </row>
    <row r="336" spans="1:40">
      <c r="L336" s="44"/>
      <c r="M336" s="44"/>
      <c r="N336" s="44"/>
      <c r="O336" s="44"/>
      <c r="R336" s="44"/>
      <c r="Z336" s="44"/>
      <c r="AA336" s="44"/>
      <c r="AB336" s="44"/>
      <c r="AC336" s="44"/>
      <c r="AD336" s="44"/>
      <c r="AE336" s="44"/>
      <c r="AF336" s="44"/>
      <c r="AG336" s="102"/>
      <c r="AH336" s="44"/>
      <c r="AK336" s="102"/>
      <c r="AL336" s="44"/>
      <c r="AM336" s="44"/>
      <c r="AN336" s="44"/>
    </row>
    <row r="337" spans="1:40">
      <c r="A337" s="44"/>
      <c r="C337" s="44"/>
      <c r="D337" s="44"/>
      <c r="E337" s="44"/>
      <c r="F337" s="44"/>
      <c r="J337" s="44"/>
      <c r="K337" s="44"/>
      <c r="L337" s="44"/>
      <c r="M337" s="44"/>
      <c r="N337" s="44"/>
      <c r="O337" s="44"/>
      <c r="P337" s="44"/>
      <c r="Q337" s="44"/>
      <c r="R337" s="44"/>
      <c r="T337" s="44"/>
      <c r="U337" s="44"/>
      <c r="V337" s="44"/>
      <c r="Z337" s="44"/>
      <c r="AA337" s="44"/>
      <c r="AB337" s="44"/>
      <c r="AC337" s="44"/>
      <c r="AD337" s="44"/>
      <c r="AE337" s="44"/>
      <c r="AF337" s="44"/>
      <c r="AG337" s="102"/>
      <c r="AH337" s="44"/>
      <c r="AI337" s="44"/>
      <c r="AJ337" s="44"/>
      <c r="AK337" s="102"/>
      <c r="AL337" s="44"/>
      <c r="AM337" s="44"/>
      <c r="AN337" s="44"/>
    </row>
    <row r="338" spans="1:40">
      <c r="A338" s="44"/>
      <c r="C338" s="44"/>
      <c r="D338" s="44"/>
      <c r="E338" s="44"/>
      <c r="F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T338" s="44"/>
      <c r="U338" s="44"/>
      <c r="V338" s="44"/>
      <c r="Y338" s="44"/>
      <c r="Z338" s="44"/>
      <c r="AA338" s="44"/>
      <c r="AB338" s="44"/>
      <c r="AC338" s="44"/>
      <c r="AD338" s="44"/>
      <c r="AE338" s="44"/>
      <c r="AF338" s="44"/>
      <c r="AG338" s="102"/>
      <c r="AH338" s="44"/>
      <c r="AI338" s="44"/>
      <c r="AJ338" s="44"/>
      <c r="AK338" s="102"/>
      <c r="AL338" s="44"/>
      <c r="AM338" s="44"/>
      <c r="AN338" s="44"/>
    </row>
    <row r="339" spans="1:40">
      <c r="C339" s="44"/>
      <c r="D339" s="44"/>
      <c r="E339" s="44"/>
      <c r="F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T339" s="44"/>
      <c r="U339" s="44"/>
      <c r="V339" s="44"/>
      <c r="Y339" s="44"/>
      <c r="Z339" s="44"/>
      <c r="AA339" s="44"/>
      <c r="AB339" s="44"/>
      <c r="AC339" s="44"/>
      <c r="AD339" s="44"/>
      <c r="AE339" s="44"/>
      <c r="AF339" s="44"/>
      <c r="AG339" s="102"/>
      <c r="AH339" s="44"/>
      <c r="AI339" s="44"/>
      <c r="AJ339" s="44"/>
      <c r="AK339" s="102"/>
      <c r="AL339" s="44"/>
      <c r="AM339" s="44"/>
      <c r="AN339" s="44"/>
    </row>
    <row r="340" spans="1:40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107"/>
      <c r="AH340" s="49"/>
      <c r="AI340" s="49"/>
      <c r="AJ340" s="49"/>
      <c r="AK340" s="107"/>
      <c r="AL340" s="49"/>
      <c r="AM340" s="49"/>
      <c r="AN340" s="49"/>
    </row>
    <row r="341" spans="1:40"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Y341" s="44"/>
      <c r="Z341" s="44"/>
      <c r="AA341" s="44"/>
      <c r="AB341" s="44"/>
      <c r="AC341" s="44"/>
      <c r="AD341" s="44"/>
      <c r="AE341" s="44"/>
      <c r="AF341" s="44"/>
      <c r="AG341" s="102"/>
      <c r="AH341" s="44"/>
      <c r="AI341" s="44"/>
      <c r="AJ341" s="44"/>
      <c r="AK341" s="102"/>
      <c r="AL341" s="44"/>
      <c r="AM341" s="44"/>
      <c r="AN341" s="44"/>
    </row>
    <row r="342" spans="1:40">
      <c r="C342" s="42"/>
      <c r="D342" s="42"/>
      <c r="E342" s="42"/>
      <c r="T342" s="42"/>
      <c r="U342" s="42"/>
    </row>
    <row r="343" spans="1:40">
      <c r="D343" s="42"/>
      <c r="E343" s="42"/>
      <c r="U343" s="42"/>
    </row>
    <row r="345" spans="1:40">
      <c r="C345" s="42"/>
      <c r="T345" s="42"/>
    </row>
    <row r="346" spans="1:40">
      <c r="C346" s="42"/>
      <c r="F346" s="164"/>
      <c r="H346" s="164"/>
      <c r="I346" s="164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164"/>
      <c r="W346" s="45"/>
      <c r="X346" s="45"/>
      <c r="Y346" s="164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1:40">
      <c r="C347" s="42"/>
      <c r="F347" s="45"/>
      <c r="H347" s="45"/>
      <c r="I347" s="45"/>
      <c r="J347" s="326"/>
      <c r="K347" s="326"/>
      <c r="L347" s="45"/>
      <c r="M347" s="45"/>
      <c r="N347" s="46"/>
      <c r="O347" s="46"/>
      <c r="P347" s="45"/>
      <c r="Q347" s="45"/>
      <c r="R347" s="45"/>
      <c r="T347" s="42"/>
      <c r="V347" s="164"/>
      <c r="W347" s="45"/>
      <c r="X347" s="45"/>
      <c r="Y347" s="164"/>
      <c r="Z347" s="326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1:40">
      <c r="C348" s="42"/>
      <c r="F348" s="164"/>
      <c r="H348" s="164"/>
      <c r="I348" s="164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164"/>
      <c r="W348" s="45"/>
      <c r="X348" s="45"/>
      <c r="Y348" s="164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1:40">
      <c r="C349" s="42"/>
      <c r="F349" s="164"/>
      <c r="H349" s="164"/>
      <c r="I349" s="164"/>
      <c r="J349" s="132"/>
      <c r="K349" s="132"/>
      <c r="L349" s="45"/>
      <c r="M349" s="45"/>
      <c r="N349" s="46"/>
      <c r="O349" s="46"/>
      <c r="P349" s="45"/>
      <c r="Q349" s="45"/>
      <c r="R349" s="45"/>
      <c r="T349" s="42"/>
      <c r="V349" s="164"/>
      <c r="W349" s="45"/>
      <c r="X349" s="45"/>
      <c r="Y349" s="164"/>
      <c r="Z349" s="132"/>
      <c r="AA349" s="45"/>
      <c r="AB349" s="45"/>
      <c r="AC349" s="46"/>
      <c r="AD349" s="46"/>
      <c r="AE349" s="45"/>
      <c r="AF349" s="45"/>
      <c r="AH349" s="51"/>
      <c r="AI349" s="45"/>
      <c r="AJ349" s="45"/>
      <c r="AL349" s="45"/>
      <c r="AM349" s="46"/>
      <c r="AN349" s="46"/>
    </row>
    <row r="350" spans="1:40">
      <c r="C350" s="42"/>
      <c r="F350" s="164"/>
      <c r="H350" s="164"/>
      <c r="I350" s="164"/>
      <c r="J350" s="132"/>
      <c r="K350" s="132"/>
      <c r="L350" s="45"/>
      <c r="M350" s="45"/>
      <c r="N350" s="46"/>
      <c r="O350" s="46"/>
      <c r="P350" s="45"/>
      <c r="Q350" s="45"/>
      <c r="R350" s="45"/>
      <c r="T350" s="42"/>
      <c r="V350" s="164"/>
      <c r="W350" s="45"/>
      <c r="X350" s="45"/>
      <c r="Y350" s="164"/>
      <c r="Z350" s="132"/>
      <c r="AA350" s="45"/>
      <c r="AB350" s="45"/>
      <c r="AC350" s="46"/>
      <c r="AD350" s="46"/>
      <c r="AE350" s="45"/>
      <c r="AF350" s="45"/>
      <c r="AH350" s="51"/>
      <c r="AI350" s="45"/>
      <c r="AJ350" s="45"/>
      <c r="AL350" s="45"/>
      <c r="AM350" s="46"/>
      <c r="AN350" s="46"/>
    </row>
    <row r="351" spans="1:40">
      <c r="C351" s="42"/>
      <c r="F351" s="45"/>
      <c r="H351" s="45"/>
      <c r="I351" s="45"/>
      <c r="J351" s="132"/>
      <c r="K351" s="132"/>
      <c r="L351" s="45"/>
      <c r="M351" s="45"/>
      <c r="N351" s="46"/>
      <c r="O351" s="46"/>
      <c r="P351" s="45"/>
      <c r="Q351" s="45"/>
      <c r="R351" s="45"/>
      <c r="T351" s="42"/>
      <c r="V351" s="164"/>
      <c r="W351" s="45"/>
      <c r="X351" s="45"/>
      <c r="Y351" s="164"/>
      <c r="Z351" s="132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1:40">
      <c r="C352" s="42"/>
      <c r="F352" s="45"/>
      <c r="H352" s="45"/>
      <c r="I352" s="45"/>
      <c r="J352" s="132"/>
      <c r="K352" s="132"/>
      <c r="L352" s="45"/>
      <c r="M352" s="45"/>
      <c r="N352" s="46"/>
      <c r="O352" s="46"/>
      <c r="P352" s="45"/>
      <c r="Q352" s="45"/>
      <c r="R352" s="45"/>
      <c r="T352" s="42"/>
      <c r="V352" s="164"/>
      <c r="W352" s="45"/>
      <c r="X352" s="45"/>
      <c r="Y352" s="164"/>
      <c r="Z352" s="132"/>
      <c r="AA352" s="45"/>
      <c r="AB352" s="45"/>
      <c r="AC352" s="46"/>
      <c r="AD352" s="46"/>
      <c r="AE352" s="45"/>
      <c r="AF352" s="45"/>
      <c r="AH352" s="51"/>
      <c r="AI352" s="45"/>
      <c r="AJ352" s="45"/>
      <c r="AL352" s="45"/>
      <c r="AM352" s="46"/>
      <c r="AN352" s="46"/>
    </row>
    <row r="353" spans="3:40">
      <c r="F353" s="54"/>
      <c r="H353" s="338"/>
      <c r="I353" s="338"/>
      <c r="J353" s="132"/>
      <c r="K353" s="132"/>
      <c r="L353" s="54"/>
      <c r="M353" s="54"/>
      <c r="N353" s="50"/>
      <c r="O353" s="50"/>
      <c r="P353" s="54"/>
      <c r="Q353" s="54"/>
      <c r="R353" s="54"/>
      <c r="V353" s="54"/>
      <c r="W353" s="45"/>
      <c r="X353" s="45"/>
      <c r="Y353" s="54"/>
      <c r="Z353" s="132"/>
      <c r="AA353" s="54"/>
      <c r="AB353" s="54"/>
      <c r="AC353" s="55"/>
      <c r="AD353" s="55"/>
      <c r="AE353" s="54"/>
      <c r="AF353" s="54"/>
      <c r="AH353" s="51"/>
      <c r="AI353" s="54"/>
      <c r="AJ353" s="54"/>
      <c r="AK353" s="107"/>
      <c r="AL353" s="54"/>
      <c r="AM353" s="46"/>
      <c r="AN353" s="46"/>
    </row>
    <row r="354" spans="3:40">
      <c r="C354" s="42"/>
      <c r="F354" s="45"/>
      <c r="H354" s="45"/>
      <c r="I354" s="45"/>
      <c r="J354" s="132"/>
      <c r="K354" s="132"/>
      <c r="L354" s="45"/>
      <c r="M354" s="45"/>
      <c r="N354" s="51"/>
      <c r="O354" s="51"/>
      <c r="P354" s="45"/>
      <c r="Q354" s="45"/>
      <c r="R354" s="45"/>
      <c r="T354" s="44"/>
      <c r="V354" s="45"/>
      <c r="W354" s="45"/>
      <c r="X354" s="45"/>
      <c r="Y354" s="45"/>
      <c r="Z354" s="132"/>
      <c r="AA354" s="45"/>
      <c r="AB354" s="45"/>
      <c r="AC354" s="51"/>
      <c r="AD354" s="51"/>
      <c r="AE354" s="45"/>
      <c r="AF354" s="45"/>
      <c r="AH354" s="51"/>
      <c r="AI354" s="45"/>
      <c r="AJ354" s="45"/>
      <c r="AL354" s="45"/>
      <c r="AM354" s="46"/>
      <c r="AN354" s="46"/>
    </row>
    <row r="355" spans="3:40">
      <c r="F355" s="49"/>
      <c r="H355" s="49"/>
      <c r="I355" s="49"/>
      <c r="L355" s="49"/>
      <c r="M355" s="49"/>
      <c r="N355" s="55"/>
      <c r="O355" s="55"/>
      <c r="P355" s="54"/>
      <c r="Q355" s="54"/>
      <c r="R355" s="54"/>
      <c r="V355" s="54"/>
      <c r="Y355" s="54"/>
      <c r="Z355" s="326"/>
      <c r="AA355" s="54"/>
      <c r="AB355" s="54"/>
      <c r="AC355" s="54"/>
      <c r="AD355" s="54"/>
      <c r="AE355" s="54"/>
      <c r="AF355" s="54"/>
      <c r="AI355" s="54"/>
      <c r="AJ355" s="54"/>
      <c r="AK355" s="107"/>
      <c r="AL355" s="54"/>
      <c r="AM355" s="55"/>
      <c r="AN355" s="55"/>
    </row>
    <row r="360" spans="3:40">
      <c r="N360" s="45"/>
      <c r="O360" s="45"/>
      <c r="P360" s="45"/>
      <c r="Q360" s="45"/>
      <c r="R360" s="45"/>
      <c r="V360" s="45"/>
      <c r="Y360" s="45"/>
      <c r="Z360" s="47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>
      <c r="C361" s="42"/>
      <c r="D361" s="42"/>
      <c r="E361" s="42"/>
      <c r="J361" s="56"/>
      <c r="K361" s="56"/>
      <c r="T361" s="42"/>
      <c r="U361" s="42"/>
      <c r="Z361" s="56"/>
      <c r="AE361" s="45"/>
      <c r="AF361" s="45"/>
      <c r="AI361" s="45"/>
      <c r="AJ361" s="45"/>
      <c r="AL361" s="45"/>
      <c r="AM361" s="46"/>
      <c r="AN361" s="46"/>
    </row>
    <row r="362" spans="3:40">
      <c r="D362" s="42"/>
      <c r="E362" s="42"/>
      <c r="F362" s="45"/>
      <c r="H362" s="45"/>
      <c r="I362" s="45"/>
      <c r="J362" s="132"/>
      <c r="K362" s="132"/>
      <c r="L362" s="45"/>
      <c r="M362" s="45"/>
      <c r="N362" s="46"/>
      <c r="O362" s="46"/>
      <c r="P362" s="45"/>
      <c r="Q362" s="45"/>
      <c r="R362" s="45"/>
      <c r="U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>
      <c r="F363" s="45"/>
      <c r="H363" s="45"/>
      <c r="I363" s="45"/>
      <c r="J363" s="326"/>
      <c r="K363" s="326"/>
      <c r="L363" s="45"/>
      <c r="M363" s="45"/>
      <c r="N363" s="45"/>
      <c r="O363" s="45"/>
      <c r="P363" s="45"/>
      <c r="Q363" s="45"/>
      <c r="R363" s="45"/>
      <c r="V363" s="45"/>
      <c r="Y363" s="45"/>
      <c r="Z363" s="326"/>
      <c r="AA363" s="45"/>
      <c r="AB363" s="45"/>
      <c r="AC363" s="45"/>
      <c r="AD363" s="45"/>
      <c r="AE363" s="45"/>
      <c r="AF363" s="45"/>
      <c r="AH363" s="51"/>
      <c r="AI363" s="164"/>
      <c r="AJ363" s="164"/>
      <c r="AL363" s="45"/>
      <c r="AM363" s="46"/>
      <c r="AN363" s="46"/>
    </row>
    <row r="364" spans="3:40">
      <c r="C364" s="42"/>
      <c r="F364" s="164"/>
      <c r="H364" s="164"/>
      <c r="I364" s="164"/>
      <c r="J364" s="325"/>
      <c r="K364" s="325"/>
      <c r="L364" s="45"/>
      <c r="M364" s="45"/>
      <c r="N364" s="46"/>
      <c r="O364" s="46"/>
      <c r="P364" s="45"/>
      <c r="Q364" s="45"/>
      <c r="R364" s="45"/>
      <c r="T364" s="42"/>
      <c r="V364" s="164"/>
      <c r="Y364" s="164"/>
      <c r="Z364" s="325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3:40">
      <c r="F365" s="49"/>
      <c r="H365" s="49"/>
      <c r="I365" s="49"/>
      <c r="L365" s="49"/>
      <c r="M365" s="49"/>
      <c r="N365" s="49"/>
      <c r="O365" s="49"/>
      <c r="P365" s="49"/>
      <c r="Q365" s="49"/>
      <c r="R365" s="49"/>
      <c r="V365" s="49"/>
      <c r="Y365" s="49"/>
      <c r="AA365" s="49"/>
      <c r="AB365" s="49"/>
      <c r="AC365" s="49"/>
      <c r="AD365" s="49"/>
      <c r="AE365" s="49"/>
      <c r="AF365" s="49"/>
      <c r="AG365" s="107"/>
      <c r="AH365" s="49"/>
      <c r="AI365" s="49"/>
      <c r="AJ365" s="49"/>
      <c r="AK365" s="107"/>
      <c r="AL365" s="49"/>
      <c r="AM365" s="49"/>
      <c r="AN365" s="49"/>
    </row>
    <row r="366" spans="3:40">
      <c r="C366" s="44"/>
      <c r="F366" s="164"/>
      <c r="H366" s="164"/>
      <c r="I366" s="164"/>
      <c r="J366" s="316"/>
      <c r="K366" s="316"/>
      <c r="L366" s="164"/>
      <c r="M366" s="164"/>
      <c r="N366" s="46"/>
      <c r="O366" s="46"/>
      <c r="P366" s="164"/>
      <c r="Q366" s="164"/>
      <c r="R366" s="164"/>
      <c r="T366" s="44"/>
      <c r="V366" s="45"/>
      <c r="Y366" s="45"/>
      <c r="Z366" s="47"/>
      <c r="AA366" s="45"/>
      <c r="AB366" s="45"/>
      <c r="AC366" s="46"/>
      <c r="AD366" s="46"/>
      <c r="AH366" s="51"/>
      <c r="AI366" s="45"/>
      <c r="AJ366" s="45"/>
      <c r="AL366" s="45"/>
      <c r="AM366" s="46"/>
      <c r="AN366" s="46"/>
    </row>
    <row r="367" spans="3:40">
      <c r="F367" s="54"/>
      <c r="H367" s="54"/>
      <c r="I367" s="54"/>
      <c r="J367" s="326"/>
      <c r="K367" s="326"/>
      <c r="L367" s="54"/>
      <c r="M367" s="54"/>
      <c r="N367" s="54"/>
      <c r="O367" s="54"/>
      <c r="P367" s="54"/>
      <c r="Q367" s="54"/>
      <c r="R367" s="54"/>
      <c r="V367" s="49"/>
      <c r="Y367" s="49"/>
      <c r="AA367" s="49"/>
      <c r="AB367" s="49"/>
      <c r="AC367" s="49"/>
      <c r="AD367" s="49"/>
      <c r="AE367" s="49"/>
      <c r="AF367" s="49"/>
      <c r="AG367" s="107"/>
      <c r="AH367" s="49"/>
      <c r="AI367" s="49"/>
      <c r="AJ367" s="49"/>
      <c r="AK367" s="107"/>
      <c r="AL367" s="49"/>
      <c r="AM367" s="49"/>
      <c r="AN367" s="49"/>
    </row>
    <row r="368" spans="3:40">
      <c r="F368" s="164"/>
      <c r="H368" s="164"/>
      <c r="I368" s="164"/>
      <c r="J368" s="336"/>
      <c r="K368" s="336"/>
      <c r="L368" s="45"/>
      <c r="M368" s="45"/>
      <c r="N368" s="46"/>
      <c r="O368" s="46"/>
      <c r="P368" s="45"/>
      <c r="Q368" s="45"/>
      <c r="R368" s="45"/>
    </row>
    <row r="369" spans="1:40">
      <c r="A369" s="42"/>
      <c r="F369" s="164"/>
      <c r="H369" s="164"/>
      <c r="I369" s="164"/>
      <c r="J369" s="316"/>
      <c r="K369" s="316"/>
      <c r="L369" s="45"/>
      <c r="M369" s="45"/>
      <c r="N369" s="46"/>
      <c r="O369" s="46"/>
      <c r="P369" s="45"/>
      <c r="Q369" s="45"/>
      <c r="R369" s="45"/>
    </row>
    <row r="370" spans="1:40">
      <c r="F370" s="164"/>
      <c r="H370" s="164"/>
      <c r="I370" s="164"/>
      <c r="J370" s="316"/>
      <c r="K370" s="316"/>
      <c r="L370" s="45"/>
      <c r="M370" s="45"/>
      <c r="N370" s="46"/>
      <c r="O370" s="46"/>
      <c r="P370" s="45"/>
      <c r="Q370" s="45"/>
      <c r="R370" s="45"/>
    </row>
    <row r="371" spans="1:40">
      <c r="A371" s="42"/>
    </row>
    <row r="374" spans="1:40">
      <c r="H374" s="42"/>
      <c r="I374" s="42"/>
      <c r="Y374" s="42"/>
    </row>
    <row r="376" spans="1:40">
      <c r="L376" s="42"/>
      <c r="M376" s="42"/>
      <c r="AA376" s="42"/>
      <c r="AB376" s="42"/>
    </row>
    <row r="377" spans="1:40">
      <c r="R377" s="42"/>
      <c r="AK377" s="110"/>
      <c r="AL377" s="42"/>
    </row>
    <row r="378" spans="1:40">
      <c r="R378" s="42"/>
      <c r="AK378" s="110"/>
      <c r="AL378" s="42"/>
    </row>
    <row r="379" spans="1:40">
      <c r="A379" s="42"/>
      <c r="R379" s="42"/>
      <c r="AK379" s="110"/>
      <c r="AL379" s="42"/>
    </row>
    <row r="380" spans="1:40">
      <c r="L380" s="42"/>
      <c r="M380" s="42"/>
      <c r="AA380" s="42"/>
      <c r="AB380" s="42"/>
    </row>
    <row r="381" spans="1:40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107"/>
      <c r="AH381" s="49"/>
      <c r="AI381" s="49"/>
      <c r="AJ381" s="49"/>
      <c r="AK381" s="107"/>
      <c r="AL381" s="49"/>
      <c r="AM381" s="49"/>
      <c r="AN381" s="49"/>
    </row>
    <row r="382" spans="1:40">
      <c r="L382" s="44"/>
      <c r="M382" s="44"/>
      <c r="N382" s="44"/>
      <c r="O382" s="44"/>
      <c r="R382" s="44"/>
      <c r="AA382" s="44"/>
      <c r="AB382" s="44"/>
      <c r="AC382" s="44"/>
      <c r="AD382" s="44"/>
      <c r="AE382" s="44"/>
      <c r="AF382" s="44"/>
      <c r="AG382" s="102"/>
      <c r="AH382" s="44"/>
      <c r="AK382" s="102"/>
      <c r="AL382" s="44"/>
      <c r="AM382" s="44"/>
      <c r="AN382" s="44"/>
    </row>
    <row r="383" spans="1:40">
      <c r="L383" s="44"/>
      <c r="M383" s="44"/>
      <c r="N383" s="44"/>
      <c r="O383" s="44"/>
      <c r="R383" s="44"/>
      <c r="Z383" s="44"/>
      <c r="AA383" s="44"/>
      <c r="AB383" s="44"/>
      <c r="AC383" s="44"/>
      <c r="AD383" s="44"/>
      <c r="AE383" s="44"/>
      <c r="AF383" s="44"/>
      <c r="AG383" s="102"/>
      <c r="AH383" s="44"/>
      <c r="AK383" s="102"/>
      <c r="AL383" s="44"/>
      <c r="AM383" s="44"/>
      <c r="AN383" s="44"/>
    </row>
    <row r="384" spans="1:40">
      <c r="A384" s="44"/>
      <c r="C384" s="44"/>
      <c r="D384" s="44"/>
      <c r="E384" s="44"/>
      <c r="F384" s="44"/>
      <c r="J384" s="44"/>
      <c r="K384" s="44"/>
      <c r="L384" s="44"/>
      <c r="M384" s="44"/>
      <c r="N384" s="44"/>
      <c r="O384" s="44"/>
      <c r="P384" s="44"/>
      <c r="Q384" s="44"/>
      <c r="R384" s="44"/>
      <c r="T384" s="44"/>
      <c r="U384" s="44"/>
      <c r="V384" s="44"/>
      <c r="Z384" s="44"/>
      <c r="AA384" s="44"/>
      <c r="AB384" s="44"/>
      <c r="AC384" s="44"/>
      <c r="AD384" s="44"/>
      <c r="AE384" s="44"/>
      <c r="AF384" s="44"/>
      <c r="AG384" s="102"/>
      <c r="AH384" s="44"/>
      <c r="AI384" s="44"/>
      <c r="AJ384" s="44"/>
      <c r="AK384" s="102"/>
      <c r="AL384" s="44"/>
      <c r="AM384" s="44"/>
      <c r="AN384" s="44"/>
    </row>
    <row r="385" spans="1:40">
      <c r="A385" s="44"/>
      <c r="C385" s="44"/>
      <c r="D385" s="44"/>
      <c r="E385" s="44"/>
      <c r="F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T385" s="44"/>
      <c r="U385" s="44"/>
      <c r="V385" s="44"/>
      <c r="Y385" s="44"/>
      <c r="Z385" s="44"/>
      <c r="AA385" s="44"/>
      <c r="AB385" s="44"/>
      <c r="AC385" s="44"/>
      <c r="AD385" s="44"/>
      <c r="AE385" s="44"/>
      <c r="AF385" s="44"/>
      <c r="AG385" s="102"/>
      <c r="AH385" s="44"/>
      <c r="AI385" s="44"/>
      <c r="AJ385" s="44"/>
      <c r="AK385" s="102"/>
      <c r="AL385" s="44"/>
      <c r="AM385" s="44"/>
      <c r="AN385" s="44"/>
    </row>
    <row r="386" spans="1:40">
      <c r="C386" s="44"/>
      <c r="D386" s="44"/>
      <c r="E386" s="44"/>
      <c r="F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T386" s="44"/>
      <c r="U386" s="44"/>
      <c r="V386" s="44"/>
      <c r="Y386" s="44"/>
      <c r="Z386" s="44"/>
      <c r="AA386" s="44"/>
      <c r="AB386" s="44"/>
      <c r="AC386" s="44"/>
      <c r="AD386" s="44"/>
      <c r="AE386" s="44"/>
      <c r="AF386" s="44"/>
      <c r="AG386" s="102"/>
      <c r="AH386" s="44"/>
      <c r="AI386" s="44"/>
      <c r="AJ386" s="44"/>
      <c r="AK386" s="102"/>
      <c r="AL386" s="44"/>
      <c r="AM386" s="44"/>
      <c r="AN386" s="44"/>
    </row>
    <row r="387" spans="1:40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107"/>
      <c r="AH387" s="49"/>
      <c r="AI387" s="49"/>
      <c r="AJ387" s="49"/>
      <c r="AK387" s="107"/>
      <c r="AL387" s="49"/>
      <c r="AM387" s="49"/>
      <c r="AN387" s="49"/>
    </row>
    <row r="388" spans="1:40"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Y388" s="44"/>
      <c r="Z388" s="44"/>
      <c r="AA388" s="44"/>
      <c r="AB388" s="44"/>
      <c r="AC388" s="44"/>
      <c r="AD388" s="44"/>
      <c r="AE388" s="44"/>
      <c r="AF388" s="44"/>
      <c r="AG388" s="102"/>
      <c r="AH388" s="44"/>
      <c r="AI388" s="44"/>
      <c r="AJ388" s="44"/>
      <c r="AK388" s="102"/>
      <c r="AL388" s="44"/>
      <c r="AM388" s="44"/>
      <c r="AN388" s="44"/>
    </row>
    <row r="389" spans="1:40">
      <c r="C389" s="42"/>
      <c r="D389" s="42"/>
      <c r="E389" s="42"/>
      <c r="T389" s="42"/>
      <c r="U389" s="42"/>
    </row>
    <row r="391" spans="1:40">
      <c r="C391" s="42"/>
      <c r="T391" s="42"/>
    </row>
    <row r="392" spans="1:40">
      <c r="C392" s="42"/>
      <c r="F392" s="164"/>
      <c r="H392" s="164"/>
      <c r="I392" s="164"/>
      <c r="J392" s="326"/>
      <c r="K392" s="326"/>
      <c r="L392" s="45"/>
      <c r="M392" s="45"/>
      <c r="N392" s="46"/>
      <c r="O392" s="46"/>
      <c r="P392" s="45"/>
      <c r="Q392" s="45"/>
      <c r="R392" s="45"/>
      <c r="T392" s="42"/>
      <c r="V392" s="164"/>
      <c r="Y392" s="164"/>
      <c r="Z392" s="326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1:40">
      <c r="C393" s="42"/>
      <c r="T393" s="42"/>
    </row>
    <row r="394" spans="1:40">
      <c r="C394" s="42"/>
      <c r="F394" s="164"/>
      <c r="H394" s="164"/>
      <c r="I394" s="164"/>
      <c r="J394" s="132"/>
      <c r="K394" s="132"/>
      <c r="L394" s="45"/>
      <c r="M394" s="45"/>
      <c r="N394" s="46"/>
      <c r="O394" s="46"/>
      <c r="P394" s="45"/>
      <c r="Q394" s="45"/>
      <c r="R394" s="45"/>
      <c r="T394" s="42"/>
      <c r="V394" s="45"/>
      <c r="Y394" s="45"/>
      <c r="Z394" s="132"/>
      <c r="AA394" s="45"/>
      <c r="AB394" s="45"/>
      <c r="AC394" s="46"/>
      <c r="AD394" s="46"/>
      <c r="AE394" s="45"/>
      <c r="AF394" s="45"/>
      <c r="AH394" s="51"/>
      <c r="AI394" s="45"/>
      <c r="AJ394" s="45"/>
      <c r="AL394" s="45"/>
      <c r="AM394" s="46"/>
      <c r="AN394" s="46"/>
    </row>
    <row r="395" spans="1:40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132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1:40">
      <c r="C396" s="42"/>
      <c r="F396" s="164"/>
      <c r="H396" s="164"/>
      <c r="I396" s="164"/>
      <c r="J396" s="132"/>
      <c r="K396" s="132"/>
      <c r="L396" s="45"/>
      <c r="M396" s="45"/>
      <c r="N396" s="46"/>
      <c r="O396" s="46"/>
      <c r="P396" s="45"/>
      <c r="Q396" s="45"/>
      <c r="R396" s="45"/>
      <c r="T396" s="42"/>
      <c r="V396" s="45"/>
      <c r="Y396" s="45"/>
      <c r="Z396" s="132"/>
      <c r="AA396" s="45"/>
      <c r="AB396" s="45"/>
      <c r="AC396" s="46"/>
      <c r="AD396" s="46"/>
      <c r="AE396" s="45"/>
      <c r="AF396" s="45"/>
      <c r="AH396" s="51"/>
      <c r="AI396" s="45"/>
      <c r="AJ396" s="45"/>
      <c r="AL396" s="45"/>
      <c r="AM396" s="46"/>
      <c r="AN396" s="46"/>
    </row>
    <row r="397" spans="1:40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Y397" s="45"/>
      <c r="Z397" s="132"/>
      <c r="AA397" s="45"/>
      <c r="AB397" s="45"/>
      <c r="AC397" s="46"/>
      <c r="AD397" s="46"/>
      <c r="AE397" s="45"/>
      <c r="AF397" s="45"/>
      <c r="AH397" s="51"/>
      <c r="AI397" s="45"/>
      <c r="AJ397" s="45"/>
      <c r="AL397" s="45"/>
      <c r="AM397" s="46"/>
      <c r="AN397" s="46"/>
    </row>
    <row r="398" spans="1:40">
      <c r="C398" s="42"/>
      <c r="J398" s="56"/>
      <c r="K398" s="56"/>
      <c r="T398" s="42"/>
      <c r="Z398" s="56"/>
    </row>
    <row r="399" spans="1:40">
      <c r="C399" s="42"/>
      <c r="F399" s="164"/>
      <c r="H399" s="164"/>
      <c r="I399" s="164"/>
      <c r="J399" s="132"/>
      <c r="K399" s="132"/>
      <c r="L399" s="45"/>
      <c r="M399" s="45"/>
      <c r="N399" s="46"/>
      <c r="O399" s="46"/>
      <c r="P399" s="45"/>
      <c r="Q399" s="45"/>
      <c r="R399" s="45"/>
      <c r="T399" s="42"/>
      <c r="V399" s="45"/>
      <c r="Y399" s="45"/>
      <c r="Z399" s="132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1:40">
      <c r="C400" s="42"/>
      <c r="F400" s="164"/>
      <c r="H400" s="164"/>
      <c r="I400" s="164"/>
      <c r="J400" s="132"/>
      <c r="K400" s="132"/>
      <c r="L400" s="45"/>
      <c r="M400" s="45"/>
      <c r="N400" s="46"/>
      <c r="O400" s="46"/>
      <c r="P400" s="45"/>
      <c r="Q400" s="45"/>
      <c r="R400" s="45"/>
      <c r="T400" s="42"/>
      <c r="V400" s="45"/>
      <c r="Y400" s="45"/>
      <c r="Z400" s="132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>
      <c r="C401" s="42"/>
      <c r="F401" s="164"/>
      <c r="H401" s="164"/>
      <c r="I401" s="164"/>
      <c r="J401" s="132"/>
      <c r="K401" s="132"/>
      <c r="L401" s="45"/>
      <c r="M401" s="45"/>
      <c r="N401" s="46"/>
      <c r="O401" s="46"/>
      <c r="P401" s="45"/>
      <c r="Q401" s="45"/>
      <c r="R401" s="45"/>
      <c r="T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3:40">
      <c r="C402" s="42"/>
      <c r="J402" s="56"/>
      <c r="K402" s="56"/>
      <c r="T402" s="42"/>
      <c r="Z402" s="56"/>
    </row>
    <row r="403" spans="3:40">
      <c r="C403" s="42"/>
      <c r="F403" s="164"/>
      <c r="H403" s="164"/>
      <c r="I403" s="164"/>
      <c r="J403" s="132"/>
      <c r="K403" s="132"/>
      <c r="L403" s="45"/>
      <c r="M403" s="45"/>
      <c r="N403" s="46"/>
      <c r="O403" s="46"/>
      <c r="P403" s="45"/>
      <c r="Q403" s="45"/>
      <c r="R403" s="45"/>
      <c r="T403" s="42"/>
      <c r="V403" s="45"/>
      <c r="Y403" s="45"/>
      <c r="Z403" s="132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3:40">
      <c r="C404" s="42"/>
      <c r="F404" s="164"/>
      <c r="H404" s="164"/>
      <c r="I404" s="164"/>
      <c r="J404" s="132"/>
      <c r="K404" s="132"/>
      <c r="L404" s="45"/>
      <c r="M404" s="45"/>
      <c r="N404" s="46"/>
      <c r="O404" s="46"/>
      <c r="P404" s="45"/>
      <c r="Q404" s="45"/>
      <c r="R404" s="45"/>
      <c r="T404" s="42"/>
      <c r="V404" s="45"/>
      <c r="Y404" s="45"/>
      <c r="Z404" s="132"/>
      <c r="AA404" s="45"/>
      <c r="AB404" s="45"/>
      <c r="AC404" s="46"/>
      <c r="AD404" s="46"/>
      <c r="AE404" s="45"/>
      <c r="AF404" s="45"/>
      <c r="AH404" s="51"/>
      <c r="AI404" s="45"/>
      <c r="AJ404" s="45"/>
      <c r="AL404" s="45"/>
      <c r="AM404" s="46"/>
      <c r="AN404" s="46"/>
    </row>
    <row r="405" spans="3:40">
      <c r="C405" s="42"/>
      <c r="J405" s="56"/>
      <c r="K405" s="56"/>
      <c r="T405" s="42"/>
      <c r="Z405" s="56"/>
    </row>
    <row r="406" spans="3:40">
      <c r="C406" s="42"/>
      <c r="F406" s="164"/>
      <c r="H406" s="164"/>
      <c r="I406" s="164"/>
      <c r="J406" s="132"/>
      <c r="K406" s="132"/>
      <c r="L406" s="45"/>
      <c r="M406" s="45"/>
      <c r="N406" s="46"/>
      <c r="O406" s="46"/>
      <c r="P406" s="45"/>
      <c r="Q406" s="45"/>
      <c r="R406" s="45"/>
      <c r="T406" s="42"/>
      <c r="V406" s="45"/>
      <c r="Y406" s="45"/>
      <c r="Z406" s="132"/>
      <c r="AA406" s="45"/>
      <c r="AB406" s="45"/>
      <c r="AC406" s="46"/>
      <c r="AD406" s="46"/>
      <c r="AE406" s="45"/>
      <c r="AF406" s="45"/>
      <c r="AH406" s="51"/>
      <c r="AI406" s="45"/>
      <c r="AJ406" s="45"/>
      <c r="AL406" s="45"/>
      <c r="AM406" s="46"/>
      <c r="AN406" s="46"/>
    </row>
    <row r="407" spans="3:40">
      <c r="C407" s="42"/>
      <c r="F407" s="164"/>
      <c r="H407" s="164"/>
      <c r="I407" s="164"/>
      <c r="J407" s="132"/>
      <c r="K407" s="132"/>
      <c r="L407" s="45"/>
      <c r="M407" s="45"/>
      <c r="N407" s="46"/>
      <c r="O407" s="46"/>
      <c r="P407" s="45"/>
      <c r="Q407" s="45"/>
      <c r="R407" s="45"/>
      <c r="T407" s="42"/>
      <c r="V407" s="45"/>
      <c r="Y407" s="45"/>
      <c r="Z407" s="132"/>
      <c r="AA407" s="45"/>
      <c r="AB407" s="45"/>
      <c r="AC407" s="46"/>
      <c r="AD407" s="46"/>
      <c r="AE407" s="45"/>
      <c r="AF407" s="45"/>
      <c r="AH407" s="51"/>
      <c r="AI407" s="45"/>
      <c r="AJ407" s="45"/>
      <c r="AL407" s="45"/>
      <c r="AM407" s="46"/>
      <c r="AN407" s="46"/>
    </row>
    <row r="408" spans="3:40">
      <c r="C408" s="42"/>
      <c r="F408" s="164"/>
      <c r="H408" s="164"/>
      <c r="I408" s="164"/>
      <c r="J408" s="132"/>
      <c r="K408" s="132"/>
      <c r="L408" s="45"/>
      <c r="M408" s="45"/>
      <c r="N408" s="46"/>
      <c r="O408" s="46"/>
      <c r="P408" s="45"/>
      <c r="Q408" s="45"/>
      <c r="R408" s="45"/>
      <c r="T408" s="42"/>
      <c r="V408" s="45"/>
      <c r="Y408" s="45"/>
      <c r="Z408" s="132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3:40">
      <c r="F409" s="50"/>
      <c r="H409" s="50"/>
      <c r="I409" s="50"/>
      <c r="J409" s="132"/>
      <c r="K409" s="132"/>
      <c r="L409" s="50"/>
      <c r="M409" s="50"/>
      <c r="N409" s="50"/>
      <c r="O409" s="50"/>
      <c r="P409" s="50"/>
      <c r="Q409" s="50"/>
      <c r="R409" s="50"/>
      <c r="V409" s="50"/>
      <c r="Y409" s="50"/>
      <c r="Z409" s="132"/>
      <c r="AA409" s="50"/>
      <c r="AB409" s="50"/>
      <c r="AC409" s="50"/>
      <c r="AD409" s="50"/>
      <c r="AE409" s="50"/>
      <c r="AF409" s="50"/>
      <c r="AI409" s="50"/>
      <c r="AJ409" s="50"/>
      <c r="AK409" s="111"/>
      <c r="AL409" s="50"/>
    </row>
    <row r="410" spans="3:40">
      <c r="C410" s="44"/>
      <c r="F410" s="45"/>
      <c r="H410" s="45"/>
      <c r="I410" s="45"/>
      <c r="J410" s="56"/>
      <c r="K410" s="56"/>
      <c r="L410" s="45"/>
      <c r="M410" s="45"/>
      <c r="N410" s="51"/>
      <c r="O410" s="51"/>
      <c r="P410" s="45"/>
      <c r="Q410" s="45"/>
      <c r="R410" s="45"/>
      <c r="T410" s="44"/>
      <c r="V410" s="45"/>
      <c r="Y410" s="45"/>
      <c r="Z410" s="56"/>
      <c r="AA410" s="45"/>
      <c r="AB410" s="45"/>
      <c r="AC410" s="45"/>
      <c r="AD410" s="45"/>
      <c r="AE410" s="45"/>
      <c r="AF410" s="45"/>
      <c r="AH410" s="51"/>
      <c r="AI410" s="45"/>
      <c r="AJ410" s="45"/>
      <c r="AL410" s="45"/>
      <c r="AM410" s="46"/>
      <c r="AN410" s="46"/>
    </row>
    <row r="411" spans="3:40">
      <c r="F411" s="50"/>
      <c r="H411" s="50"/>
      <c r="I411" s="50"/>
      <c r="J411" s="132"/>
      <c r="K411" s="132"/>
      <c r="L411" s="50"/>
      <c r="M411" s="50"/>
      <c r="N411" s="50"/>
      <c r="O411" s="50"/>
      <c r="P411" s="50"/>
      <c r="Q411" s="50"/>
      <c r="R411" s="50"/>
      <c r="V411" s="50"/>
      <c r="Y411" s="50"/>
      <c r="Z411" s="132"/>
      <c r="AA411" s="50"/>
      <c r="AB411" s="50"/>
      <c r="AC411" s="50"/>
      <c r="AD411" s="50"/>
      <c r="AE411" s="50"/>
      <c r="AF411" s="50"/>
      <c r="AI411" s="50"/>
      <c r="AJ411" s="50"/>
      <c r="AK411" s="111"/>
      <c r="AL411" s="50"/>
    </row>
    <row r="412" spans="3:40">
      <c r="C412" s="42"/>
      <c r="J412" s="56"/>
      <c r="K412" s="56"/>
      <c r="T412" s="42"/>
      <c r="Z412" s="56"/>
    </row>
    <row r="413" spans="3:40">
      <c r="C413" s="42"/>
      <c r="J413" s="56"/>
      <c r="K413" s="56"/>
      <c r="T413" s="42"/>
      <c r="Z413" s="56"/>
    </row>
    <row r="414" spans="3:40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>
      <c r="C415" s="42"/>
      <c r="F415" s="164"/>
      <c r="H415" s="164"/>
      <c r="I415" s="164"/>
      <c r="J415" s="132"/>
      <c r="K415" s="132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132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3:40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>
      <c r="C417" s="42"/>
      <c r="F417" s="164"/>
      <c r="H417" s="164"/>
      <c r="I417" s="164"/>
      <c r="J417" s="132"/>
      <c r="K417" s="132"/>
      <c r="L417" s="45"/>
      <c r="M417" s="45"/>
      <c r="N417" s="46"/>
      <c r="O417" s="46"/>
      <c r="P417" s="45"/>
      <c r="Q417" s="45"/>
      <c r="R417" s="45"/>
      <c r="T417" s="42"/>
      <c r="V417" s="45"/>
      <c r="Y417" s="45"/>
      <c r="Z417" s="132"/>
      <c r="AA417" s="45"/>
      <c r="AB417" s="45"/>
      <c r="AC417" s="46"/>
      <c r="AD417" s="46"/>
      <c r="AE417" s="45"/>
      <c r="AF417" s="45"/>
      <c r="AH417" s="51"/>
      <c r="AI417" s="45"/>
      <c r="AJ417" s="45"/>
      <c r="AL417" s="45"/>
      <c r="AM417" s="46"/>
      <c r="AN417" s="46"/>
    </row>
    <row r="418" spans="3:40">
      <c r="C418" s="42"/>
      <c r="F418" s="164"/>
      <c r="H418" s="164"/>
      <c r="I418" s="164"/>
      <c r="J418" s="132"/>
      <c r="K418" s="132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Z418" s="132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>
      <c r="C419" s="42"/>
      <c r="F419" s="164"/>
      <c r="H419" s="164"/>
      <c r="I419" s="164"/>
      <c r="J419" s="132"/>
      <c r="K419" s="132"/>
      <c r="L419" s="45"/>
      <c r="M419" s="45"/>
      <c r="N419" s="46"/>
      <c r="O419" s="46"/>
      <c r="P419" s="45"/>
      <c r="Q419" s="45"/>
      <c r="R419" s="45"/>
      <c r="T419" s="42"/>
      <c r="V419" s="45"/>
      <c r="Y419" s="45"/>
      <c r="Z419" s="132"/>
      <c r="AA419" s="45"/>
      <c r="AB419" s="45"/>
      <c r="AC419" s="46"/>
      <c r="AD419" s="46"/>
      <c r="AE419" s="45"/>
      <c r="AF419" s="45"/>
      <c r="AH419" s="51"/>
      <c r="AI419" s="45"/>
      <c r="AJ419" s="45"/>
      <c r="AL419" s="45"/>
      <c r="AM419" s="46"/>
      <c r="AN419" s="46"/>
    </row>
    <row r="420" spans="3:40">
      <c r="C420" s="42"/>
      <c r="F420" s="164"/>
      <c r="H420" s="164"/>
      <c r="I420" s="164"/>
      <c r="J420" s="132"/>
      <c r="K420" s="132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132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>
      <c r="C421" s="42"/>
      <c r="J421" s="56"/>
      <c r="K421" s="56"/>
      <c r="T421" s="42"/>
      <c r="Z421" s="56"/>
    </row>
    <row r="422" spans="3:40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>
      <c r="C426" s="42"/>
      <c r="J426" s="56"/>
      <c r="K426" s="56"/>
      <c r="T426" s="42"/>
      <c r="Z426" s="56"/>
    </row>
    <row r="427" spans="3:40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>
      <c r="C428" s="42"/>
      <c r="F428" s="164"/>
      <c r="H428" s="164"/>
      <c r="I428" s="164"/>
      <c r="J428" s="132"/>
      <c r="K428" s="132"/>
      <c r="L428" s="45"/>
      <c r="M428" s="45"/>
      <c r="N428" s="46"/>
      <c r="O428" s="46"/>
      <c r="P428" s="45"/>
      <c r="Q428" s="45"/>
      <c r="R428" s="45"/>
      <c r="T428" s="42"/>
      <c r="V428" s="45"/>
      <c r="Y428" s="45"/>
      <c r="Z428" s="132"/>
      <c r="AA428" s="45"/>
      <c r="AB428" s="45"/>
      <c r="AC428" s="46"/>
      <c r="AD428" s="46"/>
      <c r="AE428" s="45"/>
      <c r="AF428" s="45"/>
      <c r="AH428" s="51"/>
      <c r="AI428" s="45"/>
      <c r="AJ428" s="45"/>
      <c r="AL428" s="45"/>
      <c r="AM428" s="46"/>
      <c r="AN428" s="46"/>
    </row>
    <row r="429" spans="3:40">
      <c r="C429" s="42"/>
      <c r="F429" s="164"/>
      <c r="H429" s="164"/>
      <c r="I429" s="164"/>
      <c r="J429" s="132"/>
      <c r="K429" s="132"/>
      <c r="L429" s="45"/>
      <c r="M429" s="45"/>
      <c r="N429" s="46"/>
      <c r="O429" s="46"/>
      <c r="P429" s="45"/>
      <c r="Q429" s="45"/>
      <c r="R429" s="45"/>
      <c r="T429" s="42"/>
      <c r="V429" s="45"/>
      <c r="Y429" s="45"/>
      <c r="Z429" s="132"/>
      <c r="AA429" s="45"/>
      <c r="AB429" s="45"/>
      <c r="AC429" s="46"/>
      <c r="AD429" s="46"/>
      <c r="AE429" s="45"/>
      <c r="AF429" s="45"/>
      <c r="AH429" s="51"/>
      <c r="AI429" s="45"/>
      <c r="AJ429" s="45"/>
      <c r="AL429" s="45"/>
      <c r="AM429" s="46"/>
      <c r="AN429" s="46"/>
    </row>
    <row r="430" spans="3:40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>
      <c r="C431" s="42"/>
      <c r="F431" s="164"/>
      <c r="H431" s="164"/>
      <c r="I431" s="164"/>
      <c r="J431" s="132"/>
      <c r="K431" s="132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132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3:40">
      <c r="F432" s="50"/>
      <c r="H432" s="50"/>
      <c r="I432" s="50"/>
      <c r="J432" s="326"/>
      <c r="K432" s="326"/>
      <c r="L432" s="50"/>
      <c r="M432" s="50"/>
      <c r="N432" s="50"/>
      <c r="O432" s="50"/>
      <c r="P432" s="50"/>
      <c r="Q432" s="50"/>
      <c r="R432" s="50"/>
      <c r="V432" s="50"/>
      <c r="Y432" s="50"/>
      <c r="Z432" s="132"/>
      <c r="AA432" s="50"/>
      <c r="AB432" s="50"/>
      <c r="AC432" s="50"/>
      <c r="AD432" s="50"/>
      <c r="AE432" s="50"/>
      <c r="AF432" s="50"/>
      <c r="AI432" s="50"/>
      <c r="AJ432" s="50"/>
      <c r="AK432" s="111"/>
      <c r="AL432" s="50"/>
    </row>
    <row r="433" spans="1:40">
      <c r="C433" s="42"/>
      <c r="F433" s="45"/>
      <c r="H433" s="45"/>
      <c r="I433" s="45"/>
      <c r="L433" s="45"/>
      <c r="M433" s="45"/>
      <c r="N433" s="51"/>
      <c r="O433" s="51"/>
      <c r="P433" s="45"/>
      <c r="Q433" s="45"/>
      <c r="R433" s="45"/>
      <c r="T433" s="42"/>
      <c r="V433" s="45"/>
      <c r="Y433" s="45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1:40">
      <c r="F434" s="50"/>
      <c r="H434" s="50"/>
      <c r="I434" s="50"/>
      <c r="J434" s="326"/>
      <c r="K434" s="326"/>
      <c r="L434" s="50"/>
      <c r="M434" s="50"/>
      <c r="N434" s="50"/>
      <c r="O434" s="50"/>
      <c r="P434" s="50"/>
      <c r="Q434" s="50"/>
      <c r="R434" s="50"/>
      <c r="V434" s="50"/>
      <c r="Y434" s="50"/>
      <c r="Z434" s="326"/>
      <c r="AA434" s="50"/>
      <c r="AB434" s="50"/>
      <c r="AC434" s="50"/>
      <c r="AD434" s="50"/>
      <c r="AE434" s="50"/>
      <c r="AF434" s="50"/>
      <c r="AI434" s="50"/>
      <c r="AJ434" s="50"/>
      <c r="AK434" s="111"/>
      <c r="AL434" s="50"/>
    </row>
    <row r="435" spans="1:40">
      <c r="C435" s="42"/>
      <c r="T435" s="42"/>
    </row>
    <row r="436" spans="1:40">
      <c r="C436" s="42"/>
      <c r="F436" s="164"/>
      <c r="H436" s="164"/>
      <c r="I436" s="164"/>
      <c r="J436" s="316"/>
      <c r="K436" s="316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316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1:40">
      <c r="C437" s="42"/>
      <c r="F437" s="164"/>
      <c r="H437" s="164"/>
      <c r="I437" s="164"/>
      <c r="J437" s="316"/>
      <c r="K437" s="316"/>
      <c r="L437" s="45"/>
      <c r="M437" s="45"/>
      <c r="N437" s="46"/>
      <c r="O437" s="46"/>
      <c r="P437" s="45"/>
      <c r="Q437" s="45"/>
      <c r="R437" s="45"/>
      <c r="T437" s="42"/>
      <c r="V437" s="45"/>
      <c r="Y437" s="45"/>
      <c r="Z437" s="316"/>
      <c r="AA437" s="45"/>
      <c r="AB437" s="45"/>
      <c r="AC437" s="46"/>
      <c r="AD437" s="46"/>
      <c r="AE437" s="45"/>
      <c r="AF437" s="45"/>
      <c r="AH437" s="51"/>
      <c r="AI437" s="45"/>
      <c r="AJ437" s="45"/>
      <c r="AL437" s="45"/>
      <c r="AM437" s="46"/>
      <c r="AN437" s="46"/>
    </row>
    <row r="438" spans="1:40">
      <c r="F438" s="50"/>
      <c r="H438" s="45"/>
      <c r="I438" s="45"/>
      <c r="J438" s="326"/>
      <c r="K438" s="326"/>
      <c r="L438" s="50"/>
      <c r="M438" s="50"/>
      <c r="N438" s="50"/>
      <c r="O438" s="50"/>
      <c r="P438" s="50"/>
      <c r="Q438" s="50"/>
      <c r="R438" s="50"/>
      <c r="V438" s="50"/>
      <c r="Y438" s="45"/>
      <c r="Z438" s="326"/>
      <c r="AA438" s="50"/>
      <c r="AB438" s="50"/>
      <c r="AC438" s="50"/>
      <c r="AD438" s="50"/>
      <c r="AE438" s="50"/>
      <c r="AF438" s="50"/>
      <c r="AI438" s="50"/>
      <c r="AJ438" s="50"/>
      <c r="AK438" s="111"/>
      <c r="AL438" s="50"/>
    </row>
    <row r="439" spans="1:40">
      <c r="F439" s="45"/>
      <c r="H439" s="45"/>
      <c r="I439" s="45"/>
      <c r="J439" s="326"/>
      <c r="K439" s="326"/>
      <c r="L439" s="45"/>
      <c r="M439" s="45"/>
      <c r="N439" s="45"/>
      <c r="O439" s="45"/>
      <c r="P439" s="45"/>
      <c r="Q439" s="45"/>
      <c r="R439" s="45"/>
      <c r="V439" s="45"/>
      <c r="Y439" s="45"/>
      <c r="Z439" s="326"/>
      <c r="AA439" s="45"/>
      <c r="AB439" s="45"/>
      <c r="AC439" s="45"/>
      <c r="AD439" s="45"/>
      <c r="AE439" s="45"/>
      <c r="AF439" s="45"/>
      <c r="AI439" s="45"/>
      <c r="AJ439" s="45"/>
      <c r="AL439" s="45"/>
    </row>
    <row r="440" spans="1:40">
      <c r="C440" s="42"/>
      <c r="F440" s="45"/>
      <c r="H440" s="45"/>
      <c r="I440" s="45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AA440" s="45"/>
      <c r="AB440" s="45"/>
      <c r="AC440" s="46"/>
      <c r="AD440" s="46"/>
      <c r="AE440" s="45"/>
      <c r="AF440" s="45"/>
      <c r="AH440" s="51"/>
      <c r="AI440" s="164"/>
      <c r="AJ440" s="164"/>
      <c r="AL440" s="45"/>
      <c r="AM440" s="46"/>
      <c r="AN440" s="46"/>
    </row>
    <row r="441" spans="1:40">
      <c r="F441" s="50"/>
      <c r="H441" s="50"/>
      <c r="I441" s="50"/>
      <c r="J441" s="326"/>
      <c r="K441" s="326"/>
      <c r="L441" s="50"/>
      <c r="M441" s="50"/>
      <c r="N441" s="50"/>
      <c r="O441" s="50"/>
      <c r="P441" s="50"/>
      <c r="Q441" s="50"/>
      <c r="R441" s="50"/>
      <c r="V441" s="50"/>
      <c r="Y441" s="50"/>
      <c r="Z441" s="326"/>
      <c r="AA441" s="50"/>
      <c r="AB441" s="50"/>
      <c r="AC441" s="50"/>
      <c r="AD441" s="50"/>
      <c r="AE441" s="50"/>
      <c r="AF441" s="50"/>
      <c r="AI441" s="50"/>
      <c r="AJ441" s="50"/>
      <c r="AK441" s="111"/>
      <c r="AL441" s="50"/>
    </row>
    <row r="443" spans="1:40">
      <c r="A443" s="42"/>
      <c r="T443" s="42"/>
    </row>
    <row r="444" spans="1:40">
      <c r="A444" s="42"/>
      <c r="T444" s="42"/>
    </row>
    <row r="445" spans="1:40">
      <c r="A445" s="42"/>
      <c r="T445" s="42"/>
    </row>
    <row r="446" spans="1:40">
      <c r="A446" s="42"/>
      <c r="T446" s="42"/>
    </row>
    <row r="447" spans="1:40">
      <c r="A447" s="42"/>
      <c r="T447" s="42"/>
    </row>
    <row r="448" spans="1:40">
      <c r="A448" s="42"/>
      <c r="T448" s="42"/>
    </row>
    <row r="449" spans="1:40">
      <c r="A449" s="42"/>
      <c r="T449" s="42"/>
    </row>
    <row r="450" spans="1:40">
      <c r="A450" s="42"/>
      <c r="T450" s="42"/>
    </row>
    <row r="451" spans="1:40">
      <c r="A451" s="42"/>
      <c r="T451" s="42"/>
    </row>
    <row r="453" spans="1:40">
      <c r="A453" s="42"/>
    </row>
    <row r="455" spans="1:40">
      <c r="H455" s="42"/>
      <c r="I455" s="42"/>
      <c r="Y455" s="42"/>
    </row>
    <row r="457" spans="1:40">
      <c r="L457" s="42"/>
      <c r="M457" s="42"/>
      <c r="AA457" s="42"/>
      <c r="AB457" s="42"/>
    </row>
    <row r="458" spans="1:40">
      <c r="R458" s="42"/>
      <c r="AK458" s="110"/>
      <c r="AL458" s="42"/>
    </row>
    <row r="459" spans="1:40">
      <c r="R459" s="42"/>
      <c r="AK459" s="110"/>
      <c r="AL459" s="42"/>
    </row>
    <row r="460" spans="1:40">
      <c r="A460" s="42"/>
      <c r="R460" s="42"/>
      <c r="AK460" s="110"/>
      <c r="AL460" s="42"/>
    </row>
    <row r="461" spans="1:40">
      <c r="L461" s="42"/>
      <c r="M461" s="42"/>
      <c r="AA461" s="42"/>
      <c r="AB461" s="42"/>
    </row>
    <row r="462" spans="1:40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107"/>
      <c r="AH462" s="49"/>
      <c r="AI462" s="49"/>
      <c r="AJ462" s="49"/>
      <c r="AK462" s="107"/>
      <c r="AL462" s="49"/>
      <c r="AM462" s="49"/>
      <c r="AN462" s="49"/>
    </row>
    <row r="463" spans="1:40">
      <c r="L463" s="44"/>
      <c r="M463" s="44"/>
      <c r="N463" s="44"/>
      <c r="O463" s="44"/>
      <c r="R463" s="44"/>
      <c r="AA463" s="44"/>
      <c r="AB463" s="44"/>
      <c r="AC463" s="44"/>
      <c r="AD463" s="44"/>
      <c r="AE463" s="44"/>
      <c r="AF463" s="44"/>
      <c r="AG463" s="102"/>
      <c r="AH463" s="44"/>
      <c r="AK463" s="102"/>
      <c r="AL463" s="44"/>
      <c r="AM463" s="44"/>
      <c r="AN463" s="44"/>
    </row>
    <row r="464" spans="1:40">
      <c r="L464" s="44"/>
      <c r="M464" s="44"/>
      <c r="N464" s="44"/>
      <c r="O464" s="44"/>
      <c r="R464" s="44"/>
      <c r="Z464" s="44"/>
      <c r="AA464" s="44"/>
      <c r="AB464" s="44"/>
      <c r="AC464" s="44"/>
      <c r="AD464" s="44"/>
      <c r="AE464" s="44"/>
      <c r="AF464" s="44"/>
      <c r="AG464" s="102"/>
      <c r="AH464" s="44"/>
      <c r="AK464" s="102"/>
      <c r="AL464" s="44"/>
      <c r="AM464" s="44"/>
      <c r="AN464" s="44"/>
    </row>
    <row r="465" spans="1:40">
      <c r="A465" s="44"/>
      <c r="C465" s="44"/>
      <c r="D465" s="44"/>
      <c r="E465" s="44"/>
      <c r="F465" s="44"/>
      <c r="J465" s="44"/>
      <c r="K465" s="44"/>
      <c r="L465" s="44"/>
      <c r="M465" s="44"/>
      <c r="N465" s="44"/>
      <c r="O465" s="44"/>
      <c r="P465" s="44"/>
      <c r="Q465" s="44"/>
      <c r="R465" s="44"/>
      <c r="T465" s="44"/>
      <c r="U465" s="44"/>
      <c r="V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1:40">
      <c r="A466" s="44"/>
      <c r="C466" s="44"/>
      <c r="D466" s="44"/>
      <c r="E466" s="44"/>
      <c r="F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T466" s="44"/>
      <c r="U466" s="44"/>
      <c r="V466" s="44"/>
      <c r="Y466" s="44"/>
      <c r="Z466" s="44"/>
      <c r="AA466" s="44"/>
      <c r="AB466" s="44"/>
      <c r="AC466" s="44"/>
      <c r="AD466" s="44"/>
      <c r="AE466" s="44"/>
      <c r="AF466" s="44"/>
      <c r="AG466" s="102"/>
      <c r="AH466" s="44"/>
      <c r="AI466" s="44"/>
      <c r="AJ466" s="44"/>
      <c r="AK466" s="102"/>
      <c r="AL466" s="44"/>
      <c r="AM466" s="44"/>
      <c r="AN466" s="44"/>
    </row>
    <row r="467" spans="1:40">
      <c r="C467" s="44"/>
      <c r="D467" s="44"/>
      <c r="E467" s="44"/>
      <c r="F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T467" s="44"/>
      <c r="U467" s="44"/>
      <c r="V467" s="44"/>
      <c r="Y467" s="44"/>
      <c r="Z467" s="44"/>
      <c r="AA467" s="44"/>
      <c r="AB467" s="44"/>
      <c r="AC467" s="44"/>
      <c r="AD467" s="44"/>
      <c r="AE467" s="44"/>
      <c r="AF467" s="44"/>
      <c r="AG467" s="102"/>
      <c r="AH467" s="44"/>
      <c r="AI467" s="44"/>
      <c r="AJ467" s="44"/>
      <c r="AK467" s="102"/>
      <c r="AL467" s="44"/>
      <c r="AM467" s="44"/>
      <c r="AN467" s="44"/>
    </row>
    <row r="468" spans="1:40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107"/>
      <c r="AH468" s="49"/>
      <c r="AI468" s="49"/>
      <c r="AJ468" s="49"/>
      <c r="AK468" s="107"/>
      <c r="AL468" s="49"/>
      <c r="AM468" s="49"/>
      <c r="AN468" s="49"/>
    </row>
    <row r="469" spans="1:40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Y469" s="44"/>
      <c r="Z469" s="44"/>
      <c r="AA469" s="44"/>
      <c r="AB469" s="44"/>
      <c r="AC469" s="44"/>
      <c r="AD469" s="44"/>
      <c r="AE469" s="44"/>
      <c r="AF469" s="44"/>
      <c r="AG469" s="102"/>
      <c r="AH469" s="44"/>
      <c r="AI469" s="44"/>
      <c r="AJ469" s="44"/>
      <c r="AK469" s="102"/>
      <c r="AL469" s="44"/>
      <c r="AM469" s="44"/>
      <c r="AN469" s="44"/>
    </row>
    <row r="470" spans="1:40">
      <c r="C470" s="42"/>
      <c r="D470" s="42"/>
      <c r="E470" s="42"/>
      <c r="T470" s="42"/>
      <c r="U470" s="42"/>
    </row>
    <row r="471" spans="1:40">
      <c r="D471" s="42"/>
      <c r="E471" s="42"/>
      <c r="U471" s="42"/>
    </row>
    <row r="473" spans="1:40">
      <c r="C473" s="42"/>
      <c r="F473" s="45"/>
      <c r="J473" s="53"/>
      <c r="K473" s="53"/>
      <c r="L473" s="45"/>
      <c r="M473" s="45"/>
      <c r="R473" s="45"/>
      <c r="T473" s="42"/>
      <c r="V473" s="45"/>
      <c r="Z473" s="53"/>
      <c r="AA473" s="45"/>
      <c r="AB473" s="45"/>
      <c r="AH473" s="45"/>
      <c r="AL473" s="45"/>
    </row>
    <row r="474" spans="1:40">
      <c r="C474" s="42"/>
      <c r="F474" s="45"/>
      <c r="R474" s="45"/>
      <c r="T474" s="42"/>
      <c r="V474" s="45"/>
      <c r="AH474" s="45"/>
      <c r="AL474" s="45"/>
    </row>
    <row r="475" spans="1:40">
      <c r="AI475" s="45"/>
      <c r="AJ475" s="45"/>
      <c r="AL475" s="45"/>
      <c r="AM475" s="46"/>
      <c r="AN475" s="46"/>
    </row>
    <row r="476" spans="1:40">
      <c r="C476" s="42"/>
      <c r="F476" s="164"/>
      <c r="H476" s="164"/>
      <c r="I476" s="164"/>
      <c r="J476" s="336"/>
      <c r="K476" s="336"/>
      <c r="L476" s="45"/>
      <c r="M476" s="45"/>
      <c r="N476" s="46"/>
      <c r="O476" s="46"/>
      <c r="P476" s="45"/>
      <c r="Q476" s="45"/>
      <c r="R476" s="45"/>
      <c r="T476" s="42"/>
      <c r="V476" s="45"/>
      <c r="Y476" s="45"/>
      <c r="Z476" s="336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1:40">
      <c r="F477" s="45"/>
      <c r="H477" s="45"/>
      <c r="I477" s="45"/>
      <c r="J477" s="47"/>
      <c r="K477" s="47"/>
      <c r="L477" s="45"/>
      <c r="M477" s="45"/>
      <c r="P477" s="45"/>
      <c r="Q477" s="45"/>
      <c r="R477" s="45"/>
      <c r="V477" s="45"/>
      <c r="Y477" s="45"/>
      <c r="Z477" s="47"/>
      <c r="AA477" s="45"/>
      <c r="AB477" s="45"/>
      <c r="AI477" s="45"/>
      <c r="AJ477" s="45"/>
      <c r="AL477" s="45"/>
      <c r="AM477" s="46"/>
      <c r="AN477" s="46"/>
    </row>
    <row r="478" spans="1:40">
      <c r="F478" s="45"/>
      <c r="R478" s="45"/>
      <c r="V478" s="45"/>
      <c r="AL478" s="45"/>
      <c r="AM478" s="46"/>
      <c r="AN478" s="46"/>
    </row>
    <row r="479" spans="1:40">
      <c r="C479" s="42"/>
      <c r="F479" s="45"/>
      <c r="J479" s="53"/>
      <c r="K479" s="53"/>
      <c r="L479" s="45"/>
      <c r="M479" s="45"/>
      <c r="N479" s="46"/>
      <c r="O479" s="46"/>
      <c r="R479" s="45"/>
      <c r="T479" s="42"/>
      <c r="V479" s="45"/>
      <c r="Z479" s="53"/>
      <c r="AA479" s="45"/>
      <c r="AB479" s="45"/>
      <c r="AC479" s="46"/>
      <c r="AD479" s="46"/>
      <c r="AL479" s="45"/>
      <c r="AM479" s="46"/>
      <c r="AN479" s="46"/>
    </row>
    <row r="480" spans="1:40">
      <c r="C480" s="42"/>
      <c r="F480" s="45"/>
      <c r="H480" s="45"/>
      <c r="I480" s="45"/>
      <c r="J480" s="53"/>
      <c r="K480" s="53"/>
      <c r="L480" s="45"/>
      <c r="M480" s="45"/>
      <c r="N480" s="46"/>
      <c r="O480" s="46"/>
      <c r="P480" s="45"/>
      <c r="Q480" s="45"/>
      <c r="R480" s="45"/>
      <c r="T480" s="42"/>
      <c r="V480" s="45"/>
      <c r="Y480" s="45"/>
      <c r="Z480" s="53"/>
      <c r="AA480" s="45"/>
      <c r="AB480" s="45"/>
      <c r="AC480" s="46"/>
      <c r="AD480" s="46"/>
      <c r="AI480" s="45"/>
      <c r="AJ480" s="45"/>
      <c r="AL480" s="45"/>
      <c r="AM480" s="46"/>
      <c r="AN480" s="46"/>
    </row>
    <row r="481" spans="1:40">
      <c r="C481" s="42"/>
      <c r="T481" s="42"/>
      <c r="AM481" s="46"/>
      <c r="AN481" s="46"/>
    </row>
    <row r="482" spans="1:40">
      <c r="C482" s="42"/>
      <c r="T482" s="42"/>
      <c r="AM482" s="46"/>
      <c r="AN482" s="46"/>
    </row>
    <row r="483" spans="1:40">
      <c r="AM483" s="46"/>
      <c r="AN483" s="46"/>
    </row>
    <row r="484" spans="1:40">
      <c r="C484" s="42"/>
      <c r="F484" s="164"/>
      <c r="H484" s="164"/>
      <c r="I484" s="164"/>
      <c r="J484" s="336"/>
      <c r="K484" s="336"/>
      <c r="L484" s="45"/>
      <c r="M484" s="45"/>
      <c r="N484" s="46"/>
      <c r="O484" s="46"/>
      <c r="P484" s="45"/>
      <c r="Q484" s="45"/>
      <c r="R484" s="45"/>
      <c r="T484" s="42"/>
      <c r="V484" s="45"/>
      <c r="Y484" s="45"/>
      <c r="Z484" s="336"/>
      <c r="AA484" s="45"/>
      <c r="AB484" s="45"/>
      <c r="AC484" s="46"/>
      <c r="AD484" s="46"/>
      <c r="AE484" s="45"/>
      <c r="AF484" s="45"/>
      <c r="AH484" s="51"/>
      <c r="AI484" s="45"/>
      <c r="AJ484" s="45"/>
      <c r="AL484" s="45"/>
      <c r="AM484" s="46"/>
      <c r="AN484" s="46"/>
    </row>
    <row r="485" spans="1:40">
      <c r="F485" s="50"/>
      <c r="H485" s="50"/>
      <c r="I485" s="50"/>
      <c r="J485" s="326"/>
      <c r="K485" s="326"/>
      <c r="L485" s="50"/>
      <c r="M485" s="50"/>
      <c r="N485" s="50"/>
      <c r="O485" s="50"/>
      <c r="P485" s="50"/>
      <c r="Q485" s="50"/>
      <c r="R485" s="50"/>
      <c r="V485" s="50"/>
      <c r="Y485" s="50"/>
      <c r="Z485" s="326"/>
      <c r="AA485" s="50"/>
      <c r="AB485" s="50"/>
      <c r="AC485" s="50"/>
      <c r="AD485" s="50"/>
      <c r="AE485" s="50"/>
      <c r="AF485" s="50"/>
      <c r="AI485" s="50"/>
      <c r="AJ485" s="50"/>
      <c r="AK485" s="111"/>
      <c r="AL485" s="50"/>
      <c r="AM485" s="46"/>
      <c r="AN485" s="46"/>
    </row>
    <row r="486" spans="1:40">
      <c r="H486" s="45"/>
      <c r="I486" s="45"/>
      <c r="Y486" s="45"/>
      <c r="AM486" s="46"/>
      <c r="AN486" s="46"/>
    </row>
    <row r="487" spans="1:40">
      <c r="C487" s="42"/>
      <c r="F487" s="45"/>
      <c r="H487" s="45"/>
      <c r="I487" s="45"/>
      <c r="L487" s="45"/>
      <c r="M487" s="45"/>
      <c r="N487" s="46"/>
      <c r="O487" s="46"/>
      <c r="P487" s="164"/>
      <c r="Q487" s="164"/>
      <c r="R487" s="45"/>
      <c r="T487" s="42"/>
      <c r="V487" s="45"/>
      <c r="Y487" s="45"/>
      <c r="AA487" s="45"/>
      <c r="AB487" s="45"/>
      <c r="AC487" s="46"/>
      <c r="AD487" s="46"/>
      <c r="AE487" s="45"/>
      <c r="AF487" s="45"/>
      <c r="AH487" s="51"/>
      <c r="AI487" s="164"/>
      <c r="AJ487" s="164"/>
      <c r="AL487" s="45"/>
      <c r="AM487" s="46"/>
      <c r="AN487" s="46"/>
    </row>
    <row r="488" spans="1:40">
      <c r="F488" s="50"/>
      <c r="H488" s="50"/>
      <c r="I488" s="50"/>
      <c r="J488" s="326"/>
      <c r="K488" s="326"/>
      <c r="L488" s="50"/>
      <c r="M488" s="50"/>
      <c r="N488" s="50"/>
      <c r="O488" s="50"/>
      <c r="P488" s="50"/>
      <c r="Q488" s="50"/>
      <c r="R488" s="50"/>
      <c r="V488" s="50"/>
      <c r="Y488" s="50"/>
      <c r="Z488" s="326"/>
      <c r="AA488" s="50"/>
      <c r="AB488" s="50"/>
      <c r="AC488" s="50"/>
      <c r="AD488" s="50"/>
      <c r="AE488" s="50"/>
      <c r="AF488" s="50"/>
      <c r="AI488" s="50"/>
      <c r="AJ488" s="50"/>
      <c r="AK488" s="111"/>
      <c r="AL488" s="50"/>
      <c r="AM488" s="46"/>
      <c r="AN488" s="46"/>
    </row>
    <row r="490" spans="1:40">
      <c r="F490" s="45"/>
      <c r="H490" s="45"/>
      <c r="I490" s="45"/>
      <c r="J490" s="47"/>
      <c r="K490" s="47"/>
      <c r="L490" s="45"/>
      <c r="M490" s="45"/>
      <c r="N490" s="45"/>
      <c r="O490" s="45"/>
      <c r="P490" s="45"/>
      <c r="Q490" s="45"/>
      <c r="R490" s="45"/>
      <c r="V490" s="45"/>
      <c r="Y490" s="45"/>
      <c r="Z490" s="47"/>
      <c r="AA490" s="45"/>
      <c r="AB490" s="45"/>
      <c r="AC490" s="45"/>
      <c r="AD490" s="45"/>
      <c r="AE490" s="45"/>
      <c r="AF490" s="45"/>
      <c r="AH490" s="45"/>
      <c r="AI490" s="45"/>
      <c r="AJ490" s="45"/>
      <c r="AL490" s="45"/>
    </row>
    <row r="491" spans="1:40">
      <c r="A491" s="42"/>
    </row>
    <row r="493" spans="1:40">
      <c r="H493" s="42"/>
      <c r="I493" s="42"/>
      <c r="Y493" s="42"/>
    </row>
    <row r="495" spans="1:40">
      <c r="L495" s="42"/>
      <c r="M495" s="42"/>
      <c r="AA495" s="42"/>
      <c r="AB495" s="42"/>
    </row>
    <row r="496" spans="1:40">
      <c r="R496" s="42"/>
      <c r="AK496" s="110"/>
      <c r="AL496" s="42"/>
    </row>
    <row r="497" spans="1:40">
      <c r="R497" s="42"/>
      <c r="AK497" s="110"/>
      <c r="AL497" s="42"/>
    </row>
    <row r="498" spans="1:40">
      <c r="A498" s="42"/>
      <c r="R498" s="42"/>
      <c r="AK498" s="110"/>
      <c r="AL498" s="42"/>
    </row>
    <row r="499" spans="1:40">
      <c r="L499" s="42"/>
      <c r="M499" s="42"/>
      <c r="AA499" s="42"/>
      <c r="AB499" s="42"/>
    </row>
    <row r="500" spans="1:40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107"/>
      <c r="AH500" s="49"/>
      <c r="AI500" s="49"/>
      <c r="AJ500" s="49"/>
      <c r="AK500" s="107"/>
      <c r="AL500" s="49"/>
      <c r="AM500" s="49"/>
      <c r="AN500" s="49"/>
    </row>
    <row r="501" spans="1:40">
      <c r="L501" s="44"/>
      <c r="M501" s="44"/>
      <c r="N501" s="44"/>
      <c r="O501" s="44"/>
      <c r="R501" s="44"/>
      <c r="AA501" s="44"/>
      <c r="AB501" s="44"/>
      <c r="AC501" s="44"/>
      <c r="AD501" s="44"/>
      <c r="AE501" s="44"/>
      <c r="AF501" s="44"/>
      <c r="AG501" s="102"/>
      <c r="AH501" s="44"/>
      <c r="AK501" s="102"/>
      <c r="AL501" s="44"/>
      <c r="AM501" s="44"/>
      <c r="AN501" s="44"/>
    </row>
    <row r="502" spans="1:40">
      <c r="L502" s="44"/>
      <c r="M502" s="44"/>
      <c r="N502" s="44"/>
      <c r="O502" s="44"/>
      <c r="R502" s="44"/>
      <c r="Z502" s="44"/>
      <c r="AA502" s="44"/>
      <c r="AB502" s="44"/>
      <c r="AC502" s="44"/>
      <c r="AD502" s="44"/>
      <c r="AE502" s="44"/>
      <c r="AF502" s="44"/>
      <c r="AG502" s="102"/>
      <c r="AH502" s="44"/>
      <c r="AK502" s="102"/>
      <c r="AL502" s="44"/>
      <c r="AM502" s="44"/>
      <c r="AN502" s="44"/>
    </row>
    <row r="503" spans="1:40">
      <c r="A503" s="44"/>
      <c r="C503" s="44"/>
      <c r="D503" s="44"/>
      <c r="E503" s="44"/>
      <c r="F503" s="44"/>
      <c r="J503" s="44"/>
      <c r="K503" s="44"/>
      <c r="L503" s="44"/>
      <c r="M503" s="44"/>
      <c r="N503" s="44"/>
      <c r="O503" s="44"/>
      <c r="P503" s="44"/>
      <c r="Q503" s="44"/>
      <c r="R503" s="44"/>
      <c r="T503" s="44"/>
      <c r="U503" s="44"/>
      <c r="V503" s="44"/>
      <c r="Z503" s="44"/>
      <c r="AA503" s="44"/>
      <c r="AB503" s="44"/>
      <c r="AC503" s="44"/>
      <c r="AD503" s="44"/>
      <c r="AE503" s="44"/>
      <c r="AF503" s="44"/>
      <c r="AG503" s="102"/>
      <c r="AH503" s="44"/>
      <c r="AI503" s="44"/>
      <c r="AJ503" s="44"/>
      <c r="AK503" s="102"/>
      <c r="AL503" s="44"/>
      <c r="AM503" s="44"/>
      <c r="AN503" s="44"/>
    </row>
    <row r="504" spans="1:40">
      <c r="A504" s="44"/>
      <c r="C504" s="44"/>
      <c r="D504" s="44"/>
      <c r="E504" s="44"/>
      <c r="F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Y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>
      <c r="C505" s="44"/>
      <c r="D505" s="44"/>
      <c r="E505" s="44"/>
      <c r="F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T505" s="44"/>
      <c r="U505" s="44"/>
      <c r="V505" s="44"/>
      <c r="Y505" s="44"/>
      <c r="Z505" s="44"/>
      <c r="AA505" s="44"/>
      <c r="AB505" s="44"/>
      <c r="AC505" s="44"/>
      <c r="AD505" s="44"/>
      <c r="AE505" s="44"/>
      <c r="AF505" s="44"/>
      <c r="AG505" s="102"/>
      <c r="AH505" s="44"/>
      <c r="AI505" s="44"/>
      <c r="AJ505" s="44"/>
      <c r="AK505" s="102"/>
      <c r="AL505" s="44"/>
      <c r="AM505" s="44"/>
      <c r="AN505" s="44"/>
    </row>
    <row r="506" spans="1:40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107"/>
      <c r="AH506" s="49"/>
      <c r="AI506" s="49"/>
      <c r="AJ506" s="49"/>
      <c r="AK506" s="107"/>
      <c r="AL506" s="49"/>
      <c r="AM506" s="49"/>
      <c r="AN506" s="49"/>
    </row>
    <row r="507" spans="1:40"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Y507" s="44"/>
      <c r="Z507" s="44"/>
      <c r="AA507" s="44"/>
      <c r="AB507" s="44"/>
      <c r="AC507" s="44"/>
      <c r="AD507" s="44"/>
      <c r="AE507" s="44"/>
      <c r="AF507" s="44"/>
      <c r="AG507" s="102"/>
      <c r="AH507" s="44"/>
      <c r="AI507" s="44"/>
      <c r="AJ507" s="44"/>
      <c r="AK507" s="102"/>
      <c r="AL507" s="44"/>
      <c r="AM507" s="44"/>
      <c r="AN507" s="44"/>
    </row>
    <row r="508" spans="1:40">
      <c r="C508" s="42"/>
      <c r="D508" s="42"/>
      <c r="E508" s="42"/>
      <c r="T508" s="42"/>
      <c r="U508" s="42"/>
      <c r="V508" s="45"/>
      <c r="W508" s="45"/>
      <c r="X508" s="45"/>
      <c r="Y508" s="45"/>
      <c r="Z508" s="336"/>
    </row>
    <row r="510" spans="1:40">
      <c r="C510" s="42"/>
      <c r="T510" s="42"/>
      <c r="V510" s="45"/>
      <c r="W510" s="45"/>
      <c r="X510" s="45"/>
      <c r="Y510" s="45"/>
      <c r="Z510" s="336"/>
    </row>
    <row r="511" spans="1:40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46"/>
      <c r="AN511" s="46"/>
    </row>
    <row r="512" spans="1:40">
      <c r="C512" s="42"/>
      <c r="F512" s="164"/>
      <c r="H512" s="164"/>
      <c r="I512" s="164"/>
      <c r="J512" s="132"/>
      <c r="K512" s="132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132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46"/>
      <c r="AN512" s="46"/>
    </row>
    <row r="513" spans="1:40">
      <c r="C513" s="42"/>
      <c r="F513" s="164"/>
      <c r="H513" s="164"/>
      <c r="I513" s="164"/>
      <c r="J513" s="132"/>
      <c r="K513" s="132"/>
      <c r="L513" s="45"/>
      <c r="M513" s="45"/>
      <c r="N513" s="46"/>
      <c r="O513" s="46"/>
      <c r="P513" s="45"/>
      <c r="Q513" s="45"/>
      <c r="R513" s="45"/>
      <c r="T513" s="42"/>
      <c r="V513" s="45"/>
      <c r="W513" s="45"/>
      <c r="X513" s="45"/>
      <c r="Y513" s="45"/>
      <c r="Z513" s="132"/>
      <c r="AA513" s="45"/>
      <c r="AB513" s="45"/>
      <c r="AC513" s="46"/>
      <c r="AD513" s="46"/>
      <c r="AE513" s="45"/>
      <c r="AF513" s="45"/>
      <c r="AH513" s="51"/>
      <c r="AI513" s="45"/>
      <c r="AJ513" s="45"/>
      <c r="AL513" s="45"/>
      <c r="AM513" s="46"/>
      <c r="AN513" s="46"/>
    </row>
    <row r="514" spans="1:40">
      <c r="C514" s="42"/>
      <c r="F514" s="164"/>
      <c r="H514" s="164"/>
      <c r="I514" s="164"/>
      <c r="J514" s="132"/>
      <c r="K514" s="132"/>
      <c r="L514" s="45"/>
      <c r="M514" s="45"/>
      <c r="N514" s="46"/>
      <c r="O514" s="46"/>
      <c r="P514" s="45"/>
      <c r="Q514" s="45"/>
      <c r="R514" s="45"/>
      <c r="T514" s="42"/>
      <c r="V514" s="45"/>
      <c r="W514" s="45"/>
      <c r="X514" s="45"/>
      <c r="Y514" s="45"/>
      <c r="Z514" s="132"/>
      <c r="AA514" s="45"/>
      <c r="AB514" s="45"/>
      <c r="AC514" s="46"/>
      <c r="AD514" s="46"/>
      <c r="AE514" s="45"/>
      <c r="AF514" s="45"/>
      <c r="AH514" s="51"/>
      <c r="AI514" s="45"/>
      <c r="AJ514" s="45"/>
      <c r="AL514" s="45"/>
      <c r="AM514" s="46"/>
      <c r="AN514" s="46"/>
    </row>
    <row r="515" spans="1:40">
      <c r="J515" s="56"/>
      <c r="K515" s="56"/>
      <c r="V515" s="45"/>
      <c r="W515" s="45"/>
      <c r="X515" s="45"/>
      <c r="Y515" s="45"/>
      <c r="Z515" s="132"/>
    </row>
    <row r="516" spans="1:40">
      <c r="C516" s="42"/>
      <c r="F516" s="164"/>
      <c r="H516" s="164"/>
      <c r="I516" s="164"/>
      <c r="J516" s="132"/>
      <c r="K516" s="132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132"/>
      <c r="AA516" s="45"/>
      <c r="AB516" s="45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1:40">
      <c r="C517" s="42"/>
      <c r="J517" s="56"/>
      <c r="K517" s="56"/>
      <c r="T517" s="42"/>
      <c r="V517" s="45"/>
      <c r="W517" s="45"/>
      <c r="X517" s="45"/>
      <c r="Y517" s="45"/>
      <c r="Z517" s="132"/>
    </row>
    <row r="518" spans="1:40">
      <c r="C518" s="42"/>
      <c r="F518" s="164"/>
      <c r="H518" s="164"/>
      <c r="I518" s="164"/>
      <c r="J518" s="132"/>
      <c r="K518" s="132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132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1:40">
      <c r="J519" s="56"/>
      <c r="K519" s="56"/>
      <c r="Z519" s="56"/>
    </row>
    <row r="520" spans="1:40">
      <c r="C520" s="42"/>
      <c r="J520" s="56"/>
      <c r="K520" s="56"/>
      <c r="T520" s="42"/>
      <c r="V520" s="45"/>
      <c r="W520" s="45"/>
      <c r="X520" s="45"/>
      <c r="Y520" s="45"/>
      <c r="Z520" s="132"/>
    </row>
    <row r="521" spans="1:40">
      <c r="C521" s="42"/>
      <c r="F521" s="164"/>
      <c r="H521" s="164"/>
      <c r="I521" s="164"/>
      <c r="J521" s="132"/>
      <c r="K521" s="132"/>
      <c r="L521" s="45"/>
      <c r="M521" s="45"/>
      <c r="N521" s="46"/>
      <c r="O521" s="46"/>
      <c r="P521" s="45"/>
      <c r="Q521" s="45"/>
      <c r="R521" s="45"/>
      <c r="T521" s="42"/>
      <c r="V521" s="45"/>
      <c r="W521" s="45"/>
      <c r="X521" s="45"/>
      <c r="Y521" s="45"/>
      <c r="Z521" s="132"/>
      <c r="AA521" s="45"/>
      <c r="AB521" s="45"/>
      <c r="AC521" s="46"/>
      <c r="AD521" s="46"/>
      <c r="AE521" s="45"/>
      <c r="AF521" s="45"/>
      <c r="AH521" s="51"/>
      <c r="AI521" s="45"/>
      <c r="AJ521" s="45"/>
      <c r="AL521" s="45"/>
      <c r="AM521" s="51"/>
      <c r="AN521" s="51"/>
    </row>
    <row r="522" spans="1:40">
      <c r="C522" s="42"/>
      <c r="F522" s="164"/>
      <c r="H522" s="164"/>
      <c r="I522" s="164"/>
      <c r="J522" s="132"/>
      <c r="K522" s="132"/>
      <c r="L522" s="45"/>
      <c r="M522" s="45"/>
      <c r="N522" s="46"/>
      <c r="O522" s="46"/>
      <c r="P522" s="45"/>
      <c r="Q522" s="45"/>
      <c r="R522" s="45"/>
      <c r="T522" s="42"/>
      <c r="V522" s="45"/>
      <c r="W522" s="45"/>
      <c r="X522" s="45"/>
      <c r="Y522" s="45"/>
      <c r="Z522" s="132"/>
      <c r="AA522" s="45"/>
      <c r="AB522" s="45"/>
      <c r="AC522" s="46"/>
      <c r="AD522" s="46"/>
      <c r="AE522" s="45"/>
      <c r="AF522" s="45"/>
      <c r="AH522" s="51"/>
      <c r="AI522" s="45"/>
      <c r="AJ522" s="45"/>
      <c r="AL522" s="45"/>
      <c r="AM522" s="51"/>
      <c r="AN522" s="51"/>
    </row>
    <row r="523" spans="1:40">
      <c r="F523" s="50"/>
      <c r="H523" s="50"/>
      <c r="I523" s="50"/>
      <c r="J523" s="132"/>
      <c r="K523" s="132"/>
      <c r="L523" s="50"/>
      <c r="M523" s="50"/>
      <c r="N523" s="50"/>
      <c r="O523" s="50"/>
      <c r="P523" s="50"/>
      <c r="Q523" s="50"/>
      <c r="R523" s="50"/>
      <c r="V523" s="50"/>
      <c r="Y523" s="50"/>
      <c r="Z523" s="326"/>
      <c r="AA523" s="50"/>
      <c r="AB523" s="50"/>
      <c r="AC523" s="50"/>
      <c r="AD523" s="50"/>
      <c r="AE523" s="50"/>
      <c r="AF523" s="50"/>
      <c r="AI523" s="50"/>
      <c r="AJ523" s="50"/>
      <c r="AK523" s="111"/>
      <c r="AL523" s="50"/>
    </row>
    <row r="524" spans="1:40">
      <c r="C524" s="42"/>
      <c r="F524" s="45"/>
      <c r="H524" s="45"/>
      <c r="I524" s="45"/>
      <c r="L524" s="45"/>
      <c r="M524" s="45"/>
      <c r="N524" s="46"/>
      <c r="O524" s="46"/>
      <c r="P524" s="164"/>
      <c r="Q524" s="164"/>
      <c r="R524" s="45"/>
      <c r="T524" s="42"/>
      <c r="V524" s="45"/>
      <c r="W524" s="45"/>
      <c r="X524" s="45"/>
      <c r="Y524" s="45"/>
      <c r="Z524" s="336"/>
      <c r="AA524" s="45"/>
      <c r="AB524" s="45"/>
      <c r="AC524" s="46"/>
      <c r="AD524" s="46"/>
      <c r="AE524" s="45"/>
      <c r="AF524" s="45"/>
      <c r="AH524" s="51"/>
      <c r="AI524" s="164"/>
      <c r="AJ524" s="164"/>
      <c r="AL524" s="45"/>
      <c r="AM524" s="51"/>
      <c r="AN524" s="51"/>
    </row>
    <row r="525" spans="1:40">
      <c r="F525" s="50"/>
      <c r="H525" s="50"/>
      <c r="I525" s="50"/>
      <c r="J525" s="326"/>
      <c r="K525" s="326"/>
      <c r="L525" s="50"/>
      <c r="M525" s="50"/>
      <c r="N525" s="50"/>
      <c r="O525" s="50"/>
      <c r="P525" s="50"/>
      <c r="Q525" s="50"/>
      <c r="R525" s="50"/>
      <c r="V525" s="50"/>
      <c r="Y525" s="50"/>
      <c r="Z525" s="326"/>
      <c r="AA525" s="50"/>
      <c r="AB525" s="50"/>
      <c r="AC525" s="50"/>
      <c r="AD525" s="50"/>
      <c r="AE525" s="50"/>
      <c r="AF525" s="50"/>
      <c r="AI525" s="50"/>
      <c r="AJ525" s="50"/>
      <c r="AK525" s="111"/>
      <c r="AL525" s="50"/>
    </row>
    <row r="528" spans="1:40">
      <c r="A528" s="42"/>
    </row>
    <row r="530" spans="1:40">
      <c r="H530" s="42"/>
      <c r="I530" s="42"/>
      <c r="Y530" s="42"/>
    </row>
    <row r="532" spans="1:40">
      <c r="L532" s="42"/>
      <c r="M532" s="42"/>
      <c r="AA532" s="42"/>
      <c r="AB532" s="42"/>
    </row>
    <row r="533" spans="1:40">
      <c r="R533" s="42"/>
      <c r="AK533" s="110"/>
      <c r="AL533" s="42"/>
    </row>
    <row r="534" spans="1:40">
      <c r="R534" s="42"/>
      <c r="AK534" s="110"/>
      <c r="AL534" s="42"/>
    </row>
    <row r="535" spans="1:40">
      <c r="A535" s="42"/>
      <c r="R535" s="42"/>
      <c r="AK535" s="110"/>
      <c r="AL535" s="42"/>
    </row>
    <row r="536" spans="1:40">
      <c r="L536" s="42"/>
      <c r="M536" s="42"/>
      <c r="AA536" s="42"/>
      <c r="AB536" s="42"/>
    </row>
    <row r="537" spans="1:40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107"/>
      <c r="AH537" s="49"/>
      <c r="AI537" s="49"/>
      <c r="AJ537" s="49"/>
      <c r="AK537" s="107"/>
      <c r="AL537" s="49"/>
      <c r="AM537" s="49"/>
      <c r="AN537" s="49"/>
    </row>
    <row r="538" spans="1:40">
      <c r="L538" s="44"/>
      <c r="M538" s="44"/>
      <c r="N538" s="44"/>
      <c r="O538" s="44"/>
      <c r="R538" s="44"/>
      <c r="AA538" s="44"/>
      <c r="AB538" s="44"/>
      <c r="AC538" s="44"/>
      <c r="AD538" s="44"/>
      <c r="AE538" s="44"/>
      <c r="AF538" s="44"/>
      <c r="AG538" s="102"/>
      <c r="AH538" s="44"/>
      <c r="AK538" s="102"/>
      <c r="AL538" s="44"/>
      <c r="AM538" s="44"/>
      <c r="AN538" s="44"/>
    </row>
    <row r="539" spans="1:40">
      <c r="L539" s="44"/>
      <c r="M539" s="44"/>
      <c r="N539" s="44"/>
      <c r="O539" s="44"/>
      <c r="R539" s="44"/>
      <c r="Z539" s="44"/>
      <c r="AA539" s="44"/>
      <c r="AB539" s="44"/>
      <c r="AC539" s="44"/>
      <c r="AD539" s="44"/>
      <c r="AE539" s="44"/>
      <c r="AF539" s="44"/>
      <c r="AG539" s="102"/>
      <c r="AH539" s="44"/>
      <c r="AK539" s="102"/>
      <c r="AL539" s="44"/>
      <c r="AM539" s="44"/>
      <c r="AN539" s="44"/>
    </row>
    <row r="540" spans="1:40">
      <c r="A540" s="44"/>
      <c r="C540" s="44"/>
      <c r="D540" s="44"/>
      <c r="E540" s="44"/>
      <c r="F540" s="44"/>
      <c r="J540" s="44"/>
      <c r="K540" s="44"/>
      <c r="L540" s="44"/>
      <c r="M540" s="44"/>
      <c r="N540" s="44"/>
      <c r="O540" s="44"/>
      <c r="P540" s="44"/>
      <c r="Q540" s="44"/>
      <c r="R540" s="44"/>
      <c r="T540" s="44"/>
      <c r="U540" s="44"/>
      <c r="V540" s="44"/>
      <c r="Z540" s="44"/>
      <c r="AA540" s="44"/>
      <c r="AB540" s="44"/>
      <c r="AC540" s="44"/>
      <c r="AD540" s="44"/>
      <c r="AE540" s="44"/>
      <c r="AF540" s="44"/>
      <c r="AG540" s="102"/>
      <c r="AH540" s="44"/>
      <c r="AI540" s="44"/>
      <c r="AJ540" s="44"/>
      <c r="AK540" s="102"/>
      <c r="AL540" s="44"/>
      <c r="AM540" s="44"/>
      <c r="AN540" s="44"/>
    </row>
    <row r="541" spans="1:40">
      <c r="A541" s="44"/>
      <c r="C541" s="44"/>
      <c r="D541" s="44"/>
      <c r="E541" s="44"/>
      <c r="F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T541" s="44"/>
      <c r="U541" s="44"/>
      <c r="V541" s="44"/>
      <c r="Y541" s="44"/>
      <c r="Z541" s="44"/>
      <c r="AA541" s="44"/>
      <c r="AB541" s="44"/>
      <c r="AC541" s="44"/>
      <c r="AD541" s="44"/>
      <c r="AE541" s="44"/>
      <c r="AF541" s="44"/>
      <c r="AG541" s="102"/>
      <c r="AH541" s="44"/>
      <c r="AI541" s="44"/>
      <c r="AJ541" s="44"/>
      <c r="AK541" s="102"/>
      <c r="AL541" s="44"/>
      <c r="AM541" s="44"/>
      <c r="AN541" s="44"/>
    </row>
    <row r="542" spans="1:40">
      <c r="C542" s="44"/>
      <c r="D542" s="44"/>
      <c r="E542" s="44"/>
      <c r="F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T542" s="44"/>
      <c r="U542" s="44"/>
      <c r="V542" s="44"/>
      <c r="Y542" s="44"/>
      <c r="Z542" s="44"/>
      <c r="AA542" s="44"/>
      <c r="AB542" s="44"/>
      <c r="AC542" s="44"/>
      <c r="AD542" s="44"/>
      <c r="AE542" s="44"/>
      <c r="AF542" s="44"/>
      <c r="AG542" s="102"/>
      <c r="AH542" s="44"/>
      <c r="AI542" s="44"/>
      <c r="AJ542" s="44"/>
      <c r="AK542" s="102"/>
      <c r="AL542" s="44"/>
      <c r="AM542" s="44"/>
      <c r="AN542" s="44"/>
    </row>
    <row r="543" spans="1:40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107"/>
      <c r="AH543" s="49"/>
      <c r="AI543" s="49"/>
      <c r="AJ543" s="49"/>
      <c r="AK543" s="107"/>
      <c r="AL543" s="49"/>
      <c r="AM543" s="49"/>
      <c r="AN543" s="49"/>
    </row>
    <row r="544" spans="1:40"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Y544" s="44"/>
      <c r="Z544" s="44"/>
      <c r="AA544" s="44"/>
      <c r="AB544" s="44"/>
      <c r="AC544" s="44"/>
      <c r="AD544" s="44"/>
      <c r="AE544" s="44"/>
      <c r="AF544" s="44"/>
      <c r="AG544" s="102"/>
      <c r="AH544" s="44"/>
      <c r="AI544" s="44"/>
      <c r="AJ544" s="44"/>
      <c r="AK544" s="102"/>
      <c r="AL544" s="44"/>
      <c r="AM544" s="44"/>
      <c r="AN544" s="44"/>
    </row>
    <row r="545" spans="3:40">
      <c r="C545" s="42"/>
      <c r="D545" s="42"/>
      <c r="E545" s="42"/>
      <c r="T545" s="42"/>
      <c r="U545" s="42"/>
    </row>
    <row r="547" spans="3:40">
      <c r="C547" s="42"/>
      <c r="T547" s="42"/>
    </row>
    <row r="548" spans="3:40">
      <c r="C548" s="42"/>
      <c r="T548" s="42"/>
    </row>
    <row r="549" spans="3:40">
      <c r="C549" s="42"/>
      <c r="F549" s="164"/>
      <c r="H549" s="164"/>
      <c r="I549" s="164"/>
      <c r="J549" s="132"/>
      <c r="K549" s="132"/>
      <c r="L549" s="45"/>
      <c r="M549" s="45"/>
      <c r="N549" s="46"/>
      <c r="O549" s="46"/>
      <c r="P549" s="45"/>
      <c r="Q549" s="45"/>
      <c r="R549" s="45"/>
      <c r="T549" s="42"/>
      <c r="V549" s="45"/>
      <c r="W549" s="45"/>
      <c r="X549" s="45"/>
      <c r="Y549" s="45"/>
      <c r="Z549" s="132"/>
      <c r="AA549" s="45"/>
      <c r="AB549" s="45"/>
      <c r="AC549" s="46"/>
      <c r="AD549" s="46"/>
      <c r="AE549" s="45"/>
      <c r="AF549" s="45"/>
      <c r="AH549" s="51"/>
      <c r="AI549" s="45"/>
      <c r="AJ549" s="45"/>
      <c r="AL549" s="45"/>
      <c r="AM549" s="51"/>
      <c r="AN549" s="51"/>
    </row>
    <row r="550" spans="3:40">
      <c r="C550" s="42"/>
      <c r="F550" s="45"/>
      <c r="H550" s="45"/>
      <c r="I550" s="45"/>
      <c r="J550" s="56"/>
      <c r="K550" s="56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56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51"/>
      <c r="AN550" s="51"/>
    </row>
    <row r="551" spans="3:40">
      <c r="C551" s="42"/>
      <c r="F551" s="45"/>
      <c r="H551" s="45"/>
      <c r="I551" s="45"/>
      <c r="J551" s="56"/>
      <c r="K551" s="56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56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51"/>
      <c r="AN551" s="51"/>
    </row>
    <row r="552" spans="3:40">
      <c r="C552" s="42"/>
      <c r="F552" s="45"/>
      <c r="H552" s="45"/>
      <c r="I552" s="45"/>
      <c r="J552" s="56"/>
      <c r="K552" s="56"/>
      <c r="T552" s="42"/>
      <c r="V552" s="45"/>
      <c r="Z552" s="56"/>
    </row>
    <row r="553" spans="3:40">
      <c r="C553" s="42"/>
      <c r="F553" s="164"/>
      <c r="H553" s="164"/>
      <c r="I553" s="164"/>
      <c r="J553" s="132"/>
      <c r="K553" s="132"/>
      <c r="L553" s="45"/>
      <c r="M553" s="45"/>
      <c r="N553" s="46"/>
      <c r="O553" s="46"/>
      <c r="P553" s="45"/>
      <c r="Q553" s="45"/>
      <c r="R553" s="45"/>
      <c r="T553" s="42"/>
      <c r="V553" s="45"/>
      <c r="W553" s="45"/>
      <c r="X553" s="45"/>
      <c r="Y553" s="45"/>
      <c r="Z553" s="132"/>
      <c r="AA553" s="45"/>
      <c r="AB553" s="45"/>
      <c r="AC553" s="46"/>
      <c r="AD553" s="46"/>
      <c r="AE553" s="45"/>
      <c r="AF553" s="45"/>
      <c r="AH553" s="51"/>
      <c r="AI553" s="45"/>
      <c r="AJ553" s="45"/>
      <c r="AL553" s="45"/>
      <c r="AM553" s="51"/>
      <c r="AN553" s="51"/>
    </row>
    <row r="554" spans="3:40">
      <c r="C554" s="42"/>
      <c r="F554" s="45"/>
      <c r="H554" s="45"/>
      <c r="I554" s="45"/>
      <c r="J554" s="56"/>
      <c r="K554" s="56"/>
      <c r="T554" s="42"/>
      <c r="V554" s="45"/>
      <c r="W554" s="45"/>
      <c r="X554" s="45"/>
      <c r="Y554" s="45"/>
      <c r="Z554" s="56"/>
      <c r="AC554" s="46"/>
      <c r="AD554" s="46"/>
      <c r="AE554" s="45"/>
      <c r="AF554" s="45"/>
      <c r="AH554" s="51"/>
      <c r="AI554" s="45"/>
      <c r="AJ554" s="45"/>
      <c r="AL554" s="45"/>
      <c r="AM554" s="51"/>
      <c r="AN554" s="51"/>
    </row>
    <row r="555" spans="3:40">
      <c r="C555" s="42"/>
      <c r="F555" s="164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51"/>
      <c r="AN555" s="51"/>
    </row>
    <row r="556" spans="3:40">
      <c r="C556" s="42"/>
      <c r="F556" s="45"/>
      <c r="H556" s="45"/>
      <c r="I556" s="45"/>
      <c r="J556" s="56"/>
      <c r="K556" s="56"/>
      <c r="L556" s="45"/>
      <c r="M556" s="45"/>
      <c r="N556" s="46"/>
      <c r="O556" s="46"/>
      <c r="P556" s="45"/>
      <c r="Q556" s="45"/>
      <c r="R556" s="45"/>
      <c r="T556" s="42"/>
      <c r="V556" s="45"/>
      <c r="W556" s="45"/>
      <c r="X556" s="45"/>
      <c r="Y556" s="45"/>
      <c r="Z556" s="56"/>
      <c r="AA556" s="45"/>
      <c r="AB556" s="45"/>
      <c r="AC556" s="46"/>
      <c r="AD556" s="46"/>
      <c r="AE556" s="45"/>
      <c r="AF556" s="45"/>
      <c r="AH556" s="51"/>
      <c r="AI556" s="45"/>
      <c r="AJ556" s="45"/>
      <c r="AL556" s="45"/>
      <c r="AM556" s="51"/>
      <c r="AN556" s="51"/>
    </row>
    <row r="557" spans="3:40">
      <c r="F557" s="45"/>
      <c r="H557" s="45"/>
      <c r="I557" s="45"/>
      <c r="J557" s="56"/>
      <c r="K557" s="56"/>
      <c r="Z557" s="56"/>
    </row>
    <row r="558" spans="3:40">
      <c r="C558" s="42"/>
      <c r="F558" s="45"/>
      <c r="H558" s="164"/>
      <c r="I558" s="164"/>
      <c r="J558" s="132"/>
      <c r="K558" s="132"/>
      <c r="L558" s="45"/>
      <c r="M558" s="45"/>
      <c r="N558" s="46"/>
      <c r="O558" s="46"/>
      <c r="P558" s="45"/>
      <c r="Q558" s="45"/>
      <c r="R558" s="45"/>
      <c r="T558" s="42"/>
      <c r="V558" s="45"/>
      <c r="W558" s="45"/>
      <c r="X558" s="45"/>
      <c r="Y558" s="45"/>
      <c r="Z558" s="132"/>
      <c r="AA558" s="45"/>
      <c r="AB558" s="45"/>
      <c r="AC558" s="46"/>
      <c r="AD558" s="46"/>
      <c r="AE558" s="45"/>
      <c r="AF558" s="45"/>
      <c r="AH558" s="51"/>
      <c r="AI558" s="45"/>
      <c r="AJ558" s="45"/>
      <c r="AL558" s="45"/>
      <c r="AM558" s="51"/>
      <c r="AN558" s="51"/>
    </row>
    <row r="559" spans="3:40">
      <c r="F559" s="50"/>
      <c r="H559" s="50"/>
      <c r="I559" s="50"/>
      <c r="J559" s="132"/>
      <c r="K559" s="132"/>
      <c r="L559" s="50"/>
      <c r="M559" s="50"/>
      <c r="N559" s="50"/>
      <c r="O559" s="50"/>
      <c r="P559" s="50"/>
      <c r="Q559" s="50"/>
      <c r="R559" s="50"/>
      <c r="V559" s="50"/>
      <c r="Y559" s="50"/>
      <c r="Z559" s="132"/>
      <c r="AA559" s="50"/>
      <c r="AB559" s="50"/>
      <c r="AC559" s="50"/>
      <c r="AD559" s="50"/>
      <c r="AE559" s="50"/>
      <c r="AF559" s="50"/>
      <c r="AI559" s="50"/>
      <c r="AJ559" s="50"/>
      <c r="AK559" s="111"/>
      <c r="AL559" s="50"/>
    </row>
    <row r="560" spans="3:40">
      <c r="C560" s="42"/>
      <c r="F560" s="45"/>
      <c r="H560" s="45"/>
      <c r="I560" s="45"/>
      <c r="J560" s="56"/>
      <c r="K560" s="56"/>
      <c r="L560" s="45"/>
      <c r="M560" s="45"/>
      <c r="P560" s="45"/>
      <c r="Q560" s="45"/>
      <c r="R560" s="45"/>
      <c r="T560" s="42"/>
      <c r="V560" s="45"/>
      <c r="Y560" s="45"/>
      <c r="Z560" s="56"/>
      <c r="AA560" s="45"/>
      <c r="AB560" s="45"/>
      <c r="AC560" s="51"/>
      <c r="AD560" s="51"/>
      <c r="AE560" s="45"/>
      <c r="AF560" s="45"/>
      <c r="AH560" s="51"/>
      <c r="AI560" s="45"/>
      <c r="AJ560" s="45"/>
      <c r="AL560" s="45"/>
      <c r="AM560" s="51"/>
      <c r="AN560" s="51"/>
    </row>
    <row r="561" spans="1:40">
      <c r="F561" s="50"/>
      <c r="H561" s="50"/>
      <c r="I561" s="50"/>
      <c r="J561" s="132"/>
      <c r="K561" s="132"/>
      <c r="L561" s="50"/>
      <c r="M561" s="50"/>
      <c r="N561" s="50"/>
      <c r="O561" s="50"/>
      <c r="P561" s="50"/>
      <c r="Q561" s="50"/>
      <c r="R561" s="50"/>
      <c r="V561" s="50"/>
      <c r="Y561" s="50"/>
      <c r="Z561" s="132"/>
      <c r="AA561" s="50"/>
      <c r="AB561" s="50"/>
      <c r="AC561" s="50"/>
      <c r="AD561" s="50"/>
      <c r="AE561" s="50"/>
      <c r="AF561" s="50"/>
      <c r="AI561" s="50"/>
      <c r="AJ561" s="50"/>
      <c r="AK561" s="111"/>
      <c r="AL561" s="50"/>
    </row>
    <row r="562" spans="1:40">
      <c r="J562" s="56"/>
      <c r="K562" s="56"/>
      <c r="Z562" s="56"/>
    </row>
    <row r="563" spans="1:40">
      <c r="C563" s="42"/>
      <c r="J563" s="56"/>
      <c r="K563" s="56"/>
      <c r="T563" s="42"/>
      <c r="Z563" s="56"/>
    </row>
    <row r="564" spans="1:40">
      <c r="C564" s="42"/>
      <c r="J564" s="56"/>
      <c r="K564" s="56"/>
      <c r="T564" s="42"/>
      <c r="Z564" s="56"/>
    </row>
    <row r="565" spans="1:40">
      <c r="C565" s="42"/>
      <c r="F565" s="164"/>
      <c r="H565" s="164"/>
      <c r="I565" s="164"/>
      <c r="J565" s="132"/>
      <c r="K565" s="132"/>
      <c r="L565" s="45"/>
      <c r="M565" s="45"/>
      <c r="N565" s="46"/>
      <c r="O565" s="46"/>
      <c r="P565" s="45"/>
      <c r="Q565" s="45"/>
      <c r="R565" s="45"/>
      <c r="T565" s="42"/>
      <c r="V565" s="45"/>
      <c r="W565" s="45"/>
      <c r="X565" s="45"/>
      <c r="Y565" s="45"/>
      <c r="Z565" s="132"/>
      <c r="AA565" s="45"/>
      <c r="AB565" s="45"/>
      <c r="AC565" s="46"/>
      <c r="AD565" s="46"/>
      <c r="AE565" s="45"/>
      <c r="AF565" s="45"/>
      <c r="AH565" s="51"/>
      <c r="AI565" s="45"/>
      <c r="AJ565" s="45"/>
      <c r="AL565" s="45"/>
      <c r="AM565" s="51"/>
      <c r="AN565" s="51"/>
    </row>
    <row r="566" spans="1:40">
      <c r="C566" s="42"/>
      <c r="J566" s="56"/>
      <c r="K566" s="56"/>
      <c r="T566" s="42"/>
      <c r="Z566" s="56"/>
    </row>
    <row r="567" spans="1:40">
      <c r="C567" s="42"/>
      <c r="F567" s="164"/>
      <c r="H567" s="164"/>
      <c r="I567" s="164"/>
      <c r="J567" s="132"/>
      <c r="K567" s="132"/>
      <c r="L567" s="45"/>
      <c r="M567" s="45"/>
      <c r="N567" s="46"/>
      <c r="O567" s="46"/>
      <c r="P567" s="45"/>
      <c r="Q567" s="45"/>
      <c r="R567" s="45"/>
      <c r="T567" s="42"/>
      <c r="V567" s="45"/>
      <c r="W567" s="45"/>
      <c r="X567" s="45"/>
      <c r="Y567" s="45"/>
      <c r="Z567" s="132"/>
      <c r="AA567" s="45"/>
      <c r="AB567" s="45"/>
      <c r="AC567" s="46"/>
      <c r="AD567" s="46"/>
      <c r="AE567" s="45"/>
      <c r="AF567" s="45"/>
      <c r="AH567" s="51"/>
      <c r="AI567" s="45"/>
      <c r="AJ567" s="45"/>
      <c r="AL567" s="45"/>
      <c r="AM567" s="51"/>
      <c r="AN567" s="51"/>
    </row>
    <row r="568" spans="1:40">
      <c r="F568" s="50"/>
      <c r="H568" s="50"/>
      <c r="I568" s="50"/>
      <c r="J568" s="132"/>
      <c r="K568" s="132"/>
      <c r="L568" s="50"/>
      <c r="M568" s="50"/>
      <c r="N568" s="50"/>
      <c r="O568" s="50"/>
      <c r="P568" s="50"/>
      <c r="Q568" s="50"/>
      <c r="R568" s="50"/>
      <c r="V568" s="50"/>
      <c r="Y568" s="50"/>
      <c r="Z568" s="132"/>
      <c r="AA568" s="50"/>
      <c r="AB568" s="50"/>
      <c r="AC568" s="50"/>
      <c r="AD568" s="50"/>
      <c r="AE568" s="50"/>
      <c r="AF568" s="50"/>
      <c r="AI568" s="50"/>
      <c r="AJ568" s="50"/>
      <c r="AK568" s="111"/>
      <c r="AL568" s="50"/>
    </row>
    <row r="569" spans="1:40">
      <c r="C569" s="42"/>
      <c r="F569" s="45"/>
      <c r="H569" s="45"/>
      <c r="I569" s="45"/>
      <c r="J569" s="56"/>
      <c r="K569" s="56"/>
      <c r="L569" s="45"/>
      <c r="M569" s="45"/>
      <c r="N569" s="51"/>
      <c r="O569" s="51"/>
      <c r="P569" s="45"/>
      <c r="Q569" s="45"/>
      <c r="R569" s="45"/>
      <c r="T569" s="42"/>
      <c r="V569" s="45"/>
      <c r="Y569" s="45"/>
      <c r="Z569" s="56"/>
      <c r="AA569" s="45"/>
      <c r="AB569" s="45"/>
      <c r="AC569" s="51"/>
      <c r="AD569" s="51"/>
      <c r="AE569" s="45"/>
      <c r="AF569" s="45"/>
      <c r="AH569" s="51"/>
      <c r="AI569" s="45"/>
      <c r="AJ569" s="45"/>
      <c r="AL569" s="45"/>
      <c r="AM569" s="51"/>
      <c r="AN569" s="51"/>
    </row>
    <row r="570" spans="1:40">
      <c r="F570" s="50"/>
      <c r="H570" s="50"/>
      <c r="I570" s="50"/>
      <c r="J570" s="132"/>
      <c r="K570" s="132"/>
      <c r="L570" s="50"/>
      <c r="M570" s="50"/>
      <c r="N570" s="50"/>
      <c r="O570" s="50"/>
      <c r="P570" s="50"/>
      <c r="Q570" s="50"/>
      <c r="R570" s="50"/>
      <c r="V570" s="50"/>
      <c r="Y570" s="50"/>
      <c r="Z570" s="326"/>
      <c r="AA570" s="50"/>
      <c r="AB570" s="50"/>
      <c r="AC570" s="50"/>
      <c r="AD570" s="50"/>
      <c r="AE570" s="50"/>
      <c r="AF570" s="50"/>
      <c r="AI570" s="50"/>
      <c r="AJ570" s="50"/>
      <c r="AK570" s="111"/>
      <c r="AL570" s="50"/>
    </row>
    <row r="571" spans="1:40">
      <c r="J571" s="56"/>
      <c r="K571" s="56"/>
    </row>
    <row r="572" spans="1:40">
      <c r="C572" s="42"/>
      <c r="F572" s="45"/>
      <c r="H572" s="45"/>
      <c r="I572" s="45"/>
      <c r="J572" s="56"/>
      <c r="K572" s="56"/>
      <c r="L572" s="45"/>
      <c r="M572" s="45"/>
      <c r="N572" s="46"/>
      <c r="O572" s="46"/>
      <c r="P572" s="164"/>
      <c r="Q572" s="164"/>
      <c r="R572" s="45"/>
      <c r="T572" s="42"/>
      <c r="V572" s="45"/>
      <c r="Y572" s="45"/>
      <c r="AA572" s="45"/>
      <c r="AB572" s="45"/>
      <c r="AC572" s="51"/>
      <c r="AD572" s="51"/>
      <c r="AE572" s="45"/>
      <c r="AF572" s="45"/>
      <c r="AH572" s="51"/>
      <c r="AI572" s="164"/>
      <c r="AJ572" s="164"/>
      <c r="AL572" s="45"/>
      <c r="AM572" s="51"/>
      <c r="AN572" s="51"/>
    </row>
    <row r="573" spans="1:40">
      <c r="F573" s="50"/>
      <c r="H573" s="50"/>
      <c r="I573" s="50"/>
      <c r="J573" s="132"/>
      <c r="K573" s="132"/>
      <c r="L573" s="50"/>
      <c r="M573" s="50"/>
      <c r="N573" s="50"/>
      <c r="O573" s="50"/>
      <c r="P573" s="50"/>
      <c r="Q573" s="50"/>
      <c r="R573" s="50"/>
      <c r="V573" s="50"/>
      <c r="Y573" s="50"/>
      <c r="Z573" s="326"/>
      <c r="AA573" s="50"/>
      <c r="AB573" s="50"/>
      <c r="AC573" s="50"/>
      <c r="AD573" s="50"/>
      <c r="AE573" s="50"/>
      <c r="AF573" s="50"/>
      <c r="AI573" s="50"/>
      <c r="AJ573" s="50"/>
      <c r="AK573" s="111"/>
      <c r="AL573" s="50"/>
    </row>
    <row r="576" spans="1:40">
      <c r="A576" s="42"/>
    </row>
    <row r="578" spans="1:40">
      <c r="H578" s="42"/>
      <c r="I578" s="42"/>
      <c r="Y578" s="42"/>
    </row>
    <row r="580" spans="1:40">
      <c r="L580" s="42"/>
      <c r="M580" s="42"/>
      <c r="AA580" s="42"/>
      <c r="AB580" s="42"/>
    </row>
    <row r="581" spans="1:40">
      <c r="R581" s="42"/>
      <c r="AK581" s="110"/>
      <c r="AL581" s="42"/>
    </row>
    <row r="582" spans="1:40">
      <c r="R582" s="42"/>
      <c r="AK582" s="110"/>
      <c r="AL582" s="42"/>
    </row>
    <row r="583" spans="1:40">
      <c r="A583" s="42"/>
      <c r="R583" s="42"/>
      <c r="AK583" s="110"/>
      <c r="AL583" s="42"/>
    </row>
    <row r="584" spans="1:40">
      <c r="L584" s="42"/>
      <c r="M584" s="42"/>
      <c r="AA584" s="42"/>
      <c r="AB584" s="42"/>
    </row>
    <row r="585" spans="1:40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107"/>
      <c r="AH585" s="49"/>
      <c r="AI585" s="49"/>
      <c r="AJ585" s="49"/>
      <c r="AK585" s="107"/>
      <c r="AL585" s="49"/>
      <c r="AM585" s="49"/>
      <c r="AN585" s="49"/>
    </row>
    <row r="586" spans="1:40">
      <c r="L586" s="44"/>
      <c r="M586" s="44"/>
      <c r="N586" s="44"/>
      <c r="O586" s="44"/>
      <c r="R586" s="44"/>
      <c r="AA586" s="44"/>
      <c r="AB586" s="44"/>
      <c r="AC586" s="44"/>
      <c r="AD586" s="44"/>
      <c r="AE586" s="44"/>
      <c r="AF586" s="44"/>
      <c r="AG586" s="102"/>
      <c r="AH586" s="44"/>
      <c r="AK586" s="102"/>
      <c r="AL586" s="44"/>
      <c r="AM586" s="44"/>
      <c r="AN586" s="44"/>
    </row>
    <row r="587" spans="1:40">
      <c r="L587" s="44"/>
      <c r="M587" s="44"/>
      <c r="N587" s="44"/>
      <c r="O587" s="44"/>
      <c r="R587" s="44"/>
      <c r="Z587" s="44"/>
      <c r="AA587" s="44"/>
      <c r="AB587" s="44"/>
      <c r="AC587" s="44"/>
      <c r="AD587" s="44"/>
      <c r="AE587" s="44"/>
      <c r="AF587" s="44"/>
      <c r="AG587" s="102"/>
      <c r="AH587" s="44"/>
      <c r="AK587" s="102"/>
      <c r="AL587" s="44"/>
      <c r="AM587" s="44"/>
      <c r="AN587" s="44"/>
    </row>
    <row r="588" spans="1:40">
      <c r="A588" s="44"/>
      <c r="C588" s="44"/>
      <c r="D588" s="44"/>
      <c r="E588" s="44"/>
      <c r="F588" s="44"/>
      <c r="J588" s="44"/>
      <c r="K588" s="44"/>
      <c r="L588" s="44"/>
      <c r="M588" s="44"/>
      <c r="N588" s="44"/>
      <c r="O588" s="44"/>
      <c r="P588" s="44"/>
      <c r="Q588" s="44"/>
      <c r="R588" s="44"/>
      <c r="T588" s="44"/>
      <c r="U588" s="44"/>
      <c r="V588" s="44"/>
      <c r="Z588" s="44"/>
      <c r="AA588" s="44"/>
      <c r="AB588" s="44"/>
      <c r="AC588" s="44"/>
      <c r="AD588" s="44"/>
      <c r="AE588" s="44"/>
      <c r="AF588" s="44"/>
      <c r="AG588" s="102"/>
      <c r="AH588" s="44"/>
      <c r="AI588" s="44"/>
      <c r="AJ588" s="44"/>
      <c r="AK588" s="102"/>
      <c r="AL588" s="44"/>
      <c r="AM588" s="44"/>
      <c r="AN588" s="44"/>
    </row>
    <row r="589" spans="1:40">
      <c r="A589" s="44"/>
      <c r="C589" s="44"/>
      <c r="D589" s="44"/>
      <c r="E589" s="44"/>
      <c r="F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T589" s="44"/>
      <c r="U589" s="44"/>
      <c r="V589" s="44"/>
      <c r="Y589" s="44"/>
      <c r="Z589" s="44"/>
      <c r="AA589" s="44"/>
      <c r="AB589" s="44"/>
      <c r="AC589" s="44"/>
      <c r="AD589" s="44"/>
      <c r="AE589" s="44"/>
      <c r="AF589" s="44"/>
      <c r="AG589" s="102"/>
      <c r="AH589" s="44"/>
      <c r="AI589" s="44"/>
      <c r="AJ589" s="44"/>
      <c r="AK589" s="102"/>
      <c r="AL589" s="44"/>
      <c r="AM589" s="44"/>
      <c r="AN589" s="44"/>
    </row>
    <row r="590" spans="1:40">
      <c r="C590" s="44"/>
      <c r="D590" s="44"/>
      <c r="E590" s="44"/>
      <c r="F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T590" s="44"/>
      <c r="U590" s="44"/>
      <c r="V590" s="44"/>
      <c r="Y590" s="44"/>
      <c r="Z590" s="44"/>
      <c r="AA590" s="44"/>
      <c r="AB590" s="44"/>
      <c r="AC590" s="44"/>
      <c r="AD590" s="44"/>
      <c r="AE590" s="44"/>
      <c r="AF590" s="44"/>
      <c r="AG590" s="102"/>
      <c r="AH590" s="44"/>
      <c r="AI590" s="44"/>
      <c r="AJ590" s="44"/>
      <c r="AK590" s="102"/>
      <c r="AL590" s="44"/>
      <c r="AM590" s="44"/>
      <c r="AN590" s="44"/>
    </row>
    <row r="591" spans="1:40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107"/>
      <c r="AH591" s="49"/>
      <c r="AI591" s="49"/>
      <c r="AJ591" s="49"/>
      <c r="AK591" s="107"/>
      <c r="AL591" s="49"/>
      <c r="AM591" s="49"/>
      <c r="AN591" s="49"/>
    </row>
    <row r="592" spans="1:40"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Y592" s="44"/>
      <c r="Z592" s="44"/>
      <c r="AA592" s="44"/>
      <c r="AB592" s="44"/>
      <c r="AC592" s="44"/>
      <c r="AD592" s="44"/>
      <c r="AE592" s="44"/>
      <c r="AF592" s="44"/>
      <c r="AG592" s="102"/>
      <c r="AH592" s="44"/>
      <c r="AI592" s="44"/>
      <c r="AJ592" s="44"/>
      <c r="AK592" s="102"/>
      <c r="AL592" s="44"/>
      <c r="AM592" s="44"/>
      <c r="AN592" s="44"/>
    </row>
    <row r="593" spans="3:40">
      <c r="C593" s="42"/>
      <c r="D593" s="42"/>
      <c r="E593" s="42"/>
      <c r="T593" s="42"/>
      <c r="U593" s="42"/>
    </row>
    <row r="595" spans="3:40">
      <c r="C595" s="42"/>
      <c r="D595" s="42"/>
      <c r="E595" s="42"/>
      <c r="T595" s="42"/>
      <c r="U595" s="42"/>
    </row>
    <row r="596" spans="3:40">
      <c r="C596" s="42"/>
      <c r="T596" s="42"/>
    </row>
    <row r="597" spans="3:40">
      <c r="C597" s="42"/>
      <c r="T597" s="42"/>
    </row>
    <row r="598" spans="3:40">
      <c r="C598" s="42"/>
      <c r="F598" s="164"/>
      <c r="H598" s="164"/>
      <c r="I598" s="164"/>
      <c r="J598" s="132"/>
      <c r="K598" s="132"/>
      <c r="L598" s="45"/>
      <c r="M598" s="45"/>
      <c r="N598" s="46"/>
      <c r="O598" s="46"/>
      <c r="P598" s="45"/>
      <c r="Q598" s="45"/>
      <c r="R598" s="45"/>
      <c r="T598" s="42"/>
      <c r="V598" s="45"/>
      <c r="W598" s="45"/>
      <c r="X598" s="45"/>
      <c r="Y598" s="45"/>
      <c r="Z598" s="132"/>
      <c r="AA598" s="45"/>
      <c r="AB598" s="45"/>
      <c r="AC598" s="46"/>
      <c r="AD598" s="46"/>
      <c r="AE598" s="45"/>
      <c r="AF598" s="45"/>
      <c r="AH598" s="51"/>
      <c r="AI598" s="45"/>
      <c r="AJ598" s="45"/>
      <c r="AL598" s="45"/>
      <c r="AM598" s="46"/>
      <c r="AN598" s="46"/>
    </row>
    <row r="599" spans="3:40">
      <c r="C599" s="42"/>
      <c r="J599" s="56"/>
      <c r="K599" s="56"/>
      <c r="T599" s="42"/>
      <c r="V599" s="45"/>
      <c r="W599" s="45"/>
      <c r="X599" s="45"/>
      <c r="Y599" s="45"/>
      <c r="Z599" s="132"/>
    </row>
    <row r="600" spans="3:40">
      <c r="C600" s="42"/>
      <c r="F600" s="164"/>
      <c r="H600" s="164"/>
      <c r="I600" s="164"/>
      <c r="J600" s="132"/>
      <c r="K600" s="132"/>
      <c r="L600" s="45"/>
      <c r="M600" s="45"/>
      <c r="N600" s="46"/>
      <c r="O600" s="46"/>
      <c r="P600" s="45"/>
      <c r="Q600" s="45"/>
      <c r="R600" s="45"/>
      <c r="T600" s="42"/>
      <c r="V600" s="45"/>
      <c r="W600" s="45"/>
      <c r="X600" s="45"/>
      <c r="Y600" s="45"/>
      <c r="Z600" s="132"/>
      <c r="AA600" s="45"/>
      <c r="AB600" s="45"/>
      <c r="AC600" s="46"/>
      <c r="AD600" s="46"/>
      <c r="AE600" s="45"/>
      <c r="AF600" s="45"/>
      <c r="AH600" s="51"/>
      <c r="AI600" s="45"/>
      <c r="AJ600" s="45"/>
      <c r="AL600" s="45"/>
      <c r="AM600" s="46"/>
      <c r="AN600" s="46"/>
    </row>
    <row r="601" spans="3:40">
      <c r="C601" s="42"/>
      <c r="J601" s="56"/>
      <c r="K601" s="56"/>
      <c r="T601" s="42"/>
      <c r="V601" s="45"/>
      <c r="W601" s="45"/>
      <c r="X601" s="45"/>
      <c r="Y601" s="45"/>
      <c r="Z601" s="132"/>
    </row>
    <row r="602" spans="3:40">
      <c r="C602" s="42"/>
      <c r="F602" s="164"/>
      <c r="H602" s="164"/>
      <c r="I602" s="164"/>
      <c r="J602" s="132"/>
      <c r="K602" s="132"/>
      <c r="L602" s="45"/>
      <c r="M602" s="45"/>
      <c r="N602" s="46"/>
      <c r="O602" s="46"/>
      <c r="P602" s="45"/>
      <c r="Q602" s="45"/>
      <c r="R602" s="45"/>
      <c r="T602" s="42"/>
      <c r="V602" s="45"/>
      <c r="W602" s="45"/>
      <c r="X602" s="45"/>
      <c r="Y602" s="45"/>
      <c r="Z602" s="132"/>
      <c r="AA602" s="45"/>
      <c r="AB602" s="45"/>
      <c r="AC602" s="46"/>
      <c r="AD602" s="46"/>
      <c r="AE602" s="45"/>
      <c r="AF602" s="45"/>
      <c r="AH602" s="51"/>
      <c r="AI602" s="45"/>
      <c r="AJ602" s="45"/>
      <c r="AL602" s="45"/>
      <c r="AM602" s="46"/>
      <c r="AN602" s="46"/>
    </row>
    <row r="603" spans="3:40">
      <c r="C603" s="42"/>
      <c r="J603" s="56"/>
      <c r="K603" s="56"/>
      <c r="T603" s="42"/>
      <c r="V603" s="45"/>
      <c r="W603" s="45"/>
      <c r="X603" s="45"/>
      <c r="Y603" s="45"/>
      <c r="Z603" s="132"/>
    </row>
    <row r="604" spans="3:40">
      <c r="C604" s="42"/>
      <c r="F604" s="164"/>
      <c r="H604" s="164"/>
      <c r="I604" s="164"/>
      <c r="J604" s="132"/>
      <c r="K604" s="132"/>
      <c r="L604" s="45"/>
      <c r="M604" s="45"/>
      <c r="N604" s="46"/>
      <c r="O604" s="46"/>
      <c r="P604" s="45"/>
      <c r="Q604" s="45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45"/>
      <c r="AJ604" s="45"/>
      <c r="AL604" s="45"/>
      <c r="AM604" s="46"/>
      <c r="AN604" s="46"/>
    </row>
    <row r="605" spans="3:40">
      <c r="C605" s="42"/>
      <c r="J605" s="56"/>
      <c r="K605" s="56"/>
      <c r="T605" s="42"/>
      <c r="V605" s="45"/>
      <c r="W605" s="45"/>
      <c r="X605" s="45"/>
      <c r="Y605" s="45"/>
      <c r="Z605" s="132"/>
    </row>
    <row r="606" spans="3:40">
      <c r="C606" s="42"/>
      <c r="F606" s="164"/>
      <c r="H606" s="164"/>
      <c r="I606" s="164"/>
      <c r="J606" s="132"/>
      <c r="K606" s="132"/>
      <c r="L606" s="45"/>
      <c r="M606" s="45"/>
      <c r="N606" s="46"/>
      <c r="O606" s="46"/>
      <c r="P606" s="45"/>
      <c r="Q606" s="45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45"/>
      <c r="AJ606" s="45"/>
      <c r="AL606" s="45"/>
      <c r="AM606" s="46"/>
      <c r="AN606" s="46"/>
    </row>
    <row r="607" spans="3:40">
      <c r="C607" s="42"/>
      <c r="J607" s="56"/>
      <c r="K607" s="56"/>
      <c r="T607" s="42"/>
      <c r="V607" s="45"/>
      <c r="W607" s="45"/>
      <c r="X607" s="45"/>
      <c r="Y607" s="45"/>
      <c r="Z607" s="132"/>
    </row>
    <row r="608" spans="3:40">
      <c r="C608" s="42"/>
      <c r="F608" s="164"/>
      <c r="H608" s="164"/>
      <c r="I608" s="164"/>
      <c r="J608" s="132"/>
      <c r="K608" s="132"/>
      <c r="L608" s="45"/>
      <c r="M608" s="45"/>
      <c r="N608" s="46"/>
      <c r="O608" s="46"/>
      <c r="P608" s="45"/>
      <c r="Q608" s="45"/>
      <c r="R608" s="45"/>
      <c r="T608" s="42"/>
      <c r="V608" s="45"/>
      <c r="W608" s="45"/>
      <c r="X608" s="45"/>
      <c r="Y608" s="45"/>
      <c r="Z608" s="132"/>
      <c r="AA608" s="45"/>
      <c r="AB608" s="45"/>
      <c r="AC608" s="46"/>
      <c r="AD608" s="46"/>
      <c r="AE608" s="45"/>
      <c r="AF608" s="45"/>
      <c r="AH608" s="51"/>
      <c r="AI608" s="45"/>
      <c r="AJ608" s="45"/>
      <c r="AL608" s="45"/>
      <c r="AM608" s="46"/>
      <c r="AN608" s="46"/>
    </row>
    <row r="609" spans="3:40">
      <c r="F609" s="50"/>
      <c r="H609" s="50"/>
      <c r="I609" s="50"/>
      <c r="J609" s="132"/>
      <c r="K609" s="132"/>
      <c r="L609" s="50"/>
      <c r="M609" s="50"/>
      <c r="N609" s="50"/>
      <c r="O609" s="50"/>
      <c r="P609" s="50"/>
      <c r="Q609" s="50"/>
      <c r="R609" s="50"/>
      <c r="V609" s="50"/>
      <c r="Y609" s="50"/>
      <c r="Z609" s="132"/>
      <c r="AA609" s="50"/>
      <c r="AB609" s="50"/>
      <c r="AC609" s="50"/>
      <c r="AD609" s="50"/>
      <c r="AE609" s="50"/>
      <c r="AF609" s="50"/>
      <c r="AI609" s="50"/>
      <c r="AJ609" s="50"/>
      <c r="AK609" s="111"/>
      <c r="AL609" s="50"/>
      <c r="AM609" s="46"/>
      <c r="AN609" s="46"/>
    </row>
    <row r="610" spans="3:40">
      <c r="C610" s="42"/>
      <c r="F610" s="45"/>
      <c r="H610" s="45"/>
      <c r="I610" s="45"/>
      <c r="J610" s="56"/>
      <c r="K610" s="56"/>
      <c r="L610" s="45"/>
      <c r="M610" s="45"/>
      <c r="N610" s="46"/>
      <c r="O610" s="46"/>
      <c r="P610" s="164"/>
      <c r="Q610" s="164"/>
      <c r="R610" s="45"/>
      <c r="T610" s="42"/>
      <c r="V610" s="45"/>
      <c r="W610" s="45"/>
      <c r="X610" s="45"/>
      <c r="Y610" s="45"/>
      <c r="Z610" s="132"/>
      <c r="AA610" s="45"/>
      <c r="AB610" s="45"/>
      <c r="AC610" s="46"/>
      <c r="AD610" s="46"/>
      <c r="AE610" s="45"/>
      <c r="AF610" s="45"/>
      <c r="AH610" s="51"/>
      <c r="AI610" s="164"/>
      <c r="AJ610" s="164"/>
      <c r="AL610" s="45"/>
      <c r="AM610" s="46"/>
      <c r="AN610" s="46"/>
    </row>
    <row r="611" spans="3:40">
      <c r="F611" s="50"/>
      <c r="H611" s="50"/>
      <c r="I611" s="50"/>
      <c r="J611" s="132"/>
      <c r="K611" s="132"/>
      <c r="L611" s="50"/>
      <c r="M611" s="50"/>
      <c r="N611" s="50"/>
      <c r="O611" s="50"/>
      <c r="P611" s="50"/>
      <c r="Q611" s="50"/>
      <c r="R611" s="50"/>
      <c r="V611" s="50"/>
      <c r="Y611" s="50"/>
      <c r="Z611" s="132"/>
      <c r="AA611" s="50"/>
      <c r="AB611" s="50"/>
      <c r="AC611" s="50"/>
      <c r="AD611" s="50"/>
      <c r="AE611" s="50"/>
      <c r="AF611" s="50"/>
      <c r="AI611" s="50"/>
      <c r="AJ611" s="50"/>
      <c r="AK611" s="111"/>
      <c r="AL611" s="50"/>
    </row>
    <row r="612" spans="3:40">
      <c r="C612" s="42"/>
      <c r="D612" s="42"/>
      <c r="E612" s="42"/>
      <c r="J612" s="56"/>
      <c r="K612" s="56"/>
      <c r="T612" s="42"/>
      <c r="U612" s="42"/>
      <c r="V612" s="45"/>
      <c r="W612" s="45"/>
      <c r="X612" s="45"/>
      <c r="Y612" s="45"/>
      <c r="Z612" s="132"/>
    </row>
    <row r="613" spans="3:40">
      <c r="C613" s="42"/>
      <c r="J613" s="56"/>
      <c r="K613" s="56"/>
      <c r="T613" s="42"/>
      <c r="V613" s="45"/>
      <c r="W613" s="45"/>
      <c r="X613" s="45"/>
      <c r="Y613" s="45"/>
      <c r="Z613" s="132"/>
    </row>
    <row r="614" spans="3:40">
      <c r="C614" s="42"/>
      <c r="J614" s="56"/>
      <c r="K614" s="56"/>
      <c r="T614" s="42"/>
      <c r="V614" s="45"/>
      <c r="W614" s="45"/>
      <c r="X614" s="45"/>
      <c r="Y614" s="45"/>
      <c r="Z614" s="132"/>
    </row>
    <row r="615" spans="3:40">
      <c r="C615" s="42"/>
      <c r="F615" s="164"/>
      <c r="H615" s="164"/>
      <c r="I615" s="164"/>
      <c r="J615" s="132"/>
      <c r="K615" s="132"/>
      <c r="L615" s="45"/>
      <c r="M615" s="45"/>
      <c r="N615" s="46"/>
      <c r="O615" s="46"/>
      <c r="P615" s="45"/>
      <c r="Q615" s="45"/>
      <c r="R615" s="45"/>
      <c r="T615" s="42"/>
      <c r="V615" s="45"/>
      <c r="W615" s="45"/>
      <c r="X615" s="45"/>
      <c r="Y615" s="45"/>
      <c r="Z615" s="132"/>
      <c r="AA615" s="45"/>
      <c r="AB615" s="45"/>
      <c r="AC615" s="46"/>
      <c r="AD615" s="46"/>
      <c r="AE615" s="45"/>
      <c r="AF615" s="45"/>
      <c r="AH615" s="51"/>
      <c r="AI615" s="45"/>
      <c r="AJ615" s="45"/>
      <c r="AL615" s="45"/>
      <c r="AM615" s="46"/>
      <c r="AN615" s="46"/>
    </row>
    <row r="616" spans="3:40">
      <c r="C616" s="42"/>
      <c r="J616" s="56"/>
      <c r="K616" s="56"/>
      <c r="T616" s="42"/>
      <c r="V616" s="45"/>
      <c r="W616" s="45"/>
      <c r="X616" s="45"/>
      <c r="Y616" s="45"/>
      <c r="Z616" s="132"/>
    </row>
    <row r="617" spans="3:40">
      <c r="C617" s="42"/>
      <c r="F617" s="164"/>
      <c r="H617" s="164"/>
      <c r="I617" s="164"/>
      <c r="J617" s="132"/>
      <c r="K617" s="132"/>
      <c r="L617" s="45"/>
      <c r="M617" s="45"/>
      <c r="N617" s="46"/>
      <c r="O617" s="46"/>
      <c r="P617" s="45"/>
      <c r="Q617" s="45"/>
      <c r="R617" s="45"/>
      <c r="T617" s="42"/>
      <c r="V617" s="45"/>
      <c r="W617" s="45"/>
      <c r="X617" s="45"/>
      <c r="Y617" s="45"/>
      <c r="Z617" s="132"/>
      <c r="AA617" s="45"/>
      <c r="AB617" s="45"/>
      <c r="AC617" s="46"/>
      <c r="AD617" s="46"/>
      <c r="AE617" s="45"/>
      <c r="AF617" s="45"/>
      <c r="AH617" s="51"/>
      <c r="AI617" s="45"/>
      <c r="AJ617" s="45"/>
      <c r="AL617" s="45"/>
      <c r="AM617" s="46"/>
      <c r="AN617" s="46"/>
    </row>
    <row r="618" spans="3:40">
      <c r="F618" s="50"/>
      <c r="H618" s="50"/>
      <c r="I618" s="50"/>
      <c r="J618" s="132"/>
      <c r="K618" s="132"/>
      <c r="L618" s="50"/>
      <c r="M618" s="50"/>
      <c r="N618" s="50"/>
      <c r="O618" s="50"/>
      <c r="P618" s="50"/>
      <c r="Q618" s="50"/>
      <c r="R618" s="50"/>
      <c r="V618" s="50"/>
      <c r="Y618" s="50"/>
      <c r="Z618" s="326"/>
      <c r="AA618" s="50"/>
      <c r="AB618" s="50"/>
      <c r="AC618" s="50"/>
      <c r="AD618" s="50"/>
      <c r="AE618" s="50"/>
      <c r="AF618" s="50"/>
      <c r="AI618" s="50"/>
      <c r="AJ618" s="50"/>
      <c r="AK618" s="111"/>
      <c r="AL618" s="50"/>
    </row>
    <row r="619" spans="3:40">
      <c r="C619" s="42"/>
      <c r="F619" s="45"/>
      <c r="H619" s="45"/>
      <c r="I619" s="45"/>
      <c r="L619" s="45"/>
      <c r="M619" s="45"/>
      <c r="N619" s="46"/>
      <c r="O619" s="46"/>
      <c r="P619" s="164"/>
      <c r="Q619" s="164"/>
      <c r="R619" s="45"/>
      <c r="T619" s="42"/>
      <c r="V619" s="45"/>
      <c r="W619" s="45"/>
      <c r="X619" s="45"/>
      <c r="Y619" s="45"/>
      <c r="Z619" s="336"/>
      <c r="AA619" s="45"/>
      <c r="AB619" s="45"/>
      <c r="AC619" s="46"/>
      <c r="AD619" s="46"/>
      <c r="AE619" s="45"/>
      <c r="AF619" s="45"/>
      <c r="AH619" s="51"/>
      <c r="AI619" s="164"/>
      <c r="AJ619" s="164"/>
      <c r="AL619" s="45"/>
      <c r="AM619" s="46"/>
      <c r="AN619" s="46"/>
    </row>
    <row r="620" spans="3:40">
      <c r="F620" s="50"/>
      <c r="H620" s="50"/>
      <c r="I620" s="50"/>
      <c r="J620" s="326"/>
      <c r="K620" s="326"/>
      <c r="L620" s="50"/>
      <c r="M620" s="50"/>
      <c r="N620" s="50"/>
      <c r="O620" s="50"/>
      <c r="P620" s="50"/>
      <c r="Q620" s="50"/>
      <c r="R620" s="50"/>
      <c r="V620" s="50"/>
      <c r="Y620" s="50"/>
      <c r="Z620" s="326"/>
      <c r="AA620" s="50"/>
      <c r="AB620" s="50"/>
      <c r="AC620" s="50"/>
      <c r="AD620" s="50"/>
      <c r="AE620" s="50"/>
      <c r="AF620" s="50"/>
      <c r="AI620" s="50"/>
      <c r="AJ620" s="50"/>
      <c r="AK620" s="111"/>
      <c r="AL620" s="50"/>
    </row>
    <row r="621" spans="3:40">
      <c r="C621" s="42"/>
      <c r="D621" s="42"/>
      <c r="E621" s="42"/>
      <c r="T621" s="42"/>
      <c r="U621" s="42"/>
      <c r="V621" s="45"/>
      <c r="W621" s="45"/>
      <c r="X621" s="45"/>
      <c r="Y621" s="45"/>
      <c r="Z621" s="336"/>
    </row>
    <row r="622" spans="3:40">
      <c r="C622" s="42"/>
      <c r="T622" s="42"/>
      <c r="V622" s="45"/>
      <c r="W622" s="45"/>
      <c r="X622" s="45"/>
      <c r="Y622" s="45"/>
      <c r="Z622" s="336"/>
    </row>
    <row r="623" spans="3:40">
      <c r="C623" s="42"/>
      <c r="F623" s="164"/>
      <c r="H623" s="164"/>
      <c r="I623" s="164"/>
      <c r="J623" s="336"/>
      <c r="K623" s="336"/>
      <c r="L623" s="45"/>
      <c r="M623" s="45"/>
      <c r="N623" s="46"/>
      <c r="O623" s="46"/>
      <c r="P623" s="45"/>
      <c r="Q623" s="45"/>
      <c r="R623" s="45"/>
      <c r="T623" s="42"/>
      <c r="V623" s="45"/>
      <c r="W623" s="45"/>
      <c r="X623" s="45"/>
      <c r="Y623" s="45"/>
      <c r="Z623" s="336"/>
      <c r="AA623" s="45"/>
      <c r="AB623" s="45"/>
      <c r="AC623" s="46"/>
      <c r="AD623" s="46"/>
      <c r="AE623" s="45"/>
      <c r="AF623" s="45"/>
      <c r="AH623" s="51"/>
      <c r="AI623" s="45"/>
      <c r="AJ623" s="45"/>
      <c r="AL623" s="45"/>
      <c r="AM623" s="46"/>
      <c r="AN623" s="46"/>
    </row>
    <row r="624" spans="3:40">
      <c r="C624" s="42"/>
      <c r="T624" s="42"/>
      <c r="V624" s="45"/>
      <c r="W624" s="45"/>
      <c r="X624" s="45"/>
      <c r="Y624" s="45"/>
      <c r="Z624" s="336"/>
    </row>
    <row r="625" spans="1:40">
      <c r="C625" s="42"/>
      <c r="F625" s="164"/>
      <c r="H625" s="164"/>
      <c r="I625" s="164"/>
      <c r="J625" s="336"/>
      <c r="K625" s="336"/>
      <c r="L625" s="45"/>
      <c r="M625" s="45"/>
      <c r="N625" s="46"/>
      <c r="O625" s="46"/>
      <c r="P625" s="45"/>
      <c r="Q625" s="45"/>
      <c r="R625" s="45"/>
      <c r="T625" s="42"/>
      <c r="V625" s="45"/>
      <c r="W625" s="45"/>
      <c r="X625" s="45"/>
      <c r="Y625" s="45"/>
      <c r="Z625" s="336"/>
      <c r="AA625" s="45"/>
      <c r="AB625" s="45"/>
      <c r="AC625" s="46"/>
      <c r="AD625" s="46"/>
      <c r="AE625" s="45"/>
      <c r="AF625" s="45"/>
      <c r="AH625" s="51"/>
      <c r="AI625" s="45"/>
      <c r="AJ625" s="45"/>
      <c r="AL625" s="45"/>
      <c r="AM625" s="46"/>
      <c r="AN625" s="46"/>
    </row>
    <row r="626" spans="1:40">
      <c r="C626" s="42"/>
      <c r="T626" s="42"/>
      <c r="V626" s="45"/>
      <c r="W626" s="45"/>
      <c r="X626" s="45"/>
      <c r="Y626" s="45"/>
      <c r="Z626" s="336"/>
    </row>
    <row r="627" spans="1:40">
      <c r="C627" s="42"/>
      <c r="F627" s="164"/>
      <c r="H627" s="164"/>
      <c r="I627" s="164"/>
      <c r="J627" s="336"/>
      <c r="K627" s="336"/>
      <c r="L627" s="45"/>
      <c r="M627" s="45"/>
      <c r="N627" s="46"/>
      <c r="O627" s="46"/>
      <c r="P627" s="45"/>
      <c r="Q627" s="45"/>
      <c r="R627" s="45"/>
      <c r="T627" s="42"/>
      <c r="V627" s="45"/>
      <c r="W627" s="45"/>
      <c r="X627" s="45"/>
      <c r="Y627" s="45"/>
      <c r="Z627" s="336"/>
      <c r="AA627" s="45"/>
      <c r="AB627" s="45"/>
      <c r="AC627" s="46"/>
      <c r="AD627" s="46"/>
      <c r="AE627" s="45"/>
      <c r="AF627" s="45"/>
      <c r="AH627" s="51"/>
      <c r="AI627" s="45"/>
      <c r="AJ627" s="45"/>
      <c r="AL627" s="45"/>
      <c r="AM627" s="46"/>
      <c r="AN627" s="46"/>
    </row>
    <row r="628" spans="1:40">
      <c r="C628" s="42"/>
      <c r="T628" s="42"/>
      <c r="V628" s="45"/>
      <c r="W628" s="45"/>
      <c r="X628" s="45"/>
      <c r="Y628" s="45"/>
      <c r="Z628" s="336"/>
    </row>
    <row r="629" spans="1:40">
      <c r="C629" s="42"/>
      <c r="F629" s="164"/>
      <c r="H629" s="164"/>
      <c r="I629" s="164"/>
      <c r="J629" s="336"/>
      <c r="K629" s="336"/>
      <c r="L629" s="45"/>
      <c r="M629" s="45"/>
      <c r="N629" s="46"/>
      <c r="O629" s="46"/>
      <c r="P629" s="45"/>
      <c r="Q629" s="45"/>
      <c r="R629" s="45"/>
      <c r="T629" s="42"/>
      <c r="V629" s="45"/>
      <c r="W629" s="45"/>
      <c r="X629" s="45"/>
      <c r="Y629" s="45"/>
      <c r="Z629" s="336"/>
      <c r="AA629" s="45"/>
      <c r="AB629" s="45"/>
      <c r="AC629" s="46"/>
      <c r="AD629" s="46"/>
      <c r="AE629" s="45"/>
      <c r="AF629" s="45"/>
      <c r="AH629" s="51"/>
      <c r="AI629" s="45"/>
      <c r="AJ629" s="45"/>
      <c r="AL629" s="45"/>
      <c r="AM629" s="46"/>
      <c r="AN629" s="46"/>
    </row>
    <row r="630" spans="1:40">
      <c r="F630" s="50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</row>
    <row r="631" spans="1:40">
      <c r="C631" s="42"/>
      <c r="F631" s="45"/>
      <c r="H631" s="45"/>
      <c r="I631" s="45"/>
      <c r="L631" s="45"/>
      <c r="M631" s="45"/>
      <c r="N631" s="46"/>
      <c r="O631" s="46"/>
      <c r="P631" s="164"/>
      <c r="Q631" s="164"/>
      <c r="R631" s="45"/>
      <c r="T631" s="42"/>
      <c r="V631" s="45"/>
      <c r="W631" s="45"/>
      <c r="X631" s="45"/>
      <c r="Y631" s="45"/>
      <c r="Z631" s="336"/>
      <c r="AA631" s="45"/>
      <c r="AB631" s="45"/>
      <c r="AC631" s="46"/>
      <c r="AD631" s="46"/>
      <c r="AE631" s="45"/>
      <c r="AF631" s="45"/>
      <c r="AH631" s="51"/>
      <c r="AI631" s="164"/>
      <c r="AJ631" s="164"/>
      <c r="AL631" s="45"/>
      <c r="AM631" s="46"/>
      <c r="AN631" s="46"/>
    </row>
    <row r="632" spans="1:40">
      <c r="F632" s="50"/>
      <c r="H632" s="50"/>
      <c r="I632" s="50"/>
      <c r="J632" s="326"/>
      <c r="K632" s="326"/>
      <c r="L632" s="50"/>
      <c r="M632" s="50"/>
      <c r="N632" s="50"/>
      <c r="O632" s="50"/>
      <c r="P632" s="50"/>
      <c r="Q632" s="50"/>
      <c r="R632" s="50"/>
      <c r="V632" s="50"/>
      <c r="Y632" s="50"/>
      <c r="Z632" s="326"/>
      <c r="AA632" s="50"/>
      <c r="AB632" s="50"/>
      <c r="AC632" s="50"/>
      <c r="AD632" s="50"/>
      <c r="AE632" s="50"/>
      <c r="AF632" s="50"/>
      <c r="AI632" s="50"/>
      <c r="AJ632" s="50"/>
      <c r="AK632" s="111"/>
      <c r="AL632" s="50"/>
    </row>
    <row r="633" spans="1:40">
      <c r="C633" s="42"/>
      <c r="F633" s="45"/>
      <c r="H633" s="45"/>
      <c r="I633" s="45"/>
      <c r="L633" s="45"/>
      <c r="M633" s="45"/>
      <c r="N633" s="46"/>
      <c r="O633" s="46"/>
      <c r="P633" s="45"/>
      <c r="Q633" s="45"/>
      <c r="R633" s="45"/>
      <c r="T633" s="42"/>
      <c r="V633" s="45"/>
      <c r="W633" s="45"/>
      <c r="X633" s="45"/>
      <c r="Y633" s="45"/>
      <c r="AA633" s="45"/>
      <c r="AB633" s="45"/>
      <c r="AC633" s="46"/>
      <c r="AD633" s="46"/>
      <c r="AE633" s="45"/>
      <c r="AF633" s="45"/>
      <c r="AH633" s="51"/>
      <c r="AI633" s="45"/>
      <c r="AJ633" s="45"/>
      <c r="AL633" s="45"/>
      <c r="AM633" s="51"/>
      <c r="AN633" s="51"/>
    </row>
    <row r="634" spans="1:40">
      <c r="F634" s="50"/>
      <c r="H634" s="50"/>
      <c r="I634" s="50"/>
      <c r="J634" s="326"/>
      <c r="K634" s="326"/>
      <c r="L634" s="50"/>
      <c r="M634" s="50"/>
      <c r="N634" s="50"/>
      <c r="O634" s="50"/>
      <c r="P634" s="50"/>
      <c r="Q634" s="50"/>
      <c r="R634" s="50"/>
      <c r="V634" s="50"/>
      <c r="Y634" s="50"/>
      <c r="Z634" s="326"/>
      <c r="AA634" s="50"/>
      <c r="AB634" s="50"/>
      <c r="AC634" s="50"/>
      <c r="AD634" s="50"/>
      <c r="AE634" s="50"/>
      <c r="AF634" s="50"/>
      <c r="AI634" s="50"/>
      <c r="AJ634" s="50"/>
      <c r="AK634" s="111"/>
      <c r="AL634" s="50"/>
    </row>
    <row r="637" spans="1:40">
      <c r="A637" s="42"/>
    </row>
    <row r="639" spans="1:40">
      <c r="H639" s="42"/>
      <c r="I639" s="42"/>
      <c r="Y639" s="42"/>
    </row>
    <row r="641" spans="1:40">
      <c r="L641" s="42"/>
      <c r="M641" s="42"/>
      <c r="AA641" s="42"/>
      <c r="AB641" s="42"/>
    </row>
    <row r="642" spans="1:40">
      <c r="R642" s="42"/>
      <c r="AK642" s="110"/>
      <c r="AL642" s="42"/>
    </row>
    <row r="643" spans="1:40">
      <c r="R643" s="42"/>
      <c r="AK643" s="110"/>
      <c r="AL643" s="42"/>
    </row>
    <row r="644" spans="1:40">
      <c r="A644" s="42"/>
      <c r="R644" s="42"/>
      <c r="AK644" s="110"/>
      <c r="AL644" s="42"/>
    </row>
    <row r="645" spans="1:40">
      <c r="L645" s="42"/>
      <c r="M645" s="42"/>
      <c r="AA645" s="42"/>
      <c r="AB645" s="42"/>
    </row>
    <row r="646" spans="1:40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107"/>
      <c r="AH646" s="49"/>
      <c r="AI646" s="49"/>
      <c r="AJ646" s="49"/>
      <c r="AK646" s="107"/>
      <c r="AL646" s="49"/>
      <c r="AM646" s="49"/>
      <c r="AN646" s="49"/>
    </row>
    <row r="647" spans="1:40">
      <c r="L647" s="44"/>
      <c r="M647" s="44"/>
      <c r="N647" s="44"/>
      <c r="O647" s="44"/>
      <c r="R647" s="44"/>
      <c r="AA647" s="44"/>
      <c r="AB647" s="44"/>
      <c r="AC647" s="44"/>
      <c r="AD647" s="44"/>
      <c r="AE647" s="44"/>
      <c r="AF647" s="44"/>
      <c r="AG647" s="102"/>
      <c r="AH647" s="44"/>
      <c r="AK647" s="102"/>
      <c r="AL647" s="44"/>
      <c r="AM647" s="44"/>
      <c r="AN647" s="44"/>
    </row>
    <row r="648" spans="1:40">
      <c r="L648" s="44"/>
      <c r="M648" s="44"/>
      <c r="N648" s="44"/>
      <c r="O648" s="44"/>
      <c r="R648" s="44"/>
      <c r="Z648" s="44"/>
      <c r="AA648" s="44"/>
      <c r="AB648" s="44"/>
      <c r="AC648" s="44"/>
      <c r="AD648" s="44"/>
      <c r="AE648" s="44"/>
      <c r="AF648" s="44"/>
      <c r="AG648" s="102"/>
      <c r="AH648" s="44"/>
      <c r="AK648" s="102"/>
      <c r="AL648" s="44"/>
      <c r="AM648" s="44"/>
      <c r="AN648" s="44"/>
    </row>
    <row r="649" spans="1:40">
      <c r="A649" s="44"/>
      <c r="C649" s="44"/>
      <c r="D649" s="44"/>
      <c r="E649" s="44"/>
      <c r="F649" s="44"/>
      <c r="J649" s="44"/>
      <c r="K649" s="44"/>
      <c r="L649" s="44"/>
      <c r="M649" s="44"/>
      <c r="N649" s="44"/>
      <c r="O649" s="44"/>
      <c r="P649" s="44"/>
      <c r="Q649" s="44"/>
      <c r="R649" s="44"/>
      <c r="T649" s="44"/>
      <c r="U649" s="44"/>
      <c r="V649" s="44"/>
      <c r="Z649" s="44"/>
      <c r="AA649" s="44"/>
      <c r="AB649" s="44"/>
      <c r="AC649" s="44"/>
      <c r="AD649" s="44"/>
      <c r="AE649" s="44"/>
      <c r="AF649" s="44"/>
      <c r="AG649" s="102"/>
      <c r="AH649" s="44"/>
      <c r="AI649" s="44"/>
      <c r="AJ649" s="44"/>
      <c r="AK649" s="102"/>
      <c r="AL649" s="44"/>
      <c r="AM649" s="44"/>
      <c r="AN649" s="44"/>
    </row>
    <row r="650" spans="1:40">
      <c r="A650" s="44"/>
      <c r="C650" s="44"/>
      <c r="D650" s="44"/>
      <c r="E650" s="44"/>
      <c r="F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T650" s="44"/>
      <c r="U650" s="44"/>
      <c r="V650" s="44"/>
      <c r="Y650" s="44"/>
      <c r="Z650" s="44"/>
      <c r="AA650" s="44"/>
      <c r="AB650" s="44"/>
      <c r="AC650" s="44"/>
      <c r="AD650" s="44"/>
      <c r="AE650" s="44"/>
      <c r="AF650" s="44"/>
      <c r="AG650" s="102"/>
      <c r="AH650" s="44"/>
      <c r="AI650" s="44"/>
      <c r="AJ650" s="44"/>
      <c r="AK650" s="102"/>
      <c r="AL650" s="44"/>
      <c r="AM650" s="44"/>
      <c r="AN650" s="44"/>
    </row>
    <row r="651" spans="1:40">
      <c r="C651" s="44"/>
      <c r="D651" s="44"/>
      <c r="E651" s="44"/>
      <c r="F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T651" s="44"/>
      <c r="U651" s="44"/>
      <c r="V651" s="44"/>
      <c r="Y651" s="44"/>
      <c r="Z651" s="44"/>
      <c r="AA651" s="44"/>
      <c r="AB651" s="44"/>
      <c r="AC651" s="44"/>
      <c r="AD651" s="44"/>
      <c r="AE651" s="44"/>
      <c r="AF651" s="44"/>
      <c r="AG651" s="102"/>
      <c r="AH651" s="44"/>
      <c r="AI651" s="44"/>
      <c r="AJ651" s="44"/>
      <c r="AK651" s="102"/>
      <c r="AL651" s="44"/>
      <c r="AM651" s="44"/>
      <c r="AN651" s="44"/>
    </row>
    <row r="652" spans="1:40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107"/>
      <c r="AH652" s="49"/>
      <c r="AI652" s="49"/>
      <c r="AJ652" s="49"/>
      <c r="AK652" s="107"/>
      <c r="AL652" s="49"/>
      <c r="AM652" s="49"/>
      <c r="AN652" s="49"/>
    </row>
    <row r="653" spans="1:40"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Y653" s="44"/>
      <c r="Z653" s="44"/>
      <c r="AA653" s="44"/>
      <c r="AB653" s="44"/>
      <c r="AC653" s="44"/>
      <c r="AD653" s="44"/>
      <c r="AE653" s="44"/>
      <c r="AF653" s="44"/>
      <c r="AG653" s="102"/>
      <c r="AH653" s="44"/>
      <c r="AI653" s="44"/>
      <c r="AJ653" s="44"/>
      <c r="AK653" s="102"/>
      <c r="AL653" s="44"/>
      <c r="AM653" s="44"/>
      <c r="AN653" s="44"/>
    </row>
    <row r="654" spans="1:40">
      <c r="C654" s="42"/>
      <c r="D654" s="42"/>
      <c r="E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U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1:40">
      <c r="F655" s="50"/>
      <c r="H655" s="50"/>
      <c r="I655" s="50"/>
      <c r="J655" s="326"/>
      <c r="K655" s="326"/>
      <c r="L655" s="50"/>
      <c r="M655" s="50"/>
      <c r="N655" s="50"/>
      <c r="O655" s="50"/>
      <c r="P655" s="50"/>
      <c r="Q655" s="50"/>
      <c r="R655" s="50"/>
      <c r="V655" s="50"/>
      <c r="Y655" s="50"/>
      <c r="Z655" s="326"/>
      <c r="AA655" s="50"/>
      <c r="AB655" s="50"/>
      <c r="AC655" s="50"/>
      <c r="AD655" s="50"/>
      <c r="AE655" s="50"/>
      <c r="AF655" s="50"/>
      <c r="AI655" s="50"/>
      <c r="AJ655" s="50"/>
      <c r="AK655" s="111"/>
      <c r="AL655" s="50"/>
      <c r="AM655" s="46"/>
      <c r="AN655" s="46"/>
    </row>
    <row r="656" spans="1:40">
      <c r="C656" s="42"/>
      <c r="F656" s="45"/>
      <c r="H656" s="45"/>
      <c r="I656" s="45"/>
      <c r="J656" s="47"/>
      <c r="K656" s="47"/>
      <c r="L656" s="45"/>
      <c r="M656" s="45"/>
      <c r="N656" s="47"/>
      <c r="O656" s="47"/>
      <c r="P656" s="45"/>
      <c r="Q656" s="45"/>
      <c r="R656" s="45"/>
      <c r="T656" s="42"/>
      <c r="V656" s="45"/>
      <c r="Y656" s="45"/>
      <c r="Z656" s="47"/>
      <c r="AA656" s="45"/>
      <c r="AB656" s="45"/>
      <c r="AC656" s="47"/>
      <c r="AD656" s="47"/>
      <c r="AE656" s="45"/>
      <c r="AF656" s="45"/>
      <c r="AH656" s="51"/>
      <c r="AI656" s="45"/>
      <c r="AJ656" s="45"/>
      <c r="AL656" s="45"/>
      <c r="AM656" s="46"/>
      <c r="AN656" s="46"/>
    </row>
    <row r="657" spans="3:40">
      <c r="F657" s="45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V657" s="45"/>
      <c r="Y657" s="45"/>
      <c r="Z657" s="47"/>
      <c r="AA657" s="45"/>
      <c r="AB657" s="45"/>
      <c r="AC657" s="47"/>
      <c r="AD657" s="47"/>
      <c r="AH657" s="51"/>
      <c r="AI657" s="45"/>
      <c r="AJ657" s="45"/>
      <c r="AL657" s="45"/>
      <c r="AM657" s="46"/>
      <c r="AN657" s="46"/>
    </row>
    <row r="658" spans="3:40">
      <c r="C658" s="42"/>
      <c r="D658" s="42"/>
      <c r="E658" s="42"/>
      <c r="F658" s="45"/>
      <c r="H658" s="45"/>
      <c r="I658" s="45"/>
      <c r="J658" s="47"/>
      <c r="K658" s="47"/>
      <c r="L658" s="45"/>
      <c r="M658" s="45"/>
      <c r="N658" s="47"/>
      <c r="O658" s="47"/>
      <c r="P658" s="45"/>
      <c r="Q658" s="45"/>
      <c r="R658" s="45"/>
      <c r="T658" s="42"/>
      <c r="U658" s="42"/>
      <c r="V658" s="45"/>
      <c r="Y658" s="45"/>
      <c r="Z658" s="47"/>
      <c r="AA658" s="45"/>
      <c r="AB658" s="45"/>
      <c r="AC658" s="47"/>
      <c r="AD658" s="47"/>
      <c r="AE658" s="45"/>
      <c r="AF658" s="45"/>
      <c r="AH658" s="51"/>
      <c r="AI658" s="45"/>
      <c r="AJ658" s="45"/>
      <c r="AL658" s="45"/>
      <c r="AM658" s="46"/>
      <c r="AN658" s="46"/>
    </row>
    <row r="659" spans="3:40">
      <c r="C659" s="42"/>
      <c r="D659" s="42"/>
      <c r="E659" s="42"/>
      <c r="F659" s="45"/>
      <c r="H659" s="45"/>
      <c r="I659" s="45"/>
      <c r="J659" s="47"/>
      <c r="K659" s="47"/>
      <c r="L659" s="45"/>
      <c r="M659" s="45"/>
      <c r="N659" s="47"/>
      <c r="O659" s="47"/>
      <c r="P659" s="45"/>
      <c r="Q659" s="45"/>
      <c r="R659" s="45"/>
      <c r="T659" s="42"/>
      <c r="U659" s="42"/>
      <c r="V659" s="45"/>
      <c r="Y659" s="45"/>
      <c r="Z659" s="47"/>
      <c r="AA659" s="45"/>
      <c r="AB659" s="45"/>
      <c r="AC659" s="47"/>
      <c r="AD659" s="47"/>
      <c r="AE659" s="45"/>
      <c r="AF659" s="45"/>
      <c r="AH659" s="51"/>
      <c r="AI659" s="45"/>
      <c r="AJ659" s="45"/>
      <c r="AL659" s="45"/>
      <c r="AM659" s="46"/>
      <c r="AN659" s="46"/>
    </row>
    <row r="660" spans="3:40">
      <c r="C660" s="42"/>
      <c r="D660" s="42"/>
      <c r="E660" s="42"/>
      <c r="F660" s="45"/>
      <c r="H660" s="45"/>
      <c r="I660" s="45"/>
      <c r="J660" s="47"/>
      <c r="K660" s="47"/>
      <c r="L660" s="45"/>
      <c r="M660" s="45"/>
      <c r="N660" s="47"/>
      <c r="O660" s="47"/>
      <c r="P660" s="45"/>
      <c r="Q660" s="45"/>
      <c r="R660" s="45"/>
      <c r="T660" s="42"/>
      <c r="U660" s="42"/>
      <c r="V660" s="45"/>
      <c r="Y660" s="45"/>
      <c r="Z660" s="47"/>
      <c r="AA660" s="45"/>
      <c r="AB660" s="45"/>
      <c r="AC660" s="47"/>
      <c r="AD660" s="47"/>
      <c r="AE660" s="45"/>
      <c r="AF660" s="45"/>
      <c r="AH660" s="51"/>
      <c r="AI660" s="45"/>
      <c r="AJ660" s="45"/>
      <c r="AL660" s="45"/>
      <c r="AM660" s="46"/>
      <c r="AN660" s="46"/>
    </row>
    <row r="661" spans="3:40">
      <c r="C661" s="42"/>
      <c r="D661" s="42"/>
      <c r="E661" s="42"/>
      <c r="F661" s="45"/>
      <c r="H661" s="45"/>
      <c r="I661" s="45"/>
      <c r="J661" s="47"/>
      <c r="K661" s="47"/>
      <c r="L661" s="45"/>
      <c r="M661" s="45"/>
      <c r="N661" s="47"/>
      <c r="O661" s="47"/>
      <c r="P661" s="45"/>
      <c r="Q661" s="45"/>
      <c r="R661" s="45"/>
      <c r="T661" s="42"/>
      <c r="U661" s="42"/>
      <c r="V661" s="45"/>
      <c r="Y661" s="45"/>
      <c r="Z661" s="47"/>
      <c r="AA661" s="45"/>
      <c r="AB661" s="45"/>
      <c r="AC661" s="47"/>
      <c r="AD661" s="47"/>
      <c r="AE661" s="45"/>
      <c r="AF661" s="45"/>
      <c r="AH661" s="51"/>
      <c r="AI661" s="45"/>
      <c r="AJ661" s="45"/>
      <c r="AL661" s="45"/>
      <c r="AM661" s="46"/>
      <c r="AN661" s="46"/>
    </row>
    <row r="662" spans="3:40">
      <c r="C662" s="42"/>
      <c r="D662" s="42"/>
      <c r="E662" s="42"/>
      <c r="F662" s="45"/>
      <c r="H662" s="45"/>
      <c r="I662" s="45"/>
      <c r="J662" s="47"/>
      <c r="K662" s="47"/>
      <c r="L662" s="45"/>
      <c r="M662" s="45"/>
      <c r="N662" s="47"/>
      <c r="O662" s="47"/>
      <c r="P662" s="45"/>
      <c r="Q662" s="45"/>
      <c r="R662" s="45"/>
      <c r="T662" s="42"/>
      <c r="U662" s="42"/>
      <c r="V662" s="45"/>
      <c r="Y662" s="45"/>
      <c r="Z662" s="47"/>
      <c r="AA662" s="45"/>
      <c r="AB662" s="45"/>
      <c r="AC662" s="47"/>
      <c r="AD662" s="47"/>
      <c r="AE662" s="45"/>
      <c r="AF662" s="45"/>
      <c r="AH662" s="51"/>
      <c r="AI662" s="45"/>
      <c r="AJ662" s="45"/>
      <c r="AL662" s="45"/>
      <c r="AM662" s="46"/>
      <c r="AN662" s="46"/>
    </row>
    <row r="663" spans="3:40">
      <c r="C663" s="42"/>
      <c r="D663" s="42"/>
      <c r="E663" s="42"/>
      <c r="F663" s="45"/>
      <c r="H663" s="45"/>
      <c r="I663" s="45"/>
      <c r="J663" s="47"/>
      <c r="K663" s="47"/>
      <c r="L663" s="45"/>
      <c r="M663" s="45"/>
      <c r="N663" s="47"/>
      <c r="O663" s="47"/>
      <c r="P663" s="45"/>
      <c r="Q663" s="45"/>
      <c r="R663" s="45"/>
      <c r="T663" s="42"/>
      <c r="U663" s="42"/>
      <c r="V663" s="45"/>
      <c r="Y663" s="45"/>
      <c r="Z663" s="47"/>
      <c r="AA663" s="45"/>
      <c r="AB663" s="45"/>
      <c r="AC663" s="47"/>
      <c r="AD663" s="47"/>
      <c r="AE663" s="45"/>
      <c r="AF663" s="45"/>
      <c r="AH663" s="51"/>
      <c r="AI663" s="45"/>
      <c r="AJ663" s="45"/>
      <c r="AL663" s="45"/>
      <c r="AM663" s="46"/>
      <c r="AN663" s="46"/>
    </row>
    <row r="664" spans="3:40">
      <c r="F664" s="50"/>
      <c r="H664" s="50"/>
      <c r="I664" s="50"/>
      <c r="J664" s="326"/>
      <c r="K664" s="326"/>
      <c r="L664" s="50"/>
      <c r="M664" s="50"/>
      <c r="N664" s="50"/>
      <c r="O664" s="50"/>
      <c r="P664" s="50"/>
      <c r="Q664" s="50"/>
      <c r="R664" s="50"/>
      <c r="V664" s="50"/>
      <c r="Y664" s="50"/>
      <c r="Z664" s="326"/>
      <c r="AA664" s="50"/>
      <c r="AB664" s="50"/>
      <c r="AC664" s="50"/>
      <c r="AD664" s="50"/>
      <c r="AE664" s="50"/>
      <c r="AF664" s="50"/>
      <c r="AI664" s="50"/>
      <c r="AJ664" s="50"/>
      <c r="AK664" s="111"/>
      <c r="AL664" s="50"/>
      <c r="AM664" s="46"/>
      <c r="AN664" s="46"/>
    </row>
    <row r="665" spans="3:40">
      <c r="C665" s="42"/>
      <c r="F665" s="45"/>
      <c r="H665" s="45"/>
      <c r="I665" s="45"/>
      <c r="J665" s="47"/>
      <c r="K665" s="47"/>
      <c r="L665" s="45"/>
      <c r="M665" s="45"/>
      <c r="N665" s="47"/>
      <c r="O665" s="47"/>
      <c r="P665" s="45"/>
      <c r="Q665" s="45"/>
      <c r="R665" s="45"/>
      <c r="T665" s="42"/>
      <c r="V665" s="45"/>
      <c r="Y665" s="45"/>
      <c r="Z665" s="47"/>
      <c r="AA665" s="45"/>
      <c r="AB665" s="45"/>
      <c r="AC665" s="47"/>
      <c r="AD665" s="47"/>
      <c r="AE665" s="45"/>
      <c r="AF665" s="45"/>
      <c r="AH665" s="51"/>
      <c r="AI665" s="45"/>
      <c r="AJ665" s="45"/>
      <c r="AL665" s="45"/>
      <c r="AM665" s="46"/>
      <c r="AN665" s="46"/>
    </row>
    <row r="666" spans="3:40">
      <c r="F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V666" s="45"/>
      <c r="Y666" s="45"/>
      <c r="Z666" s="47"/>
      <c r="AA666" s="45"/>
      <c r="AB666" s="45"/>
      <c r="AC666" s="47"/>
      <c r="AD666" s="47"/>
      <c r="AH666" s="51"/>
      <c r="AI666" s="45"/>
      <c r="AJ666" s="45"/>
      <c r="AL666" s="45"/>
      <c r="AM666" s="46"/>
      <c r="AN666" s="46"/>
    </row>
    <row r="667" spans="3:40">
      <c r="C667" s="42"/>
      <c r="D667" s="42"/>
      <c r="E667" s="42"/>
      <c r="F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T667" s="42"/>
      <c r="U667" s="42"/>
      <c r="V667" s="45"/>
      <c r="Y667" s="45"/>
      <c r="Z667" s="47"/>
      <c r="AA667" s="45"/>
      <c r="AB667" s="45"/>
      <c r="AC667" s="47"/>
      <c r="AD667" s="47"/>
      <c r="AE667" s="45"/>
      <c r="AF667" s="45"/>
      <c r="AH667" s="51"/>
      <c r="AI667" s="45"/>
      <c r="AJ667" s="45"/>
      <c r="AL667" s="45"/>
      <c r="AM667" s="46"/>
      <c r="AN667" s="46"/>
    </row>
    <row r="668" spans="3:40">
      <c r="F668" s="50"/>
      <c r="H668" s="50"/>
      <c r="I668" s="50"/>
      <c r="J668" s="326"/>
      <c r="K668" s="326"/>
      <c r="L668" s="50"/>
      <c r="M668" s="50"/>
      <c r="N668" s="50"/>
      <c r="O668" s="50"/>
      <c r="P668" s="50"/>
      <c r="Q668" s="50"/>
      <c r="R668" s="50"/>
      <c r="V668" s="50"/>
      <c r="Y668" s="50"/>
      <c r="Z668" s="326"/>
      <c r="AA668" s="50"/>
      <c r="AB668" s="50"/>
      <c r="AC668" s="50"/>
      <c r="AD668" s="50"/>
      <c r="AE668" s="50"/>
      <c r="AF668" s="50"/>
      <c r="AI668" s="50"/>
      <c r="AJ668" s="50"/>
      <c r="AK668" s="111"/>
      <c r="AL668" s="50"/>
      <c r="AM668" s="46"/>
      <c r="AN668" s="46"/>
    </row>
    <row r="669" spans="3:40">
      <c r="C669" s="42"/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V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3:40"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V670" s="45"/>
      <c r="Y670" s="45"/>
      <c r="Z670" s="47"/>
      <c r="AA670" s="45"/>
      <c r="AB670" s="45"/>
      <c r="AC670" s="47"/>
      <c r="AD670" s="47"/>
      <c r="AH670" s="51"/>
      <c r="AI670" s="45"/>
      <c r="AJ670" s="45"/>
      <c r="AL670" s="45"/>
      <c r="AM670" s="46"/>
      <c r="AN670" s="46"/>
    </row>
    <row r="671" spans="3:40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3:40">
      <c r="C672" s="42"/>
      <c r="D672" s="42"/>
      <c r="E672" s="42"/>
      <c r="F672" s="45"/>
      <c r="G672" s="45"/>
      <c r="H672" s="45"/>
      <c r="I672" s="45"/>
      <c r="J672" s="47"/>
      <c r="K672" s="47"/>
      <c r="L672" s="45"/>
      <c r="M672" s="45"/>
      <c r="N672" s="47"/>
      <c r="O672" s="47"/>
      <c r="P672" s="45"/>
      <c r="Q672" s="45"/>
      <c r="R672" s="45"/>
      <c r="T672" s="42"/>
      <c r="U672" s="42"/>
      <c r="V672" s="45"/>
      <c r="W672" s="45"/>
      <c r="X672" s="45"/>
      <c r="Y672" s="45"/>
      <c r="Z672" s="47"/>
      <c r="AA672" s="45"/>
      <c r="AB672" s="45"/>
      <c r="AC672" s="47"/>
      <c r="AD672" s="47"/>
      <c r="AE672" s="45"/>
      <c r="AF672" s="45"/>
      <c r="AH672" s="51"/>
      <c r="AI672" s="45"/>
      <c r="AJ672" s="45"/>
      <c r="AL672" s="45"/>
      <c r="AM672" s="46"/>
      <c r="AN672" s="46"/>
    </row>
    <row r="673" spans="3:40">
      <c r="C673" s="42"/>
      <c r="D673" s="42"/>
      <c r="E673" s="42"/>
      <c r="F673" s="45"/>
      <c r="G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U673" s="42"/>
      <c r="V673" s="45"/>
      <c r="W673" s="45"/>
      <c r="X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>
      <c r="C674" s="42"/>
      <c r="D674" s="42"/>
      <c r="E674" s="42"/>
      <c r="F674" s="45"/>
      <c r="H674" s="45"/>
      <c r="I674" s="45"/>
      <c r="J674" s="47"/>
      <c r="K674" s="47"/>
      <c r="L674" s="45"/>
      <c r="M674" s="45"/>
      <c r="N674" s="47"/>
      <c r="O674" s="47"/>
      <c r="P674" s="45"/>
      <c r="Q674" s="45"/>
      <c r="R674" s="45"/>
      <c r="T674" s="42"/>
      <c r="U674" s="42"/>
      <c r="V674" s="45"/>
      <c r="Y674" s="45"/>
      <c r="Z674" s="47"/>
      <c r="AA674" s="45"/>
      <c r="AB674" s="45"/>
      <c r="AC674" s="47"/>
      <c r="AD674" s="47"/>
      <c r="AE674" s="45"/>
      <c r="AF674" s="45"/>
      <c r="AH674" s="51"/>
      <c r="AI674" s="45"/>
      <c r="AJ674" s="45"/>
      <c r="AL674" s="45"/>
      <c r="AM674" s="46"/>
      <c r="AN674" s="46"/>
    </row>
    <row r="675" spans="3:40">
      <c r="C675" s="42"/>
      <c r="D675" s="42"/>
      <c r="E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U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>
      <c r="C676" s="42"/>
      <c r="D676" s="42"/>
      <c r="E676" s="42"/>
      <c r="F676" s="45"/>
      <c r="H676" s="45"/>
      <c r="I676" s="45"/>
      <c r="J676" s="47"/>
      <c r="K676" s="47"/>
      <c r="L676" s="45"/>
      <c r="M676" s="45"/>
      <c r="N676" s="47"/>
      <c r="O676" s="47"/>
      <c r="P676" s="45"/>
      <c r="Q676" s="45"/>
      <c r="R676" s="45"/>
      <c r="T676" s="42"/>
      <c r="U676" s="42"/>
      <c r="V676" s="45"/>
      <c r="Y676" s="45"/>
      <c r="Z676" s="47"/>
      <c r="AA676" s="45"/>
      <c r="AB676" s="45"/>
      <c r="AC676" s="47"/>
      <c r="AD676" s="47"/>
      <c r="AE676" s="45"/>
      <c r="AF676" s="45"/>
      <c r="AH676" s="51"/>
      <c r="AI676" s="45"/>
      <c r="AJ676" s="45"/>
      <c r="AL676" s="45"/>
      <c r="AM676" s="46"/>
      <c r="AN676" s="46"/>
    </row>
    <row r="677" spans="3:40">
      <c r="C677" s="42"/>
      <c r="D677" s="42"/>
      <c r="E677" s="42"/>
      <c r="F677" s="45"/>
      <c r="H677" s="45"/>
      <c r="I677" s="45"/>
      <c r="J677" s="47"/>
      <c r="K677" s="47"/>
      <c r="L677" s="45"/>
      <c r="M677" s="45"/>
      <c r="N677" s="47"/>
      <c r="O677" s="47"/>
      <c r="P677" s="45"/>
      <c r="Q677" s="45"/>
      <c r="R677" s="45"/>
      <c r="T677" s="42"/>
      <c r="U677" s="42"/>
      <c r="V677" s="45"/>
      <c r="Y677" s="45"/>
      <c r="Z677" s="47"/>
      <c r="AA677" s="45"/>
      <c r="AB677" s="45"/>
      <c r="AC677" s="47"/>
      <c r="AD677" s="47"/>
      <c r="AE677" s="45"/>
      <c r="AF677" s="45"/>
      <c r="AH677" s="51"/>
      <c r="AI677" s="45"/>
      <c r="AJ677" s="45"/>
      <c r="AL677" s="45"/>
      <c r="AM677" s="46"/>
      <c r="AN677" s="46"/>
    </row>
    <row r="678" spans="3:40">
      <c r="F678" s="50"/>
      <c r="H678" s="50"/>
      <c r="I678" s="50"/>
      <c r="J678" s="326"/>
      <c r="K678" s="326"/>
      <c r="L678" s="50"/>
      <c r="M678" s="50"/>
      <c r="N678" s="50"/>
      <c r="O678" s="50"/>
      <c r="P678" s="50"/>
      <c r="Q678" s="50"/>
      <c r="R678" s="50"/>
      <c r="V678" s="50"/>
      <c r="Y678" s="50"/>
      <c r="Z678" s="326"/>
      <c r="AA678" s="50"/>
      <c r="AB678" s="50"/>
      <c r="AC678" s="50"/>
      <c r="AD678" s="50"/>
      <c r="AE678" s="50"/>
      <c r="AF678" s="50"/>
      <c r="AI678" s="50"/>
      <c r="AJ678" s="50"/>
      <c r="AK678" s="111"/>
      <c r="AL678" s="50"/>
      <c r="AM678" s="46"/>
      <c r="AN678" s="46"/>
    </row>
    <row r="679" spans="3:40">
      <c r="C679" s="42"/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T679" s="42"/>
      <c r="V679" s="45"/>
      <c r="Y679" s="45"/>
      <c r="Z679" s="47"/>
      <c r="AA679" s="45"/>
      <c r="AB679" s="45"/>
      <c r="AC679" s="47"/>
      <c r="AD679" s="47"/>
      <c r="AE679" s="45"/>
      <c r="AF679" s="45"/>
      <c r="AH679" s="51"/>
      <c r="AI679" s="45"/>
      <c r="AJ679" s="45"/>
      <c r="AL679" s="45"/>
      <c r="AM679" s="46"/>
      <c r="AN679" s="46"/>
    </row>
    <row r="680" spans="3:40">
      <c r="V680" s="45"/>
      <c r="Y680" s="45"/>
      <c r="Z680" s="326"/>
      <c r="AA680" s="45"/>
      <c r="AB680" s="45"/>
      <c r="AC680" s="45"/>
      <c r="AD680" s="45"/>
      <c r="AE680" s="45"/>
      <c r="AF680" s="45"/>
      <c r="AI680" s="45"/>
      <c r="AJ680" s="45"/>
      <c r="AL680" s="45"/>
      <c r="AM680" s="46"/>
      <c r="AN680" s="46"/>
    </row>
    <row r="681" spans="3:40">
      <c r="C681" s="42"/>
      <c r="D681" s="42"/>
      <c r="E681" s="42"/>
      <c r="L681" s="45"/>
      <c r="M681" s="45"/>
      <c r="N681" s="47"/>
      <c r="O681" s="47"/>
      <c r="R681" s="45"/>
      <c r="T681" s="42"/>
      <c r="U681" s="42"/>
      <c r="AA681" s="45"/>
      <c r="AB681" s="45"/>
      <c r="AC681" s="47"/>
      <c r="AD681" s="47"/>
      <c r="AE681" s="45"/>
      <c r="AF681" s="45"/>
      <c r="AH681" s="51"/>
      <c r="AL681" s="45"/>
      <c r="AM681" s="46"/>
      <c r="AN681" s="46"/>
    </row>
    <row r="682" spans="3:40">
      <c r="D682" s="42"/>
      <c r="E682" s="42"/>
      <c r="F682" s="164"/>
      <c r="H682" s="164"/>
      <c r="I682" s="164"/>
      <c r="J682" s="47"/>
      <c r="K682" s="47"/>
      <c r="L682" s="45"/>
      <c r="M682" s="45"/>
      <c r="N682" s="47"/>
      <c r="O682" s="47"/>
      <c r="P682" s="164"/>
      <c r="Q682" s="164"/>
      <c r="R682" s="45"/>
      <c r="U682" s="42"/>
      <c r="V682" s="45"/>
      <c r="Y682" s="45"/>
      <c r="Z682" s="47"/>
      <c r="AA682" s="45"/>
      <c r="AB682" s="45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>
      <c r="F683" s="50"/>
      <c r="H683" s="50"/>
      <c r="I683" s="50"/>
      <c r="J683" s="326"/>
      <c r="K683" s="326"/>
      <c r="L683" s="50"/>
      <c r="M683" s="50"/>
      <c r="N683" s="50"/>
      <c r="O683" s="50"/>
      <c r="P683" s="50"/>
      <c r="Q683" s="50"/>
      <c r="R683" s="50"/>
      <c r="V683" s="50"/>
      <c r="Y683" s="50"/>
      <c r="Z683" s="326"/>
      <c r="AA683" s="50"/>
      <c r="AB683" s="50"/>
      <c r="AC683" s="50"/>
      <c r="AD683" s="50"/>
      <c r="AE683" s="50"/>
      <c r="AF683" s="50"/>
      <c r="AI683" s="50"/>
      <c r="AJ683" s="50"/>
      <c r="AK683" s="111"/>
      <c r="AL683" s="50"/>
      <c r="AM683" s="46"/>
      <c r="AN683" s="46"/>
    </row>
    <row r="684" spans="3:40">
      <c r="C684" s="42"/>
      <c r="F684" s="45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V685" s="45"/>
      <c r="Y685" s="45"/>
      <c r="Z685" s="47"/>
      <c r="AA685" s="45"/>
      <c r="AB685" s="45"/>
      <c r="AC685" s="47"/>
      <c r="AD685" s="47"/>
      <c r="AH685" s="51"/>
      <c r="AI685" s="45"/>
      <c r="AJ685" s="45"/>
      <c r="AL685" s="45"/>
      <c r="AM685" s="46"/>
      <c r="AN685" s="46"/>
    </row>
    <row r="686" spans="3:40">
      <c r="D686" s="42"/>
      <c r="E686" s="42"/>
      <c r="F686" s="45"/>
      <c r="H686" s="45"/>
      <c r="I686" s="45"/>
      <c r="J686" s="47"/>
      <c r="K686" s="47"/>
      <c r="L686" s="164"/>
      <c r="M686" s="164"/>
      <c r="N686" s="47"/>
      <c r="O686" s="47"/>
      <c r="P686" s="45"/>
      <c r="Q686" s="45"/>
      <c r="R686" s="45"/>
      <c r="U686" s="42"/>
      <c r="V686" s="45"/>
      <c r="Y686" s="45"/>
      <c r="Z686" s="47"/>
      <c r="AA686" s="164"/>
      <c r="AB686" s="164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3:40">
      <c r="D687" s="42"/>
      <c r="E687" s="42"/>
      <c r="F687" s="45"/>
      <c r="H687" s="45"/>
      <c r="I687" s="45"/>
      <c r="J687" s="47"/>
      <c r="K687" s="47"/>
      <c r="L687" s="164"/>
      <c r="M687" s="164"/>
      <c r="N687" s="47"/>
      <c r="O687" s="47"/>
      <c r="P687" s="45"/>
      <c r="Q687" s="45"/>
      <c r="R687" s="45"/>
      <c r="U687" s="42"/>
      <c r="V687" s="45"/>
      <c r="Y687" s="45"/>
      <c r="Z687" s="47"/>
      <c r="AA687" s="164"/>
      <c r="AB687" s="164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3:40">
      <c r="D688" s="42"/>
      <c r="E688" s="42"/>
      <c r="F688" s="45"/>
      <c r="H688" s="45"/>
      <c r="I688" s="45"/>
      <c r="J688" s="47"/>
      <c r="K688" s="47"/>
      <c r="L688" s="164"/>
      <c r="M688" s="164"/>
      <c r="N688" s="47"/>
      <c r="O688" s="47"/>
      <c r="P688" s="45"/>
      <c r="Q688" s="45"/>
      <c r="R688" s="45"/>
      <c r="U688" s="42"/>
      <c r="V688" s="45"/>
      <c r="Y688" s="45"/>
      <c r="Z688" s="47"/>
      <c r="AA688" s="164"/>
      <c r="AB688" s="164"/>
      <c r="AC688" s="47"/>
      <c r="AD688" s="47"/>
      <c r="AE688" s="45"/>
      <c r="AF688" s="45"/>
      <c r="AH688" s="51"/>
      <c r="AI688" s="45"/>
      <c r="AJ688" s="45"/>
      <c r="AL688" s="45"/>
      <c r="AM688" s="46"/>
      <c r="AN688" s="46"/>
    </row>
    <row r="689" spans="1:40">
      <c r="F689" s="50"/>
      <c r="H689" s="50"/>
      <c r="I689" s="50"/>
      <c r="J689" s="326"/>
      <c r="K689" s="326"/>
      <c r="L689" s="50"/>
      <c r="M689" s="50"/>
      <c r="N689" s="50"/>
      <c r="O689" s="50"/>
      <c r="P689" s="50"/>
      <c r="Q689" s="50"/>
      <c r="R689" s="50"/>
      <c r="V689" s="50"/>
      <c r="Y689" s="50"/>
      <c r="Z689" s="326"/>
      <c r="AA689" s="50"/>
      <c r="AB689" s="50"/>
      <c r="AC689" s="50"/>
      <c r="AD689" s="50"/>
      <c r="AE689" s="50"/>
      <c r="AF689" s="50"/>
      <c r="AI689" s="50"/>
      <c r="AJ689" s="50"/>
      <c r="AK689" s="111"/>
      <c r="AL689" s="50"/>
      <c r="AM689" s="46"/>
      <c r="AN689" s="46"/>
    </row>
    <row r="690" spans="1:40">
      <c r="C690" s="42"/>
      <c r="F690" s="45"/>
      <c r="H690" s="45"/>
      <c r="I690" s="45"/>
      <c r="J690" s="47"/>
      <c r="K690" s="47"/>
      <c r="L690" s="45"/>
      <c r="M690" s="45"/>
      <c r="N690" s="47"/>
      <c r="O690" s="47"/>
      <c r="P690" s="45"/>
      <c r="Q690" s="45"/>
      <c r="R690" s="45"/>
      <c r="T690" s="42"/>
      <c r="V690" s="45"/>
      <c r="Y690" s="45"/>
      <c r="Z690" s="47"/>
      <c r="AA690" s="45"/>
      <c r="AB690" s="45"/>
      <c r="AC690" s="47"/>
      <c r="AD690" s="47"/>
      <c r="AE690" s="45"/>
      <c r="AF690" s="45"/>
      <c r="AH690" s="51"/>
      <c r="AI690" s="45"/>
      <c r="AJ690" s="45"/>
      <c r="AL690" s="45"/>
      <c r="AM690" s="46"/>
      <c r="AN690" s="46"/>
    </row>
    <row r="691" spans="1:40">
      <c r="F691" s="45"/>
      <c r="H691" s="45"/>
      <c r="I691" s="45"/>
      <c r="J691" s="47"/>
      <c r="K691" s="47"/>
      <c r="L691" s="45"/>
      <c r="M691" s="45"/>
      <c r="N691" s="47"/>
      <c r="O691" s="47"/>
      <c r="P691" s="45"/>
      <c r="Q691" s="45"/>
      <c r="R691" s="45"/>
      <c r="V691" s="45"/>
      <c r="Y691" s="45"/>
      <c r="Z691" s="47"/>
      <c r="AA691" s="45"/>
      <c r="AB691" s="45"/>
      <c r="AC691" s="47"/>
      <c r="AD691" s="47"/>
      <c r="AH691" s="51"/>
      <c r="AI691" s="45"/>
      <c r="AJ691" s="45"/>
      <c r="AL691" s="45"/>
      <c r="AM691" s="46"/>
      <c r="AN691" s="46"/>
    </row>
    <row r="692" spans="1:40">
      <c r="C692" s="42"/>
      <c r="F692" s="45"/>
      <c r="H692" s="45"/>
      <c r="I692" s="45"/>
      <c r="J692" s="47"/>
      <c r="K692" s="47"/>
      <c r="L692" s="45"/>
      <c r="M692" s="45"/>
      <c r="N692" s="47"/>
      <c r="O692" s="47"/>
      <c r="P692" s="45"/>
      <c r="Q692" s="45"/>
      <c r="R692" s="45"/>
      <c r="T692" s="42"/>
      <c r="V692" s="45"/>
      <c r="Y692" s="45"/>
      <c r="Z692" s="47"/>
      <c r="AA692" s="45"/>
      <c r="AB692" s="45"/>
      <c r="AC692" s="47"/>
      <c r="AD692" s="47"/>
      <c r="AE692" s="45"/>
      <c r="AF692" s="45"/>
      <c r="AH692" s="51"/>
      <c r="AI692" s="45"/>
      <c r="AJ692" s="45"/>
      <c r="AL692" s="45"/>
      <c r="AM692" s="46"/>
      <c r="AN692" s="46"/>
    </row>
    <row r="693" spans="1:40">
      <c r="F693" s="50"/>
      <c r="H693" s="50"/>
      <c r="I693" s="50"/>
      <c r="J693" s="326"/>
      <c r="K693" s="326"/>
      <c r="L693" s="50"/>
      <c r="M693" s="50"/>
      <c r="N693" s="50"/>
      <c r="O693" s="50"/>
      <c r="P693" s="50"/>
      <c r="Q693" s="50"/>
      <c r="R693" s="50"/>
      <c r="V693" s="50"/>
      <c r="Y693" s="50"/>
      <c r="Z693" s="326"/>
      <c r="AA693" s="50"/>
      <c r="AB693" s="50"/>
      <c r="AC693" s="50"/>
      <c r="AD693" s="50"/>
      <c r="AE693" s="50"/>
      <c r="AF693" s="50"/>
      <c r="AI693" s="50"/>
      <c r="AJ693" s="50"/>
      <c r="AK693" s="111"/>
      <c r="AL693" s="50"/>
    </row>
    <row r="695" spans="1:40">
      <c r="C695" s="42"/>
      <c r="L695" s="45"/>
      <c r="M695" s="45"/>
      <c r="P695" s="45"/>
      <c r="Q695" s="45"/>
      <c r="R695" s="45"/>
      <c r="T695" s="42"/>
    </row>
    <row r="696" spans="1:40">
      <c r="A696" s="42"/>
      <c r="L696" s="45"/>
      <c r="M696" s="45"/>
      <c r="P696" s="45"/>
      <c r="Q696" s="45"/>
      <c r="R696" s="45"/>
    </row>
    <row r="697" spans="1:40">
      <c r="L697" s="45"/>
      <c r="M697" s="45"/>
      <c r="P697" s="45"/>
      <c r="Q697" s="45"/>
      <c r="R697" s="45"/>
    </row>
    <row r="698" spans="1:40">
      <c r="L698" s="45"/>
      <c r="M698" s="45"/>
      <c r="P698" s="45"/>
      <c r="Q698" s="45"/>
      <c r="R698" s="45"/>
    </row>
    <row r="699" spans="1:40">
      <c r="L699" s="45"/>
      <c r="M699" s="45"/>
      <c r="P699" s="45"/>
      <c r="Q699" s="45"/>
      <c r="R699" s="45"/>
    </row>
    <row r="700" spans="1:40">
      <c r="L700" s="45"/>
      <c r="M700" s="45"/>
      <c r="P700" s="45"/>
      <c r="Q700" s="45"/>
      <c r="R700" s="45"/>
    </row>
    <row r="701" spans="1:40">
      <c r="L701" s="45"/>
      <c r="M701" s="45"/>
      <c r="P701" s="45"/>
      <c r="Q701" s="45"/>
      <c r="R701" s="45"/>
    </row>
    <row r="734" spans="49:49">
      <c r="AW734" s="45"/>
    </row>
    <row r="735" spans="49:49">
      <c r="AW735" s="45"/>
    </row>
    <row r="736" spans="49:49">
      <c r="AW736" s="45"/>
    </row>
    <row r="737" spans="49:49">
      <c r="AW737" s="45"/>
    </row>
    <row r="738" spans="49:49">
      <c r="AW738" s="45"/>
    </row>
    <row r="739" spans="49:49">
      <c r="AW739" s="45"/>
    </row>
    <row r="742" spans="49:49">
      <c r="AW742" s="45"/>
    </row>
    <row r="743" spans="49:49">
      <c r="AW743" s="45"/>
    </row>
    <row r="744" spans="49:49">
      <c r="AW744" s="45"/>
    </row>
    <row r="745" spans="49:49">
      <c r="AW745" s="45"/>
    </row>
    <row r="746" spans="49:49">
      <c r="AW746" s="45"/>
    </row>
    <row r="747" spans="49:49">
      <c r="AW747" s="45"/>
    </row>
    <row r="748" spans="49:49">
      <c r="AW748" s="45"/>
    </row>
    <row r="749" spans="49:49">
      <c r="AW749" s="45"/>
    </row>
    <row r="752" spans="49:49">
      <c r="AW752" s="45"/>
    </row>
    <row r="753" spans="49:51">
      <c r="AW753" s="45"/>
    </row>
    <row r="756" spans="49:51">
      <c r="AW756" s="45"/>
    </row>
    <row r="757" spans="49:51">
      <c r="AW757" s="45"/>
    </row>
    <row r="758" spans="49:51">
      <c r="AW758" s="45"/>
    </row>
    <row r="759" spans="49:51">
      <c r="AW759" s="45"/>
    </row>
    <row r="767" spans="49:51">
      <c r="AY767" s="42"/>
    </row>
    <row r="768" spans="49:51">
      <c r="AY768" s="42"/>
    </row>
    <row r="769" spans="45:69">
      <c r="BD769" s="42"/>
    </row>
    <row r="770" spans="45:69">
      <c r="BD770" s="42"/>
    </row>
    <row r="771" spans="45:69">
      <c r="AS771" s="42"/>
      <c r="BD771" s="42"/>
    </row>
    <row r="773" spans="45:69"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</row>
    <row r="774" spans="45:69">
      <c r="AX774" s="42"/>
    </row>
    <row r="775" spans="45:69">
      <c r="AX775" s="49"/>
      <c r="AY775" s="49"/>
      <c r="AZ775" s="49"/>
      <c r="BA775" s="49"/>
      <c r="BC775" s="44"/>
      <c r="BD775" s="44"/>
    </row>
    <row r="776" spans="45:69">
      <c r="AV776" s="44"/>
      <c r="AW776" s="44"/>
      <c r="AZ776" s="44"/>
      <c r="BA776" s="44"/>
      <c r="BC776" s="44"/>
      <c r="BD776" s="44"/>
      <c r="BE776" s="44"/>
      <c r="BG776" s="49"/>
      <c r="BH776" s="42"/>
      <c r="BK776" s="49"/>
      <c r="BM776" s="49"/>
      <c r="BN776" s="42"/>
      <c r="BQ776" s="49"/>
    </row>
    <row r="777" spans="45:69"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H777" s="44"/>
      <c r="BI777" s="44"/>
      <c r="BJ777" s="44"/>
      <c r="BN777" s="44"/>
      <c r="BO777" s="44"/>
      <c r="BP777" s="44"/>
    </row>
    <row r="778" spans="45:69">
      <c r="AS778" s="44"/>
      <c r="AU778" s="42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G778" s="44"/>
      <c r="BH778" s="44"/>
      <c r="BI778" s="44"/>
      <c r="BJ778" s="44"/>
      <c r="BK778" s="44"/>
      <c r="BM778" s="44"/>
      <c r="BN778" s="44"/>
      <c r="BO778" s="44"/>
      <c r="BP778" s="44"/>
      <c r="BQ778" s="44"/>
    </row>
    <row r="779" spans="45:69">
      <c r="AS779" s="44"/>
      <c r="AU779" s="42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G779" s="44"/>
      <c r="BH779" s="44"/>
      <c r="BI779" s="44"/>
      <c r="BJ779" s="44"/>
      <c r="BK779" s="44"/>
      <c r="BM779" s="44"/>
      <c r="BN779" s="44"/>
      <c r="BO779" s="44"/>
      <c r="BP779" s="44"/>
      <c r="BQ779" s="44"/>
    </row>
    <row r="780" spans="45:69"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G780" s="49"/>
      <c r="BH780" s="49"/>
      <c r="BI780" s="49"/>
      <c r="BJ780" s="49"/>
      <c r="BK780" s="49"/>
      <c r="BM780" s="49"/>
      <c r="BN780" s="49"/>
      <c r="BO780" s="49"/>
      <c r="BP780" s="49"/>
      <c r="BQ780" s="49"/>
    </row>
    <row r="781" spans="45:69"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</row>
    <row r="782" spans="45:69">
      <c r="AU782" s="42"/>
      <c r="AV782" s="44"/>
      <c r="AY782" s="47"/>
    </row>
    <row r="783" spans="45:69">
      <c r="AV783" s="44"/>
      <c r="AW783" s="45"/>
      <c r="AX783" s="56"/>
      <c r="AY783" s="56"/>
      <c r="AZ783" s="56"/>
      <c r="BA783" s="46"/>
      <c r="BB783" s="56"/>
      <c r="BC783" s="47"/>
      <c r="BD783" s="47"/>
      <c r="BE783" s="46"/>
      <c r="BG783" s="56"/>
      <c r="BH783" s="56"/>
      <c r="BI783" s="56"/>
      <c r="BJ783" s="56"/>
      <c r="BK783" s="56"/>
      <c r="BM783" s="56"/>
      <c r="BN783" s="56"/>
      <c r="BO783" s="56"/>
      <c r="BP783" s="56"/>
      <c r="BQ783" s="56"/>
    </row>
    <row r="784" spans="45:69">
      <c r="AV784" s="44"/>
      <c r="AW784" s="45"/>
      <c r="AX784" s="56"/>
      <c r="AY784" s="56"/>
      <c r="AZ784" s="56"/>
      <c r="BA784" s="46"/>
      <c r="BB784" s="56"/>
      <c r="BC784" s="47"/>
      <c r="BD784" s="47"/>
      <c r="BE784" s="46"/>
      <c r="BG784" s="56"/>
      <c r="BH784" s="56"/>
      <c r="BI784" s="56"/>
      <c r="BJ784" s="56"/>
      <c r="BK784" s="56"/>
      <c r="BM784" s="56"/>
      <c r="BN784" s="56"/>
      <c r="BO784" s="56"/>
      <c r="BP784" s="56"/>
      <c r="BQ784" s="56"/>
    </row>
    <row r="785" spans="48:69">
      <c r="AV785" s="44"/>
      <c r="AW785" s="45"/>
      <c r="AX785" s="56"/>
      <c r="AY785" s="56"/>
      <c r="AZ785" s="56"/>
      <c r="BA785" s="46"/>
      <c r="BB785" s="56"/>
      <c r="BC785" s="47"/>
      <c r="BD785" s="47"/>
      <c r="BE785" s="46"/>
      <c r="BG785" s="56"/>
      <c r="BH785" s="56"/>
      <c r="BI785" s="56"/>
      <c r="BJ785" s="56"/>
      <c r="BK785" s="56"/>
      <c r="BM785" s="56"/>
      <c r="BN785" s="56"/>
      <c r="BO785" s="56"/>
      <c r="BP785" s="56"/>
      <c r="BQ785" s="56"/>
    </row>
    <row r="786" spans="48:69">
      <c r="AV786" s="44"/>
      <c r="AW786" s="45"/>
      <c r="AX786" s="56"/>
      <c r="AY786" s="56"/>
      <c r="AZ786" s="56"/>
      <c r="BA786" s="46"/>
      <c r="BB786" s="56"/>
      <c r="BC786" s="47"/>
      <c r="BD786" s="47"/>
      <c r="BE786" s="46"/>
      <c r="BG786" s="56"/>
      <c r="BH786" s="56"/>
      <c r="BI786" s="56"/>
      <c r="BJ786" s="56"/>
      <c r="BK786" s="56"/>
      <c r="BM786" s="56"/>
      <c r="BN786" s="56"/>
      <c r="BO786" s="56"/>
      <c r="BP786" s="56"/>
      <c r="BQ786" s="56"/>
    </row>
    <row r="787" spans="48:69">
      <c r="AV787" s="44"/>
      <c r="AW787" s="45"/>
      <c r="AX787" s="56"/>
      <c r="AY787" s="56"/>
      <c r="AZ787" s="56"/>
      <c r="BA787" s="46"/>
      <c r="BB787" s="56"/>
      <c r="BC787" s="47"/>
      <c r="BD787" s="47"/>
      <c r="BE787" s="46"/>
      <c r="BG787" s="56"/>
      <c r="BH787" s="56"/>
      <c r="BI787" s="56"/>
      <c r="BJ787" s="56"/>
      <c r="BK787" s="56"/>
      <c r="BM787" s="56"/>
      <c r="BN787" s="56"/>
      <c r="BO787" s="56"/>
      <c r="BP787" s="56"/>
      <c r="BQ787" s="56"/>
    </row>
    <row r="788" spans="48:69">
      <c r="AV788" s="44"/>
      <c r="AW788" s="45"/>
      <c r="AX788" s="56"/>
      <c r="AY788" s="56"/>
      <c r="AZ788" s="56"/>
      <c r="BA788" s="46"/>
      <c r="BB788" s="56"/>
      <c r="BC788" s="47"/>
      <c r="BD788" s="47"/>
      <c r="BE788" s="46"/>
      <c r="BG788" s="56"/>
      <c r="BH788" s="56"/>
      <c r="BI788" s="56"/>
      <c r="BJ788" s="56"/>
      <c r="BK788" s="56"/>
      <c r="BM788" s="56"/>
      <c r="BN788" s="56"/>
      <c r="BO788" s="56"/>
      <c r="BP788" s="56"/>
      <c r="BQ788" s="56"/>
    </row>
    <row r="789" spans="48:69">
      <c r="AV789" s="44"/>
      <c r="AW789" s="45"/>
      <c r="AX789" s="56"/>
      <c r="AY789" s="56"/>
      <c r="AZ789" s="56"/>
      <c r="BA789" s="46"/>
      <c r="BB789" s="56"/>
      <c r="BC789" s="47"/>
      <c r="BD789" s="47"/>
      <c r="BE789" s="46"/>
      <c r="BG789" s="56"/>
      <c r="BH789" s="56"/>
      <c r="BI789" s="56"/>
      <c r="BJ789" s="56"/>
      <c r="BK789" s="56"/>
      <c r="BM789" s="56"/>
      <c r="BN789" s="56"/>
      <c r="BO789" s="56"/>
      <c r="BP789" s="56"/>
      <c r="BQ789" s="56"/>
    </row>
    <row r="790" spans="48:69">
      <c r="AY790" s="47"/>
      <c r="AZ790" s="56"/>
      <c r="BA790" s="46"/>
      <c r="BB790" s="56"/>
      <c r="BC790" s="47"/>
      <c r="BD790" s="47"/>
      <c r="BE790" s="46"/>
      <c r="BK790" s="56"/>
      <c r="BQ790" s="56"/>
    </row>
    <row r="791" spans="48:69">
      <c r="AV791" s="44"/>
      <c r="AY791" s="47"/>
      <c r="AZ791" s="56"/>
      <c r="BA791" s="46"/>
      <c r="BB791" s="56"/>
      <c r="BC791" s="47"/>
      <c r="BD791" s="47"/>
      <c r="BE791" s="46"/>
      <c r="BK791" s="56"/>
      <c r="BQ791" s="56"/>
    </row>
    <row r="792" spans="48:69">
      <c r="AV792" s="44"/>
      <c r="AW792" s="45"/>
      <c r="AX792" s="56"/>
      <c r="AY792" s="56"/>
      <c r="AZ792" s="56"/>
      <c r="BA792" s="46"/>
      <c r="BB792" s="56"/>
      <c r="BC792" s="47"/>
      <c r="BD792" s="47"/>
      <c r="BE792" s="46"/>
      <c r="BG792" s="56"/>
      <c r="BH792" s="56"/>
      <c r="BI792" s="56"/>
      <c r="BJ792" s="56"/>
      <c r="BK792" s="56"/>
      <c r="BM792" s="56"/>
      <c r="BN792" s="56"/>
      <c r="BO792" s="56"/>
      <c r="BP792" s="56"/>
      <c r="BQ792" s="56"/>
    </row>
    <row r="793" spans="48:69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8:69">
      <c r="AV794" s="44"/>
      <c r="AW794" s="45"/>
      <c r="AX794" s="56"/>
      <c r="AY794" s="56"/>
      <c r="AZ794" s="56"/>
      <c r="BA794" s="46"/>
      <c r="BB794" s="56"/>
      <c r="BC794" s="47"/>
      <c r="BD794" s="47"/>
      <c r="BE794" s="46"/>
      <c r="BG794" s="56"/>
      <c r="BH794" s="56"/>
      <c r="BI794" s="56"/>
      <c r="BJ794" s="56"/>
      <c r="BK794" s="56"/>
      <c r="BM794" s="56"/>
      <c r="BN794" s="56"/>
      <c r="BO794" s="56"/>
      <c r="BP794" s="56"/>
      <c r="BQ794" s="56"/>
    </row>
    <row r="795" spans="48:69">
      <c r="AV795" s="44"/>
      <c r="AW795" s="45"/>
      <c r="AX795" s="56"/>
      <c r="AY795" s="56"/>
      <c r="AZ795" s="56"/>
      <c r="BA795" s="46"/>
      <c r="BB795" s="56"/>
      <c r="BC795" s="47"/>
      <c r="BD795" s="47"/>
      <c r="BE795" s="46"/>
      <c r="BG795" s="56"/>
      <c r="BH795" s="56"/>
      <c r="BI795" s="56"/>
      <c r="BJ795" s="56"/>
      <c r="BK795" s="56"/>
      <c r="BM795" s="56"/>
      <c r="BN795" s="56"/>
      <c r="BO795" s="56"/>
      <c r="BP795" s="56"/>
      <c r="BQ795" s="56"/>
    </row>
    <row r="796" spans="48:69">
      <c r="AV796" s="44"/>
      <c r="AW796" s="45"/>
      <c r="AX796" s="56"/>
      <c r="AY796" s="56"/>
      <c r="AZ796" s="56"/>
      <c r="BA796" s="46"/>
      <c r="BB796" s="56"/>
      <c r="BC796" s="47"/>
      <c r="BD796" s="47"/>
      <c r="BE796" s="46"/>
      <c r="BG796" s="56"/>
      <c r="BH796" s="56"/>
      <c r="BI796" s="56"/>
      <c r="BJ796" s="56"/>
      <c r="BK796" s="56"/>
      <c r="BM796" s="56"/>
      <c r="BN796" s="56"/>
      <c r="BO796" s="56"/>
      <c r="BP796" s="56"/>
      <c r="BQ796" s="56"/>
    </row>
    <row r="797" spans="48:69">
      <c r="AV797" s="44"/>
      <c r="AW797" s="45"/>
      <c r="AX797" s="56"/>
      <c r="AY797" s="56"/>
      <c r="AZ797" s="56"/>
      <c r="BA797" s="46"/>
      <c r="BB797" s="56"/>
      <c r="BC797" s="47"/>
      <c r="BD797" s="47"/>
      <c r="BE797" s="46"/>
      <c r="BG797" s="56"/>
      <c r="BH797" s="56"/>
      <c r="BI797" s="56"/>
      <c r="BJ797" s="56"/>
      <c r="BK797" s="56"/>
      <c r="BM797" s="56"/>
      <c r="BN797" s="56"/>
      <c r="BO797" s="56"/>
      <c r="BP797" s="56"/>
      <c r="BQ797" s="56"/>
    </row>
    <row r="798" spans="48:69">
      <c r="AV798" s="44"/>
      <c r="AW798" s="45"/>
      <c r="AX798" s="56"/>
      <c r="AY798" s="56"/>
      <c r="AZ798" s="56"/>
      <c r="BA798" s="46"/>
      <c r="BB798" s="56"/>
      <c r="BC798" s="47"/>
      <c r="BD798" s="47"/>
      <c r="BE798" s="46"/>
      <c r="BG798" s="56"/>
      <c r="BH798" s="56"/>
      <c r="BI798" s="56"/>
      <c r="BJ798" s="56"/>
      <c r="BK798" s="56"/>
      <c r="BM798" s="56"/>
      <c r="BN798" s="56"/>
      <c r="BO798" s="56"/>
      <c r="BP798" s="56"/>
      <c r="BQ798" s="56"/>
    </row>
    <row r="799" spans="48:69">
      <c r="AV799" s="44"/>
      <c r="AW799" s="45"/>
      <c r="AX799" s="56"/>
      <c r="AY799" s="56"/>
      <c r="AZ799" s="56"/>
      <c r="BA799" s="46"/>
      <c r="BB799" s="56"/>
      <c r="BC799" s="47"/>
      <c r="BD799" s="47"/>
      <c r="BE799" s="46"/>
      <c r="BG799" s="56"/>
      <c r="BH799" s="56"/>
      <c r="BI799" s="56"/>
      <c r="BJ799" s="56"/>
      <c r="BK799" s="56"/>
      <c r="BM799" s="56"/>
      <c r="BN799" s="56"/>
      <c r="BO799" s="56"/>
      <c r="BP799" s="56"/>
      <c r="BQ799" s="56"/>
    </row>
    <row r="800" spans="48:69">
      <c r="AY800" s="47"/>
      <c r="AZ800" s="56"/>
      <c r="BA800" s="46"/>
      <c r="BB800" s="56"/>
      <c r="BC800" s="47"/>
      <c r="BD800" s="47"/>
      <c r="BE800" s="46"/>
      <c r="BK800" s="56"/>
      <c r="BQ800" s="56"/>
    </row>
    <row r="801" spans="45:75">
      <c r="AU801" s="42"/>
      <c r="AZ801" s="56"/>
      <c r="BB801" s="56"/>
      <c r="BG801" s="56"/>
      <c r="BH801" s="56"/>
      <c r="BJ801" s="56"/>
      <c r="BK801" s="56"/>
    </row>
    <row r="802" spans="45:75">
      <c r="AZ802" s="56"/>
      <c r="BB802" s="56"/>
    </row>
    <row r="803" spans="45:75">
      <c r="AS803" s="42"/>
      <c r="AZ803" s="56"/>
      <c r="BB803" s="56"/>
      <c r="BI803" s="56"/>
    </row>
    <row r="804" spans="45:75">
      <c r="AZ804" s="56"/>
      <c r="BB804" s="56"/>
    </row>
    <row r="805" spans="45:75">
      <c r="AY805" s="56"/>
      <c r="BB805" s="56"/>
    </row>
    <row r="806" spans="45:75">
      <c r="AY806" s="42"/>
      <c r="AZ806" s="56"/>
      <c r="BB806" s="56"/>
    </row>
    <row r="807" spans="45:75">
      <c r="AY807" s="42"/>
      <c r="AZ807" s="56"/>
      <c r="BB807" s="56"/>
    </row>
    <row r="808" spans="45:75">
      <c r="AZ808" s="56"/>
      <c r="BB808" s="56"/>
      <c r="BD808" s="42"/>
    </row>
    <row r="809" spans="45:75">
      <c r="AZ809" s="56"/>
      <c r="BB809" s="56"/>
      <c r="BD809" s="42"/>
    </row>
    <row r="810" spans="45:75">
      <c r="AS810" s="42"/>
      <c r="AZ810" s="56"/>
      <c r="BB810" s="56"/>
      <c r="BD810" s="42"/>
    </row>
    <row r="811" spans="45:75">
      <c r="AZ811" s="56"/>
      <c r="BB811" s="56"/>
    </row>
    <row r="812" spans="45:75">
      <c r="AS812" s="49"/>
      <c r="AT812" s="49"/>
      <c r="AU812" s="49"/>
      <c r="AV812" s="49"/>
      <c r="AW812" s="49"/>
      <c r="AX812" s="49"/>
      <c r="AY812" s="49"/>
      <c r="AZ812" s="57"/>
      <c r="BA812" s="49"/>
      <c r="BB812" s="57"/>
      <c r="BC812" s="49"/>
      <c r="BD812" s="49"/>
      <c r="BE812" s="49"/>
    </row>
    <row r="813" spans="45:75">
      <c r="AX813" s="42"/>
      <c r="AZ813" s="56"/>
      <c r="BB813" s="56"/>
    </row>
    <row r="814" spans="45:75">
      <c r="AX814" s="49"/>
      <c r="AY814" s="49"/>
      <c r="AZ814" s="57"/>
      <c r="BA814" s="49"/>
      <c r="BB814" s="56"/>
      <c r="BC814" s="44"/>
      <c r="BD814" s="44"/>
    </row>
    <row r="815" spans="45:75">
      <c r="AV815" s="44"/>
      <c r="AW815" s="44"/>
      <c r="AZ815" s="58"/>
      <c r="BA815" s="44"/>
      <c r="BB815" s="56"/>
      <c r="BC815" s="44"/>
      <c r="BD815" s="44"/>
      <c r="BE815" s="44"/>
      <c r="BG815" s="49"/>
      <c r="BH815" s="49"/>
      <c r="BI815" s="42"/>
      <c r="BM815" s="49"/>
      <c r="BN815" s="49"/>
      <c r="BP815" s="49"/>
      <c r="BQ815" s="49"/>
      <c r="BR815" s="42"/>
      <c r="BV815" s="49"/>
      <c r="BW815" s="49"/>
    </row>
    <row r="816" spans="45:75">
      <c r="AV816" s="44"/>
      <c r="AW816" s="44"/>
      <c r="AX816" s="44"/>
      <c r="AY816" s="44"/>
      <c r="AZ816" s="58"/>
      <c r="BA816" s="44"/>
      <c r="BB816" s="58"/>
      <c r="BC816" s="44"/>
      <c r="BD816" s="44"/>
      <c r="BE816" s="44"/>
      <c r="BH816" s="44"/>
      <c r="BI816" s="44"/>
      <c r="BJ816" s="44"/>
      <c r="BK816" s="44"/>
      <c r="BL816" s="44"/>
      <c r="BM816" s="44"/>
      <c r="BQ816" s="44"/>
      <c r="BR816" s="44"/>
      <c r="BS816" s="44"/>
      <c r="BT816" s="44"/>
      <c r="BU816" s="44"/>
      <c r="BV816" s="44"/>
    </row>
    <row r="817" spans="45:75">
      <c r="AS817" s="44"/>
      <c r="AU817" s="42"/>
      <c r="AV817" s="44"/>
      <c r="AW817" s="44"/>
      <c r="AX817" s="44"/>
      <c r="AY817" s="44"/>
      <c r="AZ817" s="58"/>
      <c r="BA817" s="44"/>
      <c r="BB817" s="58"/>
      <c r="BC817" s="44"/>
      <c r="BD817" s="44"/>
      <c r="BE817" s="44"/>
      <c r="BG817" s="44"/>
      <c r="BH817" s="44"/>
      <c r="BI817" s="44"/>
      <c r="BJ817" s="44"/>
      <c r="BK817" s="44"/>
      <c r="BL817" s="44"/>
      <c r="BM817" s="44"/>
      <c r="BN817" s="44"/>
      <c r="BP817" s="44"/>
      <c r="BQ817" s="44"/>
      <c r="BR817" s="44"/>
      <c r="BS817" s="44"/>
      <c r="BT817" s="44"/>
      <c r="BU817" s="44"/>
      <c r="BV817" s="44"/>
      <c r="BW817" s="44"/>
    </row>
    <row r="818" spans="45:75">
      <c r="AS818" s="44"/>
      <c r="AU818" s="42"/>
      <c r="AV818" s="44"/>
      <c r="AW818" s="44"/>
      <c r="AX818" s="44"/>
      <c r="AY818" s="44"/>
      <c r="AZ818" s="58"/>
      <c r="BA818" s="44"/>
      <c r="BB818" s="58"/>
      <c r="BC818" s="44"/>
      <c r="BD818" s="44"/>
      <c r="BE818" s="44"/>
      <c r="BG818" s="44"/>
      <c r="BH818" s="44"/>
      <c r="BI818" s="44"/>
      <c r="BJ818" s="44"/>
      <c r="BK818" s="44"/>
      <c r="BL818" s="44"/>
      <c r="BM818" s="44"/>
      <c r="BN818" s="44"/>
      <c r="BP818" s="44"/>
      <c r="BQ818" s="44"/>
      <c r="BR818" s="44"/>
      <c r="BS818" s="44"/>
      <c r="BT818" s="44"/>
      <c r="BU818" s="44"/>
      <c r="BV818" s="44"/>
      <c r="BW818" s="44"/>
    </row>
    <row r="819" spans="45:75">
      <c r="AS819" s="49"/>
      <c r="AT819" s="49"/>
      <c r="AU819" s="49"/>
      <c r="AV819" s="49"/>
      <c r="AW819" s="49"/>
      <c r="AX819" s="49"/>
      <c r="AY819" s="49"/>
      <c r="AZ819" s="57"/>
      <c r="BA819" s="49"/>
      <c r="BB819" s="57"/>
      <c r="BC819" s="49"/>
      <c r="BD819" s="49"/>
      <c r="BE819" s="49"/>
      <c r="BG819" s="49"/>
      <c r="BH819" s="49"/>
      <c r="BI819" s="49"/>
      <c r="BJ819" s="49"/>
      <c r="BK819" s="49"/>
      <c r="BL819" s="49"/>
      <c r="BM819" s="49"/>
      <c r="BN819" s="49"/>
      <c r="BP819" s="49"/>
      <c r="BQ819" s="49"/>
      <c r="BR819" s="49"/>
      <c r="BS819" s="49"/>
      <c r="BT819" s="49"/>
      <c r="BU819" s="49"/>
      <c r="BV819" s="49"/>
      <c r="BW819" s="49"/>
    </row>
    <row r="820" spans="45:75">
      <c r="AV820" s="44"/>
      <c r="AW820" s="44"/>
      <c r="AX820" s="44"/>
      <c r="AY820" s="44"/>
      <c r="AZ820" s="58"/>
      <c r="BA820" s="44"/>
      <c r="BB820" s="58"/>
      <c r="BC820" s="44"/>
      <c r="BD820" s="44"/>
      <c r="BE820" s="44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</row>
    <row r="821" spans="45:75">
      <c r="AU821" s="42"/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</row>
    <row r="822" spans="45:75"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</row>
    <row r="823" spans="45:75"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</row>
    <row r="824" spans="45:75"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</row>
    <row r="825" spans="45:75"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</row>
    <row r="826" spans="45:75"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</row>
    <row r="827" spans="45:75"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</row>
    <row r="828" spans="45:75"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</row>
    <row r="829" spans="45:75"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</row>
    <row r="830" spans="45:75"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5:75"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5:75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7:75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7:75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7:75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7:75"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7:75"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7:75"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</row>
    <row r="839" spans="47:75"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</row>
    <row r="840" spans="47:75"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</row>
    <row r="841" spans="47:75"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</row>
    <row r="842" spans="47:75">
      <c r="AW842" s="45"/>
      <c r="AX842" s="56"/>
      <c r="AY842" s="56"/>
      <c r="AZ842" s="56"/>
      <c r="BA842" s="51"/>
      <c r="BB842" s="56"/>
      <c r="BC842" s="56"/>
      <c r="BD842" s="56"/>
      <c r="BE842" s="51"/>
      <c r="BG842" s="49"/>
      <c r="BH842" s="49"/>
      <c r="BI842" s="42"/>
      <c r="BM842" s="49"/>
      <c r="BN842" s="49"/>
      <c r="BO842" s="56"/>
      <c r="BP842" s="49"/>
      <c r="BQ842" s="49"/>
      <c r="BR842" s="42"/>
      <c r="BV842" s="49"/>
      <c r="BW842" s="49"/>
    </row>
    <row r="843" spans="47:75">
      <c r="AU843" s="42"/>
      <c r="AV843" s="44"/>
      <c r="AW843" s="45"/>
      <c r="AX843" s="56"/>
      <c r="AY843" s="56"/>
      <c r="AZ843" s="56"/>
      <c r="BA843" s="51"/>
      <c r="BB843" s="56"/>
      <c r="BC843" s="56"/>
      <c r="BD843" s="56"/>
      <c r="BE843" s="51"/>
      <c r="BG843" s="58"/>
      <c r="BH843" s="56"/>
      <c r="BI843" s="56"/>
      <c r="BJ843" s="56"/>
      <c r="BK843" s="58"/>
      <c r="BL843" s="59"/>
      <c r="BM843" s="56"/>
      <c r="BN843" s="58"/>
      <c r="BO843" s="56"/>
      <c r="BP843" s="58"/>
      <c r="BQ843" s="56"/>
      <c r="BR843" s="56"/>
      <c r="BS843" s="56"/>
      <c r="BT843" s="58"/>
      <c r="BU843" s="59"/>
      <c r="BV843" s="56"/>
      <c r="BW843" s="58"/>
    </row>
    <row r="844" spans="47:75">
      <c r="AV844" s="44"/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9"/>
      <c r="BM844" s="56"/>
      <c r="BN844" s="56"/>
      <c r="BO844" s="56"/>
      <c r="BP844" s="56"/>
      <c r="BQ844" s="56"/>
      <c r="BR844" s="56"/>
      <c r="BS844" s="56"/>
      <c r="BT844" s="56"/>
      <c r="BU844" s="59"/>
      <c r="BV844" s="56"/>
      <c r="BW844" s="56"/>
    </row>
    <row r="845" spans="47:75">
      <c r="AV845" s="44"/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9"/>
      <c r="BM845" s="56"/>
      <c r="BN845" s="56"/>
      <c r="BO845" s="56"/>
      <c r="BP845" s="56"/>
      <c r="BQ845" s="56"/>
      <c r="BR845" s="56"/>
      <c r="BS845" s="56"/>
      <c r="BT845" s="56"/>
      <c r="BU845" s="59"/>
      <c r="BV845" s="56"/>
      <c r="BW845" s="56"/>
    </row>
    <row r="846" spans="47:75">
      <c r="AV846" s="44"/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9"/>
      <c r="BM846" s="56"/>
      <c r="BN846" s="56"/>
      <c r="BO846" s="56"/>
      <c r="BP846" s="56"/>
      <c r="BQ846" s="56"/>
      <c r="BR846" s="56"/>
      <c r="BS846" s="56"/>
      <c r="BT846" s="56"/>
      <c r="BU846" s="59"/>
      <c r="BV846" s="56"/>
      <c r="BW846" s="56"/>
    </row>
    <row r="847" spans="47:75"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</row>
    <row r="848" spans="47:75">
      <c r="AU848" s="42"/>
    </row>
    <row r="849" spans="45:74">
      <c r="AU849" s="42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</row>
    <row r="850" spans="45:74">
      <c r="AS850" s="42"/>
      <c r="AZ850" s="56"/>
      <c r="BB850" s="56"/>
    </row>
    <row r="851" spans="45:74">
      <c r="AZ851" s="56"/>
      <c r="BB851" s="56"/>
      <c r="BO851" s="56"/>
      <c r="BP851" s="56"/>
      <c r="BQ851" s="56"/>
      <c r="BR851" s="56"/>
      <c r="BS851" s="56"/>
      <c r="BT851" s="56"/>
      <c r="BU851" s="56"/>
      <c r="BV851" s="56"/>
    </row>
    <row r="852" spans="45:74">
      <c r="AY852" s="56"/>
      <c r="AZ852" s="56"/>
      <c r="BB852" s="56"/>
      <c r="BO852" s="56"/>
      <c r="BP852" s="56"/>
      <c r="BQ852" s="56"/>
      <c r="BR852" s="56"/>
      <c r="BS852" s="56"/>
      <c r="BT852" s="56"/>
      <c r="BU852" s="56"/>
      <c r="BV852" s="56"/>
    </row>
    <row r="853" spans="45:74">
      <c r="AY853" s="42"/>
      <c r="AZ853" s="56"/>
      <c r="BB853" s="56"/>
      <c r="BO853" s="56"/>
      <c r="BP853" s="56"/>
      <c r="BQ853" s="56"/>
      <c r="BR853" s="56"/>
      <c r="BS853" s="56"/>
      <c r="BT853" s="56"/>
      <c r="BU853" s="56"/>
      <c r="BV853" s="56"/>
    </row>
    <row r="854" spans="45:74">
      <c r="AY854" s="42"/>
      <c r="AZ854" s="56"/>
      <c r="BB854" s="56"/>
      <c r="BO854" s="56"/>
      <c r="BP854" s="56"/>
      <c r="BQ854" s="56"/>
      <c r="BR854" s="56"/>
      <c r="BS854" s="56"/>
      <c r="BT854" s="56"/>
      <c r="BU854" s="56"/>
      <c r="BV854" s="56"/>
    </row>
    <row r="855" spans="45:74">
      <c r="AZ855" s="56"/>
      <c r="BB855" s="56"/>
      <c r="BD855" s="42"/>
      <c r="BO855" s="56"/>
      <c r="BP855" s="56"/>
      <c r="BQ855" s="56"/>
      <c r="BR855" s="56"/>
      <c r="BS855" s="56"/>
      <c r="BT855" s="56"/>
      <c r="BU855" s="56"/>
      <c r="BV855" s="56"/>
    </row>
    <row r="856" spans="45:74">
      <c r="AZ856" s="56"/>
      <c r="BB856" s="56"/>
      <c r="BD856" s="42"/>
      <c r="BO856" s="56"/>
      <c r="BP856" s="56"/>
      <c r="BQ856" s="56"/>
      <c r="BR856" s="56"/>
      <c r="BS856" s="56"/>
      <c r="BT856" s="56"/>
      <c r="BU856" s="56"/>
      <c r="BV856" s="56"/>
    </row>
    <row r="857" spans="45:74">
      <c r="AS857" s="42"/>
      <c r="AZ857" s="56"/>
      <c r="BB857" s="56"/>
      <c r="BD857" s="42"/>
      <c r="BO857" s="56"/>
      <c r="BP857" s="56"/>
      <c r="BQ857" s="56"/>
      <c r="BR857" s="56"/>
      <c r="BS857" s="56"/>
      <c r="BT857" s="56"/>
      <c r="BU857" s="56"/>
      <c r="BV857" s="56"/>
    </row>
    <row r="858" spans="45:74">
      <c r="AZ858" s="56"/>
      <c r="BB858" s="56"/>
      <c r="BO858" s="56"/>
      <c r="BP858" s="56"/>
      <c r="BQ858" s="56"/>
      <c r="BR858" s="56"/>
      <c r="BS858" s="56"/>
      <c r="BT858" s="56"/>
      <c r="BU858" s="56"/>
      <c r="BV858" s="56"/>
    </row>
    <row r="859" spans="45:74">
      <c r="AS859" s="49"/>
      <c r="AT859" s="49"/>
      <c r="AU859" s="49"/>
      <c r="AV859" s="49"/>
      <c r="AW859" s="49"/>
      <c r="AX859" s="49"/>
      <c r="AY859" s="49"/>
      <c r="AZ859" s="57"/>
      <c r="BA859" s="49"/>
      <c r="BB859" s="57"/>
      <c r="BC859" s="49"/>
      <c r="BD859" s="49"/>
      <c r="BE859" s="49"/>
      <c r="BO859" s="56"/>
      <c r="BP859" s="56"/>
      <c r="BQ859" s="56"/>
      <c r="BR859" s="56"/>
      <c r="BS859" s="56"/>
      <c r="BT859" s="56"/>
      <c r="BU859" s="56"/>
      <c r="BV859" s="56"/>
    </row>
    <row r="860" spans="45:74">
      <c r="AX860" s="42"/>
      <c r="AZ860" s="56"/>
      <c r="BB860" s="56"/>
      <c r="BO860" s="56"/>
      <c r="BP860" s="56"/>
      <c r="BQ860" s="56"/>
      <c r="BR860" s="56"/>
      <c r="BS860" s="56"/>
      <c r="BT860" s="56"/>
      <c r="BU860" s="56"/>
      <c r="BV860" s="56"/>
    </row>
    <row r="861" spans="45:74">
      <c r="AX861" s="49"/>
      <c r="AY861" s="49"/>
      <c r="AZ861" s="57"/>
      <c r="BA861" s="49"/>
      <c r="BB861" s="56"/>
      <c r="BC861" s="44"/>
      <c r="BD861" s="44"/>
      <c r="BO861" s="56"/>
      <c r="BP861" s="56"/>
      <c r="BQ861" s="56"/>
      <c r="BR861" s="56"/>
      <c r="BS861" s="56"/>
      <c r="BT861" s="56"/>
      <c r="BU861" s="56"/>
      <c r="BV861" s="56"/>
    </row>
    <row r="862" spans="45:74">
      <c r="AV862" s="44"/>
      <c r="AW862" s="44"/>
      <c r="AZ862" s="58"/>
      <c r="BA862" s="44"/>
      <c r="BB862" s="56"/>
      <c r="BC862" s="44"/>
      <c r="BD862" s="44"/>
      <c r="BE862" s="44"/>
      <c r="BG862" s="49"/>
      <c r="BH862" s="42"/>
      <c r="BK862" s="49"/>
      <c r="BM862" s="49"/>
      <c r="BN862" s="42"/>
      <c r="BQ862" s="49"/>
    </row>
    <row r="863" spans="45:74">
      <c r="AV863" s="44"/>
      <c r="AW863" s="44"/>
      <c r="AX863" s="44"/>
      <c r="AY863" s="44"/>
      <c r="AZ863" s="58"/>
      <c r="BA863" s="44"/>
      <c r="BB863" s="58"/>
      <c r="BC863" s="44"/>
      <c r="BD863" s="44"/>
      <c r="BE863" s="44"/>
      <c r="BH863" s="44"/>
      <c r="BI863" s="44"/>
      <c r="BN863" s="44"/>
      <c r="BO863" s="44"/>
    </row>
    <row r="864" spans="45:74">
      <c r="AS864" s="44"/>
      <c r="AU864" s="42"/>
      <c r="AV864" s="44"/>
      <c r="AW864" s="44"/>
      <c r="AX864" s="44"/>
      <c r="AY864" s="44"/>
      <c r="AZ864" s="58"/>
      <c r="BA864" s="44"/>
      <c r="BB864" s="58"/>
      <c r="BC864" s="44"/>
      <c r="BD864" s="44"/>
      <c r="BE864" s="44"/>
      <c r="BG864" s="44"/>
      <c r="BH864" s="44"/>
      <c r="BI864" s="44"/>
      <c r="BJ864" s="44"/>
      <c r="BK864" s="44"/>
      <c r="BM864" s="44"/>
      <c r="BN864" s="44"/>
      <c r="BO864" s="44"/>
      <c r="BP864" s="44"/>
      <c r="BQ864" s="44"/>
    </row>
    <row r="865" spans="45:71">
      <c r="AS865" s="44"/>
      <c r="AU865" s="42"/>
      <c r="AV865" s="44"/>
      <c r="AW865" s="44"/>
      <c r="AX865" s="44"/>
      <c r="AY865" s="44"/>
      <c r="AZ865" s="58"/>
      <c r="BA865" s="44"/>
      <c r="BB865" s="58"/>
      <c r="BC865" s="44"/>
      <c r="BD865" s="44"/>
      <c r="BE865" s="44"/>
      <c r="BG865" s="44"/>
      <c r="BH865" s="44"/>
      <c r="BI865" s="44"/>
      <c r="BJ865" s="44"/>
      <c r="BK865" s="44"/>
      <c r="BM865" s="44"/>
      <c r="BN865" s="44"/>
      <c r="BO865" s="44"/>
      <c r="BP865" s="44"/>
      <c r="BQ865" s="44"/>
    </row>
    <row r="866" spans="45:71">
      <c r="AS866" s="49"/>
      <c r="AT866" s="49"/>
      <c r="AU866" s="49"/>
      <c r="AV866" s="49"/>
      <c r="AW866" s="49"/>
      <c r="AX866" s="49"/>
      <c r="AY866" s="49"/>
      <c r="AZ866" s="57"/>
      <c r="BA866" s="49"/>
      <c r="BB866" s="57"/>
      <c r="BC866" s="49"/>
      <c r="BD866" s="49"/>
      <c r="BE866" s="49"/>
      <c r="BG866" s="49"/>
      <c r="BH866" s="49"/>
      <c r="BI866" s="49"/>
      <c r="BJ866" s="49"/>
      <c r="BK866" s="49"/>
      <c r="BM866" s="49"/>
      <c r="BN866" s="49"/>
      <c r="BO866" s="49"/>
      <c r="BP866" s="49"/>
      <c r="BQ866" s="49"/>
    </row>
    <row r="867" spans="45:71">
      <c r="AV867" s="44"/>
      <c r="AW867" s="44"/>
      <c r="AX867" s="44"/>
      <c r="AY867" s="44"/>
      <c r="AZ867" s="58"/>
      <c r="BA867" s="44"/>
      <c r="BB867" s="58"/>
      <c r="BC867" s="44"/>
      <c r="BD867" s="44"/>
      <c r="BE867" s="44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</row>
    <row r="868" spans="45:71">
      <c r="AT868" s="42"/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</row>
    <row r="869" spans="45:71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</row>
    <row r="870" spans="45:71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</row>
    <row r="871" spans="45:71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</row>
    <row r="872" spans="45:71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</row>
    <row r="873" spans="45:71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</row>
    <row r="874" spans="45:71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</row>
    <row r="875" spans="45:71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</row>
    <row r="876" spans="45:71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</row>
    <row r="877" spans="45:71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</row>
    <row r="878" spans="45:71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5:71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5:71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6:71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</row>
    <row r="882" spans="46:71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</row>
    <row r="883" spans="46:71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</row>
    <row r="884" spans="46:71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</row>
    <row r="885" spans="46:71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</row>
    <row r="886" spans="46:71">
      <c r="AZ886" s="56"/>
      <c r="BB886" s="56"/>
      <c r="BC886" s="56"/>
      <c r="BD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</row>
    <row r="887" spans="46:71">
      <c r="AT887" s="42"/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6:71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6:71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6:71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6:71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6:71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6:71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6:71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6:71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71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5:57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5:57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5:57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5:57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5:57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5:57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5:57">
      <c r="BB905" s="56"/>
    </row>
    <row r="906" spans="45:57">
      <c r="AU906" s="42"/>
      <c r="BB906" s="56"/>
    </row>
    <row r="907" spans="45:57">
      <c r="AU907" s="42"/>
    </row>
    <row r="908" spans="45:57">
      <c r="AU908" s="42"/>
      <c r="BB908" s="56"/>
    </row>
    <row r="909" spans="45:57">
      <c r="AS909" s="42"/>
      <c r="AZ909" s="56"/>
      <c r="BB909" s="56"/>
    </row>
    <row r="910" spans="45:57">
      <c r="AZ910" s="56"/>
      <c r="BB910" s="56"/>
    </row>
    <row r="911" spans="45:57">
      <c r="AY911" s="56"/>
      <c r="AZ911" s="56"/>
      <c r="BB911" s="56"/>
    </row>
    <row r="912" spans="45:57">
      <c r="AY912" s="42"/>
      <c r="AZ912" s="56"/>
      <c r="BB912" s="56"/>
    </row>
    <row r="913" spans="45:57">
      <c r="AY913" s="42"/>
      <c r="AZ913" s="56"/>
      <c r="BB913" s="56"/>
    </row>
    <row r="914" spans="45:57">
      <c r="AZ914" s="56"/>
      <c r="BB914" s="56"/>
      <c r="BD914" s="42"/>
    </row>
    <row r="915" spans="45:57">
      <c r="AZ915" s="56"/>
      <c r="BB915" s="56"/>
      <c r="BD915" s="42"/>
    </row>
    <row r="916" spans="45:57">
      <c r="AS916" s="42"/>
      <c r="AZ916" s="56"/>
      <c r="BB916" s="56"/>
      <c r="BD916" s="42"/>
    </row>
    <row r="917" spans="45:57">
      <c r="AZ917" s="56"/>
      <c r="BB917" s="56"/>
    </row>
    <row r="918" spans="45:57">
      <c r="AS918" s="49"/>
      <c r="AT918" s="49"/>
      <c r="AU918" s="49"/>
      <c r="AV918" s="49"/>
      <c r="AW918" s="49"/>
      <c r="AX918" s="49"/>
      <c r="AY918" s="49"/>
      <c r="AZ918" s="57"/>
      <c r="BA918" s="49"/>
      <c r="BB918" s="57"/>
      <c r="BC918" s="49"/>
      <c r="BD918" s="49"/>
      <c r="BE918" s="49"/>
    </row>
    <row r="919" spans="45:57">
      <c r="AX919" s="42"/>
      <c r="AZ919" s="56"/>
      <c r="BB919" s="56"/>
    </row>
    <row r="920" spans="45:57">
      <c r="AX920" s="49"/>
      <c r="AY920" s="49"/>
      <c r="AZ920" s="57"/>
      <c r="BA920" s="49"/>
      <c r="BB920" s="56"/>
      <c r="BC920" s="44"/>
      <c r="BD920" s="44"/>
    </row>
    <row r="921" spans="45:57">
      <c r="AV921" s="44"/>
      <c r="AW921" s="44"/>
      <c r="AZ921" s="58"/>
      <c r="BA921" s="44"/>
      <c r="BB921" s="56"/>
      <c r="BC921" s="44"/>
      <c r="BD921" s="44"/>
      <c r="BE921" s="44"/>
    </row>
    <row r="922" spans="45:57">
      <c r="AV922" s="44"/>
      <c r="AW922" s="44"/>
      <c r="AX922" s="44"/>
      <c r="AY922" s="44"/>
      <c r="AZ922" s="58"/>
      <c r="BA922" s="44"/>
      <c r="BB922" s="58"/>
      <c r="BC922" s="44"/>
      <c r="BD922" s="44"/>
      <c r="BE922" s="44"/>
    </row>
    <row r="923" spans="45:57">
      <c r="AS923" s="44"/>
      <c r="AU923" s="42"/>
      <c r="AV923" s="44"/>
      <c r="AW923" s="44"/>
      <c r="AX923" s="44"/>
      <c r="AY923" s="44"/>
      <c r="AZ923" s="58"/>
      <c r="BA923" s="44"/>
      <c r="BB923" s="58"/>
      <c r="BC923" s="44"/>
      <c r="BD923" s="44"/>
      <c r="BE923" s="44"/>
    </row>
    <row r="924" spans="45:57">
      <c r="AS924" s="44"/>
      <c r="AU924" s="42"/>
      <c r="AV924" s="44"/>
      <c r="AW924" s="44"/>
      <c r="AX924" s="44"/>
      <c r="AY924" s="44"/>
      <c r="AZ924" s="58"/>
      <c r="BA924" s="44"/>
      <c r="BB924" s="58"/>
      <c r="BC924" s="44"/>
      <c r="BD924" s="44"/>
      <c r="BE924" s="44"/>
    </row>
    <row r="925" spans="45:57">
      <c r="AS925" s="49"/>
      <c r="AT925" s="49"/>
      <c r="AU925" s="49"/>
      <c r="AV925" s="49"/>
      <c r="AW925" s="49"/>
      <c r="AX925" s="49"/>
      <c r="AY925" s="49"/>
      <c r="AZ925" s="57"/>
      <c r="BA925" s="49"/>
      <c r="BB925" s="57"/>
      <c r="BC925" s="49"/>
      <c r="BD925" s="49"/>
      <c r="BE925" s="49"/>
    </row>
    <row r="926" spans="45:57">
      <c r="AV926" s="44"/>
      <c r="AW926" s="44"/>
      <c r="AX926" s="44"/>
      <c r="AY926" s="44"/>
      <c r="AZ926" s="58"/>
      <c r="BA926" s="44"/>
      <c r="BB926" s="58"/>
      <c r="BC926" s="44"/>
      <c r="BD926" s="44"/>
      <c r="BE926" s="44"/>
    </row>
    <row r="927" spans="45:57">
      <c r="AT927" s="42"/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5:57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6:57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6:57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6:57">
      <c r="AV931" s="45"/>
      <c r="AW931" s="45"/>
      <c r="AX931" s="56"/>
      <c r="AY931" s="56"/>
      <c r="AZ931" s="56"/>
      <c r="BA931" s="51"/>
      <c r="BB931" s="56"/>
      <c r="BC931" s="56"/>
      <c r="BD931" s="56"/>
      <c r="BE931" s="51"/>
    </row>
    <row r="932" spans="46:57"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6:57">
      <c r="AV933" s="45"/>
      <c r="AW933" s="45"/>
      <c r="AX933" s="56"/>
      <c r="AY933" s="56"/>
      <c r="AZ933" s="56"/>
      <c r="BA933" s="51"/>
      <c r="BB933" s="56"/>
      <c r="BC933" s="56"/>
      <c r="BD933" s="56"/>
      <c r="BE933" s="51"/>
    </row>
    <row r="934" spans="46:57"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6:57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6:57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6:57">
      <c r="AV937" s="45"/>
      <c r="AW937" s="45"/>
      <c r="BB937" s="56"/>
    </row>
    <row r="938" spans="46:57">
      <c r="AT938" s="42"/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6:57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6:57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6:57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6:57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6:57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6:57">
      <c r="AV944" s="45"/>
      <c r="AW944" s="45"/>
      <c r="AX944" s="56"/>
      <c r="AY944" s="56"/>
      <c r="AZ944" s="56"/>
      <c r="BA944" s="51"/>
      <c r="BB944" s="56"/>
      <c r="BC944" s="56"/>
      <c r="BD944" s="56"/>
      <c r="BE944" s="51"/>
    </row>
    <row r="945" spans="45:57">
      <c r="AV945" s="45"/>
      <c r="AW945" s="45"/>
      <c r="AX945" s="56"/>
      <c r="AY945" s="56"/>
      <c r="AZ945" s="56"/>
      <c r="BA945" s="51"/>
      <c r="BB945" s="56"/>
      <c r="BC945" s="56"/>
      <c r="BD945" s="56"/>
      <c r="BE945" s="51"/>
    </row>
    <row r="946" spans="45:57">
      <c r="AV946" s="45"/>
      <c r="AW946" s="45"/>
      <c r="AX946" s="56"/>
      <c r="AY946" s="56"/>
      <c r="AZ946" s="56"/>
      <c r="BA946" s="51"/>
      <c r="BB946" s="56"/>
      <c r="BC946" s="56"/>
      <c r="BD946" s="56"/>
      <c r="BE946" s="51"/>
    </row>
    <row r="947" spans="45:57">
      <c r="AV947" s="45"/>
      <c r="AW947" s="45"/>
      <c r="AX947" s="56"/>
      <c r="AY947" s="56"/>
      <c r="AZ947" s="56"/>
      <c r="BA947" s="51"/>
      <c r="BB947" s="56"/>
      <c r="BC947" s="56"/>
      <c r="BD947" s="56"/>
      <c r="BE947" s="51"/>
    </row>
    <row r="949" spans="45:57">
      <c r="AU949" s="42"/>
    </row>
    <row r="950" spans="45:57">
      <c r="AU950" s="42"/>
    </row>
    <row r="951" spans="45:57">
      <c r="AU951" s="42"/>
    </row>
    <row r="952" spans="45:57">
      <c r="AS952" s="42"/>
    </row>
    <row r="973" spans="52:71">
      <c r="AZ973" s="56"/>
      <c r="BB973" s="56"/>
      <c r="BC973" s="56"/>
      <c r="BD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</row>
    <row r="974" spans="52:71">
      <c r="AZ974" s="56"/>
      <c r="BB974" s="56"/>
      <c r="BC974" s="56"/>
      <c r="BD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</row>
    <row r="975" spans="52:71">
      <c r="AZ975" s="56"/>
      <c r="BB975" s="56"/>
      <c r="BC975" s="56"/>
      <c r="BD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</row>
    <row r="976" spans="52:71">
      <c r="AZ976" s="56"/>
      <c r="BB976" s="56"/>
      <c r="BC976" s="56"/>
      <c r="BD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</row>
    <row r="977" spans="52:71">
      <c r="AZ977" s="56"/>
      <c r="BB977" s="56"/>
      <c r="BC977" s="56"/>
      <c r="BD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</row>
    <row r="978" spans="52:71">
      <c r="AZ978" s="56"/>
      <c r="BB978" s="56"/>
      <c r="BC978" s="56"/>
      <c r="BD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</row>
    <row r="979" spans="52:71">
      <c r="AZ979" s="56"/>
      <c r="BB979" s="56"/>
      <c r="BC979" s="56"/>
      <c r="BD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</row>
    <row r="980" spans="52:71">
      <c r="AZ980" s="56"/>
      <c r="BB980" s="56"/>
      <c r="BC980" s="56"/>
      <c r="BD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</row>
    <row r="981" spans="52:71">
      <c r="AZ981" s="56"/>
      <c r="BB981" s="56"/>
      <c r="BC981" s="56"/>
      <c r="BD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</row>
    <row r="982" spans="52:71">
      <c r="AZ982" s="56"/>
      <c r="BB982" s="56"/>
      <c r="BC982" s="56"/>
      <c r="BD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</row>
    <row r="983" spans="52:71">
      <c r="AZ983" s="56"/>
      <c r="BB983" s="56"/>
      <c r="BC983" s="56"/>
      <c r="BD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>
      <c r="AZ984" s="56"/>
      <c r="BB984" s="56"/>
      <c r="BC984" s="56"/>
      <c r="BD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>
      <c r="AZ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>
      <c r="AZ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</row>
    <row r="987" spans="52:71">
      <c r="AZ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</row>
    <row r="988" spans="52:71">
      <c r="AZ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</row>
    <row r="989" spans="52:71">
      <c r="AZ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</row>
    <row r="990" spans="52:71">
      <c r="AZ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</row>
    <row r="991" spans="52:71">
      <c r="AZ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</row>
    <row r="992" spans="52:71">
      <c r="AZ992" s="56"/>
    </row>
    <row r="993" spans="1:52">
      <c r="AZ993" s="56"/>
    </row>
    <row r="1007" spans="1:52">
      <c r="A1007" s="42"/>
    </row>
    <row r="1010" spans="1:28">
      <c r="Y1010" s="42"/>
    </row>
    <row r="1011" spans="1:28">
      <c r="A1011" s="42"/>
      <c r="H1011" s="42"/>
      <c r="I1011" s="42"/>
    </row>
    <row r="1012" spans="1:28">
      <c r="A1012" s="42"/>
      <c r="V1012" s="44"/>
      <c r="AA1012" s="44"/>
      <c r="AB1012" s="44"/>
    </row>
    <row r="1013" spans="1:28">
      <c r="A1013" s="42"/>
      <c r="V1013" s="49"/>
      <c r="AA1013" s="49"/>
      <c r="AB1013" s="49"/>
    </row>
    <row r="1014" spans="1:28">
      <c r="A1014" s="42"/>
      <c r="U1014" s="42"/>
      <c r="AA1014" s="44"/>
      <c r="AB1014" s="44"/>
    </row>
    <row r="1015" spans="1:28">
      <c r="A1015" s="42"/>
    </row>
    <row r="1016" spans="1:28">
      <c r="A1016" s="42"/>
      <c r="U1016" s="42"/>
      <c r="AA1016" s="44"/>
      <c r="AB1016" s="44"/>
    </row>
    <row r="1017" spans="1:28">
      <c r="A1017" s="42"/>
    </row>
    <row r="1018" spans="1:28">
      <c r="A1018" s="42"/>
      <c r="U1018" s="42"/>
      <c r="V1018" s="339"/>
      <c r="AA1018" s="44"/>
      <c r="AB1018" s="44"/>
    </row>
    <row r="1019" spans="1:28">
      <c r="A1019" s="42"/>
    </row>
    <row r="1020" spans="1:28">
      <c r="A1020" s="42"/>
      <c r="U1020" s="42"/>
      <c r="AA1020" s="44"/>
      <c r="AB1020" s="44"/>
    </row>
    <row r="1021" spans="1:28">
      <c r="A1021" s="42"/>
    </row>
    <row r="1022" spans="1:28">
      <c r="A1022" s="42"/>
      <c r="U1022" s="42"/>
      <c r="AA1022" s="44"/>
      <c r="AB1022" s="44"/>
    </row>
    <row r="1023" spans="1:28">
      <c r="A1023" s="42"/>
    </row>
    <row r="1024" spans="1:28">
      <c r="A1024" s="42"/>
    </row>
    <row r="1025" spans="1:9">
      <c r="A1025" s="42"/>
    </row>
    <row r="1026" spans="1:9">
      <c r="A1026" s="42"/>
    </row>
    <row r="1027" spans="1:9">
      <c r="A1027" s="42"/>
    </row>
    <row r="1028" spans="1:9">
      <c r="A1028" s="42"/>
    </row>
    <row r="1029" spans="1:9">
      <c r="A1029" s="42"/>
    </row>
    <row r="1030" spans="1:9">
      <c r="A1030" s="42"/>
    </row>
    <row r="1031" spans="1:9">
      <c r="A1031" s="42"/>
    </row>
    <row r="1032" spans="1:9">
      <c r="A1032" s="42"/>
    </row>
    <row r="1033" spans="1:9">
      <c r="A1033" s="42"/>
      <c r="H1033" s="42"/>
      <c r="I1033" s="42"/>
    </row>
    <row r="1036" spans="1:9">
      <c r="A1036" s="42"/>
    </row>
    <row r="1039" spans="1:9">
      <c r="A1039" s="42"/>
    </row>
    <row r="1042" spans="1:1">
      <c r="A1042" s="42"/>
    </row>
    <row r="1043" spans="1:1">
      <c r="A1043" s="42"/>
    </row>
    <row r="1044" spans="1:1">
      <c r="A1044" s="42"/>
    </row>
    <row r="1045" spans="1:1">
      <c r="A1045" s="42"/>
    </row>
    <row r="1046" spans="1:1">
      <c r="A1046" s="42"/>
    </row>
    <row r="1047" spans="1:1">
      <c r="A1047" s="42"/>
    </row>
    <row r="1048" spans="1:1">
      <c r="A1048" s="42"/>
    </row>
    <row r="1049" spans="1:1">
      <c r="A1049" s="42"/>
    </row>
    <row r="1050" spans="1:1">
      <c r="A1050" s="42"/>
    </row>
    <row r="1051" spans="1:1">
      <c r="A1051" s="42"/>
    </row>
    <row r="1052" spans="1:1">
      <c r="A1052" s="42"/>
    </row>
    <row r="1053" spans="1:1">
      <c r="A1053" s="42"/>
    </row>
    <row r="1054" spans="1:1">
      <c r="A1054" s="42"/>
    </row>
    <row r="1055" spans="1:1">
      <c r="A1055" s="42"/>
    </row>
    <row r="1056" spans="1:1">
      <c r="A1056" s="42"/>
    </row>
    <row r="1057" spans="1:1">
      <c r="A1057" s="42"/>
    </row>
    <row r="1058" spans="1:1">
      <c r="A1058" s="42"/>
    </row>
    <row r="1059" spans="1:1">
      <c r="A1059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  <row r="1064" spans="1:1">
      <c r="A1064" s="42"/>
    </row>
    <row r="1065" spans="1:1">
      <c r="A1065" s="42"/>
    </row>
    <row r="1066" spans="1:1">
      <c r="A1066" s="42"/>
    </row>
    <row r="1067" spans="1:1">
      <c r="A1067" s="42"/>
    </row>
    <row r="1068" spans="1:1">
      <c r="A1068" s="42"/>
    </row>
    <row r="1069" spans="1:1">
      <c r="A1069" s="42"/>
    </row>
    <row r="1070" spans="1:1">
      <c r="A1070" s="42"/>
    </row>
    <row r="1071" spans="1:1">
      <c r="A1071" s="42"/>
    </row>
    <row r="1072" spans="1:1">
      <c r="A1072" s="42"/>
    </row>
    <row r="1073" spans="1:1">
      <c r="A1073" s="42"/>
    </row>
    <row r="1074" spans="1:1">
      <c r="A1074" s="42"/>
    </row>
    <row r="1075" spans="1:1">
      <c r="A1075" s="42"/>
    </row>
    <row r="1076" spans="1:1">
      <c r="A1076" s="42"/>
    </row>
    <row r="1081" spans="1:1">
      <c r="A1081" s="42"/>
    </row>
    <row r="1082" spans="1:1">
      <c r="A1082" s="42"/>
    </row>
    <row r="1085" spans="1:1">
      <c r="A1085" s="42"/>
    </row>
    <row r="1087" spans="1:1">
      <c r="A1087" s="42"/>
    </row>
    <row r="1089" spans="1:1">
      <c r="A1089" s="42"/>
    </row>
    <row r="1091" spans="1:1">
      <c r="A1091" s="42"/>
    </row>
    <row r="1094" spans="1:1">
      <c r="A1094" s="42"/>
    </row>
    <row r="1095" spans="1:1">
      <c r="A1095" s="42"/>
    </row>
    <row r="1096" spans="1:1">
      <c r="A1096" s="42"/>
    </row>
    <row r="1097" spans="1:1">
      <c r="A1097" s="42"/>
    </row>
    <row r="1098" spans="1:1">
      <c r="A1098" s="42"/>
    </row>
    <row r="1099" spans="1:1">
      <c r="A1099" s="42"/>
    </row>
    <row r="1100" spans="1:1">
      <c r="A1100" s="42"/>
    </row>
    <row r="1101" spans="1:1">
      <c r="A1101" s="42"/>
    </row>
  </sheetData>
  <customSheetViews>
    <customSheetView guid="{F562D92E-120C-4AE9-9663-89E64D41DC53}" scale="75" fitToPage="1" topLeftCell="W85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"/>
      <headerFooter alignWithMargins="0"/>
    </customSheetView>
    <customSheetView guid="{35F19056-2E6F-4935-B863-78836FE990BF}" scale="75" fitToPage="1" showRuler="0" topLeftCell="A7">
      <selection activeCell="J35" sqref="J35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2"/>
      <headerFooter alignWithMargins="0"/>
    </customSheetView>
    <customSheetView guid="{18BDED73-BFA0-442E-87EC-CED86EE4CF94}" scale="75" fitToPage="1" showRuler="0" topLeftCell="K87">
      <selection activeCell="AA100" sqref="AA10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3"/>
      <headerFooter alignWithMargins="0"/>
    </customSheetView>
    <customSheetView guid="{0BC1F393-8A13-47D5-BC6C-0C99615B5AB9}" scale="75" fitToPage="1" showRuler="0" topLeftCell="B2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4"/>
      <headerFooter alignWithMargins="0"/>
    </customSheetView>
    <customSheetView guid="{6B3D5C27-2FDE-4561-9575-1E98BFB869D0}" scale="75" fitToPage="1" showRuler="0" topLeftCell="B3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1" orientation="landscape" r:id="rId5"/>
      <headerFooter alignWithMargins="0"/>
    </customSheetView>
    <customSheetView guid="{8FB94551-8874-4095-B8FB-5316E0D2FD2C}" scale="75" fitToPage="1" showRuler="0">
      <pane xSplit="19.114285714285714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6"/>
      <headerFooter alignWithMargins="0"/>
    </customSheetView>
    <customSheetView guid="{8FC77C99-DBF7-40B8-99B8-01B75826CDCB}" scale="75" fitToPage="1" showRuler="0">
      <pane xSplit="19.114285714285714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7"/>
      <headerFooter alignWithMargins="0"/>
    </customSheetView>
    <customSheetView guid="{2EA35095-1ADC-4CC7-8C3C-B487D65FA247}" scale="75" fitToPage="1" showRuler="0">
      <pane xSplit="17.961290322580645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8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9"/>
      <headerFooter alignWithMargins="0"/>
    </customSheetView>
    <customSheetView guid="{4BC93440-BA85-4935-A8C9-66DC6AE5DE5E}" scale="75" fitToPage="1" showRuler="0" topLeftCell="Z90">
      <selection activeCell="AM99" sqref="AM9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10"/>
      <headerFooter alignWithMargins="0"/>
    </customSheetView>
    <customSheetView guid="{0C49E549-011E-46F4-A82E-2CC8951A9C1E}" scale="75" fitToPage="1" showRuler="0">
      <pane xSplit="11.181818181818182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1"/>
      <headerFooter alignWithMargins="0"/>
    </customSheetView>
    <customSheetView guid="{195DF303-1BBD-4236-94B5-47432850B006}" scale="75" fitToPage="1" showRuler="0">
      <pane xSplit="9.9418604651162799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2"/>
      <headerFooter alignWithMargins="0"/>
    </customSheetView>
  </customSheetViews>
  <phoneticPr fontId="12" type="noConversion"/>
  <printOptions horizontalCentered="1"/>
  <pageMargins left="0.5" right="0.5" top="0.5" bottom="0" header="0" footer="0"/>
  <pageSetup scale="47" orientation="landscape" r:id="rId13"/>
  <headerFooter alignWithMargins="0"/>
  <rowBreaks count="16" manualBreakCount="16">
    <brk id="128" min="19" max="42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transitionEntry="1" codeName="Sheet22">
    <pageSetUpPr fitToPage="1"/>
  </sheetPr>
  <dimension ref="A1:BW1097"/>
  <sheetViews>
    <sheetView workbookViewId="0"/>
  </sheetViews>
  <sheetFormatPr defaultColWidth="9.69921875" defaultRowHeight="15.75"/>
  <cols>
    <col min="1" max="1" width="5" style="41" customWidth="1"/>
    <col min="2" max="2" width="0.69921875" style="41" customWidth="1"/>
    <col min="3" max="3" width="9.09765625" style="41" customWidth="1"/>
    <col min="4" max="4" width="37.69921875" style="41" customWidth="1"/>
    <col min="5" max="5" width="0.69921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2.0976562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2.69921875" style="41" customWidth="1"/>
    <col min="17" max="17" width="0.59765625" style="41" customWidth="1"/>
    <col min="18" max="18" width="17.09765625" style="41" customWidth="1"/>
    <col min="19" max="19" width="6.69921875" style="41" customWidth="1"/>
    <col min="20" max="20" width="5.09765625" style="41" customWidth="1"/>
    <col min="21" max="21" width="0.59765625" style="41" customWidth="1"/>
    <col min="22" max="22" width="8.59765625" style="41" customWidth="1"/>
    <col min="23" max="23" width="38.59765625" style="41" customWidth="1"/>
    <col min="24" max="24" width="0.6992187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3984375" style="41" customWidth="1"/>
    <col min="29" max="29" width="11.69921875" style="41" customWidth="1"/>
    <col min="30" max="30" width="0.2968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6992187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5 OF "&amp;TEXT(Page_Num_2.3,"00")</f>
        <v>PAGE 5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>
      <c r="A10" s="133" t="str">
        <f>INPUT!B5</f>
        <v xml:space="preserve"> </v>
      </c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>
      <c r="H19" s="309" t="s">
        <v>196</v>
      </c>
      <c r="I19" s="308"/>
      <c r="J19" s="309" t="s">
        <v>331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A20" s="41">
        <v>1</v>
      </c>
      <c r="C20" s="133" t="s">
        <v>376</v>
      </c>
      <c r="D20" s="133" t="s">
        <v>377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>
      <c r="A21" s="41">
        <v>2</v>
      </c>
      <c r="C21" s="133" t="s">
        <v>54</v>
      </c>
      <c r="D21" s="130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>
      <c r="A22" s="41">
        <v>3</v>
      </c>
      <c r="C22" s="133" t="s">
        <v>133</v>
      </c>
      <c r="D22" s="130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45"/>
      <c r="T22" s="42"/>
      <c r="V22" s="45"/>
      <c r="Y22" s="45"/>
      <c r="Z22" s="316"/>
      <c r="AA22" s="45"/>
      <c r="AB22" s="45"/>
      <c r="AC22" s="46"/>
      <c r="AD22" s="46"/>
      <c r="AE22" s="45"/>
      <c r="AF22" s="45"/>
      <c r="AH22" s="46"/>
      <c r="AI22" s="45"/>
      <c r="AJ22" s="45"/>
      <c r="AL22" s="45"/>
      <c r="AM22" s="46"/>
      <c r="AN22" s="46"/>
    </row>
    <row r="23" spans="1:40">
      <c r="A23" s="41">
        <v>4</v>
      </c>
      <c r="C23" s="42" t="s">
        <v>134</v>
      </c>
      <c r="F23" s="164">
        <v>0</v>
      </c>
      <c r="G23" s="1"/>
      <c r="H23" s="68"/>
      <c r="I23" s="1"/>
      <c r="J23" s="316">
        <f>INPUT!D68</f>
        <v>64</v>
      </c>
      <c r="K23" s="1"/>
      <c r="L23" s="3">
        <f>ROUND(+F23*J23,0)</f>
        <v>0</v>
      </c>
      <c r="M23" s="1"/>
      <c r="N23" s="103">
        <f>ROUND((+L23/$L$63)*100,1)</f>
        <v>0</v>
      </c>
      <c r="O23" s="1"/>
      <c r="P23" s="3"/>
      <c r="Q23" s="1"/>
      <c r="R23" s="3">
        <f>L23+P23</f>
        <v>0</v>
      </c>
      <c r="S23" s="45"/>
      <c r="V23" s="50"/>
      <c r="Y23" s="45"/>
      <c r="Z23" s="164"/>
      <c r="AA23" s="45"/>
      <c r="AB23" s="45"/>
      <c r="AC23" s="46"/>
      <c r="AD23" s="46"/>
      <c r="AE23" s="45"/>
      <c r="AF23" s="45"/>
      <c r="AI23" s="45"/>
      <c r="AJ23" s="45"/>
      <c r="AL23" s="45"/>
    </row>
    <row r="24" spans="1:40">
      <c r="A24" s="41">
        <v>5</v>
      </c>
      <c r="C24" s="42" t="s">
        <v>135</v>
      </c>
      <c r="F24" s="164">
        <f>'[11]Forecast BILLS'!$D$71</f>
        <v>458</v>
      </c>
      <c r="G24" s="1"/>
      <c r="H24" s="68"/>
      <c r="I24" s="1"/>
      <c r="J24" s="316">
        <f>INPUT!D69</f>
        <v>128</v>
      </c>
      <c r="K24" s="1"/>
      <c r="L24" s="3">
        <f>ROUND(+F24*J24,0)</f>
        <v>58624</v>
      </c>
      <c r="M24" s="1"/>
      <c r="N24" s="103">
        <f>ROUND((+L24/$L$63)*100,1)</f>
        <v>0.1</v>
      </c>
      <c r="O24" s="1"/>
      <c r="P24" s="3"/>
      <c r="Q24" s="1"/>
      <c r="R24" s="3">
        <f>L24+P24</f>
        <v>58624</v>
      </c>
      <c r="S24" s="45"/>
      <c r="V24" s="45"/>
      <c r="Y24" s="45"/>
      <c r="Z24" s="164"/>
      <c r="AA24" s="45"/>
      <c r="AB24" s="45"/>
      <c r="AC24" s="46"/>
      <c r="AD24" s="46"/>
      <c r="AE24" s="45"/>
      <c r="AF24" s="45"/>
      <c r="AI24" s="45"/>
      <c r="AJ24" s="45"/>
      <c r="AL24" s="45"/>
    </row>
    <row r="25" spans="1:40" ht="20.100000000000001" customHeight="1">
      <c r="A25" s="41">
        <v>6</v>
      </c>
      <c r="C25" s="133" t="s">
        <v>136</v>
      </c>
      <c r="F25" s="72">
        <f>SUM(F23:F24)</f>
        <v>458</v>
      </c>
      <c r="G25" s="1"/>
      <c r="H25" s="3"/>
      <c r="I25" s="1"/>
      <c r="J25" s="314"/>
      <c r="K25" s="1"/>
      <c r="L25" s="72">
        <f>SUM(L23:L24)</f>
        <v>58624</v>
      </c>
      <c r="M25" s="1"/>
      <c r="N25" s="105">
        <f>ROUND((+L25/$L$63)*100,1)</f>
        <v>0.1</v>
      </c>
      <c r="O25" s="1"/>
      <c r="P25" s="72"/>
      <c r="Q25" s="3"/>
      <c r="R25" s="72">
        <f>SUM(R23:R24)</f>
        <v>58624</v>
      </c>
      <c r="S25" s="45"/>
      <c r="V25" s="50"/>
      <c r="Y25" s="50"/>
      <c r="Z25" s="326"/>
      <c r="AA25" s="50"/>
      <c r="AB25" s="50"/>
      <c r="AC25" s="50"/>
      <c r="AD25" s="50"/>
      <c r="AE25" s="50"/>
      <c r="AF25" s="50"/>
      <c r="AI25" s="50"/>
      <c r="AJ25" s="50"/>
      <c r="AK25" s="111"/>
      <c r="AL25" s="50"/>
      <c r="AM25" s="46"/>
      <c r="AN25" s="46"/>
    </row>
    <row r="26" spans="1:40">
      <c r="C26" s="42"/>
      <c r="F26" s="3"/>
      <c r="G26" s="1"/>
      <c r="H26" s="3"/>
      <c r="I26" s="1"/>
      <c r="J26" s="314"/>
      <c r="K26" s="1"/>
      <c r="L26" s="3"/>
      <c r="M26" s="1"/>
      <c r="N26" s="4"/>
      <c r="O26" s="1"/>
      <c r="P26" s="3"/>
      <c r="Q26" s="3"/>
      <c r="R26" s="3"/>
      <c r="S26" s="45"/>
      <c r="V26" s="50"/>
      <c r="Y26" s="50"/>
      <c r="Z26" s="326"/>
      <c r="AA26" s="50"/>
      <c r="AB26" s="50"/>
      <c r="AC26" s="50"/>
      <c r="AD26" s="50"/>
      <c r="AE26" s="50"/>
      <c r="AF26" s="50"/>
      <c r="AI26" s="50"/>
      <c r="AJ26" s="50"/>
      <c r="AK26" s="111"/>
      <c r="AL26" s="50"/>
      <c r="AM26" s="46"/>
      <c r="AN26" s="46"/>
    </row>
    <row r="27" spans="1:40">
      <c r="A27" s="41">
        <v>7</v>
      </c>
      <c r="C27" s="133" t="s">
        <v>63</v>
      </c>
      <c r="F27" s="68"/>
      <c r="G27" s="1"/>
      <c r="H27" s="68"/>
      <c r="I27" s="1"/>
      <c r="J27" s="340"/>
      <c r="K27" s="1"/>
      <c r="L27" s="3"/>
      <c r="M27" s="1"/>
      <c r="N27" s="4"/>
      <c r="O27" s="1"/>
      <c r="P27" s="3"/>
      <c r="Q27" s="3"/>
      <c r="R27" s="3"/>
      <c r="S27" s="45"/>
      <c r="V27" s="164"/>
      <c r="Y27" s="164"/>
      <c r="Z27" s="326"/>
      <c r="AA27" s="45"/>
      <c r="AB27" s="45"/>
      <c r="AC27" s="46"/>
      <c r="AD27" s="46"/>
      <c r="AE27" s="45"/>
      <c r="AF27" s="45"/>
      <c r="AI27" s="45"/>
      <c r="AJ27" s="45"/>
      <c r="AL27" s="45"/>
      <c r="AM27" s="46"/>
      <c r="AN27" s="46"/>
    </row>
    <row r="28" spans="1:40">
      <c r="A28" s="41">
        <v>8</v>
      </c>
      <c r="C28" s="42" t="s">
        <v>64</v>
      </c>
      <c r="F28" s="68"/>
      <c r="G28" s="1"/>
      <c r="H28" s="164">
        <f>'[11]Forecast KW'!$G$72</f>
        <v>429404</v>
      </c>
      <c r="I28" s="1"/>
      <c r="J28" s="76">
        <f>PRO_DT_SUM_PEAK</f>
        <v>16.73</v>
      </c>
      <c r="K28" s="1"/>
      <c r="L28" s="3">
        <f>ROUND(+H28*J28,0)</f>
        <v>7183929</v>
      </c>
      <c r="M28" s="1"/>
      <c r="N28" s="103">
        <f>ROUND((+L28/$L$63)*100,1)</f>
        <v>10.6</v>
      </c>
      <c r="O28" s="1"/>
      <c r="P28" s="3"/>
      <c r="Q28" s="3"/>
      <c r="R28" s="3">
        <f>L28+P28</f>
        <v>7183929</v>
      </c>
      <c r="S28" s="45"/>
      <c r="V28" s="50"/>
      <c r="Y28" s="164"/>
      <c r="Z28" s="326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>
      <c r="A29" s="41">
        <v>9</v>
      </c>
      <c r="C29" s="42" t="s">
        <v>65</v>
      </c>
      <c r="F29" s="68"/>
      <c r="G29" s="1"/>
      <c r="H29" s="164">
        <f>'[11]Forecast KW'!$F$72</f>
        <v>5222</v>
      </c>
      <c r="I29" s="1"/>
      <c r="J29" s="76">
        <f>PRO_DT_SUM_PK_OFF</f>
        <v>1.5</v>
      </c>
      <c r="K29" s="1"/>
      <c r="L29" s="3">
        <f>ROUND(+H29*J29,0)</f>
        <v>7833</v>
      </c>
      <c r="M29" s="1"/>
      <c r="N29" s="103">
        <f>ROUND((+L29/$L$63)*100,1)</f>
        <v>0</v>
      </c>
      <c r="O29" s="1"/>
      <c r="P29" s="3"/>
      <c r="Q29" s="3"/>
      <c r="R29" s="3">
        <f>L29+P29</f>
        <v>7833</v>
      </c>
      <c r="S29" s="45"/>
      <c r="T29" s="42"/>
      <c r="V29" s="164"/>
      <c r="Y29" s="45"/>
      <c r="Z29" s="325"/>
      <c r="AA29" s="45"/>
      <c r="AB29" s="45"/>
      <c r="AC29" s="46"/>
      <c r="AD29" s="46"/>
      <c r="AE29" s="45"/>
      <c r="AF29" s="45"/>
      <c r="AH29" s="46"/>
      <c r="AI29" s="45"/>
      <c r="AJ29" s="45"/>
      <c r="AL29" s="45"/>
      <c r="AM29" s="46"/>
      <c r="AN29" s="46"/>
    </row>
    <row r="30" spans="1:40">
      <c r="A30" s="41">
        <v>10</v>
      </c>
      <c r="C30" s="42" t="s">
        <v>974</v>
      </c>
      <c r="F30" s="68"/>
      <c r="G30" s="1"/>
      <c r="H30" s="164">
        <f>H28+H29</f>
        <v>434626</v>
      </c>
      <c r="I30" s="1"/>
      <c r="J30" s="316">
        <f>INPUT!$D$82</f>
        <v>7.77</v>
      </c>
      <c r="K30" s="1"/>
      <c r="L30" s="3">
        <f>ROUND(+H30*J30,0)</f>
        <v>3377044</v>
      </c>
      <c r="M30" s="1"/>
      <c r="N30" s="103">
        <f>ROUND((+L30/$L$63)*100,1)</f>
        <v>5</v>
      </c>
      <c r="O30" s="1"/>
      <c r="P30" s="3"/>
      <c r="Q30" s="3"/>
      <c r="R30" s="3">
        <f>L30+P30</f>
        <v>3377044</v>
      </c>
      <c r="S30" s="45"/>
      <c r="T30" s="42"/>
      <c r="V30" s="164"/>
      <c r="Y30" s="45"/>
      <c r="Z30" s="325"/>
      <c r="AA30" s="45"/>
      <c r="AB30" s="45"/>
      <c r="AC30" s="46"/>
      <c r="AD30" s="46"/>
      <c r="AE30" s="45"/>
      <c r="AF30" s="45"/>
      <c r="AH30" s="46"/>
      <c r="AI30" s="45"/>
      <c r="AJ30" s="45"/>
      <c r="AL30" s="45"/>
      <c r="AM30" s="46"/>
      <c r="AN30" s="46"/>
    </row>
    <row r="31" spans="1:40" ht="20.100000000000001" customHeight="1">
      <c r="A31" s="41">
        <v>11</v>
      </c>
      <c r="C31" s="133" t="s">
        <v>66</v>
      </c>
      <c r="F31" s="3"/>
      <c r="G31" s="1"/>
      <c r="H31" s="72">
        <f>SUM(H28:H29)</f>
        <v>434626</v>
      </c>
      <c r="I31" s="1"/>
      <c r="J31" s="314"/>
      <c r="K31" s="1"/>
      <c r="L31" s="72">
        <f>SUM(L28:L30)</f>
        <v>10568806</v>
      </c>
      <c r="M31" s="1"/>
      <c r="N31" s="105">
        <f>ROUND((+L31/$L$63)*100,1)</f>
        <v>15.7</v>
      </c>
      <c r="O31" s="1"/>
      <c r="P31" s="72"/>
      <c r="Q31" s="68"/>
      <c r="R31" s="72">
        <f>SUM(R28:R30)</f>
        <v>10568806</v>
      </c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  <c r="AM31" s="46"/>
      <c r="AN31" s="46"/>
    </row>
    <row r="32" spans="1:40">
      <c r="C32" s="42"/>
      <c r="F32" s="3"/>
      <c r="G32" s="1"/>
      <c r="H32" s="3"/>
      <c r="I32" s="1"/>
      <c r="J32" s="314"/>
      <c r="K32" s="1"/>
      <c r="L32" s="3"/>
      <c r="M32" s="1"/>
      <c r="N32" s="4"/>
      <c r="O32" s="1"/>
      <c r="P32" s="3"/>
      <c r="Q32" s="68"/>
      <c r="R32" s="3"/>
      <c r="S32" s="45"/>
      <c r="V32" s="50"/>
      <c r="Y32" s="50"/>
      <c r="Z32" s="326"/>
      <c r="AA32" s="50"/>
      <c r="AB32" s="50"/>
      <c r="AC32" s="50"/>
      <c r="AD32" s="50"/>
      <c r="AE32" s="50"/>
      <c r="AF32" s="50"/>
      <c r="AI32" s="50"/>
      <c r="AJ32" s="50"/>
      <c r="AK32" s="111"/>
      <c r="AL32" s="50"/>
      <c r="AM32" s="46"/>
      <c r="AN32" s="46"/>
    </row>
    <row r="33" spans="1:38">
      <c r="A33" s="41">
        <v>12</v>
      </c>
      <c r="C33" s="310" t="s">
        <v>371</v>
      </c>
      <c r="F33" s="3"/>
      <c r="G33" s="1"/>
      <c r="H33" s="3"/>
      <c r="I33" s="1"/>
      <c r="J33" s="7"/>
      <c r="K33" s="1"/>
      <c r="L33" s="3"/>
      <c r="M33" s="1"/>
      <c r="N33" s="4"/>
      <c r="O33" s="1"/>
      <c r="P33" s="3"/>
      <c r="Q33" s="3"/>
      <c r="R33" s="3"/>
      <c r="Y33" s="42"/>
    </row>
    <row r="34" spans="1:38">
      <c r="A34" s="41">
        <v>13</v>
      </c>
      <c r="C34" s="42" t="s">
        <v>383</v>
      </c>
      <c r="F34" s="3"/>
      <c r="G34" s="1"/>
      <c r="H34" s="45">
        <f>'[11]Forecast KWH'!$G$70</f>
        <v>63597049</v>
      </c>
      <c r="I34" s="1"/>
      <c r="J34" s="153">
        <f>PRO_DT_SUM_E_ON</f>
        <v>6.4528000000000002E-2</v>
      </c>
      <c r="K34" s="1"/>
      <c r="L34" s="3">
        <f>ROUND((+H34*J34),0)-P34</f>
        <v>4103790</v>
      </c>
      <c r="M34" s="1"/>
      <c r="N34" s="103">
        <f>ROUND((+L34/$L$63)*100,1)</f>
        <v>6.1</v>
      </c>
      <c r="O34" s="1"/>
      <c r="P34" s="3"/>
      <c r="Q34" s="3"/>
      <c r="R34" s="3">
        <f>L34+P34</f>
        <v>4103790</v>
      </c>
      <c r="Y34" s="42"/>
    </row>
    <row r="35" spans="1:38">
      <c r="A35" s="41">
        <v>14</v>
      </c>
      <c r="C35" s="42" t="s">
        <v>384</v>
      </c>
      <c r="F35" s="66"/>
      <c r="G35" s="1"/>
      <c r="H35" s="318">
        <f>'[11]Forecast KWH'!$M$70</f>
        <v>152583920</v>
      </c>
      <c r="I35" s="1"/>
      <c r="J35" s="153">
        <f>PRO_DT_SUM_E_OFF</f>
        <v>5.4975999999999997E-2</v>
      </c>
      <c r="K35" s="1"/>
      <c r="L35" s="66">
        <f>ROUND((+H35*J35),0)-P35</f>
        <v>8388454</v>
      </c>
      <c r="M35" s="1"/>
      <c r="N35" s="103">
        <f>ROUND((+L35/$L$63)*100,1)</f>
        <v>12.4</v>
      </c>
      <c r="O35" s="1"/>
      <c r="P35" s="66"/>
      <c r="Q35" s="3"/>
      <c r="R35" s="66">
        <f>L35+P35</f>
        <v>8388454</v>
      </c>
    </row>
    <row r="36" spans="1:38" ht="19.5" customHeight="1">
      <c r="A36" s="41">
        <v>15</v>
      </c>
      <c r="C36" s="133" t="s">
        <v>56</v>
      </c>
      <c r="F36" s="72">
        <f>F25</f>
        <v>458</v>
      </c>
      <c r="G36" s="1"/>
      <c r="H36" s="72">
        <f>H34+H35</f>
        <v>216180969</v>
      </c>
      <c r="I36" s="1"/>
      <c r="J36" s="314"/>
      <c r="K36" s="1"/>
      <c r="L36" s="72">
        <f>L25+L31+L34+L35</f>
        <v>23119674</v>
      </c>
      <c r="M36" s="1"/>
      <c r="N36" s="105">
        <f>ROUND((+L36/$L$63)*100,1)</f>
        <v>34.299999999999997</v>
      </c>
      <c r="O36" s="1"/>
      <c r="P36" s="72"/>
      <c r="Q36" s="1"/>
      <c r="R36" s="72">
        <f>R25+R31+R34+R35</f>
        <v>23119674</v>
      </c>
      <c r="AK36" s="110"/>
      <c r="AL36" s="42"/>
    </row>
    <row r="37" spans="1:38">
      <c r="C37" s="42"/>
      <c r="F37" s="3"/>
      <c r="G37" s="1"/>
      <c r="H37" s="3"/>
      <c r="I37" s="1"/>
      <c r="J37" s="314"/>
      <c r="K37" s="1"/>
      <c r="L37" s="3"/>
      <c r="M37" s="1"/>
      <c r="N37" s="4"/>
      <c r="O37" s="1"/>
      <c r="P37" s="3"/>
      <c r="Q37" s="1"/>
      <c r="R37" s="3"/>
      <c r="AK37" s="110"/>
      <c r="AL37" s="42"/>
    </row>
    <row r="38" spans="1:38">
      <c r="A38" s="41">
        <v>16</v>
      </c>
      <c r="C38" s="133" t="s">
        <v>57</v>
      </c>
      <c r="F38" s="68"/>
      <c r="G38" s="1"/>
      <c r="H38" s="341">
        <f>185857814-185857934</f>
        <v>-120</v>
      </c>
      <c r="I38" s="1"/>
      <c r="J38" s="314"/>
      <c r="K38" s="1"/>
      <c r="L38" s="3"/>
      <c r="M38" s="1"/>
      <c r="N38" s="4"/>
      <c r="O38" s="1"/>
      <c r="P38" s="3"/>
      <c r="Q38" s="1"/>
      <c r="R38" s="3"/>
    </row>
    <row r="39" spans="1:38">
      <c r="A39" s="41">
        <v>17</v>
      </c>
      <c r="C39" s="133" t="s">
        <v>133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77"/>
      <c r="R39" s="1"/>
    </row>
    <row r="40" spans="1:38">
      <c r="A40" s="41">
        <v>18</v>
      </c>
      <c r="C40" s="42" t="s">
        <v>134</v>
      </c>
      <c r="F40" s="164">
        <f>F23</f>
        <v>0</v>
      </c>
      <c r="G40" s="1"/>
      <c r="H40" s="68"/>
      <c r="I40" s="1"/>
      <c r="J40" s="76">
        <f>J23</f>
        <v>64</v>
      </c>
      <c r="K40" s="1"/>
      <c r="L40" s="3">
        <f>ROUND(+F40*J40,0)</f>
        <v>0</v>
      </c>
      <c r="M40" s="1"/>
      <c r="N40" s="103">
        <f>ROUND((+L40/$L$63)*100,1)</f>
        <v>0</v>
      </c>
      <c r="O40" s="1"/>
      <c r="P40" s="3"/>
      <c r="Q40" s="1"/>
      <c r="R40" s="3">
        <f>L40+P40</f>
        <v>0</v>
      </c>
    </row>
    <row r="41" spans="1:38">
      <c r="A41" s="41">
        <v>19</v>
      </c>
      <c r="C41" s="42" t="s">
        <v>135</v>
      </c>
      <c r="F41" s="164">
        <f>'[11]Forecast BILLS'!$I$71</f>
        <v>905</v>
      </c>
      <c r="G41" s="1"/>
      <c r="H41" s="68"/>
      <c r="I41" s="1"/>
      <c r="J41" s="76">
        <f>J24</f>
        <v>128</v>
      </c>
      <c r="K41" s="1"/>
      <c r="L41" s="3">
        <f>ROUND(+F41*J41,0)</f>
        <v>115840</v>
      </c>
      <c r="M41" s="1"/>
      <c r="N41" s="103">
        <f>ROUND((+L41/$L$63)*100,1)</f>
        <v>0.2</v>
      </c>
      <c r="O41" s="1"/>
      <c r="P41" s="3"/>
      <c r="Q41" s="1"/>
      <c r="R41" s="3">
        <f>L41+P41</f>
        <v>115840</v>
      </c>
    </row>
    <row r="42" spans="1:38" ht="20.100000000000001" customHeight="1">
      <c r="A42" s="41">
        <v>20</v>
      </c>
      <c r="C42" s="133" t="s">
        <v>136</v>
      </c>
      <c r="F42" s="72">
        <f>SUM(F40:F41)</f>
        <v>905</v>
      </c>
      <c r="G42" s="1"/>
      <c r="H42" s="3"/>
      <c r="I42" s="1"/>
      <c r="J42" s="314"/>
      <c r="K42" s="1"/>
      <c r="L42" s="72">
        <f>SUM(L40:L41)</f>
        <v>115840</v>
      </c>
      <c r="M42" s="1"/>
      <c r="N42" s="105">
        <f>ROUND((+L42/$L$63)*100,1)</f>
        <v>0.2</v>
      </c>
      <c r="O42" s="1"/>
      <c r="P42" s="72"/>
      <c r="Q42" s="2"/>
      <c r="R42" s="72">
        <f>SUM(R40:R41)</f>
        <v>115840</v>
      </c>
    </row>
    <row r="43" spans="1:38">
      <c r="C43" s="42"/>
      <c r="F43" s="3"/>
      <c r="G43" s="1"/>
      <c r="H43" s="3"/>
      <c r="I43" s="1"/>
      <c r="J43" s="314"/>
      <c r="K43" s="1"/>
      <c r="L43" s="3"/>
      <c r="M43" s="1"/>
      <c r="N43" s="4"/>
      <c r="O43" s="1"/>
      <c r="P43" s="3"/>
      <c r="Q43" s="2"/>
      <c r="R43" s="3"/>
    </row>
    <row r="44" spans="1:38">
      <c r="A44" s="41">
        <v>21</v>
      </c>
      <c r="C44" s="133" t="s">
        <v>63</v>
      </c>
      <c r="F44" s="68"/>
      <c r="G44" s="1"/>
      <c r="H44" s="68"/>
      <c r="I44" s="1"/>
      <c r="J44" s="340"/>
      <c r="K44" s="1"/>
      <c r="L44" s="3"/>
      <c r="M44" s="1"/>
      <c r="N44" s="4"/>
      <c r="O44" s="1"/>
      <c r="P44" s="3"/>
      <c r="Q44" s="77"/>
      <c r="R44" s="3"/>
    </row>
    <row r="45" spans="1:38">
      <c r="A45" s="41">
        <v>22</v>
      </c>
      <c r="C45" s="42" t="s">
        <v>64</v>
      </c>
      <c r="F45" s="68"/>
      <c r="G45" s="1"/>
      <c r="H45" s="164">
        <f>'[11]Forecast KW'!$I$72</f>
        <v>778656</v>
      </c>
      <c r="I45" s="1"/>
      <c r="J45" s="316">
        <f>PRO_DT_WIN_PEAK</f>
        <v>15.83</v>
      </c>
      <c r="K45" s="1"/>
      <c r="L45" s="3">
        <f>ROUND(+H45*J45,0)</f>
        <v>12326124</v>
      </c>
      <c r="M45" s="1"/>
      <c r="N45" s="103">
        <f>ROUND((+L45/$L$63)*100,1)-0.1</f>
        <v>18.2</v>
      </c>
      <c r="O45" s="1"/>
      <c r="P45" s="3"/>
      <c r="Q45" s="2"/>
      <c r="R45" s="3">
        <f>L45+P45</f>
        <v>12326124</v>
      </c>
    </row>
    <row r="46" spans="1:38">
      <c r="A46" s="41">
        <v>23</v>
      </c>
      <c r="C46" s="42" t="s">
        <v>65</v>
      </c>
      <c r="F46" s="68"/>
      <c r="G46" s="1"/>
      <c r="H46" s="164">
        <f>'[11]Forecast KW'!$H$72</f>
        <v>15182</v>
      </c>
      <c r="I46" s="1"/>
      <c r="J46" s="316">
        <f>PRO_DT_WIN_PK_OFF</f>
        <v>1.5</v>
      </c>
      <c r="K46" s="1"/>
      <c r="L46" s="3">
        <f>ROUND(+H46*J46,0)</f>
        <v>22773</v>
      </c>
      <c r="M46" s="1"/>
      <c r="N46" s="103">
        <f>ROUND((+L46/$L$63)*100,1)</f>
        <v>0</v>
      </c>
      <c r="O46" s="1"/>
      <c r="P46" s="3"/>
      <c r="Q46" s="1"/>
      <c r="R46" s="3">
        <f>L46+P46</f>
        <v>22773</v>
      </c>
    </row>
    <row r="47" spans="1:38">
      <c r="A47" s="41">
        <v>24</v>
      </c>
      <c r="C47" s="42" t="s">
        <v>974</v>
      </c>
      <c r="F47" s="68"/>
      <c r="G47" s="1"/>
      <c r="H47" s="164">
        <f>H45+H46</f>
        <v>793838</v>
      </c>
      <c r="I47" s="1"/>
      <c r="J47" s="316">
        <f>INPUT!$D$82</f>
        <v>7.77</v>
      </c>
      <c r="K47" s="1"/>
      <c r="L47" s="3">
        <f>ROUND(+H47*J47,0)</f>
        <v>6168121</v>
      </c>
      <c r="M47" s="1"/>
      <c r="N47" s="103">
        <f>ROUND((+L47/$L$63)*100,1)</f>
        <v>9.1</v>
      </c>
      <c r="O47" s="1"/>
      <c r="P47" s="3"/>
      <c r="Q47" s="1"/>
      <c r="R47" s="3">
        <f>L47+P47</f>
        <v>6168121</v>
      </c>
    </row>
    <row r="48" spans="1:38" ht="20.100000000000001" customHeight="1">
      <c r="A48" s="41">
        <v>25</v>
      </c>
      <c r="C48" s="133" t="s">
        <v>66</v>
      </c>
      <c r="F48" s="3"/>
      <c r="G48" s="1"/>
      <c r="H48" s="72">
        <f>SUM(H45:H46)</f>
        <v>793838</v>
      </c>
      <c r="I48" s="1"/>
      <c r="J48" s="314"/>
      <c r="K48" s="1"/>
      <c r="L48" s="72">
        <f>SUM(L45:L47)</f>
        <v>18517018</v>
      </c>
      <c r="M48" s="1"/>
      <c r="N48" s="105">
        <f>ROUND((+L48/$L$63)*100,1)</f>
        <v>27.4</v>
      </c>
      <c r="O48" s="1"/>
      <c r="P48" s="72"/>
      <c r="Q48" s="1"/>
      <c r="R48" s="72">
        <f>SUM(R45:R47)</f>
        <v>18517018</v>
      </c>
    </row>
    <row r="49" spans="1:18">
      <c r="C49" s="42"/>
      <c r="F49" s="3"/>
      <c r="G49" s="1"/>
      <c r="H49" s="3"/>
      <c r="I49" s="1"/>
      <c r="J49" s="314"/>
      <c r="K49" s="1"/>
      <c r="L49" s="3"/>
      <c r="M49" s="1"/>
      <c r="N49" s="4"/>
      <c r="O49" s="1"/>
      <c r="P49" s="3"/>
      <c r="Q49" s="1"/>
      <c r="R49" s="3"/>
    </row>
    <row r="50" spans="1:18">
      <c r="A50" s="41">
        <v>26</v>
      </c>
      <c r="C50" s="310" t="s">
        <v>371</v>
      </c>
      <c r="F50" s="3"/>
      <c r="G50" s="1"/>
      <c r="H50" s="3"/>
      <c r="I50" s="1"/>
      <c r="J50" s="7"/>
      <c r="K50" s="1"/>
      <c r="L50" s="3"/>
      <c r="M50" s="1"/>
      <c r="N50" s="4"/>
      <c r="O50" s="1"/>
      <c r="P50" s="3"/>
      <c r="Q50" s="3"/>
      <c r="R50" s="3"/>
    </row>
    <row r="51" spans="1:18">
      <c r="A51" s="41">
        <v>27</v>
      </c>
      <c r="C51" s="42" t="s">
        <v>383</v>
      </c>
      <c r="F51" s="3"/>
      <c r="G51" s="1"/>
      <c r="H51" s="45">
        <f>'[11]Forecast KWH'!$I$70</f>
        <v>109435196</v>
      </c>
      <c r="I51" s="1"/>
      <c r="J51" s="155">
        <f>PRO_DT_WIN_E_ON</f>
        <v>6.2133000000000001E-2</v>
      </c>
      <c r="K51" s="1"/>
      <c r="L51" s="3">
        <f>ROUND((+H51*J51),0)-P51</f>
        <v>6799537</v>
      </c>
      <c r="M51" s="1"/>
      <c r="N51" s="103">
        <f>ROUND((+L51/$L$63)*100,1)</f>
        <v>10.1</v>
      </c>
      <c r="O51" s="1"/>
      <c r="P51" s="3"/>
      <c r="Q51" s="3"/>
      <c r="R51" s="3">
        <f>L51+P51</f>
        <v>6799537</v>
      </c>
    </row>
    <row r="52" spans="1:18">
      <c r="A52" s="41">
        <v>28</v>
      </c>
      <c r="C52" s="42" t="s">
        <v>384</v>
      </c>
      <c r="F52" s="69"/>
      <c r="G52" s="1"/>
      <c r="H52" s="318">
        <f>'[11]Forecast KWH'!$H$70</f>
        <v>274429684</v>
      </c>
      <c r="I52" s="1"/>
      <c r="J52" s="155">
        <f>PRO_DT_WIN_E_OFF</f>
        <v>5.4975999999999997E-2</v>
      </c>
      <c r="K52" s="1"/>
      <c r="L52" s="66">
        <f>ROUND((+H52*J52),0)-P52</f>
        <v>15087046</v>
      </c>
      <c r="M52" s="1"/>
      <c r="N52" s="103">
        <f>ROUND((+L52/$L$63)*100,1)</f>
        <v>22.4</v>
      </c>
      <c r="O52" s="1"/>
      <c r="P52" s="66"/>
      <c r="Q52" s="3"/>
      <c r="R52" s="66">
        <f>L52+P52</f>
        <v>15087046</v>
      </c>
    </row>
    <row r="53" spans="1:18" ht="21.75" customHeight="1">
      <c r="A53" s="41">
        <v>29</v>
      </c>
      <c r="C53" s="133" t="s">
        <v>58</v>
      </c>
      <c r="F53" s="72">
        <f>F42</f>
        <v>905</v>
      </c>
      <c r="G53" s="1"/>
      <c r="H53" s="72">
        <f>H51+H52</f>
        <v>383864880</v>
      </c>
      <c r="I53" s="1"/>
      <c r="J53" s="155"/>
      <c r="K53" s="1"/>
      <c r="L53" s="72">
        <f>L42+L48+L51+L52</f>
        <v>40519441</v>
      </c>
      <c r="M53" s="1"/>
      <c r="N53" s="105">
        <f>ROUND((+L53/$L$63)*100,1)</f>
        <v>60</v>
      </c>
      <c r="O53" s="1"/>
      <c r="P53" s="72"/>
      <c r="Q53" s="1"/>
      <c r="R53" s="72">
        <f>R42+R48+R51+R52</f>
        <v>40519441</v>
      </c>
    </row>
    <row r="54" spans="1:18" ht="21.75" customHeight="1">
      <c r="A54" s="41">
        <v>30</v>
      </c>
      <c r="C54" s="310" t="s">
        <v>442</v>
      </c>
      <c r="F54" s="72">
        <f>F36+F53</f>
        <v>1363</v>
      </c>
      <c r="G54" s="1"/>
      <c r="H54" s="72">
        <f>H53+H36</f>
        <v>600045849</v>
      </c>
      <c r="I54" s="1"/>
      <c r="J54" s="155"/>
      <c r="K54" s="1"/>
      <c r="L54" s="72">
        <f>L36+L53</f>
        <v>63639115</v>
      </c>
      <c r="M54" s="1"/>
      <c r="N54" s="105">
        <f>ROUND((+L54/$L$63)*100,1)</f>
        <v>94.3</v>
      </c>
      <c r="O54" s="1"/>
      <c r="P54" s="72"/>
      <c r="Q54" s="1"/>
      <c r="R54" s="72">
        <f>R36+R53</f>
        <v>63639115</v>
      </c>
    </row>
    <row r="55" spans="1:18" ht="15.75" customHeight="1">
      <c r="C55" s="42"/>
      <c r="F55" s="3"/>
      <c r="G55" s="1"/>
      <c r="H55" s="3"/>
      <c r="I55" s="1"/>
      <c r="J55" s="155"/>
      <c r="K55" s="1"/>
      <c r="L55" s="3"/>
      <c r="M55" s="1"/>
      <c r="N55" s="4"/>
      <c r="O55" s="1"/>
      <c r="P55" s="3"/>
      <c r="Q55" s="1"/>
      <c r="R55" s="3"/>
    </row>
    <row r="56" spans="1:18" ht="15.75" customHeight="1">
      <c r="A56" s="41">
        <v>31</v>
      </c>
      <c r="C56" s="133" t="s">
        <v>430</v>
      </c>
      <c r="F56" s="3"/>
      <c r="G56" s="1"/>
      <c r="H56" s="3"/>
      <c r="I56" s="1"/>
      <c r="J56" s="155"/>
      <c r="K56" s="1"/>
      <c r="L56" s="3"/>
      <c r="M56" s="1"/>
      <c r="N56" s="4"/>
      <c r="O56" s="1"/>
      <c r="P56" s="3"/>
      <c r="Q56" s="1"/>
      <c r="R56" s="3"/>
    </row>
    <row r="57" spans="1:18" ht="15.75" customHeight="1">
      <c r="A57" s="41">
        <v>32</v>
      </c>
      <c r="C57" s="128" t="str">
        <f>DSMR_Name</f>
        <v>DEMAND SIDE MANAGEMENT RIDER (DSMR)</v>
      </c>
      <c r="F57" s="3"/>
      <c r="G57" s="1"/>
      <c r="H57" s="3"/>
      <c r="I57" s="1"/>
      <c r="J57" s="327">
        <f>PRO_DSM_DIST</f>
        <v>3.503E-3</v>
      </c>
      <c r="K57" s="1"/>
      <c r="L57" s="3">
        <f>ROUND($H$54*J57,0)</f>
        <v>2101961</v>
      </c>
      <c r="M57" s="1"/>
      <c r="N57" s="103">
        <f>ROUND((+L57/$L$63)*100,1)</f>
        <v>3.1</v>
      </c>
      <c r="O57" s="1"/>
      <c r="P57" s="3"/>
      <c r="Q57" s="1"/>
      <c r="R57" s="3">
        <f>L57+P57</f>
        <v>2101961</v>
      </c>
    </row>
    <row r="58" spans="1:18" ht="15.75" customHeight="1">
      <c r="A58" s="41">
        <v>33</v>
      </c>
      <c r="C58" s="128" t="str">
        <f>ESM_Name</f>
        <v>ENVIRONMENTAL SURCHARGE MECHANISM RIDER (ESM)</v>
      </c>
      <c r="F58" s="3"/>
      <c r="G58" s="1"/>
      <c r="H58" s="3"/>
      <c r="I58" s="1"/>
      <c r="J58" s="321">
        <f>PRO_ESM_NONRES</f>
        <v>5.4606095773317587E-3</v>
      </c>
      <c r="K58" s="1"/>
      <c r="L58" s="3">
        <f>ROUND((R54-(PRO_BASE_FUEL*H54)+R57+R60)*J58,0)</f>
        <v>256412</v>
      </c>
      <c r="M58" s="1"/>
      <c r="N58" s="103">
        <f>ROUND((+L58/$L$63)*100,1)</f>
        <v>0.4</v>
      </c>
      <c r="O58" s="1"/>
      <c r="P58" s="3"/>
      <c r="Q58" s="1"/>
      <c r="R58" s="3">
        <f>L58+P58</f>
        <v>256412</v>
      </c>
    </row>
    <row r="59" spans="1:18" ht="15.75" customHeight="1">
      <c r="A59" s="41">
        <v>34</v>
      </c>
      <c r="C59" s="128" t="str">
        <f>FAC_Name</f>
        <v>FUEL ADJUSTMENT CLAUSE (FAC)</v>
      </c>
      <c r="F59" s="3"/>
      <c r="G59" s="1"/>
      <c r="H59" s="3"/>
      <c r="I59" s="1"/>
      <c r="J59" s="327">
        <f>PRO_FAC</f>
        <v>3.4872127999999998E-3</v>
      </c>
      <c r="K59" s="1"/>
      <c r="L59" s="3"/>
      <c r="M59" s="1"/>
      <c r="N59" s="103"/>
      <c r="O59" s="1"/>
      <c r="P59" s="3">
        <f>ROUND(H54*PRO_FAC,0)</f>
        <v>2092488</v>
      </c>
      <c r="Q59" s="1"/>
      <c r="R59" s="3">
        <f>L59+P59</f>
        <v>2092488</v>
      </c>
    </row>
    <row r="60" spans="1:18" ht="15.75" customHeight="1">
      <c r="A60" s="41">
        <v>35</v>
      </c>
      <c r="C60" s="128" t="str">
        <f>PSM_Name</f>
        <v>PROFIT SHARING MECHANISM (PSM)</v>
      </c>
      <c r="F60" s="3"/>
      <c r="G60" s="1"/>
      <c r="H60" s="3"/>
      <c r="I60" s="1"/>
      <c r="J60" s="327">
        <f>PRO_PSM</f>
        <v>2.4750000000000002E-3</v>
      </c>
      <c r="K60" s="1"/>
      <c r="L60" s="66">
        <f>ROUND(H54*PRO_PSM,0)</f>
        <v>1485113</v>
      </c>
      <c r="M60" s="1"/>
      <c r="N60" s="104">
        <f>ROUND((+L60/$L$63)*100,1)</f>
        <v>2.2000000000000002</v>
      </c>
      <c r="O60" s="1"/>
      <c r="P60" s="66"/>
      <c r="Q60" s="1"/>
      <c r="R60" s="66">
        <f>L60+P60</f>
        <v>1485113</v>
      </c>
    </row>
    <row r="61" spans="1:18" ht="20.100000000000001" customHeight="1">
      <c r="A61" s="41">
        <v>36</v>
      </c>
      <c r="C61" s="133" t="s">
        <v>435</v>
      </c>
      <c r="F61" s="66"/>
      <c r="G61" s="1"/>
      <c r="H61" s="66"/>
      <c r="I61" s="1"/>
      <c r="J61" s="314"/>
      <c r="K61" s="1"/>
      <c r="L61" s="66">
        <f>SUM(L57:L60)</f>
        <v>3843486</v>
      </c>
      <c r="M61" s="1"/>
      <c r="N61" s="105">
        <f>ROUND((+L61/$L$63)*100,1)</f>
        <v>5.7</v>
      </c>
      <c r="O61" s="1"/>
      <c r="P61" s="66">
        <f>SUM(P57:P60)</f>
        <v>2092488</v>
      </c>
      <c r="Q61" s="1"/>
      <c r="R61" s="66">
        <f>SUM(R57:R60)</f>
        <v>5935974</v>
      </c>
    </row>
    <row r="62" spans="1:18" ht="15.75" customHeight="1">
      <c r="C62" s="42"/>
      <c r="F62" s="3"/>
      <c r="G62" s="1"/>
      <c r="H62" s="3"/>
      <c r="I62" s="1"/>
      <c r="J62" s="314"/>
      <c r="K62" s="1"/>
      <c r="L62" s="3"/>
      <c r="M62" s="1"/>
      <c r="N62" s="4"/>
      <c r="O62" s="1"/>
      <c r="P62" s="3"/>
      <c r="Q62" s="78"/>
      <c r="R62" s="3"/>
    </row>
    <row r="63" spans="1:18" ht="20.100000000000001" customHeight="1" thickBot="1">
      <c r="A63" s="41">
        <v>37</v>
      </c>
      <c r="C63" s="310" t="s">
        <v>441</v>
      </c>
      <c r="F63" s="67">
        <f>F36+F53</f>
        <v>1363</v>
      </c>
      <c r="G63" s="1"/>
      <c r="H63" s="67">
        <f>H36+H53</f>
        <v>600045849</v>
      </c>
      <c r="I63" s="1"/>
      <c r="J63" s="1"/>
      <c r="K63" s="1"/>
      <c r="L63" s="67">
        <f>L61+L54</f>
        <v>67482601</v>
      </c>
      <c r="M63" s="1"/>
      <c r="N63" s="73">
        <v>100</v>
      </c>
      <c r="O63" s="1"/>
      <c r="P63" s="67">
        <f>P61+P54</f>
        <v>2092488</v>
      </c>
      <c r="Q63" s="68"/>
      <c r="R63" s="67">
        <f>R61+R54</f>
        <v>69575089</v>
      </c>
    </row>
    <row r="64" spans="1:18" ht="16.5" thickTop="1"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78"/>
      <c r="R64" s="1"/>
    </row>
    <row r="65" spans="1:43">
      <c r="C65" s="140" t="s">
        <v>59</v>
      </c>
      <c r="L65" s="45"/>
      <c r="N65" s="45"/>
      <c r="P65" s="45"/>
      <c r="Q65" s="45"/>
      <c r="R65" s="45"/>
    </row>
    <row r="66" spans="1:43">
      <c r="C66" s="140" t="str">
        <f>"(2) REFLECTS FUEL COMPONENT OF "&amp;TEXT(PRO_FAC,"$0.000000;($0.000000)")&amp;"  PER KWH."</f>
        <v>(2) REFLECTS FUEL COMPONENT OF $0.003487  PER KWH.</v>
      </c>
      <c r="L66" s="45"/>
      <c r="N66" s="45"/>
      <c r="P66" s="45"/>
      <c r="Q66" s="45"/>
      <c r="R66" s="45"/>
    </row>
    <row r="67" spans="1:43">
      <c r="C67" s="140" t="str">
        <f>"(3) REFLECTS FUEL COST RECOVERY INCLUDED IN BASE RATES OF "&amp;TEXT(PRO_BASE_FUEL,"$0.000000;($0.000000)")&amp;"  PER KWH."</f>
        <v>(3) REFLECTS FUEL COST RECOVERY INCLUDED IN BASE RATES OF $0.033780  PER KWH.</v>
      </c>
      <c r="F67" s="50"/>
      <c r="H67" s="50"/>
      <c r="J67" s="50"/>
      <c r="L67" s="326"/>
      <c r="N67" s="326"/>
      <c r="P67" s="50"/>
      <c r="Q67" s="50"/>
      <c r="R67" s="50"/>
    </row>
    <row r="68" spans="1:43">
      <c r="F68" s="45"/>
      <c r="H68" s="45"/>
      <c r="J68" s="45"/>
      <c r="L68" s="47"/>
      <c r="N68" s="47"/>
      <c r="P68" s="45"/>
      <c r="Q68" s="45"/>
      <c r="R68" s="45"/>
    </row>
    <row r="69" spans="1:43">
      <c r="C69" s="42"/>
      <c r="F69" s="45"/>
      <c r="H69" s="45"/>
      <c r="J69" s="45"/>
      <c r="L69" s="47"/>
      <c r="N69" s="47"/>
      <c r="P69" s="45"/>
      <c r="Q69" s="45"/>
      <c r="R69" s="45"/>
    </row>
    <row r="70" spans="1:43">
      <c r="F70" s="45"/>
      <c r="H70" s="45"/>
      <c r="J70" s="45"/>
      <c r="L70" s="47"/>
      <c r="N70" s="3"/>
      <c r="P70" s="45"/>
      <c r="Q70" s="45"/>
      <c r="R70" s="45"/>
    </row>
    <row r="71" spans="1:43">
      <c r="A71" s="42"/>
      <c r="F71" s="45"/>
      <c r="H71" s="45"/>
      <c r="L71" s="47"/>
      <c r="N71" s="3"/>
      <c r="P71" s="45"/>
      <c r="Q71" s="45"/>
      <c r="R71" s="45"/>
      <c r="T71" s="40" t="str">
        <f>NAME</f>
        <v>DUKE ENERGY KENTUCKY, INC.</v>
      </c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100"/>
      <c r="AH71" s="40"/>
      <c r="AI71" s="40"/>
      <c r="AJ71" s="40"/>
      <c r="AK71" s="100"/>
      <c r="AL71" s="40"/>
      <c r="AM71" s="40"/>
      <c r="AN71" s="40"/>
      <c r="AO71" s="40"/>
      <c r="AP71" s="40"/>
      <c r="AQ71" s="100"/>
    </row>
    <row r="72" spans="1:43">
      <c r="A72" s="42"/>
      <c r="F72" s="45"/>
      <c r="H72" s="45"/>
      <c r="J72" s="45"/>
      <c r="L72" s="47"/>
      <c r="N72" s="3"/>
      <c r="P72" s="45"/>
      <c r="Q72" s="45"/>
      <c r="R72" s="45"/>
      <c r="T72" s="40" t="str">
        <f>CASE_NO</f>
        <v>CASE NO.   2024-00354</v>
      </c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100"/>
      <c r="AH72" s="40"/>
      <c r="AI72" s="40"/>
      <c r="AJ72" s="40"/>
      <c r="AK72" s="100"/>
      <c r="AL72" s="40"/>
      <c r="AM72" s="40"/>
      <c r="AN72" s="40"/>
      <c r="AO72" s="40"/>
      <c r="AP72" s="40"/>
      <c r="AQ72" s="100"/>
    </row>
    <row r="73" spans="1:43">
      <c r="F73" s="160"/>
      <c r="T73" s="40" t="str">
        <f>TITLE</f>
        <v>ANNUALIZED TEST YEAR REVENUES AT PROPOSED VS. MOST CURRENT RATES</v>
      </c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100"/>
      <c r="AH73" s="40"/>
      <c r="AI73" s="40"/>
      <c r="AJ73" s="40"/>
      <c r="AK73" s="100"/>
      <c r="AL73" s="40"/>
      <c r="AM73" s="40"/>
      <c r="AN73" s="40"/>
      <c r="AO73" s="40"/>
      <c r="AP73" s="40"/>
      <c r="AQ73" s="100"/>
    </row>
    <row r="74" spans="1:43">
      <c r="T74" s="40" t="str">
        <f>DATE</f>
        <v>FOR THE TWELVE MONTHS ENDED June 30, 2026</v>
      </c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100"/>
      <c r="AH74" s="40"/>
      <c r="AI74" s="40"/>
      <c r="AJ74" s="40"/>
      <c r="AK74" s="100"/>
      <c r="AL74" s="40"/>
      <c r="AM74" s="40"/>
      <c r="AN74" s="40"/>
      <c r="AO74" s="40"/>
      <c r="AP74" s="40"/>
      <c r="AQ74" s="100"/>
    </row>
    <row r="75" spans="1:43">
      <c r="N75" s="45"/>
      <c r="P75" s="45"/>
      <c r="Q75" s="45"/>
      <c r="R75" s="45"/>
      <c r="T75" s="40" t="str">
        <f>SERVICE</f>
        <v>(ELECTRIC SERVICE)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43">
      <c r="N76" s="45"/>
      <c r="T76" s="41" t="str">
        <f>DATA_PERIOD</f>
        <v>DATA: ____ BASE PERIOD   __X__FORECASTED PERIOD</v>
      </c>
      <c r="AO76" s="42" t="s">
        <v>157</v>
      </c>
      <c r="AP76" s="42"/>
    </row>
    <row r="77" spans="1:43">
      <c r="N77" s="45"/>
      <c r="T77" s="41" t="str">
        <f>TYPE</f>
        <v>TYPE OF FILING: _X_ ORIGINAL   ___UPDATED  ___ REVISED</v>
      </c>
      <c r="AO77" s="48" t="str">
        <f>"PAGE 5 OF "&amp;TEXT(Page_Num_2.2,"00")</f>
        <v>PAGE 5 OF 24</v>
      </c>
      <c r="AP77" s="42"/>
    </row>
    <row r="78" spans="1:43">
      <c r="H78" s="42"/>
      <c r="J78" s="42"/>
      <c r="T78" s="42" t="s">
        <v>170</v>
      </c>
      <c r="AO78" s="42" t="s">
        <v>3</v>
      </c>
      <c r="AP78" s="42"/>
    </row>
    <row r="79" spans="1:43">
      <c r="T79" s="133" t="str">
        <f>TIME</f>
        <v>12 Months Projected with Riders</v>
      </c>
      <c r="AO79" s="41" t="str">
        <f>WIT</f>
        <v>B. L. Sailers</v>
      </c>
    </row>
    <row r="80" spans="1:43">
      <c r="T80" s="133" t="str">
        <f>INPUT!B5</f>
        <v xml:space="preserve"> </v>
      </c>
    </row>
    <row r="81" spans="1:43">
      <c r="P81" s="42"/>
      <c r="T81" s="40" t="s">
        <v>130</v>
      </c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100"/>
      <c r="AH81" s="40"/>
      <c r="AI81" s="40"/>
      <c r="AJ81" s="40"/>
      <c r="AK81" s="100"/>
      <c r="AL81" s="40"/>
      <c r="AM81" s="40"/>
      <c r="AN81" s="40"/>
      <c r="AO81" s="40"/>
      <c r="AP81" s="40"/>
      <c r="AQ81" s="100"/>
    </row>
    <row r="82" spans="1:43">
      <c r="R82" s="42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01"/>
      <c r="AH82" s="43"/>
      <c r="AI82" s="43"/>
      <c r="AJ82" s="43"/>
      <c r="AK82" s="101"/>
      <c r="AL82" s="43"/>
      <c r="AM82" s="43"/>
      <c r="AN82" s="43"/>
      <c r="AO82" s="43"/>
      <c r="AP82" s="43"/>
      <c r="AQ82" s="101"/>
    </row>
    <row r="83" spans="1:43" ht="18" customHeight="1">
      <c r="R83" s="42"/>
      <c r="AE83" s="44" t="s">
        <v>8</v>
      </c>
      <c r="AF83" s="44"/>
      <c r="AG83" s="102" t="s">
        <v>7</v>
      </c>
      <c r="AH83" s="44"/>
      <c r="AI83" s="44" t="s">
        <v>9</v>
      </c>
      <c r="AJ83" s="44"/>
      <c r="AK83" s="102" t="s">
        <v>10</v>
      </c>
      <c r="AL83" s="44"/>
      <c r="AO83" s="44" t="s">
        <v>8</v>
      </c>
      <c r="AP83" s="44"/>
      <c r="AQ83" s="102" t="s">
        <v>11</v>
      </c>
    </row>
    <row r="84" spans="1:43">
      <c r="A84" s="42"/>
      <c r="R84" s="42"/>
      <c r="AC84" s="44" t="s">
        <v>14</v>
      </c>
      <c r="AD84" s="44"/>
      <c r="AE84" s="44" t="s">
        <v>12</v>
      </c>
      <c r="AF84" s="44"/>
      <c r="AG84" s="102" t="s">
        <v>13</v>
      </c>
      <c r="AH84" s="44"/>
      <c r="AI84" s="44" t="s">
        <v>15</v>
      </c>
      <c r="AJ84" s="44"/>
      <c r="AK84" s="102" t="s">
        <v>16</v>
      </c>
      <c r="AL84" s="44"/>
      <c r="AO84" s="44" t="s">
        <v>11</v>
      </c>
      <c r="AP84" s="44"/>
      <c r="AQ84" s="102" t="s">
        <v>9</v>
      </c>
    </row>
    <row r="85" spans="1:43">
      <c r="O85" s="42"/>
      <c r="T85" s="44" t="s">
        <v>17</v>
      </c>
      <c r="V85" s="44" t="s">
        <v>18</v>
      </c>
      <c r="W85" s="44" t="s">
        <v>19</v>
      </c>
      <c r="X85" s="44"/>
      <c r="Y85" s="44" t="s">
        <v>20</v>
      </c>
      <c r="AC85" s="44" t="s">
        <v>8</v>
      </c>
      <c r="AD85" s="44"/>
      <c r="AE85" s="44" t="s">
        <v>841</v>
      </c>
      <c r="AF85" s="44"/>
      <c r="AG85" s="102" t="s">
        <v>841</v>
      </c>
      <c r="AH85" s="44"/>
      <c r="AI85" s="60" t="s">
        <v>964</v>
      </c>
      <c r="AJ85" s="44"/>
      <c r="AK85" s="277" t="s">
        <v>964</v>
      </c>
      <c r="AL85" s="44"/>
      <c r="AM85" s="44" t="s">
        <v>841</v>
      </c>
      <c r="AN85" s="44"/>
      <c r="AO85" s="44" t="s">
        <v>9</v>
      </c>
      <c r="AP85" s="44"/>
      <c r="AQ85" s="102" t="s">
        <v>21</v>
      </c>
    </row>
    <row r="86" spans="1:43">
      <c r="A86" s="49"/>
      <c r="B86" s="49"/>
      <c r="C86" s="49"/>
      <c r="D86" s="49"/>
      <c r="E86" s="49"/>
      <c r="F86" s="49"/>
      <c r="G86" s="49"/>
      <c r="H86" s="49"/>
      <c r="J86" s="49"/>
      <c r="L86" s="49"/>
      <c r="N86" s="49"/>
      <c r="O86" s="49"/>
      <c r="P86" s="49"/>
      <c r="Q86" s="49"/>
      <c r="R86" s="49"/>
      <c r="T86" s="44" t="s">
        <v>22</v>
      </c>
      <c r="V86" s="44" t="s">
        <v>23</v>
      </c>
      <c r="W86" s="44" t="s">
        <v>24</v>
      </c>
      <c r="X86" s="44"/>
      <c r="Y86" s="44" t="s">
        <v>25</v>
      </c>
      <c r="AA86" s="44" t="s">
        <v>26</v>
      </c>
      <c r="AB86" s="44"/>
      <c r="AC86" s="44" t="s">
        <v>27</v>
      </c>
      <c r="AD86" s="44"/>
      <c r="AE86" s="44" t="s">
        <v>9</v>
      </c>
      <c r="AF86" s="44"/>
      <c r="AG86" s="102" t="s">
        <v>9</v>
      </c>
      <c r="AH86" s="44"/>
      <c r="AI86" s="304" t="s">
        <v>29</v>
      </c>
      <c r="AJ86" s="304"/>
      <c r="AK86" s="311" t="s">
        <v>30</v>
      </c>
      <c r="AL86" s="44"/>
      <c r="AM86" s="44" t="s">
        <v>323</v>
      </c>
      <c r="AN86" s="44"/>
      <c r="AO86" s="304" t="s">
        <v>31</v>
      </c>
      <c r="AP86" s="304"/>
      <c r="AQ86" s="311" t="s">
        <v>32</v>
      </c>
    </row>
    <row r="87" spans="1:43">
      <c r="O87" s="44"/>
      <c r="P87" s="44"/>
      <c r="R87" s="44"/>
      <c r="V87" s="304" t="s">
        <v>33</v>
      </c>
      <c r="W87" s="304" t="s">
        <v>34</v>
      </c>
      <c r="X87" s="304"/>
      <c r="Y87" s="304" t="s">
        <v>35</v>
      </c>
      <c r="Z87" s="130"/>
      <c r="AA87" s="304" t="s">
        <v>36</v>
      </c>
      <c r="AB87" s="304"/>
      <c r="AC87" s="304" t="s">
        <v>42</v>
      </c>
      <c r="AD87" s="304"/>
      <c r="AE87" s="304" t="s">
        <v>43</v>
      </c>
      <c r="AF87" s="304"/>
      <c r="AG87" s="311" t="s">
        <v>44</v>
      </c>
      <c r="AH87" s="304"/>
      <c r="AI87" s="304" t="s">
        <v>45</v>
      </c>
      <c r="AJ87" s="304"/>
      <c r="AK87" s="311" t="s">
        <v>46</v>
      </c>
      <c r="AL87" s="304"/>
      <c r="AM87" s="304" t="s">
        <v>40</v>
      </c>
      <c r="AN87" s="304"/>
      <c r="AO87" s="304" t="s">
        <v>47</v>
      </c>
      <c r="AP87" s="304"/>
      <c r="AQ87" s="311" t="s">
        <v>48</v>
      </c>
    </row>
    <row r="88" spans="1:43">
      <c r="O88" s="44"/>
      <c r="P88" s="44"/>
      <c r="R88" s="44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101"/>
      <c r="AH88" s="43"/>
      <c r="AI88" s="43"/>
      <c r="AJ88" s="43"/>
      <c r="AK88" s="101"/>
      <c r="AL88" s="43"/>
      <c r="AM88" s="43"/>
      <c r="AN88" s="43"/>
      <c r="AO88" s="43"/>
      <c r="AP88" s="43"/>
      <c r="AQ88" s="101"/>
    </row>
    <row r="89" spans="1:43" ht="17.100000000000001" customHeight="1">
      <c r="A89" s="44"/>
      <c r="C89" s="44"/>
      <c r="D89" s="44"/>
      <c r="E89" s="44"/>
      <c r="F89" s="44"/>
      <c r="L89" s="44"/>
      <c r="N89" s="44"/>
      <c r="O89" s="44"/>
      <c r="P89" s="44"/>
      <c r="Q89" s="44"/>
      <c r="R89" s="44"/>
      <c r="AA89" s="309" t="s">
        <v>196</v>
      </c>
      <c r="AB89" s="308"/>
      <c r="AC89" s="309" t="s">
        <v>331</v>
      </c>
      <c r="AD89" s="308"/>
      <c r="AE89" s="308" t="s">
        <v>50</v>
      </c>
      <c r="AF89" s="308"/>
      <c r="AG89" s="312" t="s">
        <v>51</v>
      </c>
      <c r="AH89" s="308"/>
      <c r="AI89" s="308" t="s">
        <v>50</v>
      </c>
      <c r="AJ89" s="308"/>
      <c r="AK89" s="312" t="s">
        <v>51</v>
      </c>
      <c r="AL89" s="308"/>
      <c r="AM89" s="308" t="s">
        <v>50</v>
      </c>
      <c r="AN89" s="308"/>
      <c r="AO89" s="308" t="s">
        <v>50</v>
      </c>
      <c r="AP89" s="308"/>
      <c r="AQ89" s="312" t="s">
        <v>51</v>
      </c>
    </row>
    <row r="90" spans="1:43">
      <c r="A90" s="44"/>
      <c r="C90" s="44"/>
      <c r="D90" s="44"/>
      <c r="E90" s="44"/>
      <c r="F90" s="44"/>
      <c r="H90" s="44"/>
      <c r="J90" s="44"/>
      <c r="L90" s="44"/>
      <c r="N90" s="44"/>
      <c r="O90" s="44"/>
      <c r="P90" s="44"/>
      <c r="Q90" s="44"/>
      <c r="R90" s="44"/>
      <c r="T90" s="41">
        <f t="shared" ref="T90:T95" si="0">A20</f>
        <v>1</v>
      </c>
      <c r="V90" s="133" t="s">
        <v>376</v>
      </c>
      <c r="W90" s="133" t="s">
        <v>377</v>
      </c>
      <c r="X90" s="42"/>
      <c r="Y90" s="1"/>
      <c r="Z90" s="1"/>
      <c r="AA90" s="324"/>
      <c r="AB90" s="324"/>
      <c r="AC90" s="309" t="s">
        <v>328</v>
      </c>
      <c r="AD90" s="324"/>
      <c r="AE90" s="324"/>
      <c r="AF90" s="324"/>
      <c r="AG90" s="328"/>
      <c r="AH90" s="324"/>
      <c r="AI90" s="324"/>
      <c r="AJ90" s="324"/>
      <c r="AK90" s="328"/>
      <c r="AL90" s="324"/>
      <c r="AM90" s="324"/>
      <c r="AN90" s="324"/>
      <c r="AO90" s="324"/>
      <c r="AP90" s="324"/>
      <c r="AQ90" s="328"/>
    </row>
    <row r="91" spans="1:43">
      <c r="C91" s="44"/>
      <c r="D91" s="44"/>
      <c r="E91" s="44"/>
      <c r="F91" s="44"/>
      <c r="H91" s="44"/>
      <c r="J91" s="44"/>
      <c r="L91" s="44"/>
      <c r="N91" s="44"/>
      <c r="O91" s="44"/>
      <c r="P91" s="44"/>
      <c r="Q91" s="44"/>
      <c r="R91" s="44"/>
      <c r="T91" s="41">
        <f t="shared" si="0"/>
        <v>2</v>
      </c>
      <c r="V91" s="133" t="s">
        <v>54</v>
      </c>
      <c r="Y91" s="1"/>
      <c r="Z91" s="1"/>
      <c r="AA91" s="1"/>
      <c r="AB91" s="1"/>
      <c r="AC91" s="1"/>
      <c r="AD91" s="1"/>
      <c r="AE91" s="1"/>
      <c r="AF91" s="1"/>
      <c r="AG91" s="103"/>
      <c r="AH91" s="1"/>
      <c r="AI91" s="1"/>
      <c r="AJ91" s="1"/>
      <c r="AK91" s="103"/>
      <c r="AL91" s="1"/>
      <c r="AM91" s="1"/>
      <c r="AN91" s="1"/>
      <c r="AO91" s="1"/>
      <c r="AP91" s="1"/>
      <c r="AQ91" s="103"/>
    </row>
    <row r="92" spans="1:43">
      <c r="H92" s="44"/>
      <c r="J92" s="44"/>
      <c r="L92" s="44"/>
      <c r="N92" s="44"/>
      <c r="O92" s="44"/>
      <c r="P92" s="44"/>
      <c r="Q92" s="44"/>
      <c r="R92" s="44"/>
      <c r="T92" s="41">
        <f t="shared" si="0"/>
        <v>3</v>
      </c>
      <c r="V92" s="133" t="s">
        <v>133</v>
      </c>
      <c r="Y92" s="1"/>
      <c r="Z92" s="1"/>
      <c r="AA92" s="1"/>
      <c r="AB92" s="1"/>
      <c r="AC92" s="1"/>
      <c r="AD92" s="1"/>
      <c r="AE92" s="1"/>
      <c r="AF92" s="1"/>
      <c r="AG92" s="103"/>
      <c r="AH92" s="1"/>
      <c r="AI92" s="1"/>
      <c r="AJ92" s="1"/>
      <c r="AK92" s="103"/>
      <c r="AL92" s="1"/>
      <c r="AM92" s="1"/>
      <c r="AN92" s="1"/>
      <c r="AO92" s="1"/>
      <c r="AP92" s="1"/>
      <c r="AQ92" s="103"/>
    </row>
    <row r="93" spans="1:43">
      <c r="C93" s="42"/>
      <c r="D93" s="42"/>
      <c r="E93" s="42"/>
      <c r="T93" s="41">
        <f t="shared" si="0"/>
        <v>4</v>
      </c>
      <c r="V93" s="42" t="s">
        <v>134</v>
      </c>
      <c r="Y93" s="3">
        <f>F23</f>
        <v>0</v>
      </c>
      <c r="Z93" s="1"/>
      <c r="AA93" s="68"/>
      <c r="AB93" s="68"/>
      <c r="AC93" s="316">
        <f>INPUT!C68</f>
        <v>63.5</v>
      </c>
      <c r="AD93" s="76"/>
      <c r="AE93" s="3">
        <f>ROUND(+Y93*AC93,0)</f>
        <v>0</v>
      </c>
      <c r="AF93" s="1"/>
      <c r="AG93" s="103">
        <f>ROUND((+AE93/$AE$133)*100,1)</f>
        <v>0</v>
      </c>
      <c r="AH93" s="1"/>
      <c r="AI93" s="3">
        <f>L23-AE93</f>
        <v>0</v>
      </c>
      <c r="AJ93" s="3"/>
      <c r="AK93" s="103">
        <f>IF(AE93=0,0,ROUND((AI93/AE93)*100,1))</f>
        <v>0</v>
      </c>
      <c r="AL93" s="6"/>
      <c r="AM93" s="3"/>
      <c r="AN93" s="1"/>
      <c r="AO93" s="3">
        <f>AE93+AM93</f>
        <v>0</v>
      </c>
      <c r="AP93" s="1"/>
      <c r="AQ93" s="116">
        <v>0</v>
      </c>
    </row>
    <row r="94" spans="1:43">
      <c r="C94" s="42"/>
      <c r="T94" s="41">
        <f t="shared" si="0"/>
        <v>5</v>
      </c>
      <c r="V94" s="42" t="s">
        <v>135</v>
      </c>
      <c r="Y94" s="3">
        <f>F24</f>
        <v>458</v>
      </c>
      <c r="Z94" s="1"/>
      <c r="AA94" s="68"/>
      <c r="AB94" s="68"/>
      <c r="AC94" s="316">
        <f>INPUT!C69</f>
        <v>127</v>
      </c>
      <c r="AD94" s="76"/>
      <c r="AE94" s="3">
        <f>ROUND(+Y94*AC94,0)</f>
        <v>58166</v>
      </c>
      <c r="AF94" s="1"/>
      <c r="AG94" s="103">
        <f>ROUND((+AE94/$AE$133)*100,1)</f>
        <v>0.1</v>
      </c>
      <c r="AH94" s="1"/>
      <c r="AI94" s="3">
        <f>L24-AE94</f>
        <v>458</v>
      </c>
      <c r="AJ94" s="3"/>
      <c r="AK94" s="103">
        <f>IF(AE94=0,0,ROUND((AI94/AE94)*100,1))</f>
        <v>0.8</v>
      </c>
      <c r="AL94" s="6"/>
      <c r="AM94" s="3"/>
      <c r="AN94" s="1"/>
      <c r="AO94" s="3">
        <f>AE94+AM94</f>
        <v>58166</v>
      </c>
      <c r="AP94" s="1"/>
      <c r="AQ94" s="104">
        <f>ROUND((+AI94/AO94)*100,1)</f>
        <v>0.8</v>
      </c>
    </row>
    <row r="95" spans="1:43" ht="20.100000000000001" customHeight="1">
      <c r="C95" s="42"/>
      <c r="F95" s="164"/>
      <c r="H95" s="164"/>
      <c r="J95" s="164"/>
      <c r="L95" s="316"/>
      <c r="N95" s="316"/>
      <c r="O95" s="45"/>
      <c r="P95" s="46"/>
      <c r="R95" s="45"/>
      <c r="T95" s="41">
        <f t="shared" si="0"/>
        <v>6</v>
      </c>
      <c r="V95" s="133" t="s">
        <v>136</v>
      </c>
      <c r="Y95" s="72">
        <f>F25</f>
        <v>458</v>
      </c>
      <c r="Z95" s="1"/>
      <c r="AA95" s="3"/>
      <c r="AB95" s="3"/>
      <c r="AC95" s="7"/>
      <c r="AD95" s="7"/>
      <c r="AE95" s="72">
        <f>SUM(AE93:AE94)</f>
        <v>58166</v>
      </c>
      <c r="AF95" s="1"/>
      <c r="AG95" s="105">
        <f>ROUND((+AE95/$AE$133)*100,1)</f>
        <v>0.1</v>
      </c>
      <c r="AH95" s="1"/>
      <c r="AI95" s="72">
        <f>SUM(AI93:AI94)</f>
        <v>458</v>
      </c>
      <c r="AJ95" s="3"/>
      <c r="AK95" s="105">
        <f>IF(AE95=0,0,ROUND((AI95/AE95)*100,1))</f>
        <v>0.8</v>
      </c>
      <c r="AL95" s="6"/>
      <c r="AM95" s="72"/>
      <c r="AN95" s="1"/>
      <c r="AO95" s="72">
        <f>SUM(AO93:AO94)</f>
        <v>58166</v>
      </c>
      <c r="AP95" s="1"/>
      <c r="AQ95" s="104">
        <f>ROUND((+AI95/AO95)*100,1)</f>
        <v>0.8</v>
      </c>
    </row>
    <row r="96" spans="1:43">
      <c r="C96" s="42"/>
      <c r="F96" s="164"/>
      <c r="H96" s="164"/>
      <c r="J96" s="164"/>
      <c r="L96" s="316"/>
      <c r="N96" s="316"/>
      <c r="O96" s="45"/>
      <c r="P96" s="46"/>
      <c r="R96" s="45"/>
      <c r="V96" s="42"/>
      <c r="Y96" s="3"/>
      <c r="Z96" s="1"/>
      <c r="AA96" s="3"/>
      <c r="AB96" s="3"/>
      <c r="AC96" s="7"/>
      <c r="AD96" s="7"/>
      <c r="AE96" s="3"/>
      <c r="AF96" s="1"/>
      <c r="AG96" s="103"/>
      <c r="AH96" s="1"/>
      <c r="AI96" s="3"/>
      <c r="AJ96" s="3"/>
      <c r="AK96" s="103"/>
      <c r="AL96" s="6"/>
      <c r="AM96" s="3"/>
      <c r="AN96" s="1"/>
      <c r="AO96" s="3"/>
      <c r="AP96" s="1"/>
      <c r="AQ96" s="103"/>
    </row>
    <row r="97" spans="3:43">
      <c r="C97" s="42"/>
      <c r="F97" s="164"/>
      <c r="H97" s="164"/>
      <c r="J97" s="164"/>
      <c r="L97" s="316"/>
      <c r="N97" s="316"/>
      <c r="O97" s="45"/>
      <c r="P97" s="46"/>
      <c r="R97" s="45"/>
      <c r="T97" s="41">
        <f>A27</f>
        <v>7</v>
      </c>
      <c r="V97" s="133" t="s">
        <v>63</v>
      </c>
      <c r="Y97" s="68"/>
      <c r="Z97" s="1"/>
      <c r="AA97" s="68"/>
      <c r="AB97" s="68"/>
      <c r="AC97" s="340"/>
      <c r="AD97" s="340"/>
      <c r="AE97" s="3"/>
      <c r="AF97" s="1"/>
      <c r="AG97" s="103"/>
      <c r="AH97" s="1"/>
      <c r="AI97" s="3"/>
      <c r="AJ97" s="3"/>
      <c r="AK97" s="103"/>
      <c r="AL97" s="4"/>
      <c r="AM97" s="3"/>
      <c r="AN97" s="1"/>
      <c r="AO97" s="3"/>
      <c r="AP97" s="1"/>
      <c r="AQ97" s="103"/>
    </row>
    <row r="98" spans="3:43">
      <c r="F98" s="50"/>
      <c r="H98" s="45"/>
      <c r="J98" s="45"/>
      <c r="L98" s="326"/>
      <c r="N98" s="326"/>
      <c r="O98" s="50"/>
      <c r="P98" s="50"/>
      <c r="Q98" s="50"/>
      <c r="R98" s="50"/>
      <c r="T98" s="41">
        <f>A28</f>
        <v>8</v>
      </c>
      <c r="V98" s="42" t="s">
        <v>64</v>
      </c>
      <c r="Y98" s="68"/>
      <c r="Z98" s="1"/>
      <c r="AA98" s="3">
        <f>H28</f>
        <v>429404</v>
      </c>
      <c r="AB98" s="3"/>
      <c r="AC98" s="76">
        <f>CUR_DT_SUM_PEAK_ON</f>
        <v>14.71</v>
      </c>
      <c r="AD98" s="76"/>
      <c r="AE98" s="3">
        <f>ROUND(+AA98*AC98,0)</f>
        <v>6316533</v>
      </c>
      <c r="AF98" s="1"/>
      <c r="AG98" s="103">
        <f>ROUND((+AE98/$AE$133)*100,1)</f>
        <v>10.7</v>
      </c>
      <c r="AH98" s="1"/>
      <c r="AI98" s="3">
        <f>L28-AE98</f>
        <v>867396</v>
      </c>
      <c r="AJ98" s="3"/>
      <c r="AK98" s="103">
        <f>IF(AE98=0,0,ROUND((AI98/AE98)*100,1))</f>
        <v>13.7</v>
      </c>
      <c r="AL98" s="6"/>
      <c r="AM98" s="3"/>
      <c r="AN98" s="1"/>
      <c r="AO98" s="3">
        <f>AE98+AM98</f>
        <v>6316533</v>
      </c>
      <c r="AP98" s="1"/>
      <c r="AQ98" s="103">
        <f>ROUND((+AI98/AO98)*100,1)</f>
        <v>13.7</v>
      </c>
    </row>
    <row r="99" spans="3:43">
      <c r="C99" s="42"/>
      <c r="F99" s="45"/>
      <c r="H99" s="45"/>
      <c r="J99" s="45"/>
      <c r="L99" s="326"/>
      <c r="N99" s="326"/>
      <c r="O99" s="45"/>
      <c r="P99" s="46"/>
      <c r="Q99" s="45"/>
      <c r="R99" s="45"/>
      <c r="T99" s="41">
        <f>A29</f>
        <v>9</v>
      </c>
      <c r="V99" s="42" t="s">
        <v>65</v>
      </c>
      <c r="Y99" s="68"/>
      <c r="Z99" s="1"/>
      <c r="AA99" s="3">
        <f>H29</f>
        <v>5222</v>
      </c>
      <c r="AB99" s="3"/>
      <c r="AC99" s="76">
        <f>CUR_DT_SUM_PK_OFF</f>
        <v>1.32</v>
      </c>
      <c r="AD99" s="76"/>
      <c r="AE99" s="3">
        <f>ROUND(+AA99*AC99,0)</f>
        <v>6893</v>
      </c>
      <c r="AF99" s="1"/>
      <c r="AG99" s="103">
        <f>ROUND((+AE99/$AE$133)*100,1)</f>
        <v>0</v>
      </c>
      <c r="AH99" s="1"/>
      <c r="AI99" s="3">
        <f>L29-AE99</f>
        <v>940</v>
      </c>
      <c r="AJ99" s="3"/>
      <c r="AK99" s="103">
        <f>IF(AE99=0,0,ROUND((AI99/AE99)*100,1))</f>
        <v>13.6</v>
      </c>
      <c r="AL99" s="6"/>
      <c r="AM99" s="3"/>
      <c r="AN99" s="1"/>
      <c r="AO99" s="3">
        <f>AE99+AM99</f>
        <v>6893</v>
      </c>
      <c r="AP99" s="1"/>
      <c r="AQ99" s="103">
        <f>ROUND((+AI99/AO99)*100,1)</f>
        <v>13.6</v>
      </c>
    </row>
    <row r="100" spans="3:43">
      <c r="C100" s="42"/>
      <c r="F100" s="45"/>
      <c r="H100" s="45"/>
      <c r="J100" s="45"/>
      <c r="L100" s="326"/>
      <c r="N100" s="326"/>
      <c r="O100" s="45"/>
      <c r="P100" s="46"/>
      <c r="Q100" s="45"/>
      <c r="R100" s="45"/>
      <c r="T100" s="41">
        <f>A30</f>
        <v>10</v>
      </c>
      <c r="V100" s="42" t="s">
        <v>974</v>
      </c>
      <c r="Y100" s="68"/>
      <c r="Z100" s="1"/>
      <c r="AA100" s="66">
        <f>AA98+AA99</f>
        <v>434626</v>
      </c>
      <c r="AB100" s="3"/>
      <c r="AC100" s="76">
        <f>INPUT!$C$82</f>
        <v>6.07</v>
      </c>
      <c r="AD100" s="76"/>
      <c r="AE100" s="3">
        <f>ROUND(+AA100*AC100,0)</f>
        <v>2638180</v>
      </c>
      <c r="AF100" s="1"/>
      <c r="AG100" s="103">
        <f>ROUND((+AE100/$AE$133)*100,1)</f>
        <v>4.5</v>
      </c>
      <c r="AH100" s="1"/>
      <c r="AI100" s="3">
        <f>L30-AE100</f>
        <v>738864</v>
      </c>
      <c r="AJ100" s="3"/>
      <c r="AK100" s="104">
        <f>IF(AE100=0,0,ROUND((AI100/AE100)*100,1))</f>
        <v>28</v>
      </c>
      <c r="AL100" s="6"/>
      <c r="AM100" s="3"/>
      <c r="AN100" s="1"/>
      <c r="AO100" s="3">
        <f>AE100+AM100</f>
        <v>2638180</v>
      </c>
      <c r="AP100" s="1"/>
      <c r="AQ100" s="104">
        <f>ROUND((+AI100/AO100)*100,1)</f>
        <v>28</v>
      </c>
    </row>
    <row r="101" spans="3:43" ht="20.100000000000001" customHeight="1">
      <c r="C101" s="42"/>
      <c r="F101" s="164"/>
      <c r="H101" s="164"/>
      <c r="J101" s="164"/>
      <c r="L101" s="336"/>
      <c r="N101" s="336"/>
      <c r="O101" s="45"/>
      <c r="P101" s="46"/>
      <c r="Q101" s="45"/>
      <c r="R101" s="45"/>
      <c r="S101" s="45"/>
      <c r="T101" s="41">
        <f>A31</f>
        <v>11</v>
      </c>
      <c r="V101" s="133" t="s">
        <v>66</v>
      </c>
      <c r="Y101" s="3"/>
      <c r="Z101" s="1"/>
      <c r="AA101" s="72">
        <f>H31</f>
        <v>434626</v>
      </c>
      <c r="AB101" s="3"/>
      <c r="AC101" s="314"/>
      <c r="AD101" s="314"/>
      <c r="AE101" s="72">
        <f>SUM(AE98:AE100)</f>
        <v>8961606</v>
      </c>
      <c r="AF101" s="1"/>
      <c r="AG101" s="105">
        <f>ROUND((+AE101/$AE$133)*100,1)</f>
        <v>15.2</v>
      </c>
      <c r="AH101" s="1"/>
      <c r="AI101" s="72">
        <f>SUM(AI98:AI100)</f>
        <v>1607200</v>
      </c>
      <c r="AJ101" s="3"/>
      <c r="AK101" s="105">
        <f>IF(AE101=0,0,ROUND((AI101/AE101)*100,1))</f>
        <v>17.899999999999999</v>
      </c>
      <c r="AL101" s="6"/>
      <c r="AM101" s="72"/>
      <c r="AN101" s="1"/>
      <c r="AO101" s="72">
        <f>SUM(AO98:AO100)</f>
        <v>8961606</v>
      </c>
      <c r="AP101" s="1"/>
      <c r="AQ101" s="104">
        <f>ROUND((+AI101/AO101)*100,1)</f>
        <v>17.899999999999999</v>
      </c>
    </row>
    <row r="102" spans="3:43">
      <c r="C102" s="42"/>
      <c r="F102" s="164"/>
      <c r="H102" s="164"/>
      <c r="J102" s="164"/>
      <c r="L102" s="336"/>
      <c r="N102" s="336"/>
      <c r="O102" s="45"/>
      <c r="P102" s="46"/>
      <c r="Q102" s="45"/>
      <c r="R102" s="45"/>
      <c r="S102" s="45"/>
      <c r="V102" s="42"/>
      <c r="Y102" s="3"/>
      <c r="Z102" s="1"/>
      <c r="AA102" s="3"/>
      <c r="AB102" s="3"/>
      <c r="AC102" s="314"/>
      <c r="AD102" s="314"/>
      <c r="AE102" s="3"/>
      <c r="AF102" s="1"/>
      <c r="AG102" s="103"/>
      <c r="AH102" s="1"/>
      <c r="AI102" s="3"/>
      <c r="AJ102" s="3"/>
      <c r="AK102" s="103"/>
      <c r="AL102" s="6"/>
      <c r="AM102" s="3"/>
      <c r="AN102" s="1"/>
      <c r="AO102" s="3"/>
      <c r="AP102" s="1"/>
      <c r="AQ102" s="103"/>
    </row>
    <row r="103" spans="3:43">
      <c r="C103" s="42"/>
      <c r="H103" s="164"/>
      <c r="J103" s="164"/>
      <c r="L103" s="132"/>
      <c r="N103" s="132"/>
      <c r="O103" s="45"/>
      <c r="P103" s="46"/>
      <c r="Q103" s="45"/>
      <c r="R103" s="45"/>
      <c r="T103" s="41">
        <f>A33</f>
        <v>12</v>
      </c>
      <c r="V103" s="310" t="s">
        <v>371</v>
      </c>
      <c r="Y103" s="3"/>
      <c r="Z103" s="1"/>
      <c r="AA103" s="3"/>
      <c r="AB103" s="3"/>
      <c r="AC103" s="7"/>
      <c r="AD103" s="7"/>
      <c r="AE103" s="3"/>
      <c r="AF103" s="1"/>
      <c r="AG103" s="103"/>
      <c r="AH103" s="1"/>
      <c r="AI103" s="3"/>
      <c r="AJ103" s="3"/>
      <c r="AK103" s="103"/>
      <c r="AL103" s="6"/>
      <c r="AM103" s="3"/>
      <c r="AN103" s="1"/>
      <c r="AO103" s="3"/>
      <c r="AP103" s="1"/>
      <c r="AQ103" s="103"/>
    </row>
    <row r="104" spans="3:43">
      <c r="C104" s="42"/>
      <c r="H104" s="164"/>
      <c r="J104" s="164"/>
      <c r="L104" s="132"/>
      <c r="N104" s="132"/>
      <c r="O104" s="45"/>
      <c r="P104" s="46"/>
      <c r="Q104" s="45"/>
      <c r="R104" s="45"/>
      <c r="T104" s="41">
        <f>A34</f>
        <v>13</v>
      </c>
      <c r="V104" s="42" t="s">
        <v>383</v>
      </c>
      <c r="Y104" s="3"/>
      <c r="Z104" s="1"/>
      <c r="AA104" s="3">
        <f>H34</f>
        <v>63597049</v>
      </c>
      <c r="AB104" s="3"/>
      <c r="AC104" s="153">
        <f>CUR_DT_SUM_E_ON</f>
        <v>5.6746999999999999E-2</v>
      </c>
      <c r="AD104" s="319"/>
      <c r="AE104" s="3">
        <f>ROUND((+AA104*AC104),0)-AM104</f>
        <v>3608942</v>
      </c>
      <c r="AF104" s="1"/>
      <c r="AG104" s="103">
        <f>ROUND((+AE104/$AE$133)*100,1)</f>
        <v>6.1</v>
      </c>
      <c r="AH104" s="1"/>
      <c r="AI104" s="3">
        <f>L34-AE104</f>
        <v>494848</v>
      </c>
      <c r="AJ104" s="3"/>
      <c r="AK104" s="103">
        <f>IF(AE104=0,0,ROUND((AI104/AE104)*100,1))</f>
        <v>13.7</v>
      </c>
      <c r="AL104" s="6"/>
      <c r="AM104" s="3"/>
      <c r="AN104" s="1"/>
      <c r="AO104" s="3">
        <f>AE104+AM104</f>
        <v>3608942</v>
      </c>
      <c r="AP104" s="1"/>
      <c r="AQ104" s="103">
        <f>ROUND((+AI104/AO104)*100,1)</f>
        <v>13.7</v>
      </c>
    </row>
    <row r="105" spans="3:43">
      <c r="F105" s="45"/>
      <c r="H105" s="45"/>
      <c r="J105" s="45"/>
      <c r="L105" s="326"/>
      <c r="N105" s="326"/>
      <c r="O105" s="50"/>
      <c r="P105" s="50"/>
      <c r="Q105" s="50"/>
      <c r="R105" s="50"/>
      <c r="T105" s="41">
        <f>A35</f>
        <v>14</v>
      </c>
      <c r="V105" s="42" t="s">
        <v>384</v>
      </c>
      <c r="Y105" s="69"/>
      <c r="Z105" s="1"/>
      <c r="AA105" s="66">
        <f>H35</f>
        <v>152583920</v>
      </c>
      <c r="AB105" s="3"/>
      <c r="AC105" s="153">
        <f>CUR_DT_SUM_E_OFF</f>
        <v>4.8348000000000002E-2</v>
      </c>
      <c r="AD105" s="319"/>
      <c r="AE105" s="66">
        <f>ROUND((+AA105*AC105),0)-AM105</f>
        <v>7377127</v>
      </c>
      <c r="AF105" s="1"/>
      <c r="AG105" s="103">
        <f>ROUND((+AE105/$AE$133)*100,1)</f>
        <v>12.5</v>
      </c>
      <c r="AH105" s="1"/>
      <c r="AI105" s="66">
        <f>L35-AE105</f>
        <v>1011327</v>
      </c>
      <c r="AJ105" s="3"/>
      <c r="AK105" s="104">
        <f>IF(AE105=0,0,ROUND((AI105/AE105)*100,1))</f>
        <v>13.7</v>
      </c>
      <c r="AL105" s="6"/>
      <c r="AM105" s="66"/>
      <c r="AN105" s="1"/>
      <c r="AO105" s="66">
        <f>AE105+AM105</f>
        <v>7377127</v>
      </c>
      <c r="AP105" s="1"/>
      <c r="AQ105" s="104">
        <f>ROUND((+AI105/AO105)*100,1)</f>
        <v>13.7</v>
      </c>
    </row>
    <row r="106" spans="3:43" ht="22.5" customHeight="1">
      <c r="F106" s="45"/>
      <c r="H106" s="45"/>
      <c r="J106" s="45"/>
      <c r="L106" s="326"/>
      <c r="N106" s="326"/>
      <c r="O106" s="50"/>
      <c r="P106" s="50"/>
      <c r="Q106" s="50"/>
      <c r="R106" s="50"/>
      <c r="T106" s="41">
        <f>A36</f>
        <v>15</v>
      </c>
      <c r="V106" s="133" t="s">
        <v>56</v>
      </c>
      <c r="Y106" s="72">
        <f>F36</f>
        <v>458</v>
      </c>
      <c r="Z106" s="1"/>
      <c r="AA106" s="72">
        <f>H36</f>
        <v>216180969</v>
      </c>
      <c r="AB106" s="3"/>
      <c r="AC106" s="314"/>
      <c r="AD106" s="314"/>
      <c r="AE106" s="72">
        <f>AE95+AE101+AE104+AE105</f>
        <v>20005841</v>
      </c>
      <c r="AF106" s="1"/>
      <c r="AG106" s="105">
        <f>ROUND((+AE106/$AE$133)*100,1)</f>
        <v>34</v>
      </c>
      <c r="AH106" s="1"/>
      <c r="AI106" s="72">
        <f>AI95+AI101+AI104+AI105</f>
        <v>3113833</v>
      </c>
      <c r="AJ106" s="3"/>
      <c r="AK106" s="105">
        <f>IF(AE106=0,0,ROUND((AI106/AE106)*100,1))</f>
        <v>15.6</v>
      </c>
      <c r="AL106" s="6"/>
      <c r="AM106" s="72"/>
      <c r="AN106" s="1"/>
      <c r="AO106" s="72">
        <f>AO95+AO101+AO104+AO105</f>
        <v>20005841</v>
      </c>
      <c r="AP106" s="1"/>
      <c r="AQ106" s="104">
        <f>ROUND((+AI106/AO106)*100,1)</f>
        <v>15.6</v>
      </c>
    </row>
    <row r="107" spans="3:43">
      <c r="F107" s="45"/>
      <c r="H107" s="45"/>
      <c r="J107" s="45"/>
      <c r="L107" s="326"/>
      <c r="N107" s="326"/>
      <c r="O107" s="50"/>
      <c r="P107" s="50"/>
      <c r="Q107" s="50"/>
      <c r="R107" s="50"/>
      <c r="V107" s="42"/>
      <c r="Y107" s="3"/>
      <c r="Z107" s="1"/>
      <c r="AA107" s="3"/>
      <c r="AB107" s="3"/>
      <c r="AC107" s="314"/>
      <c r="AD107" s="314"/>
      <c r="AE107" s="3"/>
      <c r="AF107" s="1"/>
      <c r="AG107" s="103"/>
      <c r="AH107" s="1"/>
      <c r="AI107" s="3"/>
      <c r="AJ107" s="3"/>
      <c r="AK107" s="103"/>
      <c r="AL107" s="6"/>
      <c r="AM107" s="3"/>
      <c r="AN107" s="1"/>
      <c r="AO107" s="3"/>
      <c r="AP107" s="1"/>
      <c r="AQ107" s="103"/>
    </row>
    <row r="108" spans="3:43">
      <c r="C108" s="42"/>
      <c r="F108" s="45"/>
      <c r="H108" s="164"/>
      <c r="J108" s="164"/>
      <c r="L108" s="331"/>
      <c r="N108" s="331"/>
      <c r="O108" s="45"/>
      <c r="P108" s="46"/>
      <c r="Q108" s="45"/>
      <c r="R108" s="45"/>
      <c r="T108" s="41">
        <f>A38</f>
        <v>16</v>
      </c>
      <c r="V108" s="133" t="s">
        <v>57</v>
      </c>
      <c r="Y108" s="68"/>
      <c r="Z108" s="1"/>
      <c r="AA108" s="68"/>
      <c r="AB108" s="68"/>
      <c r="AC108" s="314"/>
      <c r="AD108" s="314"/>
      <c r="AE108" s="3"/>
      <c r="AF108" s="1"/>
      <c r="AG108" s="103"/>
      <c r="AH108" s="1"/>
      <c r="AI108" s="3"/>
      <c r="AJ108" s="3"/>
      <c r="AK108" s="103"/>
      <c r="AL108" s="1"/>
      <c r="AM108" s="3"/>
      <c r="AN108" s="1"/>
      <c r="AO108" s="3"/>
      <c r="AP108" s="1"/>
      <c r="AQ108" s="103"/>
    </row>
    <row r="109" spans="3:43">
      <c r="C109" s="42"/>
      <c r="F109" s="45"/>
      <c r="H109" s="45"/>
      <c r="J109" s="45"/>
      <c r="L109" s="326"/>
      <c r="N109" s="326"/>
      <c r="O109" s="45"/>
      <c r="P109" s="46"/>
      <c r="Q109" s="45"/>
      <c r="R109" s="45"/>
      <c r="S109" s="45"/>
      <c r="T109" s="41">
        <f>A39</f>
        <v>17</v>
      </c>
      <c r="V109" s="133" t="s">
        <v>133</v>
      </c>
      <c r="Y109" s="1"/>
      <c r="Z109" s="1"/>
      <c r="AA109" s="1"/>
      <c r="AB109" s="1"/>
      <c r="AC109" s="1"/>
      <c r="AD109" s="1"/>
      <c r="AE109" s="1"/>
      <c r="AF109" s="1"/>
      <c r="AG109" s="103"/>
      <c r="AH109" s="1"/>
      <c r="AI109" s="1"/>
      <c r="AJ109" s="1"/>
      <c r="AK109" s="103"/>
      <c r="AL109" s="1"/>
      <c r="AM109" s="1"/>
      <c r="AN109" s="1"/>
      <c r="AO109" s="1"/>
      <c r="AP109" s="1"/>
      <c r="AQ109" s="103"/>
    </row>
    <row r="110" spans="3:43">
      <c r="F110" s="50"/>
      <c r="H110" s="50"/>
      <c r="J110" s="50"/>
      <c r="L110" s="326"/>
      <c r="N110" s="326"/>
      <c r="O110" s="50"/>
      <c r="P110" s="50"/>
      <c r="Q110" s="50"/>
      <c r="R110" s="50"/>
      <c r="S110" s="45"/>
      <c r="T110" s="41">
        <f>A40</f>
        <v>18</v>
      </c>
      <c r="V110" s="42" t="s">
        <v>134</v>
      </c>
      <c r="Y110" s="3">
        <f>F40</f>
        <v>0</v>
      </c>
      <c r="Z110" s="1"/>
      <c r="AA110" s="68"/>
      <c r="AB110" s="68"/>
      <c r="AC110" s="76">
        <f>AC93</f>
        <v>63.5</v>
      </c>
      <c r="AD110" s="76"/>
      <c r="AE110" s="3">
        <f>ROUND(+Y110*AC110,0)</f>
        <v>0</v>
      </c>
      <c r="AF110" s="1"/>
      <c r="AG110" s="103">
        <f>ROUND((+AE110/$AE$133)*100,1)</f>
        <v>0</v>
      </c>
      <c r="AH110" s="1"/>
      <c r="AI110" s="3">
        <f>L40-AE110</f>
        <v>0</v>
      </c>
      <c r="AJ110" s="3"/>
      <c r="AK110" s="103">
        <f>IF(AE110=0,0,ROUND((AI110/AE110)*100,1))</f>
        <v>0</v>
      </c>
      <c r="AL110" s="6"/>
      <c r="AM110" s="3"/>
      <c r="AN110" s="1"/>
      <c r="AO110" s="3">
        <f>AE110+AM110</f>
        <v>0</v>
      </c>
      <c r="AP110" s="1"/>
      <c r="AQ110" s="116">
        <v>0</v>
      </c>
    </row>
    <row r="111" spans="3:43">
      <c r="C111" s="42"/>
      <c r="F111" s="164"/>
      <c r="H111" s="337"/>
      <c r="J111" s="337"/>
      <c r="L111" s="326"/>
      <c r="N111" s="326"/>
      <c r="O111" s="45"/>
      <c r="P111" s="46"/>
      <c r="Q111" s="45"/>
      <c r="R111" s="45"/>
      <c r="S111" s="45"/>
      <c r="T111" s="41">
        <f>A41</f>
        <v>19</v>
      </c>
      <c r="V111" s="42" t="s">
        <v>135</v>
      </c>
      <c r="Y111" s="3">
        <f>F41</f>
        <v>905</v>
      </c>
      <c r="Z111" s="1"/>
      <c r="AA111" s="68"/>
      <c r="AB111" s="68"/>
      <c r="AC111" s="76">
        <f>AC94</f>
        <v>127</v>
      </c>
      <c r="AD111" s="76"/>
      <c r="AE111" s="3">
        <f>ROUND(+Y111*AC111,0)</f>
        <v>114935</v>
      </c>
      <c r="AF111" s="1"/>
      <c r="AG111" s="103">
        <f>ROUND((+AE111/$AE$133)*100,1)</f>
        <v>0.2</v>
      </c>
      <c r="AH111" s="1"/>
      <c r="AI111" s="3">
        <f>L41-AE111</f>
        <v>905</v>
      </c>
      <c r="AJ111" s="3"/>
      <c r="AK111" s="103">
        <f>IF(AE111=0,0,ROUND((AI111/AE111)*100,1))</f>
        <v>0.8</v>
      </c>
      <c r="AL111" s="6"/>
      <c r="AM111" s="3"/>
      <c r="AN111" s="1"/>
      <c r="AO111" s="3">
        <f>AE111+AM111</f>
        <v>114935</v>
      </c>
      <c r="AP111" s="1"/>
      <c r="AQ111" s="104">
        <f>ROUND((+AI111/AO111)*100,1)</f>
        <v>0.8</v>
      </c>
    </row>
    <row r="112" spans="3:43" ht="20.100000000000001" customHeight="1">
      <c r="C112" s="42"/>
      <c r="F112" s="164"/>
      <c r="H112" s="164"/>
      <c r="J112" s="164"/>
      <c r="L112" s="316"/>
      <c r="N112" s="316"/>
      <c r="O112" s="45"/>
      <c r="P112" s="46"/>
      <c r="R112" s="45"/>
      <c r="T112" s="41">
        <f>A42</f>
        <v>20</v>
      </c>
      <c r="V112" s="133" t="s">
        <v>136</v>
      </c>
      <c r="Y112" s="72">
        <f>F42</f>
        <v>905</v>
      </c>
      <c r="Z112" s="1"/>
      <c r="AA112" s="3"/>
      <c r="AB112" s="3"/>
      <c r="AC112" s="314"/>
      <c r="AD112" s="314"/>
      <c r="AE112" s="72">
        <f>SUM(AE110:AE111)</f>
        <v>114935</v>
      </c>
      <c r="AF112" s="1"/>
      <c r="AG112" s="105">
        <f>ROUND((+AE112/$AE$133)*100,1)</f>
        <v>0.2</v>
      </c>
      <c r="AH112" s="1"/>
      <c r="AI112" s="72">
        <f>SUM(AI110:AI111)</f>
        <v>905</v>
      </c>
      <c r="AJ112" s="3"/>
      <c r="AK112" s="105">
        <f>IF(AE112=0,0,ROUND((AI112/AE112)*100,1))</f>
        <v>0.8</v>
      </c>
      <c r="AL112" s="6"/>
      <c r="AM112" s="72"/>
      <c r="AN112" s="1"/>
      <c r="AO112" s="72">
        <f>SUM(AO110:AO111)</f>
        <v>114935</v>
      </c>
      <c r="AP112" s="1"/>
      <c r="AQ112" s="104">
        <f>ROUND((+AI112/AO112)*100,1)</f>
        <v>0.8</v>
      </c>
    </row>
    <row r="113" spans="3:43">
      <c r="C113" s="42"/>
      <c r="F113" s="164"/>
      <c r="H113" s="164"/>
      <c r="J113" s="164"/>
      <c r="L113" s="316"/>
      <c r="N113" s="316"/>
      <c r="O113" s="45"/>
      <c r="P113" s="46"/>
      <c r="R113" s="45"/>
      <c r="V113" s="42"/>
      <c r="Y113" s="3"/>
      <c r="Z113" s="1"/>
      <c r="AA113" s="3"/>
      <c r="AB113" s="3"/>
      <c r="AC113" s="314"/>
      <c r="AD113" s="314"/>
      <c r="AE113" s="3"/>
      <c r="AF113" s="1"/>
      <c r="AG113" s="103"/>
      <c r="AH113" s="1"/>
      <c r="AI113" s="3"/>
      <c r="AJ113" s="3"/>
      <c r="AK113" s="103"/>
      <c r="AL113" s="6"/>
      <c r="AM113" s="3"/>
      <c r="AN113" s="1"/>
      <c r="AO113" s="3"/>
      <c r="AP113" s="1"/>
      <c r="AQ113" s="103"/>
    </row>
    <row r="114" spans="3:43">
      <c r="C114" s="42"/>
      <c r="F114" s="164"/>
      <c r="H114" s="164"/>
      <c r="J114" s="164"/>
      <c r="L114" s="316"/>
      <c r="N114" s="316"/>
      <c r="O114" s="45"/>
      <c r="P114" s="46"/>
      <c r="R114" s="45"/>
      <c r="T114" s="41">
        <f>A44</f>
        <v>21</v>
      </c>
      <c r="V114" s="133" t="s">
        <v>63</v>
      </c>
      <c r="Y114" s="68"/>
      <c r="Z114" s="1"/>
      <c r="AA114" s="68"/>
      <c r="AB114" s="68"/>
      <c r="AC114" s="340"/>
      <c r="AD114" s="340"/>
      <c r="AE114" s="3"/>
      <c r="AF114" s="1"/>
      <c r="AG114" s="103"/>
      <c r="AH114" s="1"/>
      <c r="AI114" s="3"/>
      <c r="AJ114" s="3"/>
      <c r="AK114" s="103"/>
      <c r="AL114" s="4"/>
      <c r="AM114" s="3"/>
      <c r="AN114" s="1"/>
      <c r="AO114" s="3"/>
      <c r="AP114" s="1"/>
      <c r="AQ114" s="103"/>
    </row>
    <row r="115" spans="3:43">
      <c r="F115" s="50"/>
      <c r="H115" s="45"/>
      <c r="J115" s="45"/>
      <c r="L115" s="326"/>
      <c r="N115" s="326"/>
      <c r="O115" s="50"/>
      <c r="P115" s="50"/>
      <c r="Q115" s="50"/>
      <c r="R115" s="50"/>
      <c r="T115" s="41">
        <f>A45</f>
        <v>22</v>
      </c>
      <c r="V115" s="42" t="s">
        <v>64</v>
      </c>
      <c r="Y115" s="68"/>
      <c r="Z115" s="1"/>
      <c r="AA115" s="3">
        <f>H45</f>
        <v>778656</v>
      </c>
      <c r="AB115" s="3"/>
      <c r="AC115" s="76">
        <f>CUR_DT_WIN_PEAK_ON</f>
        <v>13.92</v>
      </c>
      <c r="AD115" s="76"/>
      <c r="AE115" s="3">
        <f>ROUND(+AA115*AC115,0)</f>
        <v>10838892</v>
      </c>
      <c r="AF115" s="1"/>
      <c r="AG115" s="103">
        <f>ROUND((+AE115/$AE$133)*100,1)</f>
        <v>18.399999999999999</v>
      </c>
      <c r="AH115" s="1"/>
      <c r="AI115" s="3">
        <f>L45-AE115</f>
        <v>1487232</v>
      </c>
      <c r="AJ115" s="3"/>
      <c r="AK115" s="103">
        <f>IF(AE115=0,0,ROUND((AI115/AE115)*100,1))</f>
        <v>13.7</v>
      </c>
      <c r="AL115" s="6"/>
      <c r="AM115" s="3"/>
      <c r="AN115" s="1"/>
      <c r="AO115" s="3">
        <f>AE115+AM115</f>
        <v>10838892</v>
      </c>
      <c r="AP115" s="1"/>
      <c r="AQ115" s="103">
        <f>ROUND((+AI115/AO115)*100,1)</f>
        <v>13.7</v>
      </c>
    </row>
    <row r="116" spans="3:43">
      <c r="C116" s="42"/>
      <c r="F116" s="45"/>
      <c r="H116" s="45"/>
      <c r="J116" s="45"/>
      <c r="L116" s="326"/>
      <c r="N116" s="326"/>
      <c r="O116" s="45"/>
      <c r="P116" s="46"/>
      <c r="Q116" s="45"/>
      <c r="R116" s="45"/>
      <c r="T116" s="41">
        <f>A46</f>
        <v>23</v>
      </c>
      <c r="V116" s="42" t="s">
        <v>65</v>
      </c>
      <c r="Y116" s="68"/>
      <c r="Z116" s="1"/>
      <c r="AA116" s="3">
        <f>H46</f>
        <v>15182</v>
      </c>
      <c r="AB116" s="3"/>
      <c r="AC116" s="76">
        <f>CUR_DT_WIN_PK_OFF</f>
        <v>1.32</v>
      </c>
      <c r="AD116" s="76"/>
      <c r="AE116" s="3">
        <f>ROUND(+AA116*AC116,0)</f>
        <v>20040</v>
      </c>
      <c r="AF116" s="1"/>
      <c r="AG116" s="103">
        <f>ROUND((+AE116/$AE$133)*100,1)</f>
        <v>0</v>
      </c>
      <c r="AH116" s="1"/>
      <c r="AI116" s="3">
        <f>L46-AE116</f>
        <v>2733</v>
      </c>
      <c r="AJ116" s="3"/>
      <c r="AK116" s="103">
        <f>IF(AE116=0,0,ROUND((AI116/AE116)*100,1))</f>
        <v>13.6</v>
      </c>
      <c r="AL116" s="6"/>
      <c r="AM116" s="3"/>
      <c r="AN116" s="1"/>
      <c r="AO116" s="3">
        <f>AE116+AM116</f>
        <v>20040</v>
      </c>
      <c r="AP116" s="1"/>
      <c r="AQ116" s="103">
        <f>ROUND((+AI116/AO116)*100,1)</f>
        <v>13.6</v>
      </c>
    </row>
    <row r="117" spans="3:43">
      <c r="C117" s="42"/>
      <c r="F117" s="45"/>
      <c r="H117" s="45"/>
      <c r="J117" s="45"/>
      <c r="L117" s="326"/>
      <c r="N117" s="326"/>
      <c r="O117" s="45"/>
      <c r="P117" s="46"/>
      <c r="Q117" s="45"/>
      <c r="R117" s="45"/>
      <c r="T117" s="41">
        <f>A47</f>
        <v>24</v>
      </c>
      <c r="V117" s="42" t="s">
        <v>974</v>
      </c>
      <c r="Y117" s="68"/>
      <c r="Z117" s="1"/>
      <c r="AA117" s="3">
        <f>AA115+AA116</f>
        <v>793838</v>
      </c>
      <c r="AB117" s="3"/>
      <c r="AC117" s="76">
        <f>AC100</f>
        <v>6.07</v>
      </c>
      <c r="AD117" s="76"/>
      <c r="AE117" s="3">
        <f>ROUND(+AA117*AC117,0)</f>
        <v>4818597</v>
      </c>
      <c r="AF117" s="1"/>
      <c r="AG117" s="103">
        <f>ROUND((+AE117/$AE$133)*100,1)</f>
        <v>8.1999999999999993</v>
      </c>
      <c r="AH117" s="1"/>
      <c r="AI117" s="3">
        <f>L47-AE117</f>
        <v>1349524</v>
      </c>
      <c r="AJ117" s="3"/>
      <c r="AK117" s="104">
        <f>IF(AE117=0,0,ROUND((AI117/AE117)*100,1))</f>
        <v>28</v>
      </c>
      <c r="AL117" s="6"/>
      <c r="AM117" s="3"/>
      <c r="AN117" s="1"/>
      <c r="AO117" s="3">
        <f>AE117+AM117</f>
        <v>4818597</v>
      </c>
      <c r="AP117" s="1"/>
      <c r="AQ117" s="104">
        <f>ROUND((+AI117/AO117)*100,1)</f>
        <v>28</v>
      </c>
    </row>
    <row r="118" spans="3:43" ht="20.100000000000001" customHeight="1">
      <c r="C118" s="42"/>
      <c r="F118" s="164"/>
      <c r="H118" s="164"/>
      <c r="J118" s="164"/>
      <c r="L118" s="336"/>
      <c r="N118" s="336"/>
      <c r="O118" s="45"/>
      <c r="P118" s="46"/>
      <c r="Q118" s="45"/>
      <c r="R118" s="45"/>
      <c r="S118" s="45"/>
      <c r="T118" s="41">
        <f>A48</f>
        <v>25</v>
      </c>
      <c r="V118" s="133" t="s">
        <v>66</v>
      </c>
      <c r="Y118" s="3"/>
      <c r="Z118" s="1"/>
      <c r="AA118" s="72">
        <f>H48</f>
        <v>793838</v>
      </c>
      <c r="AB118" s="3"/>
      <c r="AC118" s="314"/>
      <c r="AD118" s="314"/>
      <c r="AE118" s="72">
        <f>SUM(AE115:AE117)</f>
        <v>15677529</v>
      </c>
      <c r="AF118" s="1"/>
      <c r="AG118" s="105">
        <f>ROUND((+AE118/$AE$133)*100,1)</f>
        <v>26.6</v>
      </c>
      <c r="AH118" s="1"/>
      <c r="AI118" s="72">
        <f>SUM(AI115:AI117)</f>
        <v>2839489</v>
      </c>
      <c r="AJ118" s="3"/>
      <c r="AK118" s="105">
        <f>IF(AE118=0,0,ROUND((AI118/AE118)*100,1))</f>
        <v>18.100000000000001</v>
      </c>
      <c r="AL118" s="6"/>
      <c r="AM118" s="72"/>
      <c r="AN118" s="1"/>
      <c r="AO118" s="72">
        <f>SUM(AO115:AO117)</f>
        <v>15677529</v>
      </c>
      <c r="AP118" s="1"/>
      <c r="AQ118" s="104">
        <f>ROUND((+AI118/AO118)*100,1)</f>
        <v>18.100000000000001</v>
      </c>
    </row>
    <row r="119" spans="3:43">
      <c r="C119" s="42"/>
      <c r="F119" s="164"/>
      <c r="H119" s="164"/>
      <c r="J119" s="164"/>
      <c r="L119" s="336"/>
      <c r="N119" s="336"/>
      <c r="O119" s="45"/>
      <c r="P119" s="46"/>
      <c r="Q119" s="45"/>
      <c r="R119" s="45"/>
      <c r="S119" s="45"/>
      <c r="V119" s="42"/>
      <c r="Y119" s="3"/>
      <c r="Z119" s="1"/>
      <c r="AA119" s="3"/>
      <c r="AB119" s="3"/>
      <c r="AC119" s="314"/>
      <c r="AD119" s="314"/>
      <c r="AE119" s="3"/>
      <c r="AF119" s="1"/>
      <c r="AG119" s="103"/>
      <c r="AH119" s="1"/>
      <c r="AI119" s="3"/>
      <c r="AJ119" s="3"/>
      <c r="AK119" s="103"/>
      <c r="AL119" s="6"/>
      <c r="AM119" s="3"/>
      <c r="AN119" s="1"/>
      <c r="AO119" s="3"/>
      <c r="AP119" s="1"/>
      <c r="AQ119" s="103"/>
    </row>
    <row r="120" spans="3:43">
      <c r="C120" s="42"/>
      <c r="H120" s="164"/>
      <c r="J120" s="164"/>
      <c r="L120" s="132"/>
      <c r="N120" s="132"/>
      <c r="O120" s="45"/>
      <c r="P120" s="46"/>
      <c r="Q120" s="45"/>
      <c r="R120" s="45"/>
      <c r="T120" s="41">
        <f>A50</f>
        <v>26</v>
      </c>
      <c r="V120" s="310" t="s">
        <v>371</v>
      </c>
      <c r="Y120" s="3"/>
      <c r="Z120" s="1"/>
      <c r="AA120" s="3"/>
      <c r="AB120" s="3"/>
      <c r="AC120" s="7"/>
      <c r="AD120" s="7"/>
      <c r="AE120" s="3"/>
      <c r="AF120" s="1"/>
      <c r="AG120" s="103"/>
      <c r="AH120" s="1"/>
      <c r="AI120" s="3"/>
      <c r="AJ120" s="3"/>
      <c r="AK120" s="103"/>
      <c r="AL120" s="6"/>
      <c r="AM120" s="3"/>
      <c r="AN120" s="1"/>
      <c r="AO120" s="3"/>
      <c r="AP120" s="1"/>
      <c r="AQ120" s="103"/>
    </row>
    <row r="121" spans="3:43">
      <c r="C121" s="42"/>
      <c r="H121" s="164"/>
      <c r="J121" s="164"/>
      <c r="L121" s="132"/>
      <c r="N121" s="132"/>
      <c r="O121" s="45"/>
      <c r="P121" s="46"/>
      <c r="Q121" s="45"/>
      <c r="R121" s="45"/>
      <c r="T121" s="41">
        <f>A51</f>
        <v>27</v>
      </c>
      <c r="V121" s="42" t="s">
        <v>383</v>
      </c>
      <c r="Y121" s="68"/>
      <c r="Z121" s="1"/>
      <c r="AA121" s="3">
        <f>H51</f>
        <v>109435196</v>
      </c>
      <c r="AB121" s="3"/>
      <c r="AC121" s="155">
        <f>CUR_DT_WIN_E_ON</f>
        <v>5.4640000000000001E-2</v>
      </c>
      <c r="AD121" s="319"/>
      <c r="AE121" s="3">
        <f>ROUND((+AA121*AC121),0)-AM121</f>
        <v>5979539</v>
      </c>
      <c r="AF121" s="1"/>
      <c r="AG121" s="103">
        <f>ROUND((+AE121/$AE$133)*100,1)</f>
        <v>10.199999999999999</v>
      </c>
      <c r="AH121" s="1"/>
      <c r="AI121" s="3">
        <f>L51-AE121</f>
        <v>819998</v>
      </c>
      <c r="AJ121" s="3"/>
      <c r="AK121" s="103">
        <f>IF(AE121=0,0,ROUND((AI121/AE121)*100,1))</f>
        <v>13.7</v>
      </c>
      <c r="AL121" s="6"/>
      <c r="AM121" s="3"/>
      <c r="AN121" s="1"/>
      <c r="AO121" s="3">
        <f>AE121+AM121</f>
        <v>5979539</v>
      </c>
      <c r="AP121" s="1"/>
      <c r="AQ121" s="103">
        <f>ROUND((+AI121/AO121)*100,1)</f>
        <v>13.7</v>
      </c>
    </row>
    <row r="122" spans="3:43">
      <c r="F122" s="45"/>
      <c r="H122" s="45"/>
      <c r="J122" s="45"/>
      <c r="L122" s="326"/>
      <c r="N122" s="326"/>
      <c r="O122" s="50"/>
      <c r="P122" s="50"/>
      <c r="Q122" s="50"/>
      <c r="R122" s="50"/>
      <c r="T122" s="41">
        <f>A52</f>
        <v>28</v>
      </c>
      <c r="V122" s="42" t="s">
        <v>384</v>
      </c>
      <c r="Y122" s="69"/>
      <c r="Z122" s="1"/>
      <c r="AA122" s="66">
        <f>H52</f>
        <v>274429684</v>
      </c>
      <c r="AB122" s="3"/>
      <c r="AC122" s="155">
        <f>'Rate DT-Pri'!AC126</f>
        <v>4.8348000000000002E-2</v>
      </c>
      <c r="AD122" s="319"/>
      <c r="AE122" s="66">
        <f>ROUND((+AA122*AC122),0)-AM122</f>
        <v>13268126</v>
      </c>
      <c r="AF122" s="1"/>
      <c r="AG122" s="103">
        <f>ROUND((+AE122/$AE$133)*100,1)</f>
        <v>22.5</v>
      </c>
      <c r="AH122" s="1"/>
      <c r="AI122" s="66">
        <f>L52-AE122</f>
        <v>1818920</v>
      </c>
      <c r="AJ122" s="3"/>
      <c r="AK122" s="104">
        <f>IF(AE122=0,0,ROUND((AI122/AE122)*100,1))</f>
        <v>13.7</v>
      </c>
      <c r="AL122" s="6"/>
      <c r="AM122" s="66"/>
      <c r="AN122" s="1"/>
      <c r="AO122" s="66">
        <f>AE122+AM122</f>
        <v>13268126</v>
      </c>
      <c r="AP122" s="1"/>
      <c r="AQ122" s="104">
        <f>ROUND((+AI122/AO122)*100,1)</f>
        <v>13.7</v>
      </c>
    </row>
    <row r="123" spans="3:43" ht="22.5" customHeight="1">
      <c r="F123" s="45"/>
      <c r="H123" s="45"/>
      <c r="J123" s="45"/>
      <c r="L123" s="326"/>
      <c r="N123" s="326"/>
      <c r="O123" s="50"/>
      <c r="P123" s="50"/>
      <c r="Q123" s="50"/>
      <c r="R123" s="50"/>
      <c r="T123" s="41">
        <f>A53</f>
        <v>29</v>
      </c>
      <c r="V123" s="133" t="s">
        <v>58</v>
      </c>
      <c r="Y123" s="72">
        <f>F53</f>
        <v>905</v>
      </c>
      <c r="Z123" s="1"/>
      <c r="AA123" s="72">
        <f>H53</f>
        <v>383864880</v>
      </c>
      <c r="AB123" s="3"/>
      <c r="AC123" s="155"/>
      <c r="AD123" s="314"/>
      <c r="AE123" s="72">
        <f>AE112+AE118+AE121+AE122</f>
        <v>35040129</v>
      </c>
      <c r="AF123" s="1"/>
      <c r="AG123" s="105">
        <f>ROUND((+AE123/$AE$133)*100,1)</f>
        <v>59.5</v>
      </c>
      <c r="AH123" s="1"/>
      <c r="AI123" s="72">
        <f>AI112+AI118+AI121+AI122</f>
        <v>5479312</v>
      </c>
      <c r="AJ123" s="3"/>
      <c r="AK123" s="105">
        <f>IF(AE123=0,0,ROUND((AI123/AE123)*100,1))</f>
        <v>15.6</v>
      </c>
      <c r="AL123" s="6"/>
      <c r="AM123" s="72"/>
      <c r="AN123" s="1"/>
      <c r="AO123" s="72">
        <f>AO112+AO118+AO121+AO122</f>
        <v>35040129</v>
      </c>
      <c r="AP123" s="1"/>
      <c r="AQ123" s="104">
        <f>ROUND((+AI123/AO123)*100,1)</f>
        <v>15.6</v>
      </c>
    </row>
    <row r="124" spans="3:43" ht="20.100000000000001" customHeight="1">
      <c r="F124" s="45"/>
      <c r="H124" s="45"/>
      <c r="J124" s="45"/>
      <c r="L124" s="326"/>
      <c r="N124" s="326"/>
      <c r="O124" s="50"/>
      <c r="P124" s="50"/>
      <c r="Q124" s="50"/>
      <c r="R124" s="50"/>
      <c r="T124" s="41">
        <f>A54</f>
        <v>30</v>
      </c>
      <c r="V124" s="310" t="s">
        <v>442</v>
      </c>
      <c r="Y124" s="72">
        <f>Y106+Y123</f>
        <v>1363</v>
      </c>
      <c r="Z124" s="1"/>
      <c r="AA124" s="72">
        <f>AA123+AA106</f>
        <v>600045849</v>
      </c>
      <c r="AB124" s="3"/>
      <c r="AC124" s="155"/>
      <c r="AD124" s="314"/>
      <c r="AE124" s="72">
        <f>AE123+AE106</f>
        <v>55045970</v>
      </c>
      <c r="AF124" s="1"/>
      <c r="AG124" s="105">
        <f>ROUND((+AE124/$AE$133)*100,1)</f>
        <v>93.5</v>
      </c>
      <c r="AH124" s="1"/>
      <c r="AI124" s="72">
        <f>AI123+AI106</f>
        <v>8593145</v>
      </c>
      <c r="AJ124" s="3"/>
      <c r="AK124" s="105">
        <f>IF(AE124=0,0,ROUND((AI124/AE124)*100,1))</f>
        <v>15.6</v>
      </c>
      <c r="AL124" s="6"/>
      <c r="AM124" s="72"/>
      <c r="AN124" s="1"/>
      <c r="AO124" s="72">
        <f>AO123+AO106</f>
        <v>55045970</v>
      </c>
      <c r="AP124" s="1"/>
      <c r="AQ124" s="104">
        <f>ROUND((+AI124/AO124)*100,1)</f>
        <v>15.6</v>
      </c>
    </row>
    <row r="125" spans="3:43" ht="15.75" customHeight="1">
      <c r="F125" s="45"/>
      <c r="H125" s="45"/>
      <c r="J125" s="45"/>
      <c r="L125" s="326"/>
      <c r="N125" s="326"/>
      <c r="O125" s="50"/>
      <c r="P125" s="50"/>
      <c r="Q125" s="50"/>
      <c r="R125" s="50"/>
      <c r="V125" s="42"/>
      <c r="Y125" s="3"/>
      <c r="Z125" s="1"/>
      <c r="AA125" s="3"/>
      <c r="AB125" s="3"/>
      <c r="AC125" s="155"/>
      <c r="AD125" s="314"/>
      <c r="AE125" s="3"/>
      <c r="AF125" s="1"/>
      <c r="AG125" s="103"/>
      <c r="AH125" s="1"/>
      <c r="AI125" s="3"/>
      <c r="AJ125" s="3"/>
      <c r="AK125" s="103"/>
      <c r="AL125" s="6"/>
      <c r="AM125" s="45"/>
      <c r="AN125" s="1"/>
      <c r="AO125" s="3"/>
      <c r="AP125" s="1"/>
      <c r="AQ125" s="103"/>
    </row>
    <row r="126" spans="3:43" ht="15.75" customHeight="1">
      <c r="F126" s="45"/>
      <c r="H126" s="45"/>
      <c r="J126" s="45"/>
      <c r="L126" s="326"/>
      <c r="N126" s="326"/>
      <c r="O126" s="50"/>
      <c r="P126" s="50"/>
      <c r="Q126" s="50"/>
      <c r="R126" s="50"/>
      <c r="T126" s="41">
        <f t="shared" ref="T126:T131" si="1">A56</f>
        <v>31</v>
      </c>
      <c r="V126" s="133" t="s">
        <v>430</v>
      </c>
      <c r="Y126" s="3"/>
      <c r="Z126" s="1"/>
      <c r="AA126" s="3"/>
      <c r="AB126" s="3"/>
      <c r="AC126" s="155"/>
      <c r="AD126" s="314"/>
      <c r="AE126" s="3"/>
      <c r="AF126" s="1"/>
      <c r="AG126" s="103"/>
      <c r="AH126" s="1"/>
      <c r="AI126" s="3"/>
      <c r="AJ126" s="3"/>
      <c r="AK126" s="103"/>
      <c r="AL126" s="6"/>
      <c r="AM126" s="45"/>
      <c r="AN126" s="1"/>
      <c r="AO126" s="3"/>
      <c r="AP126" s="1"/>
      <c r="AQ126" s="103"/>
    </row>
    <row r="127" spans="3:43" ht="15.75" customHeight="1">
      <c r="F127" s="45"/>
      <c r="H127" s="45"/>
      <c r="J127" s="45"/>
      <c r="L127" s="326"/>
      <c r="N127" s="326"/>
      <c r="O127" s="50"/>
      <c r="P127" s="50"/>
      <c r="Q127" s="50"/>
      <c r="R127" s="50"/>
      <c r="T127" s="41">
        <f t="shared" si="1"/>
        <v>32</v>
      </c>
      <c r="V127" s="128" t="str">
        <f>C57</f>
        <v>DEMAND SIDE MANAGEMENT RIDER (DSMR)</v>
      </c>
      <c r="Y127" s="3"/>
      <c r="Z127" s="1"/>
      <c r="AA127" s="3"/>
      <c r="AB127" s="3"/>
      <c r="AC127" s="327">
        <f>DSM_DIST</f>
        <v>3.503E-3</v>
      </c>
      <c r="AD127" s="314"/>
      <c r="AE127" s="3">
        <f>ROUND($AA$124*AC127,0)</f>
        <v>2101961</v>
      </c>
      <c r="AF127" s="1"/>
      <c r="AG127" s="103">
        <f>ROUND((+AE127/$AE$133)*100,1)+0.1</f>
        <v>3.7</v>
      </c>
      <c r="AH127" s="1"/>
      <c r="AI127" s="3">
        <f>L57-AE127</f>
        <v>0</v>
      </c>
      <c r="AJ127" s="3"/>
      <c r="AK127" s="103">
        <f>IF(AE127=0,0,ROUND((AI127/AE127)*100,1))</f>
        <v>0</v>
      </c>
      <c r="AL127" s="6"/>
      <c r="AM127" s="45"/>
      <c r="AN127" s="1"/>
      <c r="AO127" s="3">
        <f>AE127+AM127</f>
        <v>2101961</v>
      </c>
      <c r="AP127" s="1"/>
      <c r="AQ127" s="103">
        <f>IF(AO127=0,0,ROUND((+AI127/AO127)*100,1))</f>
        <v>0</v>
      </c>
    </row>
    <row r="128" spans="3:43" ht="15.75" customHeight="1">
      <c r="F128" s="45"/>
      <c r="H128" s="45"/>
      <c r="J128" s="45"/>
      <c r="L128" s="326"/>
      <c r="N128" s="326"/>
      <c r="O128" s="50"/>
      <c r="P128" s="50"/>
      <c r="Q128" s="50"/>
      <c r="R128" s="50"/>
      <c r="T128" s="41">
        <f t="shared" si="1"/>
        <v>33</v>
      </c>
      <c r="V128" s="128" t="str">
        <f>C58</f>
        <v>ENVIRONMENTAL SURCHARGE MECHANISM RIDER (ESM)</v>
      </c>
      <c r="Y128" s="3"/>
      <c r="Z128" s="1"/>
      <c r="AA128" s="3"/>
      <c r="AB128" s="3"/>
      <c r="AC128" s="332">
        <f>CUR_ESM_NonRes</f>
        <v>6.4941608437496566E-3</v>
      </c>
      <c r="AD128" s="314"/>
      <c r="AE128" s="3">
        <f>ROUND((AO124-(CUR_BASE_FUEL*AA124)+AO127+AO130)*AC128,0)</f>
        <v>249139</v>
      </c>
      <c r="AF128" s="1"/>
      <c r="AG128" s="103">
        <f>ROUND((+AE128/$AE$133)*100,1)</f>
        <v>0.4</v>
      </c>
      <c r="AH128" s="1"/>
      <c r="AI128" s="3">
        <f>L58-AE128</f>
        <v>7273</v>
      </c>
      <c r="AJ128" s="3"/>
      <c r="AK128" s="103">
        <f>IF(AE128=0,0,ROUND((AI128/AE128)*100,1))</f>
        <v>2.9</v>
      </c>
      <c r="AL128" s="6"/>
      <c r="AM128" s="45"/>
      <c r="AN128" s="1"/>
      <c r="AO128" s="3">
        <f>AE128+AM128</f>
        <v>249139</v>
      </c>
      <c r="AP128" s="1"/>
      <c r="AQ128" s="103">
        <f>IF(AO128=0,0,ROUND((+AI128/AO128)*100,1))</f>
        <v>2.9</v>
      </c>
    </row>
    <row r="129" spans="1:43" ht="15.75" customHeight="1">
      <c r="F129" s="45"/>
      <c r="H129" s="45"/>
      <c r="J129" s="45"/>
      <c r="L129" s="326"/>
      <c r="N129" s="326"/>
      <c r="O129" s="50"/>
      <c r="P129" s="50"/>
      <c r="Q129" s="50"/>
      <c r="R129" s="50"/>
      <c r="T129" s="41">
        <f t="shared" si="1"/>
        <v>34</v>
      </c>
      <c r="V129" s="128" t="str">
        <f>C59</f>
        <v>FUEL ADJUSTMENT CLAUSE (FAC)</v>
      </c>
      <c r="Y129" s="3"/>
      <c r="Z129" s="1"/>
      <c r="AA129" s="3"/>
      <c r="AB129" s="3"/>
      <c r="AC129" s="327">
        <f>CUR_FAC</f>
        <v>3.4872127999999998E-3</v>
      </c>
      <c r="AD129" s="314"/>
      <c r="AE129" s="3"/>
      <c r="AF129" s="1"/>
      <c r="AG129" s="103"/>
      <c r="AH129" s="1"/>
      <c r="AI129" s="3"/>
      <c r="AJ129" s="3"/>
      <c r="AK129" s="103"/>
      <c r="AL129" s="6"/>
      <c r="AM129" s="3">
        <f>ROUND(AA124*CUR_FAC,0)</f>
        <v>2092488</v>
      </c>
      <c r="AN129" s="1"/>
      <c r="AO129" s="3">
        <f>AE129+AM129</f>
        <v>2092488</v>
      </c>
      <c r="AP129" s="1"/>
      <c r="AQ129" s="103">
        <f>IF(AO129=0,0,ROUND(((R59-AO129)/AO129)*100,1))</f>
        <v>0</v>
      </c>
    </row>
    <row r="130" spans="1:43" ht="15.75" customHeight="1">
      <c r="F130" s="45"/>
      <c r="H130" s="45"/>
      <c r="J130" s="45"/>
      <c r="L130" s="326"/>
      <c r="N130" s="326"/>
      <c r="O130" s="50"/>
      <c r="P130" s="50"/>
      <c r="Q130" s="50"/>
      <c r="R130" s="50"/>
      <c r="T130" s="41">
        <f t="shared" si="1"/>
        <v>35</v>
      </c>
      <c r="V130" s="128" t="str">
        <f>C60</f>
        <v>PROFIT SHARING MECHANISM (PSM)</v>
      </c>
      <c r="Y130" s="3"/>
      <c r="Z130" s="1"/>
      <c r="AA130" s="3"/>
      <c r="AB130" s="3"/>
      <c r="AC130" s="327">
        <f>RS_PSM</f>
        <v>2.4750000000000002E-3</v>
      </c>
      <c r="AD130" s="314"/>
      <c r="AE130" s="66">
        <f>ROUND(AA124*RS_PSM,0)</f>
        <v>1485113</v>
      </c>
      <c r="AF130" s="1"/>
      <c r="AG130" s="104">
        <f>ROUND((+AE130/$AE$133)*100,1)</f>
        <v>2.5</v>
      </c>
      <c r="AH130" s="1"/>
      <c r="AI130" s="66">
        <f>L60-AE130</f>
        <v>0</v>
      </c>
      <c r="AJ130" s="3"/>
      <c r="AK130" s="104">
        <f>IF(AE130=0,0,ROUND((AI130/AE130)*100,1))</f>
        <v>0</v>
      </c>
      <c r="AL130" s="6"/>
      <c r="AM130" s="343"/>
      <c r="AN130" s="1"/>
      <c r="AO130" s="66">
        <f>AE130+AM130</f>
        <v>1485113</v>
      </c>
      <c r="AP130" s="1"/>
      <c r="AQ130" s="104">
        <f>IF(AO130=0,0,ROUND((+AI130/AO130)*100,1))</f>
        <v>0</v>
      </c>
    </row>
    <row r="131" spans="1:43" ht="20.100000000000001" customHeight="1">
      <c r="F131" s="45"/>
      <c r="H131" s="45"/>
      <c r="J131" s="45"/>
      <c r="L131" s="326"/>
      <c r="N131" s="326"/>
      <c r="O131" s="50"/>
      <c r="P131" s="50"/>
      <c r="Q131" s="50"/>
      <c r="R131" s="50"/>
      <c r="T131" s="41">
        <f t="shared" si="1"/>
        <v>36</v>
      </c>
      <c r="V131" s="133" t="s">
        <v>435</v>
      </c>
      <c r="Y131" s="66"/>
      <c r="Z131" s="1"/>
      <c r="AA131" s="66"/>
      <c r="AB131" s="3"/>
      <c r="AC131" s="314"/>
      <c r="AD131" s="314"/>
      <c r="AE131" s="72">
        <f>SUM(AE127:AE130)</f>
        <v>3836213</v>
      </c>
      <c r="AF131" s="1"/>
      <c r="AG131" s="105">
        <f>ROUND((+AE131/$AE$133)*100,1)</f>
        <v>6.5</v>
      </c>
      <c r="AH131" s="1"/>
      <c r="AI131" s="72">
        <f>SUM(AI127:AI130)</f>
        <v>7273</v>
      </c>
      <c r="AJ131" s="3"/>
      <c r="AK131" s="105">
        <f>IF(AE131=0,0,ROUND((AI131/AE131)*100,1))</f>
        <v>0.2</v>
      </c>
      <c r="AL131" s="6"/>
      <c r="AM131" s="72">
        <f>SUM(AM127:AM130)</f>
        <v>2092488</v>
      </c>
      <c r="AN131" s="1"/>
      <c r="AO131" s="72">
        <f>SUM(AO127:AO130)</f>
        <v>5928701</v>
      </c>
      <c r="AP131" s="1"/>
      <c r="AQ131" s="104">
        <f>ROUND((+AI131/AO131)*100,1)</f>
        <v>0.1</v>
      </c>
    </row>
    <row r="132" spans="1:43">
      <c r="F132" s="45"/>
      <c r="H132" s="45"/>
      <c r="J132" s="45"/>
      <c r="L132" s="326"/>
      <c r="N132" s="326"/>
      <c r="O132" s="50"/>
      <c r="P132" s="50"/>
      <c r="Q132" s="50"/>
      <c r="R132" s="50"/>
      <c r="V132" s="42"/>
      <c r="Y132" s="3"/>
      <c r="Z132" s="1"/>
      <c r="AA132" s="3"/>
      <c r="AB132" s="3"/>
      <c r="AC132" s="314"/>
      <c r="AD132" s="314"/>
      <c r="AE132" s="3"/>
      <c r="AF132" s="1"/>
      <c r="AG132" s="103"/>
      <c r="AH132" s="1"/>
      <c r="AI132" s="3"/>
      <c r="AJ132" s="3"/>
      <c r="AK132" s="103"/>
      <c r="AL132" s="6"/>
      <c r="AM132" s="3"/>
      <c r="AN132" s="1"/>
      <c r="AO132" s="3"/>
      <c r="AP132" s="1"/>
      <c r="AQ132" s="103"/>
    </row>
    <row r="133" spans="1:43" ht="22.5" customHeight="1" thickBot="1">
      <c r="F133" s="50"/>
      <c r="H133" s="50"/>
      <c r="J133" s="50"/>
      <c r="L133" s="326"/>
      <c r="N133" s="326"/>
      <c r="O133" s="50"/>
      <c r="P133" s="50"/>
      <c r="Q133" s="50"/>
      <c r="R133" s="50"/>
      <c r="T133" s="41">
        <f>A63</f>
        <v>37</v>
      </c>
      <c r="V133" s="310" t="s">
        <v>441</v>
      </c>
      <c r="Y133" s="67">
        <f>Y124</f>
        <v>1363</v>
      </c>
      <c r="Z133" s="1"/>
      <c r="AA133" s="67">
        <f>AA124</f>
        <v>600045849</v>
      </c>
      <c r="AB133" s="3"/>
      <c r="AC133" s="1"/>
      <c r="AD133" s="1"/>
      <c r="AE133" s="67">
        <f>AE131+AE124</f>
        <v>58882183</v>
      </c>
      <c r="AF133" s="1"/>
      <c r="AG133" s="106">
        <v>100</v>
      </c>
      <c r="AH133" s="1"/>
      <c r="AI133" s="67">
        <f>AI131+AI124</f>
        <v>8600418</v>
      </c>
      <c r="AJ133" s="3"/>
      <c r="AK133" s="106">
        <f>IF(AE133=0,0,ROUND((AI133/AE133)*100,1))</f>
        <v>14.6</v>
      </c>
      <c r="AL133" s="6"/>
      <c r="AM133" s="67">
        <f>AM131+AM124</f>
        <v>2092488</v>
      </c>
      <c r="AN133" s="1"/>
      <c r="AO133" s="67">
        <f>AO131+AO124</f>
        <v>60974671</v>
      </c>
      <c r="AP133" s="1"/>
      <c r="AQ133" s="106">
        <f>ROUND((+AI133/AO133)*100,1)</f>
        <v>14.1</v>
      </c>
    </row>
    <row r="134" spans="1:43" ht="16.5" thickTop="1">
      <c r="F134" s="50"/>
      <c r="H134" s="50"/>
      <c r="J134" s="50"/>
      <c r="K134" s="326"/>
      <c r="L134" s="326"/>
      <c r="N134" s="50"/>
      <c r="O134" s="50"/>
      <c r="P134" s="50"/>
      <c r="Q134" s="50"/>
      <c r="R134" s="50"/>
      <c r="S134" s="45"/>
      <c r="Y134" s="1"/>
      <c r="Z134" s="1"/>
      <c r="AA134" s="1"/>
      <c r="AB134" s="1"/>
      <c r="AC134" s="1"/>
      <c r="AD134" s="1"/>
      <c r="AE134" s="1"/>
      <c r="AF134" s="1"/>
      <c r="AG134" s="103"/>
      <c r="AH134" s="1"/>
      <c r="AI134" s="1"/>
      <c r="AJ134" s="1"/>
      <c r="AK134" s="103"/>
      <c r="AL134" s="1"/>
      <c r="AM134" s="1"/>
      <c r="AN134" s="1"/>
      <c r="AO134" s="1"/>
      <c r="AP134" s="1"/>
      <c r="AQ134" s="103"/>
    </row>
    <row r="135" spans="1:43">
      <c r="C135" s="42"/>
      <c r="V135" s="140" t="s">
        <v>59</v>
      </c>
      <c r="AE135" s="45"/>
      <c r="AF135" s="45"/>
      <c r="AM135" s="45"/>
      <c r="AO135" s="45"/>
    </row>
    <row r="136" spans="1:43">
      <c r="C136" s="42"/>
      <c r="V136" s="140" t="str">
        <f>"(2) REFLECTS FUEL COMPONENT OF "&amp;TEXT(CUR_FAC,"$0.000000;($0.000000)")&amp;"  PER KWH."</f>
        <v>(2) REFLECTS FUEL COMPONENT OF $0.003487  PER KWH.</v>
      </c>
      <c r="AE136" s="45"/>
      <c r="AF136" s="45"/>
      <c r="AM136" s="45"/>
      <c r="AO136" s="45"/>
    </row>
    <row r="137" spans="1:43">
      <c r="C137" s="42"/>
      <c r="F137" s="45"/>
      <c r="H137" s="45"/>
      <c r="J137" s="45"/>
      <c r="N137" s="45"/>
      <c r="O137" s="45"/>
      <c r="P137" s="46"/>
      <c r="Q137" s="164"/>
      <c r="R137" s="45"/>
      <c r="T137" s="42"/>
      <c r="V137" s="140" t="str">
        <f>"(3) REFLECTS FUEL COST RECOVERY INCLUDED IN BASE RATES OF "&amp;TEXT(CUR_BASE_FUEL,"$0.000000;($0.000000)")&amp;"  PER KWH."</f>
        <v>(3) REFLECTS FUEL COST RECOVERY INCLUDED IN BASE RATES OF $0.033780  PER KWH.</v>
      </c>
      <c r="Y137" s="45"/>
      <c r="Z137" s="132"/>
      <c r="AA137" s="45"/>
      <c r="AB137" s="45"/>
      <c r="AC137" s="46"/>
      <c r="AD137" s="46"/>
      <c r="AE137" s="45"/>
      <c r="AF137" s="45"/>
      <c r="AI137" s="51"/>
      <c r="AJ137" s="51"/>
      <c r="AL137" s="45"/>
      <c r="AO137" s="46"/>
    </row>
    <row r="138" spans="1:43">
      <c r="F138" s="50"/>
      <c r="H138" s="50"/>
      <c r="J138" s="50"/>
      <c r="K138" s="326"/>
      <c r="L138" s="326"/>
      <c r="N138" s="50"/>
      <c r="O138" s="50"/>
      <c r="P138" s="50"/>
      <c r="Q138" s="50"/>
      <c r="R138" s="50"/>
      <c r="Y138" s="45"/>
      <c r="Z138" s="326"/>
      <c r="AA138" s="50"/>
      <c r="AB138" s="50"/>
      <c r="AC138" s="50"/>
      <c r="AD138" s="50"/>
      <c r="AE138" s="50"/>
      <c r="AF138" s="50"/>
      <c r="AK138" s="111"/>
      <c r="AL138" s="50"/>
      <c r="AO138" s="46"/>
      <c r="AQ138" s="111"/>
    </row>
    <row r="139" spans="1:43">
      <c r="T139" s="42"/>
      <c r="V139" s="45"/>
      <c r="Y139" s="45"/>
      <c r="Z139" s="47"/>
      <c r="AA139" s="45"/>
      <c r="AB139" s="45"/>
      <c r="AC139" s="46"/>
      <c r="AD139" s="46"/>
      <c r="AE139" s="45"/>
      <c r="AF139" s="45"/>
      <c r="AI139" s="51"/>
      <c r="AJ139" s="51"/>
      <c r="AL139" s="45"/>
      <c r="AO139" s="46"/>
    </row>
    <row r="140" spans="1:43">
      <c r="C140" s="42"/>
      <c r="N140" s="45"/>
      <c r="O140" s="45"/>
      <c r="P140" s="45"/>
      <c r="Q140" s="45"/>
      <c r="R140" s="45"/>
      <c r="S140" s="45"/>
      <c r="V140" s="45"/>
      <c r="Y140" s="45"/>
      <c r="Z140" s="326"/>
      <c r="AA140" s="50"/>
      <c r="AB140" s="50"/>
      <c r="AC140" s="50"/>
      <c r="AD140" s="50"/>
      <c r="AE140" s="50"/>
      <c r="AF140" s="50"/>
      <c r="AK140" s="111"/>
      <c r="AL140" s="50"/>
      <c r="AO140" s="46"/>
      <c r="AQ140" s="111"/>
    </row>
    <row r="141" spans="1:43">
      <c r="A141" s="42"/>
      <c r="T141" s="42"/>
      <c r="V141" s="45"/>
      <c r="Y141" s="45"/>
      <c r="Z141" s="47"/>
      <c r="AA141" s="45"/>
      <c r="AB141" s="45"/>
      <c r="AC141" s="46"/>
      <c r="AD141" s="46"/>
      <c r="AE141" s="45"/>
      <c r="AF141" s="45"/>
      <c r="AI141" s="51"/>
      <c r="AJ141" s="51"/>
      <c r="AL141" s="45"/>
      <c r="AO141" s="46"/>
    </row>
    <row r="142" spans="1:43">
      <c r="T142" s="42"/>
      <c r="V142" s="164"/>
      <c r="Y142" s="45"/>
      <c r="Z142" s="331"/>
      <c r="AA142" s="45"/>
      <c r="AB142" s="45"/>
      <c r="AC142" s="46"/>
      <c r="AD142" s="46"/>
      <c r="AE142" s="45"/>
      <c r="AF142" s="45"/>
      <c r="AI142" s="51"/>
      <c r="AJ142" s="51"/>
      <c r="AL142" s="45"/>
      <c r="AO142" s="46"/>
    </row>
    <row r="143" spans="1:43">
      <c r="H143" s="42"/>
      <c r="J143" s="42"/>
      <c r="V143" s="50"/>
      <c r="Y143" s="50"/>
      <c r="Z143" s="326"/>
      <c r="AA143" s="50"/>
      <c r="AB143" s="50"/>
      <c r="AC143" s="50"/>
      <c r="AD143" s="50"/>
      <c r="AE143" s="50"/>
      <c r="AF143" s="50"/>
      <c r="AK143" s="111"/>
      <c r="AL143" s="50"/>
      <c r="AO143" s="46"/>
      <c r="AQ143" s="111"/>
    </row>
    <row r="144" spans="1:43">
      <c r="T144" s="42"/>
      <c r="V144" s="45"/>
      <c r="Y144" s="45"/>
      <c r="Z144" s="326"/>
      <c r="AA144" s="45"/>
      <c r="AB144" s="45"/>
      <c r="AC144" s="46"/>
      <c r="AD144" s="46"/>
      <c r="AE144" s="45"/>
      <c r="AF144" s="45"/>
      <c r="AI144" s="46"/>
      <c r="AJ144" s="46"/>
      <c r="AL144" s="45"/>
      <c r="AO144" s="46"/>
    </row>
    <row r="145" spans="1:43">
      <c r="M145" s="42"/>
      <c r="N145" s="42"/>
      <c r="V145" s="50"/>
      <c r="Y145" s="50"/>
      <c r="Z145" s="326"/>
      <c r="AA145" s="50"/>
      <c r="AB145" s="50"/>
      <c r="AC145" s="50"/>
      <c r="AD145" s="50"/>
      <c r="AE145" s="50"/>
      <c r="AF145" s="50"/>
      <c r="AK145" s="111"/>
      <c r="AL145" s="50"/>
      <c r="AO145" s="46"/>
      <c r="AQ145" s="111"/>
    </row>
    <row r="146" spans="1:43">
      <c r="R146" s="42"/>
      <c r="T146" s="42"/>
      <c r="V146" s="164"/>
      <c r="Y146" s="164"/>
      <c r="Z146" s="326"/>
      <c r="AA146" s="45"/>
      <c r="AB146" s="45"/>
      <c r="AC146" s="46"/>
      <c r="AD146" s="46"/>
      <c r="AE146" s="45"/>
      <c r="AF146" s="45"/>
      <c r="AL146" s="45"/>
      <c r="AO146" s="46"/>
    </row>
    <row r="147" spans="1:43">
      <c r="R147" s="42"/>
    </row>
    <row r="148" spans="1:43">
      <c r="A148" s="42"/>
      <c r="R148" s="42"/>
      <c r="T148" s="42"/>
    </row>
    <row r="149" spans="1:43">
      <c r="M149" s="42"/>
      <c r="N149" s="42"/>
      <c r="T149" s="42"/>
      <c r="V149" s="45"/>
      <c r="Y149" s="164"/>
      <c r="Z149" s="316"/>
      <c r="AA149" s="45"/>
      <c r="AB149" s="45"/>
      <c r="AC149" s="46"/>
      <c r="AD149" s="46"/>
      <c r="AE149" s="45"/>
      <c r="AF149" s="45"/>
      <c r="AG149" s="333"/>
      <c r="AI149" s="334"/>
      <c r="AJ149" s="334"/>
      <c r="AO149" s="335"/>
    </row>
    <row r="150" spans="1:43">
      <c r="A150" s="49"/>
      <c r="B150" s="49"/>
      <c r="C150" s="49"/>
      <c r="D150" s="49"/>
      <c r="E150" s="49"/>
      <c r="F150" s="49"/>
      <c r="G150" s="49"/>
      <c r="H150" s="49"/>
      <c r="J150" s="49"/>
      <c r="K150" s="49"/>
      <c r="L150" s="49"/>
      <c r="M150" s="49"/>
      <c r="N150" s="49"/>
      <c r="O150" s="49"/>
      <c r="P150" s="49"/>
      <c r="Q150" s="49"/>
      <c r="R150" s="49"/>
      <c r="T150" s="42"/>
      <c r="V150" s="45"/>
      <c r="Y150" s="164"/>
      <c r="Z150" s="316"/>
      <c r="AA150" s="45"/>
      <c r="AB150" s="45"/>
      <c r="AC150" s="46"/>
      <c r="AD150" s="46"/>
      <c r="AE150" s="45"/>
      <c r="AF150" s="45"/>
      <c r="AI150" s="51"/>
      <c r="AJ150" s="51"/>
      <c r="AO150" s="46"/>
    </row>
    <row r="151" spans="1:43">
      <c r="M151" s="44"/>
      <c r="N151" s="44"/>
      <c r="O151" s="44"/>
      <c r="P151" s="44"/>
      <c r="R151" s="44"/>
      <c r="T151" s="42"/>
      <c r="V151" s="45"/>
      <c r="Y151" s="164"/>
      <c r="Z151" s="316"/>
      <c r="AA151" s="45"/>
      <c r="AB151" s="45"/>
      <c r="AC151" s="46"/>
      <c r="AD151" s="46"/>
      <c r="AE151" s="45"/>
      <c r="AF151" s="45"/>
      <c r="AI151" s="51"/>
      <c r="AJ151" s="51"/>
      <c r="AO151" s="46"/>
    </row>
    <row r="152" spans="1:43">
      <c r="M152" s="44"/>
      <c r="N152" s="44"/>
      <c r="O152" s="44"/>
      <c r="P152" s="44"/>
      <c r="R152" s="44"/>
      <c r="V152" s="50"/>
      <c r="Y152" s="45"/>
      <c r="Z152" s="326"/>
      <c r="AA152" s="50"/>
      <c r="AB152" s="50"/>
      <c r="AC152" s="50"/>
      <c r="AD152" s="50"/>
      <c r="AE152" s="50"/>
      <c r="AF152" s="50"/>
      <c r="AK152" s="111"/>
      <c r="AL152" s="50"/>
      <c r="AO152" s="46"/>
      <c r="AQ152" s="111"/>
    </row>
    <row r="153" spans="1:43">
      <c r="A153" s="44"/>
      <c r="C153" s="44"/>
      <c r="D153" s="44"/>
      <c r="E153" s="44"/>
      <c r="F153" s="44"/>
      <c r="K153" s="44"/>
      <c r="L153" s="44"/>
      <c r="M153" s="44"/>
      <c r="N153" s="44"/>
      <c r="O153" s="44"/>
      <c r="P153" s="44"/>
      <c r="Q153" s="44"/>
      <c r="R153" s="44"/>
      <c r="T153" s="42"/>
      <c r="V153" s="45"/>
      <c r="Y153" s="45"/>
      <c r="Z153" s="326"/>
      <c r="AA153" s="45"/>
      <c r="AB153" s="45"/>
      <c r="AC153" s="46"/>
      <c r="AD153" s="46"/>
      <c r="AE153" s="45"/>
      <c r="AF153" s="45"/>
      <c r="AI153" s="51"/>
      <c r="AJ153" s="51"/>
      <c r="AL153" s="45"/>
      <c r="AO153" s="46"/>
    </row>
    <row r="154" spans="1:43">
      <c r="A154" s="44"/>
      <c r="C154" s="44"/>
      <c r="D154" s="44"/>
      <c r="E154" s="44"/>
      <c r="F154" s="44"/>
      <c r="H154" s="44"/>
      <c r="J154" s="44"/>
      <c r="K154" s="44"/>
      <c r="L154" s="44"/>
      <c r="M154" s="44"/>
      <c r="N154" s="44"/>
      <c r="O154" s="44"/>
      <c r="P154" s="44"/>
      <c r="Q154" s="44"/>
      <c r="R154" s="44"/>
      <c r="V154" s="50"/>
      <c r="Y154" s="45"/>
      <c r="Z154" s="326"/>
      <c r="AA154" s="50"/>
      <c r="AB154" s="50"/>
      <c r="AC154" s="50"/>
      <c r="AD154" s="50"/>
      <c r="AE154" s="50"/>
      <c r="AF154" s="50"/>
      <c r="AK154" s="111"/>
      <c r="AL154" s="50"/>
      <c r="AO154" s="46"/>
      <c r="AQ154" s="111"/>
    </row>
    <row r="155" spans="1:43">
      <c r="C155" s="44"/>
      <c r="D155" s="44"/>
      <c r="E155" s="44"/>
      <c r="F155" s="44"/>
      <c r="H155" s="44"/>
      <c r="J155" s="44"/>
      <c r="K155" s="44"/>
      <c r="L155" s="44"/>
      <c r="M155" s="44"/>
      <c r="N155" s="44"/>
      <c r="O155" s="44"/>
      <c r="P155" s="44"/>
      <c r="Q155" s="44"/>
      <c r="R155" s="44"/>
      <c r="T155" s="42"/>
      <c r="V155" s="164"/>
      <c r="Y155" s="164"/>
      <c r="Z155" s="336"/>
      <c r="AA155" s="45"/>
      <c r="AB155" s="45"/>
      <c r="AC155" s="46"/>
      <c r="AD155" s="46"/>
      <c r="AE155" s="45"/>
      <c r="AF155" s="45"/>
      <c r="AI155" s="46"/>
      <c r="AJ155" s="46"/>
      <c r="AL155" s="45"/>
      <c r="AO155" s="46"/>
    </row>
    <row r="156" spans="1:43">
      <c r="A156" s="49"/>
      <c r="B156" s="49"/>
      <c r="C156" s="49"/>
      <c r="D156" s="49"/>
      <c r="E156" s="49"/>
      <c r="F156" s="49"/>
      <c r="G156" s="49"/>
      <c r="H156" s="49"/>
      <c r="J156" s="49"/>
      <c r="K156" s="49"/>
      <c r="L156" s="49"/>
      <c r="M156" s="49"/>
      <c r="N156" s="49"/>
      <c r="O156" s="49"/>
      <c r="P156" s="49"/>
      <c r="Q156" s="49"/>
      <c r="R156" s="49"/>
      <c r="T156" s="42"/>
      <c r="V156" s="164"/>
      <c r="Y156" s="45"/>
      <c r="Z156" s="316"/>
      <c r="AA156" s="45"/>
      <c r="AB156" s="45"/>
      <c r="AC156" s="46"/>
      <c r="AD156" s="46"/>
      <c r="AE156" s="45"/>
      <c r="AF156" s="45"/>
      <c r="AI156" s="51"/>
      <c r="AJ156" s="51"/>
      <c r="AL156" s="45"/>
      <c r="AO156" s="46"/>
    </row>
    <row r="157" spans="1:43">
      <c r="H157" s="44"/>
      <c r="J157" s="44"/>
      <c r="K157" s="44"/>
      <c r="L157" s="44"/>
      <c r="M157" s="44"/>
      <c r="N157" s="44"/>
      <c r="O157" s="44"/>
      <c r="P157" s="44"/>
      <c r="Q157" s="44"/>
      <c r="R157" s="44"/>
      <c r="T157" s="42"/>
      <c r="V157" s="164"/>
      <c r="Y157" s="45"/>
      <c r="Z157" s="316"/>
      <c r="AA157" s="45"/>
      <c r="AB157" s="45"/>
      <c r="AC157" s="46"/>
      <c r="AD157" s="46"/>
      <c r="AE157" s="45"/>
      <c r="AF157" s="45"/>
      <c r="AI157" s="51"/>
      <c r="AJ157" s="51"/>
      <c r="AL157" s="45"/>
      <c r="AO157" s="46"/>
    </row>
    <row r="158" spans="1:43">
      <c r="C158" s="42"/>
      <c r="D158" s="42"/>
      <c r="E158" s="42"/>
      <c r="V158" s="45"/>
      <c r="Y158" s="50"/>
      <c r="Z158" s="326"/>
      <c r="AA158" s="50"/>
      <c r="AB158" s="50"/>
      <c r="AC158" s="50"/>
      <c r="AD158" s="50"/>
      <c r="AE158" s="50"/>
      <c r="AF158" s="50"/>
      <c r="AK158" s="111"/>
      <c r="AL158" s="50"/>
      <c r="AO158" s="46"/>
      <c r="AQ158" s="111"/>
    </row>
    <row r="159" spans="1:43">
      <c r="D159" s="42"/>
      <c r="E159" s="42"/>
      <c r="T159" s="42"/>
      <c r="V159" s="45"/>
      <c r="Y159" s="45"/>
      <c r="Z159" s="326"/>
      <c r="AA159" s="45"/>
      <c r="AB159" s="45"/>
      <c r="AC159" s="46"/>
      <c r="AD159" s="46"/>
      <c r="AE159" s="45"/>
      <c r="AF159" s="45"/>
      <c r="AI159" s="51"/>
      <c r="AJ159" s="51"/>
      <c r="AL159" s="45"/>
      <c r="AO159" s="46"/>
    </row>
    <row r="160" spans="1:43">
      <c r="V160" s="45"/>
      <c r="Y160" s="50"/>
      <c r="Z160" s="326"/>
      <c r="AA160" s="50"/>
      <c r="AB160" s="50"/>
      <c r="AC160" s="50"/>
      <c r="AD160" s="50"/>
      <c r="AE160" s="50"/>
      <c r="AF160" s="50"/>
      <c r="AK160" s="111"/>
      <c r="AL160" s="50"/>
      <c r="AO160" s="46"/>
      <c r="AQ160" s="111"/>
    </row>
    <row r="161" spans="3:43">
      <c r="C161" s="42"/>
      <c r="F161" s="164"/>
      <c r="H161" s="164"/>
      <c r="J161" s="164"/>
      <c r="K161" s="316"/>
      <c r="L161" s="316"/>
      <c r="M161" s="45"/>
      <c r="N161" s="45"/>
      <c r="O161" s="46"/>
      <c r="P161" s="46"/>
      <c r="R161" s="45"/>
      <c r="T161" s="42"/>
      <c r="V161" s="45"/>
      <c r="Y161" s="45"/>
      <c r="Z161" s="326"/>
      <c r="AA161" s="45"/>
      <c r="AB161" s="45"/>
      <c r="AC161" s="45"/>
      <c r="AD161" s="45"/>
      <c r="AE161" s="45"/>
      <c r="AF161" s="45"/>
      <c r="AI161" s="51"/>
      <c r="AJ161" s="51"/>
      <c r="AL161" s="45"/>
      <c r="AO161" s="46"/>
    </row>
    <row r="162" spans="3:43">
      <c r="C162" s="42"/>
      <c r="F162" s="164"/>
      <c r="H162" s="164"/>
      <c r="J162" s="164"/>
      <c r="K162" s="316"/>
      <c r="L162" s="316"/>
      <c r="M162" s="45"/>
      <c r="N162" s="45"/>
      <c r="O162" s="46"/>
      <c r="P162" s="46"/>
      <c r="R162" s="45"/>
      <c r="T162" s="42"/>
      <c r="V162" s="45"/>
      <c r="Y162" s="45"/>
      <c r="Z162" s="132"/>
      <c r="AA162" s="45"/>
      <c r="AB162" s="45"/>
      <c r="AC162" s="46"/>
      <c r="AD162" s="46"/>
      <c r="AE162" s="45"/>
      <c r="AF162" s="45"/>
      <c r="AI162" s="51"/>
      <c r="AJ162" s="51"/>
      <c r="AL162" s="45"/>
      <c r="AO162" s="46"/>
    </row>
    <row r="163" spans="3:43">
      <c r="F163" s="50"/>
      <c r="H163" s="45"/>
      <c r="J163" s="45"/>
      <c r="K163" s="326"/>
      <c r="L163" s="326"/>
      <c r="M163" s="50"/>
      <c r="N163" s="50"/>
      <c r="O163" s="50"/>
      <c r="P163" s="50"/>
      <c r="Q163" s="50"/>
      <c r="R163" s="50"/>
      <c r="T163" s="42"/>
      <c r="Y163" s="45"/>
      <c r="Z163" s="132"/>
      <c r="AA163" s="45"/>
      <c r="AB163" s="45"/>
      <c r="AC163" s="46"/>
      <c r="AD163" s="46"/>
      <c r="AE163" s="45"/>
      <c r="AF163" s="45"/>
      <c r="AI163" s="51"/>
      <c r="AJ163" s="51"/>
      <c r="AL163" s="45"/>
      <c r="AO163" s="46"/>
    </row>
    <row r="164" spans="3:43">
      <c r="C164" s="42"/>
      <c r="F164" s="45"/>
      <c r="H164" s="45"/>
      <c r="J164" s="45"/>
      <c r="K164" s="326"/>
      <c r="L164" s="326"/>
      <c r="M164" s="45"/>
      <c r="N164" s="45"/>
      <c r="O164" s="46"/>
      <c r="P164" s="46"/>
      <c r="Q164" s="45"/>
      <c r="R164" s="45"/>
      <c r="V164" s="45"/>
      <c r="Y164" s="45"/>
      <c r="Z164" s="326"/>
      <c r="AA164" s="50"/>
      <c r="AB164" s="50"/>
      <c r="AC164" s="50"/>
      <c r="AD164" s="50"/>
      <c r="AE164" s="50"/>
      <c r="AF164" s="50"/>
      <c r="AK164" s="111"/>
      <c r="AL164" s="50"/>
      <c r="AO164" s="46"/>
      <c r="AQ164" s="111"/>
    </row>
    <row r="165" spans="3:43">
      <c r="F165" s="50"/>
      <c r="H165" s="45"/>
      <c r="J165" s="45"/>
      <c r="K165" s="326"/>
      <c r="L165" s="326"/>
      <c r="M165" s="50"/>
      <c r="N165" s="50"/>
      <c r="O165" s="50"/>
      <c r="P165" s="50"/>
      <c r="Q165" s="50"/>
      <c r="R165" s="50"/>
      <c r="T165" s="42"/>
      <c r="V165" s="45"/>
      <c r="Y165" s="45"/>
      <c r="Z165" s="47"/>
      <c r="AA165" s="45"/>
      <c r="AB165" s="45"/>
      <c r="AC165" s="46"/>
      <c r="AD165" s="46"/>
      <c r="AE165" s="45"/>
      <c r="AF165" s="45"/>
      <c r="AI165" s="51"/>
      <c r="AJ165" s="51"/>
      <c r="AL165" s="45"/>
      <c r="AO165" s="46"/>
    </row>
    <row r="166" spans="3:43">
      <c r="F166" s="45"/>
      <c r="H166" s="45"/>
      <c r="J166" s="45"/>
      <c r="K166" s="326"/>
      <c r="L166" s="326"/>
      <c r="M166" s="45"/>
      <c r="N166" s="45"/>
      <c r="O166" s="46"/>
      <c r="P166" s="46"/>
      <c r="Q166" s="45"/>
      <c r="R166" s="45"/>
      <c r="V166" s="45"/>
      <c r="Y166" s="45"/>
      <c r="Z166" s="326"/>
      <c r="AA166" s="50"/>
      <c r="AB166" s="50"/>
      <c r="AC166" s="50"/>
      <c r="AD166" s="50"/>
      <c r="AE166" s="50"/>
      <c r="AF166" s="50"/>
      <c r="AK166" s="111"/>
      <c r="AL166" s="50"/>
      <c r="AO166" s="46"/>
      <c r="AQ166" s="111"/>
    </row>
    <row r="167" spans="3:43">
      <c r="C167" s="42"/>
      <c r="F167" s="164"/>
      <c r="H167" s="164"/>
      <c r="J167" s="164"/>
      <c r="K167" s="316"/>
      <c r="L167" s="316"/>
      <c r="M167" s="45"/>
      <c r="N167" s="45"/>
      <c r="O167" s="46"/>
      <c r="P167" s="46"/>
      <c r="Q167" s="45"/>
      <c r="R167" s="45"/>
      <c r="T167" s="42"/>
      <c r="V167" s="45"/>
      <c r="Y167" s="45"/>
      <c r="Z167" s="47"/>
      <c r="AA167" s="45"/>
      <c r="AB167" s="45"/>
      <c r="AC167" s="46"/>
      <c r="AD167" s="46"/>
      <c r="AE167" s="45"/>
      <c r="AF167" s="45"/>
      <c r="AI167" s="51"/>
      <c r="AJ167" s="51"/>
      <c r="AL167" s="45"/>
      <c r="AO167" s="46"/>
    </row>
    <row r="168" spans="3:43">
      <c r="C168" s="42"/>
      <c r="F168" s="164"/>
      <c r="H168" s="164"/>
      <c r="J168" s="164"/>
      <c r="K168" s="316"/>
      <c r="L168" s="316"/>
      <c r="M168" s="45"/>
      <c r="N168" s="45"/>
      <c r="O168" s="46"/>
      <c r="P168" s="46"/>
      <c r="Q168" s="45"/>
      <c r="R168" s="45"/>
      <c r="T168" s="42"/>
      <c r="V168" s="164"/>
      <c r="Y168" s="45"/>
      <c r="Z168" s="331"/>
      <c r="AA168" s="45"/>
      <c r="AB168" s="45"/>
      <c r="AC168" s="46"/>
      <c r="AD168" s="46"/>
      <c r="AE168" s="45"/>
      <c r="AF168" s="45"/>
      <c r="AI168" s="51"/>
      <c r="AJ168" s="51"/>
      <c r="AL168" s="45"/>
      <c r="AO168" s="46"/>
    </row>
    <row r="169" spans="3:43">
      <c r="F169" s="45"/>
      <c r="H169" s="50"/>
      <c r="J169" s="50"/>
      <c r="K169" s="326"/>
      <c r="L169" s="326"/>
      <c r="M169" s="50"/>
      <c r="N169" s="50"/>
      <c r="O169" s="50"/>
      <c r="P169" s="50"/>
      <c r="Q169" s="50"/>
      <c r="R169" s="50"/>
      <c r="V169" s="50"/>
      <c r="Y169" s="50"/>
      <c r="Z169" s="326"/>
      <c r="AA169" s="50"/>
      <c r="AB169" s="50"/>
      <c r="AC169" s="50"/>
      <c r="AD169" s="50"/>
      <c r="AE169" s="50"/>
      <c r="AF169" s="50"/>
      <c r="AK169" s="111"/>
      <c r="AL169" s="50"/>
      <c r="AO169" s="46"/>
      <c r="AQ169" s="111"/>
    </row>
    <row r="170" spans="3:43">
      <c r="C170" s="42"/>
      <c r="F170" s="45"/>
      <c r="H170" s="45"/>
      <c r="J170" s="45"/>
      <c r="K170" s="326"/>
      <c r="L170" s="326"/>
      <c r="M170" s="45"/>
      <c r="N170" s="45"/>
      <c r="O170" s="46"/>
      <c r="P170" s="46"/>
      <c r="Q170" s="45"/>
      <c r="R170" s="45"/>
      <c r="T170" s="42"/>
      <c r="V170" s="45"/>
      <c r="Y170" s="45"/>
      <c r="Z170" s="326"/>
      <c r="AA170" s="45"/>
      <c r="AB170" s="45"/>
      <c r="AC170" s="46"/>
      <c r="AD170" s="46"/>
      <c r="AE170" s="45"/>
      <c r="AF170" s="45"/>
      <c r="AI170" s="46"/>
      <c r="AJ170" s="46"/>
      <c r="AL170" s="45"/>
      <c r="AO170" s="46"/>
    </row>
    <row r="171" spans="3:43">
      <c r="F171" s="45"/>
      <c r="H171" s="50"/>
      <c r="J171" s="50"/>
      <c r="K171" s="326"/>
      <c r="L171" s="326"/>
      <c r="M171" s="50"/>
      <c r="N171" s="50"/>
      <c r="O171" s="50"/>
      <c r="P171" s="50"/>
      <c r="Q171" s="50"/>
      <c r="R171" s="50"/>
      <c r="V171" s="50"/>
      <c r="Y171" s="50"/>
      <c r="Z171" s="326"/>
      <c r="AA171" s="50"/>
      <c r="AB171" s="50"/>
      <c r="AC171" s="50"/>
      <c r="AD171" s="50"/>
      <c r="AE171" s="50"/>
      <c r="AF171" s="50"/>
      <c r="AK171" s="111"/>
      <c r="AL171" s="50"/>
      <c r="AO171" s="46"/>
      <c r="AQ171" s="111"/>
    </row>
    <row r="172" spans="3:43">
      <c r="F172" s="45"/>
      <c r="H172" s="45"/>
      <c r="J172" s="45"/>
      <c r="K172" s="326"/>
      <c r="L172" s="326"/>
      <c r="M172" s="45"/>
      <c r="N172" s="45"/>
      <c r="O172" s="45"/>
      <c r="P172" s="45"/>
      <c r="Q172" s="45"/>
      <c r="R172" s="45"/>
      <c r="T172" s="42"/>
    </row>
    <row r="173" spans="3:43">
      <c r="C173" s="42"/>
      <c r="F173" s="164"/>
      <c r="H173" s="164"/>
      <c r="J173" s="164"/>
      <c r="K173" s="331"/>
      <c r="L173" s="331"/>
      <c r="M173" s="45"/>
      <c r="N173" s="45"/>
      <c r="O173" s="46"/>
      <c r="P173" s="46"/>
      <c r="Q173" s="164"/>
      <c r="R173" s="45"/>
      <c r="T173" s="42"/>
      <c r="V173" s="45"/>
      <c r="Y173" s="45"/>
      <c r="AA173" s="45"/>
      <c r="AB173" s="45"/>
      <c r="AC173" s="46"/>
      <c r="AD173" s="46"/>
      <c r="AE173" s="45"/>
      <c r="AF173" s="45"/>
      <c r="AI173" s="46"/>
      <c r="AJ173" s="46"/>
      <c r="AK173" s="333"/>
      <c r="AL173" s="164"/>
      <c r="AO173" s="46"/>
    </row>
    <row r="174" spans="3:43">
      <c r="C174" s="42"/>
      <c r="F174" s="164"/>
      <c r="H174" s="164"/>
      <c r="J174" s="164"/>
      <c r="K174" s="331"/>
      <c r="L174" s="331"/>
      <c r="M174" s="45"/>
      <c r="N174" s="45"/>
      <c r="O174" s="46"/>
      <c r="P174" s="46"/>
      <c r="Q174" s="164"/>
      <c r="R174" s="45"/>
      <c r="V174" s="50"/>
      <c r="Y174" s="50"/>
      <c r="Z174" s="326"/>
      <c r="AA174" s="50"/>
      <c r="AB174" s="50"/>
      <c r="AC174" s="50"/>
      <c r="AD174" s="50"/>
      <c r="AE174" s="50"/>
      <c r="AF174" s="50"/>
      <c r="AK174" s="111"/>
      <c r="AL174" s="50"/>
      <c r="AQ174" s="111"/>
    </row>
    <row r="175" spans="3:43">
      <c r="C175" s="42"/>
      <c r="F175" s="164"/>
      <c r="H175" s="164"/>
      <c r="J175" s="164"/>
      <c r="K175" s="331"/>
      <c r="L175" s="331"/>
      <c r="M175" s="45"/>
      <c r="N175" s="45"/>
      <c r="O175" s="46"/>
      <c r="P175" s="46"/>
      <c r="Q175" s="164"/>
      <c r="R175" s="45"/>
    </row>
    <row r="176" spans="3:43">
      <c r="F176" s="50"/>
      <c r="H176" s="50"/>
      <c r="J176" s="50"/>
      <c r="K176" s="326"/>
      <c r="L176" s="326"/>
      <c r="M176" s="50"/>
      <c r="N176" s="50"/>
      <c r="O176" s="50"/>
      <c r="P176" s="50"/>
      <c r="Q176" s="50"/>
      <c r="R176" s="50"/>
      <c r="T176" s="42"/>
      <c r="AA176" s="45"/>
      <c r="AB176" s="45"/>
      <c r="AC176" s="45"/>
      <c r="AD176" s="45"/>
      <c r="AI176" s="45"/>
      <c r="AJ176" s="45"/>
      <c r="AL176" s="45"/>
    </row>
    <row r="177" spans="1:38">
      <c r="C177" s="42"/>
      <c r="F177" s="45"/>
      <c r="H177" s="45"/>
      <c r="J177" s="45"/>
      <c r="K177" s="47"/>
      <c r="L177" s="47"/>
      <c r="M177" s="45"/>
      <c r="N177" s="45"/>
      <c r="O177" s="46"/>
      <c r="P177" s="46"/>
      <c r="Q177" s="45"/>
      <c r="R177" s="45"/>
    </row>
    <row r="178" spans="1:38">
      <c r="F178" s="50"/>
      <c r="H178" s="50"/>
      <c r="J178" s="50"/>
      <c r="K178" s="326"/>
      <c r="L178" s="326"/>
      <c r="M178" s="50"/>
      <c r="N178" s="50"/>
      <c r="O178" s="50"/>
      <c r="P178" s="50"/>
      <c r="Q178" s="50"/>
      <c r="R178" s="50"/>
    </row>
    <row r="179" spans="1:38">
      <c r="C179" s="42"/>
      <c r="F179" s="45"/>
      <c r="H179" s="45"/>
      <c r="J179" s="45"/>
      <c r="K179" s="47"/>
      <c r="L179" s="47"/>
      <c r="M179" s="45"/>
      <c r="N179" s="45"/>
      <c r="O179" s="46"/>
      <c r="P179" s="46"/>
      <c r="Q179" s="45"/>
      <c r="R179" s="45"/>
      <c r="Y179" s="42"/>
    </row>
    <row r="180" spans="1:38">
      <c r="C180" s="42"/>
      <c r="F180" s="45"/>
      <c r="H180" s="45"/>
      <c r="I180" s="45"/>
      <c r="J180" s="47"/>
      <c r="K180" s="47"/>
      <c r="L180" s="45"/>
      <c r="M180" s="45"/>
      <c r="N180" s="46"/>
      <c r="O180" s="46"/>
      <c r="P180" s="45"/>
      <c r="Q180" s="45"/>
      <c r="R180" s="45"/>
    </row>
    <row r="181" spans="1:38">
      <c r="F181" s="50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AA181" s="42"/>
      <c r="AB181" s="42"/>
    </row>
    <row r="182" spans="1:38">
      <c r="F182" s="45"/>
      <c r="H182" s="45"/>
      <c r="I182" s="45"/>
      <c r="J182" s="47"/>
      <c r="K182" s="47"/>
      <c r="L182" s="45"/>
      <c r="M182" s="45"/>
      <c r="N182" s="45"/>
      <c r="O182" s="45"/>
      <c r="P182" s="45"/>
      <c r="Q182" s="45"/>
      <c r="R182" s="45"/>
      <c r="AK182" s="110"/>
      <c r="AL182" s="42"/>
    </row>
    <row r="183" spans="1:38">
      <c r="C183" s="42"/>
      <c r="F183" s="45"/>
      <c r="H183" s="45"/>
      <c r="I183" s="45"/>
      <c r="J183" s="47"/>
      <c r="K183" s="47"/>
      <c r="L183" s="45"/>
      <c r="M183" s="45"/>
      <c r="N183" s="45"/>
      <c r="O183" s="45"/>
      <c r="P183" s="45"/>
      <c r="Q183" s="45"/>
      <c r="R183" s="45"/>
      <c r="AK183" s="110"/>
      <c r="AL183" s="42"/>
    </row>
    <row r="184" spans="1:38">
      <c r="A184" s="42"/>
      <c r="AK184" s="110"/>
      <c r="AL184" s="42"/>
    </row>
    <row r="186" spans="1:38">
      <c r="H186" s="42"/>
      <c r="I186" s="42"/>
      <c r="Y186" s="42"/>
    </row>
    <row r="188" spans="1:38">
      <c r="L188" s="42"/>
      <c r="M188" s="42"/>
      <c r="AA188" s="42"/>
      <c r="AB188" s="42"/>
    </row>
    <row r="189" spans="1:38">
      <c r="R189" s="42"/>
      <c r="AK189" s="110"/>
      <c r="AL189" s="42"/>
    </row>
    <row r="190" spans="1:38">
      <c r="R190" s="42"/>
      <c r="AK190" s="110"/>
      <c r="AL190" s="42"/>
    </row>
    <row r="191" spans="1:38">
      <c r="A191" s="42"/>
      <c r="R191" s="42"/>
      <c r="AK191" s="110"/>
      <c r="AL191" s="42"/>
    </row>
    <row r="192" spans="1:38">
      <c r="L192" s="42"/>
      <c r="M192" s="42"/>
      <c r="AA192" s="42"/>
      <c r="AB192" s="42"/>
    </row>
    <row r="193" spans="1:40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107"/>
      <c r="AH193" s="49"/>
      <c r="AI193" s="49"/>
      <c r="AJ193" s="49"/>
      <c r="AK193" s="107"/>
      <c r="AL193" s="49"/>
      <c r="AM193" s="49"/>
      <c r="AN193" s="49"/>
    </row>
    <row r="194" spans="1:40">
      <c r="L194" s="44"/>
      <c r="M194" s="44"/>
      <c r="N194" s="44"/>
      <c r="O194" s="44"/>
      <c r="R194" s="44"/>
      <c r="AA194" s="44"/>
      <c r="AB194" s="44"/>
      <c r="AC194" s="44"/>
      <c r="AD194" s="44"/>
      <c r="AE194" s="44"/>
      <c r="AF194" s="44"/>
      <c r="AG194" s="102"/>
      <c r="AH194" s="44"/>
      <c r="AK194" s="102"/>
      <c r="AL194" s="44"/>
      <c r="AM194" s="44"/>
      <c r="AN194" s="44"/>
    </row>
    <row r="195" spans="1:40">
      <c r="L195" s="44"/>
      <c r="M195" s="44"/>
      <c r="N195" s="44"/>
      <c r="O195" s="44"/>
      <c r="R195" s="44"/>
      <c r="Z195" s="44"/>
      <c r="AA195" s="44"/>
      <c r="AB195" s="44"/>
      <c r="AC195" s="44"/>
      <c r="AD195" s="44"/>
      <c r="AE195" s="44"/>
      <c r="AF195" s="44"/>
      <c r="AG195" s="102"/>
      <c r="AH195" s="44"/>
      <c r="AK195" s="102"/>
      <c r="AL195" s="44"/>
      <c r="AM195" s="44"/>
      <c r="AN195" s="44"/>
    </row>
    <row r="196" spans="1:40">
      <c r="A196" s="44"/>
      <c r="C196" s="44"/>
      <c r="D196" s="44"/>
      <c r="E196" s="44"/>
      <c r="F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>
      <c r="A197" s="44"/>
      <c r="C197" s="44"/>
      <c r="D197" s="44"/>
      <c r="E197" s="44"/>
      <c r="F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T197" s="44"/>
      <c r="U197" s="44"/>
      <c r="V197" s="44"/>
      <c r="Y197" s="44"/>
      <c r="Z197" s="44"/>
      <c r="AA197" s="44"/>
      <c r="AB197" s="44"/>
      <c r="AC197" s="44"/>
      <c r="AD197" s="44"/>
      <c r="AE197" s="44"/>
      <c r="AF197" s="44"/>
      <c r="AG197" s="102"/>
      <c r="AH197" s="44"/>
      <c r="AI197" s="44"/>
      <c r="AJ197" s="44"/>
      <c r="AK197" s="102"/>
      <c r="AL197" s="44"/>
      <c r="AM197" s="44"/>
      <c r="AN197" s="44"/>
    </row>
    <row r="198" spans="1:40">
      <c r="C198" s="44"/>
      <c r="D198" s="44"/>
      <c r="E198" s="44"/>
      <c r="F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T198" s="44"/>
      <c r="U198" s="44"/>
      <c r="V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107"/>
      <c r="AH199" s="49"/>
      <c r="AI199" s="49"/>
      <c r="AJ199" s="49"/>
      <c r="AK199" s="107"/>
      <c r="AL199" s="49"/>
      <c r="AM199" s="49"/>
      <c r="AN199" s="49"/>
    </row>
    <row r="200" spans="1:40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Y200" s="44"/>
      <c r="Z200" s="44"/>
      <c r="AA200" s="44"/>
      <c r="AB200" s="44"/>
      <c r="AC200" s="44"/>
      <c r="AD200" s="44"/>
      <c r="AE200" s="44"/>
      <c r="AF200" s="44"/>
      <c r="AG200" s="102"/>
      <c r="AH200" s="44"/>
      <c r="AI200" s="44"/>
      <c r="AJ200" s="44"/>
      <c r="AK200" s="102"/>
      <c r="AL200" s="44"/>
      <c r="AM200" s="44"/>
      <c r="AN200" s="44"/>
    </row>
    <row r="201" spans="1:40">
      <c r="C201" s="42"/>
      <c r="D201" s="42"/>
      <c r="E201" s="42"/>
      <c r="T201" s="42"/>
      <c r="U201" s="42"/>
    </row>
    <row r="203" spans="1:40">
      <c r="C203" s="42"/>
      <c r="F203" s="164"/>
      <c r="H203" s="329"/>
      <c r="I203" s="329"/>
      <c r="J203" s="316"/>
      <c r="K203" s="316"/>
      <c r="L203" s="45"/>
      <c r="M203" s="45"/>
      <c r="R203" s="45"/>
      <c r="T203" s="42"/>
      <c r="V203" s="45"/>
      <c r="Z203" s="316"/>
      <c r="AA203" s="45"/>
      <c r="AB203" s="45"/>
      <c r="AE203" s="45"/>
      <c r="AF203" s="45"/>
      <c r="AG203" s="333"/>
      <c r="AH203" s="334"/>
      <c r="AI203" s="45"/>
      <c r="AJ203" s="45"/>
      <c r="AL203" s="45"/>
      <c r="AM203" s="335"/>
      <c r="AN203" s="335"/>
    </row>
    <row r="204" spans="1:40">
      <c r="F204" s="164"/>
      <c r="H204" s="329"/>
      <c r="I204" s="329"/>
      <c r="J204" s="329"/>
      <c r="K204" s="329"/>
      <c r="R204" s="45"/>
      <c r="V204" s="45"/>
      <c r="Z204" s="329"/>
    </row>
    <row r="205" spans="1:40">
      <c r="C205" s="42"/>
      <c r="F205" s="164"/>
      <c r="H205" s="164"/>
      <c r="I205" s="164"/>
      <c r="J205" s="331"/>
      <c r="K205" s="331"/>
      <c r="L205" s="45"/>
      <c r="M205" s="45"/>
      <c r="N205" s="46"/>
      <c r="O205" s="46"/>
      <c r="P205" s="164"/>
      <c r="Q205" s="164"/>
      <c r="R205" s="45"/>
      <c r="T205" s="42"/>
      <c r="V205" s="45"/>
      <c r="Y205" s="45"/>
      <c r="Z205" s="325"/>
      <c r="AA205" s="45"/>
      <c r="AB205" s="45"/>
      <c r="AC205" s="46"/>
      <c r="AD205" s="46"/>
      <c r="AE205" s="45"/>
      <c r="AF205" s="45"/>
      <c r="AH205" s="51"/>
      <c r="AI205" s="164"/>
      <c r="AJ205" s="164"/>
      <c r="AL205" s="45"/>
      <c r="AM205" s="46"/>
      <c r="AN205" s="46"/>
    </row>
    <row r="206" spans="1:40">
      <c r="F206" s="50"/>
      <c r="H206" s="50"/>
      <c r="I206" s="50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50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</row>
    <row r="207" spans="1:40">
      <c r="D207" s="42"/>
      <c r="E207" s="42"/>
      <c r="F207" s="45"/>
      <c r="H207" s="45"/>
      <c r="I207" s="45"/>
      <c r="J207" s="47"/>
      <c r="K207" s="47"/>
      <c r="L207" s="45"/>
      <c r="M207" s="45"/>
      <c r="N207" s="46"/>
      <c r="O207" s="46"/>
      <c r="P207" s="45"/>
      <c r="Q207" s="45"/>
      <c r="R207" s="45"/>
      <c r="U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1:40">
      <c r="F208" s="50"/>
      <c r="H208" s="50"/>
      <c r="I208" s="50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50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</row>
    <row r="209" spans="3:40">
      <c r="R209" s="45"/>
    </row>
    <row r="210" spans="3:40">
      <c r="R210" s="45"/>
    </row>
    <row r="211" spans="3:40">
      <c r="R211" s="45"/>
    </row>
    <row r="212" spans="3:40">
      <c r="C212" s="42"/>
      <c r="D212" s="42"/>
      <c r="E212" s="42"/>
      <c r="H212" s="45"/>
      <c r="I212" s="45"/>
      <c r="J212" s="47"/>
      <c r="K212" s="47"/>
      <c r="L212" s="45"/>
      <c r="M212" s="45"/>
      <c r="N212" s="46"/>
      <c r="O212" s="46"/>
      <c r="P212" s="45"/>
      <c r="Q212" s="45"/>
      <c r="R212" s="45"/>
      <c r="T212" s="42"/>
      <c r="U212" s="42"/>
      <c r="Y212" s="45"/>
      <c r="Z212" s="47"/>
      <c r="AA212" s="45"/>
      <c r="AB212" s="45"/>
      <c r="AC212" s="46"/>
      <c r="AD212" s="46"/>
    </row>
    <row r="213" spans="3:40">
      <c r="H213" s="45"/>
      <c r="I213" s="45"/>
      <c r="J213" s="47"/>
      <c r="K213" s="47"/>
      <c r="L213" s="45"/>
      <c r="M213" s="45"/>
      <c r="N213" s="46"/>
      <c r="O213" s="46"/>
      <c r="P213" s="45"/>
      <c r="Q213" s="45"/>
      <c r="R213" s="45"/>
      <c r="Y213" s="45"/>
      <c r="Z213" s="47"/>
      <c r="AA213" s="45"/>
      <c r="AB213" s="45"/>
      <c r="AC213" s="46"/>
      <c r="AD213" s="46"/>
    </row>
    <row r="214" spans="3:40">
      <c r="C214" s="42"/>
      <c r="F214" s="164"/>
      <c r="H214" s="164"/>
      <c r="I214" s="164"/>
      <c r="J214" s="52"/>
      <c r="K214" s="52"/>
      <c r="L214" s="164"/>
      <c r="M214" s="164"/>
      <c r="N214" s="46"/>
      <c r="O214" s="46"/>
      <c r="P214" s="45"/>
      <c r="Q214" s="45"/>
      <c r="R214" s="45"/>
      <c r="T214" s="42"/>
      <c r="V214" s="45"/>
      <c r="Y214" s="45"/>
      <c r="Z214" s="52"/>
      <c r="AA214" s="45"/>
      <c r="AB214" s="45"/>
      <c r="AC214" s="46"/>
      <c r="AD214" s="46"/>
      <c r="AE214" s="45"/>
      <c r="AF214" s="45"/>
      <c r="AH214" s="51"/>
      <c r="AI214" s="45"/>
      <c r="AJ214" s="45"/>
      <c r="AL214" s="45"/>
      <c r="AM214" s="46"/>
      <c r="AN214" s="46"/>
    </row>
    <row r="215" spans="3:40">
      <c r="F215" s="164"/>
      <c r="H215" s="329"/>
      <c r="I215" s="329"/>
      <c r="J215" s="329"/>
      <c r="K215" s="329"/>
      <c r="R215" s="45"/>
      <c r="V215" s="45"/>
      <c r="Z215" s="329"/>
    </row>
    <row r="216" spans="3:40">
      <c r="C216" s="42"/>
      <c r="F216" s="164"/>
      <c r="H216" s="164"/>
      <c r="I216" s="164"/>
      <c r="J216" s="316"/>
      <c r="K216" s="316"/>
      <c r="L216" s="45"/>
      <c r="M216" s="45"/>
      <c r="N216" s="46"/>
      <c r="O216" s="46"/>
      <c r="P216" s="45"/>
      <c r="Q216" s="45"/>
      <c r="R216" s="45"/>
      <c r="T216" s="42"/>
      <c r="V216" s="45"/>
      <c r="Y216" s="45"/>
      <c r="Z216" s="316"/>
      <c r="AA216" s="45"/>
      <c r="AB216" s="45"/>
      <c r="AC216" s="46"/>
      <c r="AD216" s="46"/>
      <c r="AE216" s="45"/>
      <c r="AF216" s="45"/>
      <c r="AH216" s="51"/>
      <c r="AI216" s="45"/>
      <c r="AJ216" s="45"/>
      <c r="AL216" s="45"/>
      <c r="AM216" s="46"/>
      <c r="AN216" s="46"/>
    </row>
    <row r="217" spans="3:40">
      <c r="F217" s="164"/>
      <c r="H217" s="329"/>
      <c r="I217" s="329"/>
      <c r="J217" s="329"/>
      <c r="K217" s="329"/>
      <c r="R217" s="45"/>
      <c r="V217" s="45"/>
      <c r="Z217" s="329"/>
    </row>
    <row r="218" spans="3:40">
      <c r="C218" s="42"/>
      <c r="F218" s="164"/>
      <c r="H218" s="164"/>
      <c r="I218" s="164"/>
      <c r="J218" s="331"/>
      <c r="K218" s="331"/>
      <c r="L218" s="45"/>
      <c r="M218" s="45"/>
      <c r="N218" s="46"/>
      <c r="O218" s="46"/>
      <c r="P218" s="45"/>
      <c r="Q218" s="45"/>
      <c r="R218" s="45"/>
      <c r="T218" s="42"/>
      <c r="V218" s="45"/>
      <c r="Y218" s="45"/>
      <c r="Z218" s="325"/>
      <c r="AA218" s="45"/>
      <c r="AB218" s="45"/>
      <c r="AC218" s="46"/>
      <c r="AD218" s="46"/>
      <c r="AE218" s="45"/>
      <c r="AF218" s="45"/>
      <c r="AH218" s="51"/>
      <c r="AI218" s="45"/>
      <c r="AJ218" s="45"/>
      <c r="AL218" s="45"/>
      <c r="AM218" s="46"/>
      <c r="AN218" s="46"/>
    </row>
    <row r="219" spans="3:40">
      <c r="F219" s="50"/>
      <c r="H219" s="50"/>
      <c r="I219" s="50"/>
      <c r="J219" s="326"/>
      <c r="K219" s="326"/>
      <c r="L219" s="50"/>
      <c r="M219" s="50"/>
      <c r="N219" s="50"/>
      <c r="O219" s="50"/>
      <c r="P219" s="50"/>
      <c r="Q219" s="50"/>
      <c r="R219" s="50"/>
      <c r="S219" s="45"/>
      <c r="V219" s="50"/>
      <c r="Y219" s="50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</row>
    <row r="220" spans="3:40">
      <c r="D220" s="42"/>
      <c r="E220" s="42"/>
      <c r="F220" s="45"/>
      <c r="H220" s="45"/>
      <c r="I220" s="45"/>
      <c r="J220" s="47"/>
      <c r="K220" s="47"/>
      <c r="L220" s="45"/>
      <c r="M220" s="45"/>
      <c r="N220" s="46"/>
      <c r="O220" s="46"/>
      <c r="P220" s="164"/>
      <c r="Q220" s="164"/>
      <c r="R220" s="45"/>
      <c r="S220" s="45"/>
      <c r="U220" s="42"/>
      <c r="V220" s="45"/>
      <c r="Y220" s="45"/>
      <c r="Z220" s="47"/>
      <c r="AA220" s="45"/>
      <c r="AB220" s="45"/>
      <c r="AC220" s="46"/>
      <c r="AD220" s="46"/>
      <c r="AE220" s="45"/>
      <c r="AF220" s="45"/>
      <c r="AH220" s="51"/>
      <c r="AI220" s="164"/>
      <c r="AJ220" s="164"/>
      <c r="AL220" s="45"/>
      <c r="AM220" s="46"/>
      <c r="AN220" s="46"/>
    </row>
    <row r="221" spans="3:40">
      <c r="F221" s="50"/>
      <c r="H221" s="50"/>
      <c r="I221" s="50"/>
      <c r="J221" s="326"/>
      <c r="K221" s="326"/>
      <c r="L221" s="50"/>
      <c r="M221" s="50"/>
      <c r="N221" s="50"/>
      <c r="O221" s="50"/>
      <c r="P221" s="50"/>
      <c r="Q221" s="50"/>
      <c r="R221" s="50"/>
      <c r="S221" s="45"/>
      <c r="V221" s="50"/>
      <c r="Y221" s="50"/>
      <c r="Z221" s="326"/>
      <c r="AA221" s="50"/>
      <c r="AB221" s="50"/>
      <c r="AC221" s="50"/>
      <c r="AD221" s="50"/>
      <c r="AE221" s="50"/>
      <c r="AF221" s="50"/>
      <c r="AI221" s="50"/>
      <c r="AJ221" s="50"/>
      <c r="AK221" s="111"/>
      <c r="AL221" s="50"/>
    </row>
    <row r="222" spans="3:40">
      <c r="R222" s="45"/>
    </row>
    <row r="223" spans="3:40">
      <c r="F223" s="45"/>
      <c r="H223" s="45"/>
      <c r="I223" s="45"/>
      <c r="J223" s="47"/>
      <c r="K223" s="47"/>
      <c r="L223" s="45"/>
      <c r="M223" s="45"/>
      <c r="N223" s="45"/>
      <c r="O223" s="45"/>
      <c r="P223" s="45"/>
      <c r="Q223" s="45"/>
      <c r="R223" s="45"/>
      <c r="V223" s="45"/>
      <c r="Y223" s="45"/>
      <c r="Z223" s="47"/>
      <c r="AA223" s="45"/>
      <c r="AB223" s="45"/>
      <c r="AC223" s="45"/>
      <c r="AD223" s="45"/>
    </row>
    <row r="224" spans="3:40">
      <c r="C224" s="42"/>
      <c r="F224" s="45"/>
      <c r="H224" s="45"/>
      <c r="I224" s="45"/>
      <c r="J224" s="47"/>
      <c r="K224" s="47"/>
      <c r="L224" s="45"/>
      <c r="M224" s="45"/>
      <c r="N224" s="45"/>
      <c r="O224" s="45"/>
      <c r="P224" s="45"/>
      <c r="Q224" s="45"/>
      <c r="R224" s="45"/>
      <c r="T224" s="42"/>
      <c r="V224" s="45"/>
      <c r="Y224" s="45"/>
      <c r="Z224" s="47"/>
      <c r="AA224" s="45"/>
      <c r="AB224" s="45"/>
      <c r="AC224" s="45"/>
      <c r="AD224" s="45"/>
    </row>
    <row r="225" spans="1:40">
      <c r="C225" s="42"/>
      <c r="T225" s="42"/>
    </row>
    <row r="226" spans="1:40">
      <c r="A226" s="42"/>
    </row>
    <row r="229" spans="1:40">
      <c r="H229" s="42"/>
      <c r="I229" s="42"/>
      <c r="Y229" s="42"/>
    </row>
    <row r="231" spans="1:40">
      <c r="L231" s="42"/>
      <c r="M231" s="42"/>
      <c r="AA231" s="42"/>
      <c r="AB231" s="42"/>
    </row>
    <row r="232" spans="1:40">
      <c r="R232" s="42"/>
      <c r="AK232" s="110"/>
      <c r="AL232" s="42"/>
    </row>
    <row r="233" spans="1:40">
      <c r="R233" s="42"/>
      <c r="AK233" s="110"/>
      <c r="AL233" s="42"/>
    </row>
    <row r="234" spans="1:40">
      <c r="A234" s="42"/>
      <c r="R234" s="42"/>
      <c r="AK234" s="110"/>
      <c r="AL234" s="42"/>
    </row>
    <row r="235" spans="1:40">
      <c r="L235" s="42"/>
      <c r="M235" s="42"/>
      <c r="AA235" s="42"/>
      <c r="AB235" s="42"/>
    </row>
    <row r="236" spans="1:40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107"/>
      <c r="AH236" s="49"/>
      <c r="AI236" s="49"/>
      <c r="AJ236" s="49"/>
      <c r="AK236" s="107"/>
      <c r="AL236" s="49"/>
      <c r="AM236" s="49"/>
      <c r="AN236" s="49"/>
    </row>
    <row r="237" spans="1:40">
      <c r="L237" s="44"/>
      <c r="M237" s="44"/>
      <c r="N237" s="44"/>
      <c r="O237" s="44"/>
      <c r="R237" s="44"/>
      <c r="AA237" s="44"/>
      <c r="AB237" s="44"/>
      <c r="AC237" s="44"/>
      <c r="AD237" s="44"/>
      <c r="AE237" s="44"/>
      <c r="AF237" s="44"/>
      <c r="AG237" s="102"/>
      <c r="AH237" s="44"/>
      <c r="AK237" s="102"/>
      <c r="AL237" s="44"/>
      <c r="AM237" s="44"/>
      <c r="AN237" s="44"/>
    </row>
    <row r="238" spans="1:40">
      <c r="L238" s="44"/>
      <c r="M238" s="44"/>
      <c r="N238" s="44"/>
      <c r="O238" s="44"/>
      <c r="R238" s="44"/>
      <c r="Z238" s="44"/>
      <c r="AA238" s="44"/>
      <c r="AB238" s="44"/>
      <c r="AC238" s="44"/>
      <c r="AD238" s="44"/>
      <c r="AE238" s="44"/>
      <c r="AF238" s="44"/>
      <c r="AG238" s="102"/>
      <c r="AH238" s="44"/>
      <c r="AK238" s="102"/>
      <c r="AL238" s="44"/>
      <c r="AM238" s="44"/>
      <c r="AN238" s="44"/>
    </row>
    <row r="239" spans="1:40">
      <c r="A239" s="44"/>
      <c r="C239" s="44"/>
      <c r="D239" s="44"/>
      <c r="E239" s="44"/>
      <c r="F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Z239" s="44"/>
      <c r="AA239" s="44"/>
      <c r="AB239" s="44"/>
      <c r="AC239" s="44"/>
      <c r="AD239" s="44"/>
      <c r="AE239" s="44"/>
      <c r="AF239" s="44"/>
      <c r="AG239" s="102"/>
      <c r="AH239" s="44"/>
      <c r="AI239" s="44"/>
      <c r="AJ239" s="44"/>
      <c r="AK239" s="102"/>
      <c r="AL239" s="44"/>
      <c r="AM239" s="44"/>
      <c r="AN239" s="44"/>
    </row>
    <row r="240" spans="1:40">
      <c r="A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Y240" s="44"/>
      <c r="Z240" s="44"/>
      <c r="AA240" s="44"/>
      <c r="AB240" s="44"/>
      <c r="AC240" s="44"/>
      <c r="AD240" s="44"/>
      <c r="AE240" s="44"/>
      <c r="AF240" s="44"/>
      <c r="AG240" s="102"/>
      <c r="AH240" s="44"/>
      <c r="AI240" s="44"/>
      <c r="AJ240" s="44"/>
      <c r="AK240" s="102"/>
      <c r="AL240" s="44"/>
      <c r="AM240" s="44"/>
      <c r="AN240" s="44"/>
    </row>
    <row r="241" spans="1:40"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1:40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107"/>
      <c r="AH242" s="49"/>
      <c r="AI242" s="49"/>
      <c r="AJ242" s="49"/>
      <c r="AK242" s="107"/>
      <c r="AL242" s="49"/>
      <c r="AM242" s="49"/>
      <c r="AN242" s="49"/>
    </row>
    <row r="243" spans="1:40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Y243" s="44"/>
      <c r="Z243" s="44"/>
      <c r="AA243" s="44"/>
      <c r="AB243" s="44"/>
      <c r="AC243" s="44"/>
      <c r="AD243" s="44"/>
      <c r="AE243" s="44"/>
      <c r="AF243" s="44"/>
      <c r="AG243" s="102"/>
      <c r="AH243" s="44"/>
      <c r="AI243" s="44"/>
      <c r="AJ243" s="44"/>
      <c r="AK243" s="102"/>
      <c r="AL243" s="44"/>
      <c r="AM243" s="44"/>
      <c r="AN243" s="44"/>
    </row>
    <row r="244" spans="1:40">
      <c r="C244" s="42"/>
      <c r="D244" s="42"/>
      <c r="E244" s="42"/>
      <c r="T244" s="42"/>
      <c r="U244" s="42"/>
    </row>
    <row r="245" spans="1:40">
      <c r="D245" s="42"/>
      <c r="E245" s="42"/>
      <c r="U245" s="42"/>
    </row>
    <row r="247" spans="1:40">
      <c r="C247" s="42"/>
      <c r="F247" s="45"/>
      <c r="J247" s="53"/>
      <c r="K247" s="53"/>
      <c r="L247" s="45"/>
      <c r="M247" s="45"/>
      <c r="R247" s="45"/>
      <c r="T247" s="42"/>
      <c r="V247" s="45"/>
      <c r="Z247" s="53"/>
      <c r="AA247" s="45"/>
      <c r="AB247" s="45"/>
      <c r="AL247" s="45"/>
    </row>
    <row r="248" spans="1:40">
      <c r="F248" s="45"/>
      <c r="R248" s="45"/>
      <c r="V248" s="45"/>
      <c r="AL248" s="45"/>
    </row>
    <row r="249" spans="1:40">
      <c r="C249" s="42"/>
      <c r="F249" s="164"/>
      <c r="H249" s="164"/>
      <c r="I249" s="164"/>
      <c r="J249" s="316"/>
      <c r="K249" s="316"/>
      <c r="L249" s="45"/>
      <c r="M249" s="45"/>
      <c r="N249" s="46"/>
      <c r="O249" s="46"/>
      <c r="P249" s="45"/>
      <c r="Q249" s="45"/>
      <c r="R249" s="45"/>
      <c r="T249" s="42"/>
      <c r="V249" s="45"/>
      <c r="Y249" s="45"/>
      <c r="Z249" s="316"/>
      <c r="AA249" s="45"/>
      <c r="AB249" s="45"/>
      <c r="AC249" s="46"/>
      <c r="AD249" s="46"/>
      <c r="AE249" s="45"/>
      <c r="AF249" s="45"/>
      <c r="AH249" s="51"/>
      <c r="AI249" s="45"/>
      <c r="AJ249" s="45"/>
      <c r="AL249" s="45"/>
      <c r="AM249" s="46"/>
      <c r="AN249" s="46"/>
    </row>
    <row r="250" spans="1:40">
      <c r="C250" s="42"/>
      <c r="F250" s="164"/>
      <c r="H250" s="329"/>
      <c r="I250" s="329"/>
      <c r="J250" s="316"/>
      <c r="K250" s="316"/>
      <c r="L250" s="45"/>
      <c r="M250" s="45"/>
      <c r="N250" s="46"/>
      <c r="O250" s="46"/>
      <c r="P250" s="45"/>
      <c r="Q250" s="45"/>
      <c r="R250" s="45"/>
      <c r="T250" s="42"/>
      <c r="V250" s="45"/>
      <c r="Y250" s="45"/>
      <c r="Z250" s="316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1:40">
      <c r="F251" s="50"/>
      <c r="H251" s="45"/>
      <c r="I251" s="45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45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1:40">
      <c r="C252" s="42"/>
      <c r="F252" s="45"/>
      <c r="H252" s="45"/>
      <c r="I252" s="45"/>
      <c r="J252" s="47"/>
      <c r="K252" s="47"/>
      <c r="L252" s="45"/>
      <c r="M252" s="45"/>
      <c r="N252" s="46"/>
      <c r="O252" s="46"/>
      <c r="P252" s="45"/>
      <c r="Q252" s="45"/>
      <c r="R252" s="45"/>
      <c r="T252" s="42"/>
      <c r="V252" s="45"/>
      <c r="Y252" s="45"/>
      <c r="Z252" s="47"/>
      <c r="AA252" s="45"/>
      <c r="AB252" s="45"/>
      <c r="AC252" s="46"/>
      <c r="AD252" s="46"/>
      <c r="AE252" s="45"/>
      <c r="AF252" s="45"/>
      <c r="AH252" s="51"/>
      <c r="AI252" s="45"/>
      <c r="AJ252" s="45"/>
      <c r="AL252" s="45"/>
      <c r="AM252" s="46"/>
      <c r="AN252" s="46"/>
    </row>
    <row r="253" spans="1:40">
      <c r="F253" s="50"/>
      <c r="H253" s="45"/>
      <c r="I253" s="45"/>
      <c r="J253" s="326"/>
      <c r="K253" s="326"/>
      <c r="L253" s="50"/>
      <c r="M253" s="50"/>
      <c r="N253" s="50"/>
      <c r="O253" s="50"/>
      <c r="P253" s="50"/>
      <c r="Q253" s="50"/>
      <c r="R253" s="50"/>
      <c r="V253" s="50"/>
      <c r="Y253" s="45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</row>
    <row r="254" spans="1:40">
      <c r="F254" s="45"/>
      <c r="R254" s="45"/>
      <c r="V254" s="45"/>
      <c r="AL254" s="45"/>
    </row>
    <row r="255" spans="1:40">
      <c r="C255" s="42"/>
      <c r="F255" s="45"/>
      <c r="R255" s="45"/>
      <c r="T255" s="42"/>
      <c r="V255" s="45"/>
      <c r="AL255" s="45"/>
    </row>
    <row r="256" spans="1:40">
      <c r="F256" s="45"/>
      <c r="R256" s="45"/>
      <c r="V256" s="45"/>
      <c r="AL256" s="45"/>
    </row>
    <row r="257" spans="1:40">
      <c r="C257" s="42"/>
      <c r="F257" s="45"/>
      <c r="H257" s="164"/>
      <c r="I257" s="164"/>
      <c r="J257" s="331"/>
      <c r="K257" s="331"/>
      <c r="L257" s="45"/>
      <c r="M257" s="45"/>
      <c r="N257" s="46"/>
      <c r="O257" s="46"/>
      <c r="P257" s="164"/>
      <c r="Q257" s="164"/>
      <c r="R257" s="45"/>
      <c r="T257" s="42"/>
      <c r="V257" s="45"/>
      <c r="Y257" s="45"/>
      <c r="Z257" s="325"/>
      <c r="AA257" s="45"/>
      <c r="AB257" s="45"/>
      <c r="AC257" s="46"/>
      <c r="AD257" s="46"/>
      <c r="AE257" s="45"/>
      <c r="AF257" s="45"/>
      <c r="AH257" s="51"/>
      <c r="AI257" s="164"/>
      <c r="AJ257" s="164"/>
      <c r="AL257" s="45"/>
      <c r="AM257" s="46"/>
      <c r="AN257" s="46"/>
    </row>
    <row r="258" spans="1:40">
      <c r="F258" s="50"/>
      <c r="H258" s="50"/>
      <c r="I258" s="50"/>
      <c r="J258" s="326"/>
      <c r="K258" s="326"/>
      <c r="L258" s="50"/>
      <c r="M258" s="50"/>
      <c r="N258" s="50"/>
      <c r="O258" s="50"/>
      <c r="P258" s="50"/>
      <c r="Q258" s="50"/>
      <c r="R258" s="50"/>
      <c r="V258" s="50"/>
      <c r="Y258" s="50"/>
      <c r="Z258" s="326"/>
      <c r="AA258" s="50"/>
      <c r="AB258" s="50"/>
      <c r="AC258" s="50"/>
      <c r="AD258" s="50"/>
      <c r="AE258" s="50"/>
      <c r="AF258" s="50"/>
      <c r="AI258" s="50"/>
      <c r="AJ258" s="50"/>
      <c r="AK258" s="111"/>
      <c r="AL258" s="50"/>
    </row>
    <row r="260" spans="1:40">
      <c r="C260" s="42"/>
      <c r="F260" s="45"/>
      <c r="H260" s="45"/>
      <c r="I260" s="45"/>
      <c r="J260" s="53"/>
      <c r="K260" s="53"/>
      <c r="L260" s="45"/>
      <c r="M260" s="45"/>
      <c r="N260" s="46"/>
      <c r="O260" s="46"/>
      <c r="P260" s="45"/>
      <c r="Q260" s="45"/>
      <c r="R260" s="45"/>
      <c r="T260" s="42"/>
      <c r="V260" s="45"/>
      <c r="Y260" s="45"/>
      <c r="Z260" s="53"/>
      <c r="AA260" s="45"/>
      <c r="AB260" s="45"/>
      <c r="AC260" s="46"/>
      <c r="AD260" s="46"/>
      <c r="AE260" s="45"/>
      <c r="AF260" s="45"/>
      <c r="AH260" s="51"/>
      <c r="AI260" s="45"/>
      <c r="AJ260" s="45"/>
      <c r="AL260" s="45"/>
      <c r="AM260" s="46"/>
      <c r="AN260" s="46"/>
    </row>
    <row r="261" spans="1:40">
      <c r="F261" s="50"/>
      <c r="H261" s="50"/>
      <c r="I261" s="50"/>
      <c r="J261" s="326"/>
      <c r="K261" s="326"/>
      <c r="L261" s="50"/>
      <c r="M261" s="50"/>
      <c r="N261" s="50"/>
      <c r="O261" s="50"/>
      <c r="P261" s="50"/>
      <c r="Q261" s="50"/>
      <c r="R261" s="50"/>
      <c r="V261" s="50"/>
      <c r="Y261" s="50"/>
      <c r="Z261" s="326"/>
      <c r="AA261" s="50"/>
      <c r="AB261" s="50"/>
      <c r="AC261" s="50"/>
      <c r="AD261" s="50"/>
      <c r="AE261" s="50"/>
      <c r="AF261" s="50"/>
      <c r="AI261" s="50"/>
      <c r="AJ261" s="50"/>
      <c r="AK261" s="111"/>
      <c r="AL261" s="50"/>
    </row>
    <row r="262" spans="1:40">
      <c r="R262" s="45"/>
      <c r="AH262" s="45"/>
    </row>
    <row r="263" spans="1:40">
      <c r="F263" s="45"/>
      <c r="H263" s="45"/>
      <c r="I263" s="45"/>
      <c r="J263" s="47"/>
      <c r="K263" s="47"/>
      <c r="L263" s="45"/>
      <c r="M263" s="45"/>
      <c r="N263" s="45"/>
      <c r="O263" s="45"/>
      <c r="P263" s="45"/>
      <c r="Q263" s="45"/>
      <c r="R263" s="45"/>
      <c r="V263" s="45"/>
      <c r="Y263" s="45"/>
      <c r="Z263" s="47"/>
      <c r="AA263" s="45"/>
      <c r="AB263" s="45"/>
      <c r="AC263" s="45"/>
      <c r="AD263" s="45"/>
      <c r="AE263" s="45"/>
      <c r="AF263" s="45"/>
      <c r="AH263" s="45"/>
    </row>
    <row r="264" spans="1:40">
      <c r="C264" s="42"/>
      <c r="F264" s="45"/>
      <c r="H264" s="45"/>
      <c r="I264" s="45"/>
      <c r="J264" s="47"/>
      <c r="K264" s="47"/>
      <c r="L264" s="45"/>
      <c r="M264" s="45"/>
      <c r="N264" s="45"/>
      <c r="O264" s="45"/>
      <c r="P264" s="45"/>
      <c r="Q264" s="45"/>
      <c r="R264" s="45"/>
      <c r="T264" s="42"/>
      <c r="V264" s="45"/>
      <c r="Y264" s="45"/>
      <c r="Z264" s="47"/>
      <c r="AA264" s="45"/>
      <c r="AB264" s="45"/>
      <c r="AC264" s="45"/>
      <c r="AD264" s="45"/>
      <c r="AE264" s="45"/>
      <c r="AF264" s="45"/>
      <c r="AH264" s="45"/>
    </row>
    <row r="265" spans="1:40">
      <c r="A265" s="42"/>
    </row>
    <row r="268" spans="1:40">
      <c r="H268" s="42"/>
      <c r="I268" s="42"/>
      <c r="Y268" s="42"/>
    </row>
    <row r="270" spans="1:40">
      <c r="L270" s="42"/>
      <c r="M270" s="42"/>
      <c r="AA270" s="42"/>
      <c r="AB270" s="42"/>
    </row>
    <row r="271" spans="1:40">
      <c r="R271" s="42"/>
      <c r="AK271" s="110"/>
      <c r="AL271" s="42"/>
    </row>
    <row r="272" spans="1:40">
      <c r="R272" s="42"/>
      <c r="AK272" s="110"/>
      <c r="AL272" s="42"/>
    </row>
    <row r="273" spans="1:40">
      <c r="A273" s="42"/>
      <c r="R273" s="42"/>
      <c r="AK273" s="110"/>
      <c r="AL273" s="42"/>
    </row>
    <row r="274" spans="1:40">
      <c r="L274" s="42"/>
      <c r="M274" s="42"/>
      <c r="AA274" s="42"/>
      <c r="AB274" s="42"/>
    </row>
    <row r="275" spans="1:40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107"/>
      <c r="AH275" s="49"/>
      <c r="AI275" s="49"/>
      <c r="AJ275" s="49"/>
      <c r="AK275" s="107"/>
      <c r="AL275" s="49"/>
      <c r="AM275" s="49"/>
      <c r="AN275" s="49"/>
    </row>
    <row r="276" spans="1:40">
      <c r="L276" s="44"/>
      <c r="M276" s="44"/>
      <c r="N276" s="44"/>
      <c r="O276" s="44"/>
      <c r="R276" s="44"/>
      <c r="AA276" s="44"/>
      <c r="AB276" s="44"/>
      <c r="AC276" s="44"/>
      <c r="AD276" s="44"/>
      <c r="AE276" s="44"/>
      <c r="AF276" s="44"/>
      <c r="AG276" s="102"/>
      <c r="AH276" s="44"/>
      <c r="AK276" s="102"/>
      <c r="AL276" s="44"/>
      <c r="AM276" s="44"/>
      <c r="AN276" s="44"/>
    </row>
    <row r="277" spans="1:40">
      <c r="L277" s="44"/>
      <c r="M277" s="44"/>
      <c r="N277" s="44"/>
      <c r="O277" s="44"/>
      <c r="R277" s="44"/>
      <c r="Z277" s="44"/>
      <c r="AA277" s="44"/>
      <c r="AB277" s="44"/>
      <c r="AC277" s="44"/>
      <c r="AD277" s="44"/>
      <c r="AE277" s="44"/>
      <c r="AF277" s="44"/>
      <c r="AG277" s="102"/>
      <c r="AH277" s="44"/>
      <c r="AK277" s="102"/>
      <c r="AL277" s="44"/>
      <c r="AM277" s="44"/>
      <c r="AN277" s="44"/>
    </row>
    <row r="278" spans="1:40">
      <c r="A278" s="44"/>
      <c r="C278" s="44"/>
      <c r="D278" s="44"/>
      <c r="E278" s="44"/>
      <c r="F278" s="44"/>
      <c r="J278" s="44"/>
      <c r="K278" s="44"/>
      <c r="L278" s="44"/>
      <c r="M278" s="44"/>
      <c r="N278" s="44"/>
      <c r="O278" s="44"/>
      <c r="P278" s="44"/>
      <c r="Q278" s="44"/>
      <c r="R278" s="44"/>
      <c r="T278" s="44"/>
      <c r="U278" s="44"/>
      <c r="V278" s="44"/>
      <c r="Z278" s="44"/>
      <c r="AA278" s="44"/>
      <c r="AB278" s="44"/>
      <c r="AC278" s="44"/>
      <c r="AD278" s="44"/>
      <c r="AE278" s="44"/>
      <c r="AF278" s="44"/>
      <c r="AG278" s="102"/>
      <c r="AH278" s="44"/>
      <c r="AI278" s="44"/>
      <c r="AJ278" s="44"/>
      <c r="AK278" s="102"/>
      <c r="AL278" s="44"/>
      <c r="AM278" s="44"/>
      <c r="AN278" s="44"/>
    </row>
    <row r="279" spans="1:40">
      <c r="A279" s="44"/>
      <c r="C279" s="44"/>
      <c r="D279" s="44"/>
      <c r="E279" s="44"/>
      <c r="F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T279" s="44"/>
      <c r="U279" s="44"/>
      <c r="V279" s="44"/>
      <c r="Y279" s="44"/>
      <c r="Z279" s="44"/>
      <c r="AA279" s="44"/>
      <c r="AB279" s="44"/>
      <c r="AC279" s="44"/>
      <c r="AD279" s="44"/>
      <c r="AE279" s="44"/>
      <c r="AF279" s="44"/>
      <c r="AG279" s="102"/>
      <c r="AH279" s="44"/>
      <c r="AI279" s="44"/>
      <c r="AJ279" s="44"/>
      <c r="AK279" s="102"/>
      <c r="AL279" s="44"/>
      <c r="AM279" s="44"/>
      <c r="AN279" s="44"/>
    </row>
    <row r="280" spans="1:40">
      <c r="C280" s="44"/>
      <c r="D280" s="44"/>
      <c r="E280" s="44"/>
      <c r="F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T280" s="44"/>
      <c r="U280" s="44"/>
      <c r="V280" s="44"/>
      <c r="Y280" s="44"/>
      <c r="Z280" s="44"/>
      <c r="AA280" s="44"/>
      <c r="AB280" s="44"/>
      <c r="AC280" s="44"/>
      <c r="AD280" s="44"/>
      <c r="AE280" s="44"/>
      <c r="AF280" s="44"/>
      <c r="AG280" s="102"/>
      <c r="AH280" s="44"/>
      <c r="AI280" s="44"/>
      <c r="AJ280" s="44"/>
      <c r="AK280" s="102"/>
      <c r="AL280" s="44"/>
      <c r="AM280" s="44"/>
      <c r="AN280" s="44"/>
    </row>
    <row r="281" spans="1:40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107"/>
      <c r="AH281" s="49"/>
      <c r="AI281" s="49"/>
      <c r="AJ281" s="49"/>
      <c r="AK281" s="107"/>
      <c r="AL281" s="49"/>
      <c r="AM281" s="49"/>
      <c r="AN281" s="49"/>
    </row>
    <row r="282" spans="1:40"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Y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>
      <c r="C283" s="42"/>
      <c r="D283" s="42"/>
      <c r="E283" s="42"/>
      <c r="T283" s="42"/>
      <c r="U283" s="42"/>
    </row>
    <row r="284" spans="1:40">
      <c r="C284" s="42"/>
      <c r="T284" s="42"/>
    </row>
    <row r="286" spans="1:40">
      <c r="C286" s="42"/>
      <c r="F286" s="164"/>
      <c r="H286" s="164"/>
      <c r="I286" s="164"/>
      <c r="J286" s="316"/>
      <c r="K286" s="316"/>
      <c r="L286" s="45"/>
      <c r="M286" s="45"/>
      <c r="N286" s="46"/>
      <c r="O286" s="46"/>
      <c r="R286" s="45"/>
      <c r="T286" s="42"/>
      <c r="V286" s="45"/>
      <c r="Y286" s="164"/>
      <c r="Z286" s="316"/>
      <c r="AA286" s="45"/>
      <c r="AB286" s="45"/>
      <c r="AC286" s="46"/>
      <c r="AD286" s="46"/>
      <c r="AE286" s="45"/>
      <c r="AF286" s="45"/>
      <c r="AH286" s="51"/>
      <c r="AL286" s="45"/>
      <c r="AM286" s="46"/>
      <c r="AN286" s="46"/>
    </row>
    <row r="287" spans="1:40">
      <c r="F287" s="50"/>
      <c r="H287" s="45"/>
      <c r="I287" s="45"/>
      <c r="J287" s="326"/>
      <c r="K287" s="326"/>
      <c r="L287" s="50"/>
      <c r="M287" s="50"/>
      <c r="N287" s="50"/>
      <c r="O287" s="50"/>
      <c r="P287" s="50"/>
      <c r="Q287" s="50"/>
      <c r="R287" s="50"/>
      <c r="V287" s="50"/>
      <c r="Y287" s="45"/>
      <c r="Z287" s="326"/>
      <c r="AA287" s="50"/>
      <c r="AB287" s="50"/>
      <c r="AC287" s="50"/>
      <c r="AD287" s="50"/>
      <c r="AE287" s="50"/>
      <c r="AF287" s="50"/>
      <c r="AI287" s="50"/>
      <c r="AJ287" s="50"/>
      <c r="AK287" s="111"/>
      <c r="AL287" s="50"/>
      <c r="AM287" s="46"/>
      <c r="AN287" s="46"/>
    </row>
    <row r="288" spans="1:40">
      <c r="C288" s="42"/>
      <c r="F288" s="164"/>
      <c r="H288" s="164"/>
      <c r="I288" s="164"/>
      <c r="J288" s="336"/>
      <c r="K288" s="336"/>
      <c r="L288" s="45"/>
      <c r="M288" s="45"/>
      <c r="N288" s="46"/>
      <c r="O288" s="46"/>
      <c r="P288" s="45"/>
      <c r="Q288" s="45"/>
      <c r="R288" s="45"/>
      <c r="S288" s="45"/>
      <c r="T288" s="42"/>
      <c r="V288" s="164"/>
      <c r="Y288" s="164"/>
      <c r="Z288" s="336"/>
      <c r="AA288" s="45"/>
      <c r="AB288" s="45"/>
      <c r="AC288" s="46"/>
      <c r="AD288" s="46"/>
      <c r="AE288" s="45"/>
      <c r="AF288" s="45"/>
      <c r="AH288" s="46"/>
      <c r="AI288" s="45"/>
      <c r="AJ288" s="45"/>
      <c r="AL288" s="45"/>
      <c r="AM288" s="46"/>
      <c r="AN288" s="46"/>
    </row>
    <row r="289" spans="3:40">
      <c r="C289" s="42"/>
      <c r="F289" s="164"/>
      <c r="H289" s="164"/>
      <c r="I289" s="164"/>
      <c r="J289" s="316"/>
      <c r="K289" s="316"/>
      <c r="L289" s="45"/>
      <c r="M289" s="45"/>
      <c r="N289" s="46"/>
      <c r="O289" s="46"/>
      <c r="P289" s="45"/>
      <c r="Q289" s="45"/>
      <c r="R289" s="45"/>
      <c r="T289" s="42"/>
      <c r="V289" s="164"/>
      <c r="Y289" s="45"/>
      <c r="Z289" s="316"/>
      <c r="AA289" s="45"/>
      <c r="AB289" s="45"/>
      <c r="AC289" s="46"/>
      <c r="AD289" s="46"/>
      <c r="AE289" s="45"/>
      <c r="AF289" s="45"/>
      <c r="AH289" s="51"/>
      <c r="AI289" s="45"/>
      <c r="AJ289" s="45"/>
      <c r="AL289" s="45"/>
      <c r="AM289" s="46"/>
      <c r="AN289" s="46"/>
    </row>
    <row r="290" spans="3:40">
      <c r="C290" s="42"/>
      <c r="F290" s="164"/>
      <c r="H290" s="164"/>
      <c r="I290" s="164"/>
      <c r="J290" s="316"/>
      <c r="K290" s="316"/>
      <c r="L290" s="45"/>
      <c r="M290" s="45"/>
      <c r="N290" s="46"/>
      <c r="O290" s="46"/>
      <c r="P290" s="45"/>
      <c r="Q290" s="45"/>
      <c r="R290" s="45"/>
      <c r="T290" s="42"/>
      <c r="V290" s="164"/>
      <c r="Y290" s="45"/>
      <c r="Z290" s="316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3:40">
      <c r="F291" s="50"/>
      <c r="H291" s="50"/>
      <c r="I291" s="50"/>
      <c r="J291" s="326"/>
      <c r="K291" s="326"/>
      <c r="L291" s="50"/>
      <c r="M291" s="50"/>
      <c r="N291" s="50"/>
      <c r="O291" s="50"/>
      <c r="P291" s="50"/>
      <c r="Q291" s="50"/>
      <c r="R291" s="50"/>
      <c r="V291" s="50"/>
      <c r="Y291" s="50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  <c r="AM291" s="46"/>
      <c r="AN291" s="46"/>
    </row>
    <row r="292" spans="3:40">
      <c r="C292" s="42"/>
      <c r="F292" s="45"/>
      <c r="H292" s="45"/>
      <c r="I292" s="45"/>
      <c r="J292" s="47"/>
      <c r="K292" s="47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47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>
      <c r="F293" s="50"/>
      <c r="H293" s="50"/>
      <c r="I293" s="50"/>
      <c r="J293" s="326"/>
      <c r="K293" s="326"/>
      <c r="L293" s="50"/>
      <c r="M293" s="50"/>
      <c r="N293" s="50"/>
      <c r="O293" s="50"/>
      <c r="P293" s="50"/>
      <c r="Q293" s="50"/>
      <c r="R293" s="50"/>
      <c r="V293" s="50"/>
      <c r="Y293" s="50"/>
      <c r="Z293" s="326"/>
      <c r="AA293" s="50"/>
      <c r="AB293" s="50"/>
      <c r="AC293" s="50"/>
      <c r="AD293" s="50"/>
      <c r="AE293" s="50"/>
      <c r="AF293" s="50"/>
      <c r="AI293" s="50"/>
      <c r="AJ293" s="50"/>
      <c r="AK293" s="111"/>
      <c r="AL293" s="50"/>
      <c r="AM293" s="46"/>
      <c r="AN293" s="46"/>
    </row>
    <row r="294" spans="3:40">
      <c r="C294" s="42"/>
      <c r="F294" s="45"/>
      <c r="H294" s="45"/>
      <c r="I294" s="45"/>
      <c r="J294" s="47"/>
      <c r="K294" s="47"/>
      <c r="L294" s="45"/>
      <c r="M294" s="45"/>
      <c r="N294" s="46"/>
      <c r="O294" s="46"/>
      <c r="P294" s="45"/>
      <c r="Q294" s="45"/>
      <c r="R294" s="45"/>
      <c r="T294" s="42"/>
      <c r="V294" s="45"/>
      <c r="Y294" s="45"/>
      <c r="Z294" s="47"/>
      <c r="AA294" s="45"/>
      <c r="AB294" s="45"/>
      <c r="AC294" s="46"/>
      <c r="AD294" s="46"/>
      <c r="AE294" s="45"/>
      <c r="AF294" s="45"/>
      <c r="AH294" s="51"/>
      <c r="AI294" s="45"/>
      <c r="AJ294" s="45"/>
      <c r="AL294" s="45"/>
      <c r="AM294" s="46"/>
      <c r="AN294" s="46"/>
    </row>
    <row r="295" spans="3:40">
      <c r="C295" s="42"/>
      <c r="F295" s="45"/>
      <c r="H295" s="164"/>
      <c r="I295" s="164"/>
      <c r="J295" s="331"/>
      <c r="K295" s="331"/>
      <c r="L295" s="45"/>
      <c r="M295" s="45"/>
      <c r="N295" s="46"/>
      <c r="O295" s="46"/>
      <c r="P295" s="45"/>
      <c r="Q295" s="45"/>
      <c r="R295" s="45"/>
      <c r="T295" s="42"/>
      <c r="V295" s="45"/>
      <c r="Y295" s="45"/>
      <c r="Z295" s="325"/>
      <c r="AA295" s="45"/>
      <c r="AB295" s="45"/>
      <c r="AC295" s="46"/>
      <c r="AD295" s="46"/>
      <c r="AE295" s="45"/>
      <c r="AF295" s="45"/>
      <c r="AH295" s="51"/>
      <c r="AI295" s="45"/>
      <c r="AJ295" s="45"/>
      <c r="AL295" s="45"/>
      <c r="AM295" s="46"/>
      <c r="AN295" s="46"/>
    </row>
    <row r="296" spans="3:40">
      <c r="F296" s="50"/>
      <c r="H296" s="50"/>
      <c r="I296" s="50"/>
      <c r="J296" s="326"/>
      <c r="K296" s="326"/>
      <c r="L296" s="50"/>
      <c r="M296" s="50"/>
      <c r="N296" s="50"/>
      <c r="O296" s="50"/>
      <c r="P296" s="50"/>
      <c r="Q296" s="50"/>
      <c r="R296" s="50"/>
      <c r="V296" s="50"/>
      <c r="Y296" s="50"/>
      <c r="Z296" s="326"/>
      <c r="AA296" s="50"/>
      <c r="AB296" s="50"/>
      <c r="AC296" s="50"/>
      <c r="AD296" s="50"/>
      <c r="AE296" s="50"/>
      <c r="AF296" s="50"/>
      <c r="AI296" s="50"/>
      <c r="AJ296" s="50"/>
      <c r="AK296" s="111"/>
      <c r="AL296" s="50"/>
      <c r="AM296" s="46"/>
      <c r="AN296" s="46"/>
    </row>
    <row r="298" spans="3:40">
      <c r="C298" s="42"/>
      <c r="F298" s="45"/>
      <c r="H298" s="45"/>
      <c r="I298" s="45"/>
      <c r="J298" s="326"/>
      <c r="K298" s="326"/>
      <c r="L298" s="45"/>
      <c r="M298" s="45"/>
      <c r="N298" s="46"/>
      <c r="O298" s="46"/>
      <c r="P298" s="45"/>
      <c r="Q298" s="45"/>
      <c r="R298" s="45"/>
      <c r="S298" s="45"/>
      <c r="T298" s="42"/>
      <c r="V298" s="45"/>
      <c r="Y298" s="45"/>
      <c r="Z298" s="326"/>
      <c r="AA298" s="45"/>
      <c r="AB298" s="45"/>
      <c r="AC298" s="46"/>
      <c r="AD298" s="46"/>
      <c r="AE298" s="45"/>
      <c r="AF298" s="45"/>
      <c r="AH298" s="46"/>
      <c r="AI298" s="45"/>
      <c r="AJ298" s="45"/>
      <c r="AL298" s="45"/>
      <c r="AM298" s="46"/>
      <c r="AN298" s="46"/>
    </row>
    <row r="299" spans="3:40">
      <c r="F299" s="50"/>
      <c r="H299" s="50"/>
      <c r="I299" s="50"/>
      <c r="J299" s="326"/>
      <c r="K299" s="326"/>
      <c r="L299" s="50"/>
      <c r="M299" s="50"/>
      <c r="N299" s="50"/>
      <c r="O299" s="50"/>
      <c r="P299" s="50"/>
      <c r="Q299" s="50"/>
      <c r="R299" s="50"/>
      <c r="S299" s="45"/>
      <c r="V299" s="50"/>
      <c r="Y299" s="50"/>
      <c r="Z299" s="326"/>
      <c r="AA299" s="50"/>
      <c r="AB299" s="50"/>
      <c r="AC299" s="50"/>
      <c r="AD299" s="50"/>
      <c r="AE299" s="50"/>
      <c r="AF299" s="50"/>
      <c r="AI299" s="50"/>
      <c r="AJ299" s="50"/>
      <c r="AK299" s="111"/>
      <c r="AL299" s="50"/>
      <c r="AM299" s="46"/>
      <c r="AN299" s="46"/>
    </row>
    <row r="300" spans="3:40">
      <c r="C300" s="42"/>
      <c r="F300" s="164"/>
      <c r="H300" s="164"/>
      <c r="I300" s="164"/>
      <c r="J300" s="326"/>
      <c r="K300" s="326"/>
      <c r="L300" s="45"/>
      <c r="M300" s="45"/>
      <c r="N300" s="46"/>
      <c r="O300" s="46"/>
      <c r="P300" s="45"/>
      <c r="Q300" s="45"/>
      <c r="R300" s="45"/>
      <c r="S300" s="45"/>
      <c r="T300" s="42"/>
      <c r="V300" s="164"/>
      <c r="Y300" s="164"/>
      <c r="Z300" s="326"/>
      <c r="AA300" s="45"/>
      <c r="AB300" s="45"/>
      <c r="AC300" s="46"/>
      <c r="AD300" s="46"/>
      <c r="AE300" s="45"/>
      <c r="AF300" s="45"/>
      <c r="AI300" s="45"/>
      <c r="AJ300" s="45"/>
      <c r="AL300" s="45"/>
      <c r="AM300" s="46"/>
      <c r="AN300" s="46"/>
    </row>
    <row r="302" spans="3:40">
      <c r="C302" s="42"/>
      <c r="F302" s="164"/>
      <c r="H302" s="164"/>
      <c r="I302" s="164"/>
      <c r="J302" s="316"/>
      <c r="K302" s="316"/>
      <c r="L302" s="45"/>
      <c r="M302" s="45"/>
      <c r="N302" s="46"/>
      <c r="O302" s="46"/>
      <c r="R302" s="45"/>
      <c r="T302" s="42"/>
      <c r="V302" s="45"/>
      <c r="Y302" s="164"/>
      <c r="Z302" s="316"/>
      <c r="AA302" s="45"/>
      <c r="AB302" s="45"/>
      <c r="AC302" s="46"/>
      <c r="AD302" s="46"/>
      <c r="AE302" s="45"/>
      <c r="AF302" s="45"/>
      <c r="AH302" s="51"/>
      <c r="AL302" s="45"/>
      <c r="AM302" s="46"/>
      <c r="AN302" s="46"/>
    </row>
    <row r="303" spans="3:40">
      <c r="F303" s="50"/>
      <c r="H303" s="45"/>
      <c r="I303" s="45"/>
      <c r="J303" s="326"/>
      <c r="K303" s="326"/>
      <c r="L303" s="50"/>
      <c r="M303" s="50"/>
      <c r="N303" s="50"/>
      <c r="O303" s="50"/>
      <c r="P303" s="50"/>
      <c r="Q303" s="50"/>
      <c r="R303" s="50"/>
      <c r="V303" s="50"/>
      <c r="Y303" s="45"/>
      <c r="Z303" s="326"/>
      <c r="AA303" s="50"/>
      <c r="AB303" s="50"/>
      <c r="AC303" s="50"/>
      <c r="AD303" s="50"/>
      <c r="AE303" s="50"/>
      <c r="AF303" s="50"/>
      <c r="AI303" s="50"/>
      <c r="AJ303" s="50"/>
      <c r="AK303" s="111"/>
      <c r="AL303" s="50"/>
      <c r="AM303" s="46"/>
      <c r="AN303" s="46"/>
    </row>
    <row r="304" spans="3:40">
      <c r="C304" s="42"/>
      <c r="F304" s="164"/>
      <c r="H304" s="164"/>
      <c r="I304" s="164"/>
      <c r="J304" s="336"/>
      <c r="K304" s="336"/>
      <c r="L304" s="45"/>
      <c r="M304" s="45"/>
      <c r="N304" s="46"/>
      <c r="O304" s="46"/>
      <c r="P304" s="45"/>
      <c r="Q304" s="45"/>
      <c r="R304" s="45"/>
      <c r="S304" s="45"/>
      <c r="T304" s="42"/>
      <c r="V304" s="164"/>
      <c r="Y304" s="164"/>
      <c r="Z304" s="336"/>
      <c r="AA304" s="45"/>
      <c r="AB304" s="45"/>
      <c r="AC304" s="46"/>
      <c r="AD304" s="46"/>
      <c r="AE304" s="45"/>
      <c r="AF304" s="45"/>
      <c r="AH304" s="46"/>
      <c r="AI304" s="45"/>
      <c r="AJ304" s="45"/>
      <c r="AL304" s="45"/>
      <c r="AM304" s="46"/>
      <c r="AN304" s="46"/>
    </row>
    <row r="305" spans="3:40">
      <c r="C305" s="42"/>
      <c r="F305" s="164"/>
      <c r="H305" s="164"/>
      <c r="I305" s="164"/>
      <c r="J305" s="316"/>
      <c r="K305" s="316"/>
      <c r="L305" s="45"/>
      <c r="M305" s="45"/>
      <c r="N305" s="46"/>
      <c r="O305" s="46"/>
      <c r="P305" s="45"/>
      <c r="Q305" s="45"/>
      <c r="R305" s="45"/>
      <c r="T305" s="42"/>
      <c r="V305" s="164"/>
      <c r="Y305" s="45"/>
      <c r="Z305" s="316"/>
      <c r="AA305" s="45"/>
      <c r="AB305" s="45"/>
      <c r="AC305" s="46"/>
      <c r="AD305" s="46"/>
      <c r="AE305" s="45"/>
      <c r="AF305" s="45"/>
      <c r="AH305" s="51"/>
      <c r="AI305" s="45"/>
      <c r="AJ305" s="45"/>
      <c r="AL305" s="45"/>
      <c r="AM305" s="46"/>
      <c r="AN305" s="46"/>
    </row>
    <row r="306" spans="3:40">
      <c r="C306" s="42"/>
      <c r="F306" s="164"/>
      <c r="H306" s="164"/>
      <c r="I306" s="164"/>
      <c r="J306" s="316"/>
      <c r="K306" s="316"/>
      <c r="L306" s="45"/>
      <c r="M306" s="45"/>
      <c r="N306" s="46"/>
      <c r="O306" s="46"/>
      <c r="P306" s="45"/>
      <c r="Q306" s="45"/>
      <c r="R306" s="45"/>
      <c r="T306" s="42"/>
      <c r="V306" s="164"/>
      <c r="Y306" s="45"/>
      <c r="Z306" s="316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3:40">
      <c r="F307" s="50"/>
      <c r="H307" s="50"/>
      <c r="I307" s="50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50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3:40">
      <c r="C308" s="42"/>
      <c r="F308" s="45"/>
      <c r="H308" s="45"/>
      <c r="I308" s="45"/>
      <c r="J308" s="47"/>
      <c r="K308" s="47"/>
      <c r="L308" s="45"/>
      <c r="M308" s="45"/>
      <c r="N308" s="46"/>
      <c r="O308" s="46"/>
      <c r="P308" s="45"/>
      <c r="Q308" s="45"/>
      <c r="R308" s="45"/>
      <c r="T308" s="42"/>
      <c r="V308" s="45"/>
      <c r="Y308" s="45"/>
      <c r="Z308" s="47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>
      <c r="F309" s="50"/>
      <c r="H309" s="50"/>
      <c r="I309" s="50"/>
      <c r="J309" s="326"/>
      <c r="K309" s="326"/>
      <c r="L309" s="50"/>
      <c r="M309" s="50"/>
      <c r="N309" s="50"/>
      <c r="O309" s="50"/>
      <c r="P309" s="50"/>
      <c r="Q309" s="50"/>
      <c r="R309" s="50"/>
      <c r="V309" s="50"/>
      <c r="Y309" s="50"/>
      <c r="Z309" s="326"/>
      <c r="AA309" s="50"/>
      <c r="AB309" s="50"/>
      <c r="AC309" s="50"/>
      <c r="AD309" s="50"/>
      <c r="AE309" s="50"/>
      <c r="AF309" s="50"/>
      <c r="AI309" s="50"/>
      <c r="AJ309" s="50"/>
      <c r="AK309" s="111"/>
      <c r="AL309" s="50"/>
      <c r="AM309" s="46"/>
      <c r="AN309" s="46"/>
    </row>
    <row r="310" spans="3:40">
      <c r="C310" s="42"/>
      <c r="F310" s="45"/>
      <c r="H310" s="45"/>
      <c r="I310" s="45"/>
      <c r="J310" s="47"/>
      <c r="K310" s="47"/>
      <c r="L310" s="45"/>
      <c r="M310" s="45"/>
      <c r="N310" s="46"/>
      <c r="O310" s="46"/>
      <c r="P310" s="45"/>
      <c r="Q310" s="45"/>
      <c r="R310" s="45"/>
      <c r="T310" s="42"/>
      <c r="V310" s="45"/>
      <c r="Y310" s="45"/>
      <c r="Z310" s="47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>
      <c r="C311" s="42"/>
      <c r="F311" s="45"/>
      <c r="H311" s="164"/>
      <c r="I311" s="164"/>
      <c r="J311" s="331"/>
      <c r="K311" s="331"/>
      <c r="L311" s="45"/>
      <c r="M311" s="45"/>
      <c r="N311" s="46"/>
      <c r="O311" s="46"/>
      <c r="P311" s="45"/>
      <c r="Q311" s="45"/>
      <c r="R311" s="45"/>
      <c r="T311" s="42"/>
      <c r="V311" s="45"/>
      <c r="Y311" s="45"/>
      <c r="Z311" s="325"/>
      <c r="AA311" s="45"/>
      <c r="AB311" s="45"/>
      <c r="AC311" s="46"/>
      <c r="AD311" s="46"/>
      <c r="AE311" s="45"/>
      <c r="AF311" s="45"/>
      <c r="AH311" s="51"/>
      <c r="AI311" s="45"/>
      <c r="AJ311" s="45"/>
      <c r="AL311" s="45"/>
      <c r="AM311" s="46"/>
      <c r="AN311" s="46"/>
    </row>
    <row r="312" spans="3:40">
      <c r="F312" s="50"/>
      <c r="H312" s="50"/>
      <c r="I312" s="50"/>
      <c r="J312" s="326"/>
      <c r="K312" s="326"/>
      <c r="L312" s="50"/>
      <c r="M312" s="50"/>
      <c r="N312" s="50"/>
      <c r="O312" s="50"/>
      <c r="P312" s="50"/>
      <c r="Q312" s="50"/>
      <c r="R312" s="50"/>
      <c r="V312" s="50"/>
      <c r="Y312" s="50"/>
      <c r="Z312" s="326"/>
      <c r="AA312" s="50"/>
      <c r="AB312" s="50"/>
      <c r="AC312" s="50"/>
      <c r="AD312" s="50"/>
      <c r="AE312" s="50"/>
      <c r="AF312" s="50"/>
      <c r="AI312" s="50"/>
      <c r="AJ312" s="50"/>
      <c r="AK312" s="111"/>
      <c r="AL312" s="50"/>
      <c r="AM312" s="46"/>
      <c r="AN312" s="46"/>
    </row>
    <row r="314" spans="3:40">
      <c r="C314" s="42"/>
      <c r="F314" s="45"/>
      <c r="H314" s="45"/>
      <c r="I314" s="45"/>
      <c r="J314" s="326"/>
      <c r="K314" s="326"/>
      <c r="L314" s="45"/>
      <c r="M314" s="45"/>
      <c r="N314" s="46"/>
      <c r="O314" s="46"/>
      <c r="P314" s="45"/>
      <c r="Q314" s="45"/>
      <c r="R314" s="45"/>
      <c r="S314" s="45"/>
      <c r="T314" s="42"/>
      <c r="V314" s="45"/>
      <c r="Y314" s="45"/>
      <c r="Z314" s="326"/>
      <c r="AA314" s="45"/>
      <c r="AB314" s="45"/>
      <c r="AC314" s="46"/>
      <c r="AD314" s="46"/>
      <c r="AE314" s="45"/>
      <c r="AF314" s="45"/>
      <c r="AH314" s="46"/>
      <c r="AI314" s="45"/>
      <c r="AJ314" s="45"/>
      <c r="AL314" s="45"/>
      <c r="AM314" s="46"/>
      <c r="AN314" s="46"/>
    </row>
    <row r="315" spans="3:40">
      <c r="F315" s="50"/>
      <c r="H315" s="50"/>
      <c r="I315" s="50"/>
      <c r="J315" s="326"/>
      <c r="K315" s="326"/>
      <c r="L315" s="50"/>
      <c r="M315" s="50"/>
      <c r="N315" s="50"/>
      <c r="O315" s="50"/>
      <c r="P315" s="50"/>
      <c r="Q315" s="50"/>
      <c r="R315" s="50"/>
      <c r="S315" s="45"/>
      <c r="V315" s="50"/>
      <c r="Y315" s="50"/>
      <c r="Z315" s="326"/>
      <c r="AA315" s="50"/>
      <c r="AB315" s="50"/>
      <c r="AC315" s="50"/>
      <c r="AD315" s="50"/>
      <c r="AE315" s="50"/>
      <c r="AF315" s="50"/>
      <c r="AI315" s="50"/>
      <c r="AJ315" s="50"/>
      <c r="AK315" s="111"/>
      <c r="AL315" s="50"/>
      <c r="AM315" s="46"/>
      <c r="AN315" s="46"/>
    </row>
    <row r="316" spans="3:40">
      <c r="C316" s="42"/>
      <c r="T316" s="42"/>
    </row>
    <row r="317" spans="3:40">
      <c r="C317" s="42"/>
      <c r="F317" s="45"/>
      <c r="H317" s="45"/>
      <c r="I317" s="45"/>
      <c r="L317" s="45"/>
      <c r="M317" s="45"/>
      <c r="N317" s="46"/>
      <c r="O317" s="46"/>
      <c r="P317" s="164"/>
      <c r="Q317" s="164"/>
      <c r="R317" s="45"/>
      <c r="T317" s="42"/>
      <c r="V317" s="45"/>
      <c r="Y317" s="45"/>
      <c r="AA317" s="45"/>
      <c r="AB317" s="45"/>
      <c r="AC317" s="46"/>
      <c r="AD317" s="46"/>
      <c r="AE317" s="45"/>
      <c r="AF317" s="45"/>
      <c r="AH317" s="46"/>
      <c r="AI317" s="164"/>
      <c r="AJ317" s="164"/>
      <c r="AL317" s="45"/>
      <c r="AM317" s="46"/>
      <c r="AN317" s="46"/>
    </row>
    <row r="318" spans="3:40">
      <c r="F318" s="50"/>
      <c r="H318" s="50"/>
      <c r="I318" s="50"/>
      <c r="J318" s="326"/>
      <c r="K318" s="326"/>
      <c r="L318" s="50"/>
      <c r="M318" s="50"/>
      <c r="N318" s="50"/>
      <c r="O318" s="50"/>
      <c r="P318" s="50"/>
      <c r="Q318" s="50"/>
      <c r="R318" s="50"/>
      <c r="V318" s="50"/>
      <c r="Y318" s="50"/>
      <c r="Z318" s="326"/>
      <c r="AA318" s="50"/>
      <c r="AB318" s="50"/>
      <c r="AC318" s="50"/>
      <c r="AD318" s="50"/>
      <c r="AE318" s="50"/>
      <c r="AF318" s="50"/>
      <c r="AI318" s="50"/>
      <c r="AJ318" s="50"/>
      <c r="AK318" s="111"/>
      <c r="AL318" s="50"/>
    </row>
    <row r="320" spans="3:40">
      <c r="C320" s="42"/>
      <c r="L320" s="45"/>
      <c r="M320" s="45"/>
      <c r="N320" s="45"/>
      <c r="O320" s="45"/>
      <c r="P320" s="45"/>
      <c r="Q320" s="45"/>
      <c r="R320" s="45"/>
      <c r="S320" s="45"/>
      <c r="T320" s="42"/>
      <c r="AA320" s="45"/>
      <c r="AB320" s="45"/>
      <c r="AC320" s="45"/>
      <c r="AD320" s="45"/>
      <c r="AI320" s="45"/>
      <c r="AJ320" s="45"/>
      <c r="AL320" s="45"/>
    </row>
    <row r="321" spans="1:40">
      <c r="A321" s="42"/>
    </row>
    <row r="323" spans="1:40">
      <c r="H323" s="42"/>
      <c r="I323" s="42"/>
      <c r="Y323" s="42"/>
    </row>
    <row r="325" spans="1:40">
      <c r="L325" s="42"/>
      <c r="M325" s="42"/>
      <c r="AA325" s="42"/>
      <c r="AB325" s="42"/>
    </row>
    <row r="326" spans="1:40">
      <c r="R326" s="42"/>
      <c r="AK326" s="110"/>
      <c r="AL326" s="42"/>
    </row>
    <row r="327" spans="1:40">
      <c r="R327" s="42"/>
      <c r="AK327" s="110"/>
      <c r="AL327" s="42"/>
    </row>
    <row r="328" spans="1:40">
      <c r="A328" s="42"/>
      <c r="R328" s="42"/>
      <c r="AK328" s="110"/>
      <c r="AL328" s="42"/>
    </row>
    <row r="329" spans="1:40">
      <c r="L329" s="42"/>
      <c r="M329" s="42"/>
      <c r="AA329" s="42"/>
      <c r="AB329" s="42"/>
    </row>
    <row r="330" spans="1:40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107"/>
      <c r="AH330" s="49"/>
      <c r="AI330" s="49"/>
      <c r="AJ330" s="49"/>
      <c r="AK330" s="107"/>
      <c r="AL330" s="49"/>
      <c r="AM330" s="49"/>
      <c r="AN330" s="49"/>
    </row>
    <row r="331" spans="1:40">
      <c r="L331" s="44"/>
      <c r="M331" s="44"/>
      <c r="N331" s="44"/>
      <c r="O331" s="44"/>
      <c r="R331" s="44"/>
      <c r="AA331" s="44"/>
      <c r="AB331" s="44"/>
      <c r="AC331" s="44"/>
      <c r="AD331" s="44"/>
      <c r="AE331" s="44"/>
      <c r="AF331" s="44"/>
      <c r="AG331" s="102"/>
      <c r="AH331" s="44"/>
      <c r="AK331" s="102"/>
      <c r="AL331" s="44"/>
      <c r="AM331" s="44"/>
      <c r="AN331" s="44"/>
    </row>
    <row r="332" spans="1:40">
      <c r="L332" s="44"/>
      <c r="M332" s="44"/>
      <c r="N332" s="44"/>
      <c r="O332" s="44"/>
      <c r="R332" s="44"/>
      <c r="Z332" s="44"/>
      <c r="AA332" s="44"/>
      <c r="AB332" s="44"/>
      <c r="AC332" s="44"/>
      <c r="AD332" s="44"/>
      <c r="AE332" s="44"/>
      <c r="AF332" s="44"/>
      <c r="AG332" s="102"/>
      <c r="AH332" s="44"/>
      <c r="AK332" s="102"/>
      <c r="AL332" s="44"/>
      <c r="AM332" s="44"/>
      <c r="AN332" s="44"/>
    </row>
    <row r="333" spans="1:40">
      <c r="A333" s="44"/>
      <c r="C333" s="44"/>
      <c r="D333" s="44"/>
      <c r="E333" s="44"/>
      <c r="F333" s="44"/>
      <c r="J333" s="44"/>
      <c r="K333" s="44"/>
      <c r="L333" s="44"/>
      <c r="M333" s="44"/>
      <c r="N333" s="44"/>
      <c r="O333" s="44"/>
      <c r="P333" s="44"/>
      <c r="Q333" s="44"/>
      <c r="R333" s="44"/>
      <c r="T333" s="44"/>
      <c r="U333" s="44"/>
      <c r="V333" s="44"/>
      <c r="Z333" s="44"/>
      <c r="AA333" s="44"/>
      <c r="AB333" s="44"/>
      <c r="AC333" s="44"/>
      <c r="AD333" s="44"/>
      <c r="AE333" s="44"/>
      <c r="AF333" s="44"/>
      <c r="AG333" s="102"/>
      <c r="AH333" s="44"/>
      <c r="AI333" s="44"/>
      <c r="AJ333" s="44"/>
      <c r="AK333" s="102"/>
      <c r="AL333" s="44"/>
      <c r="AM333" s="44"/>
      <c r="AN333" s="44"/>
    </row>
    <row r="334" spans="1:40">
      <c r="A334" s="44"/>
      <c r="C334" s="44"/>
      <c r="D334" s="44"/>
      <c r="E334" s="44"/>
      <c r="F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T334" s="44"/>
      <c r="U334" s="44"/>
      <c r="V334" s="44"/>
      <c r="Y334" s="44"/>
      <c r="Z334" s="44"/>
      <c r="AA334" s="44"/>
      <c r="AB334" s="44"/>
      <c r="AC334" s="44"/>
      <c r="AD334" s="44"/>
      <c r="AE334" s="44"/>
      <c r="AF334" s="44"/>
      <c r="AG334" s="102"/>
      <c r="AH334" s="44"/>
      <c r="AI334" s="44"/>
      <c r="AJ334" s="44"/>
      <c r="AK334" s="102"/>
      <c r="AL334" s="44"/>
      <c r="AM334" s="44"/>
      <c r="AN334" s="44"/>
    </row>
    <row r="335" spans="1:40">
      <c r="C335" s="44"/>
      <c r="D335" s="44"/>
      <c r="E335" s="44"/>
      <c r="F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T335" s="44"/>
      <c r="U335" s="44"/>
      <c r="V335" s="44"/>
      <c r="Y335" s="44"/>
      <c r="Z335" s="44"/>
      <c r="AA335" s="44"/>
      <c r="AB335" s="44"/>
      <c r="AC335" s="44"/>
      <c r="AD335" s="44"/>
      <c r="AE335" s="44"/>
      <c r="AF335" s="44"/>
      <c r="AG335" s="102"/>
      <c r="AH335" s="44"/>
      <c r="AI335" s="44"/>
      <c r="AJ335" s="44"/>
      <c r="AK335" s="102"/>
      <c r="AL335" s="44"/>
      <c r="AM335" s="44"/>
      <c r="AN335" s="44"/>
    </row>
    <row r="336" spans="1:40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107"/>
      <c r="AH336" s="49"/>
      <c r="AI336" s="49"/>
      <c r="AJ336" s="49"/>
      <c r="AK336" s="107"/>
      <c r="AL336" s="49"/>
      <c r="AM336" s="49"/>
      <c r="AN336" s="49"/>
    </row>
    <row r="337" spans="3:40"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Y337" s="44"/>
      <c r="Z337" s="44"/>
      <c r="AA337" s="44"/>
      <c r="AB337" s="44"/>
      <c r="AC337" s="44"/>
      <c r="AD337" s="44"/>
      <c r="AE337" s="44"/>
      <c r="AF337" s="44"/>
      <c r="AG337" s="102"/>
      <c r="AH337" s="44"/>
      <c r="AI337" s="44"/>
      <c r="AJ337" s="44"/>
      <c r="AK337" s="102"/>
      <c r="AL337" s="44"/>
      <c r="AM337" s="44"/>
      <c r="AN337" s="44"/>
    </row>
    <row r="338" spans="3:40">
      <c r="C338" s="42"/>
      <c r="D338" s="42"/>
      <c r="E338" s="42"/>
      <c r="T338" s="42"/>
      <c r="U338" s="42"/>
    </row>
    <row r="339" spans="3:40">
      <c r="D339" s="42"/>
      <c r="E339" s="42"/>
      <c r="U339" s="42"/>
    </row>
    <row r="341" spans="3:40">
      <c r="C341" s="42"/>
      <c r="T341" s="42"/>
    </row>
    <row r="342" spans="3:40">
      <c r="C342" s="42"/>
      <c r="F342" s="164"/>
      <c r="H342" s="164"/>
      <c r="I342" s="164"/>
      <c r="J342" s="132"/>
      <c r="K342" s="132"/>
      <c r="L342" s="45"/>
      <c r="M342" s="45"/>
      <c r="N342" s="46"/>
      <c r="O342" s="46"/>
      <c r="P342" s="45"/>
      <c r="Q342" s="45"/>
      <c r="R342" s="45"/>
      <c r="T342" s="42"/>
      <c r="V342" s="164"/>
      <c r="W342" s="45"/>
      <c r="X342" s="45"/>
      <c r="Y342" s="164"/>
      <c r="Z342" s="132"/>
      <c r="AA342" s="45"/>
      <c r="AB342" s="45"/>
      <c r="AC342" s="46"/>
      <c r="AD342" s="46"/>
      <c r="AE342" s="45"/>
      <c r="AF342" s="45"/>
      <c r="AH342" s="51"/>
      <c r="AI342" s="45"/>
      <c r="AJ342" s="45"/>
      <c r="AL342" s="45"/>
      <c r="AM342" s="46"/>
      <c r="AN342" s="46"/>
    </row>
    <row r="343" spans="3:40">
      <c r="C343" s="42"/>
      <c r="F343" s="45"/>
      <c r="H343" s="45"/>
      <c r="I343" s="45"/>
      <c r="J343" s="326"/>
      <c r="K343" s="326"/>
      <c r="L343" s="45"/>
      <c r="M343" s="45"/>
      <c r="N343" s="46"/>
      <c r="O343" s="46"/>
      <c r="P343" s="45"/>
      <c r="Q343" s="45"/>
      <c r="R343" s="45"/>
      <c r="T343" s="42"/>
      <c r="V343" s="164"/>
      <c r="W343" s="45"/>
      <c r="X343" s="45"/>
      <c r="Y343" s="164"/>
      <c r="Z343" s="326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3:40">
      <c r="C344" s="42"/>
      <c r="F344" s="164"/>
      <c r="H344" s="164"/>
      <c r="I344" s="164"/>
      <c r="J344" s="132"/>
      <c r="K344" s="132"/>
      <c r="L344" s="45"/>
      <c r="M344" s="45"/>
      <c r="N344" s="46"/>
      <c r="O344" s="46"/>
      <c r="P344" s="45"/>
      <c r="Q344" s="45"/>
      <c r="R344" s="45"/>
      <c r="T344" s="42"/>
      <c r="V344" s="164"/>
      <c r="W344" s="45"/>
      <c r="X344" s="45"/>
      <c r="Y344" s="164"/>
      <c r="Z344" s="132"/>
      <c r="AA344" s="45"/>
      <c r="AB344" s="45"/>
      <c r="AC344" s="46"/>
      <c r="AD344" s="46"/>
      <c r="AE344" s="45"/>
      <c r="AF344" s="45"/>
      <c r="AH344" s="51"/>
      <c r="AI344" s="45"/>
      <c r="AJ344" s="45"/>
      <c r="AL344" s="45"/>
      <c r="AM344" s="46"/>
      <c r="AN344" s="46"/>
    </row>
    <row r="345" spans="3:40">
      <c r="C345" s="42"/>
      <c r="F345" s="164"/>
      <c r="H345" s="164"/>
      <c r="I345" s="164"/>
      <c r="J345" s="132"/>
      <c r="K345" s="132"/>
      <c r="L345" s="45"/>
      <c r="M345" s="45"/>
      <c r="N345" s="46"/>
      <c r="O345" s="46"/>
      <c r="P345" s="45"/>
      <c r="Q345" s="45"/>
      <c r="R345" s="45"/>
      <c r="T345" s="42"/>
      <c r="V345" s="164"/>
      <c r="W345" s="45"/>
      <c r="X345" s="45"/>
      <c r="Y345" s="164"/>
      <c r="Z345" s="132"/>
      <c r="AA345" s="45"/>
      <c r="AB345" s="45"/>
      <c r="AC345" s="46"/>
      <c r="AD345" s="46"/>
      <c r="AE345" s="45"/>
      <c r="AF345" s="45"/>
      <c r="AH345" s="51"/>
      <c r="AI345" s="45"/>
      <c r="AJ345" s="45"/>
      <c r="AL345" s="45"/>
      <c r="AM345" s="46"/>
      <c r="AN345" s="46"/>
    </row>
    <row r="346" spans="3:40">
      <c r="C346" s="42"/>
      <c r="F346" s="164"/>
      <c r="H346" s="164"/>
      <c r="I346" s="164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164"/>
      <c r="W346" s="45"/>
      <c r="X346" s="45"/>
      <c r="Y346" s="164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3:40">
      <c r="C347" s="42"/>
      <c r="F347" s="45"/>
      <c r="H347" s="45"/>
      <c r="I347" s="45"/>
      <c r="J347" s="132"/>
      <c r="K347" s="132"/>
      <c r="L347" s="45"/>
      <c r="M347" s="45"/>
      <c r="N347" s="46"/>
      <c r="O347" s="46"/>
      <c r="P347" s="45"/>
      <c r="Q347" s="45"/>
      <c r="R347" s="45"/>
      <c r="T347" s="42"/>
      <c r="V347" s="164"/>
      <c r="W347" s="45"/>
      <c r="X347" s="45"/>
      <c r="Y347" s="164"/>
      <c r="Z347" s="132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3:40">
      <c r="C348" s="42"/>
      <c r="F348" s="45"/>
      <c r="H348" s="45"/>
      <c r="I348" s="45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164"/>
      <c r="W348" s="45"/>
      <c r="X348" s="45"/>
      <c r="Y348" s="164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>
      <c r="F349" s="54"/>
      <c r="H349" s="338"/>
      <c r="I349" s="338"/>
      <c r="J349" s="132"/>
      <c r="K349" s="132"/>
      <c r="L349" s="54"/>
      <c r="M349" s="54"/>
      <c r="N349" s="50"/>
      <c r="O349" s="50"/>
      <c r="P349" s="54"/>
      <c r="Q349" s="54"/>
      <c r="R349" s="54"/>
      <c r="V349" s="54"/>
      <c r="W349" s="45"/>
      <c r="X349" s="45"/>
      <c r="Y349" s="54"/>
      <c r="Z349" s="132"/>
      <c r="AA349" s="54"/>
      <c r="AB349" s="54"/>
      <c r="AC349" s="55"/>
      <c r="AD349" s="55"/>
      <c r="AE349" s="54"/>
      <c r="AF349" s="54"/>
      <c r="AH349" s="51"/>
      <c r="AI349" s="54"/>
      <c r="AJ349" s="54"/>
      <c r="AK349" s="107"/>
      <c r="AL349" s="54"/>
      <c r="AM349" s="46"/>
      <c r="AN349" s="46"/>
    </row>
    <row r="350" spans="3:40">
      <c r="C350" s="42"/>
      <c r="F350" s="45"/>
      <c r="H350" s="45"/>
      <c r="I350" s="45"/>
      <c r="J350" s="132"/>
      <c r="K350" s="132"/>
      <c r="L350" s="45"/>
      <c r="M350" s="45"/>
      <c r="N350" s="51"/>
      <c r="O350" s="51"/>
      <c r="P350" s="45"/>
      <c r="Q350" s="45"/>
      <c r="R350" s="45"/>
      <c r="T350" s="44"/>
      <c r="V350" s="45"/>
      <c r="W350" s="45"/>
      <c r="X350" s="45"/>
      <c r="Y350" s="45"/>
      <c r="Z350" s="132"/>
      <c r="AA350" s="45"/>
      <c r="AB350" s="45"/>
      <c r="AC350" s="51"/>
      <c r="AD350" s="51"/>
      <c r="AE350" s="45"/>
      <c r="AF350" s="45"/>
      <c r="AH350" s="51"/>
      <c r="AI350" s="45"/>
      <c r="AJ350" s="45"/>
      <c r="AL350" s="45"/>
      <c r="AM350" s="46"/>
      <c r="AN350" s="46"/>
    </row>
    <row r="351" spans="3:40">
      <c r="F351" s="49"/>
      <c r="H351" s="49"/>
      <c r="I351" s="49"/>
      <c r="L351" s="49"/>
      <c r="M351" s="49"/>
      <c r="N351" s="55"/>
      <c r="O351" s="55"/>
      <c r="P351" s="54"/>
      <c r="Q351" s="54"/>
      <c r="R351" s="54"/>
      <c r="V351" s="54"/>
      <c r="Y351" s="54"/>
      <c r="Z351" s="326"/>
      <c r="AA351" s="54"/>
      <c r="AB351" s="54"/>
      <c r="AC351" s="54"/>
      <c r="AD351" s="54"/>
      <c r="AE351" s="54"/>
      <c r="AF351" s="54"/>
      <c r="AI351" s="54"/>
      <c r="AJ351" s="54"/>
      <c r="AK351" s="107"/>
      <c r="AL351" s="54"/>
      <c r="AM351" s="55"/>
      <c r="AN351" s="55"/>
    </row>
    <row r="356" spans="1:40">
      <c r="N356" s="45"/>
      <c r="O356" s="45"/>
      <c r="P356" s="45"/>
      <c r="Q356" s="45"/>
      <c r="R356" s="45"/>
      <c r="V356" s="45"/>
      <c r="Y356" s="45"/>
      <c r="Z356" s="47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1:40">
      <c r="C357" s="42"/>
      <c r="D357" s="42"/>
      <c r="E357" s="42"/>
      <c r="J357" s="56"/>
      <c r="K357" s="56"/>
      <c r="T357" s="42"/>
      <c r="U357" s="42"/>
      <c r="Z357" s="56"/>
      <c r="AE357" s="45"/>
      <c r="AF357" s="45"/>
      <c r="AI357" s="45"/>
      <c r="AJ357" s="45"/>
      <c r="AL357" s="45"/>
      <c r="AM357" s="46"/>
      <c r="AN357" s="46"/>
    </row>
    <row r="358" spans="1:40">
      <c r="D358" s="42"/>
      <c r="E358" s="42"/>
      <c r="F358" s="45"/>
      <c r="H358" s="45"/>
      <c r="I358" s="45"/>
      <c r="J358" s="132"/>
      <c r="K358" s="132"/>
      <c r="L358" s="45"/>
      <c r="M358" s="45"/>
      <c r="N358" s="46"/>
      <c r="O358" s="46"/>
      <c r="P358" s="45"/>
      <c r="Q358" s="45"/>
      <c r="R358" s="45"/>
      <c r="U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1:40">
      <c r="F359" s="45"/>
      <c r="H359" s="45"/>
      <c r="I359" s="45"/>
      <c r="J359" s="326"/>
      <c r="K359" s="326"/>
      <c r="L359" s="45"/>
      <c r="M359" s="45"/>
      <c r="N359" s="45"/>
      <c r="O359" s="45"/>
      <c r="P359" s="45"/>
      <c r="Q359" s="45"/>
      <c r="R359" s="45"/>
      <c r="V359" s="45"/>
      <c r="Y359" s="45"/>
      <c r="Z359" s="326"/>
      <c r="AA359" s="45"/>
      <c r="AB359" s="45"/>
      <c r="AC359" s="45"/>
      <c r="AD359" s="45"/>
      <c r="AE359" s="45"/>
      <c r="AF359" s="45"/>
      <c r="AH359" s="51"/>
      <c r="AI359" s="164"/>
      <c r="AJ359" s="164"/>
      <c r="AL359" s="45"/>
      <c r="AM359" s="46"/>
      <c r="AN359" s="46"/>
    </row>
    <row r="360" spans="1:40">
      <c r="C360" s="42"/>
      <c r="F360" s="164"/>
      <c r="H360" s="164"/>
      <c r="I360" s="164"/>
      <c r="J360" s="325"/>
      <c r="K360" s="325"/>
      <c r="L360" s="45"/>
      <c r="M360" s="45"/>
      <c r="N360" s="46"/>
      <c r="O360" s="46"/>
      <c r="P360" s="45"/>
      <c r="Q360" s="45"/>
      <c r="R360" s="45"/>
      <c r="T360" s="42"/>
      <c r="V360" s="164"/>
      <c r="Y360" s="164"/>
      <c r="Z360" s="325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1:40">
      <c r="F361" s="49"/>
      <c r="H361" s="49"/>
      <c r="I361" s="49"/>
      <c r="L361" s="49"/>
      <c r="M361" s="49"/>
      <c r="N361" s="49"/>
      <c r="O361" s="49"/>
      <c r="P361" s="49"/>
      <c r="Q361" s="49"/>
      <c r="R361" s="49"/>
      <c r="V361" s="49"/>
      <c r="Y361" s="49"/>
      <c r="AA361" s="49"/>
      <c r="AB361" s="49"/>
      <c r="AC361" s="49"/>
      <c r="AD361" s="49"/>
      <c r="AE361" s="49"/>
      <c r="AF361" s="49"/>
      <c r="AG361" s="107"/>
      <c r="AH361" s="49"/>
      <c r="AI361" s="49"/>
      <c r="AJ361" s="49"/>
      <c r="AK361" s="107"/>
      <c r="AL361" s="49"/>
      <c r="AM361" s="49"/>
      <c r="AN361" s="49"/>
    </row>
    <row r="362" spans="1:40">
      <c r="C362" s="44"/>
      <c r="F362" s="164"/>
      <c r="H362" s="164"/>
      <c r="I362" s="164"/>
      <c r="J362" s="316"/>
      <c r="K362" s="316"/>
      <c r="L362" s="164"/>
      <c r="M362" s="164"/>
      <c r="N362" s="46"/>
      <c r="O362" s="46"/>
      <c r="P362" s="164"/>
      <c r="Q362" s="164"/>
      <c r="R362" s="164"/>
      <c r="T362" s="44"/>
      <c r="V362" s="45"/>
      <c r="Y362" s="45"/>
      <c r="Z362" s="47"/>
      <c r="AA362" s="45"/>
      <c r="AB362" s="45"/>
      <c r="AC362" s="46"/>
      <c r="AD362" s="46"/>
      <c r="AH362" s="51"/>
      <c r="AI362" s="45"/>
      <c r="AJ362" s="45"/>
      <c r="AL362" s="45"/>
      <c r="AM362" s="46"/>
      <c r="AN362" s="46"/>
    </row>
    <row r="363" spans="1:40">
      <c r="F363" s="54"/>
      <c r="H363" s="54"/>
      <c r="I363" s="54"/>
      <c r="J363" s="326"/>
      <c r="K363" s="326"/>
      <c r="L363" s="54"/>
      <c r="M363" s="54"/>
      <c r="N363" s="54"/>
      <c r="O363" s="54"/>
      <c r="P363" s="54"/>
      <c r="Q363" s="54"/>
      <c r="R363" s="54"/>
      <c r="V363" s="49"/>
      <c r="Y363" s="49"/>
      <c r="AA363" s="49"/>
      <c r="AB363" s="49"/>
      <c r="AC363" s="49"/>
      <c r="AD363" s="49"/>
      <c r="AE363" s="49"/>
      <c r="AF363" s="49"/>
      <c r="AG363" s="107"/>
      <c r="AH363" s="49"/>
      <c r="AI363" s="49"/>
      <c r="AJ363" s="49"/>
      <c r="AK363" s="107"/>
      <c r="AL363" s="49"/>
      <c r="AM363" s="49"/>
      <c r="AN363" s="49"/>
    </row>
    <row r="364" spans="1:40">
      <c r="F364" s="164"/>
      <c r="H364" s="164"/>
      <c r="I364" s="164"/>
      <c r="J364" s="336"/>
      <c r="K364" s="336"/>
      <c r="L364" s="45"/>
      <c r="M364" s="45"/>
      <c r="N364" s="46"/>
      <c r="O364" s="46"/>
      <c r="P364" s="45"/>
      <c r="Q364" s="45"/>
      <c r="R364" s="45"/>
    </row>
    <row r="365" spans="1:40">
      <c r="A365" s="42"/>
      <c r="F365" s="164"/>
      <c r="H365" s="164"/>
      <c r="I365" s="164"/>
      <c r="J365" s="316"/>
      <c r="K365" s="316"/>
      <c r="L365" s="45"/>
      <c r="M365" s="45"/>
      <c r="N365" s="46"/>
      <c r="O365" s="46"/>
      <c r="P365" s="45"/>
      <c r="Q365" s="45"/>
      <c r="R365" s="45"/>
    </row>
    <row r="366" spans="1:40">
      <c r="F366" s="164"/>
      <c r="H366" s="164"/>
      <c r="I366" s="164"/>
      <c r="J366" s="316"/>
      <c r="K366" s="316"/>
      <c r="L366" s="45"/>
      <c r="M366" s="45"/>
      <c r="N366" s="46"/>
      <c r="O366" s="46"/>
      <c r="P366" s="45"/>
      <c r="Q366" s="45"/>
      <c r="R366" s="45"/>
    </row>
    <row r="367" spans="1:40">
      <c r="A367" s="42"/>
    </row>
    <row r="370" spans="1:40">
      <c r="H370" s="42"/>
      <c r="I370" s="42"/>
      <c r="Y370" s="42"/>
    </row>
    <row r="372" spans="1:40">
      <c r="L372" s="42"/>
      <c r="M372" s="42"/>
      <c r="AA372" s="42"/>
      <c r="AB372" s="42"/>
    </row>
    <row r="373" spans="1:40">
      <c r="R373" s="42"/>
      <c r="AK373" s="110"/>
      <c r="AL373" s="42"/>
    </row>
    <row r="374" spans="1:40">
      <c r="R374" s="42"/>
      <c r="AK374" s="110"/>
      <c r="AL374" s="42"/>
    </row>
    <row r="375" spans="1:40">
      <c r="A375" s="42"/>
      <c r="R375" s="42"/>
      <c r="AK375" s="110"/>
      <c r="AL375" s="42"/>
    </row>
    <row r="376" spans="1:40">
      <c r="L376" s="42"/>
      <c r="M376" s="42"/>
      <c r="AA376" s="42"/>
      <c r="AB376" s="42"/>
    </row>
    <row r="377" spans="1:40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107"/>
      <c r="AH377" s="49"/>
      <c r="AI377" s="49"/>
      <c r="AJ377" s="49"/>
      <c r="AK377" s="107"/>
      <c r="AL377" s="49"/>
      <c r="AM377" s="49"/>
      <c r="AN377" s="49"/>
    </row>
    <row r="378" spans="1:40">
      <c r="L378" s="44"/>
      <c r="M378" s="44"/>
      <c r="N378" s="44"/>
      <c r="O378" s="44"/>
      <c r="R378" s="44"/>
      <c r="AA378" s="44"/>
      <c r="AB378" s="44"/>
      <c r="AC378" s="44"/>
      <c r="AD378" s="44"/>
      <c r="AE378" s="44"/>
      <c r="AF378" s="44"/>
      <c r="AG378" s="102"/>
      <c r="AH378" s="44"/>
      <c r="AK378" s="102"/>
      <c r="AL378" s="44"/>
      <c r="AM378" s="44"/>
      <c r="AN378" s="44"/>
    </row>
    <row r="379" spans="1:40">
      <c r="L379" s="44"/>
      <c r="M379" s="44"/>
      <c r="N379" s="44"/>
      <c r="O379" s="44"/>
      <c r="R379" s="44"/>
      <c r="Z379" s="44"/>
      <c r="AA379" s="44"/>
      <c r="AB379" s="44"/>
      <c r="AC379" s="44"/>
      <c r="AD379" s="44"/>
      <c r="AE379" s="44"/>
      <c r="AF379" s="44"/>
      <c r="AG379" s="102"/>
      <c r="AH379" s="44"/>
      <c r="AK379" s="102"/>
      <c r="AL379" s="44"/>
      <c r="AM379" s="44"/>
      <c r="AN379" s="44"/>
    </row>
    <row r="380" spans="1:40">
      <c r="A380" s="44"/>
      <c r="C380" s="44"/>
      <c r="D380" s="44"/>
      <c r="E380" s="44"/>
      <c r="F380" s="44"/>
      <c r="J380" s="44"/>
      <c r="K380" s="44"/>
      <c r="L380" s="44"/>
      <c r="M380" s="44"/>
      <c r="N380" s="44"/>
      <c r="O380" s="44"/>
      <c r="P380" s="44"/>
      <c r="Q380" s="44"/>
      <c r="R380" s="44"/>
      <c r="T380" s="44"/>
      <c r="U380" s="44"/>
      <c r="V380" s="44"/>
      <c r="Z380" s="44"/>
      <c r="AA380" s="44"/>
      <c r="AB380" s="44"/>
      <c r="AC380" s="44"/>
      <c r="AD380" s="44"/>
      <c r="AE380" s="44"/>
      <c r="AF380" s="44"/>
      <c r="AG380" s="102"/>
      <c r="AH380" s="44"/>
      <c r="AI380" s="44"/>
      <c r="AJ380" s="44"/>
      <c r="AK380" s="102"/>
      <c r="AL380" s="44"/>
      <c r="AM380" s="44"/>
      <c r="AN380" s="44"/>
    </row>
    <row r="381" spans="1:40">
      <c r="A381" s="44"/>
      <c r="C381" s="44"/>
      <c r="D381" s="44"/>
      <c r="E381" s="44"/>
      <c r="F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T381" s="44"/>
      <c r="U381" s="44"/>
      <c r="V381" s="44"/>
      <c r="Y381" s="44"/>
      <c r="Z381" s="44"/>
      <c r="AA381" s="44"/>
      <c r="AB381" s="44"/>
      <c r="AC381" s="44"/>
      <c r="AD381" s="44"/>
      <c r="AE381" s="44"/>
      <c r="AF381" s="44"/>
      <c r="AG381" s="102"/>
      <c r="AH381" s="44"/>
      <c r="AI381" s="44"/>
      <c r="AJ381" s="44"/>
      <c r="AK381" s="102"/>
      <c r="AL381" s="44"/>
      <c r="AM381" s="44"/>
      <c r="AN381" s="44"/>
    </row>
    <row r="382" spans="1:40">
      <c r="C382" s="44"/>
      <c r="D382" s="44"/>
      <c r="E382" s="44"/>
      <c r="F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T382" s="44"/>
      <c r="U382" s="44"/>
      <c r="V382" s="44"/>
      <c r="Y382" s="44"/>
      <c r="Z382" s="44"/>
      <c r="AA382" s="44"/>
      <c r="AB382" s="44"/>
      <c r="AC382" s="44"/>
      <c r="AD382" s="44"/>
      <c r="AE382" s="44"/>
      <c r="AF382" s="44"/>
      <c r="AG382" s="102"/>
      <c r="AH382" s="44"/>
      <c r="AI382" s="44"/>
      <c r="AJ382" s="44"/>
      <c r="AK382" s="102"/>
      <c r="AL382" s="44"/>
      <c r="AM382" s="44"/>
      <c r="AN382" s="44"/>
    </row>
    <row r="383" spans="1:40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107"/>
      <c r="AH383" s="49"/>
      <c r="AI383" s="49"/>
      <c r="AJ383" s="49"/>
      <c r="AK383" s="107"/>
      <c r="AL383" s="49"/>
      <c r="AM383" s="49"/>
      <c r="AN383" s="49"/>
    </row>
    <row r="384" spans="1:40"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Y384" s="44"/>
      <c r="Z384" s="44"/>
      <c r="AA384" s="44"/>
      <c r="AB384" s="44"/>
      <c r="AC384" s="44"/>
      <c r="AD384" s="44"/>
      <c r="AE384" s="44"/>
      <c r="AF384" s="44"/>
      <c r="AG384" s="102"/>
      <c r="AH384" s="44"/>
      <c r="AI384" s="44"/>
      <c r="AJ384" s="44"/>
      <c r="AK384" s="102"/>
      <c r="AL384" s="44"/>
      <c r="AM384" s="44"/>
      <c r="AN384" s="44"/>
    </row>
    <row r="385" spans="3:40">
      <c r="C385" s="42"/>
      <c r="D385" s="42"/>
      <c r="E385" s="42"/>
      <c r="T385" s="42"/>
      <c r="U385" s="42"/>
    </row>
    <row r="387" spans="3:40">
      <c r="C387" s="42"/>
      <c r="T387" s="42"/>
    </row>
    <row r="388" spans="3:40">
      <c r="C388" s="42"/>
      <c r="F388" s="164"/>
      <c r="H388" s="164"/>
      <c r="I388" s="164"/>
      <c r="J388" s="326"/>
      <c r="K388" s="326"/>
      <c r="L388" s="45"/>
      <c r="M388" s="45"/>
      <c r="N388" s="46"/>
      <c r="O388" s="46"/>
      <c r="P388" s="45"/>
      <c r="Q388" s="45"/>
      <c r="R388" s="45"/>
      <c r="T388" s="42"/>
      <c r="V388" s="164"/>
      <c r="Y388" s="164"/>
      <c r="Z388" s="326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>
      <c r="C389" s="42"/>
      <c r="T389" s="42"/>
    </row>
    <row r="390" spans="3:40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Y390" s="45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>
      <c r="C392" s="42"/>
      <c r="F392" s="164"/>
      <c r="H392" s="164"/>
      <c r="I392" s="164"/>
      <c r="J392" s="132"/>
      <c r="K392" s="132"/>
      <c r="L392" s="45"/>
      <c r="M392" s="45"/>
      <c r="N392" s="46"/>
      <c r="O392" s="46"/>
      <c r="P392" s="45"/>
      <c r="Q392" s="45"/>
      <c r="R392" s="45"/>
      <c r="T392" s="42"/>
      <c r="V392" s="45"/>
      <c r="Y392" s="45"/>
      <c r="Z392" s="132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3:40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>
      <c r="C394" s="42"/>
      <c r="J394" s="56"/>
      <c r="K394" s="56"/>
      <c r="T394" s="42"/>
      <c r="Z394" s="56"/>
    </row>
    <row r="395" spans="3:40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132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>
      <c r="C396" s="42"/>
      <c r="F396" s="164"/>
      <c r="H396" s="164"/>
      <c r="I396" s="164"/>
      <c r="J396" s="132"/>
      <c r="K396" s="132"/>
      <c r="L396" s="45"/>
      <c r="M396" s="45"/>
      <c r="N396" s="46"/>
      <c r="O396" s="46"/>
      <c r="P396" s="45"/>
      <c r="Q396" s="45"/>
      <c r="R396" s="45"/>
      <c r="T396" s="42"/>
      <c r="V396" s="45"/>
      <c r="Y396" s="45"/>
      <c r="Z396" s="132"/>
      <c r="AA396" s="45"/>
      <c r="AB396" s="45"/>
      <c r="AC396" s="46"/>
      <c r="AD396" s="46"/>
      <c r="AE396" s="45"/>
      <c r="AF396" s="45"/>
      <c r="AH396" s="51"/>
      <c r="AI396" s="45"/>
      <c r="AJ396" s="45"/>
      <c r="AL396" s="45"/>
      <c r="AM396" s="46"/>
      <c r="AN396" s="46"/>
    </row>
    <row r="397" spans="3:40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Y397" s="45"/>
      <c r="Z397" s="132"/>
      <c r="AA397" s="45"/>
      <c r="AB397" s="45"/>
      <c r="AC397" s="46"/>
      <c r="AD397" s="46"/>
      <c r="AE397" s="45"/>
      <c r="AF397" s="45"/>
      <c r="AH397" s="51"/>
      <c r="AI397" s="45"/>
      <c r="AJ397" s="45"/>
      <c r="AL397" s="45"/>
      <c r="AM397" s="46"/>
      <c r="AN397" s="46"/>
    </row>
    <row r="398" spans="3:40">
      <c r="C398" s="42"/>
      <c r="J398" s="56"/>
      <c r="K398" s="56"/>
      <c r="T398" s="42"/>
      <c r="Z398" s="56"/>
    </row>
    <row r="399" spans="3:40">
      <c r="C399" s="42"/>
      <c r="F399" s="164"/>
      <c r="H399" s="164"/>
      <c r="I399" s="164"/>
      <c r="J399" s="132"/>
      <c r="K399" s="132"/>
      <c r="L399" s="45"/>
      <c r="M399" s="45"/>
      <c r="N399" s="46"/>
      <c r="O399" s="46"/>
      <c r="P399" s="45"/>
      <c r="Q399" s="45"/>
      <c r="R399" s="45"/>
      <c r="T399" s="42"/>
      <c r="V399" s="45"/>
      <c r="Y399" s="45"/>
      <c r="Z399" s="132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>
      <c r="C400" s="42"/>
      <c r="F400" s="164"/>
      <c r="H400" s="164"/>
      <c r="I400" s="164"/>
      <c r="J400" s="132"/>
      <c r="K400" s="132"/>
      <c r="L400" s="45"/>
      <c r="M400" s="45"/>
      <c r="N400" s="46"/>
      <c r="O400" s="46"/>
      <c r="P400" s="45"/>
      <c r="Q400" s="45"/>
      <c r="R400" s="45"/>
      <c r="T400" s="42"/>
      <c r="V400" s="45"/>
      <c r="Y400" s="45"/>
      <c r="Z400" s="132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>
      <c r="C401" s="42"/>
      <c r="J401" s="56"/>
      <c r="K401" s="56"/>
      <c r="T401" s="42"/>
      <c r="Z401" s="56"/>
    </row>
    <row r="402" spans="3:40">
      <c r="C402" s="42"/>
      <c r="F402" s="164"/>
      <c r="H402" s="164"/>
      <c r="I402" s="164"/>
      <c r="J402" s="132"/>
      <c r="K402" s="132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Z402" s="132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>
      <c r="C403" s="42"/>
      <c r="F403" s="164"/>
      <c r="H403" s="164"/>
      <c r="I403" s="164"/>
      <c r="J403" s="132"/>
      <c r="K403" s="132"/>
      <c r="L403" s="45"/>
      <c r="M403" s="45"/>
      <c r="N403" s="46"/>
      <c r="O403" s="46"/>
      <c r="P403" s="45"/>
      <c r="Q403" s="45"/>
      <c r="R403" s="45"/>
      <c r="T403" s="42"/>
      <c r="V403" s="45"/>
      <c r="Y403" s="45"/>
      <c r="Z403" s="132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3:40">
      <c r="C404" s="42"/>
      <c r="F404" s="164"/>
      <c r="H404" s="164"/>
      <c r="I404" s="164"/>
      <c r="J404" s="132"/>
      <c r="K404" s="132"/>
      <c r="L404" s="45"/>
      <c r="M404" s="45"/>
      <c r="N404" s="46"/>
      <c r="O404" s="46"/>
      <c r="P404" s="45"/>
      <c r="Q404" s="45"/>
      <c r="R404" s="45"/>
      <c r="T404" s="42"/>
      <c r="V404" s="45"/>
      <c r="Y404" s="45"/>
      <c r="Z404" s="132"/>
      <c r="AA404" s="45"/>
      <c r="AB404" s="45"/>
      <c r="AC404" s="46"/>
      <c r="AD404" s="46"/>
      <c r="AE404" s="45"/>
      <c r="AF404" s="45"/>
      <c r="AH404" s="51"/>
      <c r="AI404" s="45"/>
      <c r="AJ404" s="45"/>
      <c r="AL404" s="45"/>
      <c r="AM404" s="46"/>
      <c r="AN404" s="46"/>
    </row>
    <row r="405" spans="3:40">
      <c r="F405" s="50"/>
      <c r="H405" s="50"/>
      <c r="I405" s="50"/>
      <c r="J405" s="132"/>
      <c r="K405" s="132"/>
      <c r="L405" s="50"/>
      <c r="M405" s="50"/>
      <c r="N405" s="50"/>
      <c r="O405" s="50"/>
      <c r="P405" s="50"/>
      <c r="Q405" s="50"/>
      <c r="R405" s="50"/>
      <c r="V405" s="50"/>
      <c r="Y405" s="50"/>
      <c r="Z405" s="132"/>
      <c r="AA405" s="50"/>
      <c r="AB405" s="50"/>
      <c r="AC405" s="50"/>
      <c r="AD405" s="50"/>
      <c r="AE405" s="50"/>
      <c r="AF405" s="50"/>
      <c r="AI405" s="50"/>
      <c r="AJ405" s="50"/>
      <c r="AK405" s="111"/>
      <c r="AL405" s="50"/>
    </row>
    <row r="406" spans="3:40">
      <c r="C406" s="44"/>
      <c r="F406" s="45"/>
      <c r="H406" s="45"/>
      <c r="I406" s="45"/>
      <c r="J406" s="56"/>
      <c r="K406" s="56"/>
      <c r="L406" s="45"/>
      <c r="M406" s="45"/>
      <c r="N406" s="51"/>
      <c r="O406" s="51"/>
      <c r="P406" s="45"/>
      <c r="Q406" s="45"/>
      <c r="R406" s="45"/>
      <c r="T406" s="44"/>
      <c r="V406" s="45"/>
      <c r="Y406" s="45"/>
      <c r="Z406" s="56"/>
      <c r="AA406" s="45"/>
      <c r="AB406" s="45"/>
      <c r="AC406" s="45"/>
      <c r="AD406" s="45"/>
      <c r="AE406" s="45"/>
      <c r="AF406" s="45"/>
      <c r="AH406" s="51"/>
      <c r="AI406" s="45"/>
      <c r="AJ406" s="45"/>
      <c r="AL406" s="45"/>
      <c r="AM406" s="46"/>
      <c r="AN406" s="46"/>
    </row>
    <row r="407" spans="3:40">
      <c r="F407" s="50"/>
      <c r="H407" s="50"/>
      <c r="I407" s="50"/>
      <c r="J407" s="132"/>
      <c r="K407" s="132"/>
      <c r="L407" s="50"/>
      <c r="M407" s="50"/>
      <c r="N407" s="50"/>
      <c r="O407" s="50"/>
      <c r="P407" s="50"/>
      <c r="Q407" s="50"/>
      <c r="R407" s="50"/>
      <c r="V407" s="50"/>
      <c r="Y407" s="50"/>
      <c r="Z407" s="132"/>
      <c r="AA407" s="50"/>
      <c r="AB407" s="50"/>
      <c r="AC407" s="50"/>
      <c r="AD407" s="50"/>
      <c r="AE407" s="50"/>
      <c r="AF407" s="50"/>
      <c r="AI407" s="50"/>
      <c r="AJ407" s="50"/>
      <c r="AK407" s="111"/>
      <c r="AL407" s="50"/>
    </row>
    <row r="408" spans="3:40">
      <c r="C408" s="42"/>
      <c r="J408" s="56"/>
      <c r="K408" s="56"/>
      <c r="T408" s="42"/>
      <c r="Z408" s="56"/>
    </row>
    <row r="409" spans="3:40">
      <c r="C409" s="42"/>
      <c r="J409" s="56"/>
      <c r="K409" s="56"/>
      <c r="T409" s="42"/>
      <c r="Z409" s="56"/>
    </row>
    <row r="410" spans="3:40">
      <c r="C410" s="42"/>
      <c r="F410" s="164"/>
      <c r="H410" s="164"/>
      <c r="I410" s="164"/>
      <c r="J410" s="132"/>
      <c r="K410" s="132"/>
      <c r="L410" s="45"/>
      <c r="M410" s="45"/>
      <c r="N410" s="46"/>
      <c r="O410" s="46"/>
      <c r="P410" s="45"/>
      <c r="Q410" s="45"/>
      <c r="R410" s="45"/>
      <c r="T410" s="42"/>
      <c r="V410" s="45"/>
      <c r="Y410" s="45"/>
      <c r="Z410" s="132"/>
      <c r="AA410" s="45"/>
      <c r="AB410" s="45"/>
      <c r="AC410" s="46"/>
      <c r="AD410" s="46"/>
      <c r="AE410" s="45"/>
      <c r="AF410" s="45"/>
      <c r="AH410" s="51"/>
      <c r="AI410" s="45"/>
      <c r="AJ410" s="45"/>
      <c r="AL410" s="45"/>
      <c r="AM410" s="46"/>
      <c r="AN410" s="46"/>
    </row>
    <row r="411" spans="3:40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>
      <c r="C412" s="42"/>
      <c r="F412" s="164"/>
      <c r="H412" s="164"/>
      <c r="I412" s="164"/>
      <c r="J412" s="132"/>
      <c r="K412" s="132"/>
      <c r="L412" s="45"/>
      <c r="M412" s="45"/>
      <c r="N412" s="46"/>
      <c r="O412" s="46"/>
      <c r="P412" s="45"/>
      <c r="Q412" s="45"/>
      <c r="R412" s="45"/>
      <c r="T412" s="42"/>
      <c r="V412" s="45"/>
      <c r="Y412" s="45"/>
      <c r="Z412" s="132"/>
      <c r="AA412" s="45"/>
      <c r="AB412" s="45"/>
      <c r="AC412" s="46"/>
      <c r="AD412" s="46"/>
      <c r="AE412" s="45"/>
      <c r="AF412" s="45"/>
      <c r="AH412" s="51"/>
      <c r="AI412" s="45"/>
      <c r="AJ412" s="45"/>
      <c r="AL412" s="45"/>
      <c r="AM412" s="46"/>
      <c r="AN412" s="46"/>
    </row>
    <row r="413" spans="3:40">
      <c r="C413" s="42"/>
      <c r="F413" s="164"/>
      <c r="H413" s="164"/>
      <c r="I413" s="164"/>
      <c r="J413" s="132"/>
      <c r="K413" s="132"/>
      <c r="L413" s="45"/>
      <c r="M413" s="45"/>
      <c r="N413" s="46"/>
      <c r="O413" s="46"/>
      <c r="P413" s="45"/>
      <c r="Q413" s="45"/>
      <c r="R413" s="45"/>
      <c r="T413" s="42"/>
      <c r="V413" s="45"/>
      <c r="Y413" s="45"/>
      <c r="Z413" s="132"/>
      <c r="AA413" s="45"/>
      <c r="AB413" s="45"/>
      <c r="AC413" s="46"/>
      <c r="AD413" s="46"/>
      <c r="AE413" s="45"/>
      <c r="AF413" s="45"/>
      <c r="AH413" s="51"/>
      <c r="AI413" s="45"/>
      <c r="AJ413" s="45"/>
      <c r="AL413" s="45"/>
      <c r="AM413" s="46"/>
      <c r="AN413" s="46"/>
    </row>
    <row r="414" spans="3:40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>
      <c r="C415" s="42"/>
      <c r="F415" s="164"/>
      <c r="H415" s="164"/>
      <c r="I415" s="164"/>
      <c r="J415" s="132"/>
      <c r="K415" s="132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132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3:40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>
      <c r="C417" s="42"/>
      <c r="J417" s="56"/>
      <c r="K417" s="56"/>
      <c r="T417" s="42"/>
      <c r="Z417" s="56"/>
    </row>
    <row r="418" spans="3:40">
      <c r="C418" s="42"/>
      <c r="F418" s="164"/>
      <c r="H418" s="164"/>
      <c r="I418" s="164"/>
      <c r="J418" s="132"/>
      <c r="K418" s="132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Z418" s="132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>
      <c r="C419" s="42"/>
      <c r="F419" s="164"/>
      <c r="H419" s="164"/>
      <c r="I419" s="164"/>
      <c r="J419" s="132"/>
      <c r="K419" s="132"/>
      <c r="L419" s="45"/>
      <c r="M419" s="45"/>
      <c r="N419" s="46"/>
      <c r="O419" s="46"/>
      <c r="P419" s="45"/>
      <c r="Q419" s="45"/>
      <c r="R419" s="45"/>
      <c r="T419" s="42"/>
      <c r="V419" s="45"/>
      <c r="Y419" s="45"/>
      <c r="Z419" s="132"/>
      <c r="AA419" s="45"/>
      <c r="AB419" s="45"/>
      <c r="AC419" s="46"/>
      <c r="AD419" s="46"/>
      <c r="AE419" s="45"/>
      <c r="AF419" s="45"/>
      <c r="AH419" s="51"/>
      <c r="AI419" s="45"/>
      <c r="AJ419" s="45"/>
      <c r="AL419" s="45"/>
      <c r="AM419" s="46"/>
      <c r="AN419" s="46"/>
    </row>
    <row r="420" spans="3:40">
      <c r="C420" s="42"/>
      <c r="F420" s="164"/>
      <c r="H420" s="164"/>
      <c r="I420" s="164"/>
      <c r="J420" s="132"/>
      <c r="K420" s="132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132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>
      <c r="C421" s="42"/>
      <c r="F421" s="164"/>
      <c r="H421" s="164"/>
      <c r="I421" s="164"/>
      <c r="J421" s="132"/>
      <c r="K421" s="132"/>
      <c r="L421" s="45"/>
      <c r="M421" s="45"/>
      <c r="N421" s="46"/>
      <c r="O421" s="46"/>
      <c r="P421" s="45"/>
      <c r="Q421" s="45"/>
      <c r="R421" s="45"/>
      <c r="T421" s="42"/>
      <c r="V421" s="45"/>
      <c r="Y421" s="45"/>
      <c r="Z421" s="132"/>
      <c r="AA421" s="45"/>
      <c r="AB421" s="45"/>
      <c r="AC421" s="46"/>
      <c r="AD421" s="46"/>
      <c r="AE421" s="45"/>
      <c r="AF421" s="45"/>
      <c r="AH421" s="51"/>
      <c r="AI421" s="45"/>
      <c r="AJ421" s="45"/>
      <c r="AL421" s="45"/>
      <c r="AM421" s="46"/>
      <c r="AN421" s="46"/>
    </row>
    <row r="422" spans="3:40">
      <c r="C422" s="42"/>
      <c r="J422" s="56"/>
      <c r="K422" s="56"/>
      <c r="T422" s="42"/>
      <c r="Z422" s="56"/>
    </row>
    <row r="423" spans="3:40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>
      <c r="C426" s="42"/>
      <c r="F426" s="164"/>
      <c r="H426" s="164"/>
      <c r="I426" s="164"/>
      <c r="J426" s="132"/>
      <c r="K426" s="132"/>
      <c r="L426" s="45"/>
      <c r="M426" s="45"/>
      <c r="N426" s="46"/>
      <c r="O426" s="46"/>
      <c r="P426" s="45"/>
      <c r="Q426" s="45"/>
      <c r="R426" s="45"/>
      <c r="T426" s="42"/>
      <c r="V426" s="45"/>
      <c r="Y426" s="45"/>
      <c r="Z426" s="132"/>
      <c r="AA426" s="45"/>
      <c r="AB426" s="45"/>
      <c r="AC426" s="46"/>
      <c r="AD426" s="46"/>
      <c r="AE426" s="45"/>
      <c r="AF426" s="45"/>
      <c r="AH426" s="51"/>
      <c r="AI426" s="45"/>
      <c r="AJ426" s="45"/>
      <c r="AL426" s="45"/>
      <c r="AM426" s="46"/>
      <c r="AN426" s="46"/>
    </row>
    <row r="427" spans="3:40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>
      <c r="F428" s="50"/>
      <c r="H428" s="50"/>
      <c r="I428" s="50"/>
      <c r="J428" s="326"/>
      <c r="K428" s="326"/>
      <c r="L428" s="50"/>
      <c r="M428" s="50"/>
      <c r="N428" s="50"/>
      <c r="O428" s="50"/>
      <c r="P428" s="50"/>
      <c r="Q428" s="50"/>
      <c r="R428" s="50"/>
      <c r="V428" s="50"/>
      <c r="Y428" s="50"/>
      <c r="Z428" s="132"/>
      <c r="AA428" s="50"/>
      <c r="AB428" s="50"/>
      <c r="AC428" s="50"/>
      <c r="AD428" s="50"/>
      <c r="AE428" s="50"/>
      <c r="AF428" s="50"/>
      <c r="AI428" s="50"/>
      <c r="AJ428" s="50"/>
      <c r="AK428" s="111"/>
      <c r="AL428" s="50"/>
    </row>
    <row r="429" spans="3:40">
      <c r="C429" s="42"/>
      <c r="F429" s="45"/>
      <c r="H429" s="45"/>
      <c r="I429" s="45"/>
      <c r="L429" s="45"/>
      <c r="M429" s="45"/>
      <c r="N429" s="51"/>
      <c r="O429" s="51"/>
      <c r="P429" s="45"/>
      <c r="Q429" s="45"/>
      <c r="R429" s="45"/>
      <c r="T429" s="42"/>
      <c r="V429" s="45"/>
      <c r="Y429" s="45"/>
      <c r="AA429" s="45"/>
      <c r="AB429" s="45"/>
      <c r="AC429" s="46"/>
      <c r="AD429" s="46"/>
      <c r="AE429" s="45"/>
      <c r="AF429" s="45"/>
      <c r="AH429" s="51"/>
      <c r="AI429" s="45"/>
      <c r="AJ429" s="45"/>
      <c r="AL429" s="45"/>
      <c r="AM429" s="46"/>
      <c r="AN429" s="46"/>
    </row>
    <row r="430" spans="3:40">
      <c r="F430" s="50"/>
      <c r="H430" s="50"/>
      <c r="I430" s="50"/>
      <c r="J430" s="326"/>
      <c r="K430" s="326"/>
      <c r="L430" s="50"/>
      <c r="M430" s="50"/>
      <c r="N430" s="50"/>
      <c r="O430" s="50"/>
      <c r="P430" s="50"/>
      <c r="Q430" s="50"/>
      <c r="R430" s="50"/>
      <c r="V430" s="50"/>
      <c r="Y430" s="50"/>
      <c r="Z430" s="326"/>
      <c r="AA430" s="50"/>
      <c r="AB430" s="50"/>
      <c r="AC430" s="50"/>
      <c r="AD430" s="50"/>
      <c r="AE430" s="50"/>
      <c r="AF430" s="50"/>
      <c r="AI430" s="50"/>
      <c r="AJ430" s="50"/>
      <c r="AK430" s="111"/>
      <c r="AL430" s="50"/>
    </row>
    <row r="431" spans="3:40">
      <c r="C431" s="42"/>
      <c r="T431" s="42"/>
    </row>
    <row r="432" spans="3:40">
      <c r="C432" s="42"/>
      <c r="F432" s="164"/>
      <c r="H432" s="164"/>
      <c r="I432" s="164"/>
      <c r="J432" s="316"/>
      <c r="K432" s="316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316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1:40">
      <c r="C433" s="42"/>
      <c r="F433" s="164"/>
      <c r="H433" s="164"/>
      <c r="I433" s="164"/>
      <c r="J433" s="316"/>
      <c r="K433" s="316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316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1:40">
      <c r="F434" s="50"/>
      <c r="H434" s="45"/>
      <c r="I434" s="45"/>
      <c r="J434" s="326"/>
      <c r="K434" s="326"/>
      <c r="L434" s="50"/>
      <c r="M434" s="50"/>
      <c r="N434" s="50"/>
      <c r="O434" s="50"/>
      <c r="P434" s="50"/>
      <c r="Q434" s="50"/>
      <c r="R434" s="50"/>
      <c r="V434" s="50"/>
      <c r="Y434" s="45"/>
      <c r="Z434" s="326"/>
      <c r="AA434" s="50"/>
      <c r="AB434" s="50"/>
      <c r="AC434" s="50"/>
      <c r="AD434" s="50"/>
      <c r="AE434" s="50"/>
      <c r="AF434" s="50"/>
      <c r="AI434" s="50"/>
      <c r="AJ434" s="50"/>
      <c r="AK434" s="111"/>
      <c r="AL434" s="50"/>
    </row>
    <row r="435" spans="1:40">
      <c r="F435" s="45"/>
      <c r="H435" s="45"/>
      <c r="I435" s="45"/>
      <c r="J435" s="326"/>
      <c r="K435" s="326"/>
      <c r="L435" s="45"/>
      <c r="M435" s="45"/>
      <c r="N435" s="45"/>
      <c r="O435" s="45"/>
      <c r="P435" s="45"/>
      <c r="Q435" s="45"/>
      <c r="R435" s="45"/>
      <c r="V435" s="45"/>
      <c r="Y435" s="45"/>
      <c r="Z435" s="326"/>
      <c r="AA435" s="45"/>
      <c r="AB435" s="45"/>
      <c r="AC435" s="45"/>
      <c r="AD435" s="45"/>
      <c r="AE435" s="45"/>
      <c r="AF435" s="45"/>
      <c r="AI435" s="45"/>
      <c r="AJ435" s="45"/>
      <c r="AL435" s="45"/>
    </row>
    <row r="436" spans="1:40">
      <c r="C436" s="42"/>
      <c r="F436" s="45"/>
      <c r="H436" s="45"/>
      <c r="I436" s="45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AA436" s="45"/>
      <c r="AB436" s="45"/>
      <c r="AC436" s="46"/>
      <c r="AD436" s="46"/>
      <c r="AE436" s="45"/>
      <c r="AF436" s="45"/>
      <c r="AH436" s="51"/>
      <c r="AI436" s="164"/>
      <c r="AJ436" s="164"/>
      <c r="AL436" s="45"/>
      <c r="AM436" s="46"/>
      <c r="AN436" s="46"/>
    </row>
    <row r="437" spans="1:40">
      <c r="F437" s="50"/>
      <c r="H437" s="50"/>
      <c r="I437" s="50"/>
      <c r="J437" s="326"/>
      <c r="K437" s="326"/>
      <c r="L437" s="50"/>
      <c r="M437" s="50"/>
      <c r="N437" s="50"/>
      <c r="O437" s="50"/>
      <c r="P437" s="50"/>
      <c r="Q437" s="50"/>
      <c r="R437" s="50"/>
      <c r="V437" s="50"/>
      <c r="Y437" s="50"/>
      <c r="Z437" s="326"/>
      <c r="AA437" s="50"/>
      <c r="AB437" s="50"/>
      <c r="AC437" s="50"/>
      <c r="AD437" s="50"/>
      <c r="AE437" s="50"/>
      <c r="AF437" s="50"/>
      <c r="AI437" s="50"/>
      <c r="AJ437" s="50"/>
      <c r="AK437" s="111"/>
      <c r="AL437" s="50"/>
    </row>
    <row r="439" spans="1:40">
      <c r="A439" s="42"/>
      <c r="T439" s="42"/>
    </row>
    <row r="440" spans="1:40">
      <c r="A440" s="42"/>
      <c r="T440" s="42"/>
    </row>
    <row r="441" spans="1:40">
      <c r="A441" s="42"/>
      <c r="T441" s="42"/>
    </row>
    <row r="442" spans="1:40">
      <c r="A442" s="42"/>
      <c r="T442" s="42"/>
    </row>
    <row r="443" spans="1:40">
      <c r="A443" s="42"/>
      <c r="T443" s="42"/>
    </row>
    <row r="444" spans="1:40">
      <c r="A444" s="42"/>
      <c r="T444" s="42"/>
    </row>
    <row r="445" spans="1:40">
      <c r="A445" s="42"/>
      <c r="T445" s="42"/>
    </row>
    <row r="446" spans="1:40">
      <c r="A446" s="42"/>
      <c r="T446" s="42"/>
    </row>
    <row r="447" spans="1:40">
      <c r="A447" s="42"/>
      <c r="T447" s="42"/>
    </row>
    <row r="449" spans="1:40">
      <c r="A449" s="42"/>
    </row>
    <row r="451" spans="1:40">
      <c r="H451" s="42"/>
      <c r="I451" s="42"/>
      <c r="Y451" s="42"/>
    </row>
    <row r="453" spans="1:40">
      <c r="L453" s="42"/>
      <c r="M453" s="42"/>
      <c r="AA453" s="42"/>
      <c r="AB453" s="42"/>
    </row>
    <row r="454" spans="1:40">
      <c r="R454" s="42"/>
      <c r="AK454" s="110"/>
      <c r="AL454" s="42"/>
    </row>
    <row r="455" spans="1:40">
      <c r="R455" s="42"/>
      <c r="AK455" s="110"/>
      <c r="AL455" s="42"/>
    </row>
    <row r="456" spans="1:40">
      <c r="A456" s="42"/>
      <c r="R456" s="42"/>
      <c r="AK456" s="110"/>
      <c r="AL456" s="42"/>
    </row>
    <row r="457" spans="1:40">
      <c r="L457" s="42"/>
      <c r="M457" s="42"/>
      <c r="AA457" s="42"/>
      <c r="AB457" s="42"/>
    </row>
    <row r="458" spans="1:40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107"/>
      <c r="AH458" s="49"/>
      <c r="AI458" s="49"/>
      <c r="AJ458" s="49"/>
      <c r="AK458" s="107"/>
      <c r="AL458" s="49"/>
      <c r="AM458" s="49"/>
      <c r="AN458" s="49"/>
    </row>
    <row r="459" spans="1:40">
      <c r="L459" s="44"/>
      <c r="M459" s="44"/>
      <c r="N459" s="44"/>
      <c r="O459" s="44"/>
      <c r="R459" s="44"/>
      <c r="AA459" s="44"/>
      <c r="AB459" s="44"/>
      <c r="AC459" s="44"/>
      <c r="AD459" s="44"/>
      <c r="AE459" s="44"/>
      <c r="AF459" s="44"/>
      <c r="AG459" s="102"/>
      <c r="AH459" s="44"/>
      <c r="AK459" s="102"/>
      <c r="AL459" s="44"/>
      <c r="AM459" s="44"/>
      <c r="AN459" s="44"/>
    </row>
    <row r="460" spans="1:40">
      <c r="L460" s="44"/>
      <c r="M460" s="44"/>
      <c r="N460" s="44"/>
      <c r="O460" s="44"/>
      <c r="R460" s="44"/>
      <c r="Z460" s="44"/>
      <c r="AA460" s="44"/>
      <c r="AB460" s="44"/>
      <c r="AC460" s="44"/>
      <c r="AD460" s="44"/>
      <c r="AE460" s="44"/>
      <c r="AF460" s="44"/>
      <c r="AG460" s="102"/>
      <c r="AH460" s="44"/>
      <c r="AK460" s="102"/>
      <c r="AL460" s="44"/>
      <c r="AM460" s="44"/>
      <c r="AN460" s="44"/>
    </row>
    <row r="461" spans="1:40">
      <c r="A461" s="44"/>
      <c r="C461" s="44"/>
      <c r="D461" s="44"/>
      <c r="E461" s="44"/>
      <c r="F461" s="44"/>
      <c r="J461" s="44"/>
      <c r="K461" s="44"/>
      <c r="L461" s="44"/>
      <c r="M461" s="44"/>
      <c r="N461" s="44"/>
      <c r="O461" s="44"/>
      <c r="P461" s="44"/>
      <c r="Q461" s="44"/>
      <c r="R461" s="44"/>
      <c r="T461" s="44"/>
      <c r="U461" s="44"/>
      <c r="V461" s="44"/>
      <c r="Z461" s="44"/>
      <c r="AA461" s="44"/>
      <c r="AB461" s="44"/>
      <c r="AC461" s="44"/>
      <c r="AD461" s="44"/>
      <c r="AE461" s="44"/>
      <c r="AF461" s="44"/>
      <c r="AG461" s="102"/>
      <c r="AH461" s="44"/>
      <c r="AI461" s="44"/>
      <c r="AJ461" s="44"/>
      <c r="AK461" s="102"/>
      <c r="AL461" s="44"/>
      <c r="AM461" s="44"/>
      <c r="AN461" s="44"/>
    </row>
    <row r="462" spans="1:40">
      <c r="A462" s="44"/>
      <c r="C462" s="44"/>
      <c r="D462" s="44"/>
      <c r="E462" s="44"/>
      <c r="F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T462" s="44"/>
      <c r="U462" s="44"/>
      <c r="V462" s="44"/>
      <c r="Y462" s="44"/>
      <c r="Z462" s="44"/>
      <c r="AA462" s="44"/>
      <c r="AB462" s="44"/>
      <c r="AC462" s="44"/>
      <c r="AD462" s="44"/>
      <c r="AE462" s="44"/>
      <c r="AF462" s="44"/>
      <c r="AG462" s="102"/>
      <c r="AH462" s="44"/>
      <c r="AI462" s="44"/>
      <c r="AJ462" s="44"/>
      <c r="AK462" s="102"/>
      <c r="AL462" s="44"/>
      <c r="AM462" s="44"/>
      <c r="AN462" s="44"/>
    </row>
    <row r="463" spans="1:40">
      <c r="C463" s="44"/>
      <c r="D463" s="44"/>
      <c r="E463" s="44"/>
      <c r="F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T463" s="44"/>
      <c r="U463" s="44"/>
      <c r="V463" s="44"/>
      <c r="Y463" s="44"/>
      <c r="Z463" s="44"/>
      <c r="AA463" s="44"/>
      <c r="AB463" s="44"/>
      <c r="AC463" s="44"/>
      <c r="AD463" s="44"/>
      <c r="AE463" s="44"/>
      <c r="AF463" s="44"/>
      <c r="AG463" s="102"/>
      <c r="AH463" s="44"/>
      <c r="AI463" s="44"/>
      <c r="AJ463" s="44"/>
      <c r="AK463" s="102"/>
      <c r="AL463" s="44"/>
      <c r="AM463" s="44"/>
      <c r="AN463" s="44"/>
    </row>
    <row r="464" spans="1:40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107"/>
      <c r="AH464" s="49"/>
      <c r="AI464" s="49"/>
      <c r="AJ464" s="49"/>
      <c r="AK464" s="107"/>
      <c r="AL464" s="49"/>
      <c r="AM464" s="49"/>
      <c r="AN464" s="49"/>
    </row>
    <row r="465" spans="3:40"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Y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3:40">
      <c r="C466" s="42"/>
      <c r="D466" s="42"/>
      <c r="E466" s="42"/>
      <c r="T466" s="42"/>
      <c r="U466" s="42"/>
    </row>
    <row r="467" spans="3:40">
      <c r="D467" s="42"/>
      <c r="E467" s="42"/>
      <c r="U467" s="42"/>
    </row>
    <row r="469" spans="3:40">
      <c r="C469" s="42"/>
      <c r="F469" s="45"/>
      <c r="J469" s="53"/>
      <c r="K469" s="53"/>
      <c r="L469" s="45"/>
      <c r="M469" s="45"/>
      <c r="R469" s="45"/>
      <c r="T469" s="42"/>
      <c r="V469" s="45"/>
      <c r="Z469" s="53"/>
      <c r="AA469" s="45"/>
      <c r="AB469" s="45"/>
      <c r="AH469" s="45"/>
      <c r="AL469" s="45"/>
    </row>
    <row r="470" spans="3:40">
      <c r="C470" s="42"/>
      <c r="F470" s="45"/>
      <c r="R470" s="45"/>
      <c r="T470" s="42"/>
      <c r="V470" s="45"/>
      <c r="AH470" s="45"/>
      <c r="AL470" s="45"/>
    </row>
    <row r="471" spans="3:40">
      <c r="AI471" s="45"/>
      <c r="AJ471" s="45"/>
      <c r="AL471" s="45"/>
      <c r="AM471" s="46"/>
      <c r="AN471" s="46"/>
    </row>
    <row r="472" spans="3:40">
      <c r="C472" s="42"/>
      <c r="F472" s="164"/>
      <c r="H472" s="164"/>
      <c r="I472" s="164"/>
      <c r="J472" s="336"/>
      <c r="K472" s="336"/>
      <c r="L472" s="45"/>
      <c r="M472" s="45"/>
      <c r="N472" s="46"/>
      <c r="O472" s="46"/>
      <c r="P472" s="45"/>
      <c r="Q472" s="45"/>
      <c r="R472" s="45"/>
      <c r="T472" s="42"/>
      <c r="V472" s="45"/>
      <c r="Y472" s="45"/>
      <c r="Z472" s="336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46"/>
      <c r="AN472" s="46"/>
    </row>
    <row r="473" spans="3:40">
      <c r="F473" s="45"/>
      <c r="H473" s="45"/>
      <c r="I473" s="45"/>
      <c r="J473" s="47"/>
      <c r="K473" s="47"/>
      <c r="L473" s="45"/>
      <c r="M473" s="45"/>
      <c r="P473" s="45"/>
      <c r="Q473" s="45"/>
      <c r="R473" s="45"/>
      <c r="V473" s="45"/>
      <c r="Y473" s="45"/>
      <c r="Z473" s="47"/>
      <c r="AA473" s="45"/>
      <c r="AB473" s="45"/>
      <c r="AI473" s="45"/>
      <c r="AJ473" s="45"/>
      <c r="AL473" s="45"/>
      <c r="AM473" s="46"/>
      <c r="AN473" s="46"/>
    </row>
    <row r="474" spans="3:40">
      <c r="F474" s="45"/>
      <c r="R474" s="45"/>
      <c r="V474" s="45"/>
      <c r="AL474" s="45"/>
      <c r="AM474" s="46"/>
      <c r="AN474" s="46"/>
    </row>
    <row r="475" spans="3:40">
      <c r="C475" s="42"/>
      <c r="F475" s="45"/>
      <c r="J475" s="53"/>
      <c r="K475" s="53"/>
      <c r="L475" s="45"/>
      <c r="M475" s="45"/>
      <c r="N475" s="46"/>
      <c r="O475" s="46"/>
      <c r="R475" s="45"/>
      <c r="T475" s="42"/>
      <c r="V475" s="45"/>
      <c r="Z475" s="53"/>
      <c r="AA475" s="45"/>
      <c r="AB475" s="45"/>
      <c r="AC475" s="46"/>
      <c r="AD475" s="46"/>
      <c r="AL475" s="45"/>
      <c r="AM475" s="46"/>
      <c r="AN475" s="46"/>
    </row>
    <row r="476" spans="3:40">
      <c r="C476" s="42"/>
      <c r="F476" s="45"/>
      <c r="H476" s="45"/>
      <c r="I476" s="45"/>
      <c r="J476" s="53"/>
      <c r="K476" s="53"/>
      <c r="L476" s="45"/>
      <c r="M476" s="45"/>
      <c r="N476" s="46"/>
      <c r="O476" s="46"/>
      <c r="P476" s="45"/>
      <c r="Q476" s="45"/>
      <c r="R476" s="45"/>
      <c r="T476" s="42"/>
      <c r="V476" s="45"/>
      <c r="Y476" s="45"/>
      <c r="Z476" s="53"/>
      <c r="AA476" s="45"/>
      <c r="AB476" s="45"/>
      <c r="AC476" s="46"/>
      <c r="AD476" s="46"/>
      <c r="AI476" s="45"/>
      <c r="AJ476" s="45"/>
      <c r="AL476" s="45"/>
      <c r="AM476" s="46"/>
      <c r="AN476" s="46"/>
    </row>
    <row r="477" spans="3:40">
      <c r="C477" s="42"/>
      <c r="T477" s="42"/>
      <c r="AM477" s="46"/>
      <c r="AN477" s="46"/>
    </row>
    <row r="478" spans="3:40">
      <c r="C478" s="42"/>
      <c r="T478" s="42"/>
      <c r="AM478" s="46"/>
      <c r="AN478" s="46"/>
    </row>
    <row r="479" spans="3:40">
      <c r="AM479" s="46"/>
      <c r="AN479" s="46"/>
    </row>
    <row r="480" spans="3:40">
      <c r="C480" s="42"/>
      <c r="F480" s="164"/>
      <c r="H480" s="164"/>
      <c r="I480" s="164"/>
      <c r="J480" s="336"/>
      <c r="K480" s="336"/>
      <c r="L480" s="45"/>
      <c r="M480" s="45"/>
      <c r="N480" s="46"/>
      <c r="O480" s="46"/>
      <c r="P480" s="45"/>
      <c r="Q480" s="45"/>
      <c r="R480" s="45"/>
      <c r="T480" s="42"/>
      <c r="V480" s="45"/>
      <c r="Y480" s="45"/>
      <c r="Z480" s="336"/>
      <c r="AA480" s="45"/>
      <c r="AB480" s="45"/>
      <c r="AC480" s="46"/>
      <c r="AD480" s="46"/>
      <c r="AE480" s="45"/>
      <c r="AF480" s="45"/>
      <c r="AH480" s="51"/>
      <c r="AI480" s="45"/>
      <c r="AJ480" s="45"/>
      <c r="AL480" s="45"/>
      <c r="AM480" s="46"/>
      <c r="AN480" s="46"/>
    </row>
    <row r="481" spans="1:40">
      <c r="F481" s="50"/>
      <c r="H481" s="50"/>
      <c r="I481" s="50"/>
      <c r="J481" s="326"/>
      <c r="K481" s="326"/>
      <c r="L481" s="50"/>
      <c r="M481" s="50"/>
      <c r="N481" s="50"/>
      <c r="O481" s="50"/>
      <c r="P481" s="50"/>
      <c r="Q481" s="50"/>
      <c r="R481" s="50"/>
      <c r="V481" s="50"/>
      <c r="Y481" s="50"/>
      <c r="Z481" s="326"/>
      <c r="AA481" s="50"/>
      <c r="AB481" s="50"/>
      <c r="AC481" s="50"/>
      <c r="AD481" s="50"/>
      <c r="AE481" s="50"/>
      <c r="AF481" s="50"/>
      <c r="AI481" s="50"/>
      <c r="AJ481" s="50"/>
      <c r="AK481" s="111"/>
      <c r="AL481" s="50"/>
      <c r="AM481" s="46"/>
      <c r="AN481" s="46"/>
    </row>
    <row r="482" spans="1:40">
      <c r="H482" s="45"/>
      <c r="I482" s="45"/>
      <c r="Y482" s="45"/>
      <c r="AM482" s="46"/>
      <c r="AN482" s="46"/>
    </row>
    <row r="483" spans="1:40">
      <c r="C483" s="42"/>
      <c r="F483" s="45"/>
      <c r="H483" s="45"/>
      <c r="I483" s="45"/>
      <c r="L483" s="45"/>
      <c r="M483" s="45"/>
      <c r="N483" s="46"/>
      <c r="O483" s="46"/>
      <c r="P483" s="164"/>
      <c r="Q483" s="164"/>
      <c r="R483" s="45"/>
      <c r="T483" s="42"/>
      <c r="V483" s="45"/>
      <c r="Y483" s="45"/>
      <c r="AA483" s="45"/>
      <c r="AB483" s="45"/>
      <c r="AC483" s="46"/>
      <c r="AD483" s="46"/>
      <c r="AE483" s="45"/>
      <c r="AF483" s="45"/>
      <c r="AH483" s="51"/>
      <c r="AI483" s="164"/>
      <c r="AJ483" s="164"/>
      <c r="AL483" s="45"/>
      <c r="AM483" s="46"/>
      <c r="AN483" s="46"/>
    </row>
    <row r="484" spans="1:40">
      <c r="F484" s="50"/>
      <c r="H484" s="50"/>
      <c r="I484" s="50"/>
      <c r="J484" s="326"/>
      <c r="K484" s="326"/>
      <c r="L484" s="50"/>
      <c r="M484" s="50"/>
      <c r="N484" s="50"/>
      <c r="O484" s="50"/>
      <c r="P484" s="50"/>
      <c r="Q484" s="50"/>
      <c r="R484" s="50"/>
      <c r="V484" s="50"/>
      <c r="Y484" s="50"/>
      <c r="Z484" s="326"/>
      <c r="AA484" s="50"/>
      <c r="AB484" s="50"/>
      <c r="AC484" s="50"/>
      <c r="AD484" s="50"/>
      <c r="AE484" s="50"/>
      <c r="AF484" s="50"/>
      <c r="AI484" s="50"/>
      <c r="AJ484" s="50"/>
      <c r="AK484" s="111"/>
      <c r="AL484" s="50"/>
      <c r="AM484" s="46"/>
      <c r="AN484" s="46"/>
    </row>
    <row r="486" spans="1:40">
      <c r="F486" s="45"/>
      <c r="H486" s="45"/>
      <c r="I486" s="45"/>
      <c r="J486" s="47"/>
      <c r="K486" s="47"/>
      <c r="L486" s="45"/>
      <c r="M486" s="45"/>
      <c r="N486" s="45"/>
      <c r="O486" s="45"/>
      <c r="P486" s="45"/>
      <c r="Q486" s="45"/>
      <c r="R486" s="45"/>
      <c r="V486" s="45"/>
      <c r="Y486" s="45"/>
      <c r="Z486" s="47"/>
      <c r="AA486" s="45"/>
      <c r="AB486" s="45"/>
      <c r="AC486" s="45"/>
      <c r="AD486" s="45"/>
      <c r="AE486" s="45"/>
      <c r="AF486" s="45"/>
      <c r="AH486" s="45"/>
      <c r="AI486" s="45"/>
      <c r="AJ486" s="45"/>
      <c r="AL486" s="45"/>
    </row>
    <row r="487" spans="1:40">
      <c r="A487" s="42"/>
    </row>
    <row r="489" spans="1:40">
      <c r="H489" s="42"/>
      <c r="I489" s="42"/>
      <c r="Y489" s="42"/>
    </row>
    <row r="491" spans="1:40">
      <c r="L491" s="42"/>
      <c r="M491" s="42"/>
      <c r="AA491" s="42"/>
      <c r="AB491" s="42"/>
    </row>
    <row r="492" spans="1:40">
      <c r="R492" s="42"/>
      <c r="AK492" s="110"/>
      <c r="AL492" s="42"/>
    </row>
    <row r="493" spans="1:40">
      <c r="R493" s="42"/>
      <c r="AK493" s="110"/>
      <c r="AL493" s="42"/>
    </row>
    <row r="494" spans="1:40">
      <c r="A494" s="42"/>
      <c r="R494" s="42"/>
      <c r="AK494" s="110"/>
      <c r="AL494" s="42"/>
    </row>
    <row r="495" spans="1:40">
      <c r="L495" s="42"/>
      <c r="M495" s="42"/>
      <c r="AA495" s="42"/>
      <c r="AB495" s="42"/>
    </row>
    <row r="496" spans="1:40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107"/>
      <c r="AH496" s="49"/>
      <c r="AI496" s="49"/>
      <c r="AJ496" s="49"/>
      <c r="AK496" s="107"/>
      <c r="AL496" s="49"/>
      <c r="AM496" s="49"/>
      <c r="AN496" s="49"/>
    </row>
    <row r="497" spans="1:40">
      <c r="L497" s="44"/>
      <c r="M497" s="44"/>
      <c r="N497" s="44"/>
      <c r="O497" s="44"/>
      <c r="R497" s="44"/>
      <c r="AA497" s="44"/>
      <c r="AB497" s="44"/>
      <c r="AC497" s="44"/>
      <c r="AD497" s="44"/>
      <c r="AE497" s="44"/>
      <c r="AF497" s="44"/>
      <c r="AG497" s="102"/>
      <c r="AH497" s="44"/>
      <c r="AK497" s="102"/>
      <c r="AL497" s="44"/>
      <c r="AM497" s="44"/>
      <c r="AN497" s="44"/>
    </row>
    <row r="498" spans="1:40">
      <c r="L498" s="44"/>
      <c r="M498" s="44"/>
      <c r="N498" s="44"/>
      <c r="O498" s="44"/>
      <c r="R498" s="44"/>
      <c r="Z498" s="44"/>
      <c r="AA498" s="44"/>
      <c r="AB498" s="44"/>
      <c r="AC498" s="44"/>
      <c r="AD498" s="44"/>
      <c r="AE498" s="44"/>
      <c r="AF498" s="44"/>
      <c r="AG498" s="102"/>
      <c r="AH498" s="44"/>
      <c r="AK498" s="102"/>
      <c r="AL498" s="44"/>
      <c r="AM498" s="44"/>
      <c r="AN498" s="44"/>
    </row>
    <row r="499" spans="1:40">
      <c r="A499" s="44"/>
      <c r="C499" s="44"/>
      <c r="D499" s="44"/>
      <c r="E499" s="44"/>
      <c r="F499" s="44"/>
      <c r="J499" s="44"/>
      <c r="K499" s="44"/>
      <c r="L499" s="44"/>
      <c r="M499" s="44"/>
      <c r="N499" s="44"/>
      <c r="O499" s="44"/>
      <c r="P499" s="44"/>
      <c r="Q499" s="44"/>
      <c r="R499" s="44"/>
      <c r="T499" s="44"/>
      <c r="U499" s="44"/>
      <c r="V499" s="44"/>
      <c r="Z499" s="44"/>
      <c r="AA499" s="44"/>
      <c r="AB499" s="44"/>
      <c r="AC499" s="44"/>
      <c r="AD499" s="44"/>
      <c r="AE499" s="44"/>
      <c r="AF499" s="44"/>
      <c r="AG499" s="102"/>
      <c r="AH499" s="44"/>
      <c r="AI499" s="44"/>
      <c r="AJ499" s="44"/>
      <c r="AK499" s="102"/>
      <c r="AL499" s="44"/>
      <c r="AM499" s="44"/>
      <c r="AN499" s="44"/>
    </row>
    <row r="500" spans="1:40">
      <c r="A500" s="44"/>
      <c r="C500" s="44"/>
      <c r="D500" s="44"/>
      <c r="E500" s="44"/>
      <c r="F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T500" s="44"/>
      <c r="U500" s="44"/>
      <c r="V500" s="44"/>
      <c r="Y500" s="44"/>
      <c r="Z500" s="44"/>
      <c r="AA500" s="44"/>
      <c r="AB500" s="44"/>
      <c r="AC500" s="44"/>
      <c r="AD500" s="44"/>
      <c r="AE500" s="44"/>
      <c r="AF500" s="44"/>
      <c r="AG500" s="102"/>
      <c r="AH500" s="44"/>
      <c r="AI500" s="44"/>
      <c r="AJ500" s="44"/>
      <c r="AK500" s="102"/>
      <c r="AL500" s="44"/>
      <c r="AM500" s="44"/>
      <c r="AN500" s="44"/>
    </row>
    <row r="501" spans="1:40">
      <c r="C501" s="44"/>
      <c r="D501" s="44"/>
      <c r="E501" s="44"/>
      <c r="F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T501" s="44"/>
      <c r="U501" s="44"/>
      <c r="V501" s="44"/>
      <c r="Y501" s="44"/>
      <c r="Z501" s="44"/>
      <c r="AA501" s="44"/>
      <c r="AB501" s="44"/>
      <c r="AC501" s="44"/>
      <c r="AD501" s="44"/>
      <c r="AE501" s="44"/>
      <c r="AF501" s="44"/>
      <c r="AG501" s="102"/>
      <c r="AH501" s="44"/>
      <c r="AI501" s="44"/>
      <c r="AJ501" s="44"/>
      <c r="AK501" s="102"/>
      <c r="AL501" s="44"/>
      <c r="AM501" s="44"/>
      <c r="AN501" s="44"/>
    </row>
    <row r="502" spans="1:40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107"/>
      <c r="AH502" s="49"/>
      <c r="AI502" s="49"/>
      <c r="AJ502" s="49"/>
      <c r="AK502" s="107"/>
      <c r="AL502" s="49"/>
      <c r="AM502" s="49"/>
      <c r="AN502" s="49"/>
    </row>
    <row r="503" spans="1:40"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Y503" s="44"/>
      <c r="Z503" s="44"/>
      <c r="AA503" s="44"/>
      <c r="AB503" s="44"/>
      <c r="AC503" s="44"/>
      <c r="AD503" s="44"/>
      <c r="AE503" s="44"/>
      <c r="AF503" s="44"/>
      <c r="AG503" s="102"/>
      <c r="AH503" s="44"/>
      <c r="AI503" s="44"/>
      <c r="AJ503" s="44"/>
      <c r="AK503" s="102"/>
      <c r="AL503" s="44"/>
      <c r="AM503" s="44"/>
      <c r="AN503" s="44"/>
    </row>
    <row r="504" spans="1:40">
      <c r="C504" s="42"/>
      <c r="D504" s="42"/>
      <c r="E504" s="42"/>
      <c r="T504" s="42"/>
      <c r="U504" s="42"/>
      <c r="V504" s="45"/>
      <c r="W504" s="45"/>
      <c r="X504" s="45"/>
      <c r="Y504" s="45"/>
      <c r="Z504" s="336"/>
    </row>
    <row r="506" spans="1:40">
      <c r="C506" s="42"/>
      <c r="T506" s="42"/>
      <c r="V506" s="45"/>
      <c r="W506" s="45"/>
      <c r="X506" s="45"/>
      <c r="Y506" s="45"/>
      <c r="Z506" s="336"/>
    </row>
    <row r="507" spans="1:40">
      <c r="C507" s="42"/>
      <c r="F507" s="164"/>
      <c r="H507" s="164"/>
      <c r="I507" s="164"/>
      <c r="J507" s="132"/>
      <c r="K507" s="132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132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46"/>
      <c r="AN507" s="46"/>
    </row>
    <row r="508" spans="1:40">
      <c r="C508" s="42"/>
      <c r="F508" s="164"/>
      <c r="H508" s="164"/>
      <c r="I508" s="164"/>
      <c r="J508" s="132"/>
      <c r="K508" s="132"/>
      <c r="L508" s="45"/>
      <c r="M508" s="45"/>
      <c r="N508" s="46"/>
      <c r="O508" s="46"/>
      <c r="P508" s="45"/>
      <c r="Q508" s="45"/>
      <c r="R508" s="45"/>
      <c r="T508" s="42"/>
      <c r="V508" s="45"/>
      <c r="W508" s="45"/>
      <c r="X508" s="45"/>
      <c r="Y508" s="45"/>
      <c r="Z508" s="132"/>
      <c r="AA508" s="45"/>
      <c r="AB508" s="45"/>
      <c r="AC508" s="46"/>
      <c r="AD508" s="46"/>
      <c r="AE508" s="45"/>
      <c r="AF508" s="45"/>
      <c r="AH508" s="51"/>
      <c r="AI508" s="45"/>
      <c r="AJ508" s="45"/>
      <c r="AL508" s="45"/>
      <c r="AM508" s="46"/>
      <c r="AN508" s="46"/>
    </row>
    <row r="509" spans="1:40">
      <c r="C509" s="42"/>
      <c r="F509" s="164"/>
      <c r="H509" s="164"/>
      <c r="I509" s="164"/>
      <c r="J509" s="132"/>
      <c r="K509" s="132"/>
      <c r="L509" s="45"/>
      <c r="M509" s="45"/>
      <c r="N509" s="46"/>
      <c r="O509" s="46"/>
      <c r="P509" s="45"/>
      <c r="Q509" s="45"/>
      <c r="R509" s="45"/>
      <c r="T509" s="42"/>
      <c r="V509" s="45"/>
      <c r="W509" s="45"/>
      <c r="X509" s="45"/>
      <c r="Y509" s="45"/>
      <c r="Z509" s="132"/>
      <c r="AA509" s="45"/>
      <c r="AB509" s="45"/>
      <c r="AC509" s="46"/>
      <c r="AD509" s="46"/>
      <c r="AE509" s="45"/>
      <c r="AF509" s="45"/>
      <c r="AH509" s="51"/>
      <c r="AI509" s="45"/>
      <c r="AJ509" s="45"/>
      <c r="AL509" s="45"/>
      <c r="AM509" s="46"/>
      <c r="AN509" s="46"/>
    </row>
    <row r="510" spans="1:40">
      <c r="C510" s="42"/>
      <c r="F510" s="164"/>
      <c r="H510" s="164"/>
      <c r="I510" s="164"/>
      <c r="J510" s="132"/>
      <c r="K510" s="132"/>
      <c r="L510" s="45"/>
      <c r="M510" s="45"/>
      <c r="N510" s="46"/>
      <c r="O510" s="46"/>
      <c r="P510" s="45"/>
      <c r="Q510" s="45"/>
      <c r="R510" s="45"/>
      <c r="T510" s="42"/>
      <c r="V510" s="45"/>
      <c r="W510" s="45"/>
      <c r="X510" s="45"/>
      <c r="Y510" s="45"/>
      <c r="Z510" s="132"/>
      <c r="AA510" s="45"/>
      <c r="AB510" s="45"/>
      <c r="AC510" s="46"/>
      <c r="AD510" s="46"/>
      <c r="AE510" s="45"/>
      <c r="AF510" s="45"/>
      <c r="AH510" s="51"/>
      <c r="AI510" s="45"/>
      <c r="AJ510" s="45"/>
      <c r="AL510" s="45"/>
      <c r="AM510" s="46"/>
      <c r="AN510" s="46"/>
    </row>
    <row r="511" spans="1:40">
      <c r="J511" s="56"/>
      <c r="K511" s="56"/>
      <c r="V511" s="45"/>
      <c r="W511" s="45"/>
      <c r="X511" s="45"/>
      <c r="Y511" s="45"/>
      <c r="Z511" s="132"/>
    </row>
    <row r="512" spans="1:40">
      <c r="C512" s="42"/>
      <c r="F512" s="164"/>
      <c r="H512" s="164"/>
      <c r="I512" s="164"/>
      <c r="J512" s="132"/>
      <c r="K512" s="132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132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1:40">
      <c r="C513" s="42"/>
      <c r="J513" s="56"/>
      <c r="K513" s="56"/>
      <c r="T513" s="42"/>
      <c r="V513" s="45"/>
      <c r="W513" s="45"/>
      <c r="X513" s="45"/>
      <c r="Y513" s="45"/>
      <c r="Z513" s="132"/>
    </row>
    <row r="514" spans="1:40">
      <c r="C514" s="42"/>
      <c r="F514" s="164"/>
      <c r="H514" s="164"/>
      <c r="I514" s="164"/>
      <c r="J514" s="132"/>
      <c r="K514" s="132"/>
      <c r="L514" s="45"/>
      <c r="M514" s="45"/>
      <c r="N514" s="46"/>
      <c r="O514" s="46"/>
      <c r="P514" s="45"/>
      <c r="Q514" s="45"/>
      <c r="R514" s="45"/>
      <c r="T514" s="42"/>
      <c r="V514" s="45"/>
      <c r="W514" s="45"/>
      <c r="X514" s="45"/>
      <c r="Y514" s="45"/>
      <c r="Z514" s="132"/>
      <c r="AA514" s="45"/>
      <c r="AB514" s="45"/>
      <c r="AC514" s="46"/>
      <c r="AD514" s="46"/>
      <c r="AE514" s="45"/>
      <c r="AF514" s="45"/>
      <c r="AH514" s="51"/>
      <c r="AI514" s="45"/>
      <c r="AJ514" s="45"/>
      <c r="AL514" s="45"/>
      <c r="AM514" s="51"/>
      <c r="AN514" s="51"/>
    </row>
    <row r="515" spans="1:40">
      <c r="J515" s="56"/>
      <c r="K515" s="56"/>
      <c r="Z515" s="56"/>
    </row>
    <row r="516" spans="1:40">
      <c r="C516" s="42"/>
      <c r="J516" s="56"/>
      <c r="K516" s="56"/>
      <c r="T516" s="42"/>
      <c r="V516" s="45"/>
      <c r="W516" s="45"/>
      <c r="X516" s="45"/>
      <c r="Y516" s="45"/>
      <c r="Z516" s="132"/>
    </row>
    <row r="517" spans="1:40">
      <c r="C517" s="42"/>
      <c r="F517" s="164"/>
      <c r="H517" s="164"/>
      <c r="I517" s="164"/>
      <c r="J517" s="132"/>
      <c r="K517" s="132"/>
      <c r="L517" s="45"/>
      <c r="M517" s="45"/>
      <c r="N517" s="46"/>
      <c r="O517" s="46"/>
      <c r="P517" s="45"/>
      <c r="Q517" s="45"/>
      <c r="R517" s="45"/>
      <c r="T517" s="42"/>
      <c r="V517" s="45"/>
      <c r="W517" s="45"/>
      <c r="X517" s="45"/>
      <c r="Y517" s="45"/>
      <c r="Z517" s="132"/>
      <c r="AA517" s="45"/>
      <c r="AB517" s="45"/>
      <c r="AC517" s="46"/>
      <c r="AD517" s="46"/>
      <c r="AE517" s="45"/>
      <c r="AF517" s="45"/>
      <c r="AH517" s="51"/>
      <c r="AI517" s="45"/>
      <c r="AJ517" s="45"/>
      <c r="AL517" s="45"/>
      <c r="AM517" s="51"/>
      <c r="AN517" s="51"/>
    </row>
    <row r="518" spans="1:40">
      <c r="C518" s="42"/>
      <c r="F518" s="164"/>
      <c r="H518" s="164"/>
      <c r="I518" s="164"/>
      <c r="J518" s="132"/>
      <c r="K518" s="132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132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1:40">
      <c r="F519" s="50"/>
      <c r="H519" s="50"/>
      <c r="I519" s="50"/>
      <c r="J519" s="132"/>
      <c r="K519" s="132"/>
      <c r="L519" s="50"/>
      <c r="M519" s="50"/>
      <c r="N519" s="50"/>
      <c r="O519" s="50"/>
      <c r="P519" s="50"/>
      <c r="Q519" s="50"/>
      <c r="R519" s="50"/>
      <c r="V519" s="50"/>
      <c r="Y519" s="50"/>
      <c r="Z519" s="326"/>
      <c r="AA519" s="50"/>
      <c r="AB519" s="50"/>
      <c r="AC519" s="50"/>
      <c r="AD519" s="50"/>
      <c r="AE519" s="50"/>
      <c r="AF519" s="50"/>
      <c r="AI519" s="50"/>
      <c r="AJ519" s="50"/>
      <c r="AK519" s="111"/>
      <c r="AL519" s="50"/>
    </row>
    <row r="520" spans="1:40">
      <c r="C520" s="42"/>
      <c r="F520" s="45"/>
      <c r="H520" s="45"/>
      <c r="I520" s="45"/>
      <c r="L520" s="45"/>
      <c r="M520" s="45"/>
      <c r="N520" s="46"/>
      <c r="O520" s="46"/>
      <c r="P520" s="164"/>
      <c r="Q520" s="164"/>
      <c r="R520" s="45"/>
      <c r="T520" s="42"/>
      <c r="V520" s="45"/>
      <c r="W520" s="45"/>
      <c r="X520" s="45"/>
      <c r="Y520" s="45"/>
      <c r="Z520" s="336"/>
      <c r="AA520" s="45"/>
      <c r="AB520" s="45"/>
      <c r="AC520" s="46"/>
      <c r="AD520" s="46"/>
      <c r="AE520" s="45"/>
      <c r="AF520" s="45"/>
      <c r="AH520" s="51"/>
      <c r="AI520" s="164"/>
      <c r="AJ520" s="164"/>
      <c r="AL520" s="45"/>
      <c r="AM520" s="51"/>
      <c r="AN520" s="51"/>
    </row>
    <row r="521" spans="1:40">
      <c r="F521" s="50"/>
      <c r="H521" s="50"/>
      <c r="I521" s="50"/>
      <c r="J521" s="326"/>
      <c r="K521" s="326"/>
      <c r="L521" s="50"/>
      <c r="M521" s="50"/>
      <c r="N521" s="50"/>
      <c r="O521" s="50"/>
      <c r="P521" s="50"/>
      <c r="Q521" s="50"/>
      <c r="R521" s="50"/>
      <c r="V521" s="50"/>
      <c r="Y521" s="50"/>
      <c r="Z521" s="326"/>
      <c r="AA521" s="50"/>
      <c r="AB521" s="50"/>
      <c r="AC521" s="50"/>
      <c r="AD521" s="50"/>
      <c r="AE521" s="50"/>
      <c r="AF521" s="50"/>
      <c r="AI521" s="50"/>
      <c r="AJ521" s="50"/>
      <c r="AK521" s="111"/>
      <c r="AL521" s="50"/>
    </row>
    <row r="524" spans="1:40">
      <c r="A524" s="42"/>
    </row>
    <row r="526" spans="1:40">
      <c r="H526" s="42"/>
      <c r="I526" s="42"/>
      <c r="Y526" s="42"/>
    </row>
    <row r="528" spans="1:40">
      <c r="L528" s="42"/>
      <c r="M528" s="42"/>
      <c r="AA528" s="42"/>
      <c r="AB528" s="42"/>
    </row>
    <row r="529" spans="1:40">
      <c r="R529" s="42"/>
      <c r="AK529" s="110"/>
      <c r="AL529" s="42"/>
    </row>
    <row r="530" spans="1:40">
      <c r="R530" s="42"/>
      <c r="AK530" s="110"/>
      <c r="AL530" s="42"/>
    </row>
    <row r="531" spans="1:40">
      <c r="A531" s="42"/>
      <c r="R531" s="42"/>
      <c r="AK531" s="110"/>
      <c r="AL531" s="42"/>
    </row>
    <row r="532" spans="1:40">
      <c r="L532" s="42"/>
      <c r="M532" s="42"/>
      <c r="AA532" s="42"/>
      <c r="AB532" s="42"/>
    </row>
    <row r="533" spans="1:40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107"/>
      <c r="AH533" s="49"/>
      <c r="AI533" s="49"/>
      <c r="AJ533" s="49"/>
      <c r="AK533" s="107"/>
      <c r="AL533" s="49"/>
      <c r="AM533" s="49"/>
      <c r="AN533" s="49"/>
    </row>
    <row r="534" spans="1:40">
      <c r="L534" s="44"/>
      <c r="M534" s="44"/>
      <c r="N534" s="44"/>
      <c r="O534" s="44"/>
      <c r="R534" s="44"/>
      <c r="AA534" s="44"/>
      <c r="AB534" s="44"/>
      <c r="AC534" s="44"/>
      <c r="AD534" s="44"/>
      <c r="AE534" s="44"/>
      <c r="AF534" s="44"/>
      <c r="AG534" s="102"/>
      <c r="AH534" s="44"/>
      <c r="AK534" s="102"/>
      <c r="AL534" s="44"/>
      <c r="AM534" s="44"/>
      <c r="AN534" s="44"/>
    </row>
    <row r="535" spans="1:40">
      <c r="L535" s="44"/>
      <c r="M535" s="44"/>
      <c r="N535" s="44"/>
      <c r="O535" s="44"/>
      <c r="R535" s="44"/>
      <c r="Z535" s="44"/>
      <c r="AA535" s="44"/>
      <c r="AB535" s="44"/>
      <c r="AC535" s="44"/>
      <c r="AD535" s="44"/>
      <c r="AE535" s="44"/>
      <c r="AF535" s="44"/>
      <c r="AG535" s="102"/>
      <c r="AH535" s="44"/>
      <c r="AK535" s="102"/>
      <c r="AL535" s="44"/>
      <c r="AM535" s="44"/>
      <c r="AN535" s="44"/>
    </row>
    <row r="536" spans="1:40">
      <c r="A536" s="44"/>
      <c r="C536" s="44"/>
      <c r="D536" s="44"/>
      <c r="E536" s="44"/>
      <c r="F536" s="44"/>
      <c r="J536" s="44"/>
      <c r="K536" s="44"/>
      <c r="L536" s="44"/>
      <c r="M536" s="44"/>
      <c r="N536" s="44"/>
      <c r="O536" s="44"/>
      <c r="P536" s="44"/>
      <c r="Q536" s="44"/>
      <c r="R536" s="44"/>
      <c r="T536" s="44"/>
      <c r="U536" s="44"/>
      <c r="V536" s="44"/>
      <c r="Z536" s="44"/>
      <c r="AA536" s="44"/>
      <c r="AB536" s="44"/>
      <c r="AC536" s="44"/>
      <c r="AD536" s="44"/>
      <c r="AE536" s="44"/>
      <c r="AF536" s="44"/>
      <c r="AG536" s="102"/>
      <c r="AH536" s="44"/>
      <c r="AI536" s="44"/>
      <c r="AJ536" s="44"/>
      <c r="AK536" s="102"/>
      <c r="AL536" s="44"/>
      <c r="AM536" s="44"/>
      <c r="AN536" s="44"/>
    </row>
    <row r="537" spans="1:40">
      <c r="A537" s="44"/>
      <c r="C537" s="44"/>
      <c r="D537" s="44"/>
      <c r="E537" s="44"/>
      <c r="F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T537" s="44"/>
      <c r="U537" s="44"/>
      <c r="V537" s="44"/>
      <c r="Y537" s="44"/>
      <c r="Z537" s="44"/>
      <c r="AA537" s="44"/>
      <c r="AB537" s="44"/>
      <c r="AC537" s="44"/>
      <c r="AD537" s="44"/>
      <c r="AE537" s="44"/>
      <c r="AF537" s="44"/>
      <c r="AG537" s="102"/>
      <c r="AH537" s="44"/>
      <c r="AI537" s="44"/>
      <c r="AJ537" s="44"/>
      <c r="AK537" s="102"/>
      <c r="AL537" s="44"/>
      <c r="AM537" s="44"/>
      <c r="AN537" s="44"/>
    </row>
    <row r="538" spans="1:40">
      <c r="C538" s="44"/>
      <c r="D538" s="44"/>
      <c r="E538" s="44"/>
      <c r="F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T538" s="44"/>
      <c r="U538" s="44"/>
      <c r="V538" s="44"/>
      <c r="Y538" s="44"/>
      <c r="Z538" s="44"/>
      <c r="AA538" s="44"/>
      <c r="AB538" s="44"/>
      <c r="AC538" s="44"/>
      <c r="AD538" s="44"/>
      <c r="AE538" s="44"/>
      <c r="AF538" s="44"/>
      <c r="AG538" s="102"/>
      <c r="AH538" s="44"/>
      <c r="AI538" s="44"/>
      <c r="AJ538" s="44"/>
      <c r="AK538" s="102"/>
      <c r="AL538" s="44"/>
      <c r="AM538" s="44"/>
      <c r="AN538" s="44"/>
    </row>
    <row r="539" spans="1:40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107"/>
      <c r="AH539" s="49"/>
      <c r="AI539" s="49"/>
      <c r="AJ539" s="49"/>
      <c r="AK539" s="107"/>
      <c r="AL539" s="49"/>
      <c r="AM539" s="49"/>
      <c r="AN539" s="49"/>
    </row>
    <row r="540" spans="1:40"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Y540" s="44"/>
      <c r="Z540" s="44"/>
      <c r="AA540" s="44"/>
      <c r="AB540" s="44"/>
      <c r="AC540" s="44"/>
      <c r="AD540" s="44"/>
      <c r="AE540" s="44"/>
      <c r="AF540" s="44"/>
      <c r="AG540" s="102"/>
      <c r="AH540" s="44"/>
      <c r="AI540" s="44"/>
      <c r="AJ540" s="44"/>
      <c r="AK540" s="102"/>
      <c r="AL540" s="44"/>
      <c r="AM540" s="44"/>
      <c r="AN540" s="44"/>
    </row>
    <row r="541" spans="1:40">
      <c r="C541" s="42"/>
      <c r="D541" s="42"/>
      <c r="E541" s="42"/>
      <c r="T541" s="42"/>
      <c r="U541" s="42"/>
    </row>
    <row r="543" spans="1:40">
      <c r="C543" s="42"/>
      <c r="T543" s="42"/>
    </row>
    <row r="544" spans="1:40">
      <c r="C544" s="42"/>
      <c r="T544" s="42"/>
    </row>
    <row r="545" spans="3:40">
      <c r="C545" s="42"/>
      <c r="F545" s="164"/>
      <c r="H545" s="164"/>
      <c r="I545" s="164"/>
      <c r="J545" s="132"/>
      <c r="K545" s="132"/>
      <c r="L545" s="45"/>
      <c r="M545" s="45"/>
      <c r="N545" s="46"/>
      <c r="O545" s="46"/>
      <c r="P545" s="45"/>
      <c r="Q545" s="45"/>
      <c r="R545" s="45"/>
      <c r="T545" s="42"/>
      <c r="V545" s="45"/>
      <c r="W545" s="45"/>
      <c r="X545" s="45"/>
      <c r="Y545" s="45"/>
      <c r="Z545" s="132"/>
      <c r="AA545" s="45"/>
      <c r="AB545" s="45"/>
      <c r="AC545" s="46"/>
      <c r="AD545" s="46"/>
      <c r="AE545" s="45"/>
      <c r="AF545" s="45"/>
      <c r="AH545" s="51"/>
      <c r="AI545" s="45"/>
      <c r="AJ545" s="45"/>
      <c r="AL545" s="45"/>
      <c r="AM545" s="51"/>
      <c r="AN545" s="51"/>
    </row>
    <row r="546" spans="3:40">
      <c r="C546" s="42"/>
      <c r="F546" s="45"/>
      <c r="H546" s="45"/>
      <c r="I546" s="45"/>
      <c r="J546" s="56"/>
      <c r="K546" s="56"/>
      <c r="L546" s="45"/>
      <c r="M546" s="45"/>
      <c r="N546" s="46"/>
      <c r="O546" s="46"/>
      <c r="P546" s="45"/>
      <c r="Q546" s="45"/>
      <c r="R546" s="45"/>
      <c r="T546" s="42"/>
      <c r="V546" s="45"/>
      <c r="W546" s="45"/>
      <c r="X546" s="45"/>
      <c r="Y546" s="45"/>
      <c r="Z546" s="56"/>
      <c r="AA546" s="45"/>
      <c r="AB546" s="45"/>
      <c r="AC546" s="46"/>
      <c r="AD546" s="46"/>
      <c r="AE546" s="45"/>
      <c r="AF546" s="45"/>
      <c r="AH546" s="51"/>
      <c r="AI546" s="45"/>
      <c r="AJ546" s="45"/>
      <c r="AL546" s="45"/>
      <c r="AM546" s="51"/>
      <c r="AN546" s="51"/>
    </row>
    <row r="547" spans="3:40">
      <c r="C547" s="42"/>
      <c r="F547" s="45"/>
      <c r="H547" s="45"/>
      <c r="I547" s="45"/>
      <c r="J547" s="56"/>
      <c r="K547" s="56"/>
      <c r="L547" s="45"/>
      <c r="M547" s="45"/>
      <c r="N547" s="46"/>
      <c r="O547" s="46"/>
      <c r="P547" s="45"/>
      <c r="Q547" s="45"/>
      <c r="R547" s="45"/>
      <c r="T547" s="42"/>
      <c r="V547" s="45"/>
      <c r="W547" s="45"/>
      <c r="X547" s="45"/>
      <c r="Y547" s="45"/>
      <c r="Z547" s="56"/>
      <c r="AA547" s="45"/>
      <c r="AB547" s="45"/>
      <c r="AC547" s="46"/>
      <c r="AD547" s="46"/>
      <c r="AE547" s="45"/>
      <c r="AF547" s="45"/>
      <c r="AH547" s="51"/>
      <c r="AI547" s="45"/>
      <c r="AJ547" s="45"/>
      <c r="AL547" s="45"/>
      <c r="AM547" s="51"/>
      <c r="AN547" s="51"/>
    </row>
    <row r="548" spans="3:40">
      <c r="C548" s="42"/>
      <c r="F548" s="45"/>
      <c r="H548" s="45"/>
      <c r="I548" s="45"/>
      <c r="J548" s="56"/>
      <c r="K548" s="56"/>
      <c r="T548" s="42"/>
      <c r="V548" s="45"/>
      <c r="Z548" s="56"/>
    </row>
    <row r="549" spans="3:40">
      <c r="C549" s="42"/>
      <c r="F549" s="164"/>
      <c r="H549" s="164"/>
      <c r="I549" s="164"/>
      <c r="J549" s="132"/>
      <c r="K549" s="132"/>
      <c r="L549" s="45"/>
      <c r="M549" s="45"/>
      <c r="N549" s="46"/>
      <c r="O549" s="46"/>
      <c r="P549" s="45"/>
      <c r="Q549" s="45"/>
      <c r="R549" s="45"/>
      <c r="T549" s="42"/>
      <c r="V549" s="45"/>
      <c r="W549" s="45"/>
      <c r="X549" s="45"/>
      <c r="Y549" s="45"/>
      <c r="Z549" s="132"/>
      <c r="AA549" s="45"/>
      <c r="AB549" s="45"/>
      <c r="AC549" s="46"/>
      <c r="AD549" s="46"/>
      <c r="AE549" s="45"/>
      <c r="AF549" s="45"/>
      <c r="AH549" s="51"/>
      <c r="AI549" s="45"/>
      <c r="AJ549" s="45"/>
      <c r="AL549" s="45"/>
      <c r="AM549" s="51"/>
      <c r="AN549" s="51"/>
    </row>
    <row r="550" spans="3:40">
      <c r="C550" s="42"/>
      <c r="F550" s="45"/>
      <c r="H550" s="45"/>
      <c r="I550" s="45"/>
      <c r="J550" s="56"/>
      <c r="K550" s="56"/>
      <c r="T550" s="42"/>
      <c r="V550" s="45"/>
      <c r="W550" s="45"/>
      <c r="X550" s="45"/>
      <c r="Y550" s="45"/>
      <c r="Z550" s="56"/>
      <c r="AC550" s="46"/>
      <c r="AD550" s="46"/>
      <c r="AE550" s="45"/>
      <c r="AF550" s="45"/>
      <c r="AH550" s="51"/>
      <c r="AI550" s="45"/>
      <c r="AJ550" s="45"/>
      <c r="AL550" s="45"/>
      <c r="AM550" s="51"/>
      <c r="AN550" s="51"/>
    </row>
    <row r="551" spans="3:40">
      <c r="C551" s="42"/>
      <c r="F551" s="164"/>
      <c r="H551" s="164"/>
      <c r="I551" s="164"/>
      <c r="J551" s="132"/>
      <c r="K551" s="132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132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51"/>
      <c r="AN551" s="51"/>
    </row>
    <row r="552" spans="3:40">
      <c r="C552" s="42"/>
      <c r="F552" s="45"/>
      <c r="H552" s="45"/>
      <c r="I552" s="45"/>
      <c r="J552" s="56"/>
      <c r="K552" s="56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56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51"/>
      <c r="AN552" s="51"/>
    </row>
    <row r="553" spans="3:40">
      <c r="F553" s="45"/>
      <c r="H553" s="45"/>
      <c r="I553" s="45"/>
      <c r="J553" s="56"/>
      <c r="K553" s="56"/>
      <c r="Z553" s="56"/>
    </row>
    <row r="554" spans="3:40">
      <c r="C554" s="42"/>
      <c r="F554" s="45"/>
      <c r="H554" s="164"/>
      <c r="I554" s="164"/>
      <c r="J554" s="132"/>
      <c r="K554" s="132"/>
      <c r="L554" s="45"/>
      <c r="M554" s="45"/>
      <c r="N554" s="46"/>
      <c r="O554" s="46"/>
      <c r="P554" s="45"/>
      <c r="Q554" s="45"/>
      <c r="R554" s="45"/>
      <c r="T554" s="42"/>
      <c r="V554" s="45"/>
      <c r="W554" s="45"/>
      <c r="X554" s="45"/>
      <c r="Y554" s="45"/>
      <c r="Z554" s="132"/>
      <c r="AA554" s="45"/>
      <c r="AB554" s="45"/>
      <c r="AC554" s="46"/>
      <c r="AD554" s="46"/>
      <c r="AE554" s="45"/>
      <c r="AF554" s="45"/>
      <c r="AH554" s="51"/>
      <c r="AI554" s="45"/>
      <c r="AJ554" s="45"/>
      <c r="AL554" s="45"/>
      <c r="AM554" s="51"/>
      <c r="AN554" s="51"/>
    </row>
    <row r="555" spans="3:40">
      <c r="F555" s="50"/>
      <c r="H555" s="50"/>
      <c r="I555" s="50"/>
      <c r="J555" s="132"/>
      <c r="K555" s="132"/>
      <c r="L555" s="50"/>
      <c r="M555" s="50"/>
      <c r="N555" s="50"/>
      <c r="O555" s="50"/>
      <c r="P555" s="50"/>
      <c r="Q555" s="50"/>
      <c r="R555" s="50"/>
      <c r="V555" s="50"/>
      <c r="Y555" s="50"/>
      <c r="Z555" s="132"/>
      <c r="AA555" s="50"/>
      <c r="AB555" s="50"/>
      <c r="AC555" s="50"/>
      <c r="AD555" s="50"/>
      <c r="AE555" s="50"/>
      <c r="AF555" s="50"/>
      <c r="AI555" s="50"/>
      <c r="AJ555" s="50"/>
      <c r="AK555" s="111"/>
      <c r="AL555" s="50"/>
    </row>
    <row r="556" spans="3:40">
      <c r="C556" s="42"/>
      <c r="F556" s="45"/>
      <c r="H556" s="45"/>
      <c r="I556" s="45"/>
      <c r="J556" s="56"/>
      <c r="K556" s="56"/>
      <c r="L556" s="45"/>
      <c r="M556" s="45"/>
      <c r="P556" s="45"/>
      <c r="Q556" s="45"/>
      <c r="R556" s="45"/>
      <c r="T556" s="42"/>
      <c r="V556" s="45"/>
      <c r="Y556" s="45"/>
      <c r="Z556" s="56"/>
      <c r="AA556" s="45"/>
      <c r="AB556" s="45"/>
      <c r="AC556" s="51"/>
      <c r="AD556" s="51"/>
      <c r="AE556" s="45"/>
      <c r="AF556" s="45"/>
      <c r="AH556" s="51"/>
      <c r="AI556" s="45"/>
      <c r="AJ556" s="45"/>
      <c r="AL556" s="45"/>
      <c r="AM556" s="51"/>
      <c r="AN556" s="51"/>
    </row>
    <row r="557" spans="3:40">
      <c r="F557" s="50"/>
      <c r="H557" s="50"/>
      <c r="I557" s="50"/>
      <c r="J557" s="132"/>
      <c r="K557" s="132"/>
      <c r="L557" s="50"/>
      <c r="M557" s="50"/>
      <c r="N557" s="50"/>
      <c r="O557" s="50"/>
      <c r="P557" s="50"/>
      <c r="Q557" s="50"/>
      <c r="R557" s="50"/>
      <c r="V557" s="50"/>
      <c r="Y557" s="50"/>
      <c r="Z557" s="132"/>
      <c r="AA557" s="50"/>
      <c r="AB557" s="50"/>
      <c r="AC557" s="50"/>
      <c r="AD557" s="50"/>
      <c r="AE557" s="50"/>
      <c r="AF557" s="50"/>
      <c r="AI557" s="50"/>
      <c r="AJ557" s="50"/>
      <c r="AK557" s="111"/>
      <c r="AL557" s="50"/>
    </row>
    <row r="558" spans="3:40">
      <c r="J558" s="56"/>
      <c r="K558" s="56"/>
      <c r="Z558" s="56"/>
    </row>
    <row r="559" spans="3:40">
      <c r="C559" s="42"/>
      <c r="J559" s="56"/>
      <c r="K559" s="56"/>
      <c r="T559" s="42"/>
      <c r="Z559" s="56"/>
    </row>
    <row r="560" spans="3:40">
      <c r="C560" s="42"/>
      <c r="J560" s="56"/>
      <c r="K560" s="56"/>
      <c r="T560" s="42"/>
      <c r="Z560" s="56"/>
    </row>
    <row r="561" spans="1:40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1:40">
      <c r="C562" s="42"/>
      <c r="J562" s="56"/>
      <c r="K562" s="56"/>
      <c r="T562" s="42"/>
      <c r="Z562" s="56"/>
    </row>
    <row r="563" spans="1:40">
      <c r="C563" s="42"/>
      <c r="F563" s="164"/>
      <c r="H563" s="164"/>
      <c r="I563" s="164"/>
      <c r="J563" s="132"/>
      <c r="K563" s="132"/>
      <c r="L563" s="45"/>
      <c r="M563" s="45"/>
      <c r="N563" s="46"/>
      <c r="O563" s="46"/>
      <c r="P563" s="45"/>
      <c r="Q563" s="45"/>
      <c r="R563" s="45"/>
      <c r="T563" s="42"/>
      <c r="V563" s="45"/>
      <c r="W563" s="45"/>
      <c r="X563" s="45"/>
      <c r="Y563" s="45"/>
      <c r="Z563" s="132"/>
      <c r="AA563" s="45"/>
      <c r="AB563" s="45"/>
      <c r="AC563" s="46"/>
      <c r="AD563" s="46"/>
      <c r="AE563" s="45"/>
      <c r="AF563" s="45"/>
      <c r="AH563" s="51"/>
      <c r="AI563" s="45"/>
      <c r="AJ563" s="45"/>
      <c r="AL563" s="45"/>
      <c r="AM563" s="51"/>
      <c r="AN563" s="51"/>
    </row>
    <row r="564" spans="1:40">
      <c r="F564" s="50"/>
      <c r="H564" s="50"/>
      <c r="I564" s="50"/>
      <c r="J564" s="132"/>
      <c r="K564" s="132"/>
      <c r="L564" s="50"/>
      <c r="M564" s="50"/>
      <c r="N564" s="50"/>
      <c r="O564" s="50"/>
      <c r="P564" s="50"/>
      <c r="Q564" s="50"/>
      <c r="R564" s="50"/>
      <c r="V564" s="50"/>
      <c r="Y564" s="50"/>
      <c r="Z564" s="132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5" spans="1:40">
      <c r="C565" s="42"/>
      <c r="F565" s="45"/>
      <c r="H565" s="45"/>
      <c r="I565" s="45"/>
      <c r="J565" s="56"/>
      <c r="K565" s="56"/>
      <c r="L565" s="45"/>
      <c r="M565" s="45"/>
      <c r="N565" s="51"/>
      <c r="O565" s="51"/>
      <c r="P565" s="45"/>
      <c r="Q565" s="45"/>
      <c r="R565" s="45"/>
      <c r="T565" s="42"/>
      <c r="V565" s="45"/>
      <c r="Y565" s="45"/>
      <c r="Z565" s="56"/>
      <c r="AA565" s="45"/>
      <c r="AB565" s="45"/>
      <c r="AC565" s="51"/>
      <c r="AD565" s="51"/>
      <c r="AE565" s="45"/>
      <c r="AF565" s="45"/>
      <c r="AH565" s="51"/>
      <c r="AI565" s="45"/>
      <c r="AJ565" s="45"/>
      <c r="AL565" s="45"/>
      <c r="AM565" s="51"/>
      <c r="AN565" s="51"/>
    </row>
    <row r="566" spans="1:40">
      <c r="F566" s="50"/>
      <c r="H566" s="50"/>
      <c r="I566" s="50"/>
      <c r="J566" s="132"/>
      <c r="K566" s="132"/>
      <c r="L566" s="50"/>
      <c r="M566" s="50"/>
      <c r="N566" s="50"/>
      <c r="O566" s="50"/>
      <c r="P566" s="50"/>
      <c r="Q566" s="50"/>
      <c r="R566" s="50"/>
      <c r="V566" s="50"/>
      <c r="Y566" s="50"/>
      <c r="Z566" s="326"/>
      <c r="AA566" s="50"/>
      <c r="AB566" s="50"/>
      <c r="AC566" s="50"/>
      <c r="AD566" s="50"/>
      <c r="AE566" s="50"/>
      <c r="AF566" s="50"/>
      <c r="AI566" s="50"/>
      <c r="AJ566" s="50"/>
      <c r="AK566" s="111"/>
      <c r="AL566" s="50"/>
    </row>
    <row r="567" spans="1:40">
      <c r="J567" s="56"/>
      <c r="K567" s="56"/>
    </row>
    <row r="568" spans="1:40">
      <c r="C568" s="42"/>
      <c r="F568" s="45"/>
      <c r="H568" s="45"/>
      <c r="I568" s="45"/>
      <c r="J568" s="56"/>
      <c r="K568" s="56"/>
      <c r="L568" s="45"/>
      <c r="M568" s="45"/>
      <c r="N568" s="46"/>
      <c r="O568" s="46"/>
      <c r="P568" s="164"/>
      <c r="Q568" s="164"/>
      <c r="R568" s="45"/>
      <c r="T568" s="42"/>
      <c r="V568" s="45"/>
      <c r="Y568" s="45"/>
      <c r="AA568" s="45"/>
      <c r="AB568" s="45"/>
      <c r="AC568" s="51"/>
      <c r="AD568" s="51"/>
      <c r="AE568" s="45"/>
      <c r="AF568" s="45"/>
      <c r="AH568" s="51"/>
      <c r="AI568" s="164"/>
      <c r="AJ568" s="164"/>
      <c r="AL568" s="45"/>
      <c r="AM568" s="51"/>
      <c r="AN568" s="51"/>
    </row>
    <row r="569" spans="1:40">
      <c r="F569" s="50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326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2" spans="1:40">
      <c r="A572" s="42"/>
    </row>
    <row r="574" spans="1:40">
      <c r="H574" s="42"/>
      <c r="I574" s="42"/>
      <c r="Y574" s="42"/>
    </row>
    <row r="576" spans="1:40">
      <c r="L576" s="42"/>
      <c r="M576" s="42"/>
      <c r="AA576" s="42"/>
      <c r="AB576" s="42"/>
    </row>
    <row r="577" spans="1:40">
      <c r="R577" s="42"/>
      <c r="AK577" s="110"/>
      <c r="AL577" s="42"/>
    </row>
    <row r="578" spans="1:40">
      <c r="R578" s="42"/>
      <c r="AK578" s="110"/>
      <c r="AL578" s="42"/>
    </row>
    <row r="579" spans="1:40">
      <c r="A579" s="42"/>
      <c r="R579" s="42"/>
      <c r="AK579" s="110"/>
      <c r="AL579" s="42"/>
    </row>
    <row r="580" spans="1:40">
      <c r="L580" s="42"/>
      <c r="M580" s="42"/>
      <c r="AA580" s="42"/>
      <c r="AB580" s="42"/>
    </row>
    <row r="581" spans="1:40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107"/>
      <c r="AH581" s="49"/>
      <c r="AI581" s="49"/>
      <c r="AJ581" s="49"/>
      <c r="AK581" s="107"/>
      <c r="AL581" s="49"/>
      <c r="AM581" s="49"/>
      <c r="AN581" s="49"/>
    </row>
    <row r="582" spans="1:40">
      <c r="L582" s="44"/>
      <c r="M582" s="44"/>
      <c r="N582" s="44"/>
      <c r="O582" s="44"/>
      <c r="R582" s="44"/>
      <c r="AA582" s="44"/>
      <c r="AB582" s="44"/>
      <c r="AC582" s="44"/>
      <c r="AD582" s="44"/>
      <c r="AE582" s="44"/>
      <c r="AF582" s="44"/>
      <c r="AG582" s="102"/>
      <c r="AH582" s="44"/>
      <c r="AK582" s="102"/>
      <c r="AL582" s="44"/>
      <c r="AM582" s="44"/>
      <c r="AN582" s="44"/>
    </row>
    <row r="583" spans="1:40">
      <c r="L583" s="44"/>
      <c r="M583" s="44"/>
      <c r="N583" s="44"/>
      <c r="O583" s="44"/>
      <c r="R583" s="44"/>
      <c r="Z583" s="44"/>
      <c r="AA583" s="44"/>
      <c r="AB583" s="44"/>
      <c r="AC583" s="44"/>
      <c r="AD583" s="44"/>
      <c r="AE583" s="44"/>
      <c r="AF583" s="44"/>
      <c r="AG583" s="102"/>
      <c r="AH583" s="44"/>
      <c r="AK583" s="102"/>
      <c r="AL583" s="44"/>
      <c r="AM583" s="44"/>
      <c r="AN583" s="44"/>
    </row>
    <row r="584" spans="1:40">
      <c r="A584" s="44"/>
      <c r="C584" s="44"/>
      <c r="D584" s="44"/>
      <c r="E584" s="44"/>
      <c r="F584" s="44"/>
      <c r="J584" s="44"/>
      <c r="K584" s="44"/>
      <c r="L584" s="44"/>
      <c r="M584" s="44"/>
      <c r="N584" s="44"/>
      <c r="O584" s="44"/>
      <c r="P584" s="44"/>
      <c r="Q584" s="44"/>
      <c r="R584" s="44"/>
      <c r="T584" s="44"/>
      <c r="U584" s="44"/>
      <c r="V584" s="44"/>
      <c r="Z584" s="44"/>
      <c r="AA584" s="44"/>
      <c r="AB584" s="44"/>
      <c r="AC584" s="44"/>
      <c r="AD584" s="44"/>
      <c r="AE584" s="44"/>
      <c r="AF584" s="44"/>
      <c r="AG584" s="102"/>
      <c r="AH584" s="44"/>
      <c r="AI584" s="44"/>
      <c r="AJ584" s="44"/>
      <c r="AK584" s="102"/>
      <c r="AL584" s="44"/>
      <c r="AM584" s="44"/>
      <c r="AN584" s="44"/>
    </row>
    <row r="585" spans="1:40">
      <c r="A585" s="44"/>
      <c r="C585" s="44"/>
      <c r="D585" s="44"/>
      <c r="E585" s="44"/>
      <c r="F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T585" s="44"/>
      <c r="U585" s="44"/>
      <c r="V585" s="44"/>
      <c r="Y585" s="44"/>
      <c r="Z585" s="44"/>
      <c r="AA585" s="44"/>
      <c r="AB585" s="44"/>
      <c r="AC585" s="44"/>
      <c r="AD585" s="44"/>
      <c r="AE585" s="44"/>
      <c r="AF585" s="44"/>
      <c r="AG585" s="102"/>
      <c r="AH585" s="44"/>
      <c r="AI585" s="44"/>
      <c r="AJ585" s="44"/>
      <c r="AK585" s="102"/>
      <c r="AL585" s="44"/>
      <c r="AM585" s="44"/>
      <c r="AN585" s="44"/>
    </row>
    <row r="586" spans="1:40">
      <c r="C586" s="44"/>
      <c r="D586" s="44"/>
      <c r="E586" s="44"/>
      <c r="F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T586" s="44"/>
      <c r="U586" s="44"/>
      <c r="V586" s="44"/>
      <c r="Y586" s="44"/>
      <c r="Z586" s="44"/>
      <c r="AA586" s="44"/>
      <c r="AB586" s="44"/>
      <c r="AC586" s="44"/>
      <c r="AD586" s="44"/>
      <c r="AE586" s="44"/>
      <c r="AF586" s="44"/>
      <c r="AG586" s="102"/>
      <c r="AH586" s="44"/>
      <c r="AI586" s="44"/>
      <c r="AJ586" s="44"/>
      <c r="AK586" s="102"/>
      <c r="AL586" s="44"/>
      <c r="AM586" s="44"/>
      <c r="AN586" s="44"/>
    </row>
    <row r="587" spans="1:40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107"/>
      <c r="AH587" s="49"/>
      <c r="AI587" s="49"/>
      <c r="AJ587" s="49"/>
      <c r="AK587" s="107"/>
      <c r="AL587" s="49"/>
      <c r="AM587" s="49"/>
      <c r="AN587" s="49"/>
    </row>
    <row r="588" spans="1:40"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Y588" s="44"/>
      <c r="Z588" s="44"/>
      <c r="AA588" s="44"/>
      <c r="AB588" s="44"/>
      <c r="AC588" s="44"/>
      <c r="AD588" s="44"/>
      <c r="AE588" s="44"/>
      <c r="AF588" s="44"/>
      <c r="AG588" s="102"/>
      <c r="AH588" s="44"/>
      <c r="AI588" s="44"/>
      <c r="AJ588" s="44"/>
      <c r="AK588" s="102"/>
      <c r="AL588" s="44"/>
      <c r="AM588" s="44"/>
      <c r="AN588" s="44"/>
    </row>
    <row r="589" spans="1:40">
      <c r="C589" s="42"/>
      <c r="D589" s="42"/>
      <c r="E589" s="42"/>
      <c r="T589" s="42"/>
      <c r="U589" s="42"/>
    </row>
    <row r="591" spans="1:40">
      <c r="C591" s="42"/>
      <c r="D591" s="42"/>
      <c r="E591" s="42"/>
      <c r="T591" s="42"/>
      <c r="U591" s="42"/>
    </row>
    <row r="592" spans="1:40">
      <c r="C592" s="42"/>
      <c r="T592" s="42"/>
    </row>
    <row r="593" spans="3:40">
      <c r="C593" s="42"/>
      <c r="T593" s="42"/>
    </row>
    <row r="594" spans="3:40">
      <c r="C594" s="42"/>
      <c r="F594" s="164"/>
      <c r="H594" s="164"/>
      <c r="I594" s="164"/>
      <c r="J594" s="132"/>
      <c r="K594" s="132"/>
      <c r="L594" s="45"/>
      <c r="M594" s="45"/>
      <c r="N594" s="46"/>
      <c r="O594" s="46"/>
      <c r="P594" s="45"/>
      <c r="Q594" s="45"/>
      <c r="R594" s="45"/>
      <c r="T594" s="42"/>
      <c r="V594" s="45"/>
      <c r="W594" s="45"/>
      <c r="X594" s="45"/>
      <c r="Y594" s="45"/>
      <c r="Z594" s="132"/>
      <c r="AA594" s="45"/>
      <c r="AB594" s="45"/>
      <c r="AC594" s="46"/>
      <c r="AD594" s="46"/>
      <c r="AE594" s="45"/>
      <c r="AF594" s="45"/>
      <c r="AH594" s="51"/>
      <c r="AI594" s="45"/>
      <c r="AJ594" s="45"/>
      <c r="AL594" s="45"/>
      <c r="AM594" s="46"/>
      <c r="AN594" s="46"/>
    </row>
    <row r="595" spans="3:40">
      <c r="C595" s="42"/>
      <c r="J595" s="56"/>
      <c r="K595" s="56"/>
      <c r="T595" s="42"/>
      <c r="V595" s="45"/>
      <c r="W595" s="45"/>
      <c r="X595" s="45"/>
      <c r="Y595" s="45"/>
      <c r="Z595" s="132"/>
    </row>
    <row r="596" spans="3:40">
      <c r="C596" s="42"/>
      <c r="F596" s="164"/>
      <c r="H596" s="164"/>
      <c r="I596" s="164"/>
      <c r="J596" s="132"/>
      <c r="K596" s="132"/>
      <c r="L596" s="45"/>
      <c r="M596" s="45"/>
      <c r="N596" s="46"/>
      <c r="O596" s="46"/>
      <c r="P596" s="45"/>
      <c r="Q596" s="45"/>
      <c r="R596" s="45"/>
      <c r="T596" s="42"/>
      <c r="V596" s="45"/>
      <c r="W596" s="45"/>
      <c r="X596" s="45"/>
      <c r="Y596" s="45"/>
      <c r="Z596" s="132"/>
      <c r="AA596" s="45"/>
      <c r="AB596" s="45"/>
      <c r="AC596" s="46"/>
      <c r="AD596" s="46"/>
      <c r="AE596" s="45"/>
      <c r="AF596" s="45"/>
      <c r="AH596" s="51"/>
      <c r="AI596" s="45"/>
      <c r="AJ596" s="45"/>
      <c r="AL596" s="45"/>
      <c r="AM596" s="46"/>
      <c r="AN596" s="46"/>
    </row>
    <row r="597" spans="3:40">
      <c r="C597" s="42"/>
      <c r="J597" s="56"/>
      <c r="K597" s="56"/>
      <c r="T597" s="42"/>
      <c r="V597" s="45"/>
      <c r="W597" s="45"/>
      <c r="X597" s="45"/>
      <c r="Y597" s="45"/>
      <c r="Z597" s="132"/>
    </row>
    <row r="598" spans="3:40">
      <c r="C598" s="42"/>
      <c r="F598" s="164"/>
      <c r="H598" s="164"/>
      <c r="I598" s="164"/>
      <c r="J598" s="132"/>
      <c r="K598" s="132"/>
      <c r="L598" s="45"/>
      <c r="M598" s="45"/>
      <c r="N598" s="46"/>
      <c r="O598" s="46"/>
      <c r="P598" s="45"/>
      <c r="Q598" s="45"/>
      <c r="R598" s="45"/>
      <c r="T598" s="42"/>
      <c r="V598" s="45"/>
      <c r="W598" s="45"/>
      <c r="X598" s="45"/>
      <c r="Y598" s="45"/>
      <c r="Z598" s="132"/>
      <c r="AA598" s="45"/>
      <c r="AB598" s="45"/>
      <c r="AC598" s="46"/>
      <c r="AD598" s="46"/>
      <c r="AE598" s="45"/>
      <c r="AF598" s="45"/>
      <c r="AH598" s="51"/>
      <c r="AI598" s="45"/>
      <c r="AJ598" s="45"/>
      <c r="AL598" s="45"/>
      <c r="AM598" s="46"/>
      <c r="AN598" s="46"/>
    </row>
    <row r="599" spans="3:40">
      <c r="C599" s="42"/>
      <c r="J599" s="56"/>
      <c r="K599" s="56"/>
      <c r="T599" s="42"/>
      <c r="V599" s="45"/>
      <c r="W599" s="45"/>
      <c r="X599" s="45"/>
      <c r="Y599" s="45"/>
      <c r="Z599" s="132"/>
    </row>
    <row r="600" spans="3:40">
      <c r="C600" s="42"/>
      <c r="F600" s="164"/>
      <c r="H600" s="164"/>
      <c r="I600" s="164"/>
      <c r="J600" s="132"/>
      <c r="K600" s="132"/>
      <c r="L600" s="45"/>
      <c r="M600" s="45"/>
      <c r="N600" s="46"/>
      <c r="O600" s="46"/>
      <c r="P600" s="45"/>
      <c r="Q600" s="45"/>
      <c r="R600" s="45"/>
      <c r="T600" s="42"/>
      <c r="V600" s="45"/>
      <c r="W600" s="45"/>
      <c r="X600" s="45"/>
      <c r="Y600" s="45"/>
      <c r="Z600" s="132"/>
      <c r="AA600" s="45"/>
      <c r="AB600" s="45"/>
      <c r="AC600" s="46"/>
      <c r="AD600" s="46"/>
      <c r="AE600" s="45"/>
      <c r="AF600" s="45"/>
      <c r="AH600" s="51"/>
      <c r="AI600" s="45"/>
      <c r="AJ600" s="45"/>
      <c r="AL600" s="45"/>
      <c r="AM600" s="46"/>
      <c r="AN600" s="46"/>
    </row>
    <row r="601" spans="3:40">
      <c r="C601" s="42"/>
      <c r="J601" s="56"/>
      <c r="K601" s="56"/>
      <c r="T601" s="42"/>
      <c r="V601" s="45"/>
      <c r="W601" s="45"/>
      <c r="X601" s="45"/>
      <c r="Y601" s="45"/>
      <c r="Z601" s="132"/>
    </row>
    <row r="602" spans="3:40">
      <c r="C602" s="42"/>
      <c r="F602" s="164"/>
      <c r="H602" s="164"/>
      <c r="I602" s="164"/>
      <c r="J602" s="132"/>
      <c r="K602" s="132"/>
      <c r="L602" s="45"/>
      <c r="M602" s="45"/>
      <c r="N602" s="46"/>
      <c r="O602" s="46"/>
      <c r="P602" s="45"/>
      <c r="Q602" s="45"/>
      <c r="R602" s="45"/>
      <c r="T602" s="42"/>
      <c r="V602" s="45"/>
      <c r="W602" s="45"/>
      <c r="X602" s="45"/>
      <c r="Y602" s="45"/>
      <c r="Z602" s="132"/>
      <c r="AA602" s="45"/>
      <c r="AB602" s="45"/>
      <c r="AC602" s="46"/>
      <c r="AD602" s="46"/>
      <c r="AE602" s="45"/>
      <c r="AF602" s="45"/>
      <c r="AH602" s="51"/>
      <c r="AI602" s="45"/>
      <c r="AJ602" s="45"/>
      <c r="AL602" s="45"/>
      <c r="AM602" s="46"/>
      <c r="AN602" s="46"/>
    </row>
    <row r="603" spans="3:40">
      <c r="C603" s="42"/>
      <c r="J603" s="56"/>
      <c r="K603" s="56"/>
      <c r="T603" s="42"/>
      <c r="V603" s="45"/>
      <c r="W603" s="45"/>
      <c r="X603" s="45"/>
      <c r="Y603" s="45"/>
      <c r="Z603" s="132"/>
    </row>
    <row r="604" spans="3:40">
      <c r="C604" s="42"/>
      <c r="F604" s="164"/>
      <c r="H604" s="164"/>
      <c r="I604" s="164"/>
      <c r="J604" s="132"/>
      <c r="K604" s="132"/>
      <c r="L604" s="45"/>
      <c r="M604" s="45"/>
      <c r="N604" s="46"/>
      <c r="O604" s="46"/>
      <c r="P604" s="45"/>
      <c r="Q604" s="45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45"/>
      <c r="AJ604" s="45"/>
      <c r="AL604" s="45"/>
      <c r="AM604" s="46"/>
      <c r="AN604" s="46"/>
    </row>
    <row r="605" spans="3:40">
      <c r="F605" s="50"/>
      <c r="H605" s="50"/>
      <c r="I605" s="50"/>
      <c r="J605" s="132"/>
      <c r="K605" s="132"/>
      <c r="L605" s="50"/>
      <c r="M605" s="50"/>
      <c r="N605" s="50"/>
      <c r="O605" s="50"/>
      <c r="P605" s="50"/>
      <c r="Q605" s="50"/>
      <c r="R605" s="50"/>
      <c r="V605" s="50"/>
      <c r="Y605" s="50"/>
      <c r="Z605" s="132"/>
      <c r="AA605" s="50"/>
      <c r="AB605" s="50"/>
      <c r="AC605" s="50"/>
      <c r="AD605" s="50"/>
      <c r="AE605" s="50"/>
      <c r="AF605" s="50"/>
      <c r="AI605" s="50"/>
      <c r="AJ605" s="50"/>
      <c r="AK605" s="111"/>
      <c r="AL605" s="50"/>
      <c r="AM605" s="46"/>
      <c r="AN605" s="46"/>
    </row>
    <row r="606" spans="3:40">
      <c r="C606" s="42"/>
      <c r="F606" s="45"/>
      <c r="H606" s="45"/>
      <c r="I606" s="45"/>
      <c r="J606" s="56"/>
      <c r="K606" s="56"/>
      <c r="L606" s="45"/>
      <c r="M606" s="45"/>
      <c r="N606" s="46"/>
      <c r="O606" s="46"/>
      <c r="P606" s="164"/>
      <c r="Q606" s="164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164"/>
      <c r="AJ606" s="164"/>
      <c r="AL606" s="45"/>
      <c r="AM606" s="46"/>
      <c r="AN606" s="46"/>
    </row>
    <row r="607" spans="3:40">
      <c r="F607" s="50"/>
      <c r="H607" s="50"/>
      <c r="I607" s="50"/>
      <c r="J607" s="132"/>
      <c r="K607" s="132"/>
      <c r="L607" s="50"/>
      <c r="M607" s="50"/>
      <c r="N607" s="50"/>
      <c r="O607" s="50"/>
      <c r="P607" s="50"/>
      <c r="Q607" s="50"/>
      <c r="R607" s="50"/>
      <c r="V607" s="50"/>
      <c r="Y607" s="50"/>
      <c r="Z607" s="132"/>
      <c r="AA607" s="50"/>
      <c r="AB607" s="50"/>
      <c r="AC607" s="50"/>
      <c r="AD607" s="50"/>
      <c r="AE607" s="50"/>
      <c r="AF607" s="50"/>
      <c r="AI607" s="50"/>
      <c r="AJ607" s="50"/>
      <c r="AK607" s="111"/>
      <c r="AL607" s="50"/>
    </row>
    <row r="608" spans="3:40">
      <c r="C608" s="42"/>
      <c r="D608" s="42"/>
      <c r="E608" s="42"/>
      <c r="J608" s="56"/>
      <c r="K608" s="56"/>
      <c r="T608" s="42"/>
      <c r="U608" s="42"/>
      <c r="V608" s="45"/>
      <c r="W608" s="45"/>
      <c r="X608" s="45"/>
      <c r="Y608" s="45"/>
      <c r="Z608" s="132"/>
    </row>
    <row r="609" spans="3:40">
      <c r="C609" s="42"/>
      <c r="J609" s="56"/>
      <c r="K609" s="56"/>
      <c r="T609" s="42"/>
      <c r="V609" s="45"/>
      <c r="W609" s="45"/>
      <c r="X609" s="45"/>
      <c r="Y609" s="45"/>
      <c r="Z609" s="132"/>
    </row>
    <row r="610" spans="3:40">
      <c r="C610" s="42"/>
      <c r="J610" s="56"/>
      <c r="K610" s="56"/>
      <c r="T610" s="42"/>
      <c r="V610" s="45"/>
      <c r="W610" s="45"/>
      <c r="X610" s="45"/>
      <c r="Y610" s="45"/>
      <c r="Z610" s="132"/>
    </row>
    <row r="611" spans="3:40">
      <c r="C611" s="42"/>
      <c r="F611" s="164"/>
      <c r="H611" s="164"/>
      <c r="I611" s="164"/>
      <c r="J611" s="132"/>
      <c r="K611" s="132"/>
      <c r="L611" s="45"/>
      <c r="M611" s="45"/>
      <c r="N611" s="46"/>
      <c r="O611" s="46"/>
      <c r="P611" s="45"/>
      <c r="Q611" s="45"/>
      <c r="R611" s="45"/>
      <c r="T611" s="42"/>
      <c r="V611" s="45"/>
      <c r="W611" s="45"/>
      <c r="X611" s="45"/>
      <c r="Y611" s="45"/>
      <c r="Z611" s="132"/>
      <c r="AA611" s="45"/>
      <c r="AB611" s="45"/>
      <c r="AC611" s="46"/>
      <c r="AD611" s="46"/>
      <c r="AE611" s="45"/>
      <c r="AF611" s="45"/>
      <c r="AH611" s="51"/>
      <c r="AI611" s="45"/>
      <c r="AJ611" s="45"/>
      <c r="AL611" s="45"/>
      <c r="AM611" s="46"/>
      <c r="AN611" s="46"/>
    </row>
    <row r="612" spans="3:40">
      <c r="C612" s="42"/>
      <c r="J612" s="56"/>
      <c r="K612" s="56"/>
      <c r="T612" s="42"/>
      <c r="V612" s="45"/>
      <c r="W612" s="45"/>
      <c r="X612" s="45"/>
      <c r="Y612" s="45"/>
      <c r="Z612" s="132"/>
    </row>
    <row r="613" spans="3:40">
      <c r="C613" s="42"/>
      <c r="F613" s="164"/>
      <c r="H613" s="164"/>
      <c r="I613" s="164"/>
      <c r="J613" s="132"/>
      <c r="K613" s="132"/>
      <c r="L613" s="45"/>
      <c r="M613" s="45"/>
      <c r="N613" s="46"/>
      <c r="O613" s="46"/>
      <c r="P613" s="45"/>
      <c r="Q613" s="45"/>
      <c r="R613" s="45"/>
      <c r="T613" s="42"/>
      <c r="V613" s="45"/>
      <c r="W613" s="45"/>
      <c r="X613" s="45"/>
      <c r="Y613" s="45"/>
      <c r="Z613" s="132"/>
      <c r="AA613" s="45"/>
      <c r="AB613" s="45"/>
      <c r="AC613" s="46"/>
      <c r="AD613" s="46"/>
      <c r="AE613" s="45"/>
      <c r="AF613" s="45"/>
      <c r="AH613" s="51"/>
      <c r="AI613" s="45"/>
      <c r="AJ613" s="45"/>
      <c r="AL613" s="45"/>
      <c r="AM613" s="46"/>
      <c r="AN613" s="46"/>
    </row>
    <row r="614" spans="3:40">
      <c r="F614" s="50"/>
      <c r="H614" s="50"/>
      <c r="I614" s="50"/>
      <c r="J614" s="132"/>
      <c r="K614" s="132"/>
      <c r="L614" s="50"/>
      <c r="M614" s="50"/>
      <c r="N614" s="50"/>
      <c r="O614" s="50"/>
      <c r="P614" s="50"/>
      <c r="Q614" s="50"/>
      <c r="R614" s="50"/>
      <c r="V614" s="50"/>
      <c r="Y614" s="50"/>
      <c r="Z614" s="326"/>
      <c r="AA614" s="50"/>
      <c r="AB614" s="50"/>
      <c r="AC614" s="50"/>
      <c r="AD614" s="50"/>
      <c r="AE614" s="50"/>
      <c r="AF614" s="50"/>
      <c r="AI614" s="50"/>
      <c r="AJ614" s="50"/>
      <c r="AK614" s="111"/>
      <c r="AL614" s="50"/>
    </row>
    <row r="615" spans="3:40">
      <c r="C615" s="42"/>
      <c r="F615" s="45"/>
      <c r="H615" s="45"/>
      <c r="I615" s="45"/>
      <c r="L615" s="45"/>
      <c r="M615" s="45"/>
      <c r="N615" s="46"/>
      <c r="O615" s="46"/>
      <c r="P615" s="164"/>
      <c r="Q615" s="164"/>
      <c r="R615" s="45"/>
      <c r="T615" s="42"/>
      <c r="V615" s="45"/>
      <c r="W615" s="45"/>
      <c r="X615" s="45"/>
      <c r="Y615" s="45"/>
      <c r="Z615" s="336"/>
      <c r="AA615" s="45"/>
      <c r="AB615" s="45"/>
      <c r="AC615" s="46"/>
      <c r="AD615" s="46"/>
      <c r="AE615" s="45"/>
      <c r="AF615" s="45"/>
      <c r="AH615" s="51"/>
      <c r="AI615" s="164"/>
      <c r="AJ615" s="164"/>
      <c r="AL615" s="45"/>
      <c r="AM615" s="46"/>
      <c r="AN615" s="46"/>
    </row>
    <row r="616" spans="3:40">
      <c r="F616" s="50"/>
      <c r="H616" s="50"/>
      <c r="I616" s="50"/>
      <c r="J616" s="326"/>
      <c r="K616" s="326"/>
      <c r="L616" s="50"/>
      <c r="M616" s="50"/>
      <c r="N616" s="50"/>
      <c r="O616" s="50"/>
      <c r="P616" s="50"/>
      <c r="Q616" s="50"/>
      <c r="R616" s="50"/>
      <c r="V616" s="50"/>
      <c r="Y616" s="50"/>
      <c r="Z616" s="326"/>
      <c r="AA616" s="50"/>
      <c r="AB616" s="50"/>
      <c r="AC616" s="50"/>
      <c r="AD616" s="50"/>
      <c r="AE616" s="50"/>
      <c r="AF616" s="50"/>
      <c r="AI616" s="50"/>
      <c r="AJ616" s="50"/>
      <c r="AK616" s="111"/>
      <c r="AL616" s="50"/>
    </row>
    <row r="617" spans="3:40">
      <c r="C617" s="42"/>
      <c r="D617" s="42"/>
      <c r="E617" s="42"/>
      <c r="T617" s="42"/>
      <c r="U617" s="42"/>
      <c r="V617" s="45"/>
      <c r="W617" s="45"/>
      <c r="X617" s="45"/>
      <c r="Y617" s="45"/>
      <c r="Z617" s="336"/>
    </row>
    <row r="618" spans="3:40">
      <c r="C618" s="42"/>
      <c r="T618" s="42"/>
      <c r="V618" s="45"/>
      <c r="W618" s="45"/>
      <c r="X618" s="45"/>
      <c r="Y618" s="45"/>
      <c r="Z618" s="336"/>
    </row>
    <row r="619" spans="3:40">
      <c r="C619" s="42"/>
      <c r="F619" s="164"/>
      <c r="H619" s="164"/>
      <c r="I619" s="164"/>
      <c r="J619" s="336"/>
      <c r="K619" s="336"/>
      <c r="L619" s="45"/>
      <c r="M619" s="45"/>
      <c r="N619" s="46"/>
      <c r="O619" s="46"/>
      <c r="P619" s="45"/>
      <c r="Q619" s="45"/>
      <c r="R619" s="45"/>
      <c r="T619" s="42"/>
      <c r="V619" s="45"/>
      <c r="W619" s="45"/>
      <c r="X619" s="45"/>
      <c r="Y619" s="45"/>
      <c r="Z619" s="336"/>
      <c r="AA619" s="45"/>
      <c r="AB619" s="45"/>
      <c r="AC619" s="46"/>
      <c r="AD619" s="46"/>
      <c r="AE619" s="45"/>
      <c r="AF619" s="45"/>
      <c r="AH619" s="51"/>
      <c r="AI619" s="45"/>
      <c r="AJ619" s="45"/>
      <c r="AL619" s="45"/>
      <c r="AM619" s="46"/>
      <c r="AN619" s="46"/>
    </row>
    <row r="620" spans="3:40">
      <c r="C620" s="42"/>
      <c r="T620" s="42"/>
      <c r="V620" s="45"/>
      <c r="W620" s="45"/>
      <c r="X620" s="45"/>
      <c r="Y620" s="45"/>
      <c r="Z620" s="336"/>
    </row>
    <row r="621" spans="3:40">
      <c r="C621" s="42"/>
      <c r="F621" s="164"/>
      <c r="H621" s="164"/>
      <c r="I621" s="164"/>
      <c r="J621" s="336"/>
      <c r="K621" s="336"/>
      <c r="L621" s="45"/>
      <c r="M621" s="45"/>
      <c r="N621" s="46"/>
      <c r="O621" s="46"/>
      <c r="P621" s="45"/>
      <c r="Q621" s="45"/>
      <c r="R621" s="45"/>
      <c r="T621" s="42"/>
      <c r="V621" s="45"/>
      <c r="W621" s="45"/>
      <c r="X621" s="45"/>
      <c r="Y621" s="45"/>
      <c r="Z621" s="336"/>
      <c r="AA621" s="45"/>
      <c r="AB621" s="45"/>
      <c r="AC621" s="46"/>
      <c r="AD621" s="46"/>
      <c r="AE621" s="45"/>
      <c r="AF621" s="45"/>
      <c r="AH621" s="51"/>
      <c r="AI621" s="45"/>
      <c r="AJ621" s="45"/>
      <c r="AL621" s="45"/>
      <c r="AM621" s="46"/>
      <c r="AN621" s="46"/>
    </row>
    <row r="622" spans="3:40">
      <c r="C622" s="42"/>
      <c r="T622" s="42"/>
      <c r="V622" s="45"/>
      <c r="W622" s="45"/>
      <c r="X622" s="45"/>
      <c r="Y622" s="45"/>
      <c r="Z622" s="336"/>
    </row>
    <row r="623" spans="3:40">
      <c r="C623" s="42"/>
      <c r="F623" s="164"/>
      <c r="H623" s="164"/>
      <c r="I623" s="164"/>
      <c r="J623" s="336"/>
      <c r="K623" s="336"/>
      <c r="L623" s="45"/>
      <c r="M623" s="45"/>
      <c r="N623" s="46"/>
      <c r="O623" s="46"/>
      <c r="P623" s="45"/>
      <c r="Q623" s="45"/>
      <c r="R623" s="45"/>
      <c r="T623" s="42"/>
      <c r="V623" s="45"/>
      <c r="W623" s="45"/>
      <c r="X623" s="45"/>
      <c r="Y623" s="45"/>
      <c r="Z623" s="336"/>
      <c r="AA623" s="45"/>
      <c r="AB623" s="45"/>
      <c r="AC623" s="46"/>
      <c r="AD623" s="46"/>
      <c r="AE623" s="45"/>
      <c r="AF623" s="45"/>
      <c r="AH623" s="51"/>
      <c r="AI623" s="45"/>
      <c r="AJ623" s="45"/>
      <c r="AL623" s="45"/>
      <c r="AM623" s="46"/>
      <c r="AN623" s="46"/>
    </row>
    <row r="624" spans="3:40">
      <c r="C624" s="42"/>
      <c r="T624" s="42"/>
      <c r="V624" s="45"/>
      <c r="W624" s="45"/>
      <c r="X624" s="45"/>
      <c r="Y624" s="45"/>
      <c r="Z624" s="336"/>
    </row>
    <row r="625" spans="1:40">
      <c r="C625" s="42"/>
      <c r="F625" s="164"/>
      <c r="H625" s="164"/>
      <c r="I625" s="164"/>
      <c r="J625" s="336"/>
      <c r="K625" s="336"/>
      <c r="L625" s="45"/>
      <c r="M625" s="45"/>
      <c r="N625" s="46"/>
      <c r="O625" s="46"/>
      <c r="P625" s="45"/>
      <c r="Q625" s="45"/>
      <c r="R625" s="45"/>
      <c r="T625" s="42"/>
      <c r="V625" s="45"/>
      <c r="W625" s="45"/>
      <c r="X625" s="45"/>
      <c r="Y625" s="45"/>
      <c r="Z625" s="336"/>
      <c r="AA625" s="45"/>
      <c r="AB625" s="45"/>
      <c r="AC625" s="46"/>
      <c r="AD625" s="46"/>
      <c r="AE625" s="45"/>
      <c r="AF625" s="45"/>
      <c r="AH625" s="51"/>
      <c r="AI625" s="45"/>
      <c r="AJ625" s="45"/>
      <c r="AL625" s="45"/>
      <c r="AM625" s="46"/>
      <c r="AN625" s="46"/>
    </row>
    <row r="626" spans="1:40">
      <c r="F626" s="50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</row>
    <row r="627" spans="1:40">
      <c r="C627" s="42"/>
      <c r="F627" s="45"/>
      <c r="H627" s="45"/>
      <c r="I627" s="45"/>
      <c r="L627" s="45"/>
      <c r="M627" s="45"/>
      <c r="N627" s="46"/>
      <c r="O627" s="46"/>
      <c r="P627" s="164"/>
      <c r="Q627" s="164"/>
      <c r="R627" s="45"/>
      <c r="T627" s="42"/>
      <c r="V627" s="45"/>
      <c r="W627" s="45"/>
      <c r="X627" s="45"/>
      <c r="Y627" s="45"/>
      <c r="Z627" s="336"/>
      <c r="AA627" s="45"/>
      <c r="AB627" s="45"/>
      <c r="AC627" s="46"/>
      <c r="AD627" s="46"/>
      <c r="AE627" s="45"/>
      <c r="AF627" s="45"/>
      <c r="AH627" s="51"/>
      <c r="AI627" s="164"/>
      <c r="AJ627" s="164"/>
      <c r="AL627" s="45"/>
      <c r="AM627" s="46"/>
      <c r="AN627" s="46"/>
    </row>
    <row r="628" spans="1:40">
      <c r="F628" s="50"/>
      <c r="H628" s="50"/>
      <c r="I628" s="50"/>
      <c r="J628" s="326"/>
      <c r="K628" s="326"/>
      <c r="L628" s="50"/>
      <c r="M628" s="50"/>
      <c r="N628" s="50"/>
      <c r="O628" s="50"/>
      <c r="P628" s="50"/>
      <c r="Q628" s="50"/>
      <c r="R628" s="50"/>
      <c r="V628" s="50"/>
      <c r="Y628" s="50"/>
      <c r="Z628" s="326"/>
      <c r="AA628" s="50"/>
      <c r="AB628" s="50"/>
      <c r="AC628" s="50"/>
      <c r="AD628" s="50"/>
      <c r="AE628" s="50"/>
      <c r="AF628" s="50"/>
      <c r="AI628" s="50"/>
      <c r="AJ628" s="50"/>
      <c r="AK628" s="111"/>
      <c r="AL628" s="50"/>
    </row>
    <row r="629" spans="1:40">
      <c r="C629" s="42"/>
      <c r="F629" s="45"/>
      <c r="H629" s="45"/>
      <c r="I629" s="45"/>
      <c r="L629" s="45"/>
      <c r="M629" s="45"/>
      <c r="N629" s="46"/>
      <c r="O629" s="46"/>
      <c r="P629" s="45"/>
      <c r="Q629" s="45"/>
      <c r="R629" s="45"/>
      <c r="T629" s="42"/>
      <c r="V629" s="45"/>
      <c r="W629" s="45"/>
      <c r="X629" s="45"/>
      <c r="Y629" s="45"/>
      <c r="AA629" s="45"/>
      <c r="AB629" s="45"/>
      <c r="AC629" s="46"/>
      <c r="AD629" s="46"/>
      <c r="AE629" s="45"/>
      <c r="AF629" s="45"/>
      <c r="AH629" s="51"/>
      <c r="AI629" s="45"/>
      <c r="AJ629" s="45"/>
      <c r="AL629" s="45"/>
      <c r="AM629" s="51"/>
      <c r="AN629" s="51"/>
    </row>
    <row r="630" spans="1:40">
      <c r="F630" s="50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</row>
    <row r="633" spans="1:40">
      <c r="A633" s="42"/>
    </row>
    <row r="635" spans="1:40">
      <c r="H635" s="42"/>
      <c r="I635" s="42"/>
      <c r="Y635" s="42"/>
    </row>
    <row r="637" spans="1:40">
      <c r="L637" s="42"/>
      <c r="M637" s="42"/>
      <c r="AA637" s="42"/>
      <c r="AB637" s="42"/>
    </row>
    <row r="638" spans="1:40">
      <c r="R638" s="42"/>
      <c r="AK638" s="110"/>
      <c r="AL638" s="42"/>
    </row>
    <row r="639" spans="1:40">
      <c r="R639" s="42"/>
      <c r="AK639" s="110"/>
      <c r="AL639" s="42"/>
    </row>
    <row r="640" spans="1:40">
      <c r="A640" s="42"/>
      <c r="R640" s="42"/>
      <c r="AK640" s="110"/>
      <c r="AL640" s="42"/>
    </row>
    <row r="641" spans="1:40">
      <c r="L641" s="42"/>
      <c r="M641" s="42"/>
      <c r="AA641" s="42"/>
      <c r="AB641" s="42"/>
    </row>
    <row r="642" spans="1:40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107"/>
      <c r="AH642" s="49"/>
      <c r="AI642" s="49"/>
      <c r="AJ642" s="49"/>
      <c r="AK642" s="107"/>
      <c r="AL642" s="49"/>
      <c r="AM642" s="49"/>
      <c r="AN642" s="49"/>
    </row>
    <row r="643" spans="1:40">
      <c r="L643" s="44"/>
      <c r="M643" s="44"/>
      <c r="N643" s="44"/>
      <c r="O643" s="44"/>
      <c r="R643" s="44"/>
      <c r="AA643" s="44"/>
      <c r="AB643" s="44"/>
      <c r="AC643" s="44"/>
      <c r="AD643" s="44"/>
      <c r="AE643" s="44"/>
      <c r="AF643" s="44"/>
      <c r="AG643" s="102"/>
      <c r="AH643" s="44"/>
      <c r="AK643" s="102"/>
      <c r="AL643" s="44"/>
      <c r="AM643" s="44"/>
      <c r="AN643" s="44"/>
    </row>
    <row r="644" spans="1:40">
      <c r="L644" s="44"/>
      <c r="M644" s="44"/>
      <c r="N644" s="44"/>
      <c r="O644" s="44"/>
      <c r="R644" s="44"/>
      <c r="Z644" s="44"/>
      <c r="AA644" s="44"/>
      <c r="AB644" s="44"/>
      <c r="AC644" s="44"/>
      <c r="AD644" s="44"/>
      <c r="AE644" s="44"/>
      <c r="AF644" s="44"/>
      <c r="AG644" s="102"/>
      <c r="AH644" s="44"/>
      <c r="AK644" s="102"/>
      <c r="AL644" s="44"/>
      <c r="AM644" s="44"/>
      <c r="AN644" s="44"/>
    </row>
    <row r="645" spans="1:40">
      <c r="A645" s="44"/>
      <c r="C645" s="44"/>
      <c r="D645" s="44"/>
      <c r="E645" s="44"/>
      <c r="F645" s="44"/>
      <c r="J645" s="44"/>
      <c r="K645" s="44"/>
      <c r="L645" s="44"/>
      <c r="M645" s="44"/>
      <c r="N645" s="44"/>
      <c r="O645" s="44"/>
      <c r="P645" s="44"/>
      <c r="Q645" s="44"/>
      <c r="R645" s="44"/>
      <c r="T645" s="44"/>
      <c r="U645" s="44"/>
      <c r="V645" s="44"/>
      <c r="Z645" s="44"/>
      <c r="AA645" s="44"/>
      <c r="AB645" s="44"/>
      <c r="AC645" s="44"/>
      <c r="AD645" s="44"/>
      <c r="AE645" s="44"/>
      <c r="AF645" s="44"/>
      <c r="AG645" s="102"/>
      <c r="AH645" s="44"/>
      <c r="AI645" s="44"/>
      <c r="AJ645" s="44"/>
      <c r="AK645" s="102"/>
      <c r="AL645" s="44"/>
      <c r="AM645" s="44"/>
      <c r="AN645" s="44"/>
    </row>
    <row r="646" spans="1:40">
      <c r="A646" s="44"/>
      <c r="C646" s="44"/>
      <c r="D646" s="44"/>
      <c r="E646" s="44"/>
      <c r="F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T646" s="44"/>
      <c r="U646" s="44"/>
      <c r="V646" s="44"/>
      <c r="Y646" s="44"/>
      <c r="Z646" s="44"/>
      <c r="AA646" s="44"/>
      <c r="AB646" s="44"/>
      <c r="AC646" s="44"/>
      <c r="AD646" s="44"/>
      <c r="AE646" s="44"/>
      <c r="AF646" s="44"/>
      <c r="AG646" s="102"/>
      <c r="AH646" s="44"/>
      <c r="AI646" s="44"/>
      <c r="AJ646" s="44"/>
      <c r="AK646" s="102"/>
      <c r="AL646" s="44"/>
      <c r="AM646" s="44"/>
      <c r="AN646" s="44"/>
    </row>
    <row r="647" spans="1:40">
      <c r="C647" s="44"/>
      <c r="D647" s="44"/>
      <c r="E647" s="44"/>
      <c r="F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T647" s="44"/>
      <c r="U647" s="44"/>
      <c r="V647" s="44"/>
      <c r="Y647" s="44"/>
      <c r="Z647" s="44"/>
      <c r="AA647" s="44"/>
      <c r="AB647" s="44"/>
      <c r="AC647" s="44"/>
      <c r="AD647" s="44"/>
      <c r="AE647" s="44"/>
      <c r="AF647" s="44"/>
      <c r="AG647" s="102"/>
      <c r="AH647" s="44"/>
      <c r="AI647" s="44"/>
      <c r="AJ647" s="44"/>
      <c r="AK647" s="102"/>
      <c r="AL647" s="44"/>
      <c r="AM647" s="44"/>
      <c r="AN647" s="44"/>
    </row>
    <row r="648" spans="1:40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107"/>
      <c r="AH648" s="49"/>
      <c r="AI648" s="49"/>
      <c r="AJ648" s="49"/>
      <c r="AK648" s="107"/>
      <c r="AL648" s="49"/>
      <c r="AM648" s="49"/>
      <c r="AN648" s="49"/>
    </row>
    <row r="649" spans="1:40"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Y649" s="44"/>
      <c r="Z649" s="44"/>
      <c r="AA649" s="44"/>
      <c r="AB649" s="44"/>
      <c r="AC649" s="44"/>
      <c r="AD649" s="44"/>
      <c r="AE649" s="44"/>
      <c r="AF649" s="44"/>
      <c r="AG649" s="102"/>
      <c r="AH649" s="44"/>
      <c r="AI649" s="44"/>
      <c r="AJ649" s="44"/>
      <c r="AK649" s="102"/>
      <c r="AL649" s="44"/>
      <c r="AM649" s="44"/>
      <c r="AN649" s="44"/>
    </row>
    <row r="650" spans="1:40">
      <c r="C650" s="42"/>
      <c r="D650" s="42"/>
      <c r="E650" s="42"/>
      <c r="F650" s="45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U650" s="42"/>
      <c r="V650" s="45"/>
      <c r="Y650" s="45"/>
      <c r="Z650" s="47"/>
      <c r="AA650" s="45"/>
      <c r="AB650" s="45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1:40">
      <c r="F651" s="50"/>
      <c r="H651" s="50"/>
      <c r="I651" s="50"/>
      <c r="J651" s="326"/>
      <c r="K651" s="326"/>
      <c r="L651" s="50"/>
      <c r="M651" s="50"/>
      <c r="N651" s="50"/>
      <c r="O651" s="50"/>
      <c r="P651" s="50"/>
      <c r="Q651" s="50"/>
      <c r="R651" s="50"/>
      <c r="V651" s="50"/>
      <c r="Y651" s="50"/>
      <c r="Z651" s="326"/>
      <c r="AA651" s="50"/>
      <c r="AB651" s="50"/>
      <c r="AC651" s="50"/>
      <c r="AD651" s="50"/>
      <c r="AE651" s="50"/>
      <c r="AF651" s="50"/>
      <c r="AI651" s="50"/>
      <c r="AJ651" s="50"/>
      <c r="AK651" s="111"/>
      <c r="AL651" s="50"/>
      <c r="AM651" s="46"/>
      <c r="AN651" s="46"/>
    </row>
    <row r="652" spans="1:40">
      <c r="C652" s="42"/>
      <c r="F652" s="45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1:40"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V653" s="45"/>
      <c r="Y653" s="45"/>
      <c r="Z653" s="47"/>
      <c r="AA653" s="45"/>
      <c r="AB653" s="45"/>
      <c r="AC653" s="47"/>
      <c r="AD653" s="47"/>
      <c r="AH653" s="51"/>
      <c r="AI653" s="45"/>
      <c r="AJ653" s="45"/>
      <c r="AL653" s="45"/>
      <c r="AM653" s="46"/>
      <c r="AN653" s="46"/>
    </row>
    <row r="654" spans="1:40">
      <c r="C654" s="42"/>
      <c r="D654" s="42"/>
      <c r="E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U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1:40">
      <c r="C655" s="42"/>
      <c r="D655" s="42"/>
      <c r="E655" s="42"/>
      <c r="F655" s="45"/>
      <c r="H655" s="45"/>
      <c r="I655" s="45"/>
      <c r="J655" s="47"/>
      <c r="K655" s="47"/>
      <c r="L655" s="45"/>
      <c r="M655" s="45"/>
      <c r="N655" s="47"/>
      <c r="O655" s="47"/>
      <c r="P655" s="45"/>
      <c r="Q655" s="45"/>
      <c r="R655" s="45"/>
      <c r="T655" s="42"/>
      <c r="U655" s="42"/>
      <c r="V655" s="45"/>
      <c r="Y655" s="45"/>
      <c r="Z655" s="47"/>
      <c r="AA655" s="45"/>
      <c r="AB655" s="45"/>
      <c r="AC655" s="47"/>
      <c r="AD655" s="47"/>
      <c r="AE655" s="45"/>
      <c r="AF655" s="45"/>
      <c r="AH655" s="51"/>
      <c r="AI655" s="45"/>
      <c r="AJ655" s="45"/>
      <c r="AL655" s="45"/>
      <c r="AM655" s="46"/>
      <c r="AN655" s="46"/>
    </row>
    <row r="656" spans="1:40">
      <c r="C656" s="42"/>
      <c r="D656" s="42"/>
      <c r="E656" s="42"/>
      <c r="F656" s="45"/>
      <c r="H656" s="45"/>
      <c r="I656" s="45"/>
      <c r="J656" s="47"/>
      <c r="K656" s="47"/>
      <c r="L656" s="45"/>
      <c r="M656" s="45"/>
      <c r="N656" s="47"/>
      <c r="O656" s="47"/>
      <c r="P656" s="45"/>
      <c r="Q656" s="45"/>
      <c r="R656" s="45"/>
      <c r="T656" s="42"/>
      <c r="U656" s="42"/>
      <c r="V656" s="45"/>
      <c r="Y656" s="45"/>
      <c r="Z656" s="47"/>
      <c r="AA656" s="45"/>
      <c r="AB656" s="45"/>
      <c r="AC656" s="47"/>
      <c r="AD656" s="47"/>
      <c r="AE656" s="45"/>
      <c r="AF656" s="45"/>
      <c r="AH656" s="51"/>
      <c r="AI656" s="45"/>
      <c r="AJ656" s="45"/>
      <c r="AL656" s="45"/>
      <c r="AM656" s="46"/>
      <c r="AN656" s="46"/>
    </row>
    <row r="657" spans="3:40">
      <c r="C657" s="42"/>
      <c r="D657" s="42"/>
      <c r="E657" s="42"/>
      <c r="F657" s="45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T657" s="42"/>
      <c r="U657" s="42"/>
      <c r="V657" s="45"/>
      <c r="Y657" s="45"/>
      <c r="Z657" s="47"/>
      <c r="AA657" s="45"/>
      <c r="AB657" s="45"/>
      <c r="AC657" s="47"/>
      <c r="AD657" s="47"/>
      <c r="AE657" s="45"/>
      <c r="AF657" s="45"/>
      <c r="AH657" s="51"/>
      <c r="AI657" s="45"/>
      <c r="AJ657" s="45"/>
      <c r="AL657" s="45"/>
      <c r="AM657" s="46"/>
      <c r="AN657" s="46"/>
    </row>
    <row r="658" spans="3:40">
      <c r="C658" s="42"/>
      <c r="D658" s="42"/>
      <c r="E658" s="42"/>
      <c r="F658" s="45"/>
      <c r="H658" s="45"/>
      <c r="I658" s="45"/>
      <c r="J658" s="47"/>
      <c r="K658" s="47"/>
      <c r="L658" s="45"/>
      <c r="M658" s="45"/>
      <c r="N658" s="47"/>
      <c r="O658" s="47"/>
      <c r="P658" s="45"/>
      <c r="Q658" s="45"/>
      <c r="R658" s="45"/>
      <c r="T658" s="42"/>
      <c r="U658" s="42"/>
      <c r="V658" s="45"/>
      <c r="Y658" s="45"/>
      <c r="Z658" s="47"/>
      <c r="AA658" s="45"/>
      <c r="AB658" s="45"/>
      <c r="AC658" s="47"/>
      <c r="AD658" s="47"/>
      <c r="AE658" s="45"/>
      <c r="AF658" s="45"/>
      <c r="AH658" s="51"/>
      <c r="AI658" s="45"/>
      <c r="AJ658" s="45"/>
      <c r="AL658" s="45"/>
      <c r="AM658" s="46"/>
      <c r="AN658" s="46"/>
    </row>
    <row r="659" spans="3:40">
      <c r="C659" s="42"/>
      <c r="D659" s="42"/>
      <c r="E659" s="42"/>
      <c r="F659" s="45"/>
      <c r="H659" s="45"/>
      <c r="I659" s="45"/>
      <c r="J659" s="47"/>
      <c r="K659" s="47"/>
      <c r="L659" s="45"/>
      <c r="M659" s="45"/>
      <c r="N659" s="47"/>
      <c r="O659" s="47"/>
      <c r="P659" s="45"/>
      <c r="Q659" s="45"/>
      <c r="R659" s="45"/>
      <c r="T659" s="42"/>
      <c r="U659" s="42"/>
      <c r="V659" s="45"/>
      <c r="Y659" s="45"/>
      <c r="Z659" s="47"/>
      <c r="AA659" s="45"/>
      <c r="AB659" s="45"/>
      <c r="AC659" s="47"/>
      <c r="AD659" s="47"/>
      <c r="AE659" s="45"/>
      <c r="AF659" s="45"/>
      <c r="AH659" s="51"/>
      <c r="AI659" s="45"/>
      <c r="AJ659" s="45"/>
      <c r="AL659" s="45"/>
      <c r="AM659" s="46"/>
      <c r="AN659" s="46"/>
    </row>
    <row r="660" spans="3:40">
      <c r="F660" s="50"/>
      <c r="H660" s="50"/>
      <c r="I660" s="50"/>
      <c r="J660" s="326"/>
      <c r="K660" s="326"/>
      <c r="L660" s="50"/>
      <c r="M660" s="50"/>
      <c r="N660" s="50"/>
      <c r="O660" s="50"/>
      <c r="P660" s="50"/>
      <c r="Q660" s="50"/>
      <c r="R660" s="50"/>
      <c r="V660" s="50"/>
      <c r="Y660" s="50"/>
      <c r="Z660" s="326"/>
      <c r="AA660" s="50"/>
      <c r="AB660" s="50"/>
      <c r="AC660" s="50"/>
      <c r="AD660" s="50"/>
      <c r="AE660" s="50"/>
      <c r="AF660" s="50"/>
      <c r="AI660" s="50"/>
      <c r="AJ660" s="50"/>
      <c r="AK660" s="111"/>
      <c r="AL660" s="50"/>
      <c r="AM660" s="46"/>
      <c r="AN660" s="46"/>
    </row>
    <row r="661" spans="3:40">
      <c r="C661" s="42"/>
      <c r="F661" s="45"/>
      <c r="H661" s="45"/>
      <c r="I661" s="45"/>
      <c r="J661" s="47"/>
      <c r="K661" s="47"/>
      <c r="L661" s="45"/>
      <c r="M661" s="45"/>
      <c r="N661" s="47"/>
      <c r="O661" s="47"/>
      <c r="P661" s="45"/>
      <c r="Q661" s="45"/>
      <c r="R661" s="45"/>
      <c r="T661" s="42"/>
      <c r="V661" s="45"/>
      <c r="Y661" s="45"/>
      <c r="Z661" s="47"/>
      <c r="AA661" s="45"/>
      <c r="AB661" s="45"/>
      <c r="AC661" s="47"/>
      <c r="AD661" s="47"/>
      <c r="AE661" s="45"/>
      <c r="AF661" s="45"/>
      <c r="AH661" s="51"/>
      <c r="AI661" s="45"/>
      <c r="AJ661" s="45"/>
      <c r="AL661" s="45"/>
      <c r="AM661" s="46"/>
      <c r="AN661" s="46"/>
    </row>
    <row r="662" spans="3:40">
      <c r="F662" s="45"/>
      <c r="H662" s="45"/>
      <c r="I662" s="45"/>
      <c r="J662" s="47"/>
      <c r="K662" s="47"/>
      <c r="L662" s="45"/>
      <c r="M662" s="45"/>
      <c r="N662" s="47"/>
      <c r="O662" s="47"/>
      <c r="P662" s="45"/>
      <c r="Q662" s="45"/>
      <c r="R662" s="45"/>
      <c r="V662" s="45"/>
      <c r="Y662" s="45"/>
      <c r="Z662" s="47"/>
      <c r="AA662" s="45"/>
      <c r="AB662" s="45"/>
      <c r="AC662" s="47"/>
      <c r="AD662" s="47"/>
      <c r="AH662" s="51"/>
      <c r="AI662" s="45"/>
      <c r="AJ662" s="45"/>
      <c r="AL662" s="45"/>
      <c r="AM662" s="46"/>
      <c r="AN662" s="46"/>
    </row>
    <row r="663" spans="3:40">
      <c r="C663" s="42"/>
      <c r="D663" s="42"/>
      <c r="E663" s="42"/>
      <c r="F663" s="45"/>
      <c r="H663" s="45"/>
      <c r="I663" s="45"/>
      <c r="J663" s="47"/>
      <c r="K663" s="47"/>
      <c r="L663" s="45"/>
      <c r="M663" s="45"/>
      <c r="N663" s="47"/>
      <c r="O663" s="47"/>
      <c r="P663" s="45"/>
      <c r="Q663" s="45"/>
      <c r="R663" s="45"/>
      <c r="T663" s="42"/>
      <c r="U663" s="42"/>
      <c r="V663" s="45"/>
      <c r="Y663" s="45"/>
      <c r="Z663" s="47"/>
      <c r="AA663" s="45"/>
      <c r="AB663" s="45"/>
      <c r="AC663" s="47"/>
      <c r="AD663" s="47"/>
      <c r="AE663" s="45"/>
      <c r="AF663" s="45"/>
      <c r="AH663" s="51"/>
      <c r="AI663" s="45"/>
      <c r="AJ663" s="45"/>
      <c r="AL663" s="45"/>
      <c r="AM663" s="46"/>
      <c r="AN663" s="46"/>
    </row>
    <row r="664" spans="3:40">
      <c r="F664" s="50"/>
      <c r="H664" s="50"/>
      <c r="I664" s="50"/>
      <c r="J664" s="326"/>
      <c r="K664" s="326"/>
      <c r="L664" s="50"/>
      <c r="M664" s="50"/>
      <c r="N664" s="50"/>
      <c r="O664" s="50"/>
      <c r="P664" s="50"/>
      <c r="Q664" s="50"/>
      <c r="R664" s="50"/>
      <c r="V664" s="50"/>
      <c r="Y664" s="50"/>
      <c r="Z664" s="326"/>
      <c r="AA664" s="50"/>
      <c r="AB664" s="50"/>
      <c r="AC664" s="50"/>
      <c r="AD664" s="50"/>
      <c r="AE664" s="50"/>
      <c r="AF664" s="50"/>
      <c r="AI664" s="50"/>
      <c r="AJ664" s="50"/>
      <c r="AK664" s="111"/>
      <c r="AL664" s="50"/>
      <c r="AM664" s="46"/>
      <c r="AN664" s="46"/>
    </row>
    <row r="665" spans="3:40">
      <c r="C665" s="42"/>
      <c r="F665" s="45"/>
      <c r="H665" s="45"/>
      <c r="I665" s="45"/>
      <c r="J665" s="47"/>
      <c r="K665" s="47"/>
      <c r="L665" s="45"/>
      <c r="M665" s="45"/>
      <c r="N665" s="47"/>
      <c r="O665" s="47"/>
      <c r="P665" s="45"/>
      <c r="Q665" s="45"/>
      <c r="R665" s="45"/>
      <c r="T665" s="42"/>
      <c r="V665" s="45"/>
      <c r="Y665" s="45"/>
      <c r="Z665" s="47"/>
      <c r="AA665" s="45"/>
      <c r="AB665" s="45"/>
      <c r="AC665" s="47"/>
      <c r="AD665" s="47"/>
      <c r="AE665" s="45"/>
      <c r="AF665" s="45"/>
      <c r="AH665" s="51"/>
      <c r="AI665" s="45"/>
      <c r="AJ665" s="45"/>
      <c r="AL665" s="45"/>
      <c r="AM665" s="46"/>
      <c r="AN665" s="46"/>
    </row>
    <row r="666" spans="3:40">
      <c r="F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V666" s="45"/>
      <c r="Y666" s="45"/>
      <c r="Z666" s="47"/>
      <c r="AA666" s="45"/>
      <c r="AB666" s="45"/>
      <c r="AC666" s="47"/>
      <c r="AD666" s="47"/>
      <c r="AH666" s="51"/>
      <c r="AI666" s="45"/>
      <c r="AJ666" s="45"/>
      <c r="AL666" s="45"/>
      <c r="AM666" s="46"/>
      <c r="AN666" s="46"/>
    </row>
    <row r="667" spans="3:40">
      <c r="C667" s="42"/>
      <c r="D667" s="42"/>
      <c r="E667" s="42"/>
      <c r="F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T667" s="42"/>
      <c r="U667" s="42"/>
      <c r="V667" s="45"/>
      <c r="Y667" s="45"/>
      <c r="Z667" s="47"/>
      <c r="AA667" s="45"/>
      <c r="AB667" s="45"/>
      <c r="AC667" s="47"/>
      <c r="AD667" s="47"/>
      <c r="AE667" s="45"/>
      <c r="AF667" s="45"/>
      <c r="AH667" s="51"/>
      <c r="AI667" s="45"/>
      <c r="AJ667" s="45"/>
      <c r="AL667" s="45"/>
      <c r="AM667" s="46"/>
      <c r="AN667" s="46"/>
    </row>
    <row r="668" spans="3:40">
      <c r="C668" s="42"/>
      <c r="D668" s="42"/>
      <c r="E668" s="42"/>
      <c r="F668" s="45"/>
      <c r="G668" s="45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U668" s="42"/>
      <c r="V668" s="45"/>
      <c r="W668" s="45"/>
      <c r="X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3:40">
      <c r="C669" s="42"/>
      <c r="D669" s="42"/>
      <c r="E669" s="42"/>
      <c r="F669" s="45"/>
      <c r="G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U669" s="42"/>
      <c r="V669" s="45"/>
      <c r="W669" s="45"/>
      <c r="X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3:40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3:40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3:40">
      <c r="C672" s="42"/>
      <c r="D672" s="42"/>
      <c r="E672" s="42"/>
      <c r="F672" s="45"/>
      <c r="H672" s="45"/>
      <c r="I672" s="45"/>
      <c r="J672" s="47"/>
      <c r="K672" s="47"/>
      <c r="L672" s="45"/>
      <c r="M672" s="45"/>
      <c r="N672" s="47"/>
      <c r="O672" s="47"/>
      <c r="P672" s="45"/>
      <c r="Q672" s="45"/>
      <c r="R672" s="45"/>
      <c r="T672" s="42"/>
      <c r="U672" s="42"/>
      <c r="V672" s="45"/>
      <c r="Y672" s="45"/>
      <c r="Z672" s="47"/>
      <c r="AA672" s="45"/>
      <c r="AB672" s="45"/>
      <c r="AC672" s="47"/>
      <c r="AD672" s="47"/>
      <c r="AE672" s="45"/>
      <c r="AF672" s="45"/>
      <c r="AH672" s="51"/>
      <c r="AI672" s="45"/>
      <c r="AJ672" s="45"/>
      <c r="AL672" s="45"/>
      <c r="AM672" s="46"/>
      <c r="AN672" s="46"/>
    </row>
    <row r="673" spans="3:40">
      <c r="C673" s="42"/>
      <c r="D673" s="42"/>
      <c r="E673" s="42"/>
      <c r="F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U673" s="42"/>
      <c r="V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>
      <c r="F674" s="50"/>
      <c r="H674" s="50"/>
      <c r="I674" s="50"/>
      <c r="J674" s="326"/>
      <c r="K674" s="326"/>
      <c r="L674" s="50"/>
      <c r="M674" s="50"/>
      <c r="N674" s="50"/>
      <c r="O674" s="50"/>
      <c r="P674" s="50"/>
      <c r="Q674" s="50"/>
      <c r="R674" s="50"/>
      <c r="V674" s="50"/>
      <c r="Y674" s="50"/>
      <c r="Z674" s="326"/>
      <c r="AA674" s="50"/>
      <c r="AB674" s="50"/>
      <c r="AC674" s="50"/>
      <c r="AD674" s="50"/>
      <c r="AE674" s="50"/>
      <c r="AF674" s="50"/>
      <c r="AI674" s="50"/>
      <c r="AJ674" s="50"/>
      <c r="AK674" s="111"/>
      <c r="AL674" s="50"/>
      <c r="AM674" s="46"/>
      <c r="AN674" s="46"/>
    </row>
    <row r="675" spans="3:40">
      <c r="C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>
      <c r="V676" s="45"/>
      <c r="Y676" s="45"/>
      <c r="Z676" s="326"/>
      <c r="AA676" s="45"/>
      <c r="AB676" s="45"/>
      <c r="AC676" s="45"/>
      <c r="AD676" s="45"/>
      <c r="AE676" s="45"/>
      <c r="AF676" s="45"/>
      <c r="AI676" s="45"/>
      <c r="AJ676" s="45"/>
      <c r="AL676" s="45"/>
      <c r="AM676" s="46"/>
      <c r="AN676" s="46"/>
    </row>
    <row r="677" spans="3:40">
      <c r="C677" s="42"/>
      <c r="D677" s="42"/>
      <c r="E677" s="42"/>
      <c r="L677" s="45"/>
      <c r="M677" s="45"/>
      <c r="N677" s="47"/>
      <c r="O677" s="47"/>
      <c r="R677" s="45"/>
      <c r="T677" s="42"/>
      <c r="U677" s="42"/>
      <c r="AA677" s="45"/>
      <c r="AB677" s="45"/>
      <c r="AC677" s="47"/>
      <c r="AD677" s="47"/>
      <c r="AE677" s="45"/>
      <c r="AF677" s="45"/>
      <c r="AH677" s="51"/>
      <c r="AL677" s="45"/>
      <c r="AM677" s="46"/>
      <c r="AN677" s="46"/>
    </row>
    <row r="678" spans="3:40">
      <c r="D678" s="42"/>
      <c r="E678" s="42"/>
      <c r="F678" s="164"/>
      <c r="H678" s="164"/>
      <c r="I678" s="164"/>
      <c r="J678" s="47"/>
      <c r="K678" s="47"/>
      <c r="L678" s="45"/>
      <c r="M678" s="45"/>
      <c r="N678" s="47"/>
      <c r="O678" s="47"/>
      <c r="P678" s="164"/>
      <c r="Q678" s="164"/>
      <c r="R678" s="45"/>
      <c r="U678" s="42"/>
      <c r="V678" s="45"/>
      <c r="Y678" s="45"/>
      <c r="Z678" s="47"/>
      <c r="AA678" s="45"/>
      <c r="AB678" s="45"/>
      <c r="AC678" s="47"/>
      <c r="AD678" s="47"/>
      <c r="AE678" s="45"/>
      <c r="AF678" s="45"/>
      <c r="AH678" s="51"/>
      <c r="AI678" s="45"/>
      <c r="AJ678" s="45"/>
      <c r="AL678" s="45"/>
      <c r="AM678" s="46"/>
      <c r="AN678" s="46"/>
    </row>
    <row r="679" spans="3:40">
      <c r="F679" s="50"/>
      <c r="H679" s="50"/>
      <c r="I679" s="50"/>
      <c r="J679" s="326"/>
      <c r="K679" s="326"/>
      <c r="L679" s="50"/>
      <c r="M679" s="50"/>
      <c r="N679" s="50"/>
      <c r="O679" s="50"/>
      <c r="P679" s="50"/>
      <c r="Q679" s="50"/>
      <c r="R679" s="50"/>
      <c r="V679" s="50"/>
      <c r="Y679" s="50"/>
      <c r="Z679" s="326"/>
      <c r="AA679" s="50"/>
      <c r="AB679" s="50"/>
      <c r="AC679" s="50"/>
      <c r="AD679" s="50"/>
      <c r="AE679" s="50"/>
      <c r="AF679" s="50"/>
      <c r="AI679" s="50"/>
      <c r="AJ679" s="50"/>
      <c r="AK679" s="111"/>
      <c r="AL679" s="50"/>
      <c r="AM679" s="46"/>
      <c r="AN679" s="46"/>
    </row>
    <row r="680" spans="3:40">
      <c r="C680" s="42"/>
      <c r="F680" s="45"/>
      <c r="H680" s="45"/>
      <c r="I680" s="45"/>
      <c r="J680" s="47"/>
      <c r="K680" s="47"/>
      <c r="L680" s="45"/>
      <c r="M680" s="45"/>
      <c r="N680" s="47"/>
      <c r="O680" s="47"/>
      <c r="P680" s="45"/>
      <c r="Q680" s="45"/>
      <c r="R680" s="45"/>
      <c r="T680" s="42"/>
      <c r="V680" s="45"/>
      <c r="Y680" s="45"/>
      <c r="Z680" s="47"/>
      <c r="AA680" s="45"/>
      <c r="AB680" s="45"/>
      <c r="AC680" s="47"/>
      <c r="AD680" s="47"/>
      <c r="AE680" s="45"/>
      <c r="AF680" s="45"/>
      <c r="AH680" s="51"/>
      <c r="AI680" s="45"/>
      <c r="AJ680" s="45"/>
      <c r="AL680" s="45"/>
      <c r="AM680" s="46"/>
      <c r="AN680" s="46"/>
    </row>
    <row r="681" spans="3:40">
      <c r="F681" s="45"/>
      <c r="H681" s="45"/>
      <c r="I681" s="45"/>
      <c r="J681" s="47"/>
      <c r="K681" s="47"/>
      <c r="L681" s="45"/>
      <c r="M681" s="45"/>
      <c r="N681" s="47"/>
      <c r="O681" s="47"/>
      <c r="P681" s="45"/>
      <c r="Q681" s="45"/>
      <c r="R681" s="45"/>
      <c r="V681" s="45"/>
      <c r="Y681" s="45"/>
      <c r="Z681" s="47"/>
      <c r="AA681" s="45"/>
      <c r="AB681" s="45"/>
      <c r="AC681" s="47"/>
      <c r="AD681" s="47"/>
      <c r="AH681" s="51"/>
      <c r="AI681" s="45"/>
      <c r="AJ681" s="45"/>
      <c r="AL681" s="45"/>
      <c r="AM681" s="46"/>
      <c r="AN681" s="46"/>
    </row>
    <row r="682" spans="3:40">
      <c r="D682" s="42"/>
      <c r="E682" s="42"/>
      <c r="F682" s="45"/>
      <c r="H682" s="45"/>
      <c r="I682" s="45"/>
      <c r="J682" s="47"/>
      <c r="K682" s="47"/>
      <c r="L682" s="164"/>
      <c r="M682" s="164"/>
      <c r="N682" s="47"/>
      <c r="O682" s="47"/>
      <c r="P682" s="45"/>
      <c r="Q682" s="45"/>
      <c r="R682" s="45"/>
      <c r="U682" s="42"/>
      <c r="V682" s="45"/>
      <c r="Y682" s="45"/>
      <c r="Z682" s="47"/>
      <c r="AA682" s="164"/>
      <c r="AB682" s="164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>
      <c r="D683" s="42"/>
      <c r="E683" s="42"/>
      <c r="F683" s="45"/>
      <c r="H683" s="45"/>
      <c r="I683" s="45"/>
      <c r="J683" s="47"/>
      <c r="K683" s="47"/>
      <c r="L683" s="164"/>
      <c r="M683" s="164"/>
      <c r="N683" s="47"/>
      <c r="O683" s="47"/>
      <c r="P683" s="45"/>
      <c r="Q683" s="45"/>
      <c r="R683" s="45"/>
      <c r="U683" s="42"/>
      <c r="V683" s="45"/>
      <c r="Y683" s="45"/>
      <c r="Z683" s="47"/>
      <c r="AA683" s="164"/>
      <c r="AB683" s="164"/>
      <c r="AC683" s="47"/>
      <c r="AD683" s="47"/>
      <c r="AE683" s="45"/>
      <c r="AF683" s="45"/>
      <c r="AH683" s="51"/>
      <c r="AI683" s="45"/>
      <c r="AJ683" s="45"/>
      <c r="AL683" s="45"/>
      <c r="AM683" s="46"/>
      <c r="AN683" s="46"/>
    </row>
    <row r="684" spans="3:40">
      <c r="D684" s="42"/>
      <c r="E684" s="42"/>
      <c r="F684" s="45"/>
      <c r="H684" s="45"/>
      <c r="I684" s="45"/>
      <c r="J684" s="47"/>
      <c r="K684" s="47"/>
      <c r="L684" s="164"/>
      <c r="M684" s="164"/>
      <c r="N684" s="47"/>
      <c r="O684" s="47"/>
      <c r="P684" s="45"/>
      <c r="Q684" s="45"/>
      <c r="R684" s="45"/>
      <c r="U684" s="42"/>
      <c r="V684" s="45"/>
      <c r="Y684" s="45"/>
      <c r="Z684" s="47"/>
      <c r="AA684" s="164"/>
      <c r="AB684" s="164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>
      <c r="F685" s="50"/>
      <c r="H685" s="50"/>
      <c r="I685" s="50"/>
      <c r="J685" s="326"/>
      <c r="K685" s="326"/>
      <c r="L685" s="50"/>
      <c r="M685" s="50"/>
      <c r="N685" s="50"/>
      <c r="O685" s="50"/>
      <c r="P685" s="50"/>
      <c r="Q685" s="50"/>
      <c r="R685" s="50"/>
      <c r="V685" s="50"/>
      <c r="Y685" s="50"/>
      <c r="Z685" s="326"/>
      <c r="AA685" s="50"/>
      <c r="AB685" s="50"/>
      <c r="AC685" s="50"/>
      <c r="AD685" s="50"/>
      <c r="AE685" s="50"/>
      <c r="AF685" s="50"/>
      <c r="AI685" s="50"/>
      <c r="AJ685" s="50"/>
      <c r="AK685" s="111"/>
      <c r="AL685" s="50"/>
      <c r="AM685" s="46"/>
      <c r="AN685" s="46"/>
    </row>
    <row r="686" spans="3:40">
      <c r="C686" s="42"/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T686" s="42"/>
      <c r="V686" s="45"/>
      <c r="Y686" s="45"/>
      <c r="Z686" s="47"/>
      <c r="AA686" s="45"/>
      <c r="AB686" s="45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3:40"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V687" s="45"/>
      <c r="Y687" s="45"/>
      <c r="Z687" s="47"/>
      <c r="AA687" s="45"/>
      <c r="AB687" s="45"/>
      <c r="AC687" s="47"/>
      <c r="AD687" s="47"/>
      <c r="AH687" s="51"/>
      <c r="AI687" s="45"/>
      <c r="AJ687" s="45"/>
      <c r="AL687" s="45"/>
      <c r="AM687" s="46"/>
      <c r="AN687" s="46"/>
    </row>
    <row r="688" spans="3:40">
      <c r="C688" s="42"/>
      <c r="F688" s="45"/>
      <c r="H688" s="45"/>
      <c r="I688" s="45"/>
      <c r="J688" s="47"/>
      <c r="K688" s="47"/>
      <c r="L688" s="45"/>
      <c r="M688" s="45"/>
      <c r="N688" s="47"/>
      <c r="O688" s="47"/>
      <c r="P688" s="45"/>
      <c r="Q688" s="45"/>
      <c r="R688" s="45"/>
      <c r="T688" s="42"/>
      <c r="V688" s="45"/>
      <c r="Y688" s="45"/>
      <c r="Z688" s="47"/>
      <c r="AA688" s="45"/>
      <c r="AB688" s="45"/>
      <c r="AC688" s="47"/>
      <c r="AD688" s="47"/>
      <c r="AE688" s="45"/>
      <c r="AF688" s="45"/>
      <c r="AH688" s="51"/>
      <c r="AI688" s="45"/>
      <c r="AJ688" s="45"/>
      <c r="AL688" s="45"/>
      <c r="AM688" s="46"/>
      <c r="AN688" s="46"/>
    </row>
    <row r="689" spans="1:38">
      <c r="F689" s="50"/>
      <c r="H689" s="50"/>
      <c r="I689" s="50"/>
      <c r="J689" s="326"/>
      <c r="K689" s="326"/>
      <c r="L689" s="50"/>
      <c r="M689" s="50"/>
      <c r="N689" s="50"/>
      <c r="O689" s="50"/>
      <c r="P689" s="50"/>
      <c r="Q689" s="50"/>
      <c r="R689" s="50"/>
      <c r="V689" s="50"/>
      <c r="Y689" s="50"/>
      <c r="Z689" s="326"/>
      <c r="AA689" s="50"/>
      <c r="AB689" s="50"/>
      <c r="AC689" s="50"/>
      <c r="AD689" s="50"/>
      <c r="AE689" s="50"/>
      <c r="AF689" s="50"/>
      <c r="AI689" s="50"/>
      <c r="AJ689" s="50"/>
      <c r="AK689" s="111"/>
      <c r="AL689" s="50"/>
    </row>
    <row r="691" spans="1:38">
      <c r="C691" s="42"/>
      <c r="L691" s="45"/>
      <c r="M691" s="45"/>
      <c r="P691" s="45"/>
      <c r="Q691" s="45"/>
      <c r="R691" s="45"/>
      <c r="T691" s="42"/>
    </row>
    <row r="692" spans="1:38">
      <c r="A692" s="42"/>
      <c r="L692" s="45"/>
      <c r="M692" s="45"/>
      <c r="P692" s="45"/>
      <c r="Q692" s="45"/>
      <c r="R692" s="45"/>
    </row>
    <row r="693" spans="1:38">
      <c r="L693" s="45"/>
      <c r="M693" s="45"/>
      <c r="P693" s="45"/>
      <c r="Q693" s="45"/>
      <c r="R693" s="45"/>
    </row>
    <row r="694" spans="1:38">
      <c r="L694" s="45"/>
      <c r="M694" s="45"/>
      <c r="P694" s="45"/>
      <c r="Q694" s="45"/>
      <c r="R694" s="45"/>
    </row>
    <row r="695" spans="1:38">
      <c r="L695" s="45"/>
      <c r="M695" s="45"/>
      <c r="P695" s="45"/>
      <c r="Q695" s="45"/>
      <c r="R695" s="45"/>
    </row>
    <row r="696" spans="1:38">
      <c r="L696" s="45"/>
      <c r="M696" s="45"/>
      <c r="P696" s="45"/>
      <c r="Q696" s="45"/>
      <c r="R696" s="45"/>
    </row>
    <row r="697" spans="1:38">
      <c r="L697" s="45"/>
      <c r="M697" s="45"/>
      <c r="P697" s="45"/>
      <c r="Q697" s="45"/>
      <c r="R697" s="45"/>
    </row>
    <row r="730" spans="49:49">
      <c r="AW730" s="45"/>
    </row>
    <row r="731" spans="49:49">
      <c r="AW731" s="45"/>
    </row>
    <row r="732" spans="49:49">
      <c r="AW732" s="45"/>
    </row>
    <row r="733" spans="49:49">
      <c r="AW733" s="45"/>
    </row>
    <row r="734" spans="49:49">
      <c r="AW734" s="45"/>
    </row>
    <row r="735" spans="49:49">
      <c r="AW735" s="45"/>
    </row>
    <row r="738" spans="49:49">
      <c r="AW738" s="45"/>
    </row>
    <row r="739" spans="49:49">
      <c r="AW739" s="45"/>
    </row>
    <row r="740" spans="49:49">
      <c r="AW740" s="45"/>
    </row>
    <row r="741" spans="49:49">
      <c r="AW741" s="45"/>
    </row>
    <row r="742" spans="49:49">
      <c r="AW742" s="45"/>
    </row>
    <row r="743" spans="49:49">
      <c r="AW743" s="45"/>
    </row>
    <row r="744" spans="49:49">
      <c r="AW744" s="45"/>
    </row>
    <row r="745" spans="49:49">
      <c r="AW745" s="45"/>
    </row>
    <row r="748" spans="49:49">
      <c r="AW748" s="45"/>
    </row>
    <row r="749" spans="49:49">
      <c r="AW749" s="45"/>
    </row>
    <row r="752" spans="49:49">
      <c r="AW752" s="45"/>
    </row>
    <row r="753" spans="45:56">
      <c r="AW753" s="45"/>
    </row>
    <row r="754" spans="45:56">
      <c r="AW754" s="45"/>
    </row>
    <row r="755" spans="45:56">
      <c r="AW755" s="45"/>
    </row>
    <row r="763" spans="45:56">
      <c r="AY763" s="42"/>
    </row>
    <row r="764" spans="45:56">
      <c r="AY764" s="42"/>
    </row>
    <row r="765" spans="45:56">
      <c r="BD765" s="42"/>
    </row>
    <row r="766" spans="45:56">
      <c r="BD766" s="42"/>
    </row>
    <row r="767" spans="45:56">
      <c r="AS767" s="42"/>
      <c r="BD767" s="42"/>
    </row>
    <row r="769" spans="45:69"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</row>
    <row r="770" spans="45:69">
      <c r="AX770" s="42"/>
    </row>
    <row r="771" spans="45:69">
      <c r="AX771" s="49"/>
      <c r="AY771" s="49"/>
      <c r="AZ771" s="49"/>
      <c r="BA771" s="49"/>
      <c r="BC771" s="44"/>
      <c r="BD771" s="44"/>
    </row>
    <row r="772" spans="45:69">
      <c r="AV772" s="44"/>
      <c r="AW772" s="44"/>
      <c r="AZ772" s="44"/>
      <c r="BA772" s="44"/>
      <c r="BC772" s="44"/>
      <c r="BD772" s="44"/>
      <c r="BE772" s="44"/>
      <c r="BG772" s="49"/>
      <c r="BH772" s="42"/>
      <c r="BK772" s="49"/>
      <c r="BM772" s="49"/>
      <c r="BN772" s="42"/>
      <c r="BQ772" s="49"/>
    </row>
    <row r="773" spans="45:69"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H773" s="44"/>
      <c r="BI773" s="44"/>
      <c r="BJ773" s="44"/>
      <c r="BN773" s="44"/>
      <c r="BO773" s="44"/>
      <c r="BP773" s="44"/>
    </row>
    <row r="774" spans="45:69">
      <c r="AS774" s="44"/>
      <c r="AU774" s="42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G774" s="44"/>
      <c r="BH774" s="44"/>
      <c r="BI774" s="44"/>
      <c r="BJ774" s="44"/>
      <c r="BK774" s="44"/>
      <c r="BM774" s="44"/>
      <c r="BN774" s="44"/>
      <c r="BO774" s="44"/>
      <c r="BP774" s="44"/>
      <c r="BQ774" s="44"/>
    </row>
    <row r="775" spans="45:69">
      <c r="AS775" s="44"/>
      <c r="AU775" s="42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G775" s="44"/>
      <c r="BH775" s="44"/>
      <c r="BI775" s="44"/>
      <c r="BJ775" s="44"/>
      <c r="BK775" s="44"/>
      <c r="BM775" s="44"/>
      <c r="BN775" s="44"/>
      <c r="BO775" s="44"/>
      <c r="BP775" s="44"/>
      <c r="BQ775" s="44"/>
    </row>
    <row r="776" spans="45:69"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G776" s="49"/>
      <c r="BH776" s="49"/>
      <c r="BI776" s="49"/>
      <c r="BJ776" s="49"/>
      <c r="BK776" s="49"/>
      <c r="BM776" s="49"/>
      <c r="BN776" s="49"/>
      <c r="BO776" s="49"/>
      <c r="BP776" s="49"/>
      <c r="BQ776" s="49"/>
    </row>
    <row r="777" spans="45:69"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</row>
    <row r="778" spans="45:69">
      <c r="AU778" s="42"/>
      <c r="AV778" s="44"/>
      <c r="AY778" s="47"/>
    </row>
    <row r="779" spans="45:69">
      <c r="AV779" s="44"/>
      <c r="AW779" s="45"/>
      <c r="AX779" s="56"/>
      <c r="AY779" s="56"/>
      <c r="AZ779" s="56"/>
      <c r="BA779" s="46"/>
      <c r="BB779" s="56"/>
      <c r="BC779" s="47"/>
      <c r="BD779" s="47"/>
      <c r="BE779" s="46"/>
      <c r="BG779" s="56"/>
      <c r="BH779" s="56"/>
      <c r="BI779" s="56"/>
      <c r="BJ779" s="56"/>
      <c r="BK779" s="56"/>
      <c r="BM779" s="56"/>
      <c r="BN779" s="56"/>
      <c r="BO779" s="56"/>
      <c r="BP779" s="56"/>
      <c r="BQ779" s="56"/>
    </row>
    <row r="780" spans="45:69">
      <c r="AV780" s="44"/>
      <c r="AW780" s="45"/>
      <c r="AX780" s="56"/>
      <c r="AY780" s="56"/>
      <c r="AZ780" s="56"/>
      <c r="BA780" s="46"/>
      <c r="BB780" s="56"/>
      <c r="BC780" s="47"/>
      <c r="BD780" s="47"/>
      <c r="BE780" s="46"/>
      <c r="BG780" s="56"/>
      <c r="BH780" s="56"/>
      <c r="BI780" s="56"/>
      <c r="BJ780" s="56"/>
      <c r="BK780" s="56"/>
      <c r="BM780" s="56"/>
      <c r="BN780" s="56"/>
      <c r="BO780" s="56"/>
      <c r="BP780" s="56"/>
      <c r="BQ780" s="56"/>
    </row>
    <row r="781" spans="45:69">
      <c r="AV781" s="44"/>
      <c r="AW781" s="45"/>
      <c r="AX781" s="56"/>
      <c r="AY781" s="56"/>
      <c r="AZ781" s="56"/>
      <c r="BA781" s="46"/>
      <c r="BB781" s="56"/>
      <c r="BC781" s="47"/>
      <c r="BD781" s="47"/>
      <c r="BE781" s="46"/>
      <c r="BG781" s="56"/>
      <c r="BH781" s="56"/>
      <c r="BI781" s="56"/>
      <c r="BJ781" s="56"/>
      <c r="BK781" s="56"/>
      <c r="BM781" s="56"/>
      <c r="BN781" s="56"/>
      <c r="BO781" s="56"/>
      <c r="BP781" s="56"/>
      <c r="BQ781" s="56"/>
    </row>
    <row r="782" spans="45:69">
      <c r="AV782" s="44"/>
      <c r="AW782" s="45"/>
      <c r="AX782" s="56"/>
      <c r="AY782" s="56"/>
      <c r="AZ782" s="56"/>
      <c r="BA782" s="46"/>
      <c r="BB782" s="56"/>
      <c r="BC782" s="47"/>
      <c r="BD782" s="47"/>
      <c r="BE782" s="46"/>
      <c r="BG782" s="56"/>
      <c r="BH782" s="56"/>
      <c r="BI782" s="56"/>
      <c r="BJ782" s="56"/>
      <c r="BK782" s="56"/>
      <c r="BM782" s="56"/>
      <c r="BN782" s="56"/>
      <c r="BO782" s="56"/>
      <c r="BP782" s="56"/>
      <c r="BQ782" s="56"/>
    </row>
    <row r="783" spans="45:69">
      <c r="AV783" s="44"/>
      <c r="AW783" s="45"/>
      <c r="AX783" s="56"/>
      <c r="AY783" s="56"/>
      <c r="AZ783" s="56"/>
      <c r="BA783" s="46"/>
      <c r="BB783" s="56"/>
      <c r="BC783" s="47"/>
      <c r="BD783" s="47"/>
      <c r="BE783" s="46"/>
      <c r="BG783" s="56"/>
      <c r="BH783" s="56"/>
      <c r="BI783" s="56"/>
      <c r="BJ783" s="56"/>
      <c r="BK783" s="56"/>
      <c r="BM783" s="56"/>
      <c r="BN783" s="56"/>
      <c r="BO783" s="56"/>
      <c r="BP783" s="56"/>
      <c r="BQ783" s="56"/>
    </row>
    <row r="784" spans="45:69">
      <c r="AV784" s="44"/>
      <c r="AW784" s="45"/>
      <c r="AX784" s="56"/>
      <c r="AY784" s="56"/>
      <c r="AZ784" s="56"/>
      <c r="BA784" s="46"/>
      <c r="BB784" s="56"/>
      <c r="BC784" s="47"/>
      <c r="BD784" s="47"/>
      <c r="BE784" s="46"/>
      <c r="BG784" s="56"/>
      <c r="BH784" s="56"/>
      <c r="BI784" s="56"/>
      <c r="BJ784" s="56"/>
      <c r="BK784" s="56"/>
      <c r="BM784" s="56"/>
      <c r="BN784" s="56"/>
      <c r="BO784" s="56"/>
      <c r="BP784" s="56"/>
      <c r="BQ784" s="56"/>
    </row>
    <row r="785" spans="45:69">
      <c r="AV785" s="44"/>
      <c r="AW785" s="45"/>
      <c r="AX785" s="56"/>
      <c r="AY785" s="56"/>
      <c r="AZ785" s="56"/>
      <c r="BA785" s="46"/>
      <c r="BB785" s="56"/>
      <c r="BC785" s="47"/>
      <c r="BD785" s="47"/>
      <c r="BE785" s="46"/>
      <c r="BG785" s="56"/>
      <c r="BH785" s="56"/>
      <c r="BI785" s="56"/>
      <c r="BJ785" s="56"/>
      <c r="BK785" s="56"/>
      <c r="BM785" s="56"/>
      <c r="BN785" s="56"/>
      <c r="BO785" s="56"/>
      <c r="BP785" s="56"/>
      <c r="BQ785" s="56"/>
    </row>
    <row r="786" spans="45:69">
      <c r="AY786" s="47"/>
      <c r="AZ786" s="56"/>
      <c r="BA786" s="46"/>
      <c r="BB786" s="56"/>
      <c r="BC786" s="47"/>
      <c r="BD786" s="47"/>
      <c r="BE786" s="46"/>
      <c r="BK786" s="56"/>
      <c r="BQ786" s="56"/>
    </row>
    <row r="787" spans="45:69">
      <c r="AV787" s="44"/>
      <c r="AY787" s="47"/>
      <c r="AZ787" s="56"/>
      <c r="BA787" s="46"/>
      <c r="BB787" s="56"/>
      <c r="BC787" s="47"/>
      <c r="BD787" s="47"/>
      <c r="BE787" s="46"/>
      <c r="BK787" s="56"/>
      <c r="BQ787" s="56"/>
    </row>
    <row r="788" spans="45:69">
      <c r="AV788" s="44"/>
      <c r="AW788" s="45"/>
      <c r="AX788" s="56"/>
      <c r="AY788" s="56"/>
      <c r="AZ788" s="56"/>
      <c r="BA788" s="46"/>
      <c r="BB788" s="56"/>
      <c r="BC788" s="47"/>
      <c r="BD788" s="47"/>
      <c r="BE788" s="46"/>
      <c r="BG788" s="56"/>
      <c r="BH788" s="56"/>
      <c r="BI788" s="56"/>
      <c r="BJ788" s="56"/>
      <c r="BK788" s="56"/>
      <c r="BM788" s="56"/>
      <c r="BN788" s="56"/>
      <c r="BO788" s="56"/>
      <c r="BP788" s="56"/>
      <c r="BQ788" s="56"/>
    </row>
    <row r="789" spans="45:69">
      <c r="AV789" s="44"/>
      <c r="AW789" s="45"/>
      <c r="AX789" s="56"/>
      <c r="AY789" s="56"/>
      <c r="AZ789" s="56"/>
      <c r="BA789" s="46"/>
      <c r="BB789" s="56"/>
      <c r="BC789" s="47"/>
      <c r="BD789" s="47"/>
      <c r="BE789" s="46"/>
      <c r="BG789" s="56"/>
      <c r="BH789" s="56"/>
      <c r="BI789" s="56"/>
      <c r="BJ789" s="56"/>
      <c r="BK789" s="56"/>
      <c r="BM789" s="56"/>
      <c r="BN789" s="56"/>
      <c r="BO789" s="56"/>
      <c r="BP789" s="56"/>
      <c r="BQ789" s="56"/>
    </row>
    <row r="790" spans="45:69">
      <c r="AV790" s="44"/>
      <c r="AW790" s="45"/>
      <c r="AX790" s="56"/>
      <c r="AY790" s="56"/>
      <c r="AZ790" s="56"/>
      <c r="BA790" s="46"/>
      <c r="BB790" s="56"/>
      <c r="BC790" s="47"/>
      <c r="BD790" s="47"/>
      <c r="BE790" s="46"/>
      <c r="BG790" s="56"/>
      <c r="BH790" s="56"/>
      <c r="BI790" s="56"/>
      <c r="BJ790" s="56"/>
      <c r="BK790" s="56"/>
      <c r="BM790" s="56"/>
      <c r="BN790" s="56"/>
      <c r="BO790" s="56"/>
      <c r="BP790" s="56"/>
      <c r="BQ790" s="56"/>
    </row>
    <row r="791" spans="45:69">
      <c r="AV791" s="44"/>
      <c r="AW791" s="45"/>
      <c r="AX791" s="56"/>
      <c r="AY791" s="56"/>
      <c r="AZ791" s="56"/>
      <c r="BA791" s="46"/>
      <c r="BB791" s="56"/>
      <c r="BC791" s="47"/>
      <c r="BD791" s="47"/>
      <c r="BE791" s="46"/>
      <c r="BG791" s="56"/>
      <c r="BH791" s="56"/>
      <c r="BI791" s="56"/>
      <c r="BJ791" s="56"/>
      <c r="BK791" s="56"/>
      <c r="BM791" s="56"/>
      <c r="BN791" s="56"/>
      <c r="BO791" s="56"/>
      <c r="BP791" s="56"/>
      <c r="BQ791" s="56"/>
    </row>
    <row r="792" spans="45:69">
      <c r="AV792" s="44"/>
      <c r="AW792" s="45"/>
      <c r="AX792" s="56"/>
      <c r="AY792" s="56"/>
      <c r="AZ792" s="56"/>
      <c r="BA792" s="46"/>
      <c r="BB792" s="56"/>
      <c r="BC792" s="47"/>
      <c r="BD792" s="47"/>
      <c r="BE792" s="46"/>
      <c r="BG792" s="56"/>
      <c r="BH792" s="56"/>
      <c r="BI792" s="56"/>
      <c r="BJ792" s="56"/>
      <c r="BK792" s="56"/>
      <c r="BM792" s="56"/>
      <c r="BN792" s="56"/>
      <c r="BO792" s="56"/>
      <c r="BP792" s="56"/>
      <c r="BQ792" s="56"/>
    </row>
    <row r="793" spans="45:69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5:69">
      <c r="AV794" s="44"/>
      <c r="AW794" s="45"/>
      <c r="AX794" s="56"/>
      <c r="AY794" s="56"/>
      <c r="AZ794" s="56"/>
      <c r="BA794" s="46"/>
      <c r="BB794" s="56"/>
      <c r="BC794" s="47"/>
      <c r="BD794" s="47"/>
      <c r="BE794" s="46"/>
      <c r="BG794" s="56"/>
      <c r="BH794" s="56"/>
      <c r="BI794" s="56"/>
      <c r="BJ794" s="56"/>
      <c r="BK794" s="56"/>
      <c r="BM794" s="56"/>
      <c r="BN794" s="56"/>
      <c r="BO794" s="56"/>
      <c r="BP794" s="56"/>
      <c r="BQ794" s="56"/>
    </row>
    <row r="795" spans="45:69">
      <c r="AV795" s="44"/>
      <c r="AW795" s="45"/>
      <c r="AX795" s="56"/>
      <c r="AY795" s="56"/>
      <c r="AZ795" s="56"/>
      <c r="BA795" s="46"/>
      <c r="BB795" s="56"/>
      <c r="BC795" s="47"/>
      <c r="BD795" s="47"/>
      <c r="BE795" s="46"/>
      <c r="BG795" s="56"/>
      <c r="BH795" s="56"/>
      <c r="BI795" s="56"/>
      <c r="BJ795" s="56"/>
      <c r="BK795" s="56"/>
      <c r="BM795" s="56"/>
      <c r="BN795" s="56"/>
      <c r="BO795" s="56"/>
      <c r="BP795" s="56"/>
      <c r="BQ795" s="56"/>
    </row>
    <row r="796" spans="45:69">
      <c r="AY796" s="47"/>
      <c r="AZ796" s="56"/>
      <c r="BA796" s="46"/>
      <c r="BB796" s="56"/>
      <c r="BC796" s="47"/>
      <c r="BD796" s="47"/>
      <c r="BE796" s="46"/>
      <c r="BK796" s="56"/>
      <c r="BQ796" s="56"/>
    </row>
    <row r="797" spans="45:69">
      <c r="AU797" s="42"/>
      <c r="AZ797" s="56"/>
      <c r="BB797" s="56"/>
      <c r="BG797" s="56"/>
      <c r="BH797" s="56"/>
      <c r="BJ797" s="56"/>
      <c r="BK797" s="56"/>
    </row>
    <row r="798" spans="45:69">
      <c r="AZ798" s="56"/>
      <c r="BB798" s="56"/>
    </row>
    <row r="799" spans="45:69">
      <c r="AS799" s="42"/>
      <c r="AZ799" s="56"/>
      <c r="BB799" s="56"/>
      <c r="BI799" s="56"/>
    </row>
    <row r="800" spans="45:69">
      <c r="AZ800" s="56"/>
      <c r="BB800" s="56"/>
    </row>
    <row r="801" spans="45:75">
      <c r="AY801" s="56"/>
      <c r="BB801" s="56"/>
    </row>
    <row r="802" spans="45:75">
      <c r="AY802" s="42"/>
      <c r="AZ802" s="56"/>
      <c r="BB802" s="56"/>
    </row>
    <row r="803" spans="45:75">
      <c r="AY803" s="42"/>
      <c r="AZ803" s="56"/>
      <c r="BB803" s="56"/>
    </row>
    <row r="804" spans="45:75">
      <c r="AZ804" s="56"/>
      <c r="BB804" s="56"/>
      <c r="BD804" s="42"/>
    </row>
    <row r="805" spans="45:75">
      <c r="AZ805" s="56"/>
      <c r="BB805" s="56"/>
      <c r="BD805" s="42"/>
    </row>
    <row r="806" spans="45:75">
      <c r="AS806" s="42"/>
      <c r="AZ806" s="56"/>
      <c r="BB806" s="56"/>
      <c r="BD806" s="42"/>
    </row>
    <row r="807" spans="45:75">
      <c r="AZ807" s="56"/>
      <c r="BB807" s="56"/>
    </row>
    <row r="808" spans="45:75">
      <c r="AS808" s="49"/>
      <c r="AT808" s="49"/>
      <c r="AU808" s="49"/>
      <c r="AV808" s="49"/>
      <c r="AW808" s="49"/>
      <c r="AX808" s="49"/>
      <c r="AY808" s="49"/>
      <c r="AZ808" s="57"/>
      <c r="BA808" s="49"/>
      <c r="BB808" s="57"/>
      <c r="BC808" s="49"/>
      <c r="BD808" s="49"/>
      <c r="BE808" s="49"/>
    </row>
    <row r="809" spans="45:75">
      <c r="AX809" s="42"/>
      <c r="AZ809" s="56"/>
      <c r="BB809" s="56"/>
    </row>
    <row r="810" spans="45:75">
      <c r="AX810" s="49"/>
      <c r="AY810" s="49"/>
      <c r="AZ810" s="57"/>
      <c r="BA810" s="49"/>
      <c r="BB810" s="56"/>
      <c r="BC810" s="44"/>
      <c r="BD810" s="44"/>
    </row>
    <row r="811" spans="45:75">
      <c r="AV811" s="44"/>
      <c r="AW811" s="44"/>
      <c r="AZ811" s="58"/>
      <c r="BA811" s="44"/>
      <c r="BB811" s="56"/>
      <c r="BC811" s="44"/>
      <c r="BD811" s="44"/>
      <c r="BE811" s="44"/>
      <c r="BG811" s="49"/>
      <c r="BH811" s="49"/>
      <c r="BI811" s="42"/>
      <c r="BM811" s="49"/>
      <c r="BN811" s="49"/>
      <c r="BP811" s="49"/>
      <c r="BQ811" s="49"/>
      <c r="BR811" s="42"/>
      <c r="BV811" s="49"/>
      <c r="BW811" s="49"/>
    </row>
    <row r="812" spans="45:75">
      <c r="AV812" s="44"/>
      <c r="AW812" s="44"/>
      <c r="AX812" s="44"/>
      <c r="AY812" s="44"/>
      <c r="AZ812" s="58"/>
      <c r="BA812" s="44"/>
      <c r="BB812" s="58"/>
      <c r="BC812" s="44"/>
      <c r="BD812" s="44"/>
      <c r="BE812" s="44"/>
      <c r="BH812" s="44"/>
      <c r="BI812" s="44"/>
      <c r="BJ812" s="44"/>
      <c r="BK812" s="44"/>
      <c r="BL812" s="44"/>
      <c r="BM812" s="44"/>
      <c r="BQ812" s="44"/>
      <c r="BR812" s="44"/>
      <c r="BS812" s="44"/>
      <c r="BT812" s="44"/>
      <c r="BU812" s="44"/>
      <c r="BV812" s="44"/>
    </row>
    <row r="813" spans="45:75">
      <c r="AS813" s="44"/>
      <c r="AU813" s="42"/>
      <c r="AV813" s="44"/>
      <c r="AW813" s="44"/>
      <c r="AX813" s="44"/>
      <c r="AY813" s="44"/>
      <c r="AZ813" s="58"/>
      <c r="BA813" s="44"/>
      <c r="BB813" s="58"/>
      <c r="BC813" s="44"/>
      <c r="BD813" s="44"/>
      <c r="BE813" s="44"/>
      <c r="BG813" s="44"/>
      <c r="BH813" s="44"/>
      <c r="BI813" s="44"/>
      <c r="BJ813" s="44"/>
      <c r="BK813" s="44"/>
      <c r="BL813" s="44"/>
      <c r="BM813" s="44"/>
      <c r="BN813" s="44"/>
      <c r="BP813" s="44"/>
      <c r="BQ813" s="44"/>
      <c r="BR813" s="44"/>
      <c r="BS813" s="44"/>
      <c r="BT813" s="44"/>
      <c r="BU813" s="44"/>
      <c r="BV813" s="44"/>
      <c r="BW813" s="44"/>
    </row>
    <row r="814" spans="45:75">
      <c r="AS814" s="44"/>
      <c r="AU814" s="42"/>
      <c r="AV814" s="44"/>
      <c r="AW814" s="44"/>
      <c r="AX814" s="44"/>
      <c r="AY814" s="44"/>
      <c r="AZ814" s="58"/>
      <c r="BA814" s="44"/>
      <c r="BB814" s="58"/>
      <c r="BC814" s="44"/>
      <c r="BD814" s="44"/>
      <c r="BE814" s="44"/>
      <c r="BG814" s="44"/>
      <c r="BH814" s="44"/>
      <c r="BI814" s="44"/>
      <c r="BJ814" s="44"/>
      <c r="BK814" s="44"/>
      <c r="BL814" s="44"/>
      <c r="BM814" s="44"/>
      <c r="BN814" s="44"/>
      <c r="BP814" s="44"/>
      <c r="BQ814" s="44"/>
      <c r="BR814" s="44"/>
      <c r="BS814" s="44"/>
      <c r="BT814" s="44"/>
      <c r="BU814" s="44"/>
      <c r="BV814" s="44"/>
      <c r="BW814" s="44"/>
    </row>
    <row r="815" spans="45:75">
      <c r="AS815" s="49"/>
      <c r="AT815" s="49"/>
      <c r="AU815" s="49"/>
      <c r="AV815" s="49"/>
      <c r="AW815" s="49"/>
      <c r="AX815" s="49"/>
      <c r="AY815" s="49"/>
      <c r="AZ815" s="57"/>
      <c r="BA815" s="49"/>
      <c r="BB815" s="57"/>
      <c r="BC815" s="49"/>
      <c r="BD815" s="49"/>
      <c r="BE815" s="49"/>
      <c r="BG815" s="49"/>
      <c r="BH815" s="49"/>
      <c r="BI815" s="49"/>
      <c r="BJ815" s="49"/>
      <c r="BK815" s="49"/>
      <c r="BL815" s="49"/>
      <c r="BM815" s="49"/>
      <c r="BN815" s="49"/>
      <c r="BP815" s="49"/>
      <c r="BQ815" s="49"/>
      <c r="BR815" s="49"/>
      <c r="BS815" s="49"/>
      <c r="BT815" s="49"/>
      <c r="BU815" s="49"/>
      <c r="BV815" s="49"/>
      <c r="BW815" s="49"/>
    </row>
    <row r="816" spans="45:75">
      <c r="AV816" s="44"/>
      <c r="AW816" s="44"/>
      <c r="AX816" s="44"/>
      <c r="AY816" s="44"/>
      <c r="AZ816" s="58"/>
      <c r="BA816" s="44"/>
      <c r="BB816" s="58"/>
      <c r="BC816" s="44"/>
      <c r="BD816" s="44"/>
      <c r="BE816" s="44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</row>
    <row r="817" spans="47:75">
      <c r="AU817" s="42"/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</row>
    <row r="818" spans="47:75"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</row>
    <row r="819" spans="47:75"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</row>
    <row r="820" spans="47:75"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</row>
    <row r="821" spans="47:75"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</row>
    <row r="822" spans="47:75"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</row>
    <row r="823" spans="47:75"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</row>
    <row r="824" spans="47:75"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</row>
    <row r="825" spans="47:75"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</row>
    <row r="826" spans="47:75"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</row>
    <row r="827" spans="47:75"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</row>
    <row r="828" spans="47:75"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</row>
    <row r="829" spans="47:75"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</row>
    <row r="830" spans="47:75"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7:75"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7:75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5:75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5:75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5:75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5:75"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5:75"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5:75">
      <c r="AW838" s="45"/>
      <c r="AX838" s="56"/>
      <c r="AY838" s="56"/>
      <c r="AZ838" s="56"/>
      <c r="BA838" s="51"/>
      <c r="BB838" s="56"/>
      <c r="BC838" s="56"/>
      <c r="BD838" s="56"/>
      <c r="BE838" s="51"/>
      <c r="BG838" s="49"/>
      <c r="BH838" s="49"/>
      <c r="BI838" s="42"/>
      <c r="BM838" s="49"/>
      <c r="BN838" s="49"/>
      <c r="BO838" s="56"/>
      <c r="BP838" s="49"/>
      <c r="BQ838" s="49"/>
      <c r="BR838" s="42"/>
      <c r="BV838" s="49"/>
      <c r="BW838" s="49"/>
    </row>
    <row r="839" spans="45:75">
      <c r="AU839" s="42"/>
      <c r="AV839" s="44"/>
      <c r="AW839" s="45"/>
      <c r="AX839" s="56"/>
      <c r="AY839" s="56"/>
      <c r="AZ839" s="56"/>
      <c r="BA839" s="51"/>
      <c r="BB839" s="56"/>
      <c r="BC839" s="56"/>
      <c r="BD839" s="56"/>
      <c r="BE839" s="51"/>
      <c r="BG839" s="58"/>
      <c r="BH839" s="56"/>
      <c r="BI839" s="56"/>
      <c r="BJ839" s="56"/>
      <c r="BK839" s="58"/>
      <c r="BL839" s="59"/>
      <c r="BM839" s="56"/>
      <c r="BN839" s="58"/>
      <c r="BO839" s="56"/>
      <c r="BP839" s="58"/>
      <c r="BQ839" s="56"/>
      <c r="BR839" s="56"/>
      <c r="BS839" s="56"/>
      <c r="BT839" s="58"/>
      <c r="BU839" s="59"/>
      <c r="BV839" s="56"/>
      <c r="BW839" s="58"/>
    </row>
    <row r="840" spans="45:75">
      <c r="AV840" s="44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9"/>
      <c r="BM840" s="56"/>
      <c r="BN840" s="56"/>
      <c r="BO840" s="56"/>
      <c r="BP840" s="56"/>
      <c r="BQ840" s="56"/>
      <c r="BR840" s="56"/>
      <c r="BS840" s="56"/>
      <c r="BT840" s="56"/>
      <c r="BU840" s="59"/>
      <c r="BV840" s="56"/>
      <c r="BW840" s="56"/>
    </row>
    <row r="841" spans="45:75">
      <c r="AV841" s="44"/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9"/>
      <c r="BM841" s="56"/>
      <c r="BN841" s="56"/>
      <c r="BO841" s="56"/>
      <c r="BP841" s="56"/>
      <c r="BQ841" s="56"/>
      <c r="BR841" s="56"/>
      <c r="BS841" s="56"/>
      <c r="BT841" s="56"/>
      <c r="BU841" s="59"/>
      <c r="BV841" s="56"/>
      <c r="BW841" s="56"/>
    </row>
    <row r="842" spans="45:75">
      <c r="AV842" s="44"/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9"/>
      <c r="BM842" s="56"/>
      <c r="BN842" s="56"/>
      <c r="BO842" s="56"/>
      <c r="BP842" s="56"/>
      <c r="BQ842" s="56"/>
      <c r="BR842" s="56"/>
      <c r="BS842" s="56"/>
      <c r="BT842" s="56"/>
      <c r="BU842" s="59"/>
      <c r="BV842" s="56"/>
      <c r="BW842" s="56"/>
    </row>
    <row r="843" spans="45:75"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</row>
    <row r="844" spans="45:75">
      <c r="AU844" s="42"/>
    </row>
    <row r="845" spans="45:75">
      <c r="AU845" s="42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</row>
    <row r="846" spans="45:75">
      <c r="AS846" s="42"/>
      <c r="AZ846" s="56"/>
      <c r="BB846" s="56"/>
    </row>
    <row r="847" spans="45:75">
      <c r="AZ847" s="56"/>
      <c r="BB847" s="56"/>
      <c r="BO847" s="56"/>
      <c r="BP847" s="56"/>
      <c r="BQ847" s="56"/>
      <c r="BR847" s="56"/>
      <c r="BS847" s="56"/>
      <c r="BT847" s="56"/>
      <c r="BU847" s="56"/>
      <c r="BV847" s="56"/>
    </row>
    <row r="848" spans="45:75">
      <c r="AY848" s="56"/>
      <c r="AZ848" s="56"/>
      <c r="BB848" s="56"/>
      <c r="BO848" s="56"/>
      <c r="BP848" s="56"/>
      <c r="BQ848" s="56"/>
      <c r="BR848" s="56"/>
      <c r="BS848" s="56"/>
      <c r="BT848" s="56"/>
      <c r="BU848" s="56"/>
      <c r="BV848" s="56"/>
    </row>
    <row r="849" spans="45:74">
      <c r="AY849" s="42"/>
      <c r="AZ849" s="56"/>
      <c r="BB849" s="56"/>
      <c r="BO849" s="56"/>
      <c r="BP849" s="56"/>
      <c r="BQ849" s="56"/>
      <c r="BR849" s="56"/>
      <c r="BS849" s="56"/>
      <c r="BT849" s="56"/>
      <c r="BU849" s="56"/>
      <c r="BV849" s="56"/>
    </row>
    <row r="850" spans="45:74">
      <c r="AY850" s="42"/>
      <c r="AZ850" s="56"/>
      <c r="BB850" s="56"/>
      <c r="BO850" s="56"/>
      <c r="BP850" s="56"/>
      <c r="BQ850" s="56"/>
      <c r="BR850" s="56"/>
      <c r="BS850" s="56"/>
      <c r="BT850" s="56"/>
      <c r="BU850" s="56"/>
      <c r="BV850" s="56"/>
    </row>
    <row r="851" spans="45:74">
      <c r="AZ851" s="56"/>
      <c r="BB851" s="56"/>
      <c r="BD851" s="42"/>
      <c r="BO851" s="56"/>
      <c r="BP851" s="56"/>
      <c r="BQ851" s="56"/>
      <c r="BR851" s="56"/>
      <c r="BS851" s="56"/>
      <c r="BT851" s="56"/>
      <c r="BU851" s="56"/>
      <c r="BV851" s="56"/>
    </row>
    <row r="852" spans="45:74">
      <c r="AZ852" s="56"/>
      <c r="BB852" s="56"/>
      <c r="BD852" s="42"/>
      <c r="BO852" s="56"/>
      <c r="BP852" s="56"/>
      <c r="BQ852" s="56"/>
      <c r="BR852" s="56"/>
      <c r="BS852" s="56"/>
      <c r="BT852" s="56"/>
      <c r="BU852" s="56"/>
      <c r="BV852" s="56"/>
    </row>
    <row r="853" spans="45:74">
      <c r="AS853" s="42"/>
      <c r="AZ853" s="56"/>
      <c r="BB853" s="56"/>
      <c r="BD853" s="42"/>
      <c r="BO853" s="56"/>
      <c r="BP853" s="56"/>
      <c r="BQ853" s="56"/>
      <c r="BR853" s="56"/>
      <c r="BS853" s="56"/>
      <c r="BT853" s="56"/>
      <c r="BU853" s="56"/>
      <c r="BV853" s="56"/>
    </row>
    <row r="854" spans="45:74">
      <c r="AZ854" s="56"/>
      <c r="BB854" s="56"/>
      <c r="BO854" s="56"/>
      <c r="BP854" s="56"/>
      <c r="BQ854" s="56"/>
      <c r="BR854" s="56"/>
      <c r="BS854" s="56"/>
      <c r="BT854" s="56"/>
      <c r="BU854" s="56"/>
      <c r="BV854" s="56"/>
    </row>
    <row r="855" spans="45:74">
      <c r="AS855" s="49"/>
      <c r="AT855" s="49"/>
      <c r="AU855" s="49"/>
      <c r="AV855" s="49"/>
      <c r="AW855" s="49"/>
      <c r="AX855" s="49"/>
      <c r="AY855" s="49"/>
      <c r="AZ855" s="57"/>
      <c r="BA855" s="49"/>
      <c r="BB855" s="57"/>
      <c r="BC855" s="49"/>
      <c r="BD855" s="49"/>
      <c r="BE855" s="49"/>
      <c r="BO855" s="56"/>
      <c r="BP855" s="56"/>
      <c r="BQ855" s="56"/>
      <c r="BR855" s="56"/>
      <c r="BS855" s="56"/>
      <c r="BT855" s="56"/>
      <c r="BU855" s="56"/>
      <c r="BV855" s="56"/>
    </row>
    <row r="856" spans="45:74">
      <c r="AX856" s="42"/>
      <c r="AZ856" s="56"/>
      <c r="BB856" s="56"/>
      <c r="BO856" s="56"/>
      <c r="BP856" s="56"/>
      <c r="BQ856" s="56"/>
      <c r="BR856" s="56"/>
      <c r="BS856" s="56"/>
      <c r="BT856" s="56"/>
      <c r="BU856" s="56"/>
      <c r="BV856" s="56"/>
    </row>
    <row r="857" spans="45:74">
      <c r="AX857" s="49"/>
      <c r="AY857" s="49"/>
      <c r="AZ857" s="57"/>
      <c r="BA857" s="49"/>
      <c r="BB857" s="56"/>
      <c r="BC857" s="44"/>
      <c r="BD857" s="44"/>
      <c r="BO857" s="56"/>
      <c r="BP857" s="56"/>
      <c r="BQ857" s="56"/>
      <c r="BR857" s="56"/>
      <c r="BS857" s="56"/>
      <c r="BT857" s="56"/>
      <c r="BU857" s="56"/>
      <c r="BV857" s="56"/>
    </row>
    <row r="858" spans="45:74">
      <c r="AV858" s="44"/>
      <c r="AW858" s="44"/>
      <c r="AZ858" s="58"/>
      <c r="BA858" s="44"/>
      <c r="BB858" s="56"/>
      <c r="BC858" s="44"/>
      <c r="BD858" s="44"/>
      <c r="BE858" s="44"/>
      <c r="BG858" s="49"/>
      <c r="BH858" s="42"/>
      <c r="BK858" s="49"/>
      <c r="BM858" s="49"/>
      <c r="BN858" s="42"/>
      <c r="BQ858" s="49"/>
    </row>
    <row r="859" spans="45:74">
      <c r="AV859" s="44"/>
      <c r="AW859" s="44"/>
      <c r="AX859" s="44"/>
      <c r="AY859" s="44"/>
      <c r="AZ859" s="58"/>
      <c r="BA859" s="44"/>
      <c r="BB859" s="58"/>
      <c r="BC859" s="44"/>
      <c r="BD859" s="44"/>
      <c r="BE859" s="44"/>
      <c r="BH859" s="44"/>
      <c r="BI859" s="44"/>
      <c r="BN859" s="44"/>
      <c r="BO859" s="44"/>
    </row>
    <row r="860" spans="45:74">
      <c r="AS860" s="44"/>
      <c r="AU860" s="42"/>
      <c r="AV860" s="44"/>
      <c r="AW860" s="44"/>
      <c r="AX860" s="44"/>
      <c r="AY860" s="44"/>
      <c r="AZ860" s="58"/>
      <c r="BA860" s="44"/>
      <c r="BB860" s="58"/>
      <c r="BC860" s="44"/>
      <c r="BD860" s="44"/>
      <c r="BE860" s="44"/>
      <c r="BG860" s="44"/>
      <c r="BH860" s="44"/>
      <c r="BI860" s="44"/>
      <c r="BJ860" s="44"/>
      <c r="BK860" s="44"/>
      <c r="BM860" s="44"/>
      <c r="BN860" s="44"/>
      <c r="BO860" s="44"/>
      <c r="BP860" s="44"/>
      <c r="BQ860" s="44"/>
    </row>
    <row r="861" spans="45:74">
      <c r="AS861" s="44"/>
      <c r="AU861" s="42"/>
      <c r="AV861" s="44"/>
      <c r="AW861" s="44"/>
      <c r="AX861" s="44"/>
      <c r="AY861" s="44"/>
      <c r="AZ861" s="58"/>
      <c r="BA861" s="44"/>
      <c r="BB861" s="58"/>
      <c r="BC861" s="44"/>
      <c r="BD861" s="44"/>
      <c r="BE861" s="44"/>
      <c r="BG861" s="44"/>
      <c r="BH861" s="44"/>
      <c r="BI861" s="44"/>
      <c r="BJ861" s="44"/>
      <c r="BK861" s="44"/>
      <c r="BM861" s="44"/>
      <c r="BN861" s="44"/>
      <c r="BO861" s="44"/>
      <c r="BP861" s="44"/>
      <c r="BQ861" s="44"/>
    </row>
    <row r="862" spans="45:74">
      <c r="AS862" s="49"/>
      <c r="AT862" s="49"/>
      <c r="AU862" s="49"/>
      <c r="AV862" s="49"/>
      <c r="AW862" s="49"/>
      <c r="AX862" s="49"/>
      <c r="AY862" s="49"/>
      <c r="AZ862" s="57"/>
      <c r="BA862" s="49"/>
      <c r="BB862" s="57"/>
      <c r="BC862" s="49"/>
      <c r="BD862" s="49"/>
      <c r="BE862" s="49"/>
      <c r="BG862" s="49"/>
      <c r="BH862" s="49"/>
      <c r="BI862" s="49"/>
      <c r="BJ862" s="49"/>
      <c r="BK862" s="49"/>
      <c r="BM862" s="49"/>
      <c r="BN862" s="49"/>
      <c r="BO862" s="49"/>
      <c r="BP862" s="49"/>
      <c r="BQ862" s="49"/>
    </row>
    <row r="863" spans="45:74">
      <c r="AV863" s="44"/>
      <c r="AW863" s="44"/>
      <c r="AX863" s="44"/>
      <c r="AY863" s="44"/>
      <c r="AZ863" s="58"/>
      <c r="BA863" s="44"/>
      <c r="BB863" s="58"/>
      <c r="BC863" s="44"/>
      <c r="BD863" s="44"/>
      <c r="BE863" s="44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</row>
    <row r="864" spans="45:74">
      <c r="AT864" s="42"/>
      <c r="AV864" s="45"/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</row>
    <row r="865" spans="48:71"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</row>
    <row r="866" spans="48:71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</row>
    <row r="867" spans="48:71">
      <c r="AV867" s="45"/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</row>
    <row r="868" spans="48:71"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</row>
    <row r="869" spans="48:71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</row>
    <row r="870" spans="48:71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</row>
    <row r="871" spans="48:71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</row>
    <row r="872" spans="48:71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</row>
    <row r="873" spans="48:71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</row>
    <row r="874" spans="48:71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</row>
    <row r="875" spans="48:71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</row>
    <row r="876" spans="48:71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</row>
    <row r="877" spans="48:71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</row>
    <row r="878" spans="48:71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8:71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8:71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6:71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</row>
    <row r="882" spans="46:71">
      <c r="AZ882" s="56"/>
      <c r="BB882" s="56"/>
      <c r="BC882" s="56"/>
      <c r="BD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</row>
    <row r="883" spans="46:71">
      <c r="AT883" s="42"/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6:71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6:71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6:71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6:71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6:71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6:71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6:71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6:71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6:71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6:71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6:71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6:71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71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5:57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5:57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5:57">
      <c r="BB901" s="56"/>
    </row>
    <row r="902" spans="45:57">
      <c r="AU902" s="42"/>
      <c r="BB902" s="56"/>
    </row>
    <row r="903" spans="45:57">
      <c r="AU903" s="42"/>
    </row>
    <row r="904" spans="45:57">
      <c r="AU904" s="42"/>
      <c r="BB904" s="56"/>
    </row>
    <row r="905" spans="45:57">
      <c r="AS905" s="42"/>
      <c r="AZ905" s="56"/>
      <c r="BB905" s="56"/>
    </row>
    <row r="906" spans="45:57">
      <c r="AZ906" s="56"/>
      <c r="BB906" s="56"/>
    </row>
    <row r="907" spans="45:57">
      <c r="AY907" s="56"/>
      <c r="AZ907" s="56"/>
      <c r="BB907" s="56"/>
    </row>
    <row r="908" spans="45:57">
      <c r="AY908" s="42"/>
      <c r="AZ908" s="56"/>
      <c r="BB908" s="56"/>
    </row>
    <row r="909" spans="45:57">
      <c r="AY909" s="42"/>
      <c r="AZ909" s="56"/>
      <c r="BB909" s="56"/>
    </row>
    <row r="910" spans="45:57">
      <c r="AZ910" s="56"/>
      <c r="BB910" s="56"/>
      <c r="BD910" s="42"/>
    </row>
    <row r="911" spans="45:57">
      <c r="AZ911" s="56"/>
      <c r="BB911" s="56"/>
      <c r="BD911" s="42"/>
    </row>
    <row r="912" spans="45:57">
      <c r="AS912" s="42"/>
      <c r="AZ912" s="56"/>
      <c r="BB912" s="56"/>
      <c r="BD912" s="42"/>
    </row>
    <row r="913" spans="45:57">
      <c r="AZ913" s="56"/>
      <c r="BB913" s="56"/>
    </row>
    <row r="914" spans="45:57">
      <c r="AS914" s="49"/>
      <c r="AT914" s="49"/>
      <c r="AU914" s="49"/>
      <c r="AV914" s="49"/>
      <c r="AW914" s="49"/>
      <c r="AX914" s="49"/>
      <c r="AY914" s="49"/>
      <c r="AZ914" s="57"/>
      <c r="BA914" s="49"/>
      <c r="BB914" s="57"/>
      <c r="BC914" s="49"/>
      <c r="BD914" s="49"/>
      <c r="BE914" s="49"/>
    </row>
    <row r="915" spans="45:57">
      <c r="AX915" s="42"/>
      <c r="AZ915" s="56"/>
      <c r="BB915" s="56"/>
    </row>
    <row r="916" spans="45:57">
      <c r="AX916" s="49"/>
      <c r="AY916" s="49"/>
      <c r="AZ916" s="57"/>
      <c r="BA916" s="49"/>
      <c r="BB916" s="56"/>
      <c r="BC916" s="44"/>
      <c r="BD916" s="44"/>
    </row>
    <row r="917" spans="45:57">
      <c r="AV917" s="44"/>
      <c r="AW917" s="44"/>
      <c r="AZ917" s="58"/>
      <c r="BA917" s="44"/>
      <c r="BB917" s="56"/>
      <c r="BC917" s="44"/>
      <c r="BD917" s="44"/>
      <c r="BE917" s="44"/>
    </row>
    <row r="918" spans="45:57">
      <c r="AV918" s="44"/>
      <c r="AW918" s="44"/>
      <c r="AX918" s="44"/>
      <c r="AY918" s="44"/>
      <c r="AZ918" s="58"/>
      <c r="BA918" s="44"/>
      <c r="BB918" s="58"/>
      <c r="BC918" s="44"/>
      <c r="BD918" s="44"/>
      <c r="BE918" s="44"/>
    </row>
    <row r="919" spans="45:57">
      <c r="AS919" s="44"/>
      <c r="AU919" s="42"/>
      <c r="AV919" s="44"/>
      <c r="AW919" s="44"/>
      <c r="AX919" s="44"/>
      <c r="AY919" s="44"/>
      <c r="AZ919" s="58"/>
      <c r="BA919" s="44"/>
      <c r="BB919" s="58"/>
      <c r="BC919" s="44"/>
      <c r="BD919" s="44"/>
      <c r="BE919" s="44"/>
    </row>
    <row r="920" spans="45:57">
      <c r="AS920" s="44"/>
      <c r="AU920" s="42"/>
      <c r="AV920" s="44"/>
      <c r="AW920" s="44"/>
      <c r="AX920" s="44"/>
      <c r="AY920" s="44"/>
      <c r="AZ920" s="58"/>
      <c r="BA920" s="44"/>
      <c r="BB920" s="58"/>
      <c r="BC920" s="44"/>
      <c r="BD920" s="44"/>
      <c r="BE920" s="44"/>
    </row>
    <row r="921" spans="45:57">
      <c r="AS921" s="49"/>
      <c r="AT921" s="49"/>
      <c r="AU921" s="49"/>
      <c r="AV921" s="49"/>
      <c r="AW921" s="49"/>
      <c r="AX921" s="49"/>
      <c r="AY921" s="49"/>
      <c r="AZ921" s="57"/>
      <c r="BA921" s="49"/>
      <c r="BB921" s="57"/>
      <c r="BC921" s="49"/>
      <c r="BD921" s="49"/>
      <c r="BE921" s="49"/>
    </row>
    <row r="922" spans="45:57">
      <c r="AV922" s="44"/>
      <c r="AW922" s="44"/>
      <c r="AX922" s="44"/>
      <c r="AY922" s="44"/>
      <c r="AZ922" s="58"/>
      <c r="BA922" s="44"/>
      <c r="BB922" s="58"/>
      <c r="BC922" s="44"/>
      <c r="BD922" s="44"/>
      <c r="BE922" s="44"/>
    </row>
    <row r="923" spans="45:57">
      <c r="AT923" s="42"/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</row>
    <row r="924" spans="45:57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</row>
    <row r="925" spans="45:57">
      <c r="AV925" s="45"/>
      <c r="AW925" s="45"/>
      <c r="AX925" s="56"/>
      <c r="AY925" s="56"/>
      <c r="AZ925" s="56"/>
      <c r="BA925" s="51"/>
      <c r="BB925" s="56"/>
      <c r="BC925" s="56"/>
      <c r="BD925" s="56"/>
      <c r="BE925" s="51"/>
    </row>
    <row r="926" spans="45:57"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5:57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5:57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6:57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6:57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6:57">
      <c r="AV931" s="45"/>
      <c r="AW931" s="45"/>
      <c r="AX931" s="56"/>
      <c r="AY931" s="56"/>
      <c r="AZ931" s="56"/>
      <c r="BA931" s="51"/>
      <c r="BB931" s="56"/>
      <c r="BC931" s="56"/>
      <c r="BD931" s="56"/>
      <c r="BE931" s="51"/>
    </row>
    <row r="932" spans="46:57"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6:57">
      <c r="AV933" s="45"/>
      <c r="AW933" s="45"/>
      <c r="BB933" s="56"/>
    </row>
    <row r="934" spans="46:57">
      <c r="AT934" s="42"/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6:57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6:57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6:57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6:57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6:57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6:57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6:57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6:57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6:57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5" spans="45:47">
      <c r="AU945" s="42"/>
    </row>
    <row r="946" spans="45:47">
      <c r="AU946" s="42"/>
    </row>
    <row r="947" spans="45:47">
      <c r="AU947" s="42"/>
    </row>
    <row r="948" spans="45:47">
      <c r="AS948" s="42"/>
    </row>
    <row r="969" spans="52:71">
      <c r="AZ969" s="56"/>
      <c r="BB969" s="56"/>
      <c r="BC969" s="56"/>
      <c r="BD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</row>
    <row r="970" spans="52:71">
      <c r="AZ970" s="56"/>
      <c r="BB970" s="56"/>
      <c r="BC970" s="56"/>
      <c r="BD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</row>
    <row r="971" spans="52:71">
      <c r="AZ971" s="56"/>
      <c r="BB971" s="56"/>
      <c r="BC971" s="56"/>
      <c r="BD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</row>
    <row r="972" spans="52:71">
      <c r="AZ972" s="56"/>
      <c r="BB972" s="56"/>
      <c r="BC972" s="56"/>
      <c r="BD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</row>
    <row r="973" spans="52:71">
      <c r="AZ973" s="56"/>
      <c r="BB973" s="56"/>
      <c r="BC973" s="56"/>
      <c r="BD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</row>
    <row r="974" spans="52:71">
      <c r="AZ974" s="56"/>
      <c r="BB974" s="56"/>
      <c r="BC974" s="56"/>
      <c r="BD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</row>
    <row r="975" spans="52:71">
      <c r="AZ975" s="56"/>
      <c r="BB975" s="56"/>
      <c r="BC975" s="56"/>
      <c r="BD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</row>
    <row r="976" spans="52:71">
      <c r="AZ976" s="56"/>
      <c r="BB976" s="56"/>
      <c r="BC976" s="56"/>
      <c r="BD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</row>
    <row r="977" spans="52:71">
      <c r="AZ977" s="56"/>
      <c r="BB977" s="56"/>
      <c r="BC977" s="56"/>
      <c r="BD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</row>
    <row r="978" spans="52:71">
      <c r="AZ978" s="56"/>
      <c r="BB978" s="56"/>
      <c r="BC978" s="56"/>
      <c r="BD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</row>
    <row r="979" spans="52:71">
      <c r="AZ979" s="56"/>
      <c r="BB979" s="56"/>
      <c r="BC979" s="56"/>
      <c r="BD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</row>
    <row r="980" spans="52:71">
      <c r="AZ980" s="56"/>
      <c r="BB980" s="56"/>
      <c r="BC980" s="56"/>
      <c r="BD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</row>
    <row r="981" spans="52:71">
      <c r="AZ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</row>
    <row r="982" spans="52:71">
      <c r="AZ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</row>
    <row r="983" spans="52:71">
      <c r="AZ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>
      <c r="AZ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>
      <c r="AZ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>
      <c r="AZ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</row>
    <row r="987" spans="52:71">
      <c r="AZ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</row>
    <row r="988" spans="52:71">
      <c r="AZ988" s="56"/>
    </row>
    <row r="989" spans="52:71">
      <c r="AZ989" s="56"/>
    </row>
    <row r="1003" spans="1:28">
      <c r="A1003" s="42"/>
    </row>
    <row r="1006" spans="1:28">
      <c r="Y1006" s="42"/>
    </row>
    <row r="1007" spans="1:28">
      <c r="A1007" s="42"/>
      <c r="H1007" s="42"/>
      <c r="I1007" s="42"/>
    </row>
    <row r="1008" spans="1:28">
      <c r="A1008" s="42"/>
      <c r="V1008" s="44"/>
      <c r="AA1008" s="44"/>
      <c r="AB1008" s="44"/>
    </row>
    <row r="1009" spans="1:28">
      <c r="A1009" s="42"/>
      <c r="V1009" s="49"/>
      <c r="AA1009" s="49"/>
      <c r="AB1009" s="49"/>
    </row>
    <row r="1010" spans="1:28">
      <c r="A1010" s="42"/>
      <c r="U1010" s="42"/>
      <c r="AA1010" s="44"/>
      <c r="AB1010" s="44"/>
    </row>
    <row r="1011" spans="1:28">
      <c r="A1011" s="42"/>
    </row>
    <row r="1012" spans="1:28">
      <c r="A1012" s="42"/>
      <c r="U1012" s="42"/>
      <c r="AA1012" s="44"/>
      <c r="AB1012" s="44"/>
    </row>
    <row r="1013" spans="1:28">
      <c r="A1013" s="42"/>
    </row>
    <row r="1014" spans="1:28">
      <c r="A1014" s="42"/>
      <c r="U1014" s="42"/>
      <c r="V1014" s="339"/>
      <c r="AA1014" s="44"/>
      <c r="AB1014" s="44"/>
    </row>
    <row r="1015" spans="1:28">
      <c r="A1015" s="42"/>
    </row>
    <row r="1016" spans="1:28">
      <c r="A1016" s="42"/>
      <c r="U1016" s="42"/>
      <c r="AA1016" s="44"/>
      <c r="AB1016" s="44"/>
    </row>
    <row r="1017" spans="1:28">
      <c r="A1017" s="42"/>
    </row>
    <row r="1018" spans="1:28">
      <c r="A1018" s="42"/>
      <c r="U1018" s="42"/>
      <c r="AA1018" s="44"/>
      <c r="AB1018" s="44"/>
    </row>
    <row r="1019" spans="1:28">
      <c r="A1019" s="42"/>
    </row>
    <row r="1020" spans="1:28">
      <c r="A1020" s="42"/>
    </row>
    <row r="1021" spans="1:28">
      <c r="A1021" s="42"/>
    </row>
    <row r="1022" spans="1:28">
      <c r="A1022" s="42"/>
    </row>
    <row r="1023" spans="1:28">
      <c r="A1023" s="42"/>
    </row>
    <row r="1024" spans="1:28">
      <c r="A1024" s="42"/>
    </row>
    <row r="1025" spans="1:9">
      <c r="A1025" s="42"/>
    </row>
    <row r="1026" spans="1:9">
      <c r="A1026" s="42"/>
    </row>
    <row r="1027" spans="1:9">
      <c r="A1027" s="42"/>
    </row>
    <row r="1028" spans="1:9">
      <c r="A1028" s="42"/>
    </row>
    <row r="1029" spans="1:9">
      <c r="A1029" s="42"/>
      <c r="H1029" s="42"/>
      <c r="I1029" s="42"/>
    </row>
    <row r="1032" spans="1:9">
      <c r="A1032" s="42"/>
    </row>
    <row r="1035" spans="1:9">
      <c r="A1035" s="42"/>
    </row>
    <row r="1038" spans="1:9">
      <c r="A1038" s="42"/>
    </row>
    <row r="1039" spans="1:9">
      <c r="A1039" s="42"/>
    </row>
    <row r="1040" spans="1:9">
      <c r="A1040" s="42"/>
    </row>
    <row r="1041" spans="1:1">
      <c r="A1041" s="42"/>
    </row>
    <row r="1042" spans="1:1">
      <c r="A1042" s="42"/>
    </row>
    <row r="1043" spans="1:1">
      <c r="A1043" s="42"/>
    </row>
    <row r="1044" spans="1:1">
      <c r="A1044" s="42"/>
    </row>
    <row r="1045" spans="1:1">
      <c r="A1045" s="42"/>
    </row>
    <row r="1046" spans="1:1">
      <c r="A1046" s="42"/>
    </row>
    <row r="1047" spans="1:1">
      <c r="A1047" s="42"/>
    </row>
    <row r="1048" spans="1:1">
      <c r="A1048" s="42"/>
    </row>
    <row r="1049" spans="1:1">
      <c r="A1049" s="42"/>
    </row>
    <row r="1050" spans="1:1">
      <c r="A1050" s="42"/>
    </row>
    <row r="1051" spans="1:1">
      <c r="A1051" s="42"/>
    </row>
    <row r="1052" spans="1:1">
      <c r="A1052" s="42"/>
    </row>
    <row r="1053" spans="1:1">
      <c r="A1053" s="42"/>
    </row>
    <row r="1054" spans="1:1">
      <c r="A1054" s="42"/>
    </row>
    <row r="1055" spans="1:1">
      <c r="A1055" s="42"/>
    </row>
    <row r="1056" spans="1:1">
      <c r="A1056" s="42"/>
    </row>
    <row r="1057" spans="1:1">
      <c r="A1057" s="42"/>
    </row>
    <row r="1058" spans="1:1">
      <c r="A1058" s="42"/>
    </row>
    <row r="1059" spans="1:1">
      <c r="A1059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  <row r="1064" spans="1:1">
      <c r="A1064" s="42"/>
    </row>
    <row r="1065" spans="1:1">
      <c r="A1065" s="42"/>
    </row>
    <row r="1066" spans="1:1">
      <c r="A1066" s="42"/>
    </row>
    <row r="1067" spans="1:1">
      <c r="A1067" s="42"/>
    </row>
    <row r="1068" spans="1:1">
      <c r="A1068" s="42"/>
    </row>
    <row r="1069" spans="1:1">
      <c r="A1069" s="42"/>
    </row>
    <row r="1070" spans="1:1">
      <c r="A1070" s="42"/>
    </row>
    <row r="1071" spans="1:1">
      <c r="A1071" s="42"/>
    </row>
    <row r="1072" spans="1:1">
      <c r="A1072" s="42"/>
    </row>
    <row r="1077" spans="1:1">
      <c r="A1077" s="42"/>
    </row>
    <row r="1078" spans="1:1">
      <c r="A1078" s="42"/>
    </row>
    <row r="1081" spans="1:1">
      <c r="A1081" s="42"/>
    </row>
    <row r="1083" spans="1:1">
      <c r="A1083" s="42"/>
    </row>
    <row r="1085" spans="1:1">
      <c r="A1085" s="42"/>
    </row>
    <row r="1087" spans="1:1">
      <c r="A1087" s="42"/>
    </row>
    <row r="1090" spans="1:1">
      <c r="A1090" s="42"/>
    </row>
    <row r="1091" spans="1:1">
      <c r="A1091" s="42"/>
    </row>
    <row r="1092" spans="1:1">
      <c r="A1092" s="42"/>
    </row>
    <row r="1093" spans="1:1">
      <c r="A1093" s="42"/>
    </row>
    <row r="1094" spans="1:1">
      <c r="A1094" s="42"/>
    </row>
    <row r="1095" spans="1:1">
      <c r="A1095" s="42"/>
    </row>
    <row r="1096" spans="1:1">
      <c r="A1096" s="42"/>
    </row>
    <row r="1097" spans="1:1">
      <c r="A1097" s="42"/>
    </row>
  </sheetData>
  <customSheetViews>
    <customSheetView guid="{F562D92E-120C-4AE9-9663-89E64D41DC53}" scale="75" fitToPage="1" topLeftCell="W89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"/>
      <headerFooter alignWithMargins="0"/>
    </customSheetView>
    <customSheetView guid="{35F19056-2E6F-4935-B863-78836FE990BF}" scale="75" fitToPage="1" showRuler="0">
      <selection activeCell="H21" sqref="H2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2"/>
      <headerFooter alignWithMargins="0"/>
    </customSheetView>
    <customSheetView guid="{18BDED73-BFA0-442E-87EC-CED86EE4CF94}" scale="75" fitToPage="1" showRuler="0" topLeftCell="A83">
      <selection activeCell="AA97" sqref="AA9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3"/>
      <headerFooter alignWithMargins="0"/>
    </customSheetView>
    <customSheetView guid="{0BC1F393-8A13-47D5-BC6C-0C99615B5AB9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4"/>
      <headerFooter alignWithMargins="0"/>
    </customSheetView>
    <customSheetView guid="{6B3D5C27-2FDE-4561-9575-1E98BFB869D0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0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6"/>
      <headerFooter alignWithMargins="0"/>
    </customSheetView>
    <customSheetView guid="{8FC77C99-DBF7-40B8-99B8-01B75826CDCB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7"/>
      <headerFooter alignWithMargins="0"/>
    </customSheetView>
    <customSheetView guid="{2EA35095-1ADC-4CC7-8C3C-B487D65FA247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8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9"/>
      <headerFooter alignWithMargins="0"/>
    </customSheetView>
    <customSheetView guid="{4BC93440-BA85-4935-A8C9-66DC6AE5DE5E}" scale="75" fitToPage="1" showRuler="0" topLeftCell="Y82">
      <selection activeCell="Y119" sqref="Y11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10"/>
      <headerFooter alignWithMargins="0"/>
    </customSheetView>
    <customSheetView guid="{0C49E549-011E-46F4-A82E-2CC8951A9C1E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2"/>
      <headerFooter alignWithMargins="0"/>
    </customSheetView>
  </customSheetViews>
  <phoneticPr fontId="12" type="noConversion"/>
  <printOptions horizontalCentered="1"/>
  <pageMargins left="0.5" right="0.5" top="0.5" bottom="0" header="0" footer="0"/>
  <pageSetup scale="49" orientation="landscape" r:id="rId13"/>
  <headerFooter alignWithMargins="0"/>
  <rowBreaks count="15" manualBreakCount="15"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transitionEntry="1" codeName="Sheet11">
    <pageSetUpPr fitToPage="1"/>
  </sheetPr>
  <dimension ref="A1:BX1109"/>
  <sheetViews>
    <sheetView workbookViewId="0"/>
  </sheetViews>
  <sheetFormatPr defaultColWidth="9.69921875" defaultRowHeight="15.75"/>
  <cols>
    <col min="1" max="1" width="5.09765625" style="41" customWidth="1"/>
    <col min="2" max="2" width="0.3984375" style="41" customWidth="1"/>
    <col min="3" max="3" width="6.69921875" style="41" customWidth="1"/>
    <col min="4" max="4" width="31" style="41" customWidth="1"/>
    <col min="5" max="5" width="0.39843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2.29687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7.898437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4.59765625" style="41" customWidth="1"/>
    <col min="23" max="23" width="41.8984375" style="41" customWidth="1"/>
    <col min="24" max="24" width="0.398437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2.09765625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6 OF "&amp;TEXT(Page_Num_2.3,"00")</f>
        <v>PAGE 6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>
      <c r="A10" s="133" t="str">
        <f>INPUT!B5</f>
        <v xml:space="preserve"> </v>
      </c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>
      <c r="H19" s="309" t="s">
        <v>196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A20" s="41">
        <v>1</v>
      </c>
      <c r="C20" s="133" t="s">
        <v>94</v>
      </c>
      <c r="D20" s="133" t="s">
        <v>154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>
      <c r="A21" s="41">
        <v>2</v>
      </c>
      <c r="C21" s="130"/>
      <c r="D21" s="133" t="s">
        <v>155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>
      <c r="A23" s="41">
        <v>3</v>
      </c>
      <c r="C23" s="133" t="s">
        <v>133</v>
      </c>
      <c r="F23" s="3"/>
      <c r="G23" s="1"/>
      <c r="H23" s="1"/>
      <c r="I23" s="1"/>
      <c r="J23" s="80"/>
      <c r="K23" s="80"/>
      <c r="L23" s="3"/>
      <c r="M23" s="3"/>
      <c r="N23" s="1"/>
      <c r="O23" s="1"/>
      <c r="P23" s="1"/>
      <c r="Q23" s="1"/>
      <c r="R23" s="3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>
      <c r="A24" s="41">
        <v>4</v>
      </c>
      <c r="C24" s="42" t="s">
        <v>134</v>
      </c>
      <c r="F24" s="164">
        <f>'[12]Forecast BILLS'!$B$71</f>
        <v>204</v>
      </c>
      <c r="G24" s="1"/>
      <c r="H24" s="68"/>
      <c r="I24" s="68"/>
      <c r="J24" s="316">
        <f>INPUT!D86</f>
        <v>15</v>
      </c>
      <c r="K24" s="76"/>
      <c r="L24" s="3">
        <f>ROUND(F24*J24,0)</f>
        <v>3060</v>
      </c>
      <c r="M24" s="3"/>
      <c r="N24" s="4">
        <f>ROUND((L24/L$43)*100,1)</f>
        <v>0.1</v>
      </c>
      <c r="O24" s="4"/>
      <c r="P24" s="3"/>
      <c r="Q24" s="3"/>
      <c r="R24" s="3">
        <f>L24+P24</f>
        <v>3060</v>
      </c>
      <c r="S24" s="45"/>
      <c r="V24" s="50"/>
      <c r="Y24" s="50"/>
      <c r="Z24" s="326"/>
      <c r="AA24" s="50"/>
      <c r="AB24" s="50"/>
      <c r="AC24" s="50"/>
      <c r="AD24" s="50"/>
      <c r="AE24" s="50"/>
      <c r="AF24" s="50"/>
      <c r="AI24" s="50"/>
      <c r="AJ24" s="50"/>
      <c r="AK24" s="111"/>
      <c r="AL24" s="50"/>
      <c r="AM24" s="46"/>
      <c r="AN24" s="46"/>
    </row>
    <row r="25" spans="1:40">
      <c r="A25" s="41">
        <v>5</v>
      </c>
      <c r="C25" s="42" t="s">
        <v>135</v>
      </c>
      <c r="F25" s="164">
        <f>'[12]Forecast BILLS'!$I$71</f>
        <v>802</v>
      </c>
      <c r="G25" s="1"/>
      <c r="H25" s="317"/>
      <c r="I25" s="317"/>
      <c r="J25" s="316">
        <f>INPUT!D87</f>
        <v>30</v>
      </c>
      <c r="K25" s="76"/>
      <c r="L25" s="3">
        <f>ROUND(F25*J25,0)</f>
        <v>24060</v>
      </c>
      <c r="M25" s="3"/>
      <c r="N25" s="4">
        <f>ROUND((L25/L$43)*100,1)</f>
        <v>1.1000000000000001</v>
      </c>
      <c r="O25" s="4"/>
      <c r="P25" s="3"/>
      <c r="Q25" s="3"/>
      <c r="R25" s="3">
        <f>L25+P25</f>
        <v>24060</v>
      </c>
      <c r="S25" s="45"/>
      <c r="V25" s="164"/>
      <c r="Y25" s="164"/>
      <c r="Z25" s="326"/>
      <c r="AA25" s="45"/>
      <c r="AB25" s="45"/>
      <c r="AC25" s="46"/>
      <c r="AD25" s="46"/>
      <c r="AE25" s="45"/>
      <c r="AF25" s="45"/>
      <c r="AI25" s="45"/>
      <c r="AJ25" s="45"/>
      <c r="AL25" s="45"/>
      <c r="AM25" s="46"/>
      <c r="AN25" s="46"/>
    </row>
    <row r="26" spans="1:40">
      <c r="A26" s="41">
        <v>6</v>
      </c>
      <c r="C26" s="48" t="s">
        <v>144</v>
      </c>
      <c r="F26" s="164">
        <v>0</v>
      </c>
      <c r="G26" s="1"/>
      <c r="H26" s="317"/>
      <c r="I26" s="317"/>
      <c r="J26" s="316">
        <f>INPUT!D88</f>
        <v>120</v>
      </c>
      <c r="K26" s="76"/>
      <c r="L26" s="3">
        <f>ROUND(F26*J26,0)</f>
        <v>0</v>
      </c>
      <c r="M26" s="3"/>
      <c r="N26" s="70">
        <f>ROUND((L26/L$43)*100,1)</f>
        <v>0</v>
      </c>
      <c r="O26" s="4"/>
      <c r="P26" s="3"/>
      <c r="Q26" s="3"/>
      <c r="R26" s="66">
        <f>L26+P26</f>
        <v>0</v>
      </c>
      <c r="S26" s="45"/>
      <c r="V26" s="164"/>
      <c r="Y26" s="164"/>
      <c r="Z26" s="326"/>
      <c r="AA26" s="45"/>
      <c r="AB26" s="45"/>
      <c r="AC26" s="46"/>
      <c r="AD26" s="46"/>
      <c r="AE26" s="45"/>
      <c r="AF26" s="45"/>
      <c r="AI26" s="45"/>
      <c r="AJ26" s="45"/>
      <c r="AL26" s="45"/>
      <c r="AM26" s="46"/>
      <c r="AN26" s="46"/>
    </row>
    <row r="27" spans="1:40" ht="20.100000000000001" customHeight="1">
      <c r="A27" s="41">
        <v>7</v>
      </c>
      <c r="C27" s="133" t="s">
        <v>136</v>
      </c>
      <c r="F27" s="72">
        <f>SUM(F24:F26)</f>
        <v>1006</v>
      </c>
      <c r="G27" s="1"/>
      <c r="H27" s="3"/>
      <c r="I27" s="3"/>
      <c r="J27" s="7"/>
      <c r="K27" s="7"/>
      <c r="L27" s="72">
        <f>SUM(L24:L26)</f>
        <v>27120</v>
      </c>
      <c r="M27" s="3"/>
      <c r="N27" s="74">
        <f>ROUND((L27/L$43)*100,1)</f>
        <v>1.3</v>
      </c>
      <c r="O27" s="4"/>
      <c r="P27" s="72"/>
      <c r="Q27" s="3"/>
      <c r="R27" s="72">
        <f>SUM(R24:R26)</f>
        <v>27120</v>
      </c>
      <c r="S27" s="45"/>
      <c r="V27" s="50"/>
      <c r="Y27" s="50"/>
      <c r="Z27" s="326"/>
      <c r="AA27" s="50"/>
      <c r="AB27" s="50"/>
      <c r="AC27" s="50"/>
      <c r="AD27" s="50"/>
      <c r="AE27" s="50"/>
      <c r="AF27" s="50"/>
      <c r="AI27" s="50"/>
      <c r="AJ27" s="50"/>
      <c r="AK27" s="111"/>
      <c r="AL27" s="50"/>
      <c r="AM27" s="46"/>
      <c r="AN27" s="46"/>
    </row>
    <row r="28" spans="1:40">
      <c r="C28" s="42"/>
      <c r="F28" s="3"/>
      <c r="G28" s="1"/>
      <c r="H28" s="3"/>
      <c r="I28" s="3"/>
      <c r="J28" s="7"/>
      <c r="K28" s="7"/>
      <c r="L28" s="3"/>
      <c r="M28" s="3"/>
      <c r="N28" s="4"/>
      <c r="O28" s="4"/>
      <c r="P28" s="3"/>
      <c r="Q28" s="3"/>
      <c r="R28" s="3"/>
      <c r="S28" s="45"/>
      <c r="V28" s="50"/>
      <c r="Y28" s="50"/>
      <c r="Z28" s="326"/>
      <c r="AA28" s="50"/>
      <c r="AB28" s="50"/>
      <c r="AC28" s="50"/>
      <c r="AD28" s="50"/>
      <c r="AE28" s="50"/>
      <c r="AF28" s="50"/>
      <c r="AI28" s="50"/>
      <c r="AJ28" s="50"/>
      <c r="AK28" s="111"/>
      <c r="AL28" s="50"/>
      <c r="AM28" s="46"/>
      <c r="AN28" s="46"/>
    </row>
    <row r="29" spans="1:40">
      <c r="A29" s="41">
        <v>8</v>
      </c>
      <c r="C29" s="133" t="s">
        <v>63</v>
      </c>
      <c r="F29" s="3"/>
      <c r="G29" s="1"/>
      <c r="H29" s="3"/>
      <c r="I29" s="3"/>
      <c r="J29" s="7"/>
      <c r="K29" s="7"/>
      <c r="L29" s="3"/>
      <c r="M29" s="3"/>
      <c r="N29" s="4"/>
      <c r="O29" s="4"/>
      <c r="P29" s="3"/>
      <c r="Q29" s="3"/>
      <c r="R29" s="3"/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>
      <c r="A30" s="41">
        <v>9</v>
      </c>
      <c r="C30" s="42"/>
      <c r="F30" s="3"/>
      <c r="G30" s="1"/>
      <c r="H30" s="343"/>
      <c r="I30" s="3"/>
      <c r="J30" s="53"/>
      <c r="K30" s="7"/>
      <c r="L30" s="66"/>
      <c r="M30" s="3"/>
      <c r="N30" s="70"/>
      <c r="O30" s="4"/>
      <c r="P30" s="66"/>
      <c r="Q30" s="3"/>
      <c r="R30" s="66"/>
      <c r="S30" s="45"/>
      <c r="V30" s="50"/>
      <c r="Y30" s="50"/>
      <c r="Z30" s="326"/>
      <c r="AA30" s="50"/>
      <c r="AB30" s="50"/>
      <c r="AC30" s="50"/>
      <c r="AD30" s="50"/>
      <c r="AE30" s="50"/>
      <c r="AF30" s="50"/>
      <c r="AI30" s="50"/>
      <c r="AJ30" s="50"/>
      <c r="AK30" s="111"/>
      <c r="AL30" s="50"/>
      <c r="AM30" s="46"/>
      <c r="AN30" s="46"/>
    </row>
    <row r="31" spans="1:40">
      <c r="C31" s="42"/>
      <c r="F31" s="3"/>
      <c r="G31" s="1"/>
      <c r="H31" s="45"/>
      <c r="I31" s="3"/>
      <c r="J31" s="53"/>
      <c r="K31" s="7"/>
      <c r="L31" s="3"/>
      <c r="M31" s="3"/>
      <c r="N31" s="4"/>
      <c r="O31" s="4"/>
      <c r="P31" s="3"/>
      <c r="Q31" s="3"/>
      <c r="R31" s="3"/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  <c r="AM31" s="46"/>
      <c r="AN31" s="46"/>
    </row>
    <row r="32" spans="1:40">
      <c r="A32" s="41">
        <v>10</v>
      </c>
      <c r="C32" s="133" t="s">
        <v>371</v>
      </c>
      <c r="F32" s="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"/>
      <c r="S32" s="45"/>
      <c r="T32" s="42"/>
      <c r="Z32" s="326"/>
      <c r="AA32" s="45"/>
      <c r="AB32" s="45"/>
      <c r="AC32" s="46"/>
      <c r="AD32" s="46"/>
      <c r="AE32" s="45"/>
      <c r="AF32" s="45"/>
      <c r="AH32" s="46"/>
      <c r="AI32" s="45"/>
      <c r="AJ32" s="45"/>
      <c r="AL32" s="45"/>
      <c r="AM32" s="46"/>
      <c r="AN32" s="46"/>
    </row>
    <row r="33" spans="1:18">
      <c r="A33" s="41">
        <v>11</v>
      </c>
      <c r="C33" s="42" t="s">
        <v>68</v>
      </c>
      <c r="F33" s="66"/>
      <c r="G33" s="1"/>
      <c r="H33" s="318">
        <f>'[12]Forecast KWH'!$I$70</f>
        <v>19145457</v>
      </c>
      <c r="I33" s="68"/>
      <c r="J33" s="323">
        <f>INPUT!D90</f>
        <v>0.104834</v>
      </c>
      <c r="K33" s="319"/>
      <c r="L33" s="66">
        <f>ROUND((H33*J33),0)</f>
        <v>2007095</v>
      </c>
      <c r="M33" s="3"/>
      <c r="N33" s="70">
        <f>ROUND((L33/L$43)*100,1)</f>
        <v>93.1</v>
      </c>
      <c r="O33" s="4"/>
      <c r="P33" s="69"/>
      <c r="Q33" s="68"/>
      <c r="R33" s="66">
        <f>L33+P33</f>
        <v>2007095</v>
      </c>
    </row>
    <row r="34" spans="1:18" ht="18" customHeight="1">
      <c r="A34" s="41">
        <v>12</v>
      </c>
      <c r="C34" s="310" t="s">
        <v>443</v>
      </c>
      <c r="F34" s="66">
        <f>F27</f>
        <v>1006</v>
      </c>
      <c r="G34" s="1"/>
      <c r="H34" s="71">
        <f>H33</f>
        <v>19145457</v>
      </c>
      <c r="I34" s="68"/>
      <c r="J34" s="323"/>
      <c r="K34" s="319"/>
      <c r="L34" s="72">
        <f>L27+L30+L33</f>
        <v>2034215</v>
      </c>
      <c r="M34" s="3"/>
      <c r="N34" s="74">
        <f>ROUND((L34/L$43)*100,1)</f>
        <v>94.3</v>
      </c>
      <c r="O34" s="4"/>
      <c r="P34" s="71"/>
      <c r="Q34" s="68"/>
      <c r="R34" s="72">
        <f>R33+R30+R27</f>
        <v>2034215</v>
      </c>
    </row>
    <row r="35" spans="1:18">
      <c r="C35" s="42"/>
      <c r="F35" s="3"/>
      <c r="G35" s="1"/>
      <c r="H35" s="164"/>
      <c r="I35" s="68"/>
      <c r="J35" s="323"/>
      <c r="K35" s="319"/>
      <c r="L35" s="3"/>
      <c r="M35" s="3"/>
      <c r="N35" s="4"/>
      <c r="O35" s="4"/>
      <c r="P35" s="68"/>
      <c r="Q35" s="68"/>
      <c r="R35" s="3"/>
    </row>
    <row r="36" spans="1:18">
      <c r="A36" s="41">
        <v>13</v>
      </c>
      <c r="C36" s="133" t="s">
        <v>430</v>
      </c>
      <c r="F36" s="3"/>
      <c r="G36" s="1"/>
      <c r="H36" s="3"/>
      <c r="I36" s="3"/>
      <c r="J36" s="155"/>
      <c r="K36" s="319"/>
      <c r="L36" s="3"/>
      <c r="M36" s="3"/>
      <c r="N36" s="4"/>
      <c r="O36" s="4"/>
      <c r="P36" s="68"/>
      <c r="Q36" s="68"/>
      <c r="R36" s="3"/>
    </row>
    <row r="37" spans="1:18">
      <c r="A37" s="41">
        <v>14</v>
      </c>
      <c r="C37" s="128" t="str">
        <f>DSMR_Name</f>
        <v>DEMAND SIDE MANAGEMENT RIDER (DSMR)</v>
      </c>
      <c r="F37" s="3"/>
      <c r="G37" s="1"/>
      <c r="H37" s="3"/>
      <c r="I37" s="3"/>
      <c r="J37" s="327">
        <f>PRO_DSM_DIST</f>
        <v>3.503E-3</v>
      </c>
      <c r="K37" s="319"/>
      <c r="L37" s="3">
        <f>ROUND($H$34*J37,0)</f>
        <v>67067</v>
      </c>
      <c r="M37" s="3"/>
      <c r="N37" s="103">
        <f>ROUND((L37/L$43)*100,1)</f>
        <v>3.1</v>
      </c>
      <c r="O37" s="4"/>
      <c r="P37" s="68"/>
      <c r="Q37" s="68"/>
      <c r="R37" s="3">
        <f>L37+P37</f>
        <v>67067</v>
      </c>
    </row>
    <row r="38" spans="1:18">
      <c r="A38" s="41">
        <v>15</v>
      </c>
      <c r="C38" s="128" t="str">
        <f>ESM_Name</f>
        <v>ENVIRONMENTAL SURCHARGE MECHANISM RIDER (ESM)</v>
      </c>
      <c r="F38" s="3"/>
      <c r="G38" s="1"/>
      <c r="H38" s="3"/>
      <c r="I38" s="3"/>
      <c r="J38" s="321">
        <f>PRO_ESM_NONRES</f>
        <v>5.4606095773317587E-3</v>
      </c>
      <c r="K38" s="319"/>
      <c r="L38" s="3">
        <f>ROUND((R34-(PRO_BASE_FUEL*H34)+R37+R40)*J38,0)</f>
        <v>8201</v>
      </c>
      <c r="M38" s="3"/>
      <c r="N38" s="103">
        <f>ROUND((L38/L$43)*100,1)</f>
        <v>0.4</v>
      </c>
      <c r="O38" s="4"/>
      <c r="P38" s="68"/>
      <c r="Q38" s="68"/>
      <c r="R38" s="3">
        <f>L38+P38</f>
        <v>8201</v>
      </c>
    </row>
    <row r="39" spans="1:18">
      <c r="A39" s="41">
        <v>16</v>
      </c>
      <c r="C39" s="128" t="str">
        <f>FAC_Name</f>
        <v>FUEL ADJUSTMENT CLAUSE (FAC)</v>
      </c>
      <c r="F39" s="3"/>
      <c r="G39" s="1"/>
      <c r="H39" s="3"/>
      <c r="I39" s="3"/>
      <c r="J39" s="327">
        <f>PRO_FAC</f>
        <v>3.4872127999999998E-3</v>
      </c>
      <c r="K39" s="319"/>
      <c r="L39" s="3"/>
      <c r="M39" s="3"/>
      <c r="N39" s="103">
        <f>ROUND((L39/L$43)*100,1)</f>
        <v>0</v>
      </c>
      <c r="O39" s="4"/>
      <c r="P39" s="68">
        <f>ROUND(H34*PRO_FAC,0)</f>
        <v>66764</v>
      </c>
      <c r="Q39" s="68"/>
      <c r="R39" s="3">
        <f>L39+P39</f>
        <v>66764</v>
      </c>
    </row>
    <row r="40" spans="1:18">
      <c r="A40" s="41">
        <v>17</v>
      </c>
      <c r="C40" s="128" t="str">
        <f>PSM_Name</f>
        <v>PROFIT SHARING MECHANISM (PSM)</v>
      </c>
      <c r="F40" s="3"/>
      <c r="G40" s="1"/>
      <c r="H40" s="3"/>
      <c r="I40" s="3"/>
      <c r="J40" s="327">
        <f>PRO_PSM</f>
        <v>2.4750000000000002E-3</v>
      </c>
      <c r="K40" s="319"/>
      <c r="L40" s="66">
        <f>ROUND(H34*PRO_PSM,0)</f>
        <v>47385</v>
      </c>
      <c r="M40" s="3"/>
      <c r="N40" s="103">
        <f>ROUND((L40/L$43)*100,1)</f>
        <v>2.2000000000000002</v>
      </c>
      <c r="O40" s="4"/>
      <c r="P40" s="69"/>
      <c r="Q40" s="68"/>
      <c r="R40" s="3">
        <f>L40+P40</f>
        <v>47385</v>
      </c>
    </row>
    <row r="41" spans="1:18" ht="18" customHeight="1">
      <c r="A41" s="41">
        <v>18</v>
      </c>
      <c r="C41" s="133" t="s">
        <v>435</v>
      </c>
      <c r="F41" s="66"/>
      <c r="G41" s="1"/>
      <c r="H41" s="66"/>
      <c r="I41" s="3"/>
      <c r="J41" s="314"/>
      <c r="K41" s="319"/>
      <c r="L41" s="72">
        <f>SUM(L37:L40)</f>
        <v>122653</v>
      </c>
      <c r="M41" s="3"/>
      <c r="N41" s="105">
        <f>ROUND((L41/L$43)*100,1)</f>
        <v>5.7</v>
      </c>
      <c r="O41" s="4"/>
      <c r="P41" s="71">
        <f>SUM(P37:P40)</f>
        <v>66764</v>
      </c>
      <c r="Q41" s="68"/>
      <c r="R41" s="72">
        <f>SUM(R37:R40)</f>
        <v>189417</v>
      </c>
    </row>
    <row r="42" spans="1:18">
      <c r="C42" s="42"/>
      <c r="F42" s="3"/>
      <c r="G42" s="1"/>
      <c r="H42" s="164"/>
      <c r="I42" s="68"/>
      <c r="J42" s="320"/>
      <c r="K42" s="319"/>
      <c r="L42" s="3"/>
      <c r="M42" s="3"/>
      <c r="N42" s="4"/>
      <c r="O42" s="4"/>
      <c r="P42" s="68"/>
      <c r="Q42" s="68"/>
      <c r="R42" s="3"/>
    </row>
    <row r="43" spans="1:18" ht="20.100000000000001" customHeight="1" thickBot="1">
      <c r="A43" s="41">
        <v>19</v>
      </c>
      <c r="C43" s="133" t="s">
        <v>444</v>
      </c>
      <c r="F43" s="67">
        <f>F34</f>
        <v>1006</v>
      </c>
      <c r="G43" s="1"/>
      <c r="H43" s="67">
        <f>H34</f>
        <v>19145457</v>
      </c>
      <c r="I43" s="3"/>
      <c r="J43" s="80"/>
      <c r="K43" s="80"/>
      <c r="L43" s="67">
        <f>L34+L41</f>
        <v>2156868</v>
      </c>
      <c r="M43" s="3"/>
      <c r="N43" s="73">
        <v>100</v>
      </c>
      <c r="O43" s="4"/>
      <c r="P43" s="67">
        <f>P41+P34</f>
        <v>66764</v>
      </c>
      <c r="Q43" s="3"/>
      <c r="R43" s="67">
        <f>R41+R34</f>
        <v>2223632</v>
      </c>
    </row>
    <row r="44" spans="1:18" ht="16.5" thickTop="1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"/>
    </row>
    <row r="45" spans="1:18">
      <c r="C45" s="140" t="s">
        <v>59</v>
      </c>
      <c r="F45" s="45"/>
      <c r="H45" s="45"/>
      <c r="I45" s="45"/>
      <c r="J45" s="47"/>
      <c r="K45" s="47"/>
      <c r="L45" s="45"/>
      <c r="M45" s="45"/>
      <c r="N45" s="45"/>
      <c r="O45" s="45"/>
      <c r="P45" s="45"/>
      <c r="Q45" s="45"/>
      <c r="R45" s="45"/>
    </row>
    <row r="46" spans="1:18">
      <c r="C46" s="140" t="str">
        <f>"(2) REFLECTS FUEL COMPONENT OF "&amp;TEXT(PRO_FAC,"$0.000000;($0.000000)")&amp;"  PER KWH."</f>
        <v>(2) REFLECTS FUEL COMPONENT OF $0.003487  PER KWH.</v>
      </c>
      <c r="F46" s="45"/>
      <c r="H46" s="45"/>
      <c r="I46" s="45"/>
      <c r="J46" s="47"/>
      <c r="K46" s="47"/>
      <c r="L46" s="45"/>
      <c r="M46" s="45"/>
      <c r="N46" s="45"/>
      <c r="O46" s="45"/>
      <c r="P46" s="45"/>
      <c r="Q46" s="45"/>
      <c r="R46" s="45"/>
    </row>
    <row r="47" spans="1:18">
      <c r="A47" s="44"/>
      <c r="C47" s="140" t="str">
        <f>"(3) REFLECTS FUEL COST RECOVERY INCLUDED IN BASE RATES OF "&amp;TEXT(PRO_BASE_FUEL,"$0.000000;($0.000000)")&amp;"  PER KWH."</f>
        <v>(3) REFLECTS FUEL COST RECOVERY INCLUDED IN BASE RATES OF $0.033780  PER KWH.</v>
      </c>
      <c r="D47" s="44"/>
      <c r="E47" s="44"/>
      <c r="F47" s="44"/>
      <c r="J47" s="44"/>
      <c r="K47" s="44"/>
      <c r="L47" s="44"/>
      <c r="M47" s="44"/>
      <c r="N47" s="44"/>
      <c r="O47" s="44"/>
      <c r="P47" s="44"/>
      <c r="Q47" s="44"/>
      <c r="R47" s="44"/>
    </row>
    <row r="48" spans="1:18">
      <c r="A48" s="44"/>
      <c r="C48" s="44"/>
      <c r="D48" s="44"/>
      <c r="E48" s="44"/>
      <c r="F48" s="44"/>
      <c r="J48" s="44"/>
      <c r="K48" s="44"/>
      <c r="L48" s="44"/>
      <c r="M48" s="44"/>
      <c r="N48" s="44"/>
      <c r="O48" s="44"/>
      <c r="P48" s="44"/>
      <c r="Q48" s="44"/>
      <c r="R48" s="44"/>
    </row>
    <row r="49" spans="1:76" ht="16.5">
      <c r="A49" s="44"/>
      <c r="C49" s="44"/>
      <c r="D49" s="44"/>
      <c r="E49" s="44"/>
      <c r="F49"/>
      <c r="G49"/>
      <c r="H49"/>
      <c r="I49"/>
      <c r="J49"/>
      <c r="K49" s="44"/>
      <c r="L49" s="44"/>
      <c r="M49" s="44"/>
      <c r="N49" s="44"/>
      <c r="O49" s="44"/>
      <c r="P49" s="44"/>
      <c r="Q49" s="44"/>
      <c r="R49" s="44"/>
      <c r="T49" s="40" t="str">
        <f>NAME</f>
        <v>DUKE ENERGY KENTUCKY, INC.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</row>
    <row r="50" spans="1:76" ht="16.5">
      <c r="A50" s="44"/>
      <c r="C50" s="44"/>
      <c r="D50" s="44"/>
      <c r="E50" s="44"/>
      <c r="F50"/>
      <c r="G50"/>
      <c r="H50"/>
      <c r="I50"/>
      <c r="J50"/>
      <c r="K50" s="44"/>
      <c r="L50" s="44"/>
      <c r="M50" s="44"/>
      <c r="N50" s="44"/>
      <c r="O50" s="44"/>
      <c r="P50" s="44"/>
      <c r="Q50" s="44"/>
      <c r="R50" s="44"/>
      <c r="T50" s="40" t="str">
        <f>CASE_NO</f>
        <v>CASE NO.   2024-00354</v>
      </c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100"/>
      <c r="AH50" s="40"/>
      <c r="AI50" s="40"/>
      <c r="AJ50" s="40"/>
      <c r="AK50" s="100"/>
      <c r="AL50" s="40"/>
      <c r="AM50" s="40"/>
      <c r="AN50" s="40"/>
      <c r="AO50" s="40"/>
      <c r="AP50" s="40"/>
      <c r="AQ50" s="100"/>
    </row>
    <row r="51" spans="1:76" ht="16.5">
      <c r="C51" s="44"/>
      <c r="D51" s="44"/>
      <c r="E51" s="44"/>
      <c r="F51"/>
      <c r="G51"/>
      <c r="H51"/>
      <c r="I51"/>
      <c r="J51"/>
      <c r="K51" s="44"/>
      <c r="L51" s="44"/>
      <c r="M51" s="44"/>
      <c r="N51" s="44"/>
      <c r="O51" s="44"/>
      <c r="P51" s="44"/>
      <c r="Q51" s="44"/>
      <c r="R51" s="44"/>
      <c r="T51" s="40" t="str">
        <f>TITLE</f>
        <v>ANNUALIZED TEST YEAR REVENUES AT PROPOSED VS. MOST CURRENT RATES</v>
      </c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100"/>
      <c r="AH51" s="40"/>
      <c r="AI51" s="40"/>
      <c r="AJ51" s="40"/>
      <c r="AK51" s="100"/>
      <c r="AL51" s="40"/>
      <c r="AM51" s="40"/>
      <c r="AN51" s="40"/>
      <c r="AO51" s="40"/>
      <c r="AP51" s="40"/>
      <c r="AQ51" s="100"/>
    </row>
    <row r="52" spans="1:76" ht="16.5">
      <c r="A52" s="49"/>
      <c r="B52" s="49"/>
      <c r="C52" s="49"/>
      <c r="D52" s="49"/>
      <c r="E52" s="49"/>
      <c r="F52"/>
      <c r="G52"/>
      <c r="H52"/>
      <c r="I52"/>
      <c r="J52"/>
      <c r="K52" s="49"/>
      <c r="L52" s="49"/>
      <c r="M52" s="49"/>
      <c r="N52" s="49"/>
      <c r="O52" s="49"/>
      <c r="P52" s="49"/>
      <c r="Q52" s="49"/>
      <c r="R52" s="49"/>
      <c r="T52" s="40" t="str">
        <f>DATE</f>
        <v>FOR THE TWELVE MONTHS ENDED June 30, 2026</v>
      </c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100"/>
      <c r="AH52" s="40"/>
      <c r="AI52" s="40"/>
      <c r="AJ52" s="40"/>
      <c r="AK52" s="100"/>
      <c r="AL52" s="40"/>
      <c r="AM52" s="40"/>
      <c r="AN52" s="40"/>
      <c r="AO52" s="40"/>
      <c r="AP52" s="40"/>
      <c r="AQ52" s="100"/>
    </row>
    <row r="53" spans="1:76" ht="16.5">
      <c r="F53"/>
      <c r="G53"/>
      <c r="H53"/>
      <c r="I53"/>
      <c r="J53"/>
      <c r="K53" s="44"/>
      <c r="L53" s="44"/>
      <c r="M53" s="44"/>
      <c r="N53" s="44"/>
      <c r="O53" s="44"/>
      <c r="P53" s="44"/>
      <c r="Q53" s="44"/>
      <c r="R53" s="44"/>
      <c r="T53" s="40" t="str">
        <f>SERVICE</f>
        <v>(ELECTRIC SERVICE)</v>
      </c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00"/>
      <c r="AH53" s="40"/>
      <c r="AI53" s="40"/>
      <c r="AJ53" s="40"/>
      <c r="AK53" s="100"/>
      <c r="AL53" s="40"/>
      <c r="AM53" s="40"/>
      <c r="AN53" s="40"/>
      <c r="AO53" s="40"/>
      <c r="AP53" s="40"/>
      <c r="AQ53" s="100"/>
    </row>
    <row r="54" spans="1:76" ht="16.5">
      <c r="C54" s="42"/>
      <c r="D54" s="42"/>
      <c r="E54" s="42"/>
      <c r="F54"/>
      <c r="G54"/>
      <c r="H54"/>
      <c r="I54"/>
      <c r="J54"/>
      <c r="T54" s="41" t="str">
        <f>DATA_PERIOD</f>
        <v>DATA: ____ BASE PERIOD   __X__FORECASTED PERIOD</v>
      </c>
      <c r="AO54" s="42" t="s">
        <v>157</v>
      </c>
      <c r="AP54" s="42"/>
    </row>
    <row r="55" spans="1:76">
      <c r="D55" s="42"/>
      <c r="E55" s="42"/>
      <c r="T55" s="41" t="str">
        <f>TYPE</f>
        <v>TYPE OF FILING: _X_ ORIGINAL   ___UPDATED  ___ REVISED</v>
      </c>
      <c r="AO55" s="48" t="str">
        <f>"PAGE 6 OF "&amp;TEXT(Page_Num_2.2,"00")</f>
        <v>PAGE 6 OF 24</v>
      </c>
      <c r="AP55" s="42"/>
    </row>
    <row r="56" spans="1:76">
      <c r="T56" s="42" t="s">
        <v>170</v>
      </c>
      <c r="AO56" s="42" t="s">
        <v>3</v>
      </c>
      <c r="AP56" s="42"/>
    </row>
    <row r="57" spans="1:76">
      <c r="C57" s="42"/>
      <c r="T57" s="133" t="str">
        <f>TIME</f>
        <v>12 Months Projected with Riders</v>
      </c>
      <c r="AO57" s="41" t="str">
        <f>WIT</f>
        <v>B. L. Sailers</v>
      </c>
    </row>
    <row r="58" spans="1:76">
      <c r="C58" s="42"/>
      <c r="T58" s="133" t="str">
        <f>INPUT!B5</f>
        <v xml:space="preserve"> </v>
      </c>
    </row>
    <row r="59" spans="1:76">
      <c r="C59" s="42"/>
      <c r="F59" s="164"/>
      <c r="H59" s="164"/>
      <c r="I59" s="164"/>
      <c r="J59" s="316"/>
      <c r="K59" s="316"/>
      <c r="L59" s="45"/>
      <c r="M59" s="45"/>
      <c r="N59" s="46"/>
      <c r="O59" s="46"/>
      <c r="R59" s="45"/>
      <c r="T59" s="40" t="s">
        <v>130</v>
      </c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100"/>
      <c r="AH59" s="40"/>
      <c r="AI59" s="40"/>
      <c r="AJ59" s="40"/>
      <c r="AK59" s="100"/>
      <c r="AL59" s="40"/>
      <c r="AM59" s="40"/>
      <c r="AN59" s="40"/>
      <c r="AO59" s="40"/>
      <c r="AP59" s="40"/>
      <c r="AQ59" s="100"/>
    </row>
    <row r="60" spans="1:76">
      <c r="C60" s="42"/>
      <c r="F60" s="164"/>
      <c r="H60" s="164"/>
      <c r="I60" s="164"/>
      <c r="J60" s="316"/>
      <c r="K60" s="316"/>
      <c r="L60" s="45"/>
      <c r="M60" s="45"/>
      <c r="N60" s="46"/>
      <c r="O60" s="46"/>
      <c r="R60" s="45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101"/>
      <c r="AH60" s="43"/>
      <c r="AI60" s="43"/>
      <c r="AJ60" s="43"/>
      <c r="AK60" s="101"/>
      <c r="AL60" s="43"/>
      <c r="AM60" s="43"/>
      <c r="AN60" s="43"/>
      <c r="AO60" s="43"/>
      <c r="AP60" s="43"/>
      <c r="AQ60" s="101"/>
    </row>
    <row r="61" spans="1:76" ht="18" customHeight="1">
      <c r="F61" s="50"/>
      <c r="H61" s="45"/>
      <c r="I61" s="45"/>
      <c r="J61" s="326"/>
      <c r="K61" s="326"/>
      <c r="L61" s="50"/>
      <c r="M61" s="50"/>
      <c r="N61" s="50"/>
      <c r="O61" s="50"/>
      <c r="P61" s="50"/>
      <c r="Q61" s="50"/>
      <c r="R61" s="50"/>
      <c r="AE61" s="44" t="s">
        <v>8</v>
      </c>
      <c r="AF61" s="44"/>
      <c r="AG61" s="102" t="s">
        <v>7</v>
      </c>
      <c r="AH61" s="44"/>
      <c r="AI61" s="44" t="s">
        <v>9</v>
      </c>
      <c r="AJ61" s="44"/>
      <c r="AK61" s="102" t="s">
        <v>10</v>
      </c>
      <c r="AL61" s="44"/>
      <c r="AO61" s="44" t="s">
        <v>8</v>
      </c>
      <c r="AP61" s="44"/>
      <c r="AQ61" s="102" t="s">
        <v>11</v>
      </c>
    </row>
    <row r="62" spans="1:76">
      <c r="C62" s="42"/>
      <c r="F62" s="45"/>
      <c r="H62" s="45"/>
      <c r="I62" s="45"/>
      <c r="J62" s="326"/>
      <c r="K62" s="326"/>
      <c r="L62" s="45"/>
      <c r="M62" s="45"/>
      <c r="N62" s="46"/>
      <c r="O62" s="46"/>
      <c r="P62" s="45"/>
      <c r="Q62" s="45"/>
      <c r="R62" s="45"/>
      <c r="AC62" s="44" t="s">
        <v>14</v>
      </c>
      <c r="AD62" s="44"/>
      <c r="AE62" s="44" t="s">
        <v>12</v>
      </c>
      <c r="AF62" s="44"/>
      <c r="AG62" s="102" t="s">
        <v>13</v>
      </c>
      <c r="AH62" s="44"/>
      <c r="AI62" s="44" t="s">
        <v>15</v>
      </c>
      <c r="AJ62" s="44"/>
      <c r="AK62" s="102" t="s">
        <v>16</v>
      </c>
      <c r="AL62" s="44"/>
      <c r="AO62" s="44" t="s">
        <v>11</v>
      </c>
      <c r="AP62" s="44"/>
      <c r="AQ62" s="102" t="s">
        <v>9</v>
      </c>
    </row>
    <row r="63" spans="1:76">
      <c r="F63" s="50"/>
      <c r="H63" s="45"/>
      <c r="I63" s="45"/>
      <c r="J63" s="326"/>
      <c r="K63" s="326"/>
      <c r="L63" s="50"/>
      <c r="M63" s="50"/>
      <c r="N63" s="50"/>
      <c r="O63" s="50"/>
      <c r="P63" s="50"/>
      <c r="Q63" s="50"/>
      <c r="R63" s="50"/>
      <c r="T63" s="44" t="s">
        <v>17</v>
      </c>
      <c r="V63" s="44" t="s">
        <v>18</v>
      </c>
      <c r="W63" s="44" t="s">
        <v>19</v>
      </c>
      <c r="X63" s="44"/>
      <c r="Y63" s="44" t="s">
        <v>20</v>
      </c>
      <c r="AC63" s="44" t="s">
        <v>8</v>
      </c>
      <c r="AD63" s="44"/>
      <c r="AE63" s="44" t="s">
        <v>841</v>
      </c>
      <c r="AF63" s="44"/>
      <c r="AG63" s="102" t="s">
        <v>841</v>
      </c>
      <c r="AH63" s="44"/>
      <c r="AI63" s="60" t="s">
        <v>964</v>
      </c>
      <c r="AJ63" s="44"/>
      <c r="AK63" s="277" t="s">
        <v>964</v>
      </c>
      <c r="AL63" s="44"/>
      <c r="AM63" s="44" t="s">
        <v>841</v>
      </c>
      <c r="AN63" s="44"/>
      <c r="AO63" s="44" t="s">
        <v>9</v>
      </c>
      <c r="AP63" s="44"/>
      <c r="AQ63" s="102" t="s">
        <v>21</v>
      </c>
      <c r="AS63" s="45"/>
      <c r="AT63" s="45"/>
      <c r="AU63" s="335"/>
    </row>
    <row r="64" spans="1:76">
      <c r="F64" s="45"/>
      <c r="H64" s="45"/>
      <c r="I64" s="45"/>
      <c r="J64" s="326"/>
      <c r="K64" s="326"/>
      <c r="L64" s="45"/>
      <c r="M64" s="45"/>
      <c r="N64" s="46"/>
      <c r="O64" s="46"/>
      <c r="P64" s="45"/>
      <c r="Q64" s="45"/>
      <c r="R64" s="45"/>
      <c r="T64" s="44" t="s">
        <v>22</v>
      </c>
      <c r="V64" s="44" t="s">
        <v>23</v>
      </c>
      <c r="W64" s="44" t="s">
        <v>24</v>
      </c>
      <c r="X64" s="44"/>
      <c r="Y64" s="44" t="s">
        <v>25</v>
      </c>
      <c r="AA64" s="44" t="s">
        <v>26</v>
      </c>
      <c r="AB64" s="44"/>
      <c r="AC64" s="44" t="s">
        <v>27</v>
      </c>
      <c r="AD64" s="44"/>
      <c r="AE64" s="44" t="s">
        <v>9</v>
      </c>
      <c r="AF64" s="44"/>
      <c r="AG64" s="102" t="s">
        <v>9</v>
      </c>
      <c r="AH64" s="44"/>
      <c r="AI64" s="304" t="s">
        <v>29</v>
      </c>
      <c r="AJ64" s="304"/>
      <c r="AK64" s="311" t="s">
        <v>30</v>
      </c>
      <c r="AL64" s="44"/>
      <c r="AM64" s="44" t="s">
        <v>323</v>
      </c>
      <c r="AN64" s="44"/>
      <c r="AO64" s="304" t="s">
        <v>31</v>
      </c>
      <c r="AP64" s="304"/>
      <c r="AQ64" s="311" t="s">
        <v>32</v>
      </c>
      <c r="AS64" s="45"/>
      <c r="AT64" s="45"/>
      <c r="AU64" s="46"/>
      <c r="BX64" s="329"/>
    </row>
    <row r="65" spans="1:47">
      <c r="C65" s="42"/>
      <c r="F65" s="164"/>
      <c r="H65" s="164"/>
      <c r="I65" s="164"/>
      <c r="J65" s="316"/>
      <c r="K65" s="316"/>
      <c r="L65" s="45"/>
      <c r="M65" s="45"/>
      <c r="N65" s="46"/>
      <c r="O65" s="46"/>
      <c r="P65" s="45"/>
      <c r="Q65" s="45"/>
      <c r="R65" s="45"/>
      <c r="V65" s="304" t="s">
        <v>33</v>
      </c>
      <c r="W65" s="304" t="s">
        <v>34</v>
      </c>
      <c r="X65" s="304"/>
      <c r="Y65" s="304" t="s">
        <v>35</v>
      </c>
      <c r="Z65" s="130"/>
      <c r="AA65" s="304" t="s">
        <v>36</v>
      </c>
      <c r="AB65" s="304"/>
      <c r="AC65" s="304" t="s">
        <v>42</v>
      </c>
      <c r="AD65" s="304"/>
      <c r="AE65" s="304" t="s">
        <v>43</v>
      </c>
      <c r="AF65" s="304"/>
      <c r="AG65" s="311" t="s">
        <v>44</v>
      </c>
      <c r="AH65" s="304"/>
      <c r="AI65" s="304" t="s">
        <v>45</v>
      </c>
      <c r="AJ65" s="304"/>
      <c r="AK65" s="311" t="s">
        <v>46</v>
      </c>
      <c r="AL65" s="304"/>
      <c r="AM65" s="304" t="s">
        <v>40</v>
      </c>
      <c r="AN65" s="304"/>
      <c r="AO65" s="304" t="s">
        <v>47</v>
      </c>
      <c r="AP65" s="304"/>
      <c r="AQ65" s="311" t="s">
        <v>48</v>
      </c>
      <c r="AS65" s="45"/>
      <c r="AT65" s="45"/>
      <c r="AU65" s="46"/>
    </row>
    <row r="66" spans="1:47">
      <c r="F66" s="45"/>
      <c r="H66" s="50"/>
      <c r="I66" s="50"/>
      <c r="J66" s="326"/>
      <c r="K66" s="326"/>
      <c r="L66" s="50"/>
      <c r="M66" s="50"/>
      <c r="N66" s="50"/>
      <c r="O66" s="50"/>
      <c r="P66" s="50"/>
      <c r="Q66" s="50"/>
      <c r="R66" s="50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101"/>
      <c r="AH66" s="43"/>
      <c r="AI66" s="43"/>
      <c r="AJ66" s="43"/>
      <c r="AK66" s="101"/>
      <c r="AL66" s="43"/>
      <c r="AM66" s="43"/>
      <c r="AN66" s="43"/>
      <c r="AO66" s="43"/>
      <c r="AP66" s="43"/>
      <c r="AQ66" s="101"/>
      <c r="AS66" s="45"/>
      <c r="AT66" s="45"/>
      <c r="AU66" s="46"/>
    </row>
    <row r="67" spans="1:47" ht="17.100000000000001" customHeight="1">
      <c r="C67" s="42"/>
      <c r="F67" s="45"/>
      <c r="H67" s="45"/>
      <c r="I67" s="45"/>
      <c r="J67" s="47"/>
      <c r="K67" s="47"/>
      <c r="L67" s="45"/>
      <c r="M67" s="45"/>
      <c r="N67" s="46"/>
      <c r="O67" s="46"/>
      <c r="P67" s="45"/>
      <c r="Q67" s="45"/>
      <c r="R67" s="45"/>
      <c r="AA67" s="309" t="s">
        <v>196</v>
      </c>
      <c r="AB67" s="308"/>
      <c r="AC67" s="309" t="s">
        <v>331</v>
      </c>
      <c r="AD67" s="308"/>
      <c r="AE67" s="308" t="s">
        <v>50</v>
      </c>
      <c r="AF67" s="308"/>
      <c r="AG67" s="312" t="s">
        <v>51</v>
      </c>
      <c r="AH67" s="308"/>
      <c r="AI67" s="308" t="s">
        <v>50</v>
      </c>
      <c r="AJ67" s="308"/>
      <c r="AK67" s="312" t="s">
        <v>51</v>
      </c>
      <c r="AL67" s="308"/>
      <c r="AM67" s="308" t="s">
        <v>50</v>
      </c>
      <c r="AN67" s="308"/>
      <c r="AO67" s="308" t="s">
        <v>50</v>
      </c>
      <c r="AP67" s="308"/>
      <c r="AQ67" s="312" t="s">
        <v>51</v>
      </c>
      <c r="AS67" s="45"/>
      <c r="AT67" s="45"/>
      <c r="AU67" s="335"/>
    </row>
    <row r="68" spans="1:47">
      <c r="C68" s="42"/>
      <c r="F68" s="164"/>
      <c r="H68" s="164"/>
      <c r="I68" s="164"/>
      <c r="J68" s="331"/>
      <c r="K68" s="331"/>
      <c r="L68" s="45"/>
      <c r="M68" s="45"/>
      <c r="N68" s="46"/>
      <c r="O68" s="46"/>
      <c r="P68" s="164"/>
      <c r="Q68" s="164"/>
      <c r="R68" s="45"/>
      <c r="T68" s="41">
        <v>1</v>
      </c>
      <c r="V68" s="133" t="s">
        <v>94</v>
      </c>
      <c r="W68" s="133" t="s">
        <v>154</v>
      </c>
      <c r="X68" s="42"/>
      <c r="Y68" s="1"/>
      <c r="Z68" s="1"/>
      <c r="AA68" s="324"/>
      <c r="AB68" s="324"/>
      <c r="AC68" s="309" t="s">
        <v>328</v>
      </c>
      <c r="AD68" s="324"/>
      <c r="AE68" s="324"/>
      <c r="AF68" s="324"/>
      <c r="AG68" s="328"/>
      <c r="AH68" s="324"/>
      <c r="AI68" s="324"/>
      <c r="AJ68" s="324"/>
      <c r="AK68" s="328"/>
      <c r="AL68" s="324"/>
      <c r="AM68" s="324"/>
      <c r="AN68" s="324"/>
      <c r="AO68" s="324"/>
      <c r="AP68" s="324"/>
      <c r="AQ68" s="328"/>
      <c r="AS68" s="45"/>
      <c r="AT68" s="45"/>
      <c r="AU68" s="46"/>
    </row>
    <row r="69" spans="1:47">
      <c r="C69" s="42"/>
      <c r="H69" s="164"/>
      <c r="I69" s="164"/>
      <c r="J69" s="331"/>
      <c r="K69" s="331"/>
      <c r="L69" s="45"/>
      <c r="M69" s="45"/>
      <c r="N69" s="46"/>
      <c r="O69" s="46"/>
      <c r="P69" s="164"/>
      <c r="Q69" s="164"/>
      <c r="R69" s="45"/>
      <c r="T69" s="41">
        <v>2</v>
      </c>
      <c r="V69" s="130"/>
      <c r="W69" s="133" t="s">
        <v>155</v>
      </c>
      <c r="X69" s="42"/>
      <c r="Y69" s="1"/>
      <c r="Z69" s="1"/>
      <c r="AA69" s="1"/>
      <c r="AB69" s="1"/>
      <c r="AC69" s="1"/>
      <c r="AD69" s="1"/>
      <c r="AE69" s="1"/>
      <c r="AF69" s="1"/>
      <c r="AG69" s="103"/>
      <c r="AH69" s="1"/>
      <c r="AI69" s="1"/>
      <c r="AJ69" s="1"/>
      <c r="AK69" s="103"/>
      <c r="AL69" s="1"/>
      <c r="AM69" s="1"/>
      <c r="AN69" s="1"/>
      <c r="AO69" s="1"/>
      <c r="AP69" s="1"/>
      <c r="AQ69" s="103"/>
      <c r="AS69" s="45"/>
      <c r="AT69" s="45"/>
      <c r="AU69" s="46"/>
    </row>
    <row r="70" spans="1:47">
      <c r="C70" s="42"/>
      <c r="F70" s="45"/>
      <c r="H70" s="45"/>
      <c r="I70" s="45"/>
      <c r="J70" s="47"/>
      <c r="K70" s="47"/>
      <c r="L70" s="45"/>
      <c r="M70" s="45"/>
      <c r="N70" s="46"/>
      <c r="O70" s="46"/>
      <c r="P70" s="45"/>
      <c r="Q70" s="45"/>
      <c r="R70" s="45"/>
      <c r="Y70" s="1"/>
      <c r="Z70" s="1"/>
      <c r="AA70" s="1"/>
      <c r="AB70" s="1"/>
      <c r="AC70" s="1"/>
      <c r="AD70" s="1"/>
      <c r="AE70" s="1"/>
      <c r="AF70" s="1"/>
      <c r="AG70" s="103"/>
      <c r="AH70" s="1"/>
      <c r="AI70" s="1"/>
      <c r="AJ70" s="1"/>
      <c r="AK70" s="103"/>
      <c r="AL70" s="1"/>
      <c r="AM70" s="1"/>
      <c r="AN70" s="1"/>
      <c r="AO70" s="1"/>
      <c r="AP70" s="1"/>
      <c r="AQ70" s="103"/>
      <c r="AS70" s="45"/>
      <c r="AT70" s="45"/>
      <c r="AU70" s="46"/>
    </row>
    <row r="71" spans="1:47">
      <c r="F71" s="50"/>
      <c r="H71" s="50"/>
      <c r="I71" s="50"/>
      <c r="J71" s="326"/>
      <c r="K71" s="326"/>
      <c r="L71" s="50"/>
      <c r="M71" s="50"/>
      <c r="N71" s="50"/>
      <c r="O71" s="50"/>
      <c r="P71" s="50"/>
      <c r="Q71" s="50"/>
      <c r="R71" s="50"/>
      <c r="T71" s="41">
        <v>3</v>
      </c>
      <c r="V71" s="133" t="s">
        <v>133</v>
      </c>
      <c r="Y71" s="3"/>
      <c r="Z71" s="1"/>
      <c r="AA71" s="1"/>
      <c r="AB71" s="1"/>
      <c r="AC71" s="80"/>
      <c r="AD71" s="80"/>
      <c r="AE71" s="3"/>
      <c r="AF71" s="3"/>
      <c r="AG71" s="103"/>
      <c r="AH71" s="1"/>
      <c r="AI71" s="1"/>
      <c r="AJ71" s="1"/>
      <c r="AK71" s="103"/>
      <c r="AL71" s="1"/>
      <c r="AM71" s="1"/>
      <c r="AN71" s="1"/>
      <c r="AO71" s="3"/>
      <c r="AP71" s="3"/>
      <c r="AQ71" s="103"/>
      <c r="AS71" s="45"/>
      <c r="AT71" s="45"/>
      <c r="AU71" s="46"/>
    </row>
    <row r="72" spans="1:47">
      <c r="A72" s="42"/>
      <c r="F72" s="45"/>
      <c r="H72" s="45"/>
      <c r="I72" s="45"/>
      <c r="J72" s="47"/>
      <c r="K72" s="47"/>
      <c r="L72" s="45"/>
      <c r="M72" s="45"/>
      <c r="N72" s="45"/>
      <c r="O72" s="45"/>
      <c r="P72" s="45"/>
      <c r="Q72" s="45"/>
      <c r="R72" s="45"/>
      <c r="T72" s="41">
        <v>4</v>
      </c>
      <c r="V72" s="42" t="s">
        <v>134</v>
      </c>
      <c r="Y72" s="3">
        <f>F24</f>
        <v>204</v>
      </c>
      <c r="Z72" s="1"/>
      <c r="AA72" s="3"/>
      <c r="AB72" s="3"/>
      <c r="AC72" s="316">
        <f>INPUT!C86</f>
        <v>15</v>
      </c>
      <c r="AD72" s="76"/>
      <c r="AE72" s="3">
        <f>ROUND(Y72*AC72,0)</f>
        <v>3060</v>
      </c>
      <c r="AF72" s="3"/>
      <c r="AG72" s="103">
        <f>ROUND((AE72/AE$91)*100,1)</f>
        <v>0.2</v>
      </c>
      <c r="AH72" s="4"/>
      <c r="AI72" s="3">
        <f>L24-AE72</f>
        <v>0</v>
      </c>
      <c r="AJ72" s="3"/>
      <c r="AK72" s="113">
        <f>IF(AE72=0,"0.0 ",ROUND((AI72/AE72)*100,1))</f>
        <v>0</v>
      </c>
      <c r="AL72" s="6"/>
      <c r="AM72" s="3"/>
      <c r="AN72" s="3"/>
      <c r="AO72" s="3">
        <f>AE72+AM72</f>
        <v>3060</v>
      </c>
      <c r="AP72" s="3"/>
      <c r="AQ72" s="113">
        <f>IF(AO72=0,"0.0 ",ROUND((AI72/AO72)*100,1))</f>
        <v>0</v>
      </c>
      <c r="AR72" s="45"/>
      <c r="AS72" s="45"/>
      <c r="AT72" s="45"/>
      <c r="AU72" s="46"/>
    </row>
    <row r="73" spans="1:47">
      <c r="L73" s="45"/>
      <c r="M73" s="45"/>
      <c r="N73" s="45"/>
      <c r="O73" s="45"/>
      <c r="P73" s="45"/>
      <c r="Q73" s="45"/>
      <c r="R73" s="45"/>
      <c r="T73" s="41">
        <v>5</v>
      </c>
      <c r="V73" s="42" t="s">
        <v>135</v>
      </c>
      <c r="Y73" s="3">
        <f>F25</f>
        <v>802</v>
      </c>
      <c r="Z73" s="1"/>
      <c r="AA73" s="3"/>
      <c r="AB73" s="3"/>
      <c r="AC73" s="316">
        <f>INPUT!C87</f>
        <v>30</v>
      </c>
      <c r="AD73" s="76"/>
      <c r="AE73" s="3">
        <f>ROUND(Y73*AC73,0)</f>
        <v>24060</v>
      </c>
      <c r="AF73" s="3"/>
      <c r="AG73" s="103">
        <f>ROUND((AE73/AE$91)*100,1)+0.1</f>
        <v>1.4000000000000001</v>
      </c>
      <c r="AH73" s="4"/>
      <c r="AI73" s="3">
        <f>L25-AE73</f>
        <v>0</v>
      </c>
      <c r="AJ73" s="3"/>
      <c r="AK73" s="103">
        <f>IF(AE73=0,"0.0 ",ROUND((AI73/AE73)*100,1))</f>
        <v>0</v>
      </c>
      <c r="AL73" s="6"/>
      <c r="AM73" s="3"/>
      <c r="AN73" s="3"/>
      <c r="AO73" s="3">
        <f>AE73+AM73</f>
        <v>24060</v>
      </c>
      <c r="AP73" s="3"/>
      <c r="AQ73" s="113">
        <f>IF(AO73=0,"0.0 ",ROUND((AI73/AO73)*100,1))</f>
        <v>0</v>
      </c>
      <c r="AR73" s="45"/>
      <c r="AS73" s="45"/>
      <c r="AT73" s="45"/>
      <c r="AU73" s="46"/>
    </row>
    <row r="74" spans="1:47">
      <c r="L74" s="45"/>
      <c r="M74" s="45"/>
      <c r="N74" s="45"/>
      <c r="O74" s="45"/>
      <c r="P74" s="45"/>
      <c r="Q74" s="45"/>
      <c r="R74" s="45"/>
      <c r="T74" s="41">
        <v>6</v>
      </c>
      <c r="V74" s="42" t="s">
        <v>144</v>
      </c>
      <c r="Y74" s="3">
        <f>F26</f>
        <v>0</v>
      </c>
      <c r="Z74" s="1"/>
      <c r="AA74" s="3"/>
      <c r="AB74" s="3"/>
      <c r="AC74" s="316">
        <f>INPUT!C88</f>
        <v>117</v>
      </c>
      <c r="AD74" s="76"/>
      <c r="AE74" s="66">
        <f>ROUND(Y74*AC74,0)</f>
        <v>0</v>
      </c>
      <c r="AF74" s="3"/>
      <c r="AG74" s="104">
        <f>ROUND((AE74/AE$91)*100,1)</f>
        <v>0</v>
      </c>
      <c r="AH74" s="4"/>
      <c r="AI74" s="3">
        <f>L26-AE74</f>
        <v>0</v>
      </c>
      <c r="AJ74" s="3"/>
      <c r="AK74" s="112" t="str">
        <f>IF(AE74=0,"0.0 ",ROUND((AI74/AE74)*100,1))</f>
        <v xml:space="preserve">0.0 </v>
      </c>
      <c r="AL74" s="6"/>
      <c r="AM74" s="3"/>
      <c r="AN74" s="3"/>
      <c r="AO74" s="3">
        <f>AE74+AM74</f>
        <v>0</v>
      </c>
      <c r="AP74" s="3"/>
      <c r="AQ74" s="113" t="str">
        <f>IF(AO74=0,"0.0 ",ROUND((AI74/AO74)*100,1))</f>
        <v xml:space="preserve">0.0 </v>
      </c>
      <c r="AR74" s="45"/>
      <c r="AS74" s="45"/>
      <c r="AT74" s="45"/>
      <c r="AU74" s="46"/>
    </row>
    <row r="75" spans="1:47" ht="20.100000000000001" customHeight="1">
      <c r="H75" s="42"/>
      <c r="I75" s="42"/>
      <c r="T75" s="41">
        <v>7</v>
      </c>
      <c r="V75" s="133" t="s">
        <v>136</v>
      </c>
      <c r="Y75" s="72">
        <f>F27</f>
        <v>1006</v>
      </c>
      <c r="Z75" s="1"/>
      <c r="AA75" s="3"/>
      <c r="AB75" s="3"/>
      <c r="AC75" s="7"/>
      <c r="AD75" s="7"/>
      <c r="AE75" s="72">
        <f>SUM(AE72:AE74)</f>
        <v>27120</v>
      </c>
      <c r="AF75" s="3"/>
      <c r="AG75" s="104">
        <f>ROUND((AE75/AE$91)*100,1)</f>
        <v>1.4</v>
      </c>
      <c r="AH75" s="4"/>
      <c r="AI75" s="72">
        <f>SUM(AI72:AI74)</f>
        <v>0</v>
      </c>
      <c r="AJ75" s="3"/>
      <c r="AK75" s="114">
        <f>IF(AE75=0,"0.0 ",ROUND((AI75/AE75)*100,1))</f>
        <v>0</v>
      </c>
      <c r="AL75" s="6"/>
      <c r="AM75" s="72"/>
      <c r="AN75" s="3"/>
      <c r="AO75" s="72">
        <f>SUM(AO72:AO74)</f>
        <v>27120</v>
      </c>
      <c r="AP75" s="3"/>
      <c r="AQ75" s="113">
        <f>IF(AO75=0,"0.0 ",ROUND((AI75/AO75)*100,1))</f>
        <v>0</v>
      </c>
      <c r="AR75" s="45"/>
    </row>
    <row r="76" spans="1:47">
      <c r="L76" s="42"/>
      <c r="M76" s="42"/>
      <c r="Y76" s="3"/>
      <c r="Z76" s="1"/>
      <c r="AA76" s="1"/>
      <c r="AB76" s="1"/>
      <c r="AC76" s="1"/>
      <c r="AD76" s="1"/>
      <c r="AE76" s="1"/>
      <c r="AF76" s="1"/>
      <c r="AG76" s="103"/>
      <c r="AH76" s="1"/>
      <c r="AI76" s="1"/>
      <c r="AJ76" s="1"/>
      <c r="AK76" s="103"/>
      <c r="AL76" s="1"/>
      <c r="AM76" s="1"/>
      <c r="AN76" s="1"/>
      <c r="AO76" s="3"/>
      <c r="AP76" s="3"/>
      <c r="AQ76" s="103"/>
      <c r="AR76" s="164"/>
    </row>
    <row r="77" spans="1:47">
      <c r="L77" s="42"/>
      <c r="M77" s="42"/>
      <c r="T77" s="41">
        <v>8</v>
      </c>
      <c r="V77" s="130" t="s">
        <v>63</v>
      </c>
      <c r="Y77" s="3"/>
      <c r="Z77" s="1"/>
      <c r="AA77" s="1"/>
      <c r="AB77" s="1"/>
      <c r="AC77" s="1"/>
      <c r="AD77" s="1"/>
      <c r="AE77" s="1"/>
      <c r="AF77" s="1"/>
      <c r="AG77" s="103"/>
      <c r="AH77" s="1"/>
      <c r="AI77" s="1"/>
      <c r="AJ77" s="1"/>
      <c r="AK77" s="103"/>
      <c r="AL77" s="1"/>
      <c r="AM77" s="1"/>
      <c r="AN77" s="1"/>
      <c r="AO77" s="3"/>
      <c r="AP77" s="3"/>
      <c r="AQ77" s="103"/>
      <c r="AR77" s="164"/>
    </row>
    <row r="78" spans="1:47">
      <c r="L78" s="42"/>
      <c r="M78" s="42"/>
      <c r="T78" s="41">
        <v>9</v>
      </c>
      <c r="V78" s="41" t="s">
        <v>150</v>
      </c>
      <c r="Y78" s="3"/>
      <c r="Z78" s="1"/>
      <c r="AA78" s="66">
        <f>H30</f>
        <v>0</v>
      </c>
      <c r="AB78" s="1"/>
      <c r="AC78" s="316">
        <f>INPUT!C92</f>
        <v>0</v>
      </c>
      <c r="AD78" s="1"/>
      <c r="AE78" s="66">
        <f>ROUND(Y78*AC78,0)</f>
        <v>0</v>
      </c>
      <c r="AF78" s="1"/>
      <c r="AG78" s="104">
        <f>ROUND((AE78/AE$91)*100,1)</f>
        <v>0</v>
      </c>
      <c r="AH78" s="1"/>
      <c r="AI78" s="66">
        <f>L30-AE78</f>
        <v>0</v>
      </c>
      <c r="AJ78" s="1"/>
      <c r="AK78" s="112" t="str">
        <f>IF(AE78=0,"0.0 ",ROUND((AI78/AE78)*100,1))</f>
        <v xml:space="preserve">0.0 </v>
      </c>
      <c r="AL78" s="1"/>
      <c r="AM78" s="8"/>
      <c r="AN78" s="1"/>
      <c r="AO78" s="66">
        <f>AE78+AM78</f>
        <v>0</v>
      </c>
      <c r="AP78" s="3"/>
      <c r="AQ78" s="113" t="str">
        <f>IF(AO78=0,"0.0 ",ROUND((AI78/AO78)*100,1))</f>
        <v xml:space="preserve">0.0 </v>
      </c>
      <c r="AR78" s="164"/>
    </row>
    <row r="79" spans="1:47">
      <c r="L79" s="42"/>
      <c r="M79" s="42"/>
      <c r="Y79" s="3"/>
      <c r="Z79" s="1"/>
      <c r="AA79" s="1"/>
      <c r="AB79" s="1"/>
      <c r="AC79" s="1"/>
      <c r="AD79" s="1"/>
      <c r="AE79" s="1"/>
      <c r="AF79" s="1"/>
      <c r="AG79" s="103"/>
      <c r="AH79" s="1"/>
      <c r="AI79" s="1"/>
      <c r="AJ79" s="1"/>
      <c r="AK79" s="103"/>
      <c r="AL79" s="1"/>
      <c r="AM79" s="1"/>
      <c r="AN79" s="1"/>
      <c r="AO79" s="3"/>
      <c r="AP79" s="3"/>
      <c r="AQ79" s="103"/>
      <c r="AR79" s="164"/>
    </row>
    <row r="80" spans="1:47">
      <c r="R80" s="42"/>
      <c r="T80" s="41">
        <v>10</v>
      </c>
      <c r="V80" s="133" t="s">
        <v>371</v>
      </c>
      <c r="Y80" s="3"/>
      <c r="Z80" s="1"/>
      <c r="AA80" s="1"/>
      <c r="AB80" s="1"/>
      <c r="AC80" s="1"/>
      <c r="AD80" s="1"/>
      <c r="AE80" s="1"/>
      <c r="AF80" s="1"/>
      <c r="AG80" s="103"/>
      <c r="AH80" s="1"/>
      <c r="AI80" s="1"/>
      <c r="AJ80" s="1"/>
      <c r="AK80" s="103"/>
      <c r="AL80" s="1"/>
      <c r="AM80" s="1"/>
      <c r="AN80" s="1"/>
      <c r="AO80" s="3"/>
      <c r="AP80" s="3"/>
      <c r="AQ80" s="103"/>
      <c r="AR80" s="164"/>
    </row>
    <row r="81" spans="1:44">
      <c r="A81" s="42"/>
      <c r="R81" s="42"/>
      <c r="T81" s="41">
        <v>11</v>
      </c>
      <c r="V81" s="42" t="s">
        <v>85</v>
      </c>
      <c r="Y81" s="3"/>
      <c r="Z81" s="1"/>
      <c r="AA81" s="66">
        <f>H33</f>
        <v>19145457</v>
      </c>
      <c r="AB81" s="3"/>
      <c r="AC81" s="134">
        <f>INPUT!C90</f>
        <v>9.0635999999999994E-2</v>
      </c>
      <c r="AD81" s="322"/>
      <c r="AE81" s="66">
        <f>ROUND((AA81*AC81),0)</f>
        <v>1735268</v>
      </c>
      <c r="AF81" s="3"/>
      <c r="AG81" s="104">
        <f>ROUND((AE81/AE$91)*100,1)</f>
        <v>92.1</v>
      </c>
      <c r="AH81" s="4"/>
      <c r="AI81" s="66">
        <f>L33-AE81</f>
        <v>271827</v>
      </c>
      <c r="AJ81" s="3"/>
      <c r="AK81" s="112">
        <f>IF(AE81=0,"0.0 ",ROUND((AI81/AE81)*100,1))</f>
        <v>15.7</v>
      </c>
      <c r="AL81" s="6"/>
      <c r="AM81" s="69"/>
      <c r="AN81" s="68"/>
      <c r="AO81" s="66">
        <f>AE81+AM81</f>
        <v>1735268</v>
      </c>
      <c r="AP81" s="3"/>
      <c r="AQ81" s="113">
        <f>IF(AO81=0,"0.0 ",ROUND((AI81/AO81)*100,1))</f>
        <v>15.7</v>
      </c>
      <c r="AR81" s="45"/>
    </row>
    <row r="82" spans="1:44" ht="20.100000000000001" customHeight="1">
      <c r="A82" s="42"/>
      <c r="R82" s="42"/>
      <c r="T82" s="41">
        <v>12</v>
      </c>
      <c r="V82" s="310" t="s">
        <v>443</v>
      </c>
      <c r="Y82" s="66">
        <f>Y75</f>
        <v>1006</v>
      </c>
      <c r="Z82" s="1"/>
      <c r="AA82" s="72">
        <f>AA81</f>
        <v>19145457</v>
      </c>
      <c r="AB82" s="3"/>
      <c r="AC82" s="320"/>
      <c r="AD82" s="322"/>
      <c r="AE82" s="72">
        <f>AE75+AE78+AE81</f>
        <v>1762388</v>
      </c>
      <c r="AF82" s="3"/>
      <c r="AG82" s="105">
        <f>ROUND((AE82/AE$91)*100,1)</f>
        <v>93.5</v>
      </c>
      <c r="AH82" s="4"/>
      <c r="AI82" s="72">
        <f>AI75+AI78+AI81</f>
        <v>271827</v>
      </c>
      <c r="AJ82" s="3"/>
      <c r="AK82" s="114">
        <f>IF(AE82=0,"0.0 ",ROUND((AI82/AE82)*100,1))</f>
        <v>15.4</v>
      </c>
      <c r="AL82" s="6"/>
      <c r="AM82" s="71"/>
      <c r="AN82" s="68"/>
      <c r="AO82" s="72">
        <f>AO75+AO78+AO81</f>
        <v>1762388</v>
      </c>
      <c r="AP82" s="3"/>
      <c r="AQ82" s="113">
        <f>IF(AO82=0,"0.0 ",ROUND((AI82/AO82)*100,1))</f>
        <v>15.4</v>
      </c>
      <c r="AR82" s="45"/>
    </row>
    <row r="83" spans="1:44">
      <c r="A83" s="42"/>
      <c r="R83" s="42"/>
      <c r="V83" s="42"/>
      <c r="Y83" s="3"/>
      <c r="Z83" s="1"/>
      <c r="AA83" s="3"/>
      <c r="AB83" s="3"/>
      <c r="AC83" s="320"/>
      <c r="AD83" s="322"/>
      <c r="AE83" s="3"/>
      <c r="AF83" s="3"/>
      <c r="AG83" s="103"/>
      <c r="AH83" s="4"/>
      <c r="AI83" s="3"/>
      <c r="AJ83" s="3"/>
      <c r="AK83" s="113"/>
      <c r="AL83" s="6"/>
      <c r="AM83" s="68"/>
      <c r="AN83" s="68"/>
      <c r="AO83" s="3"/>
      <c r="AP83" s="3"/>
      <c r="AQ83" s="113"/>
      <c r="AR83" s="45"/>
    </row>
    <row r="84" spans="1:44">
      <c r="A84" s="42"/>
      <c r="R84" s="42"/>
      <c r="T84" s="41">
        <f t="shared" ref="T84:T89" si="0">A36</f>
        <v>13</v>
      </c>
      <c r="V84" s="133" t="s">
        <v>430</v>
      </c>
      <c r="Y84" s="3"/>
      <c r="Z84" s="1"/>
      <c r="AA84" s="3"/>
      <c r="AB84" s="3"/>
      <c r="AC84" s="320"/>
      <c r="AD84" s="322"/>
      <c r="AE84" s="3"/>
      <c r="AF84" s="3"/>
      <c r="AG84" s="103"/>
      <c r="AH84" s="4"/>
      <c r="AI84" s="3"/>
      <c r="AJ84" s="3"/>
      <c r="AK84" s="113"/>
      <c r="AL84" s="6"/>
      <c r="AM84" s="68"/>
      <c r="AN84" s="68"/>
      <c r="AO84" s="3"/>
      <c r="AP84" s="3"/>
      <c r="AQ84" s="113"/>
      <c r="AR84" s="45"/>
    </row>
    <row r="85" spans="1:44">
      <c r="A85" s="42"/>
      <c r="R85" s="42"/>
      <c r="T85" s="41">
        <f t="shared" si="0"/>
        <v>14</v>
      </c>
      <c r="V85" s="128" t="str">
        <f>C37</f>
        <v>DEMAND SIDE MANAGEMENT RIDER (DSMR)</v>
      </c>
      <c r="Y85" s="3"/>
      <c r="Z85" s="1"/>
      <c r="AA85" s="3"/>
      <c r="AB85" s="3"/>
      <c r="AC85" s="327">
        <f>DSM_DIST</f>
        <v>3.503E-3</v>
      </c>
      <c r="AD85" s="322"/>
      <c r="AE85" s="3">
        <f>ROUND($AA$82*AC85,0)</f>
        <v>67067</v>
      </c>
      <c r="AF85" s="3"/>
      <c r="AG85" s="103">
        <f>ROUND((AE85/AE$91)*100,1)</f>
        <v>3.6</v>
      </c>
      <c r="AH85" s="4"/>
      <c r="AI85" s="3">
        <f>L37-AE85</f>
        <v>0</v>
      </c>
      <c r="AJ85" s="3"/>
      <c r="AK85" s="113">
        <f>IF(AE85=0,"0.0 ",ROUND((AI85/AE85)*100,1))</f>
        <v>0</v>
      </c>
      <c r="AL85" s="6"/>
      <c r="AM85" s="68"/>
      <c r="AN85" s="68"/>
      <c r="AO85" s="3">
        <f>AE85+AM85</f>
        <v>67067</v>
      </c>
      <c r="AP85" s="3"/>
      <c r="AQ85" s="113">
        <f>IF(AO85=0,"0.0 ",ROUND((AI85/AO85)*100,1))</f>
        <v>0</v>
      </c>
      <c r="AR85" s="45"/>
    </row>
    <row r="86" spans="1:44">
      <c r="A86" s="42"/>
      <c r="R86" s="42"/>
      <c r="T86" s="41">
        <f t="shared" si="0"/>
        <v>15</v>
      </c>
      <c r="V86" s="128" t="str">
        <f>C38</f>
        <v>ENVIRONMENTAL SURCHARGE MECHANISM RIDER (ESM)</v>
      </c>
      <c r="Y86" s="3"/>
      <c r="Z86" s="1"/>
      <c r="AA86" s="3"/>
      <c r="AB86" s="3"/>
      <c r="AC86" s="332">
        <f>CUR_ESM_NonRes</f>
        <v>6.4941608437496566E-3</v>
      </c>
      <c r="AD86" s="322"/>
      <c r="AE86" s="3">
        <f>ROUND((AO82-(CUR_BASE_FUEL*AA82)+AO85+AO88)*AC86,0)</f>
        <v>7989</v>
      </c>
      <c r="AF86" s="3"/>
      <c r="AG86" s="103">
        <f>ROUND((AE86/AE$91)*100,1)</f>
        <v>0.4</v>
      </c>
      <c r="AH86" s="4"/>
      <c r="AI86" s="3">
        <f>L38-AE86</f>
        <v>212</v>
      </c>
      <c r="AJ86" s="3"/>
      <c r="AK86" s="113">
        <f>IF(AE86=0,"0.0 ",ROUND((AI86/AE86)*100,1))</f>
        <v>2.7</v>
      </c>
      <c r="AL86" s="6"/>
      <c r="AM86" s="68"/>
      <c r="AN86" s="68"/>
      <c r="AO86" s="3">
        <f>AE86+AM86</f>
        <v>7989</v>
      </c>
      <c r="AP86" s="3"/>
      <c r="AQ86" s="113">
        <f>IF(AO86=0,"0.0 ",ROUND((AI86/AO86)*100,1))</f>
        <v>2.7</v>
      </c>
      <c r="AR86" s="45"/>
    </row>
    <row r="87" spans="1:44">
      <c r="A87" s="42"/>
      <c r="R87" s="42"/>
      <c r="T87" s="41">
        <f t="shared" si="0"/>
        <v>16</v>
      </c>
      <c r="V87" s="128" t="str">
        <f>C39</f>
        <v>FUEL ADJUSTMENT CLAUSE (FAC)</v>
      </c>
      <c r="Y87" s="3"/>
      <c r="Z87" s="1"/>
      <c r="AA87" s="3"/>
      <c r="AB87" s="3"/>
      <c r="AC87" s="327">
        <f>CUR_FAC</f>
        <v>3.4872127999999998E-3</v>
      </c>
      <c r="AD87" s="322"/>
      <c r="AE87" s="3"/>
      <c r="AF87" s="3"/>
      <c r="AG87" s="103"/>
      <c r="AH87" s="4"/>
      <c r="AI87" s="3"/>
      <c r="AJ87" s="3"/>
      <c r="AK87" s="113"/>
      <c r="AL87" s="6"/>
      <c r="AM87" s="68">
        <f>ROUND(AA82*CUR_FAC,0)</f>
        <v>66764</v>
      </c>
      <c r="AN87" s="68"/>
      <c r="AO87" s="3">
        <f>AE87+AM87</f>
        <v>66764</v>
      </c>
      <c r="AP87" s="3"/>
      <c r="AQ87" s="113">
        <f>IF(AO87=0,"0.0 ",ROUND(((R39-AO87)/AO87)*100,1))</f>
        <v>0</v>
      </c>
      <c r="AR87" s="45"/>
    </row>
    <row r="88" spans="1:44">
      <c r="A88" s="42"/>
      <c r="R88" s="42"/>
      <c r="T88" s="41">
        <f t="shared" si="0"/>
        <v>17</v>
      </c>
      <c r="V88" s="128" t="str">
        <f>C40</f>
        <v>PROFIT SHARING MECHANISM (PSM)</v>
      </c>
      <c r="Y88" s="3"/>
      <c r="Z88" s="1"/>
      <c r="AA88" s="3"/>
      <c r="AB88" s="3"/>
      <c r="AC88" s="327">
        <f>RS_PSM</f>
        <v>2.4750000000000002E-3</v>
      </c>
      <c r="AD88" s="322"/>
      <c r="AE88" s="66">
        <f>ROUND(AA82*RS_PSM,0)</f>
        <v>47385</v>
      </c>
      <c r="AF88" s="3"/>
      <c r="AG88" s="104">
        <f>ROUND((AE88/AE$91)*100,1)</f>
        <v>2.5</v>
      </c>
      <c r="AH88" s="4"/>
      <c r="AI88" s="3">
        <f>L40-AE88</f>
        <v>0</v>
      </c>
      <c r="AJ88" s="3"/>
      <c r="AK88" s="112">
        <f>IF(AE88=0,"0.0 ",ROUND((AI88/AE88)*100,1))</f>
        <v>0</v>
      </c>
      <c r="AL88" s="6"/>
      <c r="AM88" s="69"/>
      <c r="AN88" s="68"/>
      <c r="AO88" s="66">
        <f>AE88+AM88</f>
        <v>47385</v>
      </c>
      <c r="AP88" s="3"/>
      <c r="AQ88" s="113">
        <f>IF(AO88=0,"0.0 ",ROUND((AI88/AO88)*100,1))</f>
        <v>0</v>
      </c>
      <c r="AR88" s="45"/>
    </row>
    <row r="89" spans="1:44" ht="20.100000000000001" customHeight="1">
      <c r="A89" s="42"/>
      <c r="R89" s="42"/>
      <c r="T89" s="41">
        <f t="shared" si="0"/>
        <v>18</v>
      </c>
      <c r="V89" s="133" t="s">
        <v>435</v>
      </c>
      <c r="Y89" s="66"/>
      <c r="Z89" s="1"/>
      <c r="AA89" s="66"/>
      <c r="AB89" s="3"/>
      <c r="AC89" s="320"/>
      <c r="AD89" s="322"/>
      <c r="AE89" s="72">
        <f>SUM(AE85:AE88)</f>
        <v>122441</v>
      </c>
      <c r="AF89" s="3"/>
      <c r="AG89" s="105">
        <f>ROUND((AE89/AE$91)*100,1)</f>
        <v>6.5</v>
      </c>
      <c r="AH89" s="4"/>
      <c r="AI89" s="72">
        <f>SUM(AI85:AI88)</f>
        <v>212</v>
      </c>
      <c r="AJ89" s="3"/>
      <c r="AK89" s="114">
        <f>IF(AE89=0,"0.0 ",ROUND((AI89/AE89)*100,1))</f>
        <v>0.2</v>
      </c>
      <c r="AL89" s="6"/>
      <c r="AM89" s="71">
        <f>SUM(AM85:AM88)</f>
        <v>66764</v>
      </c>
      <c r="AN89" s="68"/>
      <c r="AO89" s="72">
        <f>SUM(AO85:AO88)</f>
        <v>189205</v>
      </c>
      <c r="AP89" s="3"/>
      <c r="AQ89" s="113">
        <f>IF(AO89=0,"0.0 ",ROUND((AI89/AO89)*100,1))</f>
        <v>0.1</v>
      </c>
      <c r="AR89" s="45"/>
    </row>
    <row r="90" spans="1:44">
      <c r="A90" s="42"/>
      <c r="R90" s="42"/>
      <c r="V90" s="42"/>
      <c r="Y90" s="3"/>
      <c r="Z90" s="1"/>
      <c r="AA90" s="3"/>
      <c r="AB90" s="3"/>
      <c r="AC90" s="320"/>
      <c r="AD90" s="322"/>
      <c r="AE90" s="3"/>
      <c r="AF90" s="3"/>
      <c r="AG90" s="103"/>
      <c r="AH90" s="4"/>
      <c r="AI90" s="3"/>
      <c r="AJ90" s="3"/>
      <c r="AK90" s="113"/>
      <c r="AL90" s="6"/>
      <c r="AM90" s="68"/>
      <c r="AN90" s="68"/>
      <c r="AO90" s="3"/>
      <c r="AP90" s="3"/>
      <c r="AQ90" s="113"/>
      <c r="AR90" s="45"/>
    </row>
    <row r="91" spans="1:44" ht="20.100000000000001" customHeight="1" thickBot="1">
      <c r="L91" s="44"/>
      <c r="M91" s="44"/>
      <c r="N91" s="44"/>
      <c r="O91" s="44"/>
      <c r="R91" s="44"/>
      <c r="T91" s="41">
        <f>A43</f>
        <v>19</v>
      </c>
      <c r="V91" s="133" t="s">
        <v>444</v>
      </c>
      <c r="Y91" s="67">
        <f>Y82</f>
        <v>1006</v>
      </c>
      <c r="Z91" s="1"/>
      <c r="AA91" s="67">
        <f>AA82</f>
        <v>19145457</v>
      </c>
      <c r="AB91" s="3"/>
      <c r="AC91" s="80"/>
      <c r="AD91" s="80"/>
      <c r="AE91" s="67">
        <f>AE89+AE82</f>
        <v>1884829</v>
      </c>
      <c r="AF91" s="3"/>
      <c r="AG91" s="106">
        <v>100</v>
      </c>
      <c r="AH91" s="4"/>
      <c r="AI91" s="67">
        <f>AI89+AI82</f>
        <v>272039</v>
      </c>
      <c r="AJ91" s="3"/>
      <c r="AK91" s="115">
        <f>IF(AE91=0,"0.0 ",ROUND((AI91/AE91)*100,1))</f>
        <v>14.4</v>
      </c>
      <c r="AL91" s="6"/>
      <c r="AM91" s="67">
        <f>AM89+AM82</f>
        <v>66764</v>
      </c>
      <c r="AN91" s="3"/>
      <c r="AO91" s="67">
        <f>AO89+AO82</f>
        <v>1951593</v>
      </c>
      <c r="AP91" s="3"/>
      <c r="AQ91" s="113">
        <f>IF(AO91=0,"0.0 ",ROUND((AI91/AO91)*100,1))</f>
        <v>13.9</v>
      </c>
    </row>
    <row r="92" spans="1:44" ht="16.5" thickTop="1">
      <c r="C92" s="44"/>
      <c r="D92" s="44"/>
      <c r="E92" s="44"/>
      <c r="F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Y92" s="1"/>
      <c r="Z92" s="1"/>
      <c r="AA92" s="1"/>
      <c r="AB92" s="1"/>
      <c r="AC92" s="1"/>
      <c r="AD92" s="1"/>
      <c r="AE92" s="1"/>
      <c r="AF92" s="1"/>
      <c r="AG92" s="103"/>
      <c r="AH92" s="1"/>
      <c r="AI92" s="1"/>
      <c r="AJ92" s="1"/>
      <c r="AK92" s="103"/>
      <c r="AL92" s="3"/>
      <c r="AM92" s="1"/>
      <c r="AN92" s="1"/>
      <c r="AO92" s="1"/>
      <c r="AP92" s="1"/>
      <c r="AQ92" s="103"/>
    </row>
    <row r="93" spans="1:44"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V93" s="140" t="s">
        <v>59</v>
      </c>
      <c r="Y93" s="45"/>
      <c r="AA93" s="45"/>
      <c r="AB93" s="45"/>
      <c r="AC93" s="47"/>
      <c r="AD93" s="47"/>
      <c r="AE93" s="45"/>
      <c r="AF93" s="45"/>
      <c r="AH93" s="45"/>
      <c r="AI93" s="45"/>
      <c r="AJ93" s="45"/>
      <c r="AL93" s="45"/>
    </row>
    <row r="94" spans="1:44"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V94" s="140" t="str">
        <f>"(2) REFLECTS FUEL COMPONENT OF "&amp;TEXT(CUR_FAC,"$0.000000;($0.000000)")&amp;"  PER KWH."</f>
        <v>(2) REFLECTS FUEL COMPONENT OF $0.003487  PER KWH.</v>
      </c>
      <c r="Y94" s="45"/>
      <c r="AA94" s="45"/>
      <c r="AB94" s="45"/>
      <c r="AC94" s="47"/>
      <c r="AD94" s="47"/>
      <c r="AE94" s="45"/>
      <c r="AF94" s="45"/>
      <c r="AH94" s="45"/>
      <c r="AI94" s="45"/>
      <c r="AJ94" s="45"/>
      <c r="AL94" s="45"/>
    </row>
    <row r="95" spans="1:44">
      <c r="C95" s="42"/>
      <c r="D95" s="42"/>
      <c r="E95" s="42"/>
      <c r="T95" s="49"/>
      <c r="U95" s="49"/>
      <c r="V95" s="140" t="str">
        <f>"(3) REFLECTS FUEL COST RECOVERY INCLUDED IN BASE RATES OF "&amp;TEXT(CUR_BASE_FUEL,"$0.000000;($0.000000)")&amp;"  PER KWH."</f>
        <v>(3) REFLECTS FUEL COST RECOVERY INCLUDED IN BASE RATES OF $0.033780  PER KWH.</v>
      </c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107"/>
      <c r="AH95" s="49"/>
      <c r="AI95" s="49"/>
      <c r="AJ95" s="49"/>
      <c r="AK95" s="107"/>
      <c r="AL95" s="49"/>
      <c r="AM95" s="49"/>
      <c r="AN95" s="49"/>
    </row>
    <row r="96" spans="1:44">
      <c r="C96" s="42"/>
      <c r="AA96" s="44"/>
      <c r="AB96" s="44"/>
      <c r="AC96" s="44"/>
      <c r="AD96" s="44"/>
      <c r="AE96" s="44"/>
      <c r="AF96" s="44"/>
      <c r="AG96" s="102"/>
      <c r="AH96" s="44"/>
      <c r="AK96" s="102"/>
      <c r="AL96" s="44"/>
      <c r="AM96" s="44"/>
      <c r="AN96" s="44"/>
    </row>
    <row r="97" spans="3:40">
      <c r="Z97" s="44"/>
      <c r="AA97" s="44"/>
      <c r="AB97" s="44"/>
      <c r="AC97" s="44"/>
      <c r="AD97" s="44"/>
      <c r="AE97" s="44"/>
      <c r="AF97" s="44"/>
      <c r="AG97" s="102"/>
      <c r="AH97" s="44"/>
      <c r="AK97" s="102"/>
      <c r="AL97" s="44"/>
      <c r="AM97" s="44"/>
      <c r="AN97" s="44"/>
    </row>
    <row r="98" spans="3:40">
      <c r="C98" s="42"/>
      <c r="T98" s="44"/>
      <c r="U98" s="44"/>
      <c r="V98" s="44"/>
      <c r="Z98" s="44"/>
      <c r="AA98" s="44"/>
      <c r="AB98" s="44"/>
      <c r="AC98" s="44"/>
      <c r="AD98" s="44"/>
      <c r="AE98" s="44"/>
      <c r="AF98" s="44"/>
      <c r="AG98" s="102"/>
      <c r="AH98" s="44"/>
      <c r="AI98" s="44"/>
      <c r="AJ98" s="44"/>
      <c r="AK98" s="102"/>
      <c r="AL98" s="44"/>
      <c r="AM98" s="44"/>
      <c r="AN98" s="44"/>
    </row>
    <row r="99" spans="3:40">
      <c r="C99" s="42"/>
      <c r="F99" s="164"/>
      <c r="H99" s="164"/>
      <c r="I99" s="164"/>
      <c r="J99" s="316"/>
      <c r="K99" s="316"/>
      <c r="L99" s="45"/>
      <c r="M99" s="45"/>
      <c r="N99" s="46"/>
      <c r="O99" s="46"/>
      <c r="R99" s="45"/>
      <c r="T99" s="44"/>
      <c r="U99" s="44"/>
      <c r="V99" s="44"/>
      <c r="Y99" s="44"/>
      <c r="Z99" s="44"/>
      <c r="AA99" s="44"/>
      <c r="AB99" s="44"/>
      <c r="AC99" s="44"/>
      <c r="AD99" s="44"/>
      <c r="AE99" s="44"/>
      <c r="AF99" s="44"/>
      <c r="AG99" s="102"/>
      <c r="AH99" s="44"/>
      <c r="AI99" s="44"/>
      <c r="AJ99" s="44"/>
      <c r="AK99" s="102"/>
      <c r="AL99" s="44"/>
      <c r="AM99" s="44"/>
      <c r="AN99" s="44"/>
    </row>
    <row r="100" spans="3:40">
      <c r="C100" s="42"/>
      <c r="F100" s="164"/>
      <c r="H100" s="164"/>
      <c r="I100" s="164"/>
      <c r="J100" s="316"/>
      <c r="K100" s="316"/>
      <c r="L100" s="45"/>
      <c r="M100" s="45"/>
      <c r="N100" s="46"/>
      <c r="O100" s="46"/>
      <c r="R100" s="45"/>
      <c r="T100" s="44"/>
      <c r="U100" s="44"/>
      <c r="V100" s="44"/>
      <c r="Y100" s="44"/>
      <c r="Z100" s="44"/>
      <c r="AA100" s="44"/>
      <c r="AB100" s="44"/>
      <c r="AC100" s="44"/>
      <c r="AD100" s="44"/>
      <c r="AE100" s="44"/>
      <c r="AF100" s="44"/>
      <c r="AG100" s="102"/>
      <c r="AH100" s="44"/>
      <c r="AI100" s="44"/>
      <c r="AJ100" s="44"/>
      <c r="AK100" s="102"/>
      <c r="AL100" s="44"/>
      <c r="AM100" s="44"/>
      <c r="AN100" s="44"/>
    </row>
    <row r="101" spans="3:40">
      <c r="C101" s="42"/>
      <c r="F101" s="164"/>
      <c r="H101" s="164"/>
      <c r="I101" s="164"/>
      <c r="J101" s="316"/>
      <c r="K101" s="316"/>
      <c r="L101" s="45"/>
      <c r="M101" s="45"/>
      <c r="N101" s="46"/>
      <c r="O101" s="46"/>
      <c r="R101" s="45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107"/>
      <c r="AH101" s="49"/>
      <c r="AI101" s="49"/>
      <c r="AJ101" s="49"/>
      <c r="AK101" s="107"/>
      <c r="AL101" s="49"/>
      <c r="AM101" s="49"/>
      <c r="AN101" s="49"/>
    </row>
    <row r="102" spans="3:40">
      <c r="F102" s="50"/>
      <c r="H102" s="45"/>
      <c r="I102" s="45"/>
      <c r="J102" s="326"/>
      <c r="K102" s="326"/>
      <c r="L102" s="50"/>
      <c r="M102" s="50"/>
      <c r="N102" s="50"/>
      <c r="O102" s="50"/>
      <c r="P102" s="50"/>
      <c r="Q102" s="50"/>
      <c r="R102" s="50"/>
      <c r="Y102" s="44"/>
      <c r="Z102" s="44"/>
      <c r="AA102" s="44"/>
      <c r="AB102" s="44"/>
      <c r="AC102" s="44"/>
      <c r="AD102" s="44"/>
      <c r="AE102" s="44"/>
      <c r="AF102" s="44"/>
      <c r="AG102" s="102"/>
      <c r="AH102" s="44"/>
      <c r="AI102" s="44"/>
      <c r="AJ102" s="44"/>
      <c r="AK102" s="102"/>
      <c r="AL102" s="44"/>
      <c r="AM102" s="44"/>
      <c r="AN102" s="44"/>
    </row>
    <row r="103" spans="3:40">
      <c r="C103" s="42"/>
      <c r="F103" s="45"/>
      <c r="H103" s="45"/>
      <c r="I103" s="45"/>
      <c r="J103" s="326"/>
      <c r="K103" s="326"/>
      <c r="L103" s="45"/>
      <c r="M103" s="45"/>
      <c r="N103" s="46"/>
      <c r="O103" s="46"/>
      <c r="P103" s="45"/>
      <c r="Q103" s="45"/>
      <c r="R103" s="45"/>
      <c r="T103" s="42"/>
      <c r="U103" s="42"/>
    </row>
    <row r="104" spans="3:40">
      <c r="F104" s="50"/>
      <c r="H104" s="45"/>
      <c r="I104" s="45"/>
      <c r="J104" s="326"/>
      <c r="K104" s="326"/>
      <c r="L104" s="50"/>
      <c r="M104" s="50"/>
      <c r="N104" s="50"/>
      <c r="O104" s="50"/>
      <c r="P104" s="50"/>
      <c r="Q104" s="50"/>
      <c r="R104" s="50"/>
      <c r="T104" s="42"/>
    </row>
    <row r="105" spans="3:40">
      <c r="C105" s="42"/>
      <c r="F105" s="164"/>
      <c r="H105" s="164"/>
      <c r="I105" s="164"/>
      <c r="J105" s="336"/>
      <c r="K105" s="336"/>
      <c r="L105" s="45"/>
      <c r="M105" s="45"/>
      <c r="N105" s="46"/>
      <c r="O105" s="46"/>
      <c r="P105" s="45"/>
      <c r="Q105" s="45"/>
      <c r="R105" s="45"/>
      <c r="S105" s="45"/>
    </row>
    <row r="106" spans="3:40">
      <c r="C106" s="42"/>
      <c r="F106" s="164"/>
      <c r="H106" s="164"/>
      <c r="I106" s="164"/>
      <c r="J106" s="316"/>
      <c r="K106" s="316"/>
      <c r="L106" s="45"/>
      <c r="M106" s="45"/>
      <c r="N106" s="46"/>
      <c r="O106" s="46"/>
      <c r="P106" s="45"/>
      <c r="Q106" s="45"/>
      <c r="R106" s="45"/>
      <c r="T106" s="42"/>
    </row>
    <row r="107" spans="3:40">
      <c r="C107" s="42"/>
      <c r="F107" s="164"/>
      <c r="H107" s="164"/>
      <c r="I107" s="164"/>
      <c r="J107" s="316"/>
      <c r="K107" s="316"/>
      <c r="L107" s="45"/>
      <c r="M107" s="45"/>
      <c r="N107" s="46"/>
      <c r="O107" s="46"/>
      <c r="P107" s="45"/>
      <c r="Q107" s="45"/>
      <c r="R107" s="45"/>
      <c r="T107" s="42"/>
      <c r="V107" s="45"/>
      <c r="Y107" s="164"/>
      <c r="Z107" s="316"/>
      <c r="AA107" s="45"/>
      <c r="AB107" s="45"/>
      <c r="AC107" s="46"/>
      <c r="AD107" s="46"/>
      <c r="AE107" s="45"/>
      <c r="AF107" s="45"/>
      <c r="AG107" s="333"/>
      <c r="AH107" s="334"/>
      <c r="AL107" s="45"/>
      <c r="AM107" s="335"/>
      <c r="AN107" s="335"/>
    </row>
    <row r="108" spans="3:40">
      <c r="F108" s="45"/>
      <c r="H108" s="50"/>
      <c r="I108" s="50"/>
      <c r="J108" s="326"/>
      <c r="K108" s="326"/>
      <c r="L108" s="50"/>
      <c r="M108" s="50"/>
      <c r="N108" s="50"/>
      <c r="O108" s="50"/>
      <c r="P108" s="50"/>
      <c r="Q108" s="50"/>
      <c r="R108" s="50"/>
      <c r="T108" s="42"/>
      <c r="V108" s="45"/>
      <c r="Y108" s="164"/>
      <c r="Z108" s="316"/>
      <c r="AA108" s="45"/>
      <c r="AB108" s="45"/>
      <c r="AC108" s="46"/>
      <c r="AD108" s="46"/>
      <c r="AE108" s="45"/>
      <c r="AF108" s="45"/>
      <c r="AH108" s="51"/>
      <c r="AL108" s="45"/>
      <c r="AM108" s="46"/>
      <c r="AN108" s="46"/>
    </row>
    <row r="109" spans="3:40">
      <c r="C109" s="42"/>
      <c r="F109" s="45"/>
      <c r="H109" s="45"/>
      <c r="I109" s="45"/>
      <c r="J109" s="326"/>
      <c r="K109" s="326"/>
      <c r="L109" s="45"/>
      <c r="M109" s="45"/>
      <c r="N109" s="46"/>
      <c r="O109" s="46"/>
      <c r="P109" s="45"/>
      <c r="Q109" s="45"/>
      <c r="R109" s="45"/>
      <c r="T109" s="42"/>
      <c r="V109" s="45"/>
      <c r="Y109" s="164"/>
      <c r="Z109" s="316"/>
      <c r="AA109" s="45"/>
      <c r="AB109" s="45"/>
      <c r="AC109" s="46"/>
      <c r="AD109" s="46"/>
      <c r="AE109" s="45"/>
      <c r="AF109" s="45"/>
      <c r="AH109" s="51"/>
      <c r="AL109" s="45"/>
      <c r="AM109" s="46"/>
      <c r="AN109" s="46"/>
    </row>
    <row r="110" spans="3:40">
      <c r="F110" s="45"/>
      <c r="H110" s="50"/>
      <c r="I110" s="50"/>
      <c r="J110" s="326"/>
      <c r="K110" s="326"/>
      <c r="L110" s="50"/>
      <c r="M110" s="50"/>
      <c r="N110" s="50"/>
      <c r="O110" s="50"/>
      <c r="P110" s="50"/>
      <c r="Q110" s="50"/>
      <c r="R110" s="50"/>
      <c r="V110" s="50"/>
      <c r="Y110" s="45"/>
      <c r="Z110" s="326"/>
      <c r="AA110" s="50"/>
      <c r="AB110" s="50"/>
      <c r="AC110" s="50"/>
      <c r="AD110" s="50"/>
      <c r="AE110" s="50"/>
      <c r="AF110" s="50"/>
      <c r="AI110" s="50"/>
      <c r="AJ110" s="50"/>
      <c r="AK110" s="111"/>
      <c r="AL110" s="50"/>
      <c r="AM110" s="46"/>
      <c r="AN110" s="46"/>
    </row>
    <row r="111" spans="3:40">
      <c r="C111" s="42"/>
      <c r="F111" s="45"/>
      <c r="H111" s="45"/>
      <c r="I111" s="45"/>
      <c r="J111" s="326"/>
      <c r="K111" s="326"/>
      <c r="L111" s="45"/>
      <c r="M111" s="45"/>
      <c r="N111" s="45"/>
      <c r="O111" s="45"/>
      <c r="P111" s="45"/>
      <c r="Q111" s="45"/>
      <c r="R111" s="45"/>
      <c r="T111" s="42"/>
      <c r="V111" s="45"/>
      <c r="Y111" s="45"/>
      <c r="Z111" s="47"/>
      <c r="AA111" s="45"/>
      <c r="AB111" s="45"/>
      <c r="AC111" s="46"/>
      <c r="AD111" s="46"/>
      <c r="AE111" s="45"/>
      <c r="AF111" s="45"/>
      <c r="AH111" s="51"/>
      <c r="AI111" s="45"/>
      <c r="AJ111" s="45"/>
      <c r="AL111" s="45"/>
      <c r="AM111" s="46"/>
      <c r="AN111" s="46"/>
    </row>
    <row r="112" spans="3:40">
      <c r="C112" s="42"/>
      <c r="F112" s="45"/>
      <c r="H112" s="164"/>
      <c r="I112" s="164"/>
      <c r="J112" s="132"/>
      <c r="K112" s="132"/>
      <c r="L112" s="45"/>
      <c r="M112" s="45"/>
      <c r="N112" s="46"/>
      <c r="O112" s="46"/>
      <c r="P112" s="45"/>
      <c r="Q112" s="45"/>
      <c r="R112" s="45"/>
      <c r="V112" s="50"/>
      <c r="Y112" s="45"/>
      <c r="Z112" s="326"/>
      <c r="AA112" s="50"/>
      <c r="AB112" s="50"/>
      <c r="AC112" s="50"/>
      <c r="AD112" s="50"/>
      <c r="AE112" s="50"/>
      <c r="AF112" s="50"/>
      <c r="AI112" s="50"/>
      <c r="AJ112" s="50"/>
      <c r="AK112" s="111"/>
      <c r="AL112" s="50"/>
      <c r="AM112" s="46"/>
      <c r="AN112" s="46"/>
    </row>
    <row r="113" spans="3:40">
      <c r="C113" s="42"/>
      <c r="H113" s="164"/>
      <c r="I113" s="164"/>
      <c r="J113" s="132"/>
      <c r="K113" s="132"/>
      <c r="L113" s="45"/>
      <c r="M113" s="45"/>
      <c r="N113" s="46"/>
      <c r="O113" s="46"/>
      <c r="P113" s="45"/>
      <c r="Q113" s="45"/>
      <c r="R113" s="45"/>
      <c r="T113" s="42"/>
      <c r="V113" s="164"/>
      <c r="Y113" s="164"/>
      <c r="Z113" s="336"/>
      <c r="AA113" s="45"/>
      <c r="AB113" s="45"/>
      <c r="AC113" s="46"/>
      <c r="AD113" s="46"/>
      <c r="AE113" s="45"/>
      <c r="AF113" s="45"/>
      <c r="AH113" s="46"/>
      <c r="AI113" s="45"/>
      <c r="AJ113" s="45"/>
      <c r="AL113" s="45"/>
      <c r="AM113" s="46"/>
      <c r="AN113" s="46"/>
    </row>
    <row r="114" spans="3:40">
      <c r="F114" s="45"/>
      <c r="H114" s="45"/>
      <c r="I114" s="45"/>
      <c r="J114" s="326"/>
      <c r="K114" s="326"/>
      <c r="L114" s="50"/>
      <c r="M114" s="50"/>
      <c r="N114" s="50"/>
      <c r="O114" s="50"/>
      <c r="P114" s="50"/>
      <c r="Q114" s="50"/>
      <c r="R114" s="50"/>
      <c r="T114" s="42"/>
      <c r="V114" s="164"/>
      <c r="Y114" s="45"/>
      <c r="Z114" s="316"/>
      <c r="AA114" s="45"/>
      <c r="AB114" s="45"/>
      <c r="AC114" s="46"/>
      <c r="AD114" s="46"/>
      <c r="AE114" s="45"/>
      <c r="AF114" s="45"/>
      <c r="AH114" s="51"/>
      <c r="AI114" s="45"/>
      <c r="AJ114" s="45"/>
      <c r="AL114" s="45"/>
      <c r="AM114" s="46"/>
      <c r="AN114" s="46"/>
    </row>
    <row r="115" spans="3:40">
      <c r="C115" s="42"/>
      <c r="F115" s="45"/>
      <c r="H115" s="45"/>
      <c r="I115" s="45"/>
      <c r="J115" s="47"/>
      <c r="K115" s="47"/>
      <c r="L115" s="45"/>
      <c r="M115" s="45"/>
      <c r="N115" s="46"/>
      <c r="O115" s="46"/>
      <c r="P115" s="45"/>
      <c r="Q115" s="45"/>
      <c r="R115" s="45"/>
      <c r="T115" s="42"/>
      <c r="V115" s="164"/>
      <c r="Y115" s="45"/>
      <c r="Z115" s="316"/>
      <c r="AA115" s="45"/>
      <c r="AB115" s="45"/>
      <c r="AC115" s="46"/>
      <c r="AD115" s="46"/>
      <c r="AE115" s="45"/>
      <c r="AF115" s="45"/>
      <c r="AH115" s="51"/>
      <c r="AI115" s="45"/>
      <c r="AJ115" s="45"/>
      <c r="AL115" s="45"/>
      <c r="AM115" s="46"/>
      <c r="AN115" s="46"/>
    </row>
    <row r="116" spans="3:40">
      <c r="F116" s="45"/>
      <c r="H116" s="45"/>
      <c r="I116" s="45"/>
      <c r="J116" s="326"/>
      <c r="K116" s="326"/>
      <c r="L116" s="50"/>
      <c r="M116" s="50"/>
      <c r="N116" s="50"/>
      <c r="O116" s="50"/>
      <c r="P116" s="50"/>
      <c r="Q116" s="50"/>
      <c r="R116" s="50"/>
      <c r="V116" s="45"/>
      <c r="Y116" s="50"/>
      <c r="Z116" s="326"/>
      <c r="AA116" s="50"/>
      <c r="AB116" s="50"/>
      <c r="AC116" s="50"/>
      <c r="AD116" s="50"/>
      <c r="AE116" s="50"/>
      <c r="AF116" s="50"/>
      <c r="AI116" s="50"/>
      <c r="AJ116" s="50"/>
      <c r="AK116" s="111"/>
      <c r="AL116" s="50"/>
      <c r="AM116" s="46"/>
      <c r="AN116" s="46"/>
    </row>
    <row r="117" spans="3:40">
      <c r="C117" s="42"/>
      <c r="F117" s="45"/>
      <c r="H117" s="45"/>
      <c r="I117" s="45"/>
      <c r="J117" s="47"/>
      <c r="K117" s="47"/>
      <c r="L117" s="45"/>
      <c r="M117" s="45"/>
      <c r="N117" s="46"/>
      <c r="O117" s="46"/>
      <c r="P117" s="45"/>
      <c r="Q117" s="45"/>
      <c r="R117" s="45"/>
      <c r="T117" s="42"/>
      <c r="V117" s="45"/>
      <c r="Y117" s="45"/>
      <c r="Z117" s="326"/>
      <c r="AA117" s="45"/>
      <c r="AB117" s="45"/>
      <c r="AC117" s="46"/>
      <c r="AD117" s="46"/>
      <c r="AE117" s="45"/>
      <c r="AF117" s="45"/>
      <c r="AH117" s="51"/>
      <c r="AI117" s="45"/>
      <c r="AJ117" s="45"/>
      <c r="AL117" s="45"/>
      <c r="AM117" s="46"/>
      <c r="AN117" s="46"/>
    </row>
    <row r="118" spans="3:40">
      <c r="C118" s="42"/>
      <c r="F118" s="45"/>
      <c r="H118" s="164"/>
      <c r="I118" s="164"/>
      <c r="J118" s="331"/>
      <c r="K118" s="331"/>
      <c r="L118" s="45"/>
      <c r="M118" s="45"/>
      <c r="N118" s="46"/>
      <c r="O118" s="46"/>
      <c r="P118" s="45"/>
      <c r="Q118" s="45"/>
      <c r="R118" s="45"/>
      <c r="V118" s="45"/>
      <c r="Y118" s="50"/>
      <c r="Z118" s="326"/>
      <c r="AA118" s="50"/>
      <c r="AB118" s="50"/>
      <c r="AC118" s="50"/>
      <c r="AD118" s="50"/>
      <c r="AE118" s="50"/>
      <c r="AF118" s="50"/>
      <c r="AI118" s="50"/>
      <c r="AJ118" s="50"/>
      <c r="AK118" s="111"/>
      <c r="AL118" s="50"/>
      <c r="AM118" s="46"/>
      <c r="AN118" s="46"/>
    </row>
    <row r="119" spans="3:40">
      <c r="F119" s="50"/>
      <c r="H119" s="50"/>
      <c r="I119" s="50"/>
      <c r="J119" s="326"/>
      <c r="K119" s="326"/>
      <c r="L119" s="50"/>
      <c r="M119" s="50"/>
      <c r="N119" s="50"/>
      <c r="O119" s="50"/>
      <c r="P119" s="50"/>
      <c r="Q119" s="50"/>
      <c r="R119" s="50"/>
      <c r="T119" s="42"/>
      <c r="V119" s="45"/>
      <c r="Y119" s="45"/>
      <c r="Z119" s="326"/>
      <c r="AA119" s="45"/>
      <c r="AB119" s="45"/>
      <c r="AC119" s="45"/>
      <c r="AD119" s="45"/>
      <c r="AE119" s="45"/>
      <c r="AF119" s="45"/>
      <c r="AH119" s="51"/>
      <c r="AI119" s="45"/>
      <c r="AJ119" s="45"/>
      <c r="AL119" s="45"/>
      <c r="AM119" s="46"/>
      <c r="AN119" s="46"/>
    </row>
    <row r="120" spans="3:40">
      <c r="C120" s="42"/>
      <c r="F120" s="45"/>
      <c r="H120" s="45"/>
      <c r="I120" s="45"/>
      <c r="J120" s="326"/>
      <c r="K120" s="326"/>
      <c r="L120" s="45"/>
      <c r="M120" s="45"/>
      <c r="N120" s="46"/>
      <c r="O120" s="46"/>
      <c r="P120" s="45"/>
      <c r="Q120" s="45"/>
      <c r="R120" s="45"/>
      <c r="S120" s="45"/>
      <c r="T120" s="42"/>
      <c r="V120" s="45"/>
      <c r="Y120" s="45"/>
      <c r="Z120" s="132"/>
      <c r="AA120" s="45"/>
      <c r="AB120" s="45"/>
      <c r="AC120" s="46"/>
      <c r="AD120" s="46"/>
      <c r="AE120" s="45"/>
      <c r="AF120" s="45"/>
      <c r="AH120" s="51"/>
      <c r="AI120" s="45"/>
      <c r="AJ120" s="45"/>
      <c r="AL120" s="45"/>
      <c r="AM120" s="46"/>
      <c r="AN120" s="46"/>
    </row>
    <row r="121" spans="3:40">
      <c r="F121" s="50"/>
      <c r="H121" s="50"/>
      <c r="I121" s="50"/>
      <c r="J121" s="326"/>
      <c r="K121" s="326"/>
      <c r="L121" s="50"/>
      <c r="M121" s="50"/>
      <c r="N121" s="50"/>
      <c r="O121" s="50"/>
      <c r="P121" s="50"/>
      <c r="Q121" s="50"/>
      <c r="R121" s="50"/>
      <c r="S121" s="45"/>
      <c r="T121" s="42"/>
      <c r="Y121" s="45"/>
      <c r="Z121" s="132"/>
      <c r="AA121" s="45"/>
      <c r="AB121" s="45"/>
      <c r="AC121" s="46"/>
      <c r="AD121" s="46"/>
      <c r="AE121" s="45"/>
      <c r="AF121" s="45"/>
      <c r="AH121" s="51"/>
      <c r="AI121" s="45"/>
      <c r="AJ121" s="45"/>
      <c r="AL121" s="45"/>
      <c r="AM121" s="46"/>
      <c r="AN121" s="46"/>
    </row>
    <row r="122" spans="3:40">
      <c r="C122" s="42"/>
      <c r="F122" s="164"/>
      <c r="H122" s="337"/>
      <c r="I122" s="337"/>
      <c r="J122" s="326"/>
      <c r="K122" s="326"/>
      <c r="L122" s="45"/>
      <c r="M122" s="45"/>
      <c r="N122" s="46"/>
      <c r="O122" s="46"/>
      <c r="P122" s="45"/>
      <c r="Q122" s="45"/>
      <c r="R122" s="45"/>
      <c r="S122" s="45"/>
      <c r="V122" s="45"/>
      <c r="Y122" s="45"/>
      <c r="Z122" s="326"/>
      <c r="AA122" s="50"/>
      <c r="AB122" s="50"/>
      <c r="AC122" s="50"/>
      <c r="AD122" s="50"/>
      <c r="AE122" s="50"/>
      <c r="AF122" s="50"/>
      <c r="AI122" s="50"/>
      <c r="AJ122" s="50"/>
      <c r="AK122" s="111"/>
      <c r="AL122" s="50"/>
      <c r="AM122" s="46"/>
      <c r="AN122" s="46"/>
    </row>
    <row r="123" spans="3:40">
      <c r="T123" s="42"/>
      <c r="V123" s="45"/>
      <c r="Y123" s="45"/>
      <c r="Z123" s="47"/>
      <c r="AA123" s="45"/>
      <c r="AB123" s="45"/>
      <c r="AC123" s="46"/>
      <c r="AD123" s="46"/>
      <c r="AE123" s="45"/>
      <c r="AF123" s="45"/>
      <c r="AH123" s="51"/>
      <c r="AI123" s="45"/>
      <c r="AJ123" s="45"/>
      <c r="AL123" s="45"/>
      <c r="AM123" s="46"/>
      <c r="AN123" s="46"/>
    </row>
    <row r="124" spans="3:40">
      <c r="C124" s="42"/>
      <c r="V124" s="45"/>
      <c r="Y124" s="45"/>
      <c r="Z124" s="326"/>
      <c r="AA124" s="50"/>
      <c r="AB124" s="50"/>
      <c r="AC124" s="50"/>
      <c r="AD124" s="50"/>
      <c r="AE124" s="50"/>
      <c r="AF124" s="50"/>
      <c r="AI124" s="50"/>
      <c r="AJ124" s="50"/>
      <c r="AK124" s="111"/>
      <c r="AL124" s="50"/>
      <c r="AM124" s="46"/>
      <c r="AN124" s="46"/>
    </row>
    <row r="125" spans="3:40">
      <c r="C125" s="42"/>
      <c r="F125" s="164"/>
      <c r="H125" s="164"/>
      <c r="I125" s="164"/>
      <c r="J125" s="316"/>
      <c r="K125" s="316"/>
      <c r="L125" s="45"/>
      <c r="M125" s="45"/>
      <c r="N125" s="46"/>
      <c r="O125" s="46"/>
      <c r="R125" s="45"/>
      <c r="T125" s="42"/>
      <c r="V125" s="45"/>
      <c r="Y125" s="45"/>
      <c r="Z125" s="47"/>
      <c r="AA125" s="45"/>
      <c r="AB125" s="45"/>
      <c r="AC125" s="46"/>
      <c r="AD125" s="46"/>
      <c r="AE125" s="45"/>
      <c r="AF125" s="45"/>
      <c r="AH125" s="51"/>
      <c r="AI125" s="45"/>
      <c r="AJ125" s="45"/>
      <c r="AL125" s="45"/>
      <c r="AM125" s="46"/>
      <c r="AN125" s="46"/>
    </row>
    <row r="126" spans="3:40">
      <c r="C126" s="42"/>
      <c r="F126" s="164"/>
      <c r="H126" s="164"/>
      <c r="I126" s="164"/>
      <c r="J126" s="316"/>
      <c r="K126" s="316"/>
      <c r="L126" s="45"/>
      <c r="M126" s="45"/>
      <c r="N126" s="46"/>
      <c r="O126" s="46"/>
      <c r="R126" s="45"/>
      <c r="T126" s="42"/>
      <c r="V126" s="164"/>
      <c r="Y126" s="45"/>
      <c r="Z126" s="331"/>
      <c r="AA126" s="45"/>
      <c r="AB126" s="45"/>
      <c r="AC126" s="46"/>
      <c r="AD126" s="46"/>
      <c r="AE126" s="45"/>
      <c r="AF126" s="45"/>
      <c r="AH126" s="51"/>
      <c r="AI126" s="45"/>
      <c r="AJ126" s="45"/>
      <c r="AL126" s="45"/>
      <c r="AM126" s="46"/>
      <c r="AN126" s="46"/>
    </row>
    <row r="127" spans="3:40">
      <c r="C127" s="42"/>
      <c r="F127" s="164"/>
      <c r="H127" s="164"/>
      <c r="I127" s="164"/>
      <c r="J127" s="316"/>
      <c r="K127" s="316"/>
      <c r="L127" s="45"/>
      <c r="M127" s="45"/>
      <c r="N127" s="46"/>
      <c r="O127" s="46"/>
      <c r="R127" s="45"/>
      <c r="V127" s="50"/>
      <c r="Y127" s="50"/>
      <c r="Z127" s="326"/>
      <c r="AA127" s="50"/>
      <c r="AB127" s="50"/>
      <c r="AC127" s="50"/>
      <c r="AD127" s="50"/>
      <c r="AE127" s="50"/>
      <c r="AF127" s="50"/>
      <c r="AI127" s="50"/>
      <c r="AJ127" s="50"/>
      <c r="AK127" s="111"/>
      <c r="AL127" s="50"/>
      <c r="AM127" s="46"/>
      <c r="AN127" s="46"/>
    </row>
    <row r="128" spans="3:40">
      <c r="F128" s="50"/>
      <c r="H128" s="45"/>
      <c r="I128" s="45"/>
      <c r="J128" s="326"/>
      <c r="K128" s="326"/>
      <c r="L128" s="50"/>
      <c r="M128" s="50"/>
      <c r="N128" s="50"/>
      <c r="O128" s="50"/>
      <c r="P128" s="50"/>
      <c r="Q128" s="50"/>
      <c r="R128" s="50"/>
      <c r="T128" s="42"/>
      <c r="V128" s="45"/>
      <c r="Y128" s="45"/>
      <c r="Z128" s="326"/>
      <c r="AA128" s="45"/>
      <c r="AB128" s="45"/>
      <c r="AC128" s="46"/>
      <c r="AD128" s="46"/>
      <c r="AE128" s="45"/>
      <c r="AF128" s="45"/>
      <c r="AH128" s="46"/>
      <c r="AI128" s="45"/>
      <c r="AJ128" s="45"/>
      <c r="AL128" s="45"/>
      <c r="AM128" s="46"/>
      <c r="AN128" s="46"/>
    </row>
    <row r="129" spans="3:40">
      <c r="C129" s="42"/>
      <c r="F129" s="45"/>
      <c r="H129" s="45"/>
      <c r="I129" s="45"/>
      <c r="J129" s="326"/>
      <c r="K129" s="326"/>
      <c r="L129" s="45"/>
      <c r="M129" s="45"/>
      <c r="N129" s="46"/>
      <c r="O129" s="46"/>
      <c r="P129" s="45"/>
      <c r="Q129" s="45"/>
      <c r="R129" s="45"/>
      <c r="V129" s="50"/>
      <c r="Y129" s="50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>
      <c r="F130" s="50"/>
      <c r="H130" s="45"/>
      <c r="I130" s="45"/>
      <c r="J130" s="326"/>
      <c r="K130" s="326"/>
      <c r="L130" s="50"/>
      <c r="M130" s="50"/>
      <c r="N130" s="50"/>
      <c r="O130" s="50"/>
      <c r="P130" s="50"/>
      <c r="Q130" s="50"/>
      <c r="R130" s="50"/>
      <c r="T130" s="42"/>
      <c r="V130" s="164"/>
      <c r="Y130" s="164"/>
      <c r="Z130" s="326"/>
      <c r="AA130" s="45"/>
      <c r="AB130" s="45"/>
      <c r="AC130" s="46"/>
      <c r="AD130" s="46"/>
      <c r="AE130" s="45"/>
      <c r="AF130" s="45"/>
      <c r="AI130" s="45"/>
      <c r="AJ130" s="45"/>
      <c r="AL130" s="45"/>
      <c r="AM130" s="46"/>
      <c r="AN130" s="46"/>
    </row>
    <row r="131" spans="3:40">
      <c r="C131" s="42"/>
      <c r="F131" s="164"/>
      <c r="H131" s="164"/>
      <c r="I131" s="164"/>
      <c r="J131" s="336"/>
      <c r="K131" s="336"/>
      <c r="L131" s="45"/>
      <c r="M131" s="45"/>
      <c r="N131" s="46"/>
      <c r="O131" s="46"/>
      <c r="P131" s="45"/>
      <c r="Q131" s="45"/>
      <c r="R131" s="45"/>
      <c r="S131" s="45"/>
    </row>
    <row r="132" spans="3:40">
      <c r="C132" s="42"/>
      <c r="F132" s="164"/>
      <c r="H132" s="164"/>
      <c r="I132" s="164"/>
      <c r="J132" s="316"/>
      <c r="K132" s="316"/>
      <c r="L132" s="45"/>
      <c r="M132" s="45"/>
      <c r="N132" s="46"/>
      <c r="O132" s="46"/>
      <c r="P132" s="45"/>
      <c r="Q132" s="45"/>
      <c r="R132" s="45"/>
      <c r="T132" s="42"/>
    </row>
    <row r="133" spans="3:40">
      <c r="C133" s="42"/>
      <c r="F133" s="164"/>
      <c r="H133" s="164"/>
      <c r="I133" s="164"/>
      <c r="J133" s="316"/>
      <c r="K133" s="316"/>
      <c r="L133" s="45"/>
      <c r="M133" s="45"/>
      <c r="N133" s="46"/>
      <c r="O133" s="46"/>
      <c r="P133" s="45"/>
      <c r="Q133" s="45"/>
      <c r="R133" s="45"/>
      <c r="T133" s="42"/>
      <c r="V133" s="45"/>
      <c r="Y133" s="164"/>
      <c r="Z133" s="316"/>
      <c r="AA133" s="45"/>
      <c r="AB133" s="45"/>
      <c r="AC133" s="46"/>
      <c r="AD133" s="46"/>
      <c r="AE133" s="45"/>
      <c r="AF133" s="45"/>
      <c r="AG133" s="333"/>
      <c r="AH133" s="334"/>
      <c r="AL133" s="45"/>
      <c r="AM133" s="335"/>
      <c r="AN133" s="335"/>
    </row>
    <row r="134" spans="3:40">
      <c r="F134" s="45"/>
      <c r="H134" s="50"/>
      <c r="I134" s="50"/>
      <c r="J134" s="326"/>
      <c r="K134" s="326"/>
      <c r="L134" s="50"/>
      <c r="M134" s="50"/>
      <c r="N134" s="50"/>
      <c r="O134" s="50"/>
      <c r="P134" s="50"/>
      <c r="Q134" s="50"/>
      <c r="R134" s="50"/>
      <c r="T134" s="42"/>
      <c r="V134" s="45"/>
      <c r="Y134" s="164"/>
      <c r="Z134" s="316"/>
      <c r="AA134" s="45"/>
      <c r="AB134" s="45"/>
      <c r="AC134" s="46"/>
      <c r="AD134" s="46"/>
      <c r="AE134" s="45"/>
      <c r="AF134" s="45"/>
      <c r="AH134" s="51"/>
      <c r="AL134" s="45"/>
      <c r="AM134" s="46"/>
      <c r="AN134" s="46"/>
    </row>
    <row r="135" spans="3:40">
      <c r="C135" s="42"/>
      <c r="F135" s="45"/>
      <c r="H135" s="45"/>
      <c r="I135" s="45"/>
      <c r="J135" s="326"/>
      <c r="K135" s="326"/>
      <c r="L135" s="45"/>
      <c r="M135" s="45"/>
      <c r="N135" s="46"/>
      <c r="O135" s="46"/>
      <c r="P135" s="45"/>
      <c r="Q135" s="45"/>
      <c r="R135" s="45"/>
      <c r="T135" s="42"/>
      <c r="V135" s="45"/>
      <c r="Y135" s="164"/>
      <c r="Z135" s="316"/>
      <c r="AA135" s="45"/>
      <c r="AB135" s="45"/>
      <c r="AC135" s="46"/>
      <c r="AD135" s="46"/>
      <c r="AE135" s="45"/>
      <c r="AF135" s="45"/>
      <c r="AH135" s="51"/>
      <c r="AL135" s="45"/>
      <c r="AM135" s="46"/>
      <c r="AN135" s="46"/>
    </row>
    <row r="136" spans="3:40">
      <c r="F136" s="45"/>
      <c r="H136" s="50"/>
      <c r="I136" s="50"/>
      <c r="J136" s="326"/>
      <c r="K136" s="326"/>
      <c r="L136" s="50"/>
      <c r="M136" s="50"/>
      <c r="N136" s="50"/>
      <c r="O136" s="50"/>
      <c r="P136" s="50"/>
      <c r="Q136" s="50"/>
      <c r="R136" s="50"/>
      <c r="V136" s="50"/>
      <c r="Y136" s="45"/>
      <c r="Z136" s="326"/>
      <c r="AA136" s="50"/>
      <c r="AB136" s="50"/>
      <c r="AC136" s="50"/>
      <c r="AD136" s="50"/>
      <c r="AE136" s="50"/>
      <c r="AF136" s="50"/>
      <c r="AI136" s="50"/>
      <c r="AJ136" s="50"/>
      <c r="AK136" s="111"/>
      <c r="AL136" s="50"/>
      <c r="AM136" s="46"/>
      <c r="AN136" s="46"/>
    </row>
    <row r="137" spans="3:40">
      <c r="C137" s="42"/>
      <c r="F137" s="45"/>
      <c r="H137" s="45"/>
      <c r="I137" s="45"/>
      <c r="J137" s="326"/>
      <c r="K137" s="326"/>
      <c r="L137" s="45"/>
      <c r="M137" s="45"/>
      <c r="N137" s="45"/>
      <c r="O137" s="45"/>
      <c r="P137" s="45"/>
      <c r="Q137" s="45"/>
      <c r="R137" s="45"/>
      <c r="T137" s="42"/>
      <c r="V137" s="45"/>
      <c r="Y137" s="45"/>
      <c r="Z137" s="326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3:40">
      <c r="C138" s="42"/>
      <c r="F138" s="45"/>
      <c r="H138" s="164"/>
      <c r="I138" s="164"/>
      <c r="J138" s="132"/>
      <c r="K138" s="132"/>
      <c r="L138" s="45"/>
      <c r="M138" s="45"/>
      <c r="N138" s="46"/>
      <c r="O138" s="46"/>
      <c r="P138" s="45"/>
      <c r="Q138" s="45"/>
      <c r="R138" s="45"/>
      <c r="V138" s="50"/>
      <c r="Y138" s="45"/>
      <c r="Z138" s="326"/>
      <c r="AA138" s="50"/>
      <c r="AB138" s="50"/>
      <c r="AC138" s="50"/>
      <c r="AD138" s="50"/>
      <c r="AE138" s="50"/>
      <c r="AF138" s="50"/>
      <c r="AI138" s="50"/>
      <c r="AJ138" s="50"/>
      <c r="AK138" s="111"/>
      <c r="AL138" s="50"/>
      <c r="AM138" s="46"/>
      <c r="AN138" s="46"/>
    </row>
    <row r="139" spans="3:40">
      <c r="C139" s="42"/>
      <c r="H139" s="164"/>
      <c r="I139" s="164"/>
      <c r="J139" s="132"/>
      <c r="K139" s="132"/>
      <c r="L139" s="45"/>
      <c r="M139" s="45"/>
      <c r="N139" s="46"/>
      <c r="O139" s="46"/>
      <c r="P139" s="45"/>
      <c r="Q139" s="45"/>
      <c r="R139" s="45"/>
      <c r="T139" s="42"/>
      <c r="V139" s="164"/>
      <c r="Y139" s="164"/>
      <c r="Z139" s="336"/>
      <c r="AA139" s="45"/>
      <c r="AB139" s="45"/>
      <c r="AC139" s="46"/>
      <c r="AD139" s="46"/>
      <c r="AE139" s="45"/>
      <c r="AF139" s="45"/>
      <c r="AH139" s="46"/>
      <c r="AI139" s="45"/>
      <c r="AJ139" s="45"/>
      <c r="AL139" s="45"/>
      <c r="AM139" s="46"/>
      <c r="AN139" s="46"/>
    </row>
    <row r="140" spans="3:40">
      <c r="F140" s="45"/>
      <c r="H140" s="45"/>
      <c r="I140" s="45"/>
      <c r="J140" s="326"/>
      <c r="K140" s="326"/>
      <c r="L140" s="50"/>
      <c r="M140" s="50"/>
      <c r="N140" s="50"/>
      <c r="O140" s="50"/>
      <c r="P140" s="50"/>
      <c r="Q140" s="50"/>
      <c r="R140" s="50"/>
      <c r="T140" s="42"/>
      <c r="V140" s="164"/>
      <c r="Y140" s="45"/>
      <c r="Z140" s="316"/>
      <c r="AA140" s="45"/>
      <c r="AB140" s="45"/>
      <c r="AC140" s="46"/>
      <c r="AD140" s="46"/>
      <c r="AE140" s="45"/>
      <c r="AF140" s="45"/>
      <c r="AH140" s="51"/>
      <c r="AI140" s="45"/>
      <c r="AJ140" s="45"/>
      <c r="AL140" s="45"/>
      <c r="AM140" s="46"/>
      <c r="AN140" s="46"/>
    </row>
    <row r="141" spans="3:40">
      <c r="C141" s="42"/>
      <c r="F141" s="45"/>
      <c r="H141" s="45"/>
      <c r="I141" s="45"/>
      <c r="J141" s="47"/>
      <c r="K141" s="47"/>
      <c r="L141" s="45"/>
      <c r="M141" s="45"/>
      <c r="N141" s="46"/>
      <c r="O141" s="46"/>
      <c r="P141" s="45"/>
      <c r="Q141" s="45"/>
      <c r="R141" s="45"/>
      <c r="T141" s="42"/>
      <c r="V141" s="164"/>
      <c r="Y141" s="45"/>
      <c r="Z141" s="316"/>
      <c r="AA141" s="45"/>
      <c r="AB141" s="45"/>
      <c r="AC141" s="46"/>
      <c r="AD141" s="46"/>
      <c r="AE141" s="45"/>
      <c r="AF141" s="45"/>
      <c r="AH141" s="51"/>
      <c r="AI141" s="45"/>
      <c r="AJ141" s="45"/>
      <c r="AL141" s="45"/>
      <c r="AM141" s="46"/>
      <c r="AN141" s="46"/>
    </row>
    <row r="142" spans="3:40">
      <c r="F142" s="45"/>
      <c r="H142" s="45"/>
      <c r="I142" s="45"/>
      <c r="J142" s="326"/>
      <c r="K142" s="326"/>
      <c r="L142" s="50"/>
      <c r="M142" s="50"/>
      <c r="N142" s="50"/>
      <c r="O142" s="50"/>
      <c r="P142" s="50"/>
      <c r="Q142" s="50"/>
      <c r="R142" s="50"/>
      <c r="V142" s="45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>
      <c r="C143" s="42"/>
      <c r="F143" s="45"/>
      <c r="H143" s="45"/>
      <c r="I143" s="45"/>
      <c r="J143" s="47"/>
      <c r="K143" s="47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326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>
      <c r="C144" s="42"/>
      <c r="F144" s="164"/>
      <c r="H144" s="164"/>
      <c r="I144" s="164"/>
      <c r="J144" s="331"/>
      <c r="K144" s="331"/>
      <c r="L144" s="45"/>
      <c r="M144" s="45"/>
      <c r="N144" s="46"/>
      <c r="O144" s="46"/>
      <c r="P144" s="45"/>
      <c r="Q144" s="45"/>
      <c r="R144" s="45"/>
      <c r="V144" s="45"/>
      <c r="Y144" s="50"/>
      <c r="Z144" s="326"/>
      <c r="AA144" s="50"/>
      <c r="AB144" s="50"/>
      <c r="AC144" s="50"/>
      <c r="AD144" s="50"/>
      <c r="AE144" s="50"/>
      <c r="AF144" s="50"/>
      <c r="AI144" s="50"/>
      <c r="AJ144" s="50"/>
      <c r="AK144" s="111"/>
      <c r="AL144" s="50"/>
      <c r="AM144" s="46"/>
      <c r="AN144" s="46"/>
    </row>
    <row r="145" spans="1:40">
      <c r="F145" s="50"/>
      <c r="H145" s="50"/>
      <c r="I145" s="50"/>
      <c r="J145" s="326"/>
      <c r="K145" s="326"/>
      <c r="L145" s="50"/>
      <c r="M145" s="50"/>
      <c r="N145" s="50"/>
      <c r="O145" s="50"/>
      <c r="P145" s="50"/>
      <c r="Q145" s="50"/>
      <c r="R145" s="50"/>
      <c r="T145" s="42"/>
      <c r="V145" s="45"/>
      <c r="Y145" s="45"/>
      <c r="Z145" s="326"/>
      <c r="AA145" s="45"/>
      <c r="AB145" s="45"/>
      <c r="AC145" s="45"/>
      <c r="AD145" s="45"/>
      <c r="AE145" s="45"/>
      <c r="AF145" s="45"/>
      <c r="AH145" s="51"/>
      <c r="AI145" s="45"/>
      <c r="AJ145" s="45"/>
      <c r="AL145" s="45"/>
      <c r="AM145" s="46"/>
      <c r="AN145" s="46"/>
    </row>
    <row r="146" spans="1:40">
      <c r="C146" s="42"/>
      <c r="F146" s="45"/>
      <c r="H146" s="45"/>
      <c r="I146" s="45"/>
      <c r="J146" s="326"/>
      <c r="K146" s="326"/>
      <c r="L146" s="45"/>
      <c r="M146" s="45"/>
      <c r="N146" s="46"/>
      <c r="O146" s="46"/>
      <c r="P146" s="45"/>
      <c r="Q146" s="45"/>
      <c r="R146" s="45"/>
      <c r="S146" s="45"/>
      <c r="T146" s="42"/>
      <c r="V146" s="45"/>
      <c r="Y146" s="45"/>
      <c r="Z146" s="132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1:40">
      <c r="F147" s="50"/>
      <c r="H147" s="50"/>
      <c r="I147" s="50"/>
      <c r="J147" s="326"/>
      <c r="K147" s="326"/>
      <c r="L147" s="50"/>
      <c r="M147" s="50"/>
      <c r="N147" s="50"/>
      <c r="O147" s="50"/>
      <c r="P147" s="50"/>
      <c r="Q147" s="50"/>
      <c r="R147" s="50"/>
      <c r="S147" s="45"/>
      <c r="T147" s="42"/>
      <c r="Y147" s="45"/>
      <c r="Z147" s="132"/>
      <c r="AA147" s="45"/>
      <c r="AB147" s="45"/>
      <c r="AC147" s="46"/>
      <c r="AD147" s="46"/>
      <c r="AE147" s="45"/>
      <c r="AF147" s="45"/>
      <c r="AH147" s="51"/>
      <c r="AI147" s="45"/>
      <c r="AJ147" s="45"/>
      <c r="AL147" s="45"/>
      <c r="AM147" s="46"/>
      <c r="AN147" s="46"/>
    </row>
    <row r="148" spans="1:40">
      <c r="C148" s="42"/>
      <c r="V148" s="45"/>
      <c r="Y148" s="45"/>
      <c r="Z148" s="326"/>
      <c r="AA148" s="50"/>
      <c r="AB148" s="50"/>
      <c r="AC148" s="50"/>
      <c r="AD148" s="50"/>
      <c r="AE148" s="50"/>
      <c r="AF148" s="50"/>
      <c r="AI148" s="50"/>
      <c r="AJ148" s="50"/>
      <c r="AK148" s="111"/>
      <c r="AL148" s="50"/>
      <c r="AM148" s="46"/>
      <c r="AN148" s="46"/>
    </row>
    <row r="149" spans="1:40">
      <c r="C149" s="42"/>
      <c r="F149" s="45"/>
      <c r="H149" s="45"/>
      <c r="I149" s="45"/>
      <c r="L149" s="45"/>
      <c r="M149" s="45"/>
      <c r="N149" s="46"/>
      <c r="O149" s="46"/>
      <c r="P149" s="164"/>
      <c r="Q149" s="164"/>
      <c r="R149" s="45"/>
      <c r="T149" s="42"/>
      <c r="V149" s="45"/>
      <c r="Y149" s="45"/>
      <c r="Z149" s="47"/>
      <c r="AA149" s="45"/>
      <c r="AB149" s="45"/>
      <c r="AC149" s="46"/>
      <c r="AD149" s="46"/>
      <c r="AE149" s="45"/>
      <c r="AF149" s="45"/>
      <c r="AH149" s="51"/>
      <c r="AI149" s="45"/>
      <c r="AJ149" s="45"/>
      <c r="AL149" s="45"/>
      <c r="AM149" s="46"/>
      <c r="AN149" s="46"/>
    </row>
    <row r="150" spans="1:40">
      <c r="F150" s="50"/>
      <c r="H150" s="50"/>
      <c r="I150" s="50"/>
      <c r="J150" s="326"/>
      <c r="K150" s="326"/>
      <c r="L150" s="50"/>
      <c r="M150" s="50"/>
      <c r="N150" s="50"/>
      <c r="O150" s="50"/>
      <c r="P150" s="50"/>
      <c r="Q150" s="50"/>
      <c r="R150" s="50"/>
      <c r="V150" s="45"/>
      <c r="Y150" s="45"/>
      <c r="Z150" s="326"/>
      <c r="AA150" s="50"/>
      <c r="AB150" s="50"/>
      <c r="AC150" s="50"/>
      <c r="AD150" s="50"/>
      <c r="AE150" s="50"/>
      <c r="AF150" s="50"/>
      <c r="AI150" s="50"/>
      <c r="AJ150" s="50"/>
      <c r="AK150" s="111"/>
      <c r="AL150" s="50"/>
      <c r="AM150" s="46"/>
      <c r="AN150" s="46"/>
    </row>
    <row r="151" spans="1:40">
      <c r="T151" s="42"/>
      <c r="V151" s="45"/>
      <c r="Y151" s="45"/>
      <c r="Z151" s="47"/>
      <c r="AA151" s="45"/>
      <c r="AB151" s="45"/>
      <c r="AC151" s="46"/>
      <c r="AD151" s="46"/>
      <c r="AE151" s="45"/>
      <c r="AF151" s="45"/>
      <c r="AH151" s="51"/>
      <c r="AI151" s="45"/>
      <c r="AJ151" s="45"/>
      <c r="AL151" s="45"/>
      <c r="AM151" s="46"/>
      <c r="AN151" s="46"/>
    </row>
    <row r="152" spans="1:40">
      <c r="C152" s="42"/>
      <c r="L152" s="45"/>
      <c r="M152" s="45"/>
      <c r="N152" s="45"/>
      <c r="O152" s="45"/>
      <c r="P152" s="45"/>
      <c r="Q152" s="45"/>
      <c r="R152" s="45"/>
      <c r="S152" s="45"/>
      <c r="T152" s="42"/>
      <c r="V152" s="164"/>
      <c r="Y152" s="45"/>
      <c r="Z152" s="331"/>
      <c r="AA152" s="45"/>
      <c r="AB152" s="45"/>
      <c r="AC152" s="46"/>
      <c r="AD152" s="46"/>
      <c r="AE152" s="45"/>
      <c r="AF152" s="45"/>
      <c r="AH152" s="51"/>
      <c r="AI152" s="45"/>
      <c r="AJ152" s="45"/>
      <c r="AL152" s="45"/>
      <c r="AM152" s="46"/>
      <c r="AN152" s="46"/>
    </row>
    <row r="153" spans="1:40">
      <c r="A153" s="42"/>
      <c r="V153" s="50"/>
      <c r="Y153" s="50"/>
      <c r="Z153" s="326"/>
      <c r="AA153" s="50"/>
      <c r="AB153" s="50"/>
      <c r="AC153" s="50"/>
      <c r="AD153" s="50"/>
      <c r="AE153" s="50"/>
      <c r="AF153" s="50"/>
      <c r="AI153" s="50"/>
      <c r="AJ153" s="50"/>
      <c r="AK153" s="111"/>
      <c r="AL153" s="50"/>
      <c r="AM153" s="46"/>
      <c r="AN153" s="46"/>
    </row>
    <row r="154" spans="1:40">
      <c r="T154" s="42"/>
      <c r="V154" s="45"/>
      <c r="Y154" s="45"/>
      <c r="Z154" s="326"/>
      <c r="AA154" s="45"/>
      <c r="AB154" s="45"/>
      <c r="AC154" s="46"/>
      <c r="AD154" s="46"/>
      <c r="AE154" s="45"/>
      <c r="AF154" s="45"/>
      <c r="AH154" s="46"/>
      <c r="AI154" s="45"/>
      <c r="AJ154" s="45"/>
      <c r="AL154" s="45"/>
      <c r="AM154" s="46"/>
      <c r="AN154" s="46"/>
    </row>
    <row r="155" spans="1:40">
      <c r="H155" s="42"/>
      <c r="I155" s="42"/>
      <c r="V155" s="50"/>
      <c r="Y155" s="50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  <c r="AM155" s="46"/>
      <c r="AN155" s="46"/>
    </row>
    <row r="156" spans="1:40">
      <c r="T156" s="42"/>
    </row>
    <row r="157" spans="1:40">
      <c r="L157" s="42"/>
      <c r="M157" s="42"/>
      <c r="AA157" s="42"/>
      <c r="AB157" s="42"/>
    </row>
    <row r="158" spans="1:40">
      <c r="R158" s="42"/>
      <c r="AK158" s="110"/>
      <c r="AL158" s="42"/>
    </row>
    <row r="159" spans="1:40">
      <c r="R159" s="42"/>
      <c r="AK159" s="110"/>
      <c r="AL159" s="42"/>
    </row>
    <row r="160" spans="1:40">
      <c r="A160" s="42"/>
      <c r="R160" s="42"/>
      <c r="AK160" s="110"/>
      <c r="AL160" s="42"/>
    </row>
    <row r="161" spans="1:40">
      <c r="L161" s="42"/>
      <c r="M161" s="42"/>
      <c r="AA161" s="42"/>
      <c r="AB161" s="42"/>
    </row>
    <row r="162" spans="1:40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107"/>
      <c r="AH162" s="49"/>
      <c r="AI162" s="49"/>
      <c r="AJ162" s="49"/>
      <c r="AK162" s="107"/>
      <c r="AL162" s="49"/>
      <c r="AM162" s="49"/>
      <c r="AN162" s="49"/>
    </row>
    <row r="163" spans="1:40">
      <c r="L163" s="44"/>
      <c r="M163" s="44"/>
      <c r="N163" s="44"/>
      <c r="O163" s="44"/>
      <c r="R163" s="44"/>
      <c r="AA163" s="44"/>
      <c r="AB163" s="44"/>
      <c r="AC163" s="44"/>
      <c r="AD163" s="44"/>
      <c r="AE163" s="44"/>
      <c r="AF163" s="44"/>
      <c r="AG163" s="102"/>
      <c r="AH163" s="44"/>
      <c r="AK163" s="102"/>
      <c r="AL163" s="44"/>
      <c r="AM163" s="44"/>
      <c r="AN163" s="44"/>
    </row>
    <row r="164" spans="1:40">
      <c r="L164" s="44"/>
      <c r="M164" s="44"/>
      <c r="N164" s="44"/>
      <c r="O164" s="44"/>
      <c r="R164" s="44"/>
      <c r="Z164" s="44"/>
      <c r="AA164" s="44"/>
      <c r="AB164" s="44"/>
      <c r="AC164" s="44"/>
      <c r="AD164" s="44"/>
      <c r="AE164" s="44"/>
      <c r="AF164" s="44"/>
      <c r="AG164" s="102"/>
      <c r="AH164" s="44"/>
      <c r="AK164" s="102"/>
      <c r="AL164" s="44"/>
      <c r="AM164" s="44"/>
      <c r="AN164" s="44"/>
    </row>
    <row r="165" spans="1:40">
      <c r="A165" s="44"/>
      <c r="C165" s="44"/>
      <c r="D165" s="44"/>
      <c r="E165" s="44"/>
      <c r="F165" s="44"/>
      <c r="J165" s="44"/>
      <c r="K165" s="44"/>
      <c r="L165" s="44"/>
      <c r="M165" s="44"/>
      <c r="N165" s="44"/>
      <c r="O165" s="44"/>
      <c r="P165" s="44"/>
      <c r="Q165" s="44"/>
      <c r="R165" s="44"/>
      <c r="T165" s="44"/>
      <c r="U165" s="44"/>
      <c r="V165" s="44"/>
      <c r="Z165" s="44"/>
      <c r="AA165" s="44"/>
      <c r="AB165" s="44"/>
      <c r="AC165" s="44"/>
      <c r="AD165" s="44"/>
      <c r="AE165" s="44"/>
      <c r="AF165" s="44"/>
      <c r="AG165" s="102"/>
      <c r="AH165" s="44"/>
      <c r="AI165" s="44"/>
      <c r="AJ165" s="44"/>
      <c r="AK165" s="102"/>
      <c r="AL165" s="44"/>
      <c r="AM165" s="44"/>
      <c r="AN165" s="44"/>
    </row>
    <row r="166" spans="1:40">
      <c r="A166" s="44"/>
      <c r="C166" s="44"/>
      <c r="D166" s="44"/>
      <c r="E166" s="44"/>
      <c r="F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T166" s="44"/>
      <c r="U166" s="44"/>
      <c r="V166" s="44"/>
      <c r="Y166" s="44"/>
      <c r="Z166" s="44"/>
      <c r="AA166" s="44"/>
      <c r="AB166" s="44"/>
      <c r="AC166" s="44"/>
      <c r="AD166" s="44"/>
      <c r="AE166" s="44"/>
      <c r="AF166" s="44"/>
      <c r="AG166" s="102"/>
      <c r="AH166" s="44"/>
      <c r="AI166" s="44"/>
      <c r="AJ166" s="44"/>
      <c r="AK166" s="102"/>
      <c r="AL166" s="44"/>
      <c r="AM166" s="44"/>
      <c r="AN166" s="44"/>
    </row>
    <row r="167" spans="1:40">
      <c r="C167" s="44"/>
      <c r="D167" s="44"/>
      <c r="E167" s="44"/>
      <c r="F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T167" s="44"/>
      <c r="U167" s="44"/>
      <c r="V167" s="44"/>
      <c r="Y167" s="44"/>
      <c r="Z167" s="44"/>
      <c r="AA167" s="44"/>
      <c r="AB167" s="44"/>
      <c r="AC167" s="44"/>
      <c r="AD167" s="44"/>
      <c r="AE167" s="44"/>
      <c r="AF167" s="44"/>
      <c r="AG167" s="102"/>
      <c r="AH167" s="44"/>
      <c r="AI167" s="44"/>
      <c r="AJ167" s="44"/>
      <c r="AK167" s="102"/>
      <c r="AL167" s="44"/>
      <c r="AM167" s="44"/>
      <c r="AN167" s="44"/>
    </row>
    <row r="168" spans="1:40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107"/>
      <c r="AH168" s="49"/>
      <c r="AI168" s="49"/>
      <c r="AJ168" s="49"/>
      <c r="AK168" s="107"/>
      <c r="AL168" s="49"/>
      <c r="AM168" s="49"/>
      <c r="AN168" s="49"/>
    </row>
    <row r="169" spans="1:40"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Y169" s="44"/>
      <c r="Z169" s="44"/>
      <c r="AA169" s="44"/>
      <c r="AB169" s="44"/>
      <c r="AC169" s="44"/>
      <c r="AD169" s="44"/>
      <c r="AE169" s="44"/>
      <c r="AF169" s="44"/>
      <c r="AG169" s="102"/>
      <c r="AH169" s="44"/>
      <c r="AI169" s="44"/>
      <c r="AJ169" s="44"/>
      <c r="AK169" s="102"/>
      <c r="AL169" s="44"/>
      <c r="AM169" s="44"/>
      <c r="AN169" s="44"/>
    </row>
    <row r="170" spans="1:40">
      <c r="C170" s="42"/>
      <c r="D170" s="42"/>
      <c r="E170" s="42"/>
      <c r="T170" s="42"/>
      <c r="U170" s="42"/>
    </row>
    <row r="171" spans="1:40">
      <c r="D171" s="42"/>
      <c r="E171" s="42"/>
      <c r="U171" s="42"/>
    </row>
    <row r="173" spans="1:40">
      <c r="C173" s="42"/>
      <c r="F173" s="164"/>
      <c r="H173" s="164"/>
      <c r="I173" s="164"/>
      <c r="J173" s="316"/>
      <c r="K173" s="316"/>
      <c r="L173" s="45"/>
      <c r="M173" s="45"/>
      <c r="N173" s="46"/>
      <c r="O173" s="46"/>
      <c r="R173" s="45"/>
      <c r="T173" s="42"/>
      <c r="V173" s="45"/>
      <c r="Y173" s="164"/>
      <c r="Z173" s="316"/>
      <c r="AA173" s="45"/>
      <c r="AB173" s="45"/>
      <c r="AC173" s="46"/>
      <c r="AD173" s="46"/>
      <c r="AE173" s="45"/>
      <c r="AF173" s="45"/>
      <c r="AG173" s="333"/>
      <c r="AH173" s="334"/>
      <c r="AL173" s="45"/>
      <c r="AM173" s="335"/>
      <c r="AN173" s="335"/>
    </row>
    <row r="174" spans="1:40">
      <c r="C174" s="42"/>
      <c r="F174" s="164"/>
      <c r="H174" s="164"/>
      <c r="I174" s="164"/>
      <c r="J174" s="316"/>
      <c r="K174" s="316"/>
      <c r="L174" s="45"/>
      <c r="M174" s="45"/>
      <c r="N174" s="46"/>
      <c r="O174" s="46"/>
      <c r="R174" s="45"/>
      <c r="T174" s="42"/>
      <c r="V174" s="45"/>
      <c r="Y174" s="164"/>
      <c r="Z174" s="316"/>
      <c r="AA174" s="45"/>
      <c r="AB174" s="45"/>
      <c r="AC174" s="46"/>
      <c r="AD174" s="46"/>
      <c r="AE174" s="45"/>
      <c r="AF174" s="45"/>
      <c r="AH174" s="51"/>
      <c r="AL174" s="45"/>
      <c r="AM174" s="46"/>
      <c r="AN174" s="46"/>
    </row>
    <row r="175" spans="1:40">
      <c r="F175" s="50"/>
      <c r="H175" s="45"/>
      <c r="I175" s="45"/>
      <c r="J175" s="326"/>
      <c r="K175" s="326"/>
      <c r="L175" s="50"/>
      <c r="M175" s="50"/>
      <c r="N175" s="50"/>
      <c r="O175" s="50"/>
      <c r="P175" s="50"/>
      <c r="Q175" s="50"/>
      <c r="R175" s="50"/>
      <c r="V175" s="50"/>
      <c r="Y175" s="45"/>
      <c r="Z175" s="326"/>
      <c r="AA175" s="50"/>
      <c r="AB175" s="50"/>
      <c r="AC175" s="50"/>
      <c r="AD175" s="50"/>
      <c r="AE175" s="50"/>
      <c r="AF175" s="50"/>
      <c r="AI175" s="50"/>
      <c r="AJ175" s="50"/>
      <c r="AK175" s="111"/>
      <c r="AL175" s="50"/>
      <c r="AM175" s="46"/>
      <c r="AN175" s="46"/>
    </row>
    <row r="176" spans="1:40">
      <c r="C176" s="42"/>
      <c r="F176" s="45"/>
      <c r="H176" s="45"/>
      <c r="I176" s="45"/>
      <c r="J176" s="326"/>
      <c r="K176" s="326"/>
      <c r="L176" s="45"/>
      <c r="M176" s="45"/>
      <c r="N176" s="46"/>
      <c r="O176" s="46"/>
      <c r="P176" s="45"/>
      <c r="Q176" s="45"/>
      <c r="R176" s="45"/>
      <c r="T176" s="42"/>
      <c r="V176" s="45"/>
      <c r="Y176" s="45"/>
      <c r="Z176" s="47"/>
      <c r="AA176" s="45"/>
      <c r="AB176" s="45"/>
      <c r="AC176" s="46"/>
      <c r="AD176" s="46"/>
      <c r="AE176" s="45"/>
      <c r="AF176" s="45"/>
      <c r="AH176" s="51"/>
      <c r="AI176" s="45"/>
      <c r="AJ176" s="45"/>
      <c r="AL176" s="45"/>
      <c r="AM176" s="46"/>
      <c r="AN176" s="46"/>
    </row>
    <row r="177" spans="3:40">
      <c r="F177" s="50"/>
      <c r="H177" s="45"/>
      <c r="I177" s="45"/>
      <c r="J177" s="326"/>
      <c r="K177" s="326"/>
      <c r="L177" s="50"/>
      <c r="M177" s="50"/>
      <c r="N177" s="50"/>
      <c r="O177" s="50"/>
      <c r="P177" s="50"/>
      <c r="Q177" s="50"/>
      <c r="R177" s="50"/>
      <c r="V177" s="50"/>
      <c r="Y177" s="45"/>
      <c r="Z177" s="326"/>
      <c r="AA177" s="50"/>
      <c r="AB177" s="50"/>
      <c r="AC177" s="50"/>
      <c r="AD177" s="50"/>
      <c r="AE177" s="50"/>
      <c r="AF177" s="50"/>
      <c r="AI177" s="50"/>
      <c r="AJ177" s="50"/>
      <c r="AK177" s="111"/>
      <c r="AL177" s="50"/>
      <c r="AM177" s="46"/>
      <c r="AN177" s="46"/>
    </row>
    <row r="178" spans="3:40">
      <c r="F178" s="45"/>
      <c r="H178" s="45"/>
      <c r="I178" s="45"/>
      <c r="J178" s="326"/>
      <c r="K178" s="326"/>
      <c r="L178" s="45"/>
      <c r="M178" s="45"/>
      <c r="N178" s="46"/>
      <c r="O178" s="46"/>
      <c r="P178" s="45"/>
      <c r="Q178" s="45"/>
      <c r="R178" s="45"/>
      <c r="V178" s="45"/>
      <c r="Y178" s="45"/>
      <c r="Z178" s="47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3:40">
      <c r="C179" s="42"/>
      <c r="F179" s="164"/>
      <c r="H179" s="164"/>
      <c r="I179" s="164"/>
      <c r="J179" s="316"/>
      <c r="K179" s="316"/>
      <c r="L179" s="45"/>
      <c r="M179" s="45"/>
      <c r="N179" s="46"/>
      <c r="O179" s="46"/>
      <c r="P179" s="45"/>
      <c r="Q179" s="45"/>
      <c r="R179" s="45"/>
      <c r="T179" s="42"/>
      <c r="V179" s="164"/>
      <c r="Y179" s="45"/>
      <c r="Z179" s="316"/>
      <c r="AA179" s="45"/>
      <c r="AB179" s="45"/>
      <c r="AC179" s="46"/>
      <c r="AD179" s="46"/>
      <c r="AE179" s="45"/>
      <c r="AF179" s="45"/>
      <c r="AG179" s="333"/>
      <c r="AH179" s="334"/>
      <c r="AI179" s="45"/>
      <c r="AJ179" s="45"/>
      <c r="AL179" s="45"/>
      <c r="AM179" s="335"/>
      <c r="AN179" s="335"/>
    </row>
    <row r="180" spans="3:40">
      <c r="C180" s="42"/>
      <c r="F180" s="164"/>
      <c r="H180" s="164"/>
      <c r="I180" s="164"/>
      <c r="J180" s="316"/>
      <c r="K180" s="316"/>
      <c r="L180" s="45"/>
      <c r="M180" s="45"/>
      <c r="N180" s="46"/>
      <c r="O180" s="46"/>
      <c r="P180" s="45"/>
      <c r="Q180" s="45"/>
      <c r="R180" s="45"/>
      <c r="T180" s="42"/>
      <c r="V180" s="164"/>
      <c r="Y180" s="45"/>
      <c r="Z180" s="316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3:40">
      <c r="F181" s="45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V181" s="45"/>
      <c r="Y181" s="50"/>
      <c r="Z181" s="326"/>
      <c r="AA181" s="50"/>
      <c r="AB181" s="50"/>
      <c r="AC181" s="50"/>
      <c r="AD181" s="50"/>
      <c r="AE181" s="50"/>
      <c r="AF181" s="50"/>
      <c r="AI181" s="50"/>
      <c r="AJ181" s="50"/>
      <c r="AK181" s="111"/>
      <c r="AL181" s="50"/>
      <c r="AM181" s="46"/>
      <c r="AN181" s="46"/>
    </row>
    <row r="182" spans="3:40">
      <c r="C182" s="42"/>
      <c r="F182" s="45"/>
      <c r="H182" s="45"/>
      <c r="I182" s="45"/>
      <c r="J182" s="326"/>
      <c r="K182" s="326"/>
      <c r="L182" s="45"/>
      <c r="M182" s="45"/>
      <c r="N182" s="46"/>
      <c r="O182" s="46"/>
      <c r="P182" s="45"/>
      <c r="Q182" s="45"/>
      <c r="R182" s="45"/>
      <c r="T182" s="42"/>
      <c r="V182" s="45"/>
      <c r="Y182" s="45"/>
      <c r="Z182" s="326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3:40">
      <c r="F183" s="45"/>
      <c r="H183" s="50"/>
      <c r="I183" s="50"/>
      <c r="J183" s="326"/>
      <c r="K183" s="326"/>
      <c r="L183" s="50"/>
      <c r="M183" s="50"/>
      <c r="N183" s="50"/>
      <c r="O183" s="50"/>
      <c r="P183" s="50"/>
      <c r="Q183" s="50"/>
      <c r="R183" s="50"/>
      <c r="V183" s="45"/>
      <c r="Y183" s="50"/>
      <c r="Z183" s="326"/>
      <c r="AA183" s="50"/>
      <c r="AB183" s="50"/>
      <c r="AC183" s="50"/>
      <c r="AD183" s="50"/>
      <c r="AE183" s="50"/>
      <c r="AF183" s="50"/>
      <c r="AI183" s="50"/>
      <c r="AJ183" s="50"/>
      <c r="AK183" s="111"/>
      <c r="AL183" s="50"/>
      <c r="AM183" s="46"/>
      <c r="AN183" s="46"/>
    </row>
    <row r="184" spans="3:40">
      <c r="F184" s="45"/>
      <c r="H184" s="45"/>
      <c r="I184" s="45"/>
      <c r="J184" s="326"/>
      <c r="K184" s="326"/>
      <c r="L184" s="45"/>
      <c r="M184" s="45"/>
      <c r="N184" s="45"/>
      <c r="O184" s="45"/>
      <c r="P184" s="45"/>
      <c r="Q184" s="45"/>
      <c r="R184" s="45"/>
      <c r="V184" s="45"/>
      <c r="Y184" s="45"/>
      <c r="Z184" s="326"/>
      <c r="AA184" s="45"/>
      <c r="AB184" s="45"/>
      <c r="AC184" s="45"/>
      <c r="AD184" s="45"/>
      <c r="AE184" s="45"/>
      <c r="AF184" s="45"/>
      <c r="AH184" s="51"/>
      <c r="AI184" s="45"/>
      <c r="AJ184" s="45"/>
      <c r="AL184" s="45"/>
      <c r="AM184" s="46"/>
      <c r="AN184" s="46"/>
    </row>
    <row r="185" spans="3:40">
      <c r="C185" s="42"/>
      <c r="F185" s="164"/>
      <c r="H185" s="164"/>
      <c r="I185" s="164"/>
      <c r="J185" s="331"/>
      <c r="K185" s="331"/>
      <c r="L185" s="45"/>
      <c r="M185" s="45"/>
      <c r="N185" s="46"/>
      <c r="O185" s="46"/>
      <c r="P185" s="164"/>
      <c r="Q185" s="164"/>
      <c r="R185" s="45"/>
      <c r="T185" s="42"/>
      <c r="V185" s="164"/>
      <c r="Y185" s="164"/>
      <c r="Z185" s="336"/>
      <c r="AA185" s="45"/>
      <c r="AB185" s="45"/>
      <c r="AC185" s="46"/>
      <c r="AD185" s="46"/>
      <c r="AE185" s="45"/>
      <c r="AF185" s="45"/>
      <c r="AH185" s="51"/>
      <c r="AI185" s="164"/>
      <c r="AJ185" s="164"/>
      <c r="AL185" s="45"/>
      <c r="AM185" s="46"/>
      <c r="AN185" s="46"/>
    </row>
    <row r="186" spans="3:40">
      <c r="C186" s="42"/>
      <c r="F186" s="164"/>
      <c r="H186" s="164"/>
      <c r="I186" s="164"/>
      <c r="J186" s="331"/>
      <c r="K186" s="331"/>
      <c r="L186" s="45"/>
      <c r="M186" s="45"/>
      <c r="N186" s="46"/>
      <c r="O186" s="46"/>
      <c r="P186" s="164"/>
      <c r="Q186" s="164"/>
      <c r="R186" s="45"/>
      <c r="T186" s="42"/>
      <c r="V186" s="164"/>
      <c r="Y186" s="45"/>
      <c r="Z186" s="325"/>
      <c r="AA186" s="45"/>
      <c r="AB186" s="45"/>
      <c r="AC186" s="46"/>
      <c r="AD186" s="46"/>
      <c r="AE186" s="45"/>
      <c r="AF186" s="45"/>
      <c r="AH186" s="51"/>
      <c r="AI186" s="164"/>
      <c r="AJ186" s="164"/>
      <c r="AL186" s="45"/>
      <c r="AM186" s="46"/>
      <c r="AN186" s="46"/>
    </row>
    <row r="187" spans="3:40">
      <c r="C187" s="42"/>
      <c r="F187" s="164"/>
      <c r="H187" s="164"/>
      <c r="I187" s="164"/>
      <c r="J187" s="331"/>
      <c r="K187" s="331"/>
      <c r="L187" s="45"/>
      <c r="M187" s="45"/>
      <c r="N187" s="46"/>
      <c r="O187" s="46"/>
      <c r="P187" s="164"/>
      <c r="Q187" s="164"/>
      <c r="R187" s="45"/>
      <c r="T187" s="42"/>
      <c r="V187" s="164"/>
      <c r="Y187" s="45"/>
      <c r="Z187" s="325"/>
      <c r="AA187" s="45"/>
      <c r="AB187" s="45"/>
      <c r="AC187" s="46"/>
      <c r="AD187" s="46"/>
      <c r="AE187" s="45"/>
      <c r="AF187" s="45"/>
      <c r="AH187" s="51"/>
      <c r="AI187" s="164"/>
      <c r="AJ187" s="164"/>
      <c r="AL187" s="45"/>
      <c r="AM187" s="46"/>
      <c r="AN187" s="46"/>
    </row>
    <row r="188" spans="3:40">
      <c r="F188" s="50"/>
      <c r="H188" s="50"/>
      <c r="I188" s="50"/>
      <c r="J188" s="326"/>
      <c r="K188" s="326"/>
      <c r="L188" s="50"/>
      <c r="M188" s="50"/>
      <c r="N188" s="50"/>
      <c r="O188" s="50"/>
      <c r="P188" s="50"/>
      <c r="Q188" s="50"/>
      <c r="R188" s="50"/>
      <c r="V188" s="50"/>
      <c r="Y188" s="50"/>
      <c r="Z188" s="326"/>
      <c r="AA188" s="50"/>
      <c r="AB188" s="50"/>
      <c r="AC188" s="50"/>
      <c r="AD188" s="50"/>
      <c r="AE188" s="50"/>
      <c r="AF188" s="50"/>
      <c r="AI188" s="50"/>
      <c r="AJ188" s="50"/>
      <c r="AK188" s="111"/>
      <c r="AL188" s="50"/>
      <c r="AM188" s="46"/>
      <c r="AN188" s="46"/>
    </row>
    <row r="189" spans="3:40">
      <c r="C189" s="42"/>
      <c r="F189" s="45"/>
      <c r="H189" s="45"/>
      <c r="I189" s="45"/>
      <c r="J189" s="47"/>
      <c r="K189" s="47"/>
      <c r="L189" s="45"/>
      <c r="M189" s="45"/>
      <c r="N189" s="46"/>
      <c r="O189" s="46"/>
      <c r="P189" s="45"/>
      <c r="Q189" s="45"/>
      <c r="R189" s="45"/>
      <c r="T189" s="42"/>
      <c r="V189" s="45"/>
      <c r="Y189" s="45"/>
      <c r="Z189" s="47"/>
      <c r="AA189" s="45"/>
      <c r="AB189" s="45"/>
      <c r="AC189" s="46"/>
      <c r="AD189" s="46"/>
      <c r="AE189" s="45"/>
      <c r="AF189" s="45"/>
      <c r="AH189" s="51"/>
      <c r="AI189" s="45"/>
      <c r="AJ189" s="45"/>
      <c r="AL189" s="45"/>
      <c r="AM189" s="46"/>
      <c r="AN189" s="46"/>
    </row>
    <row r="190" spans="3:40">
      <c r="F190" s="50"/>
      <c r="H190" s="50"/>
      <c r="I190" s="50"/>
      <c r="J190" s="326"/>
      <c r="K190" s="326"/>
      <c r="L190" s="50"/>
      <c r="M190" s="50"/>
      <c r="N190" s="50"/>
      <c r="O190" s="50"/>
      <c r="P190" s="50"/>
      <c r="Q190" s="50"/>
      <c r="R190" s="50"/>
      <c r="V190" s="50"/>
      <c r="Y190" s="50"/>
      <c r="Z190" s="326"/>
      <c r="AA190" s="50"/>
      <c r="AB190" s="50"/>
      <c r="AC190" s="50"/>
      <c r="AD190" s="50"/>
      <c r="AE190" s="50"/>
      <c r="AF190" s="50"/>
      <c r="AI190" s="50"/>
      <c r="AJ190" s="50"/>
      <c r="AK190" s="111"/>
      <c r="AL190" s="50"/>
      <c r="AM190" s="46"/>
      <c r="AN190" s="46"/>
    </row>
    <row r="191" spans="3:40">
      <c r="C191" s="42"/>
      <c r="F191" s="45"/>
      <c r="H191" s="45"/>
      <c r="I191" s="45"/>
      <c r="J191" s="47"/>
      <c r="K191" s="47"/>
      <c r="L191" s="45"/>
      <c r="M191" s="45"/>
      <c r="N191" s="46"/>
      <c r="O191" s="46"/>
      <c r="P191" s="45"/>
      <c r="Q191" s="45"/>
      <c r="R191" s="45"/>
      <c r="T191" s="42"/>
      <c r="V191" s="45"/>
      <c r="Y191" s="45"/>
      <c r="Z191" s="47"/>
      <c r="AA191" s="45"/>
      <c r="AB191" s="45"/>
      <c r="AC191" s="46"/>
      <c r="AD191" s="46"/>
      <c r="AE191" s="45"/>
      <c r="AF191" s="45"/>
      <c r="AH191" s="51"/>
      <c r="AI191" s="45"/>
      <c r="AJ191" s="45"/>
      <c r="AL191" s="45"/>
      <c r="AM191" s="46"/>
      <c r="AN191" s="46"/>
    </row>
    <row r="192" spans="3:40">
      <c r="C192" s="42"/>
      <c r="F192" s="45"/>
      <c r="H192" s="45"/>
      <c r="I192" s="45"/>
      <c r="J192" s="47"/>
      <c r="K192" s="47"/>
      <c r="L192" s="45"/>
      <c r="M192" s="45"/>
      <c r="N192" s="46"/>
      <c r="O192" s="46"/>
      <c r="P192" s="45"/>
      <c r="Q192" s="45"/>
      <c r="R192" s="45"/>
      <c r="T192" s="42"/>
      <c r="V192" s="45"/>
      <c r="Y192" s="45"/>
      <c r="Z192" s="47"/>
      <c r="AA192" s="45"/>
      <c r="AB192" s="45"/>
      <c r="AC192" s="46"/>
      <c r="AD192" s="46"/>
      <c r="AE192" s="45"/>
      <c r="AF192" s="45"/>
      <c r="AH192" s="51"/>
      <c r="AI192" s="45"/>
      <c r="AJ192" s="45"/>
      <c r="AL192" s="45"/>
      <c r="AM192" s="46"/>
      <c r="AN192" s="46"/>
    </row>
    <row r="193" spans="1:40">
      <c r="F193" s="50"/>
      <c r="H193" s="50"/>
      <c r="I193" s="50"/>
      <c r="J193" s="326"/>
      <c r="K193" s="326"/>
      <c r="L193" s="50"/>
      <c r="M193" s="50"/>
      <c r="N193" s="50"/>
      <c r="O193" s="50"/>
      <c r="P193" s="50"/>
      <c r="Q193" s="50"/>
      <c r="R193" s="50"/>
      <c r="V193" s="50"/>
      <c r="Y193" s="50"/>
      <c r="Z193" s="326"/>
      <c r="AA193" s="50"/>
      <c r="AB193" s="50"/>
      <c r="AC193" s="50"/>
      <c r="AD193" s="50"/>
      <c r="AE193" s="50"/>
      <c r="AF193" s="50"/>
      <c r="AI193" s="50"/>
      <c r="AJ193" s="50"/>
      <c r="AK193" s="111"/>
      <c r="AL193" s="50"/>
      <c r="AM193" s="45"/>
      <c r="AN193" s="45"/>
    </row>
    <row r="194" spans="1:40">
      <c r="F194" s="45"/>
      <c r="H194" s="45"/>
      <c r="I194" s="45"/>
      <c r="J194" s="47"/>
      <c r="K194" s="47"/>
      <c r="L194" s="45"/>
      <c r="M194" s="45"/>
      <c r="N194" s="45"/>
      <c r="O194" s="45"/>
      <c r="P194" s="45"/>
      <c r="Q194" s="45"/>
      <c r="R194" s="45"/>
      <c r="V194" s="45"/>
      <c r="Y194" s="45"/>
      <c r="Z194" s="47"/>
      <c r="AA194" s="45"/>
      <c r="AB194" s="45"/>
      <c r="AC194" s="45"/>
      <c r="AD194" s="45"/>
    </row>
    <row r="195" spans="1:40">
      <c r="C195" s="42"/>
      <c r="F195" s="45"/>
      <c r="H195" s="45"/>
      <c r="I195" s="45"/>
      <c r="J195" s="47"/>
      <c r="K195" s="47"/>
      <c r="L195" s="45"/>
      <c r="M195" s="45"/>
      <c r="N195" s="45"/>
      <c r="O195" s="45"/>
      <c r="P195" s="45"/>
      <c r="Q195" s="45"/>
      <c r="R195" s="45"/>
      <c r="T195" s="42"/>
      <c r="V195" s="45"/>
      <c r="Y195" s="45"/>
      <c r="Z195" s="47"/>
      <c r="AA195" s="45"/>
      <c r="AB195" s="45"/>
      <c r="AC195" s="45"/>
      <c r="AD195" s="45"/>
    </row>
    <row r="196" spans="1:40">
      <c r="A196" s="42"/>
    </row>
    <row r="198" spans="1:40">
      <c r="H198" s="42"/>
      <c r="I198" s="42"/>
      <c r="Y198" s="42"/>
    </row>
    <row r="200" spans="1:40">
      <c r="L200" s="42"/>
      <c r="M200" s="42"/>
      <c r="AA200" s="42"/>
      <c r="AB200" s="42"/>
    </row>
    <row r="201" spans="1:40">
      <c r="R201" s="42"/>
      <c r="AK201" s="110"/>
      <c r="AL201" s="42"/>
    </row>
    <row r="202" spans="1:40">
      <c r="R202" s="42"/>
      <c r="AK202" s="110"/>
      <c r="AL202" s="42"/>
    </row>
    <row r="203" spans="1:40">
      <c r="A203" s="42"/>
      <c r="R203" s="42"/>
      <c r="AK203" s="110"/>
      <c r="AL203" s="42"/>
    </row>
    <row r="204" spans="1:40">
      <c r="L204" s="42"/>
      <c r="M204" s="42"/>
      <c r="AA204" s="42"/>
      <c r="AB204" s="42"/>
    </row>
    <row r="205" spans="1:40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107"/>
      <c r="AH205" s="49"/>
      <c r="AI205" s="49"/>
      <c r="AJ205" s="49"/>
      <c r="AK205" s="107"/>
      <c r="AL205" s="49"/>
      <c r="AM205" s="49"/>
      <c r="AN205" s="49"/>
    </row>
    <row r="206" spans="1:40">
      <c r="L206" s="44"/>
      <c r="M206" s="44"/>
      <c r="N206" s="44"/>
      <c r="O206" s="44"/>
      <c r="R206" s="44"/>
      <c r="AA206" s="44"/>
      <c r="AB206" s="44"/>
      <c r="AC206" s="44"/>
      <c r="AD206" s="44"/>
      <c r="AE206" s="44"/>
      <c r="AF206" s="44"/>
      <c r="AG206" s="102"/>
      <c r="AH206" s="44"/>
      <c r="AK206" s="102"/>
      <c r="AL206" s="44"/>
      <c r="AM206" s="44"/>
      <c r="AN206" s="44"/>
    </row>
    <row r="207" spans="1:40">
      <c r="L207" s="44"/>
      <c r="M207" s="44"/>
      <c r="N207" s="44"/>
      <c r="O207" s="44"/>
      <c r="R207" s="44"/>
      <c r="Z207" s="44"/>
      <c r="AA207" s="44"/>
      <c r="AB207" s="44"/>
      <c r="AC207" s="44"/>
      <c r="AD207" s="44"/>
      <c r="AE207" s="44"/>
      <c r="AF207" s="44"/>
      <c r="AG207" s="102"/>
      <c r="AH207" s="44"/>
      <c r="AK207" s="102"/>
      <c r="AL207" s="44"/>
      <c r="AM207" s="44"/>
      <c r="AN207" s="44"/>
    </row>
    <row r="208" spans="1:40">
      <c r="A208" s="44"/>
      <c r="C208" s="44"/>
      <c r="D208" s="44"/>
      <c r="E208" s="44"/>
      <c r="F208" s="44"/>
      <c r="J208" s="44"/>
      <c r="K208" s="44"/>
      <c r="L208" s="44"/>
      <c r="M208" s="44"/>
      <c r="N208" s="44"/>
      <c r="O208" s="44"/>
      <c r="P208" s="44"/>
      <c r="Q208" s="44"/>
      <c r="R208" s="44"/>
      <c r="T208" s="44"/>
      <c r="U208" s="44"/>
      <c r="V208" s="44"/>
      <c r="Z208" s="44"/>
      <c r="AA208" s="44"/>
      <c r="AB208" s="44"/>
      <c r="AC208" s="44"/>
      <c r="AD208" s="44"/>
      <c r="AE208" s="44"/>
      <c r="AF208" s="44"/>
      <c r="AG208" s="102"/>
      <c r="AH208" s="44"/>
      <c r="AI208" s="44"/>
      <c r="AJ208" s="44"/>
      <c r="AK208" s="102"/>
      <c r="AL208" s="44"/>
      <c r="AM208" s="44"/>
      <c r="AN208" s="44"/>
    </row>
    <row r="209" spans="1:40">
      <c r="A209" s="44"/>
      <c r="C209" s="44"/>
      <c r="D209" s="44"/>
      <c r="E209" s="44"/>
      <c r="F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T209" s="44"/>
      <c r="U209" s="44"/>
      <c r="V209" s="44"/>
      <c r="Y209" s="44"/>
      <c r="Z209" s="44"/>
      <c r="AA209" s="44"/>
      <c r="AB209" s="44"/>
      <c r="AC209" s="44"/>
      <c r="AD209" s="44"/>
      <c r="AE209" s="44"/>
      <c r="AF209" s="44"/>
      <c r="AG209" s="102"/>
      <c r="AH209" s="44"/>
      <c r="AI209" s="44"/>
      <c r="AJ209" s="44"/>
      <c r="AK209" s="102"/>
      <c r="AL209" s="44"/>
      <c r="AM209" s="44"/>
      <c r="AN209" s="44"/>
    </row>
    <row r="210" spans="1:40">
      <c r="C210" s="44"/>
      <c r="D210" s="44"/>
      <c r="E210" s="44"/>
      <c r="F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T210" s="44"/>
      <c r="U210" s="44"/>
      <c r="V210" s="44"/>
      <c r="Y210" s="44"/>
      <c r="Z210" s="44"/>
      <c r="AA210" s="44"/>
      <c r="AB210" s="44"/>
      <c r="AC210" s="44"/>
      <c r="AD210" s="44"/>
      <c r="AE210" s="44"/>
      <c r="AF210" s="44"/>
      <c r="AG210" s="102"/>
      <c r="AH210" s="44"/>
      <c r="AI210" s="44"/>
      <c r="AJ210" s="44"/>
      <c r="AK210" s="102"/>
      <c r="AL210" s="44"/>
      <c r="AM210" s="44"/>
      <c r="AN210" s="44"/>
    </row>
    <row r="211" spans="1:40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107"/>
      <c r="AH211" s="49"/>
      <c r="AI211" s="49"/>
      <c r="AJ211" s="49"/>
      <c r="AK211" s="107"/>
      <c r="AL211" s="49"/>
      <c r="AM211" s="49"/>
      <c r="AN211" s="49"/>
    </row>
    <row r="212" spans="1:40"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Y212" s="44"/>
      <c r="Z212" s="44"/>
      <c r="AA212" s="44"/>
      <c r="AB212" s="44"/>
      <c r="AC212" s="44"/>
      <c r="AD212" s="44"/>
      <c r="AE212" s="44"/>
      <c r="AF212" s="44"/>
      <c r="AG212" s="102"/>
      <c r="AH212" s="44"/>
      <c r="AI212" s="44"/>
      <c r="AJ212" s="44"/>
      <c r="AK212" s="102"/>
      <c r="AL212" s="44"/>
      <c r="AM212" s="44"/>
      <c r="AN212" s="44"/>
    </row>
    <row r="213" spans="1:40">
      <c r="C213" s="42"/>
      <c r="D213" s="42"/>
      <c r="E213" s="42"/>
      <c r="T213" s="42"/>
      <c r="U213" s="42"/>
    </row>
    <row r="215" spans="1:40">
      <c r="C215" s="42"/>
      <c r="F215" s="164"/>
      <c r="H215" s="329"/>
      <c r="I215" s="329"/>
      <c r="J215" s="316"/>
      <c r="K215" s="316"/>
      <c r="L215" s="45"/>
      <c r="M215" s="45"/>
      <c r="R215" s="45"/>
      <c r="T215" s="42"/>
      <c r="V215" s="45"/>
      <c r="Z215" s="316"/>
      <c r="AA215" s="45"/>
      <c r="AB215" s="45"/>
      <c r="AE215" s="45"/>
      <c r="AF215" s="45"/>
      <c r="AG215" s="333"/>
      <c r="AH215" s="334"/>
      <c r="AI215" s="45"/>
      <c r="AJ215" s="45"/>
      <c r="AL215" s="45"/>
      <c r="AM215" s="335"/>
      <c r="AN215" s="335"/>
    </row>
    <row r="216" spans="1:40">
      <c r="F216" s="164"/>
      <c r="H216" s="329"/>
      <c r="I216" s="329"/>
      <c r="J216" s="329"/>
      <c r="K216" s="329"/>
      <c r="R216" s="45"/>
      <c r="V216" s="45"/>
      <c r="Z216" s="329"/>
    </row>
    <row r="217" spans="1:40">
      <c r="C217" s="42"/>
      <c r="F217" s="164"/>
      <c r="H217" s="164"/>
      <c r="I217" s="164"/>
      <c r="J217" s="331"/>
      <c r="K217" s="331"/>
      <c r="L217" s="45"/>
      <c r="M217" s="45"/>
      <c r="N217" s="46"/>
      <c r="O217" s="46"/>
      <c r="P217" s="164"/>
      <c r="Q217" s="164"/>
      <c r="R217" s="45"/>
      <c r="T217" s="42"/>
      <c r="V217" s="45"/>
      <c r="Y217" s="45"/>
      <c r="Z217" s="325"/>
      <c r="AA217" s="45"/>
      <c r="AB217" s="45"/>
      <c r="AC217" s="46"/>
      <c r="AD217" s="46"/>
      <c r="AE217" s="45"/>
      <c r="AF217" s="45"/>
      <c r="AH217" s="51"/>
      <c r="AI217" s="164"/>
      <c r="AJ217" s="164"/>
      <c r="AL217" s="45"/>
      <c r="AM217" s="46"/>
      <c r="AN217" s="46"/>
    </row>
    <row r="218" spans="1:40">
      <c r="F218" s="50"/>
      <c r="H218" s="50"/>
      <c r="I218" s="50"/>
      <c r="J218" s="326"/>
      <c r="K218" s="326"/>
      <c r="L218" s="50"/>
      <c r="M218" s="50"/>
      <c r="N218" s="50"/>
      <c r="O218" s="50"/>
      <c r="P218" s="50"/>
      <c r="Q218" s="50"/>
      <c r="R218" s="50"/>
      <c r="V218" s="50"/>
      <c r="Y218" s="50"/>
      <c r="Z218" s="326"/>
      <c r="AA218" s="50"/>
      <c r="AB218" s="50"/>
      <c r="AC218" s="50"/>
      <c r="AD218" s="50"/>
      <c r="AE218" s="50"/>
      <c r="AF218" s="50"/>
      <c r="AI218" s="50"/>
      <c r="AJ218" s="50"/>
      <c r="AK218" s="111"/>
      <c r="AL218" s="50"/>
    </row>
    <row r="219" spans="1:40">
      <c r="D219" s="42"/>
      <c r="E219" s="42"/>
      <c r="F219" s="45"/>
      <c r="H219" s="45"/>
      <c r="I219" s="45"/>
      <c r="J219" s="47"/>
      <c r="K219" s="47"/>
      <c r="L219" s="45"/>
      <c r="M219" s="45"/>
      <c r="N219" s="46"/>
      <c r="O219" s="46"/>
      <c r="P219" s="45"/>
      <c r="Q219" s="45"/>
      <c r="R219" s="45"/>
      <c r="U219" s="42"/>
      <c r="V219" s="45"/>
      <c r="Y219" s="45"/>
      <c r="Z219" s="47"/>
      <c r="AA219" s="45"/>
      <c r="AB219" s="45"/>
      <c r="AC219" s="46"/>
      <c r="AD219" s="46"/>
      <c r="AE219" s="45"/>
      <c r="AF219" s="45"/>
      <c r="AH219" s="51"/>
      <c r="AI219" s="45"/>
      <c r="AJ219" s="45"/>
      <c r="AL219" s="45"/>
      <c r="AM219" s="46"/>
      <c r="AN219" s="46"/>
    </row>
    <row r="220" spans="1:40">
      <c r="F220" s="50"/>
      <c r="H220" s="50"/>
      <c r="I220" s="50"/>
      <c r="J220" s="326"/>
      <c r="K220" s="326"/>
      <c r="L220" s="50"/>
      <c r="M220" s="50"/>
      <c r="N220" s="50"/>
      <c r="O220" s="50"/>
      <c r="P220" s="50"/>
      <c r="Q220" s="50"/>
      <c r="R220" s="50"/>
      <c r="V220" s="50"/>
      <c r="Y220" s="50"/>
      <c r="Z220" s="326"/>
      <c r="AA220" s="50"/>
      <c r="AB220" s="50"/>
      <c r="AC220" s="50"/>
      <c r="AD220" s="50"/>
      <c r="AE220" s="50"/>
      <c r="AF220" s="50"/>
      <c r="AI220" s="50"/>
      <c r="AJ220" s="50"/>
      <c r="AK220" s="111"/>
      <c r="AL220" s="50"/>
    </row>
    <row r="221" spans="1:40">
      <c r="R221" s="45"/>
    </row>
    <row r="222" spans="1:40">
      <c r="R222" s="45"/>
    </row>
    <row r="223" spans="1:40">
      <c r="R223" s="45"/>
    </row>
    <row r="224" spans="1:40">
      <c r="C224" s="42"/>
      <c r="D224" s="42"/>
      <c r="E224" s="42"/>
      <c r="H224" s="45"/>
      <c r="I224" s="45"/>
      <c r="J224" s="47"/>
      <c r="K224" s="47"/>
      <c r="L224" s="45"/>
      <c r="M224" s="45"/>
      <c r="N224" s="46"/>
      <c r="O224" s="46"/>
      <c r="P224" s="45"/>
      <c r="Q224" s="45"/>
      <c r="R224" s="45"/>
      <c r="T224" s="42"/>
      <c r="U224" s="42"/>
      <c r="Y224" s="45"/>
      <c r="Z224" s="47"/>
      <c r="AA224" s="45"/>
      <c r="AB224" s="45"/>
      <c r="AC224" s="46"/>
      <c r="AD224" s="46"/>
    </row>
    <row r="225" spans="1:40">
      <c r="H225" s="45"/>
      <c r="I225" s="45"/>
      <c r="J225" s="47"/>
      <c r="K225" s="47"/>
      <c r="L225" s="45"/>
      <c r="M225" s="45"/>
      <c r="N225" s="46"/>
      <c r="O225" s="46"/>
      <c r="P225" s="45"/>
      <c r="Q225" s="45"/>
      <c r="R225" s="45"/>
      <c r="Y225" s="45"/>
      <c r="Z225" s="47"/>
      <c r="AA225" s="45"/>
      <c r="AB225" s="45"/>
      <c r="AC225" s="46"/>
      <c r="AD225" s="46"/>
    </row>
    <row r="226" spans="1:40">
      <c r="C226" s="42"/>
      <c r="F226" s="164"/>
      <c r="H226" s="164"/>
      <c r="I226" s="164"/>
      <c r="J226" s="52"/>
      <c r="K226" s="52"/>
      <c r="L226" s="164"/>
      <c r="M226" s="164"/>
      <c r="N226" s="46"/>
      <c r="O226" s="46"/>
      <c r="P226" s="45"/>
      <c r="Q226" s="45"/>
      <c r="R226" s="45"/>
      <c r="T226" s="42"/>
      <c r="V226" s="45"/>
      <c r="Y226" s="45"/>
      <c r="Z226" s="52"/>
      <c r="AA226" s="45"/>
      <c r="AB226" s="45"/>
      <c r="AC226" s="46"/>
      <c r="AD226" s="46"/>
      <c r="AE226" s="45"/>
      <c r="AF226" s="45"/>
      <c r="AH226" s="51"/>
      <c r="AI226" s="45"/>
      <c r="AJ226" s="45"/>
      <c r="AL226" s="45"/>
      <c r="AM226" s="46"/>
      <c r="AN226" s="46"/>
    </row>
    <row r="227" spans="1:40">
      <c r="F227" s="164"/>
      <c r="H227" s="329"/>
      <c r="I227" s="329"/>
      <c r="J227" s="329"/>
      <c r="K227" s="329"/>
      <c r="R227" s="45"/>
      <c r="V227" s="45"/>
      <c r="Z227" s="329"/>
    </row>
    <row r="228" spans="1:40">
      <c r="C228" s="42"/>
      <c r="F228" s="164"/>
      <c r="H228" s="164"/>
      <c r="I228" s="164"/>
      <c r="J228" s="316"/>
      <c r="K228" s="316"/>
      <c r="L228" s="45"/>
      <c r="M228" s="45"/>
      <c r="N228" s="46"/>
      <c r="O228" s="46"/>
      <c r="P228" s="45"/>
      <c r="Q228" s="45"/>
      <c r="R228" s="45"/>
      <c r="T228" s="42"/>
      <c r="V228" s="45"/>
      <c r="Y228" s="45"/>
      <c r="Z228" s="316"/>
      <c r="AA228" s="45"/>
      <c r="AB228" s="45"/>
      <c r="AC228" s="46"/>
      <c r="AD228" s="46"/>
      <c r="AE228" s="45"/>
      <c r="AF228" s="45"/>
      <c r="AH228" s="51"/>
      <c r="AI228" s="45"/>
      <c r="AJ228" s="45"/>
      <c r="AL228" s="45"/>
      <c r="AM228" s="46"/>
      <c r="AN228" s="46"/>
    </row>
    <row r="229" spans="1:40">
      <c r="F229" s="164"/>
      <c r="H229" s="329"/>
      <c r="I229" s="329"/>
      <c r="J229" s="329"/>
      <c r="K229" s="329"/>
      <c r="R229" s="45"/>
      <c r="V229" s="45"/>
      <c r="Z229" s="329"/>
    </row>
    <row r="230" spans="1:40">
      <c r="C230" s="42"/>
      <c r="F230" s="164"/>
      <c r="H230" s="164"/>
      <c r="I230" s="164"/>
      <c r="J230" s="331"/>
      <c r="K230" s="331"/>
      <c r="L230" s="45"/>
      <c r="M230" s="45"/>
      <c r="N230" s="46"/>
      <c r="O230" s="46"/>
      <c r="P230" s="45"/>
      <c r="Q230" s="45"/>
      <c r="R230" s="45"/>
      <c r="T230" s="42"/>
      <c r="V230" s="45"/>
      <c r="Y230" s="45"/>
      <c r="Z230" s="325"/>
      <c r="AA230" s="45"/>
      <c r="AB230" s="45"/>
      <c r="AC230" s="46"/>
      <c r="AD230" s="46"/>
      <c r="AE230" s="45"/>
      <c r="AF230" s="45"/>
      <c r="AH230" s="51"/>
      <c r="AI230" s="45"/>
      <c r="AJ230" s="45"/>
      <c r="AL230" s="45"/>
      <c r="AM230" s="46"/>
      <c r="AN230" s="46"/>
    </row>
    <row r="231" spans="1:40">
      <c r="F231" s="50"/>
      <c r="H231" s="50"/>
      <c r="I231" s="50"/>
      <c r="J231" s="326"/>
      <c r="K231" s="326"/>
      <c r="L231" s="50"/>
      <c r="M231" s="50"/>
      <c r="N231" s="50"/>
      <c r="O231" s="50"/>
      <c r="P231" s="50"/>
      <c r="Q231" s="50"/>
      <c r="R231" s="50"/>
      <c r="S231" s="45"/>
      <c r="V231" s="50"/>
      <c r="Y231" s="50"/>
      <c r="Z231" s="326"/>
      <c r="AA231" s="50"/>
      <c r="AB231" s="50"/>
      <c r="AC231" s="50"/>
      <c r="AD231" s="50"/>
      <c r="AE231" s="50"/>
      <c r="AF231" s="50"/>
      <c r="AI231" s="50"/>
      <c r="AJ231" s="50"/>
      <c r="AK231" s="111"/>
      <c r="AL231" s="50"/>
    </row>
    <row r="232" spans="1:40">
      <c r="D232" s="42"/>
      <c r="E232" s="42"/>
      <c r="F232" s="45"/>
      <c r="H232" s="45"/>
      <c r="I232" s="45"/>
      <c r="J232" s="47"/>
      <c r="K232" s="47"/>
      <c r="L232" s="45"/>
      <c r="M232" s="45"/>
      <c r="N232" s="46"/>
      <c r="O232" s="46"/>
      <c r="P232" s="164"/>
      <c r="Q232" s="164"/>
      <c r="R232" s="45"/>
      <c r="S232" s="45"/>
      <c r="U232" s="42"/>
      <c r="V232" s="45"/>
      <c r="Y232" s="45"/>
      <c r="Z232" s="47"/>
      <c r="AA232" s="45"/>
      <c r="AB232" s="45"/>
      <c r="AC232" s="46"/>
      <c r="AD232" s="46"/>
      <c r="AE232" s="45"/>
      <c r="AF232" s="45"/>
      <c r="AH232" s="51"/>
      <c r="AI232" s="164"/>
      <c r="AJ232" s="164"/>
      <c r="AL232" s="45"/>
      <c r="AM232" s="46"/>
      <c r="AN232" s="46"/>
    </row>
    <row r="233" spans="1:40">
      <c r="F233" s="50"/>
      <c r="H233" s="50"/>
      <c r="I233" s="50"/>
      <c r="J233" s="326"/>
      <c r="K233" s="326"/>
      <c r="L233" s="50"/>
      <c r="M233" s="50"/>
      <c r="N233" s="50"/>
      <c r="O233" s="50"/>
      <c r="P233" s="50"/>
      <c r="Q233" s="50"/>
      <c r="R233" s="50"/>
      <c r="S233" s="45"/>
      <c r="V233" s="50"/>
      <c r="Y233" s="50"/>
      <c r="Z233" s="326"/>
      <c r="AA233" s="50"/>
      <c r="AB233" s="50"/>
      <c r="AC233" s="50"/>
      <c r="AD233" s="50"/>
      <c r="AE233" s="50"/>
      <c r="AF233" s="50"/>
      <c r="AI233" s="50"/>
      <c r="AJ233" s="50"/>
      <c r="AK233" s="111"/>
      <c r="AL233" s="50"/>
    </row>
    <row r="234" spans="1:40">
      <c r="R234" s="45"/>
    </row>
    <row r="235" spans="1:40">
      <c r="F235" s="45"/>
      <c r="H235" s="45"/>
      <c r="I235" s="45"/>
      <c r="J235" s="47"/>
      <c r="K235" s="47"/>
      <c r="L235" s="45"/>
      <c r="M235" s="45"/>
      <c r="N235" s="45"/>
      <c r="O235" s="45"/>
      <c r="P235" s="45"/>
      <c r="Q235" s="45"/>
      <c r="R235" s="45"/>
      <c r="V235" s="45"/>
      <c r="Y235" s="45"/>
      <c r="Z235" s="47"/>
      <c r="AA235" s="45"/>
      <c r="AB235" s="45"/>
      <c r="AC235" s="45"/>
      <c r="AD235" s="45"/>
    </row>
    <row r="236" spans="1:40">
      <c r="C236" s="42"/>
      <c r="F236" s="45"/>
      <c r="H236" s="45"/>
      <c r="I236" s="45"/>
      <c r="J236" s="47"/>
      <c r="K236" s="47"/>
      <c r="L236" s="45"/>
      <c r="M236" s="45"/>
      <c r="N236" s="45"/>
      <c r="O236" s="45"/>
      <c r="P236" s="45"/>
      <c r="Q236" s="45"/>
      <c r="R236" s="45"/>
      <c r="T236" s="42"/>
      <c r="V236" s="45"/>
      <c r="Y236" s="45"/>
      <c r="Z236" s="47"/>
      <c r="AA236" s="45"/>
      <c r="AB236" s="45"/>
      <c r="AC236" s="45"/>
      <c r="AD236" s="45"/>
    </row>
    <row r="237" spans="1:40">
      <c r="C237" s="42"/>
      <c r="T237" s="42"/>
    </row>
    <row r="238" spans="1:40">
      <c r="A238" s="42"/>
    </row>
    <row r="241" spans="1:40">
      <c r="H241" s="42"/>
      <c r="I241" s="42"/>
      <c r="Y241" s="42"/>
    </row>
    <row r="243" spans="1:40">
      <c r="L243" s="42"/>
      <c r="M243" s="42"/>
      <c r="AA243" s="42"/>
      <c r="AB243" s="42"/>
    </row>
    <row r="244" spans="1:40">
      <c r="R244" s="42"/>
      <c r="AK244" s="110"/>
      <c r="AL244" s="42"/>
    </row>
    <row r="245" spans="1:40">
      <c r="R245" s="42"/>
      <c r="AK245" s="110"/>
      <c r="AL245" s="42"/>
    </row>
    <row r="246" spans="1:40">
      <c r="A246" s="42"/>
      <c r="R246" s="42"/>
      <c r="AK246" s="110"/>
      <c r="AL246" s="42"/>
    </row>
    <row r="247" spans="1:40">
      <c r="L247" s="42"/>
      <c r="M247" s="42"/>
      <c r="AA247" s="42"/>
      <c r="AB247" s="42"/>
    </row>
    <row r="248" spans="1:40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107"/>
      <c r="AH248" s="49"/>
      <c r="AI248" s="49"/>
      <c r="AJ248" s="49"/>
      <c r="AK248" s="107"/>
      <c r="AL248" s="49"/>
      <c r="AM248" s="49"/>
      <c r="AN248" s="49"/>
    </row>
    <row r="249" spans="1:40">
      <c r="L249" s="44"/>
      <c r="M249" s="44"/>
      <c r="N249" s="44"/>
      <c r="O249" s="44"/>
      <c r="R249" s="44"/>
      <c r="AA249" s="44"/>
      <c r="AB249" s="44"/>
      <c r="AC249" s="44"/>
      <c r="AD249" s="44"/>
      <c r="AE249" s="44"/>
      <c r="AF249" s="44"/>
      <c r="AG249" s="102"/>
      <c r="AH249" s="44"/>
      <c r="AK249" s="102"/>
      <c r="AL249" s="44"/>
      <c r="AM249" s="44"/>
      <c r="AN249" s="44"/>
    </row>
    <row r="250" spans="1:40">
      <c r="L250" s="44"/>
      <c r="M250" s="44"/>
      <c r="N250" s="44"/>
      <c r="O250" s="44"/>
      <c r="R250" s="44"/>
      <c r="Z250" s="44"/>
      <c r="AA250" s="44"/>
      <c r="AB250" s="44"/>
      <c r="AC250" s="44"/>
      <c r="AD250" s="44"/>
      <c r="AE250" s="44"/>
      <c r="AF250" s="44"/>
      <c r="AG250" s="102"/>
      <c r="AH250" s="44"/>
      <c r="AK250" s="102"/>
      <c r="AL250" s="44"/>
      <c r="AM250" s="44"/>
      <c r="AN250" s="44"/>
    </row>
    <row r="251" spans="1:40">
      <c r="A251" s="44"/>
      <c r="C251" s="44"/>
      <c r="D251" s="44"/>
      <c r="E251" s="44"/>
      <c r="F251" s="44"/>
      <c r="J251" s="44"/>
      <c r="K251" s="44"/>
      <c r="L251" s="44"/>
      <c r="M251" s="44"/>
      <c r="N251" s="44"/>
      <c r="O251" s="44"/>
      <c r="P251" s="44"/>
      <c r="Q251" s="44"/>
      <c r="R251" s="44"/>
      <c r="T251" s="44"/>
      <c r="U251" s="44"/>
      <c r="V251" s="44"/>
      <c r="Z251" s="44"/>
      <c r="AA251" s="44"/>
      <c r="AB251" s="44"/>
      <c r="AC251" s="44"/>
      <c r="AD251" s="44"/>
      <c r="AE251" s="44"/>
      <c r="AF251" s="44"/>
      <c r="AG251" s="102"/>
      <c r="AH251" s="44"/>
      <c r="AI251" s="44"/>
      <c r="AJ251" s="44"/>
      <c r="AK251" s="102"/>
      <c r="AL251" s="44"/>
      <c r="AM251" s="44"/>
      <c r="AN251" s="44"/>
    </row>
    <row r="252" spans="1:40">
      <c r="A252" s="44"/>
      <c r="C252" s="44"/>
      <c r="D252" s="44"/>
      <c r="E252" s="44"/>
      <c r="F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T252" s="44"/>
      <c r="U252" s="44"/>
      <c r="V252" s="44"/>
      <c r="Y252" s="44"/>
      <c r="Z252" s="44"/>
      <c r="AA252" s="44"/>
      <c r="AB252" s="44"/>
      <c r="AC252" s="44"/>
      <c r="AD252" s="44"/>
      <c r="AE252" s="44"/>
      <c r="AF252" s="44"/>
      <c r="AG252" s="102"/>
      <c r="AH252" s="44"/>
      <c r="AI252" s="44"/>
      <c r="AJ252" s="44"/>
      <c r="AK252" s="102"/>
      <c r="AL252" s="44"/>
      <c r="AM252" s="44"/>
      <c r="AN252" s="44"/>
    </row>
    <row r="253" spans="1:40">
      <c r="C253" s="44"/>
      <c r="D253" s="44"/>
      <c r="E253" s="44"/>
      <c r="F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T253" s="44"/>
      <c r="U253" s="44"/>
      <c r="V253" s="44"/>
      <c r="Y253" s="44"/>
      <c r="Z253" s="44"/>
      <c r="AA253" s="44"/>
      <c r="AB253" s="44"/>
      <c r="AC253" s="44"/>
      <c r="AD253" s="44"/>
      <c r="AE253" s="44"/>
      <c r="AF253" s="44"/>
      <c r="AG253" s="102"/>
      <c r="AH253" s="44"/>
      <c r="AI253" s="44"/>
      <c r="AJ253" s="44"/>
      <c r="AK253" s="102"/>
      <c r="AL253" s="44"/>
      <c r="AM253" s="44"/>
      <c r="AN253" s="44"/>
    </row>
    <row r="254" spans="1:40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107"/>
      <c r="AH254" s="49"/>
      <c r="AI254" s="49"/>
      <c r="AJ254" s="49"/>
      <c r="AK254" s="107"/>
      <c r="AL254" s="49"/>
      <c r="AM254" s="49"/>
      <c r="AN254" s="49"/>
    </row>
    <row r="255" spans="1:40"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Y255" s="44"/>
      <c r="Z255" s="44"/>
      <c r="AA255" s="44"/>
      <c r="AB255" s="44"/>
      <c r="AC255" s="44"/>
      <c r="AD255" s="44"/>
      <c r="AE255" s="44"/>
      <c r="AF255" s="44"/>
      <c r="AG255" s="102"/>
      <c r="AH255" s="44"/>
      <c r="AI255" s="44"/>
      <c r="AJ255" s="44"/>
      <c r="AK255" s="102"/>
      <c r="AL255" s="44"/>
      <c r="AM255" s="44"/>
      <c r="AN255" s="44"/>
    </row>
    <row r="256" spans="1:40">
      <c r="C256" s="42"/>
      <c r="D256" s="42"/>
      <c r="E256" s="42"/>
      <c r="T256" s="42"/>
      <c r="U256" s="42"/>
    </row>
    <row r="257" spans="3:40">
      <c r="D257" s="42"/>
      <c r="E257" s="42"/>
      <c r="U257" s="42"/>
    </row>
    <row r="259" spans="3:40">
      <c r="C259" s="42"/>
      <c r="F259" s="45"/>
      <c r="J259" s="53"/>
      <c r="K259" s="53"/>
      <c r="L259" s="45"/>
      <c r="M259" s="45"/>
      <c r="R259" s="45"/>
      <c r="T259" s="42"/>
      <c r="V259" s="45"/>
      <c r="Z259" s="53"/>
      <c r="AA259" s="45"/>
      <c r="AB259" s="45"/>
      <c r="AL259" s="45"/>
    </row>
    <row r="260" spans="3:40">
      <c r="F260" s="45"/>
      <c r="R260" s="45"/>
      <c r="V260" s="45"/>
      <c r="AL260" s="45"/>
    </row>
    <row r="261" spans="3:40">
      <c r="C261" s="42"/>
      <c r="F261" s="164"/>
      <c r="H261" s="164"/>
      <c r="I261" s="164"/>
      <c r="J261" s="316"/>
      <c r="K261" s="316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16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3:40">
      <c r="C262" s="42"/>
      <c r="F262" s="164"/>
      <c r="H262" s="329"/>
      <c r="I262" s="329"/>
      <c r="J262" s="316"/>
      <c r="K262" s="316"/>
      <c r="L262" s="45"/>
      <c r="M262" s="45"/>
      <c r="N262" s="46"/>
      <c r="O262" s="46"/>
      <c r="P262" s="45"/>
      <c r="Q262" s="45"/>
      <c r="R262" s="45"/>
      <c r="T262" s="42"/>
      <c r="V262" s="45"/>
      <c r="Y262" s="45"/>
      <c r="Z262" s="316"/>
      <c r="AA262" s="45"/>
      <c r="AB262" s="45"/>
      <c r="AC262" s="46"/>
      <c r="AD262" s="46"/>
      <c r="AE262" s="45"/>
      <c r="AF262" s="45"/>
      <c r="AH262" s="51"/>
      <c r="AI262" s="45"/>
      <c r="AJ262" s="45"/>
      <c r="AL262" s="45"/>
      <c r="AM262" s="46"/>
      <c r="AN262" s="46"/>
    </row>
    <row r="263" spans="3:40">
      <c r="F263" s="50"/>
      <c r="H263" s="45"/>
      <c r="I263" s="45"/>
      <c r="J263" s="326"/>
      <c r="K263" s="326"/>
      <c r="L263" s="50"/>
      <c r="M263" s="50"/>
      <c r="N263" s="50"/>
      <c r="O263" s="50"/>
      <c r="P263" s="50"/>
      <c r="Q263" s="50"/>
      <c r="R263" s="50"/>
      <c r="V263" s="50"/>
      <c r="Y263" s="45"/>
      <c r="Z263" s="326"/>
      <c r="AA263" s="50"/>
      <c r="AB263" s="50"/>
      <c r="AC263" s="50"/>
      <c r="AD263" s="50"/>
      <c r="AE263" s="50"/>
      <c r="AF263" s="50"/>
      <c r="AI263" s="50"/>
      <c r="AJ263" s="50"/>
      <c r="AK263" s="111"/>
      <c r="AL263" s="50"/>
    </row>
    <row r="264" spans="3:40">
      <c r="C264" s="42"/>
      <c r="F264" s="45"/>
      <c r="H264" s="45"/>
      <c r="I264" s="45"/>
      <c r="J264" s="47"/>
      <c r="K264" s="47"/>
      <c r="L264" s="45"/>
      <c r="M264" s="45"/>
      <c r="N264" s="46"/>
      <c r="O264" s="46"/>
      <c r="P264" s="45"/>
      <c r="Q264" s="45"/>
      <c r="R264" s="45"/>
      <c r="T264" s="42"/>
      <c r="V264" s="45"/>
      <c r="Y264" s="45"/>
      <c r="Z264" s="47"/>
      <c r="AA264" s="45"/>
      <c r="AB264" s="45"/>
      <c r="AC264" s="46"/>
      <c r="AD264" s="46"/>
      <c r="AE264" s="45"/>
      <c r="AF264" s="45"/>
      <c r="AH264" s="51"/>
      <c r="AI264" s="45"/>
      <c r="AJ264" s="45"/>
      <c r="AL264" s="45"/>
      <c r="AM264" s="46"/>
      <c r="AN264" s="46"/>
    </row>
    <row r="265" spans="3:40">
      <c r="F265" s="50"/>
      <c r="H265" s="45"/>
      <c r="I265" s="45"/>
      <c r="J265" s="326"/>
      <c r="K265" s="326"/>
      <c r="L265" s="50"/>
      <c r="M265" s="50"/>
      <c r="N265" s="50"/>
      <c r="O265" s="50"/>
      <c r="P265" s="50"/>
      <c r="Q265" s="50"/>
      <c r="R265" s="50"/>
      <c r="V265" s="50"/>
      <c r="Y265" s="45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</row>
    <row r="266" spans="3:40">
      <c r="F266" s="45"/>
      <c r="R266" s="45"/>
      <c r="V266" s="45"/>
      <c r="AL266" s="45"/>
    </row>
    <row r="267" spans="3:40">
      <c r="C267" s="42"/>
      <c r="F267" s="45"/>
      <c r="R267" s="45"/>
      <c r="T267" s="42"/>
      <c r="V267" s="45"/>
      <c r="AL267" s="45"/>
    </row>
    <row r="268" spans="3:40">
      <c r="F268" s="45"/>
      <c r="R268" s="45"/>
      <c r="V268" s="45"/>
      <c r="AL268" s="45"/>
    </row>
    <row r="269" spans="3:40">
      <c r="C269" s="42"/>
      <c r="F269" s="45"/>
      <c r="H269" s="164"/>
      <c r="I269" s="164"/>
      <c r="J269" s="331"/>
      <c r="K269" s="331"/>
      <c r="L269" s="45"/>
      <c r="M269" s="45"/>
      <c r="N269" s="46"/>
      <c r="O269" s="46"/>
      <c r="P269" s="164"/>
      <c r="Q269" s="164"/>
      <c r="R269" s="45"/>
      <c r="T269" s="42"/>
      <c r="V269" s="45"/>
      <c r="Y269" s="45"/>
      <c r="Z269" s="325"/>
      <c r="AA269" s="45"/>
      <c r="AB269" s="45"/>
      <c r="AC269" s="46"/>
      <c r="AD269" s="46"/>
      <c r="AE269" s="45"/>
      <c r="AF269" s="45"/>
      <c r="AH269" s="51"/>
      <c r="AI269" s="164"/>
      <c r="AJ269" s="164"/>
      <c r="AL269" s="45"/>
      <c r="AM269" s="46"/>
      <c r="AN269" s="46"/>
    </row>
    <row r="270" spans="3:40">
      <c r="F270" s="50"/>
      <c r="H270" s="50"/>
      <c r="I270" s="50"/>
      <c r="J270" s="326"/>
      <c r="K270" s="326"/>
      <c r="L270" s="50"/>
      <c r="M270" s="50"/>
      <c r="N270" s="50"/>
      <c r="O270" s="50"/>
      <c r="P270" s="50"/>
      <c r="Q270" s="50"/>
      <c r="R270" s="50"/>
      <c r="V270" s="50"/>
      <c r="Y270" s="50"/>
      <c r="Z270" s="326"/>
      <c r="AA270" s="50"/>
      <c r="AB270" s="50"/>
      <c r="AC270" s="50"/>
      <c r="AD270" s="50"/>
      <c r="AE270" s="50"/>
      <c r="AF270" s="50"/>
      <c r="AI270" s="50"/>
      <c r="AJ270" s="50"/>
      <c r="AK270" s="111"/>
      <c r="AL270" s="50"/>
    </row>
    <row r="272" spans="3:40">
      <c r="C272" s="42"/>
      <c r="F272" s="45"/>
      <c r="H272" s="45"/>
      <c r="I272" s="45"/>
      <c r="J272" s="53"/>
      <c r="K272" s="53"/>
      <c r="L272" s="45"/>
      <c r="M272" s="45"/>
      <c r="N272" s="46"/>
      <c r="O272" s="46"/>
      <c r="P272" s="45"/>
      <c r="Q272" s="45"/>
      <c r="R272" s="45"/>
      <c r="T272" s="42"/>
      <c r="V272" s="45"/>
      <c r="Y272" s="45"/>
      <c r="Z272" s="53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>
      <c r="F273" s="50"/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</row>
    <row r="274" spans="1:40">
      <c r="R274" s="45"/>
      <c r="AH274" s="45"/>
    </row>
    <row r="275" spans="1:40">
      <c r="F275" s="45"/>
      <c r="H275" s="45"/>
      <c r="I275" s="45"/>
      <c r="J275" s="47"/>
      <c r="K275" s="47"/>
      <c r="L275" s="45"/>
      <c r="M275" s="45"/>
      <c r="N275" s="45"/>
      <c r="O275" s="45"/>
      <c r="P275" s="45"/>
      <c r="Q275" s="45"/>
      <c r="R275" s="45"/>
      <c r="V275" s="45"/>
      <c r="Y275" s="45"/>
      <c r="Z275" s="47"/>
      <c r="AA275" s="45"/>
      <c r="AB275" s="45"/>
      <c r="AC275" s="45"/>
      <c r="AD275" s="45"/>
      <c r="AE275" s="45"/>
      <c r="AF275" s="45"/>
      <c r="AH275" s="45"/>
    </row>
    <row r="276" spans="1:40">
      <c r="C276" s="42"/>
      <c r="F276" s="45"/>
      <c r="H276" s="45"/>
      <c r="I276" s="45"/>
      <c r="J276" s="47"/>
      <c r="K276" s="47"/>
      <c r="L276" s="45"/>
      <c r="M276" s="45"/>
      <c r="N276" s="45"/>
      <c r="O276" s="45"/>
      <c r="P276" s="45"/>
      <c r="Q276" s="45"/>
      <c r="R276" s="45"/>
      <c r="T276" s="42"/>
      <c r="V276" s="45"/>
      <c r="Y276" s="45"/>
      <c r="Z276" s="47"/>
      <c r="AA276" s="45"/>
      <c r="AB276" s="45"/>
      <c r="AC276" s="45"/>
      <c r="AD276" s="45"/>
      <c r="AE276" s="45"/>
      <c r="AF276" s="45"/>
      <c r="AH276" s="45"/>
    </row>
    <row r="277" spans="1:40">
      <c r="A277" s="42"/>
    </row>
    <row r="280" spans="1:40">
      <c r="H280" s="42"/>
      <c r="I280" s="42"/>
      <c r="Y280" s="42"/>
    </row>
    <row r="282" spans="1:40">
      <c r="L282" s="42"/>
      <c r="M282" s="42"/>
      <c r="AA282" s="42"/>
      <c r="AB282" s="42"/>
    </row>
    <row r="283" spans="1:40">
      <c r="R283" s="42"/>
      <c r="AK283" s="110"/>
      <c r="AL283" s="42"/>
    </row>
    <row r="284" spans="1:40">
      <c r="R284" s="42"/>
      <c r="AK284" s="110"/>
      <c r="AL284" s="42"/>
    </row>
    <row r="285" spans="1:40">
      <c r="A285" s="42"/>
      <c r="R285" s="42"/>
      <c r="AK285" s="110"/>
      <c r="AL285" s="42"/>
    </row>
    <row r="286" spans="1:40">
      <c r="L286" s="42"/>
      <c r="M286" s="42"/>
      <c r="AA286" s="42"/>
      <c r="AB286" s="42"/>
    </row>
    <row r="287" spans="1:40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107"/>
      <c r="AH287" s="49"/>
      <c r="AI287" s="49"/>
      <c r="AJ287" s="49"/>
      <c r="AK287" s="107"/>
      <c r="AL287" s="49"/>
      <c r="AM287" s="49"/>
      <c r="AN287" s="49"/>
    </row>
    <row r="288" spans="1:40">
      <c r="L288" s="44"/>
      <c r="M288" s="44"/>
      <c r="N288" s="44"/>
      <c r="O288" s="44"/>
      <c r="R288" s="44"/>
      <c r="AA288" s="44"/>
      <c r="AB288" s="44"/>
      <c r="AC288" s="44"/>
      <c r="AD288" s="44"/>
      <c r="AE288" s="44"/>
      <c r="AF288" s="44"/>
      <c r="AG288" s="102"/>
      <c r="AH288" s="44"/>
      <c r="AK288" s="102"/>
      <c r="AL288" s="44"/>
      <c r="AM288" s="44"/>
      <c r="AN288" s="44"/>
    </row>
    <row r="289" spans="1:40">
      <c r="L289" s="44"/>
      <c r="M289" s="44"/>
      <c r="N289" s="44"/>
      <c r="O289" s="44"/>
      <c r="R289" s="44"/>
      <c r="Z289" s="44"/>
      <c r="AA289" s="44"/>
      <c r="AB289" s="44"/>
      <c r="AC289" s="44"/>
      <c r="AD289" s="44"/>
      <c r="AE289" s="44"/>
      <c r="AF289" s="44"/>
      <c r="AG289" s="102"/>
      <c r="AH289" s="44"/>
      <c r="AK289" s="102"/>
      <c r="AL289" s="44"/>
      <c r="AM289" s="44"/>
      <c r="AN289" s="44"/>
    </row>
    <row r="290" spans="1:40">
      <c r="A290" s="44"/>
      <c r="C290" s="44"/>
      <c r="D290" s="44"/>
      <c r="E290" s="44"/>
      <c r="F290" s="44"/>
      <c r="J290" s="44"/>
      <c r="K290" s="44"/>
      <c r="L290" s="44"/>
      <c r="M290" s="44"/>
      <c r="N290" s="44"/>
      <c r="O290" s="44"/>
      <c r="P290" s="44"/>
      <c r="Q290" s="44"/>
      <c r="R290" s="44"/>
      <c r="T290" s="44"/>
      <c r="U290" s="44"/>
      <c r="V290" s="44"/>
      <c r="Z290" s="44"/>
      <c r="AA290" s="44"/>
      <c r="AB290" s="44"/>
      <c r="AC290" s="44"/>
      <c r="AD290" s="44"/>
      <c r="AE290" s="44"/>
      <c r="AF290" s="44"/>
      <c r="AG290" s="102"/>
      <c r="AH290" s="44"/>
      <c r="AI290" s="44"/>
      <c r="AJ290" s="44"/>
      <c r="AK290" s="102"/>
      <c r="AL290" s="44"/>
      <c r="AM290" s="44"/>
      <c r="AN290" s="44"/>
    </row>
    <row r="291" spans="1:40">
      <c r="A291" s="44"/>
      <c r="C291" s="44"/>
      <c r="D291" s="44"/>
      <c r="E291" s="44"/>
      <c r="F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T291" s="44"/>
      <c r="U291" s="44"/>
      <c r="V291" s="44"/>
      <c r="Y291" s="44"/>
      <c r="Z291" s="44"/>
      <c r="AA291" s="44"/>
      <c r="AB291" s="44"/>
      <c r="AC291" s="44"/>
      <c r="AD291" s="44"/>
      <c r="AE291" s="44"/>
      <c r="AF291" s="44"/>
      <c r="AG291" s="102"/>
      <c r="AH291" s="44"/>
      <c r="AI291" s="44"/>
      <c r="AJ291" s="44"/>
      <c r="AK291" s="102"/>
      <c r="AL291" s="44"/>
      <c r="AM291" s="44"/>
      <c r="AN291" s="44"/>
    </row>
    <row r="292" spans="1:40">
      <c r="C292" s="44"/>
      <c r="D292" s="44"/>
      <c r="E292" s="44"/>
      <c r="F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T292" s="44"/>
      <c r="U292" s="44"/>
      <c r="V292" s="44"/>
      <c r="Y292" s="44"/>
      <c r="Z292" s="44"/>
      <c r="AA292" s="44"/>
      <c r="AB292" s="44"/>
      <c r="AC292" s="44"/>
      <c r="AD292" s="44"/>
      <c r="AE292" s="44"/>
      <c r="AF292" s="44"/>
      <c r="AG292" s="102"/>
      <c r="AH292" s="44"/>
      <c r="AI292" s="44"/>
      <c r="AJ292" s="44"/>
      <c r="AK292" s="102"/>
      <c r="AL292" s="44"/>
      <c r="AM292" s="44"/>
      <c r="AN292" s="44"/>
    </row>
    <row r="293" spans="1:40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107"/>
      <c r="AH293" s="49"/>
      <c r="AI293" s="49"/>
      <c r="AJ293" s="49"/>
      <c r="AK293" s="107"/>
      <c r="AL293" s="49"/>
      <c r="AM293" s="49"/>
      <c r="AN293" s="49"/>
    </row>
    <row r="294" spans="1:40"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Y294" s="44"/>
      <c r="Z294" s="44"/>
      <c r="AA294" s="44"/>
      <c r="AB294" s="44"/>
      <c r="AC294" s="44"/>
      <c r="AD294" s="44"/>
      <c r="AE294" s="44"/>
      <c r="AF294" s="44"/>
      <c r="AG294" s="102"/>
      <c r="AH294" s="44"/>
      <c r="AI294" s="44"/>
      <c r="AJ294" s="44"/>
      <c r="AK294" s="102"/>
      <c r="AL294" s="44"/>
      <c r="AM294" s="44"/>
      <c r="AN294" s="44"/>
    </row>
    <row r="295" spans="1:40">
      <c r="C295" s="42"/>
      <c r="D295" s="42"/>
      <c r="E295" s="42"/>
      <c r="T295" s="42"/>
      <c r="U295" s="42"/>
    </row>
    <row r="296" spans="1:40">
      <c r="C296" s="42"/>
      <c r="T296" s="42"/>
    </row>
    <row r="298" spans="1:40">
      <c r="C298" s="42"/>
      <c r="F298" s="164"/>
      <c r="H298" s="164"/>
      <c r="I298" s="164"/>
      <c r="J298" s="316"/>
      <c r="K298" s="316"/>
      <c r="L298" s="45"/>
      <c r="M298" s="45"/>
      <c r="N298" s="46"/>
      <c r="O298" s="46"/>
      <c r="R298" s="45"/>
      <c r="T298" s="42"/>
      <c r="V298" s="45"/>
      <c r="Y298" s="164"/>
      <c r="Z298" s="316"/>
      <c r="AA298" s="45"/>
      <c r="AB298" s="45"/>
      <c r="AC298" s="46"/>
      <c r="AD298" s="46"/>
      <c r="AE298" s="45"/>
      <c r="AF298" s="45"/>
      <c r="AH298" s="51"/>
      <c r="AL298" s="45"/>
      <c r="AM298" s="46"/>
      <c r="AN298" s="46"/>
    </row>
    <row r="299" spans="1:40">
      <c r="F299" s="50"/>
      <c r="H299" s="45"/>
      <c r="I299" s="45"/>
      <c r="J299" s="326"/>
      <c r="K299" s="326"/>
      <c r="L299" s="50"/>
      <c r="M299" s="50"/>
      <c r="N299" s="50"/>
      <c r="O299" s="50"/>
      <c r="P299" s="50"/>
      <c r="Q299" s="50"/>
      <c r="R299" s="50"/>
      <c r="V299" s="50"/>
      <c r="Y299" s="45"/>
      <c r="Z299" s="326"/>
      <c r="AA299" s="50"/>
      <c r="AB299" s="50"/>
      <c r="AC299" s="50"/>
      <c r="AD299" s="50"/>
      <c r="AE299" s="50"/>
      <c r="AF299" s="50"/>
      <c r="AI299" s="50"/>
      <c r="AJ299" s="50"/>
      <c r="AK299" s="111"/>
      <c r="AL299" s="50"/>
      <c r="AM299" s="46"/>
      <c r="AN299" s="46"/>
    </row>
    <row r="300" spans="1:40">
      <c r="C300" s="42"/>
      <c r="F300" s="164"/>
      <c r="H300" s="164"/>
      <c r="I300" s="164"/>
      <c r="J300" s="336"/>
      <c r="K300" s="336"/>
      <c r="L300" s="45"/>
      <c r="M300" s="45"/>
      <c r="N300" s="46"/>
      <c r="O300" s="46"/>
      <c r="P300" s="45"/>
      <c r="Q300" s="45"/>
      <c r="R300" s="45"/>
      <c r="S300" s="45"/>
      <c r="T300" s="42"/>
      <c r="V300" s="164"/>
      <c r="Y300" s="164"/>
      <c r="Z300" s="336"/>
      <c r="AA300" s="45"/>
      <c r="AB300" s="45"/>
      <c r="AC300" s="46"/>
      <c r="AD300" s="46"/>
      <c r="AE300" s="45"/>
      <c r="AF300" s="45"/>
      <c r="AH300" s="46"/>
      <c r="AI300" s="45"/>
      <c r="AJ300" s="45"/>
      <c r="AL300" s="45"/>
      <c r="AM300" s="46"/>
      <c r="AN300" s="46"/>
    </row>
    <row r="301" spans="1:40">
      <c r="C301" s="42"/>
      <c r="F301" s="164"/>
      <c r="H301" s="164"/>
      <c r="I301" s="164"/>
      <c r="J301" s="316"/>
      <c r="K301" s="316"/>
      <c r="L301" s="45"/>
      <c r="M301" s="45"/>
      <c r="N301" s="46"/>
      <c r="O301" s="46"/>
      <c r="P301" s="45"/>
      <c r="Q301" s="45"/>
      <c r="R301" s="45"/>
      <c r="T301" s="42"/>
      <c r="V301" s="164"/>
      <c r="Y301" s="45"/>
      <c r="Z301" s="316"/>
      <c r="AA301" s="45"/>
      <c r="AB301" s="45"/>
      <c r="AC301" s="46"/>
      <c r="AD301" s="46"/>
      <c r="AE301" s="45"/>
      <c r="AF301" s="45"/>
      <c r="AH301" s="51"/>
      <c r="AI301" s="45"/>
      <c r="AJ301" s="45"/>
      <c r="AL301" s="45"/>
      <c r="AM301" s="46"/>
      <c r="AN301" s="46"/>
    </row>
    <row r="302" spans="1:40">
      <c r="C302" s="42"/>
      <c r="F302" s="164"/>
      <c r="H302" s="164"/>
      <c r="I302" s="164"/>
      <c r="J302" s="316"/>
      <c r="K302" s="316"/>
      <c r="L302" s="45"/>
      <c r="M302" s="45"/>
      <c r="N302" s="46"/>
      <c r="O302" s="46"/>
      <c r="P302" s="45"/>
      <c r="Q302" s="45"/>
      <c r="R302" s="45"/>
      <c r="T302" s="42"/>
      <c r="V302" s="164"/>
      <c r="Y302" s="45"/>
      <c r="Z302" s="316"/>
      <c r="AA302" s="45"/>
      <c r="AB302" s="45"/>
      <c r="AC302" s="46"/>
      <c r="AD302" s="46"/>
      <c r="AE302" s="45"/>
      <c r="AF302" s="45"/>
      <c r="AH302" s="51"/>
      <c r="AI302" s="45"/>
      <c r="AJ302" s="45"/>
      <c r="AL302" s="45"/>
      <c r="AM302" s="46"/>
      <c r="AN302" s="46"/>
    </row>
    <row r="303" spans="1:40">
      <c r="F303" s="50"/>
      <c r="H303" s="50"/>
      <c r="I303" s="50"/>
      <c r="J303" s="326"/>
      <c r="K303" s="326"/>
      <c r="L303" s="50"/>
      <c r="M303" s="50"/>
      <c r="N303" s="50"/>
      <c r="O303" s="50"/>
      <c r="P303" s="50"/>
      <c r="Q303" s="50"/>
      <c r="R303" s="50"/>
      <c r="V303" s="50"/>
      <c r="Y303" s="50"/>
      <c r="Z303" s="326"/>
      <c r="AA303" s="50"/>
      <c r="AB303" s="50"/>
      <c r="AC303" s="50"/>
      <c r="AD303" s="50"/>
      <c r="AE303" s="50"/>
      <c r="AF303" s="50"/>
      <c r="AI303" s="50"/>
      <c r="AJ303" s="50"/>
      <c r="AK303" s="111"/>
      <c r="AL303" s="50"/>
      <c r="AM303" s="46"/>
      <c r="AN303" s="46"/>
    </row>
    <row r="304" spans="1:40">
      <c r="C304" s="42"/>
      <c r="F304" s="45"/>
      <c r="H304" s="45"/>
      <c r="I304" s="45"/>
      <c r="J304" s="47"/>
      <c r="K304" s="47"/>
      <c r="L304" s="45"/>
      <c r="M304" s="45"/>
      <c r="N304" s="46"/>
      <c r="O304" s="46"/>
      <c r="P304" s="45"/>
      <c r="Q304" s="45"/>
      <c r="R304" s="45"/>
      <c r="T304" s="42"/>
      <c r="V304" s="45"/>
      <c r="Y304" s="45"/>
      <c r="Z304" s="47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3:40">
      <c r="F305" s="50"/>
      <c r="H305" s="50"/>
      <c r="I305" s="50"/>
      <c r="J305" s="326"/>
      <c r="K305" s="326"/>
      <c r="L305" s="50"/>
      <c r="M305" s="50"/>
      <c r="N305" s="50"/>
      <c r="O305" s="50"/>
      <c r="P305" s="50"/>
      <c r="Q305" s="50"/>
      <c r="R305" s="50"/>
      <c r="V305" s="50"/>
      <c r="Y305" s="50"/>
      <c r="Z305" s="326"/>
      <c r="AA305" s="50"/>
      <c r="AB305" s="50"/>
      <c r="AC305" s="50"/>
      <c r="AD305" s="50"/>
      <c r="AE305" s="50"/>
      <c r="AF305" s="50"/>
      <c r="AI305" s="50"/>
      <c r="AJ305" s="50"/>
      <c r="AK305" s="111"/>
      <c r="AL305" s="50"/>
      <c r="AM305" s="46"/>
      <c r="AN305" s="46"/>
    </row>
    <row r="306" spans="3:40">
      <c r="C306" s="42"/>
      <c r="F306" s="45"/>
      <c r="H306" s="45"/>
      <c r="I306" s="45"/>
      <c r="J306" s="47"/>
      <c r="K306" s="47"/>
      <c r="L306" s="45"/>
      <c r="M306" s="45"/>
      <c r="N306" s="46"/>
      <c r="O306" s="46"/>
      <c r="P306" s="45"/>
      <c r="Q306" s="45"/>
      <c r="R306" s="45"/>
      <c r="T306" s="42"/>
      <c r="V306" s="45"/>
      <c r="Y306" s="45"/>
      <c r="Z306" s="47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3:40">
      <c r="C307" s="42"/>
      <c r="F307" s="45"/>
      <c r="H307" s="164"/>
      <c r="I307" s="164"/>
      <c r="J307" s="331"/>
      <c r="K307" s="331"/>
      <c r="L307" s="45"/>
      <c r="M307" s="45"/>
      <c r="N307" s="46"/>
      <c r="O307" s="46"/>
      <c r="P307" s="45"/>
      <c r="Q307" s="45"/>
      <c r="R307" s="45"/>
      <c r="T307" s="42"/>
      <c r="V307" s="45"/>
      <c r="Y307" s="45"/>
      <c r="Z307" s="325"/>
      <c r="AA307" s="45"/>
      <c r="AB307" s="45"/>
      <c r="AC307" s="46"/>
      <c r="AD307" s="46"/>
      <c r="AE307" s="45"/>
      <c r="AF307" s="45"/>
      <c r="AH307" s="51"/>
      <c r="AI307" s="45"/>
      <c r="AJ307" s="45"/>
      <c r="AL307" s="45"/>
      <c r="AM307" s="46"/>
      <c r="AN307" s="46"/>
    </row>
    <row r="308" spans="3:40">
      <c r="F308" s="50"/>
      <c r="H308" s="50"/>
      <c r="I308" s="50"/>
      <c r="J308" s="326"/>
      <c r="K308" s="326"/>
      <c r="L308" s="50"/>
      <c r="M308" s="50"/>
      <c r="N308" s="50"/>
      <c r="O308" s="50"/>
      <c r="P308" s="50"/>
      <c r="Q308" s="50"/>
      <c r="R308" s="50"/>
      <c r="V308" s="50"/>
      <c r="Y308" s="50"/>
      <c r="Z308" s="326"/>
      <c r="AA308" s="50"/>
      <c r="AB308" s="50"/>
      <c r="AC308" s="50"/>
      <c r="AD308" s="50"/>
      <c r="AE308" s="50"/>
      <c r="AF308" s="50"/>
      <c r="AI308" s="50"/>
      <c r="AJ308" s="50"/>
      <c r="AK308" s="111"/>
      <c r="AL308" s="50"/>
      <c r="AM308" s="46"/>
      <c r="AN308" s="46"/>
    </row>
    <row r="310" spans="3:40">
      <c r="C310" s="42"/>
      <c r="F310" s="45"/>
      <c r="H310" s="45"/>
      <c r="I310" s="45"/>
      <c r="J310" s="326"/>
      <c r="K310" s="326"/>
      <c r="L310" s="45"/>
      <c r="M310" s="45"/>
      <c r="N310" s="46"/>
      <c r="O310" s="46"/>
      <c r="P310" s="45"/>
      <c r="Q310" s="45"/>
      <c r="R310" s="45"/>
      <c r="S310" s="45"/>
      <c r="T310" s="42"/>
      <c r="V310" s="45"/>
      <c r="Y310" s="45"/>
      <c r="Z310" s="326"/>
      <c r="AA310" s="45"/>
      <c r="AB310" s="45"/>
      <c r="AC310" s="46"/>
      <c r="AD310" s="46"/>
      <c r="AE310" s="45"/>
      <c r="AF310" s="45"/>
      <c r="AH310" s="46"/>
      <c r="AI310" s="45"/>
      <c r="AJ310" s="45"/>
      <c r="AL310" s="45"/>
      <c r="AM310" s="46"/>
      <c r="AN310" s="46"/>
    </row>
    <row r="311" spans="3:40">
      <c r="F311" s="50"/>
      <c r="H311" s="50"/>
      <c r="I311" s="50"/>
      <c r="J311" s="326"/>
      <c r="K311" s="326"/>
      <c r="L311" s="50"/>
      <c r="M311" s="50"/>
      <c r="N311" s="50"/>
      <c r="O311" s="50"/>
      <c r="P311" s="50"/>
      <c r="Q311" s="50"/>
      <c r="R311" s="50"/>
      <c r="S311" s="45"/>
      <c r="V311" s="50"/>
      <c r="Y311" s="50"/>
      <c r="Z311" s="326"/>
      <c r="AA311" s="50"/>
      <c r="AB311" s="50"/>
      <c r="AC311" s="50"/>
      <c r="AD311" s="50"/>
      <c r="AE311" s="50"/>
      <c r="AF311" s="50"/>
      <c r="AI311" s="50"/>
      <c r="AJ311" s="50"/>
      <c r="AK311" s="111"/>
      <c r="AL311" s="50"/>
      <c r="AM311" s="46"/>
      <c r="AN311" s="46"/>
    </row>
    <row r="312" spans="3:40">
      <c r="C312" s="42"/>
      <c r="F312" s="164"/>
      <c r="H312" s="164"/>
      <c r="I312" s="164"/>
      <c r="J312" s="326"/>
      <c r="K312" s="326"/>
      <c r="L312" s="45"/>
      <c r="M312" s="45"/>
      <c r="N312" s="46"/>
      <c r="O312" s="46"/>
      <c r="P312" s="45"/>
      <c r="Q312" s="45"/>
      <c r="R312" s="45"/>
      <c r="S312" s="45"/>
      <c r="T312" s="42"/>
      <c r="V312" s="164"/>
      <c r="Y312" s="164"/>
      <c r="Z312" s="326"/>
      <c r="AA312" s="45"/>
      <c r="AB312" s="45"/>
      <c r="AC312" s="46"/>
      <c r="AD312" s="46"/>
      <c r="AE312" s="45"/>
      <c r="AF312" s="45"/>
      <c r="AI312" s="45"/>
      <c r="AJ312" s="45"/>
      <c r="AL312" s="45"/>
      <c r="AM312" s="46"/>
      <c r="AN312" s="46"/>
    </row>
    <row r="314" spans="3:40">
      <c r="C314" s="42"/>
      <c r="F314" s="164"/>
      <c r="H314" s="164"/>
      <c r="I314" s="164"/>
      <c r="J314" s="316"/>
      <c r="K314" s="316"/>
      <c r="L314" s="45"/>
      <c r="M314" s="45"/>
      <c r="N314" s="46"/>
      <c r="O314" s="46"/>
      <c r="R314" s="45"/>
      <c r="T314" s="42"/>
      <c r="V314" s="45"/>
      <c r="Y314" s="164"/>
      <c r="Z314" s="316"/>
      <c r="AA314" s="45"/>
      <c r="AB314" s="45"/>
      <c r="AC314" s="46"/>
      <c r="AD314" s="46"/>
      <c r="AE314" s="45"/>
      <c r="AF314" s="45"/>
      <c r="AH314" s="51"/>
      <c r="AL314" s="45"/>
      <c r="AM314" s="46"/>
      <c r="AN314" s="46"/>
    </row>
    <row r="315" spans="3:40">
      <c r="F315" s="50"/>
      <c r="H315" s="45"/>
      <c r="I315" s="45"/>
      <c r="J315" s="326"/>
      <c r="K315" s="326"/>
      <c r="L315" s="50"/>
      <c r="M315" s="50"/>
      <c r="N315" s="50"/>
      <c r="O315" s="50"/>
      <c r="P315" s="50"/>
      <c r="Q315" s="50"/>
      <c r="R315" s="50"/>
      <c r="V315" s="50"/>
      <c r="Y315" s="45"/>
      <c r="Z315" s="326"/>
      <c r="AA315" s="50"/>
      <c r="AB315" s="50"/>
      <c r="AC315" s="50"/>
      <c r="AD315" s="50"/>
      <c r="AE315" s="50"/>
      <c r="AF315" s="50"/>
      <c r="AI315" s="50"/>
      <c r="AJ315" s="50"/>
      <c r="AK315" s="111"/>
      <c r="AL315" s="50"/>
      <c r="AM315" s="46"/>
      <c r="AN315" s="46"/>
    </row>
    <row r="316" spans="3:40">
      <c r="C316" s="42"/>
      <c r="F316" s="164"/>
      <c r="H316" s="164"/>
      <c r="I316" s="164"/>
      <c r="J316" s="336"/>
      <c r="K316" s="336"/>
      <c r="L316" s="45"/>
      <c r="M316" s="45"/>
      <c r="N316" s="46"/>
      <c r="O316" s="46"/>
      <c r="P316" s="45"/>
      <c r="Q316" s="45"/>
      <c r="R316" s="45"/>
      <c r="S316" s="45"/>
      <c r="T316" s="42"/>
      <c r="V316" s="164"/>
      <c r="Y316" s="164"/>
      <c r="Z316" s="336"/>
      <c r="AA316" s="45"/>
      <c r="AB316" s="45"/>
      <c r="AC316" s="46"/>
      <c r="AD316" s="46"/>
      <c r="AE316" s="45"/>
      <c r="AF316" s="45"/>
      <c r="AH316" s="46"/>
      <c r="AI316" s="45"/>
      <c r="AJ316" s="45"/>
      <c r="AL316" s="45"/>
      <c r="AM316" s="46"/>
      <c r="AN316" s="46"/>
    </row>
    <row r="317" spans="3:40">
      <c r="C317" s="42"/>
      <c r="F317" s="164"/>
      <c r="H317" s="164"/>
      <c r="I317" s="164"/>
      <c r="J317" s="316"/>
      <c r="K317" s="316"/>
      <c r="L317" s="45"/>
      <c r="M317" s="45"/>
      <c r="N317" s="46"/>
      <c r="O317" s="46"/>
      <c r="P317" s="45"/>
      <c r="Q317" s="45"/>
      <c r="R317" s="45"/>
      <c r="T317" s="42"/>
      <c r="V317" s="164"/>
      <c r="Y317" s="45"/>
      <c r="Z317" s="316"/>
      <c r="AA317" s="45"/>
      <c r="AB317" s="45"/>
      <c r="AC317" s="46"/>
      <c r="AD317" s="46"/>
      <c r="AE317" s="45"/>
      <c r="AF317" s="45"/>
      <c r="AH317" s="51"/>
      <c r="AI317" s="45"/>
      <c r="AJ317" s="45"/>
      <c r="AL317" s="45"/>
      <c r="AM317" s="46"/>
      <c r="AN317" s="46"/>
    </row>
    <row r="318" spans="3:40">
      <c r="C318" s="42"/>
      <c r="F318" s="164"/>
      <c r="H318" s="164"/>
      <c r="I318" s="164"/>
      <c r="J318" s="316"/>
      <c r="K318" s="316"/>
      <c r="L318" s="45"/>
      <c r="M318" s="45"/>
      <c r="N318" s="46"/>
      <c r="O318" s="46"/>
      <c r="P318" s="45"/>
      <c r="Q318" s="45"/>
      <c r="R318" s="45"/>
      <c r="T318" s="42"/>
      <c r="V318" s="164"/>
      <c r="Y318" s="45"/>
      <c r="Z318" s="316"/>
      <c r="AA318" s="45"/>
      <c r="AB318" s="45"/>
      <c r="AC318" s="46"/>
      <c r="AD318" s="46"/>
      <c r="AE318" s="45"/>
      <c r="AF318" s="45"/>
      <c r="AH318" s="51"/>
      <c r="AI318" s="45"/>
      <c r="AJ318" s="45"/>
      <c r="AL318" s="45"/>
      <c r="AM318" s="46"/>
      <c r="AN318" s="46"/>
    </row>
    <row r="319" spans="3:40">
      <c r="F319" s="50"/>
      <c r="H319" s="50"/>
      <c r="I319" s="50"/>
      <c r="J319" s="326"/>
      <c r="K319" s="326"/>
      <c r="L319" s="50"/>
      <c r="M319" s="50"/>
      <c r="N319" s="50"/>
      <c r="O319" s="50"/>
      <c r="P319" s="50"/>
      <c r="Q319" s="50"/>
      <c r="R319" s="50"/>
      <c r="V319" s="50"/>
      <c r="Y319" s="50"/>
      <c r="Z319" s="326"/>
      <c r="AA319" s="50"/>
      <c r="AB319" s="50"/>
      <c r="AC319" s="50"/>
      <c r="AD319" s="50"/>
      <c r="AE319" s="50"/>
      <c r="AF319" s="50"/>
      <c r="AI319" s="50"/>
      <c r="AJ319" s="50"/>
      <c r="AK319" s="111"/>
      <c r="AL319" s="50"/>
      <c r="AM319" s="46"/>
      <c r="AN319" s="46"/>
    </row>
    <row r="320" spans="3:40">
      <c r="C320" s="42"/>
      <c r="F320" s="45"/>
      <c r="H320" s="45"/>
      <c r="I320" s="45"/>
      <c r="J320" s="47"/>
      <c r="K320" s="47"/>
      <c r="L320" s="45"/>
      <c r="M320" s="45"/>
      <c r="N320" s="46"/>
      <c r="O320" s="46"/>
      <c r="P320" s="45"/>
      <c r="Q320" s="45"/>
      <c r="R320" s="45"/>
      <c r="T320" s="42"/>
      <c r="V320" s="45"/>
      <c r="Y320" s="45"/>
      <c r="Z320" s="47"/>
      <c r="AA320" s="45"/>
      <c r="AB320" s="45"/>
      <c r="AC320" s="46"/>
      <c r="AD320" s="46"/>
      <c r="AE320" s="45"/>
      <c r="AF320" s="45"/>
      <c r="AH320" s="51"/>
      <c r="AI320" s="45"/>
      <c r="AJ320" s="45"/>
      <c r="AL320" s="45"/>
      <c r="AM320" s="46"/>
      <c r="AN320" s="46"/>
    </row>
    <row r="321" spans="1:40">
      <c r="F321" s="50"/>
      <c r="H321" s="50"/>
      <c r="I321" s="50"/>
      <c r="J321" s="326"/>
      <c r="K321" s="326"/>
      <c r="L321" s="50"/>
      <c r="M321" s="50"/>
      <c r="N321" s="50"/>
      <c r="O321" s="50"/>
      <c r="P321" s="50"/>
      <c r="Q321" s="50"/>
      <c r="R321" s="50"/>
      <c r="V321" s="50"/>
      <c r="Y321" s="50"/>
      <c r="Z321" s="326"/>
      <c r="AA321" s="50"/>
      <c r="AB321" s="50"/>
      <c r="AC321" s="50"/>
      <c r="AD321" s="50"/>
      <c r="AE321" s="50"/>
      <c r="AF321" s="50"/>
      <c r="AI321" s="50"/>
      <c r="AJ321" s="50"/>
      <c r="AK321" s="111"/>
      <c r="AL321" s="50"/>
      <c r="AM321" s="46"/>
      <c r="AN321" s="46"/>
    </row>
    <row r="322" spans="1:40">
      <c r="C322" s="42"/>
      <c r="F322" s="45"/>
      <c r="H322" s="45"/>
      <c r="I322" s="45"/>
      <c r="J322" s="47"/>
      <c r="K322" s="47"/>
      <c r="L322" s="45"/>
      <c r="M322" s="45"/>
      <c r="N322" s="46"/>
      <c r="O322" s="46"/>
      <c r="P322" s="45"/>
      <c r="Q322" s="45"/>
      <c r="R322" s="45"/>
      <c r="T322" s="42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>
      <c r="C323" s="42"/>
      <c r="F323" s="45"/>
      <c r="H323" s="164"/>
      <c r="I323" s="164"/>
      <c r="J323" s="331"/>
      <c r="K323" s="331"/>
      <c r="L323" s="45"/>
      <c r="M323" s="45"/>
      <c r="N323" s="46"/>
      <c r="O323" s="46"/>
      <c r="P323" s="45"/>
      <c r="Q323" s="45"/>
      <c r="R323" s="45"/>
      <c r="T323" s="42"/>
      <c r="V323" s="45"/>
      <c r="Y323" s="45"/>
      <c r="Z323" s="325"/>
      <c r="AA323" s="45"/>
      <c r="AB323" s="45"/>
      <c r="AC323" s="46"/>
      <c r="AD323" s="46"/>
      <c r="AE323" s="45"/>
      <c r="AF323" s="45"/>
      <c r="AH323" s="51"/>
      <c r="AI323" s="45"/>
      <c r="AJ323" s="45"/>
      <c r="AL323" s="45"/>
      <c r="AM323" s="46"/>
      <c r="AN323" s="46"/>
    </row>
    <row r="324" spans="1:40">
      <c r="F324" s="50"/>
      <c r="H324" s="50"/>
      <c r="I324" s="50"/>
      <c r="J324" s="326"/>
      <c r="K324" s="326"/>
      <c r="L324" s="50"/>
      <c r="M324" s="50"/>
      <c r="N324" s="50"/>
      <c r="O324" s="50"/>
      <c r="P324" s="50"/>
      <c r="Q324" s="50"/>
      <c r="R324" s="50"/>
      <c r="V324" s="50"/>
      <c r="Y324" s="50"/>
      <c r="Z324" s="326"/>
      <c r="AA324" s="50"/>
      <c r="AB324" s="50"/>
      <c r="AC324" s="50"/>
      <c r="AD324" s="50"/>
      <c r="AE324" s="50"/>
      <c r="AF324" s="50"/>
      <c r="AI324" s="50"/>
      <c r="AJ324" s="50"/>
      <c r="AK324" s="111"/>
      <c r="AL324" s="50"/>
      <c r="AM324" s="46"/>
      <c r="AN324" s="46"/>
    </row>
    <row r="326" spans="1:40">
      <c r="C326" s="42"/>
      <c r="F326" s="45"/>
      <c r="H326" s="45"/>
      <c r="I326" s="45"/>
      <c r="J326" s="326"/>
      <c r="K326" s="326"/>
      <c r="L326" s="45"/>
      <c r="M326" s="45"/>
      <c r="N326" s="46"/>
      <c r="O326" s="46"/>
      <c r="P326" s="45"/>
      <c r="Q326" s="45"/>
      <c r="R326" s="45"/>
      <c r="S326" s="45"/>
      <c r="T326" s="42"/>
      <c r="V326" s="45"/>
      <c r="Y326" s="45"/>
      <c r="Z326" s="326"/>
      <c r="AA326" s="45"/>
      <c r="AB326" s="45"/>
      <c r="AC326" s="46"/>
      <c r="AD326" s="46"/>
      <c r="AE326" s="45"/>
      <c r="AF326" s="45"/>
      <c r="AH326" s="46"/>
      <c r="AI326" s="45"/>
      <c r="AJ326" s="45"/>
      <c r="AL326" s="45"/>
      <c r="AM326" s="46"/>
      <c r="AN326" s="46"/>
    </row>
    <row r="327" spans="1:40">
      <c r="F327" s="50"/>
      <c r="H327" s="50"/>
      <c r="I327" s="50"/>
      <c r="J327" s="326"/>
      <c r="K327" s="326"/>
      <c r="L327" s="50"/>
      <c r="M327" s="50"/>
      <c r="N327" s="50"/>
      <c r="O327" s="50"/>
      <c r="P327" s="50"/>
      <c r="Q327" s="50"/>
      <c r="R327" s="50"/>
      <c r="S327" s="45"/>
      <c r="V327" s="50"/>
      <c r="Y327" s="50"/>
      <c r="Z327" s="326"/>
      <c r="AA327" s="50"/>
      <c r="AB327" s="50"/>
      <c r="AC327" s="50"/>
      <c r="AD327" s="50"/>
      <c r="AE327" s="50"/>
      <c r="AF327" s="50"/>
      <c r="AI327" s="50"/>
      <c r="AJ327" s="50"/>
      <c r="AK327" s="111"/>
      <c r="AL327" s="50"/>
      <c r="AM327" s="46"/>
      <c r="AN327" s="46"/>
    </row>
    <row r="328" spans="1:40">
      <c r="C328" s="42"/>
      <c r="T328" s="42"/>
    </row>
    <row r="329" spans="1:40">
      <c r="C329" s="42"/>
      <c r="F329" s="45"/>
      <c r="H329" s="45"/>
      <c r="I329" s="45"/>
      <c r="L329" s="45"/>
      <c r="M329" s="45"/>
      <c r="N329" s="46"/>
      <c r="O329" s="46"/>
      <c r="P329" s="164"/>
      <c r="Q329" s="164"/>
      <c r="R329" s="45"/>
      <c r="T329" s="42"/>
      <c r="V329" s="45"/>
      <c r="Y329" s="45"/>
      <c r="AA329" s="45"/>
      <c r="AB329" s="45"/>
      <c r="AC329" s="46"/>
      <c r="AD329" s="46"/>
      <c r="AE329" s="45"/>
      <c r="AF329" s="45"/>
      <c r="AH329" s="46"/>
      <c r="AI329" s="164"/>
      <c r="AJ329" s="164"/>
      <c r="AL329" s="45"/>
      <c r="AM329" s="46"/>
      <c r="AN329" s="46"/>
    </row>
    <row r="330" spans="1:40">
      <c r="F330" s="50"/>
      <c r="H330" s="50"/>
      <c r="I330" s="50"/>
      <c r="J330" s="326"/>
      <c r="K330" s="326"/>
      <c r="L330" s="50"/>
      <c r="M330" s="50"/>
      <c r="N330" s="50"/>
      <c r="O330" s="50"/>
      <c r="P330" s="50"/>
      <c r="Q330" s="50"/>
      <c r="R330" s="50"/>
      <c r="V330" s="50"/>
      <c r="Y330" s="50"/>
      <c r="Z330" s="326"/>
      <c r="AA330" s="50"/>
      <c r="AB330" s="50"/>
      <c r="AC330" s="50"/>
      <c r="AD330" s="50"/>
      <c r="AE330" s="50"/>
      <c r="AF330" s="50"/>
      <c r="AI330" s="50"/>
      <c r="AJ330" s="50"/>
      <c r="AK330" s="111"/>
      <c r="AL330" s="50"/>
    </row>
    <row r="332" spans="1:40">
      <c r="C332" s="42"/>
      <c r="L332" s="45"/>
      <c r="M332" s="45"/>
      <c r="N332" s="45"/>
      <c r="O332" s="45"/>
      <c r="P332" s="45"/>
      <c r="Q332" s="45"/>
      <c r="R332" s="45"/>
      <c r="S332" s="45"/>
      <c r="T332" s="42"/>
      <c r="AA332" s="45"/>
      <c r="AB332" s="45"/>
      <c r="AC332" s="45"/>
      <c r="AD332" s="45"/>
      <c r="AI332" s="45"/>
      <c r="AJ332" s="45"/>
      <c r="AL332" s="45"/>
    </row>
    <row r="333" spans="1:40">
      <c r="A333" s="42"/>
    </row>
    <row r="335" spans="1:40">
      <c r="H335" s="42"/>
      <c r="I335" s="42"/>
      <c r="Y335" s="42"/>
    </row>
    <row r="337" spans="1:40">
      <c r="L337" s="42"/>
      <c r="M337" s="42"/>
      <c r="AA337" s="42"/>
      <c r="AB337" s="42"/>
    </row>
    <row r="338" spans="1:40">
      <c r="R338" s="42"/>
      <c r="AK338" s="110"/>
      <c r="AL338" s="42"/>
    </row>
    <row r="339" spans="1:40">
      <c r="R339" s="42"/>
      <c r="AK339" s="110"/>
      <c r="AL339" s="42"/>
    </row>
    <row r="340" spans="1:40">
      <c r="A340" s="42"/>
      <c r="R340" s="42"/>
      <c r="AK340" s="110"/>
      <c r="AL340" s="42"/>
    </row>
    <row r="341" spans="1:40">
      <c r="L341" s="42"/>
      <c r="M341" s="42"/>
      <c r="AA341" s="42"/>
      <c r="AB341" s="42"/>
    </row>
    <row r="342" spans="1:40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107"/>
      <c r="AH342" s="49"/>
      <c r="AI342" s="49"/>
      <c r="AJ342" s="49"/>
      <c r="AK342" s="107"/>
      <c r="AL342" s="49"/>
      <c r="AM342" s="49"/>
      <c r="AN342" s="49"/>
    </row>
    <row r="343" spans="1:40">
      <c r="L343" s="44"/>
      <c r="M343" s="44"/>
      <c r="N343" s="44"/>
      <c r="O343" s="44"/>
      <c r="R343" s="44"/>
      <c r="AA343" s="44"/>
      <c r="AB343" s="44"/>
      <c r="AC343" s="44"/>
      <c r="AD343" s="44"/>
      <c r="AE343" s="44"/>
      <c r="AF343" s="44"/>
      <c r="AG343" s="102"/>
      <c r="AH343" s="44"/>
      <c r="AK343" s="102"/>
      <c r="AL343" s="44"/>
      <c r="AM343" s="44"/>
      <c r="AN343" s="44"/>
    </row>
    <row r="344" spans="1:40">
      <c r="L344" s="44"/>
      <c r="M344" s="44"/>
      <c r="N344" s="44"/>
      <c r="O344" s="44"/>
      <c r="R344" s="44"/>
      <c r="Z344" s="44"/>
      <c r="AA344" s="44"/>
      <c r="AB344" s="44"/>
      <c r="AC344" s="44"/>
      <c r="AD344" s="44"/>
      <c r="AE344" s="44"/>
      <c r="AF344" s="44"/>
      <c r="AG344" s="102"/>
      <c r="AH344" s="44"/>
      <c r="AK344" s="102"/>
      <c r="AL344" s="44"/>
      <c r="AM344" s="44"/>
      <c r="AN344" s="44"/>
    </row>
    <row r="345" spans="1:40">
      <c r="A345" s="44"/>
      <c r="C345" s="44"/>
      <c r="D345" s="44"/>
      <c r="E345" s="44"/>
      <c r="F345" s="44"/>
      <c r="J345" s="44"/>
      <c r="K345" s="44"/>
      <c r="L345" s="44"/>
      <c r="M345" s="44"/>
      <c r="N345" s="44"/>
      <c r="O345" s="44"/>
      <c r="P345" s="44"/>
      <c r="Q345" s="44"/>
      <c r="R345" s="44"/>
      <c r="T345" s="44"/>
      <c r="U345" s="44"/>
      <c r="V345" s="44"/>
      <c r="Z345" s="44"/>
      <c r="AA345" s="44"/>
      <c r="AB345" s="44"/>
      <c r="AC345" s="44"/>
      <c r="AD345" s="44"/>
      <c r="AE345" s="44"/>
      <c r="AF345" s="44"/>
      <c r="AG345" s="102"/>
      <c r="AH345" s="44"/>
      <c r="AI345" s="44"/>
      <c r="AJ345" s="44"/>
      <c r="AK345" s="102"/>
      <c r="AL345" s="44"/>
      <c r="AM345" s="44"/>
      <c r="AN345" s="44"/>
    </row>
    <row r="346" spans="1:40">
      <c r="A346" s="44"/>
      <c r="C346" s="44"/>
      <c r="D346" s="44"/>
      <c r="E346" s="44"/>
      <c r="F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T346" s="44"/>
      <c r="U346" s="44"/>
      <c r="V346" s="44"/>
      <c r="Y346" s="44"/>
      <c r="Z346" s="44"/>
      <c r="AA346" s="44"/>
      <c r="AB346" s="44"/>
      <c r="AC346" s="44"/>
      <c r="AD346" s="44"/>
      <c r="AE346" s="44"/>
      <c r="AF346" s="44"/>
      <c r="AG346" s="102"/>
      <c r="AH346" s="44"/>
      <c r="AI346" s="44"/>
      <c r="AJ346" s="44"/>
      <c r="AK346" s="102"/>
      <c r="AL346" s="44"/>
      <c r="AM346" s="44"/>
      <c r="AN346" s="44"/>
    </row>
    <row r="347" spans="1:40">
      <c r="C347" s="44"/>
      <c r="D347" s="44"/>
      <c r="E347" s="44"/>
      <c r="F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Y347" s="44"/>
      <c r="Z347" s="44"/>
      <c r="AA347" s="44"/>
      <c r="AB347" s="44"/>
      <c r="AC347" s="44"/>
      <c r="AD347" s="44"/>
      <c r="AE347" s="44"/>
      <c r="AF347" s="44"/>
      <c r="AG347" s="102"/>
      <c r="AH347" s="44"/>
      <c r="AI347" s="44"/>
      <c r="AJ347" s="44"/>
      <c r="AK347" s="102"/>
      <c r="AL347" s="44"/>
      <c r="AM347" s="44"/>
      <c r="AN347" s="44"/>
    </row>
    <row r="348" spans="1:40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107"/>
      <c r="AH348" s="49"/>
      <c r="AI348" s="49"/>
      <c r="AJ348" s="49"/>
      <c r="AK348" s="107"/>
      <c r="AL348" s="49"/>
      <c r="AM348" s="49"/>
      <c r="AN348" s="49"/>
    </row>
    <row r="349" spans="1:40"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Y349" s="44"/>
      <c r="Z349" s="44"/>
      <c r="AA349" s="44"/>
      <c r="AB349" s="44"/>
      <c r="AC349" s="44"/>
      <c r="AD349" s="44"/>
      <c r="AE349" s="44"/>
      <c r="AF349" s="44"/>
      <c r="AG349" s="102"/>
      <c r="AH349" s="44"/>
      <c r="AI349" s="44"/>
      <c r="AJ349" s="44"/>
      <c r="AK349" s="102"/>
      <c r="AL349" s="44"/>
      <c r="AM349" s="44"/>
      <c r="AN349" s="44"/>
    </row>
    <row r="350" spans="1:40">
      <c r="C350" s="42"/>
      <c r="D350" s="42"/>
      <c r="E350" s="42"/>
      <c r="T350" s="42"/>
      <c r="U350" s="42"/>
    </row>
    <row r="351" spans="1:40">
      <c r="D351" s="42"/>
      <c r="E351" s="42"/>
      <c r="U351" s="42"/>
    </row>
    <row r="353" spans="3:40">
      <c r="C353" s="42"/>
      <c r="T353" s="42"/>
    </row>
    <row r="354" spans="3:40">
      <c r="C354" s="42"/>
      <c r="F354" s="164"/>
      <c r="H354" s="164"/>
      <c r="I354" s="164"/>
      <c r="J354" s="132"/>
      <c r="K354" s="132"/>
      <c r="L354" s="45"/>
      <c r="M354" s="45"/>
      <c r="N354" s="46"/>
      <c r="O354" s="46"/>
      <c r="P354" s="45"/>
      <c r="Q354" s="45"/>
      <c r="R354" s="45"/>
      <c r="T354" s="42"/>
      <c r="V354" s="164"/>
      <c r="W354" s="45"/>
      <c r="X354" s="45"/>
      <c r="Y354" s="164"/>
      <c r="Z354" s="132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>
      <c r="C355" s="42"/>
      <c r="F355" s="45"/>
      <c r="H355" s="45"/>
      <c r="I355" s="45"/>
      <c r="J355" s="326"/>
      <c r="K355" s="326"/>
      <c r="L355" s="45"/>
      <c r="M355" s="45"/>
      <c r="N355" s="46"/>
      <c r="O355" s="46"/>
      <c r="P355" s="45"/>
      <c r="Q355" s="45"/>
      <c r="R355" s="45"/>
      <c r="T355" s="42"/>
      <c r="V355" s="164"/>
      <c r="W355" s="45"/>
      <c r="X355" s="45"/>
      <c r="Y355" s="164"/>
      <c r="Z355" s="326"/>
      <c r="AA355" s="45"/>
      <c r="AB355" s="45"/>
      <c r="AC355" s="46"/>
      <c r="AD355" s="46"/>
      <c r="AE355" s="45"/>
      <c r="AF355" s="45"/>
      <c r="AH355" s="51"/>
      <c r="AI355" s="45"/>
      <c r="AJ355" s="45"/>
      <c r="AL355" s="45"/>
      <c r="AM355" s="46"/>
      <c r="AN355" s="46"/>
    </row>
    <row r="356" spans="3:40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164"/>
      <c r="W356" s="45"/>
      <c r="X356" s="45"/>
      <c r="Y356" s="164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164"/>
      <c r="W357" s="45"/>
      <c r="X357" s="45"/>
      <c r="Y357" s="164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164"/>
      <c r="W358" s="45"/>
      <c r="X358" s="45"/>
      <c r="Y358" s="164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>
      <c r="C359" s="42"/>
      <c r="F359" s="45"/>
      <c r="H359" s="45"/>
      <c r="I359" s="45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164"/>
      <c r="W359" s="45"/>
      <c r="X359" s="45"/>
      <c r="Y359" s="164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>
      <c r="C360" s="42"/>
      <c r="F360" s="45"/>
      <c r="H360" s="45"/>
      <c r="I360" s="45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164"/>
      <c r="W360" s="45"/>
      <c r="X360" s="45"/>
      <c r="Y360" s="164"/>
      <c r="Z360" s="132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>
      <c r="F361" s="54"/>
      <c r="H361" s="338"/>
      <c r="I361" s="338"/>
      <c r="J361" s="132"/>
      <c r="K361" s="132"/>
      <c r="L361" s="54"/>
      <c r="M361" s="54"/>
      <c r="N361" s="50"/>
      <c r="O361" s="50"/>
      <c r="P361" s="54"/>
      <c r="Q361" s="54"/>
      <c r="R361" s="54"/>
      <c r="V361" s="54"/>
      <c r="W361" s="45"/>
      <c r="X361" s="45"/>
      <c r="Y361" s="54"/>
      <c r="Z361" s="132"/>
      <c r="AA361" s="54"/>
      <c r="AB361" s="54"/>
      <c r="AC361" s="55"/>
      <c r="AD361" s="55"/>
      <c r="AE361" s="54"/>
      <c r="AF361" s="54"/>
      <c r="AH361" s="51"/>
      <c r="AI361" s="54"/>
      <c r="AJ361" s="54"/>
      <c r="AK361" s="107"/>
      <c r="AL361" s="54"/>
      <c r="AM361" s="46"/>
      <c r="AN361" s="46"/>
    </row>
    <row r="362" spans="3:40">
      <c r="C362" s="42"/>
      <c r="F362" s="45"/>
      <c r="H362" s="45"/>
      <c r="I362" s="45"/>
      <c r="J362" s="132"/>
      <c r="K362" s="132"/>
      <c r="L362" s="45"/>
      <c r="M362" s="45"/>
      <c r="N362" s="51"/>
      <c r="O362" s="51"/>
      <c r="P362" s="45"/>
      <c r="Q362" s="45"/>
      <c r="R362" s="45"/>
      <c r="T362" s="44"/>
      <c r="V362" s="45"/>
      <c r="W362" s="45"/>
      <c r="X362" s="45"/>
      <c r="Y362" s="45"/>
      <c r="Z362" s="132"/>
      <c r="AA362" s="45"/>
      <c r="AB362" s="45"/>
      <c r="AC362" s="51"/>
      <c r="AD362" s="51"/>
      <c r="AE362" s="45"/>
      <c r="AF362" s="45"/>
      <c r="AH362" s="51"/>
      <c r="AI362" s="45"/>
      <c r="AJ362" s="45"/>
      <c r="AL362" s="45"/>
      <c r="AM362" s="46"/>
      <c r="AN362" s="46"/>
    </row>
    <row r="363" spans="3:40">
      <c r="F363" s="49"/>
      <c r="H363" s="49"/>
      <c r="I363" s="49"/>
      <c r="L363" s="49"/>
      <c r="M363" s="49"/>
      <c r="N363" s="55"/>
      <c r="O363" s="55"/>
      <c r="P363" s="54"/>
      <c r="Q363" s="54"/>
      <c r="R363" s="54"/>
      <c r="V363" s="54"/>
      <c r="Y363" s="54"/>
      <c r="Z363" s="326"/>
      <c r="AA363" s="54"/>
      <c r="AB363" s="54"/>
      <c r="AC363" s="54"/>
      <c r="AD363" s="54"/>
      <c r="AE363" s="54"/>
      <c r="AF363" s="54"/>
      <c r="AI363" s="54"/>
      <c r="AJ363" s="54"/>
      <c r="AK363" s="107"/>
      <c r="AL363" s="54"/>
      <c r="AM363" s="55"/>
      <c r="AN363" s="55"/>
    </row>
    <row r="368" spans="3:40">
      <c r="N368" s="45"/>
      <c r="O368" s="45"/>
      <c r="P368" s="45"/>
      <c r="Q368" s="45"/>
      <c r="R368" s="45"/>
      <c r="V368" s="45"/>
      <c r="Y368" s="45"/>
      <c r="Z368" s="47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1:40">
      <c r="C369" s="42"/>
      <c r="D369" s="42"/>
      <c r="E369" s="42"/>
      <c r="J369" s="56"/>
      <c r="K369" s="56"/>
      <c r="T369" s="42"/>
      <c r="U369" s="42"/>
      <c r="Z369" s="56"/>
      <c r="AE369" s="45"/>
      <c r="AF369" s="45"/>
      <c r="AI369" s="45"/>
      <c r="AJ369" s="45"/>
      <c r="AL369" s="45"/>
      <c r="AM369" s="46"/>
      <c r="AN369" s="46"/>
    </row>
    <row r="370" spans="1:40">
      <c r="D370" s="42"/>
      <c r="E370" s="42"/>
      <c r="F370" s="45"/>
      <c r="H370" s="45"/>
      <c r="I370" s="45"/>
      <c r="J370" s="132"/>
      <c r="K370" s="132"/>
      <c r="L370" s="45"/>
      <c r="M370" s="45"/>
      <c r="N370" s="46"/>
      <c r="O370" s="46"/>
      <c r="P370" s="45"/>
      <c r="Q370" s="45"/>
      <c r="R370" s="45"/>
      <c r="U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1:40">
      <c r="F371" s="45"/>
      <c r="H371" s="45"/>
      <c r="I371" s="45"/>
      <c r="J371" s="326"/>
      <c r="K371" s="326"/>
      <c r="L371" s="45"/>
      <c r="M371" s="45"/>
      <c r="N371" s="45"/>
      <c r="O371" s="45"/>
      <c r="P371" s="45"/>
      <c r="Q371" s="45"/>
      <c r="R371" s="45"/>
      <c r="V371" s="45"/>
      <c r="Y371" s="45"/>
      <c r="Z371" s="326"/>
      <c r="AA371" s="45"/>
      <c r="AB371" s="45"/>
      <c r="AC371" s="45"/>
      <c r="AD371" s="45"/>
      <c r="AE371" s="45"/>
      <c r="AF371" s="45"/>
      <c r="AH371" s="51"/>
      <c r="AI371" s="164"/>
      <c r="AJ371" s="164"/>
      <c r="AL371" s="45"/>
      <c r="AM371" s="46"/>
      <c r="AN371" s="46"/>
    </row>
    <row r="372" spans="1:40">
      <c r="C372" s="42"/>
      <c r="F372" s="164"/>
      <c r="H372" s="164"/>
      <c r="I372" s="164"/>
      <c r="J372" s="325"/>
      <c r="K372" s="325"/>
      <c r="L372" s="45"/>
      <c r="M372" s="45"/>
      <c r="N372" s="46"/>
      <c r="O372" s="46"/>
      <c r="P372" s="45"/>
      <c r="Q372" s="45"/>
      <c r="R372" s="45"/>
      <c r="T372" s="42"/>
      <c r="V372" s="164"/>
      <c r="Y372" s="164"/>
      <c r="Z372" s="325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1:40">
      <c r="F373" s="49"/>
      <c r="H373" s="49"/>
      <c r="I373" s="49"/>
      <c r="L373" s="49"/>
      <c r="M373" s="49"/>
      <c r="N373" s="49"/>
      <c r="O373" s="49"/>
      <c r="P373" s="49"/>
      <c r="Q373" s="49"/>
      <c r="R373" s="49"/>
      <c r="V373" s="49"/>
      <c r="Y373" s="49"/>
      <c r="AA373" s="49"/>
      <c r="AB373" s="49"/>
      <c r="AC373" s="49"/>
      <c r="AD373" s="49"/>
      <c r="AE373" s="49"/>
      <c r="AF373" s="49"/>
      <c r="AG373" s="107"/>
      <c r="AH373" s="49"/>
      <c r="AI373" s="49"/>
      <c r="AJ373" s="49"/>
      <c r="AK373" s="107"/>
      <c r="AL373" s="49"/>
      <c r="AM373" s="49"/>
      <c r="AN373" s="49"/>
    </row>
    <row r="374" spans="1:40">
      <c r="C374" s="44"/>
      <c r="F374" s="164"/>
      <c r="H374" s="164"/>
      <c r="I374" s="164"/>
      <c r="J374" s="316"/>
      <c r="K374" s="316"/>
      <c r="L374" s="164"/>
      <c r="M374" s="164"/>
      <c r="N374" s="46"/>
      <c r="O374" s="46"/>
      <c r="P374" s="164"/>
      <c r="Q374" s="164"/>
      <c r="R374" s="164"/>
      <c r="T374" s="44"/>
      <c r="V374" s="45"/>
      <c r="Y374" s="45"/>
      <c r="Z374" s="47"/>
      <c r="AA374" s="45"/>
      <c r="AB374" s="45"/>
      <c r="AC374" s="46"/>
      <c r="AD374" s="46"/>
      <c r="AH374" s="51"/>
      <c r="AI374" s="45"/>
      <c r="AJ374" s="45"/>
      <c r="AL374" s="45"/>
      <c r="AM374" s="46"/>
      <c r="AN374" s="46"/>
    </row>
    <row r="375" spans="1:40">
      <c r="F375" s="54"/>
      <c r="H375" s="54"/>
      <c r="I375" s="54"/>
      <c r="J375" s="326"/>
      <c r="K375" s="326"/>
      <c r="L375" s="54"/>
      <c r="M375" s="54"/>
      <c r="N375" s="54"/>
      <c r="O375" s="54"/>
      <c r="P375" s="54"/>
      <c r="Q375" s="54"/>
      <c r="R375" s="54"/>
      <c r="V375" s="49"/>
      <c r="Y375" s="49"/>
      <c r="AA375" s="49"/>
      <c r="AB375" s="49"/>
      <c r="AC375" s="49"/>
      <c r="AD375" s="49"/>
      <c r="AE375" s="49"/>
      <c r="AF375" s="49"/>
      <c r="AG375" s="107"/>
      <c r="AH375" s="49"/>
      <c r="AI375" s="49"/>
      <c r="AJ375" s="49"/>
      <c r="AK375" s="107"/>
      <c r="AL375" s="49"/>
      <c r="AM375" s="49"/>
      <c r="AN375" s="49"/>
    </row>
    <row r="376" spans="1:40">
      <c r="F376" s="164"/>
      <c r="H376" s="164"/>
      <c r="I376" s="164"/>
      <c r="J376" s="336"/>
      <c r="K376" s="336"/>
      <c r="L376" s="45"/>
      <c r="M376" s="45"/>
      <c r="N376" s="46"/>
      <c r="O376" s="46"/>
      <c r="P376" s="45"/>
      <c r="Q376" s="45"/>
      <c r="R376" s="45"/>
    </row>
    <row r="377" spans="1:40">
      <c r="A377" s="42"/>
      <c r="F377" s="164"/>
      <c r="H377" s="164"/>
      <c r="I377" s="164"/>
      <c r="J377" s="316"/>
      <c r="K377" s="316"/>
      <c r="L377" s="45"/>
      <c r="M377" s="45"/>
      <c r="N377" s="46"/>
      <c r="O377" s="46"/>
      <c r="P377" s="45"/>
      <c r="Q377" s="45"/>
      <c r="R377" s="45"/>
    </row>
    <row r="378" spans="1:40">
      <c r="F378" s="164"/>
      <c r="H378" s="164"/>
      <c r="I378" s="164"/>
      <c r="J378" s="316"/>
      <c r="K378" s="316"/>
      <c r="L378" s="45"/>
      <c r="M378" s="45"/>
      <c r="N378" s="46"/>
      <c r="O378" s="46"/>
      <c r="P378" s="45"/>
      <c r="Q378" s="45"/>
      <c r="R378" s="45"/>
    </row>
    <row r="379" spans="1:40">
      <c r="A379" s="42"/>
    </row>
    <row r="382" spans="1:40">
      <c r="H382" s="42"/>
      <c r="I382" s="42"/>
      <c r="Y382" s="42"/>
    </row>
    <row r="384" spans="1:40">
      <c r="L384" s="42"/>
      <c r="M384" s="42"/>
      <c r="AA384" s="42"/>
      <c r="AB384" s="42"/>
    </row>
    <row r="385" spans="1:40">
      <c r="R385" s="42"/>
      <c r="AK385" s="110"/>
      <c r="AL385" s="42"/>
    </row>
    <row r="386" spans="1:40">
      <c r="R386" s="42"/>
      <c r="AK386" s="110"/>
      <c r="AL386" s="42"/>
    </row>
    <row r="387" spans="1:40">
      <c r="A387" s="42"/>
      <c r="R387" s="42"/>
      <c r="AK387" s="110"/>
      <c r="AL387" s="42"/>
    </row>
    <row r="388" spans="1:40">
      <c r="L388" s="42"/>
      <c r="M388" s="42"/>
      <c r="AA388" s="42"/>
      <c r="AB388" s="42"/>
    </row>
    <row r="389" spans="1:40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107"/>
      <c r="AH389" s="49"/>
      <c r="AI389" s="49"/>
      <c r="AJ389" s="49"/>
      <c r="AK389" s="107"/>
      <c r="AL389" s="49"/>
      <c r="AM389" s="49"/>
      <c r="AN389" s="49"/>
    </row>
    <row r="390" spans="1:40">
      <c r="L390" s="44"/>
      <c r="M390" s="44"/>
      <c r="N390" s="44"/>
      <c r="O390" s="44"/>
      <c r="R390" s="44"/>
      <c r="AA390" s="44"/>
      <c r="AB390" s="44"/>
      <c r="AC390" s="44"/>
      <c r="AD390" s="44"/>
      <c r="AE390" s="44"/>
      <c r="AF390" s="44"/>
      <c r="AG390" s="102"/>
      <c r="AH390" s="44"/>
      <c r="AK390" s="102"/>
      <c r="AL390" s="44"/>
      <c r="AM390" s="44"/>
      <c r="AN390" s="44"/>
    </row>
    <row r="391" spans="1:40">
      <c r="L391" s="44"/>
      <c r="M391" s="44"/>
      <c r="N391" s="44"/>
      <c r="O391" s="44"/>
      <c r="R391" s="44"/>
      <c r="Z391" s="44"/>
      <c r="AA391" s="44"/>
      <c r="AB391" s="44"/>
      <c r="AC391" s="44"/>
      <c r="AD391" s="44"/>
      <c r="AE391" s="44"/>
      <c r="AF391" s="44"/>
      <c r="AG391" s="102"/>
      <c r="AH391" s="44"/>
      <c r="AK391" s="102"/>
      <c r="AL391" s="44"/>
      <c r="AM391" s="44"/>
      <c r="AN391" s="44"/>
    </row>
    <row r="392" spans="1:40">
      <c r="A392" s="44"/>
      <c r="C392" s="44"/>
      <c r="D392" s="44"/>
      <c r="E392" s="44"/>
      <c r="F392" s="44"/>
      <c r="J392" s="44"/>
      <c r="K392" s="44"/>
      <c r="L392" s="44"/>
      <c r="M392" s="44"/>
      <c r="N392" s="44"/>
      <c r="O392" s="44"/>
      <c r="P392" s="44"/>
      <c r="Q392" s="44"/>
      <c r="R392" s="44"/>
      <c r="T392" s="44"/>
      <c r="U392" s="44"/>
      <c r="V392" s="44"/>
      <c r="Z392" s="44"/>
      <c r="AA392" s="44"/>
      <c r="AB392" s="44"/>
      <c r="AC392" s="44"/>
      <c r="AD392" s="44"/>
      <c r="AE392" s="44"/>
      <c r="AF392" s="44"/>
      <c r="AG392" s="102"/>
      <c r="AH392" s="44"/>
      <c r="AI392" s="44"/>
      <c r="AJ392" s="44"/>
      <c r="AK392" s="102"/>
      <c r="AL392" s="44"/>
      <c r="AM392" s="44"/>
      <c r="AN392" s="44"/>
    </row>
    <row r="393" spans="1:40">
      <c r="A393" s="44"/>
      <c r="C393" s="44"/>
      <c r="D393" s="44"/>
      <c r="E393" s="44"/>
      <c r="F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T393" s="44"/>
      <c r="U393" s="44"/>
      <c r="V393" s="44"/>
      <c r="Y393" s="44"/>
      <c r="Z393" s="44"/>
      <c r="AA393" s="44"/>
      <c r="AB393" s="44"/>
      <c r="AC393" s="44"/>
      <c r="AD393" s="44"/>
      <c r="AE393" s="44"/>
      <c r="AF393" s="44"/>
      <c r="AG393" s="102"/>
      <c r="AH393" s="44"/>
      <c r="AI393" s="44"/>
      <c r="AJ393" s="44"/>
      <c r="AK393" s="102"/>
      <c r="AL393" s="44"/>
      <c r="AM393" s="44"/>
      <c r="AN393" s="44"/>
    </row>
    <row r="394" spans="1:40">
      <c r="C394" s="44"/>
      <c r="D394" s="44"/>
      <c r="E394" s="44"/>
      <c r="F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T394" s="44"/>
      <c r="U394" s="44"/>
      <c r="V394" s="44"/>
      <c r="Y394" s="44"/>
      <c r="Z394" s="44"/>
      <c r="AA394" s="44"/>
      <c r="AB394" s="44"/>
      <c r="AC394" s="44"/>
      <c r="AD394" s="44"/>
      <c r="AE394" s="44"/>
      <c r="AF394" s="44"/>
      <c r="AG394" s="102"/>
      <c r="AH394" s="44"/>
      <c r="AI394" s="44"/>
      <c r="AJ394" s="44"/>
      <c r="AK394" s="102"/>
      <c r="AL394" s="44"/>
      <c r="AM394" s="44"/>
      <c r="AN394" s="44"/>
    </row>
    <row r="395" spans="1:40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107"/>
      <c r="AH395" s="49"/>
      <c r="AI395" s="49"/>
      <c r="AJ395" s="49"/>
      <c r="AK395" s="107"/>
      <c r="AL395" s="49"/>
      <c r="AM395" s="49"/>
      <c r="AN395" s="49"/>
    </row>
    <row r="396" spans="1:40"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Y396" s="44"/>
      <c r="Z396" s="44"/>
      <c r="AA396" s="44"/>
      <c r="AB396" s="44"/>
      <c r="AC396" s="44"/>
      <c r="AD396" s="44"/>
      <c r="AE396" s="44"/>
      <c r="AF396" s="44"/>
      <c r="AG396" s="102"/>
      <c r="AH396" s="44"/>
      <c r="AI396" s="44"/>
      <c r="AJ396" s="44"/>
      <c r="AK396" s="102"/>
      <c r="AL396" s="44"/>
      <c r="AM396" s="44"/>
      <c r="AN396" s="44"/>
    </row>
    <row r="397" spans="1:40">
      <c r="C397" s="42"/>
      <c r="D397" s="42"/>
      <c r="E397" s="42"/>
      <c r="T397" s="42"/>
      <c r="U397" s="42"/>
    </row>
    <row r="399" spans="1:40">
      <c r="C399" s="42"/>
      <c r="T399" s="42"/>
    </row>
    <row r="400" spans="1:40">
      <c r="C400" s="42"/>
      <c r="F400" s="164"/>
      <c r="H400" s="164"/>
      <c r="I400" s="164"/>
      <c r="J400" s="326"/>
      <c r="K400" s="326"/>
      <c r="L400" s="45"/>
      <c r="M400" s="45"/>
      <c r="N400" s="46"/>
      <c r="O400" s="46"/>
      <c r="P400" s="45"/>
      <c r="Q400" s="45"/>
      <c r="R400" s="45"/>
      <c r="T400" s="42"/>
      <c r="V400" s="164"/>
      <c r="Y400" s="164"/>
      <c r="Z400" s="326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>
      <c r="C401" s="42"/>
      <c r="T401" s="42"/>
    </row>
    <row r="402" spans="3:40">
      <c r="C402" s="42"/>
      <c r="F402" s="164"/>
      <c r="H402" s="164"/>
      <c r="I402" s="164"/>
      <c r="J402" s="132"/>
      <c r="K402" s="132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Z402" s="132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>
      <c r="C403" s="42"/>
      <c r="F403" s="164"/>
      <c r="H403" s="164"/>
      <c r="I403" s="164"/>
      <c r="J403" s="132"/>
      <c r="K403" s="132"/>
      <c r="L403" s="45"/>
      <c r="M403" s="45"/>
      <c r="N403" s="46"/>
      <c r="O403" s="46"/>
      <c r="P403" s="45"/>
      <c r="Q403" s="45"/>
      <c r="R403" s="45"/>
      <c r="T403" s="42"/>
      <c r="V403" s="45"/>
      <c r="Y403" s="45"/>
      <c r="Z403" s="132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3:40">
      <c r="C404" s="42"/>
      <c r="F404" s="164"/>
      <c r="H404" s="164"/>
      <c r="I404" s="164"/>
      <c r="J404" s="132"/>
      <c r="K404" s="132"/>
      <c r="L404" s="45"/>
      <c r="M404" s="45"/>
      <c r="N404" s="46"/>
      <c r="O404" s="46"/>
      <c r="P404" s="45"/>
      <c r="Q404" s="45"/>
      <c r="R404" s="45"/>
      <c r="T404" s="42"/>
      <c r="V404" s="45"/>
      <c r="Y404" s="45"/>
      <c r="Z404" s="132"/>
      <c r="AA404" s="45"/>
      <c r="AB404" s="45"/>
      <c r="AC404" s="46"/>
      <c r="AD404" s="46"/>
      <c r="AE404" s="45"/>
      <c r="AF404" s="45"/>
      <c r="AH404" s="51"/>
      <c r="AI404" s="45"/>
      <c r="AJ404" s="45"/>
      <c r="AL404" s="45"/>
      <c r="AM404" s="46"/>
      <c r="AN404" s="46"/>
    </row>
    <row r="405" spans="3:40">
      <c r="C405" s="42"/>
      <c r="F405" s="164"/>
      <c r="H405" s="164"/>
      <c r="I405" s="164"/>
      <c r="J405" s="132"/>
      <c r="K405" s="132"/>
      <c r="L405" s="45"/>
      <c r="M405" s="45"/>
      <c r="N405" s="46"/>
      <c r="O405" s="46"/>
      <c r="P405" s="45"/>
      <c r="Q405" s="45"/>
      <c r="R405" s="45"/>
      <c r="T405" s="42"/>
      <c r="V405" s="45"/>
      <c r="Y405" s="45"/>
      <c r="Z405" s="132"/>
      <c r="AA405" s="45"/>
      <c r="AB405" s="45"/>
      <c r="AC405" s="46"/>
      <c r="AD405" s="46"/>
      <c r="AE405" s="45"/>
      <c r="AF405" s="45"/>
      <c r="AH405" s="51"/>
      <c r="AI405" s="45"/>
      <c r="AJ405" s="45"/>
      <c r="AL405" s="45"/>
      <c r="AM405" s="46"/>
      <c r="AN405" s="46"/>
    </row>
    <row r="406" spans="3:40">
      <c r="C406" s="42"/>
      <c r="J406" s="56"/>
      <c r="K406" s="56"/>
      <c r="T406" s="42"/>
      <c r="Z406" s="56"/>
    </row>
    <row r="407" spans="3:40">
      <c r="C407" s="42"/>
      <c r="F407" s="164"/>
      <c r="H407" s="164"/>
      <c r="I407" s="164"/>
      <c r="J407" s="132"/>
      <c r="K407" s="132"/>
      <c r="L407" s="45"/>
      <c r="M407" s="45"/>
      <c r="N407" s="46"/>
      <c r="O407" s="46"/>
      <c r="P407" s="45"/>
      <c r="Q407" s="45"/>
      <c r="R407" s="45"/>
      <c r="T407" s="42"/>
      <c r="V407" s="45"/>
      <c r="Y407" s="45"/>
      <c r="Z407" s="132"/>
      <c r="AA407" s="45"/>
      <c r="AB407" s="45"/>
      <c r="AC407" s="46"/>
      <c r="AD407" s="46"/>
      <c r="AE407" s="45"/>
      <c r="AF407" s="45"/>
      <c r="AH407" s="51"/>
      <c r="AI407" s="45"/>
      <c r="AJ407" s="45"/>
      <c r="AL407" s="45"/>
      <c r="AM407" s="46"/>
      <c r="AN407" s="46"/>
    </row>
    <row r="408" spans="3:40">
      <c r="C408" s="42"/>
      <c r="F408" s="164"/>
      <c r="H408" s="164"/>
      <c r="I408" s="164"/>
      <c r="J408" s="132"/>
      <c r="K408" s="132"/>
      <c r="L408" s="45"/>
      <c r="M408" s="45"/>
      <c r="N408" s="46"/>
      <c r="O408" s="46"/>
      <c r="P408" s="45"/>
      <c r="Q408" s="45"/>
      <c r="R408" s="45"/>
      <c r="T408" s="42"/>
      <c r="V408" s="45"/>
      <c r="Y408" s="45"/>
      <c r="Z408" s="132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3:40">
      <c r="C409" s="42"/>
      <c r="F409" s="164"/>
      <c r="H409" s="164"/>
      <c r="I409" s="164"/>
      <c r="J409" s="132"/>
      <c r="K409" s="132"/>
      <c r="L409" s="45"/>
      <c r="M409" s="45"/>
      <c r="N409" s="46"/>
      <c r="O409" s="46"/>
      <c r="P409" s="45"/>
      <c r="Q409" s="45"/>
      <c r="R409" s="45"/>
      <c r="T409" s="42"/>
      <c r="V409" s="45"/>
      <c r="Y409" s="45"/>
      <c r="Z409" s="132"/>
      <c r="AA409" s="45"/>
      <c r="AB409" s="45"/>
      <c r="AC409" s="46"/>
      <c r="AD409" s="46"/>
      <c r="AE409" s="45"/>
      <c r="AF409" s="45"/>
      <c r="AH409" s="51"/>
      <c r="AI409" s="45"/>
      <c r="AJ409" s="45"/>
      <c r="AL409" s="45"/>
      <c r="AM409" s="46"/>
      <c r="AN409" s="46"/>
    </row>
    <row r="410" spans="3:40">
      <c r="C410" s="42"/>
      <c r="J410" s="56"/>
      <c r="K410" s="56"/>
      <c r="T410" s="42"/>
      <c r="Z410" s="56"/>
    </row>
    <row r="411" spans="3:40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>
      <c r="C412" s="42"/>
      <c r="F412" s="164"/>
      <c r="H412" s="164"/>
      <c r="I412" s="164"/>
      <c r="J412" s="132"/>
      <c r="K412" s="132"/>
      <c r="L412" s="45"/>
      <c r="M412" s="45"/>
      <c r="N412" s="46"/>
      <c r="O412" s="46"/>
      <c r="P412" s="45"/>
      <c r="Q412" s="45"/>
      <c r="R412" s="45"/>
      <c r="T412" s="42"/>
      <c r="V412" s="45"/>
      <c r="Y412" s="45"/>
      <c r="Z412" s="132"/>
      <c r="AA412" s="45"/>
      <c r="AB412" s="45"/>
      <c r="AC412" s="46"/>
      <c r="AD412" s="46"/>
      <c r="AE412" s="45"/>
      <c r="AF412" s="45"/>
      <c r="AH412" s="51"/>
      <c r="AI412" s="45"/>
      <c r="AJ412" s="45"/>
      <c r="AL412" s="45"/>
      <c r="AM412" s="46"/>
      <c r="AN412" s="46"/>
    </row>
    <row r="413" spans="3:40">
      <c r="C413" s="42"/>
      <c r="J413" s="56"/>
      <c r="K413" s="56"/>
      <c r="T413" s="42"/>
      <c r="Z413" s="56"/>
    </row>
    <row r="414" spans="3:40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>
      <c r="C415" s="42"/>
      <c r="F415" s="164"/>
      <c r="H415" s="164"/>
      <c r="I415" s="164"/>
      <c r="J415" s="132"/>
      <c r="K415" s="132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132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3:40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>
      <c r="F417" s="50"/>
      <c r="H417" s="50"/>
      <c r="I417" s="50"/>
      <c r="J417" s="132"/>
      <c r="K417" s="132"/>
      <c r="L417" s="50"/>
      <c r="M417" s="50"/>
      <c r="N417" s="50"/>
      <c r="O417" s="50"/>
      <c r="P417" s="50"/>
      <c r="Q417" s="50"/>
      <c r="R417" s="50"/>
      <c r="V417" s="50"/>
      <c r="Y417" s="50"/>
      <c r="Z417" s="132"/>
      <c r="AA417" s="50"/>
      <c r="AB417" s="50"/>
      <c r="AC417" s="50"/>
      <c r="AD417" s="50"/>
      <c r="AE417" s="50"/>
      <c r="AF417" s="50"/>
      <c r="AI417" s="50"/>
      <c r="AJ417" s="50"/>
      <c r="AK417" s="111"/>
      <c r="AL417" s="50"/>
    </row>
    <row r="418" spans="3:40">
      <c r="C418" s="44"/>
      <c r="F418" s="45"/>
      <c r="H418" s="45"/>
      <c r="I418" s="45"/>
      <c r="J418" s="56"/>
      <c r="K418" s="56"/>
      <c r="L418" s="45"/>
      <c r="M418" s="45"/>
      <c r="N418" s="51"/>
      <c r="O418" s="51"/>
      <c r="P418" s="45"/>
      <c r="Q418" s="45"/>
      <c r="R418" s="45"/>
      <c r="T418" s="44"/>
      <c r="V418" s="45"/>
      <c r="Y418" s="45"/>
      <c r="Z418" s="56"/>
      <c r="AA418" s="45"/>
      <c r="AB418" s="45"/>
      <c r="AC418" s="45"/>
      <c r="AD418" s="45"/>
      <c r="AE418" s="45"/>
      <c r="AF418" s="45"/>
      <c r="AH418" s="51"/>
      <c r="AI418" s="45"/>
      <c r="AJ418" s="45"/>
      <c r="AL418" s="45"/>
      <c r="AM418" s="46"/>
      <c r="AN418" s="46"/>
    </row>
    <row r="419" spans="3:40">
      <c r="F419" s="50"/>
      <c r="H419" s="50"/>
      <c r="I419" s="50"/>
      <c r="J419" s="132"/>
      <c r="K419" s="132"/>
      <c r="L419" s="50"/>
      <c r="M419" s="50"/>
      <c r="N419" s="50"/>
      <c r="O419" s="50"/>
      <c r="P419" s="50"/>
      <c r="Q419" s="50"/>
      <c r="R419" s="50"/>
      <c r="V419" s="50"/>
      <c r="Y419" s="50"/>
      <c r="Z419" s="132"/>
      <c r="AA419" s="50"/>
      <c r="AB419" s="50"/>
      <c r="AC419" s="50"/>
      <c r="AD419" s="50"/>
      <c r="AE419" s="50"/>
      <c r="AF419" s="50"/>
      <c r="AI419" s="50"/>
      <c r="AJ419" s="50"/>
      <c r="AK419" s="111"/>
      <c r="AL419" s="50"/>
    </row>
    <row r="420" spans="3:40">
      <c r="C420" s="42"/>
      <c r="J420" s="56"/>
      <c r="K420" s="56"/>
      <c r="T420" s="42"/>
      <c r="Z420" s="56"/>
    </row>
    <row r="421" spans="3:40">
      <c r="C421" s="42"/>
      <c r="J421" s="56"/>
      <c r="K421" s="56"/>
      <c r="T421" s="42"/>
      <c r="Z421" s="56"/>
    </row>
    <row r="422" spans="3:40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>
      <c r="C426" s="42"/>
      <c r="F426" s="164"/>
      <c r="H426" s="164"/>
      <c r="I426" s="164"/>
      <c r="J426" s="132"/>
      <c r="K426" s="132"/>
      <c r="L426" s="45"/>
      <c r="M426" s="45"/>
      <c r="N426" s="46"/>
      <c r="O426" s="46"/>
      <c r="P426" s="45"/>
      <c r="Q426" s="45"/>
      <c r="R426" s="45"/>
      <c r="T426" s="42"/>
      <c r="V426" s="45"/>
      <c r="Y426" s="45"/>
      <c r="Z426" s="132"/>
      <c r="AA426" s="45"/>
      <c r="AB426" s="45"/>
      <c r="AC426" s="46"/>
      <c r="AD426" s="46"/>
      <c r="AE426" s="45"/>
      <c r="AF426" s="45"/>
      <c r="AH426" s="51"/>
      <c r="AI426" s="45"/>
      <c r="AJ426" s="45"/>
      <c r="AL426" s="45"/>
      <c r="AM426" s="46"/>
      <c r="AN426" s="46"/>
    </row>
    <row r="427" spans="3:40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>
      <c r="C428" s="42"/>
      <c r="F428" s="164"/>
      <c r="H428" s="164"/>
      <c r="I428" s="164"/>
      <c r="J428" s="132"/>
      <c r="K428" s="132"/>
      <c r="L428" s="45"/>
      <c r="M428" s="45"/>
      <c r="N428" s="46"/>
      <c r="O428" s="46"/>
      <c r="P428" s="45"/>
      <c r="Q428" s="45"/>
      <c r="R428" s="45"/>
      <c r="T428" s="42"/>
      <c r="V428" s="45"/>
      <c r="Y428" s="45"/>
      <c r="Z428" s="132"/>
      <c r="AA428" s="45"/>
      <c r="AB428" s="45"/>
      <c r="AC428" s="46"/>
      <c r="AD428" s="46"/>
      <c r="AE428" s="45"/>
      <c r="AF428" s="45"/>
      <c r="AH428" s="51"/>
      <c r="AI428" s="45"/>
      <c r="AJ428" s="45"/>
      <c r="AL428" s="45"/>
      <c r="AM428" s="46"/>
      <c r="AN428" s="46"/>
    </row>
    <row r="429" spans="3:40">
      <c r="C429" s="42"/>
      <c r="J429" s="56"/>
      <c r="K429" s="56"/>
      <c r="T429" s="42"/>
      <c r="Z429" s="56"/>
    </row>
    <row r="430" spans="3:40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>
      <c r="C431" s="42"/>
      <c r="F431" s="164"/>
      <c r="H431" s="164"/>
      <c r="I431" s="164"/>
      <c r="J431" s="132"/>
      <c r="K431" s="132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132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3:40">
      <c r="C432" s="42"/>
      <c r="F432" s="164"/>
      <c r="H432" s="164"/>
      <c r="I432" s="164"/>
      <c r="J432" s="132"/>
      <c r="K432" s="132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132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3:40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>
      <c r="C434" s="42"/>
      <c r="J434" s="56"/>
      <c r="K434" s="56"/>
      <c r="T434" s="42"/>
      <c r="Z434" s="56"/>
    </row>
    <row r="435" spans="3:40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>
      <c r="C436" s="42"/>
      <c r="F436" s="164"/>
      <c r="H436" s="164"/>
      <c r="I436" s="164"/>
      <c r="J436" s="132"/>
      <c r="K436" s="132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132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3:40">
      <c r="C437" s="42"/>
      <c r="F437" s="164"/>
      <c r="H437" s="164"/>
      <c r="I437" s="164"/>
      <c r="J437" s="132"/>
      <c r="K437" s="132"/>
      <c r="L437" s="45"/>
      <c r="M437" s="45"/>
      <c r="N437" s="46"/>
      <c r="O437" s="46"/>
      <c r="P437" s="45"/>
      <c r="Q437" s="45"/>
      <c r="R437" s="45"/>
      <c r="T437" s="42"/>
      <c r="V437" s="45"/>
      <c r="Y437" s="45"/>
      <c r="Z437" s="132"/>
      <c r="AA437" s="45"/>
      <c r="AB437" s="45"/>
      <c r="AC437" s="46"/>
      <c r="AD437" s="46"/>
      <c r="AE437" s="45"/>
      <c r="AF437" s="45"/>
      <c r="AH437" s="51"/>
      <c r="AI437" s="45"/>
      <c r="AJ437" s="45"/>
      <c r="AL437" s="45"/>
      <c r="AM437" s="46"/>
      <c r="AN437" s="46"/>
    </row>
    <row r="438" spans="3:40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>
      <c r="F440" s="50"/>
      <c r="H440" s="50"/>
      <c r="I440" s="50"/>
      <c r="J440" s="326"/>
      <c r="K440" s="326"/>
      <c r="L440" s="50"/>
      <c r="M440" s="50"/>
      <c r="N440" s="50"/>
      <c r="O440" s="50"/>
      <c r="P440" s="50"/>
      <c r="Q440" s="50"/>
      <c r="R440" s="50"/>
      <c r="V440" s="50"/>
      <c r="Y440" s="50"/>
      <c r="Z440" s="132"/>
      <c r="AA440" s="50"/>
      <c r="AB440" s="50"/>
      <c r="AC440" s="50"/>
      <c r="AD440" s="50"/>
      <c r="AE440" s="50"/>
      <c r="AF440" s="50"/>
      <c r="AI440" s="50"/>
      <c r="AJ440" s="50"/>
      <c r="AK440" s="111"/>
      <c r="AL440" s="50"/>
    </row>
    <row r="441" spans="3:40">
      <c r="C441" s="42"/>
      <c r="F441" s="45"/>
      <c r="H441" s="45"/>
      <c r="I441" s="45"/>
      <c r="L441" s="45"/>
      <c r="M441" s="45"/>
      <c r="N441" s="51"/>
      <c r="O441" s="51"/>
      <c r="P441" s="45"/>
      <c r="Q441" s="45"/>
      <c r="R441" s="45"/>
      <c r="T441" s="42"/>
      <c r="V441" s="45"/>
      <c r="Y441" s="45"/>
      <c r="AA441" s="45"/>
      <c r="AB441" s="45"/>
      <c r="AC441" s="46"/>
      <c r="AD441" s="46"/>
      <c r="AE441" s="45"/>
      <c r="AF441" s="45"/>
      <c r="AH441" s="51"/>
      <c r="AI441" s="45"/>
      <c r="AJ441" s="45"/>
      <c r="AL441" s="45"/>
      <c r="AM441" s="46"/>
      <c r="AN441" s="46"/>
    </row>
    <row r="442" spans="3:40">
      <c r="F442" s="50"/>
      <c r="H442" s="50"/>
      <c r="I442" s="50"/>
      <c r="J442" s="326"/>
      <c r="K442" s="326"/>
      <c r="L442" s="50"/>
      <c r="M442" s="50"/>
      <c r="N442" s="50"/>
      <c r="O442" s="50"/>
      <c r="P442" s="50"/>
      <c r="Q442" s="50"/>
      <c r="R442" s="50"/>
      <c r="V442" s="50"/>
      <c r="Y442" s="50"/>
      <c r="Z442" s="326"/>
      <c r="AA442" s="50"/>
      <c r="AB442" s="50"/>
      <c r="AC442" s="50"/>
      <c r="AD442" s="50"/>
      <c r="AE442" s="50"/>
      <c r="AF442" s="50"/>
      <c r="AI442" s="50"/>
      <c r="AJ442" s="50"/>
      <c r="AK442" s="111"/>
      <c r="AL442" s="50"/>
    </row>
    <row r="443" spans="3:40">
      <c r="C443" s="42"/>
      <c r="T443" s="42"/>
    </row>
    <row r="444" spans="3:40">
      <c r="C444" s="42"/>
      <c r="F444" s="164"/>
      <c r="H444" s="164"/>
      <c r="I444" s="164"/>
      <c r="J444" s="316"/>
      <c r="K444" s="316"/>
      <c r="L444" s="45"/>
      <c r="M444" s="45"/>
      <c r="N444" s="46"/>
      <c r="O444" s="46"/>
      <c r="P444" s="45"/>
      <c r="Q444" s="45"/>
      <c r="R444" s="45"/>
      <c r="T444" s="42"/>
      <c r="V444" s="45"/>
      <c r="Y444" s="45"/>
      <c r="Z444" s="316"/>
      <c r="AA444" s="45"/>
      <c r="AB444" s="45"/>
      <c r="AC444" s="46"/>
      <c r="AD444" s="46"/>
      <c r="AE444" s="45"/>
      <c r="AF444" s="45"/>
      <c r="AH444" s="51"/>
      <c r="AI444" s="45"/>
      <c r="AJ444" s="45"/>
      <c r="AL444" s="45"/>
      <c r="AM444" s="46"/>
      <c r="AN444" s="46"/>
    </row>
    <row r="445" spans="3:40">
      <c r="C445" s="42"/>
      <c r="F445" s="164"/>
      <c r="H445" s="164"/>
      <c r="I445" s="164"/>
      <c r="J445" s="316"/>
      <c r="K445" s="316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316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>
      <c r="F446" s="50"/>
      <c r="H446" s="45"/>
      <c r="I446" s="45"/>
      <c r="J446" s="326"/>
      <c r="K446" s="326"/>
      <c r="L446" s="50"/>
      <c r="M446" s="50"/>
      <c r="N446" s="50"/>
      <c r="O446" s="50"/>
      <c r="P446" s="50"/>
      <c r="Q446" s="50"/>
      <c r="R446" s="50"/>
      <c r="V446" s="50"/>
      <c r="Y446" s="45"/>
      <c r="Z446" s="326"/>
      <c r="AA446" s="50"/>
      <c r="AB446" s="50"/>
      <c r="AC446" s="50"/>
      <c r="AD446" s="50"/>
      <c r="AE446" s="50"/>
      <c r="AF446" s="50"/>
      <c r="AI446" s="50"/>
      <c r="AJ446" s="50"/>
      <c r="AK446" s="111"/>
      <c r="AL446" s="50"/>
    </row>
    <row r="447" spans="3:40">
      <c r="F447" s="45"/>
      <c r="H447" s="45"/>
      <c r="I447" s="45"/>
      <c r="J447" s="326"/>
      <c r="K447" s="326"/>
      <c r="L447" s="45"/>
      <c r="M447" s="45"/>
      <c r="N447" s="45"/>
      <c r="O447" s="45"/>
      <c r="P447" s="45"/>
      <c r="Q447" s="45"/>
      <c r="R447" s="45"/>
      <c r="V447" s="45"/>
      <c r="Y447" s="45"/>
      <c r="Z447" s="326"/>
      <c r="AA447" s="45"/>
      <c r="AB447" s="45"/>
      <c r="AC447" s="45"/>
      <c r="AD447" s="45"/>
      <c r="AE447" s="45"/>
      <c r="AF447" s="45"/>
      <c r="AI447" s="45"/>
      <c r="AJ447" s="45"/>
      <c r="AL447" s="45"/>
    </row>
    <row r="448" spans="3:40">
      <c r="C448" s="42"/>
      <c r="F448" s="45"/>
      <c r="H448" s="45"/>
      <c r="I448" s="45"/>
      <c r="L448" s="45"/>
      <c r="M448" s="45"/>
      <c r="N448" s="46"/>
      <c r="O448" s="46"/>
      <c r="P448" s="45"/>
      <c r="Q448" s="45"/>
      <c r="R448" s="45"/>
      <c r="T448" s="42"/>
      <c r="V448" s="45"/>
      <c r="Y448" s="45"/>
      <c r="AA448" s="45"/>
      <c r="AB448" s="45"/>
      <c r="AC448" s="46"/>
      <c r="AD448" s="46"/>
      <c r="AE448" s="45"/>
      <c r="AF448" s="45"/>
      <c r="AH448" s="51"/>
      <c r="AI448" s="164"/>
      <c r="AJ448" s="164"/>
      <c r="AL448" s="45"/>
      <c r="AM448" s="46"/>
      <c r="AN448" s="46"/>
    </row>
    <row r="449" spans="1:38">
      <c r="F449" s="50"/>
      <c r="H449" s="50"/>
      <c r="I449" s="50"/>
      <c r="J449" s="326"/>
      <c r="K449" s="326"/>
      <c r="L449" s="50"/>
      <c r="M449" s="50"/>
      <c r="N449" s="50"/>
      <c r="O449" s="50"/>
      <c r="P449" s="50"/>
      <c r="Q449" s="50"/>
      <c r="R449" s="50"/>
      <c r="V449" s="50"/>
      <c r="Y449" s="50"/>
      <c r="Z449" s="326"/>
      <c r="AA449" s="50"/>
      <c r="AB449" s="50"/>
      <c r="AC449" s="50"/>
      <c r="AD449" s="50"/>
      <c r="AE449" s="50"/>
      <c r="AF449" s="50"/>
      <c r="AI449" s="50"/>
      <c r="AJ449" s="50"/>
      <c r="AK449" s="111"/>
      <c r="AL449" s="50"/>
    </row>
    <row r="451" spans="1:38">
      <c r="A451" s="42"/>
      <c r="T451" s="42"/>
    </row>
    <row r="452" spans="1:38">
      <c r="A452" s="42"/>
      <c r="T452" s="42"/>
    </row>
    <row r="453" spans="1:38">
      <c r="A453" s="42"/>
      <c r="T453" s="42"/>
    </row>
    <row r="454" spans="1:38">
      <c r="A454" s="42"/>
      <c r="T454" s="42"/>
    </row>
    <row r="455" spans="1:38">
      <c r="A455" s="42"/>
      <c r="T455" s="42"/>
    </row>
    <row r="456" spans="1:38">
      <c r="A456" s="42"/>
      <c r="T456" s="42"/>
    </row>
    <row r="457" spans="1:38">
      <c r="A457" s="42"/>
      <c r="T457" s="42"/>
    </row>
    <row r="458" spans="1:38">
      <c r="A458" s="42"/>
      <c r="T458" s="42"/>
    </row>
    <row r="459" spans="1:38">
      <c r="A459" s="42"/>
      <c r="T459" s="42"/>
    </row>
    <row r="461" spans="1:38">
      <c r="A461" s="42"/>
    </row>
    <row r="463" spans="1:38">
      <c r="H463" s="42"/>
      <c r="I463" s="42"/>
      <c r="Y463" s="42"/>
    </row>
    <row r="465" spans="1:40">
      <c r="L465" s="42"/>
      <c r="M465" s="42"/>
      <c r="AA465" s="42"/>
      <c r="AB465" s="42"/>
    </row>
    <row r="466" spans="1:40">
      <c r="R466" s="42"/>
      <c r="AK466" s="110"/>
      <c r="AL466" s="42"/>
    </row>
    <row r="467" spans="1:40">
      <c r="R467" s="42"/>
      <c r="AK467" s="110"/>
      <c r="AL467" s="42"/>
    </row>
    <row r="468" spans="1:40">
      <c r="A468" s="42"/>
      <c r="R468" s="42"/>
      <c r="AK468" s="110"/>
      <c r="AL468" s="42"/>
    </row>
    <row r="469" spans="1:40">
      <c r="L469" s="42"/>
      <c r="M469" s="42"/>
      <c r="AA469" s="42"/>
      <c r="AB469" s="42"/>
    </row>
    <row r="470" spans="1:40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107"/>
      <c r="AH470" s="49"/>
      <c r="AI470" s="49"/>
      <c r="AJ470" s="49"/>
      <c r="AK470" s="107"/>
      <c r="AL470" s="49"/>
      <c r="AM470" s="49"/>
      <c r="AN470" s="49"/>
    </row>
    <row r="471" spans="1:40">
      <c r="L471" s="44"/>
      <c r="M471" s="44"/>
      <c r="N471" s="44"/>
      <c r="O471" s="44"/>
      <c r="R471" s="44"/>
      <c r="AA471" s="44"/>
      <c r="AB471" s="44"/>
      <c r="AC471" s="44"/>
      <c r="AD471" s="44"/>
      <c r="AE471" s="44"/>
      <c r="AF471" s="44"/>
      <c r="AG471" s="102"/>
      <c r="AH471" s="44"/>
      <c r="AK471" s="102"/>
      <c r="AL471" s="44"/>
      <c r="AM471" s="44"/>
      <c r="AN471" s="44"/>
    </row>
    <row r="472" spans="1:40">
      <c r="L472" s="44"/>
      <c r="M472" s="44"/>
      <c r="N472" s="44"/>
      <c r="O472" s="44"/>
      <c r="R472" s="44"/>
      <c r="Z472" s="44"/>
      <c r="AA472" s="44"/>
      <c r="AB472" s="44"/>
      <c r="AC472" s="44"/>
      <c r="AD472" s="44"/>
      <c r="AE472" s="44"/>
      <c r="AF472" s="44"/>
      <c r="AG472" s="102"/>
      <c r="AH472" s="44"/>
      <c r="AK472" s="102"/>
      <c r="AL472" s="44"/>
      <c r="AM472" s="44"/>
      <c r="AN472" s="44"/>
    </row>
    <row r="473" spans="1:40">
      <c r="A473" s="44"/>
      <c r="C473" s="44"/>
      <c r="D473" s="44"/>
      <c r="E473" s="44"/>
      <c r="F473" s="44"/>
      <c r="J473" s="44"/>
      <c r="K473" s="44"/>
      <c r="L473" s="44"/>
      <c r="M473" s="44"/>
      <c r="N473" s="44"/>
      <c r="O473" s="44"/>
      <c r="P473" s="44"/>
      <c r="Q473" s="44"/>
      <c r="R473" s="44"/>
      <c r="T473" s="44"/>
      <c r="U473" s="44"/>
      <c r="V473" s="44"/>
      <c r="Z473" s="44"/>
      <c r="AA473" s="44"/>
      <c r="AB473" s="44"/>
      <c r="AC473" s="44"/>
      <c r="AD473" s="44"/>
      <c r="AE473" s="44"/>
      <c r="AF473" s="44"/>
      <c r="AG473" s="102"/>
      <c r="AH473" s="44"/>
      <c r="AI473" s="44"/>
      <c r="AJ473" s="44"/>
      <c r="AK473" s="102"/>
      <c r="AL473" s="44"/>
      <c r="AM473" s="44"/>
      <c r="AN473" s="44"/>
    </row>
    <row r="474" spans="1:40">
      <c r="A474" s="44"/>
      <c r="C474" s="44"/>
      <c r="D474" s="44"/>
      <c r="E474" s="44"/>
      <c r="F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T474" s="44"/>
      <c r="U474" s="44"/>
      <c r="V474" s="44"/>
      <c r="Y474" s="44"/>
      <c r="Z474" s="44"/>
      <c r="AA474" s="44"/>
      <c r="AB474" s="44"/>
      <c r="AC474" s="44"/>
      <c r="AD474" s="44"/>
      <c r="AE474" s="44"/>
      <c r="AF474" s="44"/>
      <c r="AG474" s="102"/>
      <c r="AH474" s="44"/>
      <c r="AI474" s="44"/>
      <c r="AJ474" s="44"/>
      <c r="AK474" s="102"/>
      <c r="AL474" s="44"/>
      <c r="AM474" s="44"/>
      <c r="AN474" s="44"/>
    </row>
    <row r="475" spans="1:40">
      <c r="C475" s="44"/>
      <c r="D475" s="44"/>
      <c r="E475" s="44"/>
      <c r="F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T475" s="44"/>
      <c r="U475" s="44"/>
      <c r="V475" s="44"/>
      <c r="Y475" s="44"/>
      <c r="Z475" s="44"/>
      <c r="AA475" s="44"/>
      <c r="AB475" s="44"/>
      <c r="AC475" s="44"/>
      <c r="AD475" s="44"/>
      <c r="AE475" s="44"/>
      <c r="AF475" s="44"/>
      <c r="AG475" s="102"/>
      <c r="AH475" s="44"/>
      <c r="AI475" s="44"/>
      <c r="AJ475" s="44"/>
      <c r="AK475" s="102"/>
      <c r="AL475" s="44"/>
      <c r="AM475" s="44"/>
      <c r="AN475" s="44"/>
    </row>
    <row r="476" spans="1:40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107"/>
      <c r="AH476" s="49"/>
      <c r="AI476" s="49"/>
      <c r="AJ476" s="49"/>
      <c r="AK476" s="107"/>
      <c r="AL476" s="49"/>
      <c r="AM476" s="49"/>
      <c r="AN476" s="49"/>
    </row>
    <row r="477" spans="1:40"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Y477" s="44"/>
      <c r="Z477" s="44"/>
      <c r="AA477" s="44"/>
      <c r="AB477" s="44"/>
      <c r="AC477" s="44"/>
      <c r="AD477" s="44"/>
      <c r="AE477" s="44"/>
      <c r="AF477" s="44"/>
      <c r="AG477" s="102"/>
      <c r="AH477" s="44"/>
      <c r="AI477" s="44"/>
      <c r="AJ477" s="44"/>
      <c r="AK477" s="102"/>
      <c r="AL477" s="44"/>
      <c r="AM477" s="44"/>
      <c r="AN477" s="44"/>
    </row>
    <row r="478" spans="1:40">
      <c r="C478" s="42"/>
      <c r="D478" s="42"/>
      <c r="E478" s="42"/>
      <c r="T478" s="42"/>
      <c r="U478" s="42"/>
    </row>
    <row r="479" spans="1:40">
      <c r="D479" s="42"/>
      <c r="E479" s="42"/>
      <c r="U479" s="42"/>
    </row>
    <row r="481" spans="3:40">
      <c r="C481" s="42"/>
      <c r="F481" s="45"/>
      <c r="J481" s="53"/>
      <c r="K481" s="53"/>
      <c r="L481" s="45"/>
      <c r="M481" s="45"/>
      <c r="R481" s="45"/>
      <c r="T481" s="42"/>
      <c r="V481" s="45"/>
      <c r="Z481" s="53"/>
      <c r="AA481" s="45"/>
      <c r="AB481" s="45"/>
      <c r="AH481" s="45"/>
      <c r="AL481" s="45"/>
    </row>
    <row r="482" spans="3:40">
      <c r="C482" s="42"/>
      <c r="F482" s="45"/>
      <c r="R482" s="45"/>
      <c r="T482" s="42"/>
      <c r="V482" s="45"/>
      <c r="AH482" s="45"/>
      <c r="AL482" s="45"/>
    </row>
    <row r="483" spans="3:40">
      <c r="AI483" s="45"/>
      <c r="AJ483" s="45"/>
      <c r="AL483" s="45"/>
      <c r="AM483" s="46"/>
      <c r="AN483" s="46"/>
    </row>
    <row r="484" spans="3:40">
      <c r="C484" s="42"/>
      <c r="F484" s="164"/>
      <c r="H484" s="164"/>
      <c r="I484" s="164"/>
      <c r="J484" s="336"/>
      <c r="K484" s="336"/>
      <c r="L484" s="45"/>
      <c r="M484" s="45"/>
      <c r="N484" s="46"/>
      <c r="O484" s="46"/>
      <c r="P484" s="45"/>
      <c r="Q484" s="45"/>
      <c r="R484" s="45"/>
      <c r="T484" s="42"/>
      <c r="V484" s="45"/>
      <c r="Y484" s="45"/>
      <c r="Z484" s="336"/>
      <c r="AA484" s="45"/>
      <c r="AB484" s="45"/>
      <c r="AC484" s="46"/>
      <c r="AD484" s="46"/>
      <c r="AE484" s="45"/>
      <c r="AF484" s="45"/>
      <c r="AH484" s="51"/>
      <c r="AI484" s="45"/>
      <c r="AJ484" s="45"/>
      <c r="AL484" s="45"/>
      <c r="AM484" s="46"/>
      <c r="AN484" s="46"/>
    </row>
    <row r="485" spans="3:40">
      <c r="F485" s="45"/>
      <c r="H485" s="45"/>
      <c r="I485" s="45"/>
      <c r="J485" s="47"/>
      <c r="K485" s="47"/>
      <c r="L485" s="45"/>
      <c r="M485" s="45"/>
      <c r="P485" s="45"/>
      <c r="Q485" s="45"/>
      <c r="R485" s="45"/>
      <c r="V485" s="45"/>
      <c r="Y485" s="45"/>
      <c r="Z485" s="47"/>
      <c r="AA485" s="45"/>
      <c r="AB485" s="45"/>
      <c r="AI485" s="45"/>
      <c r="AJ485" s="45"/>
      <c r="AL485" s="45"/>
      <c r="AM485" s="46"/>
      <c r="AN485" s="46"/>
    </row>
    <row r="486" spans="3:40">
      <c r="F486" s="45"/>
      <c r="R486" s="45"/>
      <c r="V486" s="45"/>
      <c r="AL486" s="45"/>
      <c r="AM486" s="46"/>
      <c r="AN486" s="46"/>
    </row>
    <row r="487" spans="3:40">
      <c r="C487" s="42"/>
      <c r="F487" s="45"/>
      <c r="J487" s="53"/>
      <c r="K487" s="53"/>
      <c r="L487" s="45"/>
      <c r="M487" s="45"/>
      <c r="N487" s="46"/>
      <c r="O487" s="46"/>
      <c r="R487" s="45"/>
      <c r="T487" s="42"/>
      <c r="V487" s="45"/>
      <c r="Z487" s="53"/>
      <c r="AA487" s="45"/>
      <c r="AB487" s="45"/>
      <c r="AC487" s="46"/>
      <c r="AD487" s="46"/>
      <c r="AL487" s="45"/>
      <c r="AM487" s="46"/>
      <c r="AN487" s="46"/>
    </row>
    <row r="488" spans="3:40">
      <c r="C488" s="42"/>
      <c r="F488" s="45"/>
      <c r="H488" s="45"/>
      <c r="I488" s="45"/>
      <c r="J488" s="53"/>
      <c r="K488" s="53"/>
      <c r="L488" s="45"/>
      <c r="M488" s="45"/>
      <c r="N488" s="46"/>
      <c r="O488" s="46"/>
      <c r="P488" s="45"/>
      <c r="Q488" s="45"/>
      <c r="R488" s="45"/>
      <c r="T488" s="42"/>
      <c r="V488" s="45"/>
      <c r="Y488" s="45"/>
      <c r="Z488" s="53"/>
      <c r="AA488" s="45"/>
      <c r="AB488" s="45"/>
      <c r="AC488" s="46"/>
      <c r="AD488" s="46"/>
      <c r="AI488" s="45"/>
      <c r="AJ488" s="45"/>
      <c r="AL488" s="45"/>
      <c r="AM488" s="46"/>
      <c r="AN488" s="46"/>
    </row>
    <row r="489" spans="3:40">
      <c r="C489" s="42"/>
      <c r="T489" s="42"/>
      <c r="AM489" s="46"/>
      <c r="AN489" s="46"/>
    </row>
    <row r="490" spans="3:40">
      <c r="C490" s="42"/>
      <c r="T490" s="42"/>
      <c r="AM490" s="46"/>
      <c r="AN490" s="46"/>
    </row>
    <row r="491" spans="3:40">
      <c r="AM491" s="46"/>
      <c r="AN491" s="46"/>
    </row>
    <row r="492" spans="3:40">
      <c r="C492" s="42"/>
      <c r="F492" s="164"/>
      <c r="H492" s="164"/>
      <c r="I492" s="164"/>
      <c r="J492" s="336"/>
      <c r="K492" s="336"/>
      <c r="L492" s="45"/>
      <c r="M492" s="45"/>
      <c r="N492" s="46"/>
      <c r="O492" s="46"/>
      <c r="P492" s="45"/>
      <c r="Q492" s="45"/>
      <c r="R492" s="45"/>
      <c r="T492" s="42"/>
      <c r="V492" s="45"/>
      <c r="Y492" s="45"/>
      <c r="Z492" s="336"/>
      <c r="AA492" s="45"/>
      <c r="AB492" s="45"/>
      <c r="AC492" s="46"/>
      <c r="AD492" s="46"/>
      <c r="AE492" s="45"/>
      <c r="AF492" s="45"/>
      <c r="AH492" s="51"/>
      <c r="AI492" s="45"/>
      <c r="AJ492" s="45"/>
      <c r="AL492" s="45"/>
      <c r="AM492" s="46"/>
      <c r="AN492" s="46"/>
    </row>
    <row r="493" spans="3:40">
      <c r="F493" s="50"/>
      <c r="H493" s="50"/>
      <c r="I493" s="50"/>
      <c r="J493" s="326"/>
      <c r="K493" s="326"/>
      <c r="L493" s="50"/>
      <c r="M493" s="50"/>
      <c r="N493" s="50"/>
      <c r="O493" s="50"/>
      <c r="P493" s="50"/>
      <c r="Q493" s="50"/>
      <c r="R493" s="50"/>
      <c r="V493" s="50"/>
      <c r="Y493" s="50"/>
      <c r="Z493" s="326"/>
      <c r="AA493" s="50"/>
      <c r="AB493" s="50"/>
      <c r="AC493" s="50"/>
      <c r="AD493" s="50"/>
      <c r="AE493" s="50"/>
      <c r="AF493" s="50"/>
      <c r="AI493" s="50"/>
      <c r="AJ493" s="50"/>
      <c r="AK493" s="111"/>
      <c r="AL493" s="50"/>
      <c r="AM493" s="46"/>
      <c r="AN493" s="46"/>
    </row>
    <row r="494" spans="3:40">
      <c r="H494" s="45"/>
      <c r="I494" s="45"/>
      <c r="Y494" s="45"/>
      <c r="AM494" s="46"/>
      <c r="AN494" s="46"/>
    </row>
    <row r="495" spans="3:40">
      <c r="C495" s="42"/>
      <c r="F495" s="45"/>
      <c r="H495" s="45"/>
      <c r="I495" s="45"/>
      <c r="L495" s="45"/>
      <c r="M495" s="45"/>
      <c r="N495" s="46"/>
      <c r="O495" s="46"/>
      <c r="P495" s="164"/>
      <c r="Q495" s="164"/>
      <c r="R495" s="45"/>
      <c r="T495" s="42"/>
      <c r="V495" s="45"/>
      <c r="Y495" s="45"/>
      <c r="AA495" s="45"/>
      <c r="AB495" s="45"/>
      <c r="AC495" s="46"/>
      <c r="AD495" s="46"/>
      <c r="AE495" s="45"/>
      <c r="AF495" s="45"/>
      <c r="AH495" s="51"/>
      <c r="AI495" s="164"/>
      <c r="AJ495" s="164"/>
      <c r="AL495" s="45"/>
      <c r="AM495" s="46"/>
      <c r="AN495" s="46"/>
    </row>
    <row r="496" spans="3:40">
      <c r="F496" s="50"/>
      <c r="H496" s="50"/>
      <c r="I496" s="50"/>
      <c r="J496" s="326"/>
      <c r="K496" s="326"/>
      <c r="L496" s="50"/>
      <c r="M496" s="50"/>
      <c r="N496" s="50"/>
      <c r="O496" s="50"/>
      <c r="P496" s="50"/>
      <c r="Q496" s="50"/>
      <c r="R496" s="50"/>
      <c r="V496" s="50"/>
      <c r="Y496" s="50"/>
      <c r="Z496" s="326"/>
      <c r="AA496" s="50"/>
      <c r="AB496" s="50"/>
      <c r="AC496" s="50"/>
      <c r="AD496" s="50"/>
      <c r="AE496" s="50"/>
      <c r="AF496" s="50"/>
      <c r="AI496" s="50"/>
      <c r="AJ496" s="50"/>
      <c r="AK496" s="111"/>
      <c r="AL496" s="50"/>
      <c r="AM496" s="46"/>
      <c r="AN496" s="46"/>
    </row>
    <row r="498" spans="1:40">
      <c r="F498" s="45"/>
      <c r="H498" s="45"/>
      <c r="I498" s="45"/>
      <c r="J498" s="47"/>
      <c r="K498" s="47"/>
      <c r="L498" s="45"/>
      <c r="M498" s="45"/>
      <c r="N498" s="45"/>
      <c r="O498" s="45"/>
      <c r="P498" s="45"/>
      <c r="Q498" s="45"/>
      <c r="R498" s="45"/>
      <c r="V498" s="45"/>
      <c r="Y498" s="45"/>
      <c r="Z498" s="47"/>
      <c r="AA498" s="45"/>
      <c r="AB498" s="45"/>
      <c r="AC498" s="45"/>
      <c r="AD498" s="45"/>
      <c r="AE498" s="45"/>
      <c r="AF498" s="45"/>
      <c r="AH498" s="45"/>
      <c r="AI498" s="45"/>
      <c r="AJ498" s="45"/>
      <c r="AL498" s="45"/>
    </row>
    <row r="499" spans="1:40">
      <c r="A499" s="42"/>
    </row>
    <row r="501" spans="1:40">
      <c r="H501" s="42"/>
      <c r="I501" s="42"/>
      <c r="Y501" s="42"/>
    </row>
    <row r="503" spans="1:40">
      <c r="L503" s="42"/>
      <c r="M503" s="42"/>
      <c r="AA503" s="42"/>
      <c r="AB503" s="42"/>
    </row>
    <row r="504" spans="1:40">
      <c r="R504" s="42"/>
      <c r="AK504" s="110"/>
      <c r="AL504" s="42"/>
    </row>
    <row r="505" spans="1:40">
      <c r="R505" s="42"/>
      <c r="AK505" s="110"/>
      <c r="AL505" s="42"/>
    </row>
    <row r="506" spans="1:40">
      <c r="A506" s="42"/>
      <c r="R506" s="42"/>
      <c r="AK506" s="110"/>
      <c r="AL506" s="42"/>
    </row>
    <row r="507" spans="1:40">
      <c r="L507" s="42"/>
      <c r="M507" s="42"/>
      <c r="AA507" s="42"/>
      <c r="AB507" s="42"/>
    </row>
    <row r="508" spans="1:40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107"/>
      <c r="AH508" s="49"/>
      <c r="AI508" s="49"/>
      <c r="AJ508" s="49"/>
      <c r="AK508" s="107"/>
      <c r="AL508" s="49"/>
      <c r="AM508" s="49"/>
      <c r="AN508" s="49"/>
    </row>
    <row r="509" spans="1:40">
      <c r="L509" s="44"/>
      <c r="M509" s="44"/>
      <c r="N509" s="44"/>
      <c r="O509" s="44"/>
      <c r="R509" s="44"/>
      <c r="AA509" s="44"/>
      <c r="AB509" s="44"/>
      <c r="AC509" s="44"/>
      <c r="AD509" s="44"/>
      <c r="AE509" s="44"/>
      <c r="AF509" s="44"/>
      <c r="AG509" s="102"/>
      <c r="AH509" s="44"/>
      <c r="AK509" s="102"/>
      <c r="AL509" s="44"/>
      <c r="AM509" s="44"/>
      <c r="AN509" s="44"/>
    </row>
    <row r="510" spans="1:40">
      <c r="L510" s="44"/>
      <c r="M510" s="44"/>
      <c r="N510" s="44"/>
      <c r="O510" s="44"/>
      <c r="R510" s="44"/>
      <c r="Z510" s="44"/>
      <c r="AA510" s="44"/>
      <c r="AB510" s="44"/>
      <c r="AC510" s="44"/>
      <c r="AD510" s="44"/>
      <c r="AE510" s="44"/>
      <c r="AF510" s="44"/>
      <c r="AG510" s="102"/>
      <c r="AH510" s="44"/>
      <c r="AK510" s="102"/>
      <c r="AL510" s="44"/>
      <c r="AM510" s="44"/>
      <c r="AN510" s="44"/>
    </row>
    <row r="511" spans="1:40">
      <c r="A511" s="44"/>
      <c r="C511" s="44"/>
      <c r="D511" s="44"/>
      <c r="E511" s="44"/>
      <c r="F511" s="44"/>
      <c r="J511" s="44"/>
      <c r="K511" s="44"/>
      <c r="L511" s="44"/>
      <c r="M511" s="44"/>
      <c r="N511" s="44"/>
      <c r="O511" s="44"/>
      <c r="P511" s="44"/>
      <c r="Q511" s="44"/>
      <c r="R511" s="44"/>
      <c r="T511" s="44"/>
      <c r="U511" s="44"/>
      <c r="V511" s="44"/>
      <c r="Z511" s="44"/>
      <c r="AA511" s="44"/>
      <c r="AB511" s="44"/>
      <c r="AC511" s="44"/>
      <c r="AD511" s="44"/>
      <c r="AE511" s="44"/>
      <c r="AF511" s="44"/>
      <c r="AG511" s="102"/>
      <c r="AH511" s="44"/>
      <c r="AI511" s="44"/>
      <c r="AJ511" s="44"/>
      <c r="AK511" s="102"/>
      <c r="AL511" s="44"/>
      <c r="AM511" s="44"/>
      <c r="AN511" s="44"/>
    </row>
    <row r="512" spans="1:40">
      <c r="A512" s="44"/>
      <c r="C512" s="44"/>
      <c r="D512" s="44"/>
      <c r="E512" s="44"/>
      <c r="F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T512" s="44"/>
      <c r="U512" s="44"/>
      <c r="V512" s="44"/>
      <c r="Y512" s="44"/>
      <c r="Z512" s="44"/>
      <c r="AA512" s="44"/>
      <c r="AB512" s="44"/>
      <c r="AC512" s="44"/>
      <c r="AD512" s="44"/>
      <c r="AE512" s="44"/>
      <c r="AF512" s="44"/>
      <c r="AG512" s="102"/>
      <c r="AH512" s="44"/>
      <c r="AI512" s="44"/>
      <c r="AJ512" s="44"/>
      <c r="AK512" s="102"/>
      <c r="AL512" s="44"/>
      <c r="AM512" s="44"/>
      <c r="AN512" s="44"/>
    </row>
    <row r="513" spans="1:40">
      <c r="C513" s="44"/>
      <c r="D513" s="44"/>
      <c r="E513" s="44"/>
      <c r="F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T513" s="44"/>
      <c r="U513" s="44"/>
      <c r="V513" s="44"/>
      <c r="Y513" s="44"/>
      <c r="Z513" s="44"/>
      <c r="AA513" s="44"/>
      <c r="AB513" s="44"/>
      <c r="AC513" s="44"/>
      <c r="AD513" s="44"/>
      <c r="AE513" s="44"/>
      <c r="AF513" s="44"/>
      <c r="AG513" s="102"/>
      <c r="AH513" s="44"/>
      <c r="AI513" s="44"/>
      <c r="AJ513" s="44"/>
      <c r="AK513" s="102"/>
      <c r="AL513" s="44"/>
      <c r="AM513" s="44"/>
      <c r="AN513" s="44"/>
    </row>
    <row r="514" spans="1:40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107"/>
      <c r="AH514" s="49"/>
      <c r="AI514" s="49"/>
      <c r="AJ514" s="49"/>
      <c r="AK514" s="107"/>
      <c r="AL514" s="49"/>
      <c r="AM514" s="49"/>
      <c r="AN514" s="49"/>
    </row>
    <row r="515" spans="1:40"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Y515" s="44"/>
      <c r="Z515" s="44"/>
      <c r="AA515" s="44"/>
      <c r="AB515" s="44"/>
      <c r="AC515" s="44"/>
      <c r="AD515" s="44"/>
      <c r="AE515" s="44"/>
      <c r="AF515" s="44"/>
      <c r="AG515" s="102"/>
      <c r="AH515" s="44"/>
      <c r="AI515" s="44"/>
      <c r="AJ515" s="44"/>
      <c r="AK515" s="102"/>
      <c r="AL515" s="44"/>
      <c r="AM515" s="44"/>
      <c r="AN515" s="44"/>
    </row>
    <row r="516" spans="1:40">
      <c r="C516" s="42"/>
      <c r="D516" s="42"/>
      <c r="E516" s="42"/>
      <c r="T516" s="42"/>
      <c r="U516" s="42"/>
      <c r="V516" s="45"/>
      <c r="W516" s="45"/>
      <c r="X516" s="45"/>
      <c r="Y516" s="45"/>
      <c r="Z516" s="336"/>
    </row>
    <row r="518" spans="1:40">
      <c r="C518" s="42"/>
      <c r="T518" s="42"/>
      <c r="V518" s="45"/>
      <c r="W518" s="45"/>
      <c r="X518" s="45"/>
      <c r="Y518" s="45"/>
      <c r="Z518" s="336"/>
    </row>
    <row r="519" spans="1:40">
      <c r="C519" s="42"/>
      <c r="F519" s="164"/>
      <c r="H519" s="164"/>
      <c r="I519" s="164"/>
      <c r="J519" s="132"/>
      <c r="K519" s="132"/>
      <c r="L519" s="45"/>
      <c r="M519" s="45"/>
      <c r="N519" s="46"/>
      <c r="O519" s="46"/>
      <c r="P519" s="45"/>
      <c r="Q519" s="45"/>
      <c r="R519" s="45"/>
      <c r="T519" s="42"/>
      <c r="V519" s="45"/>
      <c r="W519" s="45"/>
      <c r="X519" s="45"/>
      <c r="Y519" s="45"/>
      <c r="Z519" s="132"/>
      <c r="AA519" s="45"/>
      <c r="AB519" s="45"/>
      <c r="AC519" s="46"/>
      <c r="AD519" s="46"/>
      <c r="AE519" s="45"/>
      <c r="AF519" s="45"/>
      <c r="AH519" s="51"/>
      <c r="AI519" s="45"/>
      <c r="AJ519" s="45"/>
      <c r="AL519" s="45"/>
      <c r="AM519" s="46"/>
      <c r="AN519" s="46"/>
    </row>
    <row r="520" spans="1:40">
      <c r="C520" s="42"/>
      <c r="F520" s="164"/>
      <c r="H520" s="164"/>
      <c r="I520" s="164"/>
      <c r="J520" s="132"/>
      <c r="K520" s="132"/>
      <c r="L520" s="45"/>
      <c r="M520" s="45"/>
      <c r="N520" s="46"/>
      <c r="O520" s="46"/>
      <c r="P520" s="45"/>
      <c r="Q520" s="45"/>
      <c r="R520" s="45"/>
      <c r="T520" s="42"/>
      <c r="V520" s="45"/>
      <c r="W520" s="45"/>
      <c r="X520" s="45"/>
      <c r="Y520" s="45"/>
      <c r="Z520" s="132"/>
      <c r="AA520" s="45"/>
      <c r="AB520" s="45"/>
      <c r="AC520" s="46"/>
      <c r="AD520" s="46"/>
      <c r="AE520" s="45"/>
      <c r="AF520" s="45"/>
      <c r="AH520" s="51"/>
      <c r="AI520" s="45"/>
      <c r="AJ520" s="45"/>
      <c r="AL520" s="45"/>
      <c r="AM520" s="46"/>
      <c r="AN520" s="46"/>
    </row>
    <row r="521" spans="1:40">
      <c r="C521" s="42"/>
      <c r="F521" s="164"/>
      <c r="H521" s="164"/>
      <c r="I521" s="164"/>
      <c r="J521" s="132"/>
      <c r="K521" s="132"/>
      <c r="L521" s="45"/>
      <c r="M521" s="45"/>
      <c r="N521" s="46"/>
      <c r="O521" s="46"/>
      <c r="P521" s="45"/>
      <c r="Q521" s="45"/>
      <c r="R521" s="45"/>
      <c r="T521" s="42"/>
      <c r="V521" s="45"/>
      <c r="W521" s="45"/>
      <c r="X521" s="45"/>
      <c r="Y521" s="45"/>
      <c r="Z521" s="132"/>
      <c r="AA521" s="45"/>
      <c r="AB521" s="45"/>
      <c r="AC521" s="46"/>
      <c r="AD521" s="46"/>
      <c r="AE521" s="45"/>
      <c r="AF521" s="45"/>
      <c r="AH521" s="51"/>
      <c r="AI521" s="45"/>
      <c r="AJ521" s="45"/>
      <c r="AL521" s="45"/>
      <c r="AM521" s="46"/>
      <c r="AN521" s="46"/>
    </row>
    <row r="522" spans="1:40">
      <c r="C522" s="42"/>
      <c r="F522" s="164"/>
      <c r="H522" s="164"/>
      <c r="I522" s="164"/>
      <c r="J522" s="132"/>
      <c r="K522" s="132"/>
      <c r="L522" s="45"/>
      <c r="M522" s="45"/>
      <c r="N522" s="46"/>
      <c r="O522" s="46"/>
      <c r="P522" s="45"/>
      <c r="Q522" s="45"/>
      <c r="R522" s="45"/>
      <c r="T522" s="42"/>
      <c r="V522" s="45"/>
      <c r="W522" s="45"/>
      <c r="X522" s="45"/>
      <c r="Y522" s="45"/>
      <c r="Z522" s="132"/>
      <c r="AA522" s="45"/>
      <c r="AB522" s="45"/>
      <c r="AC522" s="46"/>
      <c r="AD522" s="46"/>
      <c r="AE522" s="45"/>
      <c r="AF522" s="45"/>
      <c r="AH522" s="51"/>
      <c r="AI522" s="45"/>
      <c r="AJ522" s="45"/>
      <c r="AL522" s="45"/>
      <c r="AM522" s="46"/>
      <c r="AN522" s="46"/>
    </row>
    <row r="523" spans="1:40">
      <c r="J523" s="56"/>
      <c r="K523" s="56"/>
      <c r="V523" s="45"/>
      <c r="W523" s="45"/>
      <c r="X523" s="45"/>
      <c r="Y523" s="45"/>
      <c r="Z523" s="132"/>
    </row>
    <row r="524" spans="1:40">
      <c r="C524" s="42"/>
      <c r="F524" s="164"/>
      <c r="H524" s="164"/>
      <c r="I524" s="164"/>
      <c r="J524" s="132"/>
      <c r="K524" s="132"/>
      <c r="L524" s="45"/>
      <c r="M524" s="45"/>
      <c r="N524" s="46"/>
      <c r="O524" s="46"/>
      <c r="P524" s="45"/>
      <c r="Q524" s="45"/>
      <c r="R524" s="45"/>
      <c r="T524" s="42"/>
      <c r="V524" s="45"/>
      <c r="W524" s="45"/>
      <c r="X524" s="45"/>
      <c r="Y524" s="45"/>
      <c r="Z524" s="132"/>
      <c r="AA524" s="45"/>
      <c r="AB524" s="45"/>
      <c r="AC524" s="46"/>
      <c r="AD524" s="46"/>
      <c r="AE524" s="45"/>
      <c r="AF524" s="45"/>
      <c r="AH524" s="51"/>
      <c r="AI524" s="45"/>
      <c r="AJ524" s="45"/>
      <c r="AL524" s="45"/>
      <c r="AM524" s="51"/>
      <c r="AN524" s="51"/>
    </row>
    <row r="525" spans="1:40">
      <c r="C525" s="42"/>
      <c r="J525" s="56"/>
      <c r="K525" s="56"/>
      <c r="T525" s="42"/>
      <c r="V525" s="45"/>
      <c r="W525" s="45"/>
      <c r="X525" s="45"/>
      <c r="Y525" s="45"/>
      <c r="Z525" s="132"/>
    </row>
    <row r="526" spans="1:40">
      <c r="C526" s="42"/>
      <c r="F526" s="164"/>
      <c r="H526" s="164"/>
      <c r="I526" s="164"/>
      <c r="J526" s="132"/>
      <c r="K526" s="132"/>
      <c r="L526" s="45"/>
      <c r="M526" s="45"/>
      <c r="N526" s="46"/>
      <c r="O526" s="46"/>
      <c r="P526" s="45"/>
      <c r="Q526" s="45"/>
      <c r="R526" s="45"/>
      <c r="T526" s="42"/>
      <c r="V526" s="45"/>
      <c r="W526" s="45"/>
      <c r="X526" s="45"/>
      <c r="Y526" s="45"/>
      <c r="Z526" s="132"/>
      <c r="AA526" s="45"/>
      <c r="AB526" s="45"/>
      <c r="AC526" s="46"/>
      <c r="AD526" s="46"/>
      <c r="AE526" s="45"/>
      <c r="AF526" s="45"/>
      <c r="AH526" s="51"/>
      <c r="AI526" s="45"/>
      <c r="AJ526" s="45"/>
      <c r="AL526" s="45"/>
      <c r="AM526" s="51"/>
      <c r="AN526" s="51"/>
    </row>
    <row r="527" spans="1:40">
      <c r="J527" s="56"/>
      <c r="K527" s="56"/>
      <c r="Z527" s="56"/>
    </row>
    <row r="528" spans="1:40">
      <c r="C528" s="42"/>
      <c r="J528" s="56"/>
      <c r="K528" s="56"/>
      <c r="T528" s="42"/>
      <c r="V528" s="45"/>
      <c r="W528" s="45"/>
      <c r="X528" s="45"/>
      <c r="Y528" s="45"/>
      <c r="Z528" s="132"/>
    </row>
    <row r="529" spans="1:40">
      <c r="C529" s="42"/>
      <c r="F529" s="164"/>
      <c r="H529" s="164"/>
      <c r="I529" s="164"/>
      <c r="J529" s="132"/>
      <c r="K529" s="132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132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51"/>
      <c r="AN529" s="51"/>
    </row>
    <row r="530" spans="1:40">
      <c r="C530" s="42"/>
      <c r="F530" s="164"/>
      <c r="H530" s="164"/>
      <c r="I530" s="164"/>
      <c r="J530" s="132"/>
      <c r="K530" s="132"/>
      <c r="L530" s="45"/>
      <c r="M530" s="45"/>
      <c r="N530" s="46"/>
      <c r="O530" s="46"/>
      <c r="P530" s="45"/>
      <c r="Q530" s="45"/>
      <c r="R530" s="45"/>
      <c r="T530" s="42"/>
      <c r="V530" s="45"/>
      <c r="W530" s="45"/>
      <c r="X530" s="45"/>
      <c r="Y530" s="45"/>
      <c r="Z530" s="132"/>
      <c r="AA530" s="45"/>
      <c r="AB530" s="45"/>
      <c r="AC530" s="46"/>
      <c r="AD530" s="46"/>
      <c r="AE530" s="45"/>
      <c r="AF530" s="45"/>
      <c r="AH530" s="51"/>
      <c r="AI530" s="45"/>
      <c r="AJ530" s="45"/>
      <c r="AL530" s="45"/>
      <c r="AM530" s="51"/>
      <c r="AN530" s="51"/>
    </row>
    <row r="531" spans="1:40">
      <c r="F531" s="50"/>
      <c r="H531" s="50"/>
      <c r="I531" s="50"/>
      <c r="J531" s="132"/>
      <c r="K531" s="132"/>
      <c r="L531" s="50"/>
      <c r="M531" s="50"/>
      <c r="N531" s="50"/>
      <c r="O531" s="50"/>
      <c r="P531" s="50"/>
      <c r="Q531" s="50"/>
      <c r="R531" s="50"/>
      <c r="V531" s="50"/>
      <c r="Y531" s="50"/>
      <c r="Z531" s="326"/>
      <c r="AA531" s="50"/>
      <c r="AB531" s="50"/>
      <c r="AC531" s="50"/>
      <c r="AD531" s="50"/>
      <c r="AE531" s="50"/>
      <c r="AF531" s="50"/>
      <c r="AI531" s="50"/>
      <c r="AJ531" s="50"/>
      <c r="AK531" s="111"/>
      <c r="AL531" s="50"/>
    </row>
    <row r="532" spans="1:40">
      <c r="C532" s="42"/>
      <c r="F532" s="45"/>
      <c r="H532" s="45"/>
      <c r="I532" s="45"/>
      <c r="L532" s="45"/>
      <c r="M532" s="45"/>
      <c r="N532" s="46"/>
      <c r="O532" s="46"/>
      <c r="P532" s="164"/>
      <c r="Q532" s="164"/>
      <c r="R532" s="45"/>
      <c r="T532" s="42"/>
      <c r="V532" s="45"/>
      <c r="W532" s="45"/>
      <c r="X532" s="45"/>
      <c r="Y532" s="45"/>
      <c r="Z532" s="336"/>
      <c r="AA532" s="45"/>
      <c r="AB532" s="45"/>
      <c r="AC532" s="46"/>
      <c r="AD532" s="46"/>
      <c r="AE532" s="45"/>
      <c r="AF532" s="45"/>
      <c r="AH532" s="51"/>
      <c r="AI532" s="164"/>
      <c r="AJ532" s="164"/>
      <c r="AL532" s="45"/>
      <c r="AM532" s="51"/>
      <c r="AN532" s="51"/>
    </row>
    <row r="533" spans="1:40">
      <c r="F533" s="50"/>
      <c r="H533" s="50"/>
      <c r="I533" s="50"/>
      <c r="J533" s="326"/>
      <c r="K533" s="326"/>
      <c r="L533" s="50"/>
      <c r="M533" s="50"/>
      <c r="N533" s="50"/>
      <c r="O533" s="50"/>
      <c r="P533" s="50"/>
      <c r="Q533" s="50"/>
      <c r="R533" s="50"/>
      <c r="V533" s="50"/>
      <c r="Y533" s="50"/>
      <c r="Z533" s="326"/>
      <c r="AA533" s="50"/>
      <c r="AB533" s="50"/>
      <c r="AC533" s="50"/>
      <c r="AD533" s="50"/>
      <c r="AE533" s="50"/>
      <c r="AF533" s="50"/>
      <c r="AI533" s="50"/>
      <c r="AJ533" s="50"/>
      <c r="AK533" s="111"/>
      <c r="AL533" s="50"/>
    </row>
    <row r="536" spans="1:40">
      <c r="A536" s="42"/>
    </row>
    <row r="538" spans="1:40">
      <c r="H538" s="42"/>
      <c r="I538" s="42"/>
      <c r="Y538" s="42"/>
    </row>
    <row r="540" spans="1:40">
      <c r="L540" s="42"/>
      <c r="M540" s="42"/>
      <c r="AA540" s="42"/>
      <c r="AB540" s="42"/>
    </row>
    <row r="541" spans="1:40">
      <c r="R541" s="42"/>
      <c r="AK541" s="110"/>
      <c r="AL541" s="42"/>
    </row>
    <row r="542" spans="1:40">
      <c r="R542" s="42"/>
      <c r="AK542" s="110"/>
      <c r="AL542" s="42"/>
    </row>
    <row r="543" spans="1:40">
      <c r="A543" s="42"/>
      <c r="R543" s="42"/>
      <c r="AK543" s="110"/>
      <c r="AL543" s="42"/>
    </row>
    <row r="544" spans="1:40">
      <c r="L544" s="42"/>
      <c r="M544" s="42"/>
      <c r="AA544" s="42"/>
      <c r="AB544" s="42"/>
    </row>
    <row r="545" spans="1:40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107"/>
      <c r="AH545" s="49"/>
      <c r="AI545" s="49"/>
      <c r="AJ545" s="49"/>
      <c r="AK545" s="107"/>
      <c r="AL545" s="49"/>
      <c r="AM545" s="49"/>
      <c r="AN545" s="49"/>
    </row>
    <row r="546" spans="1:40">
      <c r="L546" s="44"/>
      <c r="M546" s="44"/>
      <c r="N546" s="44"/>
      <c r="O546" s="44"/>
      <c r="R546" s="44"/>
      <c r="AA546" s="44"/>
      <c r="AB546" s="44"/>
      <c r="AC546" s="44"/>
      <c r="AD546" s="44"/>
      <c r="AE546" s="44"/>
      <c r="AF546" s="44"/>
      <c r="AG546" s="102"/>
      <c r="AH546" s="44"/>
      <c r="AK546" s="102"/>
      <c r="AL546" s="44"/>
      <c r="AM546" s="44"/>
      <c r="AN546" s="44"/>
    </row>
    <row r="547" spans="1:40">
      <c r="L547" s="44"/>
      <c r="M547" s="44"/>
      <c r="N547" s="44"/>
      <c r="O547" s="44"/>
      <c r="R547" s="44"/>
      <c r="Z547" s="44"/>
      <c r="AA547" s="44"/>
      <c r="AB547" s="44"/>
      <c r="AC547" s="44"/>
      <c r="AD547" s="44"/>
      <c r="AE547" s="44"/>
      <c r="AF547" s="44"/>
      <c r="AG547" s="102"/>
      <c r="AH547" s="44"/>
      <c r="AK547" s="102"/>
      <c r="AL547" s="44"/>
      <c r="AM547" s="44"/>
      <c r="AN547" s="44"/>
    </row>
    <row r="548" spans="1:40">
      <c r="A548" s="44"/>
      <c r="C548" s="44"/>
      <c r="D548" s="44"/>
      <c r="E548" s="44"/>
      <c r="F548" s="44"/>
      <c r="J548" s="44"/>
      <c r="K548" s="44"/>
      <c r="L548" s="44"/>
      <c r="M548" s="44"/>
      <c r="N548" s="44"/>
      <c r="O548" s="44"/>
      <c r="P548" s="44"/>
      <c r="Q548" s="44"/>
      <c r="R548" s="44"/>
      <c r="T548" s="44"/>
      <c r="U548" s="44"/>
      <c r="V548" s="44"/>
      <c r="Z548" s="44"/>
      <c r="AA548" s="44"/>
      <c r="AB548" s="44"/>
      <c r="AC548" s="44"/>
      <c r="AD548" s="44"/>
      <c r="AE548" s="44"/>
      <c r="AF548" s="44"/>
      <c r="AG548" s="102"/>
      <c r="AH548" s="44"/>
      <c r="AI548" s="44"/>
      <c r="AJ548" s="44"/>
      <c r="AK548" s="102"/>
      <c r="AL548" s="44"/>
      <c r="AM548" s="44"/>
      <c r="AN548" s="44"/>
    </row>
    <row r="549" spans="1:40">
      <c r="A549" s="44"/>
      <c r="C549" s="44"/>
      <c r="D549" s="44"/>
      <c r="E549" s="44"/>
      <c r="F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T549" s="44"/>
      <c r="U549" s="44"/>
      <c r="V549" s="44"/>
      <c r="Y549" s="44"/>
      <c r="Z549" s="44"/>
      <c r="AA549" s="44"/>
      <c r="AB549" s="44"/>
      <c r="AC549" s="44"/>
      <c r="AD549" s="44"/>
      <c r="AE549" s="44"/>
      <c r="AF549" s="44"/>
      <c r="AG549" s="102"/>
      <c r="AH549" s="44"/>
      <c r="AI549" s="44"/>
      <c r="AJ549" s="44"/>
      <c r="AK549" s="102"/>
      <c r="AL549" s="44"/>
      <c r="AM549" s="44"/>
      <c r="AN549" s="44"/>
    </row>
    <row r="550" spans="1:40">
      <c r="C550" s="44"/>
      <c r="D550" s="44"/>
      <c r="E550" s="44"/>
      <c r="F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Y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107"/>
      <c r="AH551" s="49"/>
      <c r="AI551" s="49"/>
      <c r="AJ551" s="49"/>
      <c r="AK551" s="107"/>
      <c r="AL551" s="49"/>
      <c r="AM551" s="49"/>
      <c r="AN551" s="49"/>
    </row>
    <row r="552" spans="1:40"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Y552" s="44"/>
      <c r="Z552" s="44"/>
      <c r="AA552" s="44"/>
      <c r="AB552" s="44"/>
      <c r="AC552" s="44"/>
      <c r="AD552" s="44"/>
      <c r="AE552" s="44"/>
      <c r="AF552" s="44"/>
      <c r="AG552" s="102"/>
      <c r="AH552" s="44"/>
      <c r="AI552" s="44"/>
      <c r="AJ552" s="44"/>
      <c r="AK552" s="102"/>
      <c r="AL552" s="44"/>
      <c r="AM552" s="44"/>
      <c r="AN552" s="44"/>
    </row>
    <row r="553" spans="1:40">
      <c r="C553" s="42"/>
      <c r="D553" s="42"/>
      <c r="E553" s="42"/>
      <c r="T553" s="42"/>
      <c r="U553" s="42"/>
    </row>
    <row r="555" spans="1:40">
      <c r="C555" s="42"/>
      <c r="T555" s="42"/>
    </row>
    <row r="556" spans="1:40">
      <c r="C556" s="42"/>
      <c r="T556" s="42"/>
    </row>
    <row r="557" spans="1:40">
      <c r="C557" s="42"/>
      <c r="F557" s="164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51"/>
      <c r="AN557" s="51"/>
    </row>
    <row r="558" spans="1:40">
      <c r="C558" s="42"/>
      <c r="F558" s="45"/>
      <c r="H558" s="45"/>
      <c r="I558" s="45"/>
      <c r="J558" s="56"/>
      <c r="K558" s="56"/>
      <c r="L558" s="45"/>
      <c r="M558" s="45"/>
      <c r="N558" s="46"/>
      <c r="O558" s="46"/>
      <c r="P558" s="45"/>
      <c r="Q558" s="45"/>
      <c r="R558" s="45"/>
      <c r="T558" s="42"/>
      <c r="V558" s="45"/>
      <c r="W558" s="45"/>
      <c r="X558" s="45"/>
      <c r="Y558" s="45"/>
      <c r="Z558" s="56"/>
      <c r="AA558" s="45"/>
      <c r="AB558" s="45"/>
      <c r="AC558" s="46"/>
      <c r="AD558" s="46"/>
      <c r="AE558" s="45"/>
      <c r="AF558" s="45"/>
      <c r="AH558" s="51"/>
      <c r="AI558" s="45"/>
      <c r="AJ558" s="45"/>
      <c r="AL558" s="45"/>
      <c r="AM558" s="51"/>
      <c r="AN558" s="51"/>
    </row>
    <row r="559" spans="1:40">
      <c r="C559" s="42"/>
      <c r="F559" s="45"/>
      <c r="H559" s="45"/>
      <c r="I559" s="45"/>
      <c r="J559" s="56"/>
      <c r="K559" s="56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56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51"/>
      <c r="AN559" s="51"/>
    </row>
    <row r="560" spans="1:40">
      <c r="C560" s="42"/>
      <c r="F560" s="45"/>
      <c r="H560" s="45"/>
      <c r="I560" s="45"/>
      <c r="J560" s="56"/>
      <c r="K560" s="56"/>
      <c r="T560" s="42"/>
      <c r="V560" s="45"/>
      <c r="Z560" s="56"/>
    </row>
    <row r="561" spans="3:40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3:40">
      <c r="C562" s="42"/>
      <c r="F562" s="45"/>
      <c r="H562" s="45"/>
      <c r="I562" s="45"/>
      <c r="J562" s="56"/>
      <c r="K562" s="56"/>
      <c r="T562" s="42"/>
      <c r="V562" s="45"/>
      <c r="W562" s="45"/>
      <c r="X562" s="45"/>
      <c r="Y562" s="45"/>
      <c r="Z562" s="56"/>
      <c r="AC562" s="46"/>
      <c r="AD562" s="46"/>
      <c r="AE562" s="45"/>
      <c r="AF562" s="45"/>
      <c r="AH562" s="51"/>
      <c r="AI562" s="45"/>
      <c r="AJ562" s="45"/>
      <c r="AL562" s="45"/>
      <c r="AM562" s="51"/>
      <c r="AN562" s="51"/>
    </row>
    <row r="563" spans="3:40">
      <c r="C563" s="42"/>
      <c r="F563" s="164"/>
      <c r="H563" s="164"/>
      <c r="I563" s="164"/>
      <c r="J563" s="132"/>
      <c r="K563" s="132"/>
      <c r="L563" s="45"/>
      <c r="M563" s="45"/>
      <c r="N563" s="46"/>
      <c r="O563" s="46"/>
      <c r="P563" s="45"/>
      <c r="Q563" s="45"/>
      <c r="R563" s="45"/>
      <c r="T563" s="42"/>
      <c r="V563" s="45"/>
      <c r="W563" s="45"/>
      <c r="X563" s="45"/>
      <c r="Y563" s="45"/>
      <c r="Z563" s="132"/>
      <c r="AA563" s="45"/>
      <c r="AB563" s="45"/>
      <c r="AC563" s="46"/>
      <c r="AD563" s="46"/>
      <c r="AE563" s="45"/>
      <c r="AF563" s="45"/>
      <c r="AH563" s="51"/>
      <c r="AI563" s="45"/>
      <c r="AJ563" s="45"/>
      <c r="AL563" s="45"/>
      <c r="AM563" s="51"/>
      <c r="AN563" s="51"/>
    </row>
    <row r="564" spans="3:40">
      <c r="C564" s="42"/>
      <c r="F564" s="45"/>
      <c r="H564" s="45"/>
      <c r="I564" s="45"/>
      <c r="J564" s="56"/>
      <c r="K564" s="56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56"/>
      <c r="AA564" s="45"/>
      <c r="AB564" s="45"/>
      <c r="AC564" s="46"/>
      <c r="AD564" s="46"/>
      <c r="AE564" s="45"/>
      <c r="AF564" s="45"/>
      <c r="AH564" s="51"/>
      <c r="AI564" s="45"/>
      <c r="AJ564" s="45"/>
      <c r="AL564" s="45"/>
      <c r="AM564" s="51"/>
      <c r="AN564" s="51"/>
    </row>
    <row r="565" spans="3:40">
      <c r="F565" s="45"/>
      <c r="H565" s="45"/>
      <c r="I565" s="45"/>
      <c r="J565" s="56"/>
      <c r="K565" s="56"/>
      <c r="Z565" s="56"/>
    </row>
    <row r="566" spans="3:40">
      <c r="C566" s="42"/>
      <c r="F566" s="45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51"/>
      <c r="AN566" s="51"/>
    </row>
    <row r="567" spans="3:40">
      <c r="F567" s="50"/>
      <c r="H567" s="50"/>
      <c r="I567" s="50"/>
      <c r="J567" s="132"/>
      <c r="K567" s="132"/>
      <c r="L567" s="50"/>
      <c r="M567" s="50"/>
      <c r="N567" s="50"/>
      <c r="O567" s="50"/>
      <c r="P567" s="50"/>
      <c r="Q567" s="50"/>
      <c r="R567" s="50"/>
      <c r="V567" s="50"/>
      <c r="Y567" s="50"/>
      <c r="Z567" s="132"/>
      <c r="AA567" s="50"/>
      <c r="AB567" s="50"/>
      <c r="AC567" s="50"/>
      <c r="AD567" s="50"/>
      <c r="AE567" s="50"/>
      <c r="AF567" s="50"/>
      <c r="AI567" s="50"/>
      <c r="AJ567" s="50"/>
      <c r="AK567" s="111"/>
      <c r="AL567" s="50"/>
    </row>
    <row r="568" spans="3:40">
      <c r="C568" s="42"/>
      <c r="F568" s="45"/>
      <c r="H568" s="45"/>
      <c r="I568" s="45"/>
      <c r="J568" s="56"/>
      <c r="K568" s="56"/>
      <c r="L568" s="45"/>
      <c r="M568" s="45"/>
      <c r="P568" s="45"/>
      <c r="Q568" s="45"/>
      <c r="R568" s="45"/>
      <c r="T568" s="42"/>
      <c r="V568" s="45"/>
      <c r="Y568" s="45"/>
      <c r="Z568" s="56"/>
      <c r="AA568" s="45"/>
      <c r="AB568" s="45"/>
      <c r="AC568" s="51"/>
      <c r="AD568" s="51"/>
      <c r="AE568" s="45"/>
      <c r="AF568" s="45"/>
      <c r="AH568" s="51"/>
      <c r="AI568" s="45"/>
      <c r="AJ568" s="45"/>
      <c r="AL568" s="45"/>
      <c r="AM568" s="51"/>
      <c r="AN568" s="51"/>
    </row>
    <row r="569" spans="3:40">
      <c r="F569" s="50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132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0" spans="3:40">
      <c r="J570" s="56"/>
      <c r="K570" s="56"/>
      <c r="Z570" s="56"/>
    </row>
    <row r="571" spans="3:40">
      <c r="C571" s="42"/>
      <c r="J571" s="56"/>
      <c r="K571" s="56"/>
      <c r="T571" s="42"/>
      <c r="Z571" s="56"/>
    </row>
    <row r="572" spans="3:40">
      <c r="C572" s="42"/>
      <c r="J572" s="56"/>
      <c r="K572" s="56"/>
      <c r="T572" s="42"/>
      <c r="Z572" s="56"/>
    </row>
    <row r="573" spans="3:40">
      <c r="C573" s="42"/>
      <c r="F573" s="164"/>
      <c r="H573" s="164"/>
      <c r="I573" s="164"/>
      <c r="J573" s="132"/>
      <c r="K573" s="132"/>
      <c r="L573" s="45"/>
      <c r="M573" s="45"/>
      <c r="N573" s="46"/>
      <c r="O573" s="46"/>
      <c r="P573" s="45"/>
      <c r="Q573" s="45"/>
      <c r="R573" s="45"/>
      <c r="T573" s="42"/>
      <c r="V573" s="45"/>
      <c r="W573" s="45"/>
      <c r="X573" s="45"/>
      <c r="Y573" s="45"/>
      <c r="Z573" s="132"/>
      <c r="AA573" s="45"/>
      <c r="AB573" s="45"/>
      <c r="AC573" s="46"/>
      <c r="AD573" s="46"/>
      <c r="AE573" s="45"/>
      <c r="AF573" s="45"/>
      <c r="AH573" s="51"/>
      <c r="AI573" s="45"/>
      <c r="AJ573" s="45"/>
      <c r="AL573" s="45"/>
      <c r="AM573" s="51"/>
      <c r="AN573" s="51"/>
    </row>
    <row r="574" spans="3:40">
      <c r="C574" s="42"/>
      <c r="J574" s="56"/>
      <c r="K574" s="56"/>
      <c r="T574" s="42"/>
      <c r="Z574" s="56"/>
    </row>
    <row r="575" spans="3:40">
      <c r="C575" s="42"/>
      <c r="F575" s="164"/>
      <c r="H575" s="164"/>
      <c r="I575" s="164"/>
      <c r="J575" s="132"/>
      <c r="K575" s="132"/>
      <c r="L575" s="45"/>
      <c r="M575" s="45"/>
      <c r="N575" s="46"/>
      <c r="O575" s="46"/>
      <c r="P575" s="45"/>
      <c r="Q575" s="45"/>
      <c r="R575" s="45"/>
      <c r="T575" s="42"/>
      <c r="V575" s="45"/>
      <c r="W575" s="45"/>
      <c r="X575" s="45"/>
      <c r="Y575" s="45"/>
      <c r="Z575" s="132"/>
      <c r="AA575" s="45"/>
      <c r="AB575" s="45"/>
      <c r="AC575" s="46"/>
      <c r="AD575" s="46"/>
      <c r="AE575" s="45"/>
      <c r="AF575" s="45"/>
      <c r="AH575" s="51"/>
      <c r="AI575" s="45"/>
      <c r="AJ575" s="45"/>
      <c r="AL575" s="45"/>
      <c r="AM575" s="51"/>
      <c r="AN575" s="51"/>
    </row>
    <row r="576" spans="3:40">
      <c r="F576" s="50"/>
      <c r="H576" s="50"/>
      <c r="I576" s="50"/>
      <c r="J576" s="132"/>
      <c r="K576" s="132"/>
      <c r="L576" s="50"/>
      <c r="M576" s="50"/>
      <c r="N576" s="50"/>
      <c r="O576" s="50"/>
      <c r="P576" s="50"/>
      <c r="Q576" s="50"/>
      <c r="R576" s="50"/>
      <c r="V576" s="50"/>
      <c r="Y576" s="50"/>
      <c r="Z576" s="132"/>
      <c r="AA576" s="50"/>
      <c r="AB576" s="50"/>
      <c r="AC576" s="50"/>
      <c r="AD576" s="50"/>
      <c r="AE576" s="50"/>
      <c r="AF576" s="50"/>
      <c r="AI576" s="50"/>
      <c r="AJ576" s="50"/>
      <c r="AK576" s="111"/>
      <c r="AL576" s="50"/>
    </row>
    <row r="577" spans="1:40">
      <c r="C577" s="42"/>
      <c r="F577" s="45"/>
      <c r="H577" s="45"/>
      <c r="I577" s="45"/>
      <c r="J577" s="56"/>
      <c r="K577" s="56"/>
      <c r="L577" s="45"/>
      <c r="M577" s="45"/>
      <c r="N577" s="51"/>
      <c r="O577" s="51"/>
      <c r="P577" s="45"/>
      <c r="Q577" s="45"/>
      <c r="R577" s="45"/>
      <c r="T577" s="42"/>
      <c r="V577" s="45"/>
      <c r="Y577" s="45"/>
      <c r="Z577" s="56"/>
      <c r="AA577" s="45"/>
      <c r="AB577" s="45"/>
      <c r="AC577" s="51"/>
      <c r="AD577" s="51"/>
      <c r="AE577" s="45"/>
      <c r="AF577" s="45"/>
      <c r="AH577" s="51"/>
      <c r="AI577" s="45"/>
      <c r="AJ577" s="45"/>
      <c r="AL577" s="45"/>
      <c r="AM577" s="51"/>
      <c r="AN577" s="51"/>
    </row>
    <row r="578" spans="1:40">
      <c r="F578" s="50"/>
      <c r="H578" s="50"/>
      <c r="I578" s="50"/>
      <c r="J578" s="132"/>
      <c r="K578" s="132"/>
      <c r="L578" s="50"/>
      <c r="M578" s="50"/>
      <c r="N578" s="50"/>
      <c r="O578" s="50"/>
      <c r="P578" s="50"/>
      <c r="Q578" s="50"/>
      <c r="R578" s="50"/>
      <c r="V578" s="50"/>
      <c r="Y578" s="50"/>
      <c r="Z578" s="326"/>
      <c r="AA578" s="50"/>
      <c r="AB578" s="50"/>
      <c r="AC578" s="50"/>
      <c r="AD578" s="50"/>
      <c r="AE578" s="50"/>
      <c r="AF578" s="50"/>
      <c r="AI578" s="50"/>
      <c r="AJ578" s="50"/>
      <c r="AK578" s="111"/>
      <c r="AL578" s="50"/>
    </row>
    <row r="579" spans="1:40">
      <c r="J579" s="56"/>
      <c r="K579" s="56"/>
    </row>
    <row r="580" spans="1:40">
      <c r="C580" s="42"/>
      <c r="F580" s="45"/>
      <c r="H580" s="45"/>
      <c r="I580" s="45"/>
      <c r="J580" s="56"/>
      <c r="K580" s="56"/>
      <c r="L580" s="45"/>
      <c r="M580" s="45"/>
      <c r="N580" s="46"/>
      <c r="O580" s="46"/>
      <c r="P580" s="164"/>
      <c r="Q580" s="164"/>
      <c r="R580" s="45"/>
      <c r="T580" s="42"/>
      <c r="V580" s="45"/>
      <c r="Y580" s="45"/>
      <c r="AA580" s="45"/>
      <c r="AB580" s="45"/>
      <c r="AC580" s="51"/>
      <c r="AD580" s="51"/>
      <c r="AE580" s="45"/>
      <c r="AF580" s="45"/>
      <c r="AH580" s="51"/>
      <c r="AI580" s="164"/>
      <c r="AJ580" s="164"/>
      <c r="AL580" s="45"/>
      <c r="AM580" s="51"/>
      <c r="AN580" s="51"/>
    </row>
    <row r="581" spans="1:40">
      <c r="F581" s="50"/>
      <c r="H581" s="50"/>
      <c r="I581" s="50"/>
      <c r="J581" s="132"/>
      <c r="K581" s="132"/>
      <c r="L581" s="50"/>
      <c r="M581" s="50"/>
      <c r="N581" s="50"/>
      <c r="O581" s="50"/>
      <c r="P581" s="50"/>
      <c r="Q581" s="50"/>
      <c r="R581" s="50"/>
      <c r="V581" s="50"/>
      <c r="Y581" s="50"/>
      <c r="Z581" s="326"/>
      <c r="AA581" s="50"/>
      <c r="AB581" s="50"/>
      <c r="AC581" s="50"/>
      <c r="AD581" s="50"/>
      <c r="AE581" s="50"/>
      <c r="AF581" s="50"/>
      <c r="AI581" s="50"/>
      <c r="AJ581" s="50"/>
      <c r="AK581" s="111"/>
      <c r="AL581" s="50"/>
    </row>
    <row r="584" spans="1:40">
      <c r="A584" s="42"/>
    </row>
    <row r="586" spans="1:40">
      <c r="H586" s="42"/>
      <c r="I586" s="42"/>
      <c r="Y586" s="42"/>
    </row>
    <row r="588" spans="1:40">
      <c r="L588" s="42"/>
      <c r="M588" s="42"/>
      <c r="AA588" s="42"/>
      <c r="AB588" s="42"/>
    </row>
    <row r="589" spans="1:40">
      <c r="R589" s="42"/>
      <c r="AK589" s="110"/>
      <c r="AL589" s="42"/>
    </row>
    <row r="590" spans="1:40">
      <c r="R590" s="42"/>
      <c r="AK590" s="110"/>
      <c r="AL590" s="42"/>
    </row>
    <row r="591" spans="1:40">
      <c r="A591" s="42"/>
      <c r="R591" s="42"/>
      <c r="AK591" s="110"/>
      <c r="AL591" s="42"/>
    </row>
    <row r="592" spans="1:40">
      <c r="L592" s="42"/>
      <c r="M592" s="42"/>
      <c r="AA592" s="42"/>
      <c r="AB592" s="42"/>
    </row>
    <row r="593" spans="1:40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107"/>
      <c r="AH593" s="49"/>
      <c r="AI593" s="49"/>
      <c r="AJ593" s="49"/>
      <c r="AK593" s="107"/>
      <c r="AL593" s="49"/>
      <c r="AM593" s="49"/>
      <c r="AN593" s="49"/>
    </row>
    <row r="594" spans="1:40">
      <c r="L594" s="44"/>
      <c r="M594" s="44"/>
      <c r="N594" s="44"/>
      <c r="O594" s="44"/>
      <c r="R594" s="44"/>
      <c r="AA594" s="44"/>
      <c r="AB594" s="44"/>
      <c r="AC594" s="44"/>
      <c r="AD594" s="44"/>
      <c r="AE594" s="44"/>
      <c r="AF594" s="44"/>
      <c r="AG594" s="102"/>
      <c r="AH594" s="44"/>
      <c r="AK594" s="102"/>
      <c r="AL594" s="44"/>
      <c r="AM594" s="44"/>
      <c r="AN594" s="44"/>
    </row>
    <row r="595" spans="1:40">
      <c r="L595" s="44"/>
      <c r="M595" s="44"/>
      <c r="N595" s="44"/>
      <c r="O595" s="44"/>
      <c r="R595" s="44"/>
      <c r="Z595" s="44"/>
      <c r="AA595" s="44"/>
      <c r="AB595" s="44"/>
      <c r="AC595" s="44"/>
      <c r="AD595" s="44"/>
      <c r="AE595" s="44"/>
      <c r="AF595" s="44"/>
      <c r="AG595" s="102"/>
      <c r="AH595" s="44"/>
      <c r="AK595" s="102"/>
      <c r="AL595" s="44"/>
      <c r="AM595" s="44"/>
      <c r="AN595" s="44"/>
    </row>
    <row r="596" spans="1:40">
      <c r="A596" s="44"/>
      <c r="C596" s="44"/>
      <c r="D596" s="44"/>
      <c r="E596" s="44"/>
      <c r="F596" s="44"/>
      <c r="J596" s="44"/>
      <c r="K596" s="44"/>
      <c r="L596" s="44"/>
      <c r="M596" s="44"/>
      <c r="N596" s="44"/>
      <c r="O596" s="44"/>
      <c r="P596" s="44"/>
      <c r="Q596" s="44"/>
      <c r="R596" s="44"/>
      <c r="T596" s="44"/>
      <c r="U596" s="44"/>
      <c r="V596" s="44"/>
      <c r="Z596" s="44"/>
      <c r="AA596" s="44"/>
      <c r="AB596" s="44"/>
      <c r="AC596" s="44"/>
      <c r="AD596" s="44"/>
      <c r="AE596" s="44"/>
      <c r="AF596" s="44"/>
      <c r="AG596" s="102"/>
      <c r="AH596" s="44"/>
      <c r="AI596" s="44"/>
      <c r="AJ596" s="44"/>
      <c r="AK596" s="102"/>
      <c r="AL596" s="44"/>
      <c r="AM596" s="44"/>
      <c r="AN596" s="44"/>
    </row>
    <row r="597" spans="1:40">
      <c r="A597" s="44"/>
      <c r="C597" s="44"/>
      <c r="D597" s="44"/>
      <c r="E597" s="44"/>
      <c r="F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T597" s="44"/>
      <c r="U597" s="44"/>
      <c r="V597" s="44"/>
      <c r="Y597" s="44"/>
      <c r="Z597" s="44"/>
      <c r="AA597" s="44"/>
      <c r="AB597" s="44"/>
      <c r="AC597" s="44"/>
      <c r="AD597" s="44"/>
      <c r="AE597" s="44"/>
      <c r="AF597" s="44"/>
      <c r="AG597" s="102"/>
      <c r="AH597" s="44"/>
      <c r="AI597" s="44"/>
      <c r="AJ597" s="44"/>
      <c r="AK597" s="102"/>
      <c r="AL597" s="44"/>
      <c r="AM597" s="44"/>
      <c r="AN597" s="44"/>
    </row>
    <row r="598" spans="1:40">
      <c r="C598" s="44"/>
      <c r="D598" s="44"/>
      <c r="E598" s="44"/>
      <c r="F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T598" s="44"/>
      <c r="U598" s="44"/>
      <c r="V598" s="44"/>
      <c r="Y598" s="44"/>
      <c r="Z598" s="44"/>
      <c r="AA598" s="44"/>
      <c r="AB598" s="44"/>
      <c r="AC598" s="44"/>
      <c r="AD598" s="44"/>
      <c r="AE598" s="44"/>
      <c r="AF598" s="44"/>
      <c r="AG598" s="102"/>
      <c r="AH598" s="44"/>
      <c r="AI598" s="44"/>
      <c r="AJ598" s="44"/>
      <c r="AK598" s="102"/>
      <c r="AL598" s="44"/>
      <c r="AM598" s="44"/>
      <c r="AN598" s="44"/>
    </row>
    <row r="599" spans="1:40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107"/>
      <c r="AH599" s="49"/>
      <c r="AI599" s="49"/>
      <c r="AJ599" s="49"/>
      <c r="AK599" s="107"/>
      <c r="AL599" s="49"/>
      <c r="AM599" s="49"/>
      <c r="AN599" s="49"/>
    </row>
    <row r="600" spans="1:40"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Y600" s="44"/>
      <c r="Z600" s="44"/>
      <c r="AA600" s="44"/>
      <c r="AB600" s="44"/>
      <c r="AC600" s="44"/>
      <c r="AD600" s="44"/>
      <c r="AE600" s="44"/>
      <c r="AF600" s="44"/>
      <c r="AG600" s="102"/>
      <c r="AH600" s="44"/>
      <c r="AI600" s="44"/>
      <c r="AJ600" s="44"/>
      <c r="AK600" s="102"/>
      <c r="AL600" s="44"/>
      <c r="AM600" s="44"/>
      <c r="AN600" s="44"/>
    </row>
    <row r="601" spans="1:40">
      <c r="C601" s="42"/>
      <c r="D601" s="42"/>
      <c r="E601" s="42"/>
      <c r="T601" s="42"/>
      <c r="U601" s="42"/>
    </row>
    <row r="603" spans="1:40">
      <c r="C603" s="42"/>
      <c r="D603" s="42"/>
      <c r="E603" s="42"/>
      <c r="T603" s="42"/>
      <c r="U603" s="42"/>
    </row>
    <row r="604" spans="1:40">
      <c r="C604" s="42"/>
      <c r="T604" s="42"/>
    </row>
    <row r="605" spans="1:40">
      <c r="C605" s="42"/>
      <c r="T605" s="42"/>
    </row>
    <row r="606" spans="1:40">
      <c r="C606" s="42"/>
      <c r="F606" s="164"/>
      <c r="H606" s="164"/>
      <c r="I606" s="164"/>
      <c r="J606" s="132"/>
      <c r="K606" s="132"/>
      <c r="L606" s="45"/>
      <c r="M606" s="45"/>
      <c r="N606" s="46"/>
      <c r="O606" s="46"/>
      <c r="P606" s="45"/>
      <c r="Q606" s="45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45"/>
      <c r="AJ606" s="45"/>
      <c r="AL606" s="45"/>
      <c r="AM606" s="46"/>
      <c r="AN606" s="46"/>
    </row>
    <row r="607" spans="1:40">
      <c r="C607" s="42"/>
      <c r="J607" s="56"/>
      <c r="K607" s="56"/>
      <c r="T607" s="42"/>
      <c r="V607" s="45"/>
      <c r="W607" s="45"/>
      <c r="X607" s="45"/>
      <c r="Y607" s="45"/>
      <c r="Z607" s="132"/>
    </row>
    <row r="608" spans="1:40">
      <c r="C608" s="42"/>
      <c r="F608" s="164"/>
      <c r="H608" s="164"/>
      <c r="I608" s="164"/>
      <c r="J608" s="132"/>
      <c r="K608" s="132"/>
      <c r="L608" s="45"/>
      <c r="M608" s="45"/>
      <c r="N608" s="46"/>
      <c r="O608" s="46"/>
      <c r="P608" s="45"/>
      <c r="Q608" s="45"/>
      <c r="R608" s="45"/>
      <c r="T608" s="42"/>
      <c r="V608" s="45"/>
      <c r="W608" s="45"/>
      <c r="X608" s="45"/>
      <c r="Y608" s="45"/>
      <c r="Z608" s="132"/>
      <c r="AA608" s="45"/>
      <c r="AB608" s="45"/>
      <c r="AC608" s="46"/>
      <c r="AD608" s="46"/>
      <c r="AE608" s="45"/>
      <c r="AF608" s="45"/>
      <c r="AH608" s="51"/>
      <c r="AI608" s="45"/>
      <c r="AJ608" s="45"/>
      <c r="AL608" s="45"/>
      <c r="AM608" s="46"/>
      <c r="AN608" s="46"/>
    </row>
    <row r="609" spans="3:40">
      <c r="C609" s="42"/>
      <c r="J609" s="56"/>
      <c r="K609" s="56"/>
      <c r="T609" s="42"/>
      <c r="V609" s="45"/>
      <c r="W609" s="45"/>
      <c r="X609" s="45"/>
      <c r="Y609" s="45"/>
      <c r="Z609" s="132"/>
    </row>
    <row r="610" spans="3:40">
      <c r="C610" s="42"/>
      <c r="F610" s="164"/>
      <c r="H610" s="164"/>
      <c r="I610" s="164"/>
      <c r="J610" s="132"/>
      <c r="K610" s="132"/>
      <c r="L610" s="45"/>
      <c r="M610" s="45"/>
      <c r="N610" s="46"/>
      <c r="O610" s="46"/>
      <c r="P610" s="45"/>
      <c r="Q610" s="45"/>
      <c r="R610" s="45"/>
      <c r="T610" s="42"/>
      <c r="V610" s="45"/>
      <c r="W610" s="45"/>
      <c r="X610" s="45"/>
      <c r="Y610" s="45"/>
      <c r="Z610" s="132"/>
      <c r="AA610" s="45"/>
      <c r="AB610" s="45"/>
      <c r="AC610" s="46"/>
      <c r="AD610" s="46"/>
      <c r="AE610" s="45"/>
      <c r="AF610" s="45"/>
      <c r="AH610" s="51"/>
      <c r="AI610" s="45"/>
      <c r="AJ610" s="45"/>
      <c r="AL610" s="45"/>
      <c r="AM610" s="46"/>
      <c r="AN610" s="46"/>
    </row>
    <row r="611" spans="3:40">
      <c r="C611" s="42"/>
      <c r="J611" s="56"/>
      <c r="K611" s="56"/>
      <c r="T611" s="42"/>
      <c r="V611" s="45"/>
      <c r="W611" s="45"/>
      <c r="X611" s="45"/>
      <c r="Y611" s="45"/>
      <c r="Z611" s="132"/>
    </row>
    <row r="612" spans="3:40">
      <c r="C612" s="42"/>
      <c r="F612" s="164"/>
      <c r="H612" s="164"/>
      <c r="I612" s="164"/>
      <c r="J612" s="132"/>
      <c r="K612" s="132"/>
      <c r="L612" s="45"/>
      <c r="M612" s="45"/>
      <c r="N612" s="46"/>
      <c r="O612" s="46"/>
      <c r="P612" s="45"/>
      <c r="Q612" s="45"/>
      <c r="R612" s="45"/>
      <c r="T612" s="42"/>
      <c r="V612" s="45"/>
      <c r="W612" s="45"/>
      <c r="X612" s="45"/>
      <c r="Y612" s="45"/>
      <c r="Z612" s="132"/>
      <c r="AA612" s="45"/>
      <c r="AB612" s="45"/>
      <c r="AC612" s="46"/>
      <c r="AD612" s="46"/>
      <c r="AE612" s="45"/>
      <c r="AF612" s="45"/>
      <c r="AH612" s="51"/>
      <c r="AI612" s="45"/>
      <c r="AJ612" s="45"/>
      <c r="AL612" s="45"/>
      <c r="AM612" s="46"/>
      <c r="AN612" s="46"/>
    </row>
    <row r="613" spans="3:40">
      <c r="C613" s="42"/>
      <c r="J613" s="56"/>
      <c r="K613" s="56"/>
      <c r="T613" s="42"/>
      <c r="V613" s="45"/>
      <c r="W613" s="45"/>
      <c r="X613" s="45"/>
      <c r="Y613" s="45"/>
      <c r="Z613" s="132"/>
    </row>
    <row r="614" spans="3:40">
      <c r="C614" s="42"/>
      <c r="F614" s="164"/>
      <c r="H614" s="164"/>
      <c r="I614" s="164"/>
      <c r="J614" s="132"/>
      <c r="K614" s="132"/>
      <c r="L614" s="45"/>
      <c r="M614" s="45"/>
      <c r="N614" s="46"/>
      <c r="O614" s="46"/>
      <c r="P614" s="45"/>
      <c r="Q614" s="45"/>
      <c r="R614" s="45"/>
      <c r="T614" s="42"/>
      <c r="V614" s="45"/>
      <c r="W614" s="45"/>
      <c r="X614" s="45"/>
      <c r="Y614" s="45"/>
      <c r="Z614" s="132"/>
      <c r="AA614" s="45"/>
      <c r="AB614" s="45"/>
      <c r="AC614" s="46"/>
      <c r="AD614" s="46"/>
      <c r="AE614" s="45"/>
      <c r="AF614" s="45"/>
      <c r="AH614" s="51"/>
      <c r="AI614" s="45"/>
      <c r="AJ614" s="45"/>
      <c r="AL614" s="45"/>
      <c r="AM614" s="46"/>
      <c r="AN614" s="46"/>
    </row>
    <row r="615" spans="3:40">
      <c r="C615" s="42"/>
      <c r="J615" s="56"/>
      <c r="K615" s="56"/>
      <c r="T615" s="42"/>
      <c r="V615" s="45"/>
      <c r="W615" s="45"/>
      <c r="X615" s="45"/>
      <c r="Y615" s="45"/>
      <c r="Z615" s="132"/>
    </row>
    <row r="616" spans="3:40">
      <c r="C616" s="42"/>
      <c r="F616" s="164"/>
      <c r="H616" s="164"/>
      <c r="I616" s="164"/>
      <c r="J616" s="132"/>
      <c r="K616" s="132"/>
      <c r="L616" s="45"/>
      <c r="M616" s="45"/>
      <c r="N616" s="46"/>
      <c r="O616" s="46"/>
      <c r="P616" s="45"/>
      <c r="Q616" s="45"/>
      <c r="R616" s="45"/>
      <c r="T616" s="42"/>
      <c r="V616" s="45"/>
      <c r="W616" s="45"/>
      <c r="X616" s="45"/>
      <c r="Y616" s="45"/>
      <c r="Z616" s="132"/>
      <c r="AA616" s="45"/>
      <c r="AB616" s="45"/>
      <c r="AC616" s="46"/>
      <c r="AD616" s="46"/>
      <c r="AE616" s="45"/>
      <c r="AF616" s="45"/>
      <c r="AH616" s="51"/>
      <c r="AI616" s="45"/>
      <c r="AJ616" s="45"/>
      <c r="AL616" s="45"/>
      <c r="AM616" s="46"/>
      <c r="AN616" s="46"/>
    </row>
    <row r="617" spans="3:40">
      <c r="F617" s="50"/>
      <c r="H617" s="50"/>
      <c r="I617" s="50"/>
      <c r="J617" s="132"/>
      <c r="K617" s="132"/>
      <c r="L617" s="50"/>
      <c r="M617" s="50"/>
      <c r="N617" s="50"/>
      <c r="O617" s="50"/>
      <c r="P617" s="50"/>
      <c r="Q617" s="50"/>
      <c r="R617" s="50"/>
      <c r="V617" s="50"/>
      <c r="Y617" s="50"/>
      <c r="Z617" s="132"/>
      <c r="AA617" s="50"/>
      <c r="AB617" s="50"/>
      <c r="AC617" s="50"/>
      <c r="AD617" s="50"/>
      <c r="AE617" s="50"/>
      <c r="AF617" s="50"/>
      <c r="AI617" s="50"/>
      <c r="AJ617" s="50"/>
      <c r="AK617" s="111"/>
      <c r="AL617" s="50"/>
      <c r="AM617" s="46"/>
      <c r="AN617" s="46"/>
    </row>
    <row r="618" spans="3:40">
      <c r="C618" s="42"/>
      <c r="F618" s="45"/>
      <c r="H618" s="45"/>
      <c r="I618" s="45"/>
      <c r="J618" s="56"/>
      <c r="K618" s="56"/>
      <c r="L618" s="45"/>
      <c r="M618" s="45"/>
      <c r="N618" s="46"/>
      <c r="O618" s="46"/>
      <c r="P618" s="164"/>
      <c r="Q618" s="164"/>
      <c r="R618" s="45"/>
      <c r="T618" s="42"/>
      <c r="V618" s="45"/>
      <c r="W618" s="45"/>
      <c r="X618" s="45"/>
      <c r="Y618" s="45"/>
      <c r="Z618" s="132"/>
      <c r="AA618" s="45"/>
      <c r="AB618" s="45"/>
      <c r="AC618" s="46"/>
      <c r="AD618" s="46"/>
      <c r="AE618" s="45"/>
      <c r="AF618" s="45"/>
      <c r="AH618" s="51"/>
      <c r="AI618" s="164"/>
      <c r="AJ618" s="164"/>
      <c r="AL618" s="45"/>
      <c r="AM618" s="46"/>
      <c r="AN618" s="46"/>
    </row>
    <row r="619" spans="3:40">
      <c r="F619" s="50"/>
      <c r="H619" s="50"/>
      <c r="I619" s="50"/>
      <c r="J619" s="132"/>
      <c r="K619" s="132"/>
      <c r="L619" s="50"/>
      <c r="M619" s="50"/>
      <c r="N619" s="50"/>
      <c r="O619" s="50"/>
      <c r="P619" s="50"/>
      <c r="Q619" s="50"/>
      <c r="R619" s="50"/>
      <c r="V619" s="50"/>
      <c r="Y619" s="50"/>
      <c r="Z619" s="132"/>
      <c r="AA619" s="50"/>
      <c r="AB619" s="50"/>
      <c r="AC619" s="50"/>
      <c r="AD619" s="50"/>
      <c r="AE619" s="50"/>
      <c r="AF619" s="50"/>
      <c r="AI619" s="50"/>
      <c r="AJ619" s="50"/>
      <c r="AK619" s="111"/>
      <c r="AL619" s="50"/>
    </row>
    <row r="620" spans="3:40">
      <c r="C620" s="42"/>
      <c r="D620" s="42"/>
      <c r="E620" s="42"/>
      <c r="J620" s="56"/>
      <c r="K620" s="56"/>
      <c r="T620" s="42"/>
      <c r="U620" s="42"/>
      <c r="V620" s="45"/>
      <c r="W620" s="45"/>
      <c r="X620" s="45"/>
      <c r="Y620" s="45"/>
      <c r="Z620" s="132"/>
    </row>
    <row r="621" spans="3:40">
      <c r="C621" s="42"/>
      <c r="J621" s="56"/>
      <c r="K621" s="56"/>
      <c r="T621" s="42"/>
      <c r="V621" s="45"/>
      <c r="W621" s="45"/>
      <c r="X621" s="45"/>
      <c r="Y621" s="45"/>
      <c r="Z621" s="132"/>
    </row>
    <row r="622" spans="3:40">
      <c r="C622" s="42"/>
      <c r="J622" s="56"/>
      <c r="K622" s="56"/>
      <c r="T622" s="42"/>
      <c r="V622" s="45"/>
      <c r="W622" s="45"/>
      <c r="X622" s="45"/>
      <c r="Y622" s="45"/>
      <c r="Z622" s="132"/>
    </row>
    <row r="623" spans="3:40">
      <c r="C623" s="42"/>
      <c r="F623" s="164"/>
      <c r="H623" s="164"/>
      <c r="I623" s="164"/>
      <c r="J623" s="132"/>
      <c r="K623" s="132"/>
      <c r="L623" s="45"/>
      <c r="M623" s="45"/>
      <c r="N623" s="46"/>
      <c r="O623" s="46"/>
      <c r="P623" s="45"/>
      <c r="Q623" s="45"/>
      <c r="R623" s="45"/>
      <c r="T623" s="42"/>
      <c r="V623" s="45"/>
      <c r="W623" s="45"/>
      <c r="X623" s="45"/>
      <c r="Y623" s="45"/>
      <c r="Z623" s="132"/>
      <c r="AA623" s="45"/>
      <c r="AB623" s="45"/>
      <c r="AC623" s="46"/>
      <c r="AD623" s="46"/>
      <c r="AE623" s="45"/>
      <c r="AF623" s="45"/>
      <c r="AH623" s="51"/>
      <c r="AI623" s="45"/>
      <c r="AJ623" s="45"/>
      <c r="AL623" s="45"/>
      <c r="AM623" s="46"/>
      <c r="AN623" s="46"/>
    </row>
    <row r="624" spans="3:40">
      <c r="C624" s="42"/>
      <c r="J624" s="56"/>
      <c r="K624" s="56"/>
      <c r="T624" s="42"/>
      <c r="V624" s="45"/>
      <c r="W624" s="45"/>
      <c r="X624" s="45"/>
      <c r="Y624" s="45"/>
      <c r="Z624" s="132"/>
    </row>
    <row r="625" spans="3:40">
      <c r="C625" s="42"/>
      <c r="F625" s="164"/>
      <c r="H625" s="164"/>
      <c r="I625" s="164"/>
      <c r="J625" s="132"/>
      <c r="K625" s="132"/>
      <c r="L625" s="45"/>
      <c r="M625" s="45"/>
      <c r="N625" s="46"/>
      <c r="O625" s="46"/>
      <c r="P625" s="45"/>
      <c r="Q625" s="45"/>
      <c r="R625" s="45"/>
      <c r="T625" s="42"/>
      <c r="V625" s="45"/>
      <c r="W625" s="45"/>
      <c r="X625" s="45"/>
      <c r="Y625" s="45"/>
      <c r="Z625" s="132"/>
      <c r="AA625" s="45"/>
      <c r="AB625" s="45"/>
      <c r="AC625" s="46"/>
      <c r="AD625" s="46"/>
      <c r="AE625" s="45"/>
      <c r="AF625" s="45"/>
      <c r="AH625" s="51"/>
      <c r="AI625" s="45"/>
      <c r="AJ625" s="45"/>
      <c r="AL625" s="45"/>
      <c r="AM625" s="46"/>
      <c r="AN625" s="46"/>
    </row>
    <row r="626" spans="3:40">
      <c r="F626" s="50"/>
      <c r="H626" s="50"/>
      <c r="I626" s="50"/>
      <c r="J626" s="132"/>
      <c r="K626" s="132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</row>
    <row r="627" spans="3:40">
      <c r="C627" s="42"/>
      <c r="F627" s="45"/>
      <c r="H627" s="45"/>
      <c r="I627" s="45"/>
      <c r="L627" s="45"/>
      <c r="M627" s="45"/>
      <c r="N627" s="46"/>
      <c r="O627" s="46"/>
      <c r="P627" s="164"/>
      <c r="Q627" s="164"/>
      <c r="R627" s="45"/>
      <c r="T627" s="42"/>
      <c r="V627" s="45"/>
      <c r="W627" s="45"/>
      <c r="X627" s="45"/>
      <c r="Y627" s="45"/>
      <c r="Z627" s="336"/>
      <c r="AA627" s="45"/>
      <c r="AB627" s="45"/>
      <c r="AC627" s="46"/>
      <c r="AD627" s="46"/>
      <c r="AE627" s="45"/>
      <c r="AF627" s="45"/>
      <c r="AH627" s="51"/>
      <c r="AI627" s="164"/>
      <c r="AJ627" s="164"/>
      <c r="AL627" s="45"/>
      <c r="AM627" s="46"/>
      <c r="AN627" s="46"/>
    </row>
    <row r="628" spans="3:40">
      <c r="F628" s="50"/>
      <c r="H628" s="50"/>
      <c r="I628" s="50"/>
      <c r="J628" s="326"/>
      <c r="K628" s="326"/>
      <c r="L628" s="50"/>
      <c r="M628" s="50"/>
      <c r="N628" s="50"/>
      <c r="O628" s="50"/>
      <c r="P628" s="50"/>
      <c r="Q628" s="50"/>
      <c r="R628" s="50"/>
      <c r="V628" s="50"/>
      <c r="Y628" s="50"/>
      <c r="Z628" s="326"/>
      <c r="AA628" s="50"/>
      <c r="AB628" s="50"/>
      <c r="AC628" s="50"/>
      <c r="AD628" s="50"/>
      <c r="AE628" s="50"/>
      <c r="AF628" s="50"/>
      <c r="AI628" s="50"/>
      <c r="AJ628" s="50"/>
      <c r="AK628" s="111"/>
      <c r="AL628" s="50"/>
    </row>
    <row r="629" spans="3:40">
      <c r="C629" s="42"/>
      <c r="D629" s="42"/>
      <c r="E629" s="42"/>
      <c r="T629" s="42"/>
      <c r="U629" s="42"/>
      <c r="V629" s="45"/>
      <c r="W629" s="45"/>
      <c r="X629" s="45"/>
      <c r="Y629" s="45"/>
      <c r="Z629" s="336"/>
    </row>
    <row r="630" spans="3:40">
      <c r="C630" s="42"/>
      <c r="T630" s="42"/>
      <c r="V630" s="45"/>
      <c r="W630" s="45"/>
      <c r="X630" s="45"/>
      <c r="Y630" s="45"/>
      <c r="Z630" s="336"/>
    </row>
    <row r="631" spans="3:40">
      <c r="C631" s="42"/>
      <c r="F631" s="164"/>
      <c r="H631" s="164"/>
      <c r="I631" s="164"/>
      <c r="J631" s="336"/>
      <c r="K631" s="336"/>
      <c r="L631" s="45"/>
      <c r="M631" s="45"/>
      <c r="N631" s="46"/>
      <c r="O631" s="46"/>
      <c r="P631" s="45"/>
      <c r="Q631" s="45"/>
      <c r="R631" s="45"/>
      <c r="T631" s="42"/>
      <c r="V631" s="45"/>
      <c r="W631" s="45"/>
      <c r="X631" s="45"/>
      <c r="Y631" s="45"/>
      <c r="Z631" s="336"/>
      <c r="AA631" s="45"/>
      <c r="AB631" s="45"/>
      <c r="AC631" s="46"/>
      <c r="AD631" s="46"/>
      <c r="AE631" s="45"/>
      <c r="AF631" s="45"/>
      <c r="AH631" s="51"/>
      <c r="AI631" s="45"/>
      <c r="AJ631" s="45"/>
      <c r="AL631" s="45"/>
      <c r="AM631" s="46"/>
      <c r="AN631" s="46"/>
    </row>
    <row r="632" spans="3:40">
      <c r="C632" s="42"/>
      <c r="T632" s="42"/>
      <c r="V632" s="45"/>
      <c r="W632" s="45"/>
      <c r="X632" s="45"/>
      <c r="Y632" s="45"/>
      <c r="Z632" s="336"/>
    </row>
    <row r="633" spans="3:40">
      <c r="C633" s="42"/>
      <c r="F633" s="164"/>
      <c r="H633" s="164"/>
      <c r="I633" s="164"/>
      <c r="J633" s="336"/>
      <c r="K633" s="336"/>
      <c r="L633" s="45"/>
      <c r="M633" s="45"/>
      <c r="N633" s="46"/>
      <c r="O633" s="46"/>
      <c r="P633" s="45"/>
      <c r="Q633" s="45"/>
      <c r="R633" s="45"/>
      <c r="T633" s="42"/>
      <c r="V633" s="45"/>
      <c r="W633" s="45"/>
      <c r="X633" s="45"/>
      <c r="Y633" s="45"/>
      <c r="Z633" s="336"/>
      <c r="AA633" s="45"/>
      <c r="AB633" s="45"/>
      <c r="AC633" s="46"/>
      <c r="AD633" s="46"/>
      <c r="AE633" s="45"/>
      <c r="AF633" s="45"/>
      <c r="AH633" s="51"/>
      <c r="AI633" s="45"/>
      <c r="AJ633" s="45"/>
      <c r="AL633" s="45"/>
      <c r="AM633" s="46"/>
      <c r="AN633" s="46"/>
    </row>
    <row r="634" spans="3:40">
      <c r="C634" s="42"/>
      <c r="T634" s="42"/>
      <c r="V634" s="45"/>
      <c r="W634" s="45"/>
      <c r="X634" s="45"/>
      <c r="Y634" s="45"/>
      <c r="Z634" s="336"/>
    </row>
    <row r="635" spans="3:40">
      <c r="C635" s="42"/>
      <c r="F635" s="164"/>
      <c r="H635" s="164"/>
      <c r="I635" s="164"/>
      <c r="J635" s="336"/>
      <c r="K635" s="336"/>
      <c r="L635" s="45"/>
      <c r="M635" s="45"/>
      <c r="N635" s="46"/>
      <c r="O635" s="46"/>
      <c r="P635" s="45"/>
      <c r="Q635" s="45"/>
      <c r="R635" s="45"/>
      <c r="T635" s="42"/>
      <c r="V635" s="45"/>
      <c r="W635" s="45"/>
      <c r="X635" s="45"/>
      <c r="Y635" s="45"/>
      <c r="Z635" s="336"/>
      <c r="AA635" s="45"/>
      <c r="AB635" s="45"/>
      <c r="AC635" s="46"/>
      <c r="AD635" s="46"/>
      <c r="AE635" s="45"/>
      <c r="AF635" s="45"/>
      <c r="AH635" s="51"/>
      <c r="AI635" s="45"/>
      <c r="AJ635" s="45"/>
      <c r="AL635" s="45"/>
      <c r="AM635" s="46"/>
      <c r="AN635" s="46"/>
    </row>
    <row r="636" spans="3:40">
      <c r="C636" s="42"/>
      <c r="T636" s="42"/>
      <c r="V636" s="45"/>
      <c r="W636" s="45"/>
      <c r="X636" s="45"/>
      <c r="Y636" s="45"/>
      <c r="Z636" s="336"/>
    </row>
    <row r="637" spans="3:40">
      <c r="C637" s="42"/>
      <c r="F637" s="164"/>
      <c r="H637" s="164"/>
      <c r="I637" s="164"/>
      <c r="J637" s="336"/>
      <c r="K637" s="336"/>
      <c r="L637" s="45"/>
      <c r="M637" s="45"/>
      <c r="N637" s="46"/>
      <c r="O637" s="46"/>
      <c r="P637" s="45"/>
      <c r="Q637" s="45"/>
      <c r="R637" s="45"/>
      <c r="T637" s="42"/>
      <c r="V637" s="45"/>
      <c r="W637" s="45"/>
      <c r="X637" s="45"/>
      <c r="Y637" s="45"/>
      <c r="Z637" s="336"/>
      <c r="AA637" s="45"/>
      <c r="AB637" s="45"/>
      <c r="AC637" s="46"/>
      <c r="AD637" s="46"/>
      <c r="AE637" s="45"/>
      <c r="AF637" s="45"/>
      <c r="AH637" s="51"/>
      <c r="AI637" s="45"/>
      <c r="AJ637" s="45"/>
      <c r="AL637" s="45"/>
      <c r="AM637" s="46"/>
      <c r="AN637" s="46"/>
    </row>
    <row r="638" spans="3:40">
      <c r="F638" s="50"/>
      <c r="H638" s="50"/>
      <c r="I638" s="50"/>
      <c r="J638" s="326"/>
      <c r="K638" s="326"/>
      <c r="L638" s="50"/>
      <c r="M638" s="50"/>
      <c r="N638" s="50"/>
      <c r="O638" s="50"/>
      <c r="P638" s="50"/>
      <c r="Q638" s="50"/>
      <c r="R638" s="50"/>
      <c r="V638" s="50"/>
      <c r="Y638" s="50"/>
      <c r="Z638" s="326"/>
      <c r="AA638" s="50"/>
      <c r="AB638" s="50"/>
      <c r="AC638" s="50"/>
      <c r="AD638" s="50"/>
      <c r="AE638" s="50"/>
      <c r="AF638" s="50"/>
      <c r="AI638" s="50"/>
      <c r="AJ638" s="50"/>
      <c r="AK638" s="111"/>
      <c r="AL638" s="50"/>
    </row>
    <row r="639" spans="3:40">
      <c r="C639" s="42"/>
      <c r="F639" s="45"/>
      <c r="H639" s="45"/>
      <c r="I639" s="45"/>
      <c r="L639" s="45"/>
      <c r="M639" s="45"/>
      <c r="N639" s="46"/>
      <c r="O639" s="46"/>
      <c r="P639" s="164"/>
      <c r="Q639" s="164"/>
      <c r="R639" s="45"/>
      <c r="T639" s="42"/>
      <c r="V639" s="45"/>
      <c r="W639" s="45"/>
      <c r="X639" s="45"/>
      <c r="Y639" s="45"/>
      <c r="Z639" s="336"/>
      <c r="AA639" s="45"/>
      <c r="AB639" s="45"/>
      <c r="AC639" s="46"/>
      <c r="AD639" s="46"/>
      <c r="AE639" s="45"/>
      <c r="AF639" s="45"/>
      <c r="AH639" s="51"/>
      <c r="AI639" s="164"/>
      <c r="AJ639" s="164"/>
      <c r="AL639" s="45"/>
      <c r="AM639" s="46"/>
      <c r="AN639" s="46"/>
    </row>
    <row r="640" spans="3:40">
      <c r="F640" s="50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</row>
    <row r="641" spans="1:40">
      <c r="C641" s="42"/>
      <c r="F641" s="45"/>
      <c r="H641" s="45"/>
      <c r="I641" s="45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51"/>
      <c r="AN641" s="51"/>
    </row>
    <row r="642" spans="1:40">
      <c r="F642" s="50"/>
      <c r="H642" s="50"/>
      <c r="I642" s="50"/>
      <c r="J642" s="326"/>
      <c r="K642" s="326"/>
      <c r="L642" s="50"/>
      <c r="M642" s="50"/>
      <c r="N642" s="50"/>
      <c r="O642" s="50"/>
      <c r="P642" s="50"/>
      <c r="Q642" s="50"/>
      <c r="R642" s="50"/>
      <c r="V642" s="50"/>
      <c r="Y642" s="50"/>
      <c r="Z642" s="326"/>
      <c r="AA642" s="50"/>
      <c r="AB642" s="50"/>
      <c r="AC642" s="50"/>
      <c r="AD642" s="50"/>
      <c r="AE642" s="50"/>
      <c r="AF642" s="50"/>
      <c r="AI642" s="50"/>
      <c r="AJ642" s="50"/>
      <c r="AK642" s="111"/>
      <c r="AL642" s="50"/>
    </row>
    <row r="645" spans="1:40">
      <c r="A645" s="42"/>
    </row>
    <row r="647" spans="1:40">
      <c r="H647" s="42"/>
      <c r="I647" s="42"/>
      <c r="Y647" s="42"/>
    </row>
    <row r="649" spans="1:40">
      <c r="L649" s="42"/>
      <c r="M649" s="42"/>
      <c r="AA649" s="42"/>
      <c r="AB649" s="42"/>
    </row>
    <row r="650" spans="1:40">
      <c r="R650" s="42"/>
      <c r="AK650" s="110"/>
      <c r="AL650" s="42"/>
    </row>
    <row r="651" spans="1:40">
      <c r="R651" s="42"/>
      <c r="AK651" s="110"/>
      <c r="AL651" s="42"/>
    </row>
    <row r="652" spans="1:40">
      <c r="A652" s="42"/>
      <c r="R652" s="42"/>
      <c r="AK652" s="110"/>
      <c r="AL652" s="42"/>
    </row>
    <row r="653" spans="1:40">
      <c r="L653" s="42"/>
      <c r="M653" s="42"/>
      <c r="AA653" s="42"/>
      <c r="AB653" s="42"/>
    </row>
    <row r="654" spans="1:40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107"/>
      <c r="AH654" s="49"/>
      <c r="AI654" s="49"/>
      <c r="AJ654" s="49"/>
      <c r="AK654" s="107"/>
      <c r="AL654" s="49"/>
      <c r="AM654" s="49"/>
      <c r="AN654" s="49"/>
    </row>
    <row r="655" spans="1:40">
      <c r="L655" s="44"/>
      <c r="M655" s="44"/>
      <c r="N655" s="44"/>
      <c r="O655" s="44"/>
      <c r="R655" s="44"/>
      <c r="AA655" s="44"/>
      <c r="AB655" s="44"/>
      <c r="AC655" s="44"/>
      <c r="AD655" s="44"/>
      <c r="AE655" s="44"/>
      <c r="AF655" s="44"/>
      <c r="AG655" s="102"/>
      <c r="AH655" s="44"/>
      <c r="AK655" s="102"/>
      <c r="AL655" s="44"/>
      <c r="AM655" s="44"/>
      <c r="AN655" s="44"/>
    </row>
    <row r="656" spans="1:40">
      <c r="L656" s="44"/>
      <c r="M656" s="44"/>
      <c r="N656" s="44"/>
      <c r="O656" s="44"/>
      <c r="R656" s="44"/>
      <c r="Z656" s="44"/>
      <c r="AA656" s="44"/>
      <c r="AB656" s="44"/>
      <c r="AC656" s="44"/>
      <c r="AD656" s="44"/>
      <c r="AE656" s="44"/>
      <c r="AF656" s="44"/>
      <c r="AG656" s="102"/>
      <c r="AH656" s="44"/>
      <c r="AK656" s="102"/>
      <c r="AL656" s="44"/>
      <c r="AM656" s="44"/>
      <c r="AN656" s="44"/>
    </row>
    <row r="657" spans="1:40">
      <c r="A657" s="44"/>
      <c r="C657" s="44"/>
      <c r="D657" s="44"/>
      <c r="E657" s="44"/>
      <c r="F657" s="44"/>
      <c r="J657" s="44"/>
      <c r="K657" s="44"/>
      <c r="L657" s="44"/>
      <c r="M657" s="44"/>
      <c r="N657" s="44"/>
      <c r="O657" s="44"/>
      <c r="P657" s="44"/>
      <c r="Q657" s="44"/>
      <c r="R657" s="44"/>
      <c r="T657" s="44"/>
      <c r="U657" s="44"/>
      <c r="V657" s="44"/>
      <c r="Z657" s="44"/>
      <c r="AA657" s="44"/>
      <c r="AB657" s="44"/>
      <c r="AC657" s="44"/>
      <c r="AD657" s="44"/>
      <c r="AE657" s="44"/>
      <c r="AF657" s="44"/>
      <c r="AG657" s="102"/>
      <c r="AH657" s="44"/>
      <c r="AI657" s="44"/>
      <c r="AJ657" s="44"/>
      <c r="AK657" s="102"/>
      <c r="AL657" s="44"/>
      <c r="AM657" s="44"/>
      <c r="AN657" s="44"/>
    </row>
    <row r="658" spans="1:40">
      <c r="A658" s="44"/>
      <c r="C658" s="44"/>
      <c r="D658" s="44"/>
      <c r="E658" s="44"/>
      <c r="F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T658" s="44"/>
      <c r="U658" s="44"/>
      <c r="V658" s="44"/>
      <c r="Y658" s="44"/>
      <c r="Z658" s="44"/>
      <c r="AA658" s="44"/>
      <c r="AB658" s="44"/>
      <c r="AC658" s="44"/>
      <c r="AD658" s="44"/>
      <c r="AE658" s="44"/>
      <c r="AF658" s="44"/>
      <c r="AG658" s="102"/>
      <c r="AH658" s="44"/>
      <c r="AI658" s="44"/>
      <c r="AJ658" s="44"/>
      <c r="AK658" s="102"/>
      <c r="AL658" s="44"/>
      <c r="AM658" s="44"/>
      <c r="AN658" s="44"/>
    </row>
    <row r="659" spans="1:40">
      <c r="C659" s="44"/>
      <c r="D659" s="44"/>
      <c r="E659" s="44"/>
      <c r="F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T659" s="44"/>
      <c r="U659" s="44"/>
      <c r="V659" s="44"/>
      <c r="Y659" s="44"/>
      <c r="Z659" s="44"/>
      <c r="AA659" s="44"/>
      <c r="AB659" s="44"/>
      <c r="AC659" s="44"/>
      <c r="AD659" s="44"/>
      <c r="AE659" s="44"/>
      <c r="AF659" s="44"/>
      <c r="AG659" s="102"/>
      <c r="AH659" s="44"/>
      <c r="AI659" s="44"/>
      <c r="AJ659" s="44"/>
      <c r="AK659" s="102"/>
      <c r="AL659" s="44"/>
      <c r="AM659" s="44"/>
      <c r="AN659" s="44"/>
    </row>
    <row r="660" spans="1:40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107"/>
      <c r="AH660" s="49"/>
      <c r="AI660" s="49"/>
      <c r="AJ660" s="49"/>
      <c r="AK660" s="107"/>
      <c r="AL660" s="49"/>
      <c r="AM660" s="49"/>
      <c r="AN660" s="49"/>
    </row>
    <row r="661" spans="1:40"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Y661" s="44"/>
      <c r="Z661" s="44"/>
      <c r="AA661" s="44"/>
      <c r="AB661" s="44"/>
      <c r="AC661" s="44"/>
      <c r="AD661" s="44"/>
      <c r="AE661" s="44"/>
      <c r="AF661" s="44"/>
      <c r="AG661" s="102"/>
      <c r="AH661" s="44"/>
      <c r="AI661" s="44"/>
      <c r="AJ661" s="44"/>
      <c r="AK661" s="102"/>
      <c r="AL661" s="44"/>
      <c r="AM661" s="44"/>
      <c r="AN661" s="44"/>
    </row>
    <row r="662" spans="1:40">
      <c r="C662" s="42"/>
      <c r="D662" s="42"/>
      <c r="E662" s="42"/>
      <c r="F662" s="45"/>
      <c r="H662" s="45"/>
      <c r="I662" s="45"/>
      <c r="J662" s="47"/>
      <c r="K662" s="47"/>
      <c r="L662" s="45"/>
      <c r="M662" s="45"/>
      <c r="N662" s="47"/>
      <c r="O662" s="47"/>
      <c r="P662" s="45"/>
      <c r="Q662" s="45"/>
      <c r="R662" s="45"/>
      <c r="T662" s="42"/>
      <c r="U662" s="42"/>
      <c r="V662" s="45"/>
      <c r="Y662" s="45"/>
      <c r="Z662" s="47"/>
      <c r="AA662" s="45"/>
      <c r="AB662" s="45"/>
      <c r="AC662" s="47"/>
      <c r="AD662" s="47"/>
      <c r="AE662" s="45"/>
      <c r="AF662" s="45"/>
      <c r="AH662" s="51"/>
      <c r="AI662" s="45"/>
      <c r="AJ662" s="45"/>
      <c r="AL662" s="45"/>
      <c r="AM662" s="46"/>
      <c r="AN662" s="46"/>
    </row>
    <row r="663" spans="1:40">
      <c r="F663" s="50"/>
      <c r="H663" s="50"/>
      <c r="I663" s="50"/>
      <c r="J663" s="326"/>
      <c r="K663" s="326"/>
      <c r="L663" s="50"/>
      <c r="M663" s="50"/>
      <c r="N663" s="50"/>
      <c r="O663" s="50"/>
      <c r="P663" s="50"/>
      <c r="Q663" s="50"/>
      <c r="R663" s="50"/>
      <c r="V663" s="50"/>
      <c r="Y663" s="50"/>
      <c r="Z663" s="326"/>
      <c r="AA663" s="50"/>
      <c r="AB663" s="50"/>
      <c r="AC663" s="50"/>
      <c r="AD663" s="50"/>
      <c r="AE663" s="50"/>
      <c r="AF663" s="50"/>
      <c r="AI663" s="50"/>
      <c r="AJ663" s="50"/>
      <c r="AK663" s="111"/>
      <c r="AL663" s="50"/>
      <c r="AM663" s="46"/>
      <c r="AN663" s="46"/>
    </row>
    <row r="664" spans="1:40">
      <c r="C664" s="42"/>
      <c r="F664" s="45"/>
      <c r="H664" s="45"/>
      <c r="I664" s="45"/>
      <c r="J664" s="47"/>
      <c r="K664" s="47"/>
      <c r="L664" s="45"/>
      <c r="M664" s="45"/>
      <c r="N664" s="47"/>
      <c r="O664" s="47"/>
      <c r="P664" s="45"/>
      <c r="Q664" s="45"/>
      <c r="R664" s="45"/>
      <c r="T664" s="42"/>
      <c r="V664" s="45"/>
      <c r="Y664" s="45"/>
      <c r="Z664" s="47"/>
      <c r="AA664" s="45"/>
      <c r="AB664" s="45"/>
      <c r="AC664" s="47"/>
      <c r="AD664" s="47"/>
      <c r="AE664" s="45"/>
      <c r="AF664" s="45"/>
      <c r="AH664" s="51"/>
      <c r="AI664" s="45"/>
      <c r="AJ664" s="45"/>
      <c r="AL664" s="45"/>
      <c r="AM664" s="46"/>
      <c r="AN664" s="46"/>
    </row>
    <row r="665" spans="1:40">
      <c r="F665" s="45"/>
      <c r="H665" s="45"/>
      <c r="I665" s="45"/>
      <c r="J665" s="47"/>
      <c r="K665" s="47"/>
      <c r="L665" s="45"/>
      <c r="M665" s="45"/>
      <c r="N665" s="47"/>
      <c r="O665" s="47"/>
      <c r="P665" s="45"/>
      <c r="Q665" s="45"/>
      <c r="R665" s="45"/>
      <c r="V665" s="45"/>
      <c r="Y665" s="45"/>
      <c r="Z665" s="47"/>
      <c r="AA665" s="45"/>
      <c r="AB665" s="45"/>
      <c r="AC665" s="47"/>
      <c r="AD665" s="47"/>
      <c r="AH665" s="51"/>
      <c r="AI665" s="45"/>
      <c r="AJ665" s="45"/>
      <c r="AL665" s="45"/>
      <c r="AM665" s="46"/>
      <c r="AN665" s="46"/>
    </row>
    <row r="666" spans="1:40">
      <c r="C666" s="42"/>
      <c r="D666" s="42"/>
      <c r="E666" s="42"/>
      <c r="F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T666" s="42"/>
      <c r="U666" s="42"/>
      <c r="V666" s="45"/>
      <c r="Y666" s="45"/>
      <c r="Z666" s="47"/>
      <c r="AA666" s="45"/>
      <c r="AB666" s="45"/>
      <c r="AC666" s="47"/>
      <c r="AD666" s="47"/>
      <c r="AE666" s="45"/>
      <c r="AF666" s="45"/>
      <c r="AH666" s="51"/>
      <c r="AI666" s="45"/>
      <c r="AJ666" s="45"/>
      <c r="AL666" s="45"/>
      <c r="AM666" s="46"/>
      <c r="AN666" s="46"/>
    </row>
    <row r="667" spans="1:40">
      <c r="C667" s="42"/>
      <c r="D667" s="42"/>
      <c r="E667" s="42"/>
      <c r="F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T667" s="42"/>
      <c r="U667" s="42"/>
      <c r="V667" s="45"/>
      <c r="Y667" s="45"/>
      <c r="Z667" s="47"/>
      <c r="AA667" s="45"/>
      <c r="AB667" s="45"/>
      <c r="AC667" s="47"/>
      <c r="AD667" s="47"/>
      <c r="AE667" s="45"/>
      <c r="AF667" s="45"/>
      <c r="AH667" s="51"/>
      <c r="AI667" s="45"/>
      <c r="AJ667" s="45"/>
      <c r="AL667" s="45"/>
      <c r="AM667" s="46"/>
      <c r="AN667" s="46"/>
    </row>
    <row r="668" spans="1:40">
      <c r="C668" s="42"/>
      <c r="D668" s="42"/>
      <c r="E668" s="42"/>
      <c r="F668" s="45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U668" s="42"/>
      <c r="V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1:40">
      <c r="C669" s="42"/>
      <c r="D669" s="42"/>
      <c r="E669" s="42"/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U669" s="42"/>
      <c r="V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1:40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1:40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1:40">
      <c r="F672" s="50"/>
      <c r="H672" s="50"/>
      <c r="I672" s="50"/>
      <c r="J672" s="326"/>
      <c r="K672" s="326"/>
      <c r="L672" s="50"/>
      <c r="M672" s="50"/>
      <c r="N672" s="50"/>
      <c r="O672" s="50"/>
      <c r="P672" s="50"/>
      <c r="Q672" s="50"/>
      <c r="R672" s="50"/>
      <c r="V672" s="50"/>
      <c r="Y672" s="50"/>
      <c r="Z672" s="326"/>
      <c r="AA672" s="50"/>
      <c r="AB672" s="50"/>
      <c r="AC672" s="50"/>
      <c r="AD672" s="50"/>
      <c r="AE672" s="50"/>
      <c r="AF672" s="50"/>
      <c r="AI672" s="50"/>
      <c r="AJ672" s="50"/>
      <c r="AK672" s="111"/>
      <c r="AL672" s="50"/>
      <c r="AM672" s="46"/>
      <c r="AN672" s="46"/>
    </row>
    <row r="673" spans="3:40">
      <c r="C673" s="42"/>
      <c r="F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V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>
      <c r="F674" s="45"/>
      <c r="H674" s="45"/>
      <c r="I674" s="45"/>
      <c r="J674" s="47"/>
      <c r="K674" s="47"/>
      <c r="L674" s="45"/>
      <c r="M674" s="45"/>
      <c r="N674" s="47"/>
      <c r="O674" s="47"/>
      <c r="P674" s="45"/>
      <c r="Q674" s="45"/>
      <c r="R674" s="45"/>
      <c r="V674" s="45"/>
      <c r="Y674" s="45"/>
      <c r="Z674" s="47"/>
      <c r="AA674" s="45"/>
      <c r="AB674" s="45"/>
      <c r="AC674" s="47"/>
      <c r="AD674" s="47"/>
      <c r="AH674" s="51"/>
      <c r="AI674" s="45"/>
      <c r="AJ674" s="45"/>
      <c r="AL674" s="45"/>
      <c r="AM674" s="46"/>
      <c r="AN674" s="46"/>
    </row>
    <row r="675" spans="3:40">
      <c r="C675" s="42"/>
      <c r="D675" s="42"/>
      <c r="E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U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>
      <c r="F676" s="50"/>
      <c r="H676" s="50"/>
      <c r="I676" s="50"/>
      <c r="J676" s="326"/>
      <c r="K676" s="326"/>
      <c r="L676" s="50"/>
      <c r="M676" s="50"/>
      <c r="N676" s="50"/>
      <c r="O676" s="50"/>
      <c r="P676" s="50"/>
      <c r="Q676" s="50"/>
      <c r="R676" s="50"/>
      <c r="V676" s="50"/>
      <c r="Y676" s="50"/>
      <c r="Z676" s="326"/>
      <c r="AA676" s="50"/>
      <c r="AB676" s="50"/>
      <c r="AC676" s="50"/>
      <c r="AD676" s="50"/>
      <c r="AE676" s="50"/>
      <c r="AF676" s="50"/>
      <c r="AI676" s="50"/>
      <c r="AJ676" s="50"/>
      <c r="AK676" s="111"/>
      <c r="AL676" s="50"/>
      <c r="AM676" s="46"/>
      <c r="AN676" s="46"/>
    </row>
    <row r="677" spans="3:40">
      <c r="C677" s="42"/>
      <c r="F677" s="45"/>
      <c r="H677" s="45"/>
      <c r="I677" s="45"/>
      <c r="J677" s="47"/>
      <c r="K677" s="47"/>
      <c r="L677" s="45"/>
      <c r="M677" s="45"/>
      <c r="N677" s="47"/>
      <c r="O677" s="47"/>
      <c r="P677" s="45"/>
      <c r="Q677" s="45"/>
      <c r="R677" s="45"/>
      <c r="T677" s="42"/>
      <c r="V677" s="45"/>
      <c r="Y677" s="45"/>
      <c r="Z677" s="47"/>
      <c r="AA677" s="45"/>
      <c r="AB677" s="45"/>
      <c r="AC677" s="47"/>
      <c r="AD677" s="47"/>
      <c r="AE677" s="45"/>
      <c r="AF677" s="45"/>
      <c r="AH677" s="51"/>
      <c r="AI677" s="45"/>
      <c r="AJ677" s="45"/>
      <c r="AL677" s="45"/>
      <c r="AM677" s="46"/>
      <c r="AN677" s="46"/>
    </row>
    <row r="678" spans="3:40">
      <c r="F678" s="45"/>
      <c r="H678" s="45"/>
      <c r="I678" s="45"/>
      <c r="J678" s="47"/>
      <c r="K678" s="47"/>
      <c r="L678" s="45"/>
      <c r="M678" s="45"/>
      <c r="N678" s="47"/>
      <c r="O678" s="47"/>
      <c r="P678" s="45"/>
      <c r="Q678" s="45"/>
      <c r="R678" s="45"/>
      <c r="V678" s="45"/>
      <c r="Y678" s="45"/>
      <c r="Z678" s="47"/>
      <c r="AA678" s="45"/>
      <c r="AB678" s="45"/>
      <c r="AC678" s="47"/>
      <c r="AD678" s="47"/>
      <c r="AH678" s="51"/>
      <c r="AI678" s="45"/>
      <c r="AJ678" s="45"/>
      <c r="AL678" s="45"/>
      <c r="AM678" s="46"/>
      <c r="AN678" s="46"/>
    </row>
    <row r="679" spans="3:40">
      <c r="C679" s="42"/>
      <c r="D679" s="42"/>
      <c r="E679" s="42"/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T679" s="42"/>
      <c r="U679" s="42"/>
      <c r="V679" s="45"/>
      <c r="Y679" s="45"/>
      <c r="Z679" s="47"/>
      <c r="AA679" s="45"/>
      <c r="AB679" s="45"/>
      <c r="AC679" s="47"/>
      <c r="AD679" s="47"/>
      <c r="AE679" s="45"/>
      <c r="AF679" s="45"/>
      <c r="AH679" s="51"/>
      <c r="AI679" s="45"/>
      <c r="AJ679" s="45"/>
      <c r="AL679" s="45"/>
      <c r="AM679" s="46"/>
      <c r="AN679" s="46"/>
    </row>
    <row r="680" spans="3:40">
      <c r="C680" s="42"/>
      <c r="D680" s="42"/>
      <c r="E680" s="42"/>
      <c r="F680" s="45"/>
      <c r="G680" s="45"/>
      <c r="H680" s="45"/>
      <c r="I680" s="45"/>
      <c r="J680" s="47"/>
      <c r="K680" s="47"/>
      <c r="L680" s="45"/>
      <c r="M680" s="45"/>
      <c r="N680" s="47"/>
      <c r="O680" s="47"/>
      <c r="P680" s="45"/>
      <c r="Q680" s="45"/>
      <c r="R680" s="45"/>
      <c r="T680" s="42"/>
      <c r="U680" s="42"/>
      <c r="V680" s="45"/>
      <c r="W680" s="45"/>
      <c r="X680" s="45"/>
      <c r="Y680" s="45"/>
      <c r="Z680" s="47"/>
      <c r="AA680" s="45"/>
      <c r="AB680" s="45"/>
      <c r="AC680" s="47"/>
      <c r="AD680" s="47"/>
      <c r="AE680" s="45"/>
      <c r="AF680" s="45"/>
      <c r="AH680" s="51"/>
      <c r="AI680" s="45"/>
      <c r="AJ680" s="45"/>
      <c r="AL680" s="45"/>
      <c r="AM680" s="46"/>
      <c r="AN680" s="46"/>
    </row>
    <row r="681" spans="3:40">
      <c r="C681" s="42"/>
      <c r="D681" s="42"/>
      <c r="E681" s="42"/>
      <c r="F681" s="45"/>
      <c r="G681" s="45"/>
      <c r="H681" s="45"/>
      <c r="I681" s="45"/>
      <c r="J681" s="47"/>
      <c r="K681" s="47"/>
      <c r="L681" s="45"/>
      <c r="M681" s="45"/>
      <c r="N681" s="47"/>
      <c r="O681" s="47"/>
      <c r="P681" s="45"/>
      <c r="Q681" s="45"/>
      <c r="R681" s="45"/>
      <c r="T681" s="42"/>
      <c r="U681" s="42"/>
      <c r="V681" s="45"/>
      <c r="W681" s="45"/>
      <c r="X681" s="45"/>
      <c r="Y681" s="45"/>
      <c r="Z681" s="47"/>
      <c r="AA681" s="45"/>
      <c r="AB681" s="45"/>
      <c r="AC681" s="47"/>
      <c r="AD681" s="47"/>
      <c r="AE681" s="45"/>
      <c r="AF681" s="45"/>
      <c r="AH681" s="51"/>
      <c r="AI681" s="45"/>
      <c r="AJ681" s="45"/>
      <c r="AL681" s="45"/>
      <c r="AM681" s="46"/>
      <c r="AN681" s="46"/>
    </row>
    <row r="682" spans="3:40">
      <c r="C682" s="42"/>
      <c r="D682" s="42"/>
      <c r="E682" s="42"/>
      <c r="F682" s="45"/>
      <c r="H682" s="45"/>
      <c r="I682" s="45"/>
      <c r="J682" s="47"/>
      <c r="K682" s="47"/>
      <c r="L682" s="45"/>
      <c r="M682" s="45"/>
      <c r="N682" s="47"/>
      <c r="O682" s="47"/>
      <c r="P682" s="45"/>
      <c r="Q682" s="45"/>
      <c r="R682" s="45"/>
      <c r="T682" s="42"/>
      <c r="U682" s="42"/>
      <c r="V682" s="45"/>
      <c r="Y682" s="45"/>
      <c r="Z682" s="47"/>
      <c r="AA682" s="45"/>
      <c r="AB682" s="45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>
      <c r="C683" s="42"/>
      <c r="D683" s="42"/>
      <c r="E683" s="42"/>
      <c r="F683" s="45"/>
      <c r="H683" s="45"/>
      <c r="I683" s="45"/>
      <c r="J683" s="47"/>
      <c r="K683" s="47"/>
      <c r="L683" s="45"/>
      <c r="M683" s="45"/>
      <c r="N683" s="47"/>
      <c r="O683" s="47"/>
      <c r="P683" s="45"/>
      <c r="Q683" s="45"/>
      <c r="R683" s="45"/>
      <c r="T683" s="42"/>
      <c r="U683" s="42"/>
      <c r="V683" s="45"/>
      <c r="Y683" s="45"/>
      <c r="Z683" s="47"/>
      <c r="AA683" s="45"/>
      <c r="AB683" s="45"/>
      <c r="AC683" s="47"/>
      <c r="AD683" s="47"/>
      <c r="AE683" s="45"/>
      <c r="AF683" s="45"/>
      <c r="AH683" s="51"/>
      <c r="AI683" s="45"/>
      <c r="AJ683" s="45"/>
      <c r="AL683" s="45"/>
      <c r="AM683" s="46"/>
      <c r="AN683" s="46"/>
    </row>
    <row r="684" spans="3:40">
      <c r="C684" s="42"/>
      <c r="D684" s="42"/>
      <c r="E684" s="42"/>
      <c r="F684" s="45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U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>
      <c r="C685" s="42"/>
      <c r="D685" s="42"/>
      <c r="E685" s="42"/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T685" s="42"/>
      <c r="U685" s="42"/>
      <c r="V685" s="45"/>
      <c r="Y685" s="45"/>
      <c r="Z685" s="47"/>
      <c r="AA685" s="45"/>
      <c r="AB685" s="45"/>
      <c r="AC685" s="47"/>
      <c r="AD685" s="47"/>
      <c r="AE685" s="45"/>
      <c r="AF685" s="45"/>
      <c r="AH685" s="51"/>
      <c r="AI685" s="45"/>
      <c r="AJ685" s="45"/>
      <c r="AL685" s="45"/>
      <c r="AM685" s="46"/>
      <c r="AN685" s="46"/>
    </row>
    <row r="686" spans="3:40">
      <c r="F686" s="50"/>
      <c r="H686" s="50"/>
      <c r="I686" s="50"/>
      <c r="J686" s="326"/>
      <c r="K686" s="326"/>
      <c r="L686" s="50"/>
      <c r="M686" s="50"/>
      <c r="N686" s="50"/>
      <c r="O686" s="50"/>
      <c r="P686" s="50"/>
      <c r="Q686" s="50"/>
      <c r="R686" s="50"/>
      <c r="V686" s="50"/>
      <c r="Y686" s="50"/>
      <c r="Z686" s="326"/>
      <c r="AA686" s="50"/>
      <c r="AB686" s="50"/>
      <c r="AC686" s="50"/>
      <c r="AD686" s="50"/>
      <c r="AE686" s="50"/>
      <c r="AF686" s="50"/>
      <c r="AI686" s="50"/>
      <c r="AJ686" s="50"/>
      <c r="AK686" s="111"/>
      <c r="AL686" s="50"/>
      <c r="AM686" s="46"/>
      <c r="AN686" s="46"/>
    </row>
    <row r="687" spans="3:40">
      <c r="C687" s="42"/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T687" s="42"/>
      <c r="V687" s="45"/>
      <c r="Y687" s="45"/>
      <c r="Z687" s="47"/>
      <c r="AA687" s="45"/>
      <c r="AB687" s="45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3:40">
      <c r="V688" s="45"/>
      <c r="Y688" s="45"/>
      <c r="Z688" s="326"/>
      <c r="AA688" s="45"/>
      <c r="AB688" s="45"/>
      <c r="AC688" s="45"/>
      <c r="AD688" s="45"/>
      <c r="AE688" s="45"/>
      <c r="AF688" s="45"/>
      <c r="AI688" s="45"/>
      <c r="AJ688" s="45"/>
      <c r="AL688" s="45"/>
      <c r="AM688" s="46"/>
      <c r="AN688" s="46"/>
    </row>
    <row r="689" spans="1:40">
      <c r="C689" s="42"/>
      <c r="D689" s="42"/>
      <c r="E689" s="42"/>
      <c r="L689" s="45"/>
      <c r="M689" s="45"/>
      <c r="N689" s="47"/>
      <c r="O689" s="47"/>
      <c r="R689" s="45"/>
      <c r="T689" s="42"/>
      <c r="U689" s="42"/>
      <c r="AA689" s="45"/>
      <c r="AB689" s="45"/>
      <c r="AC689" s="47"/>
      <c r="AD689" s="47"/>
      <c r="AE689" s="45"/>
      <c r="AF689" s="45"/>
      <c r="AH689" s="51"/>
      <c r="AL689" s="45"/>
      <c r="AM689" s="46"/>
      <c r="AN689" s="46"/>
    </row>
    <row r="690" spans="1:40">
      <c r="D690" s="42"/>
      <c r="E690" s="42"/>
      <c r="F690" s="164"/>
      <c r="H690" s="164"/>
      <c r="I690" s="164"/>
      <c r="J690" s="47"/>
      <c r="K690" s="47"/>
      <c r="L690" s="45"/>
      <c r="M690" s="45"/>
      <c r="N690" s="47"/>
      <c r="O690" s="47"/>
      <c r="P690" s="164"/>
      <c r="Q690" s="164"/>
      <c r="R690" s="45"/>
      <c r="U690" s="42"/>
      <c r="V690" s="45"/>
      <c r="Y690" s="45"/>
      <c r="Z690" s="47"/>
      <c r="AA690" s="45"/>
      <c r="AB690" s="45"/>
      <c r="AC690" s="47"/>
      <c r="AD690" s="47"/>
      <c r="AE690" s="45"/>
      <c r="AF690" s="45"/>
      <c r="AH690" s="51"/>
      <c r="AI690" s="45"/>
      <c r="AJ690" s="45"/>
      <c r="AL690" s="45"/>
      <c r="AM690" s="46"/>
      <c r="AN690" s="46"/>
    </row>
    <row r="691" spans="1:40">
      <c r="F691" s="50"/>
      <c r="H691" s="50"/>
      <c r="I691" s="50"/>
      <c r="J691" s="326"/>
      <c r="K691" s="326"/>
      <c r="L691" s="50"/>
      <c r="M691" s="50"/>
      <c r="N691" s="50"/>
      <c r="O691" s="50"/>
      <c r="P691" s="50"/>
      <c r="Q691" s="50"/>
      <c r="R691" s="50"/>
      <c r="V691" s="50"/>
      <c r="Y691" s="50"/>
      <c r="Z691" s="326"/>
      <c r="AA691" s="50"/>
      <c r="AB691" s="50"/>
      <c r="AC691" s="50"/>
      <c r="AD691" s="50"/>
      <c r="AE691" s="50"/>
      <c r="AF691" s="50"/>
      <c r="AI691" s="50"/>
      <c r="AJ691" s="50"/>
      <c r="AK691" s="111"/>
      <c r="AL691" s="50"/>
      <c r="AM691" s="46"/>
      <c r="AN691" s="46"/>
    </row>
    <row r="692" spans="1:40">
      <c r="C692" s="42"/>
      <c r="F692" s="45"/>
      <c r="H692" s="45"/>
      <c r="I692" s="45"/>
      <c r="J692" s="47"/>
      <c r="K692" s="47"/>
      <c r="L692" s="45"/>
      <c r="M692" s="45"/>
      <c r="N692" s="47"/>
      <c r="O692" s="47"/>
      <c r="P692" s="45"/>
      <c r="Q692" s="45"/>
      <c r="R692" s="45"/>
      <c r="T692" s="42"/>
      <c r="V692" s="45"/>
      <c r="Y692" s="45"/>
      <c r="Z692" s="47"/>
      <c r="AA692" s="45"/>
      <c r="AB692" s="45"/>
      <c r="AC692" s="47"/>
      <c r="AD692" s="47"/>
      <c r="AE692" s="45"/>
      <c r="AF692" s="45"/>
      <c r="AH692" s="51"/>
      <c r="AI692" s="45"/>
      <c r="AJ692" s="45"/>
      <c r="AL692" s="45"/>
      <c r="AM692" s="46"/>
      <c r="AN692" s="46"/>
    </row>
    <row r="693" spans="1:40"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V693" s="45"/>
      <c r="Y693" s="45"/>
      <c r="Z693" s="47"/>
      <c r="AA693" s="45"/>
      <c r="AB693" s="45"/>
      <c r="AC693" s="47"/>
      <c r="AD693" s="47"/>
      <c r="AH693" s="51"/>
      <c r="AI693" s="45"/>
      <c r="AJ693" s="45"/>
      <c r="AL693" s="45"/>
      <c r="AM693" s="46"/>
      <c r="AN693" s="46"/>
    </row>
    <row r="694" spans="1:40">
      <c r="D694" s="42"/>
      <c r="E694" s="42"/>
      <c r="F694" s="45"/>
      <c r="H694" s="45"/>
      <c r="I694" s="45"/>
      <c r="J694" s="47"/>
      <c r="K694" s="47"/>
      <c r="L694" s="164"/>
      <c r="M694" s="164"/>
      <c r="N694" s="47"/>
      <c r="O694" s="47"/>
      <c r="P694" s="45"/>
      <c r="Q694" s="45"/>
      <c r="R694" s="45"/>
      <c r="U694" s="42"/>
      <c r="V694" s="45"/>
      <c r="Y694" s="45"/>
      <c r="Z694" s="47"/>
      <c r="AA694" s="164"/>
      <c r="AB694" s="164"/>
      <c r="AC694" s="47"/>
      <c r="AD694" s="47"/>
      <c r="AE694" s="45"/>
      <c r="AF694" s="45"/>
      <c r="AH694" s="51"/>
      <c r="AI694" s="45"/>
      <c r="AJ694" s="45"/>
      <c r="AL694" s="45"/>
      <c r="AM694" s="46"/>
      <c r="AN694" s="46"/>
    </row>
    <row r="695" spans="1:40">
      <c r="D695" s="42"/>
      <c r="E695" s="42"/>
      <c r="F695" s="45"/>
      <c r="H695" s="45"/>
      <c r="I695" s="45"/>
      <c r="J695" s="47"/>
      <c r="K695" s="47"/>
      <c r="L695" s="164"/>
      <c r="M695" s="164"/>
      <c r="N695" s="47"/>
      <c r="O695" s="47"/>
      <c r="P695" s="45"/>
      <c r="Q695" s="45"/>
      <c r="R695" s="45"/>
      <c r="U695" s="42"/>
      <c r="V695" s="45"/>
      <c r="Y695" s="45"/>
      <c r="Z695" s="47"/>
      <c r="AA695" s="164"/>
      <c r="AB695" s="164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1:40">
      <c r="D696" s="42"/>
      <c r="E696" s="42"/>
      <c r="F696" s="45"/>
      <c r="H696" s="45"/>
      <c r="I696" s="45"/>
      <c r="J696" s="47"/>
      <c r="K696" s="47"/>
      <c r="L696" s="164"/>
      <c r="M696" s="164"/>
      <c r="N696" s="47"/>
      <c r="O696" s="47"/>
      <c r="P696" s="45"/>
      <c r="Q696" s="45"/>
      <c r="R696" s="45"/>
      <c r="U696" s="42"/>
      <c r="V696" s="45"/>
      <c r="Y696" s="45"/>
      <c r="Z696" s="47"/>
      <c r="AA696" s="164"/>
      <c r="AB696" s="164"/>
      <c r="AC696" s="47"/>
      <c r="AD696" s="47"/>
      <c r="AE696" s="45"/>
      <c r="AF696" s="45"/>
      <c r="AH696" s="51"/>
      <c r="AI696" s="45"/>
      <c r="AJ696" s="45"/>
      <c r="AL696" s="45"/>
      <c r="AM696" s="46"/>
      <c r="AN696" s="46"/>
    </row>
    <row r="697" spans="1:40">
      <c r="F697" s="50"/>
      <c r="H697" s="50"/>
      <c r="I697" s="50"/>
      <c r="J697" s="326"/>
      <c r="K697" s="326"/>
      <c r="L697" s="50"/>
      <c r="M697" s="50"/>
      <c r="N697" s="50"/>
      <c r="O697" s="50"/>
      <c r="P697" s="50"/>
      <c r="Q697" s="50"/>
      <c r="R697" s="50"/>
      <c r="V697" s="50"/>
      <c r="Y697" s="50"/>
      <c r="Z697" s="326"/>
      <c r="AA697" s="50"/>
      <c r="AB697" s="50"/>
      <c r="AC697" s="50"/>
      <c r="AD697" s="50"/>
      <c r="AE697" s="50"/>
      <c r="AF697" s="50"/>
      <c r="AI697" s="50"/>
      <c r="AJ697" s="50"/>
      <c r="AK697" s="111"/>
      <c r="AL697" s="50"/>
      <c r="AM697" s="46"/>
      <c r="AN697" s="46"/>
    </row>
    <row r="698" spans="1:40">
      <c r="C698" s="42"/>
      <c r="F698" s="45"/>
      <c r="H698" s="45"/>
      <c r="I698" s="45"/>
      <c r="J698" s="47"/>
      <c r="K698" s="47"/>
      <c r="L698" s="45"/>
      <c r="M698" s="45"/>
      <c r="N698" s="47"/>
      <c r="O698" s="47"/>
      <c r="P698" s="45"/>
      <c r="Q698" s="45"/>
      <c r="R698" s="45"/>
      <c r="T698" s="42"/>
      <c r="V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1:40">
      <c r="F699" s="45"/>
      <c r="H699" s="45"/>
      <c r="I699" s="45"/>
      <c r="J699" s="47"/>
      <c r="K699" s="47"/>
      <c r="L699" s="45"/>
      <c r="M699" s="45"/>
      <c r="N699" s="47"/>
      <c r="O699" s="47"/>
      <c r="P699" s="45"/>
      <c r="Q699" s="45"/>
      <c r="R699" s="45"/>
      <c r="V699" s="45"/>
      <c r="Y699" s="45"/>
      <c r="Z699" s="47"/>
      <c r="AA699" s="45"/>
      <c r="AB699" s="45"/>
      <c r="AC699" s="47"/>
      <c r="AD699" s="47"/>
      <c r="AH699" s="51"/>
      <c r="AI699" s="45"/>
      <c r="AJ699" s="45"/>
      <c r="AL699" s="45"/>
      <c r="AM699" s="46"/>
      <c r="AN699" s="46"/>
    </row>
    <row r="700" spans="1:40">
      <c r="C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1:40">
      <c r="F701" s="50"/>
      <c r="H701" s="50"/>
      <c r="I701" s="50"/>
      <c r="J701" s="326"/>
      <c r="K701" s="326"/>
      <c r="L701" s="50"/>
      <c r="M701" s="50"/>
      <c r="N701" s="50"/>
      <c r="O701" s="50"/>
      <c r="P701" s="50"/>
      <c r="Q701" s="50"/>
      <c r="R701" s="50"/>
      <c r="V701" s="50"/>
      <c r="Y701" s="50"/>
      <c r="Z701" s="326"/>
      <c r="AA701" s="50"/>
      <c r="AB701" s="50"/>
      <c r="AC701" s="50"/>
      <c r="AD701" s="50"/>
      <c r="AE701" s="50"/>
      <c r="AF701" s="50"/>
      <c r="AI701" s="50"/>
      <c r="AJ701" s="50"/>
      <c r="AK701" s="111"/>
      <c r="AL701" s="50"/>
    </row>
    <row r="703" spans="1:40">
      <c r="C703" s="42"/>
      <c r="L703" s="45"/>
      <c r="M703" s="45"/>
      <c r="P703" s="45"/>
      <c r="Q703" s="45"/>
      <c r="R703" s="45"/>
      <c r="T703" s="42"/>
    </row>
    <row r="704" spans="1:40">
      <c r="A704" s="42"/>
      <c r="L704" s="45"/>
      <c r="M704" s="45"/>
      <c r="P704" s="45"/>
      <c r="Q704" s="45"/>
      <c r="R704" s="45"/>
    </row>
    <row r="705" spans="12:18">
      <c r="L705" s="45"/>
      <c r="M705" s="45"/>
      <c r="P705" s="45"/>
      <c r="Q705" s="45"/>
      <c r="R705" s="45"/>
    </row>
    <row r="706" spans="12:18">
      <c r="L706" s="45"/>
      <c r="M706" s="45"/>
      <c r="P706" s="45"/>
      <c r="Q706" s="45"/>
      <c r="R706" s="45"/>
    </row>
    <row r="707" spans="12:18">
      <c r="L707" s="45"/>
      <c r="M707" s="45"/>
      <c r="P707" s="45"/>
      <c r="Q707" s="45"/>
      <c r="R707" s="45"/>
    </row>
    <row r="708" spans="12:18">
      <c r="L708" s="45"/>
      <c r="M708" s="45"/>
      <c r="P708" s="45"/>
      <c r="Q708" s="45"/>
      <c r="R708" s="45"/>
    </row>
    <row r="709" spans="12:18">
      <c r="L709" s="45"/>
      <c r="M709" s="45"/>
      <c r="P709" s="45"/>
      <c r="Q709" s="45"/>
      <c r="R709" s="45"/>
    </row>
    <row r="742" spans="49:49">
      <c r="AW742" s="45"/>
    </row>
    <row r="743" spans="49:49">
      <c r="AW743" s="45"/>
    </row>
    <row r="744" spans="49:49">
      <c r="AW744" s="45"/>
    </row>
    <row r="745" spans="49:49">
      <c r="AW745" s="45"/>
    </row>
    <row r="746" spans="49:49">
      <c r="AW746" s="45"/>
    </row>
    <row r="747" spans="49:49">
      <c r="AW747" s="45"/>
    </row>
    <row r="750" spans="49:49">
      <c r="AW750" s="45"/>
    </row>
    <row r="751" spans="49:49">
      <c r="AW751" s="45"/>
    </row>
    <row r="752" spans="49:49">
      <c r="AW752" s="45"/>
    </row>
    <row r="753" spans="49:49">
      <c r="AW753" s="45"/>
    </row>
    <row r="754" spans="49:49">
      <c r="AW754" s="45"/>
    </row>
    <row r="755" spans="49:49">
      <c r="AW755" s="45"/>
    </row>
    <row r="756" spans="49:49">
      <c r="AW756" s="45"/>
    </row>
    <row r="757" spans="49:49">
      <c r="AW757" s="45"/>
    </row>
    <row r="760" spans="49:49">
      <c r="AW760" s="45"/>
    </row>
    <row r="761" spans="49:49">
      <c r="AW761" s="45"/>
    </row>
    <row r="764" spans="49:49">
      <c r="AW764" s="45"/>
    </row>
    <row r="765" spans="49:49">
      <c r="AW765" s="45"/>
    </row>
    <row r="766" spans="49:49">
      <c r="AW766" s="45"/>
    </row>
    <row r="767" spans="49:49">
      <c r="AW767" s="45"/>
    </row>
    <row r="775" spans="45:69">
      <c r="AY775" s="42"/>
    </row>
    <row r="776" spans="45:69">
      <c r="AY776" s="42"/>
    </row>
    <row r="777" spans="45:69">
      <c r="BD777" s="42"/>
    </row>
    <row r="778" spans="45:69">
      <c r="BD778" s="42"/>
    </row>
    <row r="779" spans="45:69">
      <c r="AS779" s="42"/>
      <c r="BD779" s="42"/>
    </row>
    <row r="781" spans="45:69"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</row>
    <row r="782" spans="45:69">
      <c r="AX782" s="42"/>
    </row>
    <row r="783" spans="45:69">
      <c r="AX783" s="49"/>
      <c r="AY783" s="49"/>
      <c r="AZ783" s="49"/>
      <c r="BA783" s="49"/>
      <c r="BC783" s="44"/>
      <c r="BD783" s="44"/>
    </row>
    <row r="784" spans="45:69">
      <c r="AV784" s="44"/>
      <c r="AW784" s="44"/>
      <c r="AZ784" s="44"/>
      <c r="BA784" s="44"/>
      <c r="BC784" s="44"/>
      <c r="BD784" s="44"/>
      <c r="BE784" s="44"/>
      <c r="BG784" s="49"/>
      <c r="BH784" s="42"/>
      <c r="BK784" s="49"/>
      <c r="BM784" s="49"/>
      <c r="BN784" s="42"/>
      <c r="BQ784" s="49"/>
    </row>
    <row r="785" spans="45:69"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H785" s="44"/>
      <c r="BI785" s="44"/>
      <c r="BJ785" s="44"/>
      <c r="BN785" s="44"/>
      <c r="BO785" s="44"/>
      <c r="BP785" s="44"/>
    </row>
    <row r="786" spans="45:69">
      <c r="AS786" s="44"/>
      <c r="AU786" s="42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G786" s="44"/>
      <c r="BH786" s="44"/>
      <c r="BI786" s="44"/>
      <c r="BJ786" s="44"/>
      <c r="BK786" s="44"/>
      <c r="BM786" s="44"/>
      <c r="BN786" s="44"/>
      <c r="BO786" s="44"/>
      <c r="BP786" s="44"/>
      <c r="BQ786" s="44"/>
    </row>
    <row r="787" spans="45:69">
      <c r="AS787" s="44"/>
      <c r="AU787" s="42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G787" s="44"/>
      <c r="BH787" s="44"/>
      <c r="BI787" s="44"/>
      <c r="BJ787" s="44"/>
      <c r="BK787" s="44"/>
      <c r="BM787" s="44"/>
      <c r="BN787" s="44"/>
      <c r="BO787" s="44"/>
      <c r="BP787" s="44"/>
      <c r="BQ787" s="44"/>
    </row>
    <row r="788" spans="45:69"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G788" s="49"/>
      <c r="BH788" s="49"/>
      <c r="BI788" s="49"/>
      <c r="BJ788" s="49"/>
      <c r="BK788" s="49"/>
      <c r="BM788" s="49"/>
      <c r="BN788" s="49"/>
      <c r="BO788" s="49"/>
      <c r="BP788" s="49"/>
      <c r="BQ788" s="49"/>
    </row>
    <row r="789" spans="45:69"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</row>
    <row r="790" spans="45:69">
      <c r="AU790" s="42"/>
      <c r="AV790" s="44"/>
      <c r="AY790" s="47"/>
    </row>
    <row r="791" spans="45:69">
      <c r="AV791" s="44"/>
      <c r="AW791" s="45"/>
      <c r="AX791" s="56"/>
      <c r="AY791" s="56"/>
      <c r="AZ791" s="56"/>
      <c r="BA791" s="46"/>
      <c r="BB791" s="56"/>
      <c r="BC791" s="47"/>
      <c r="BD791" s="47"/>
      <c r="BE791" s="46"/>
      <c r="BG791" s="56"/>
      <c r="BH791" s="56"/>
      <c r="BI791" s="56"/>
      <c r="BJ791" s="56"/>
      <c r="BK791" s="56"/>
      <c r="BM791" s="56"/>
      <c r="BN791" s="56"/>
      <c r="BO791" s="56"/>
      <c r="BP791" s="56"/>
      <c r="BQ791" s="56"/>
    </row>
    <row r="792" spans="45:69">
      <c r="AV792" s="44"/>
      <c r="AW792" s="45"/>
      <c r="AX792" s="56"/>
      <c r="AY792" s="56"/>
      <c r="AZ792" s="56"/>
      <c r="BA792" s="46"/>
      <c r="BB792" s="56"/>
      <c r="BC792" s="47"/>
      <c r="BD792" s="47"/>
      <c r="BE792" s="46"/>
      <c r="BG792" s="56"/>
      <c r="BH792" s="56"/>
      <c r="BI792" s="56"/>
      <c r="BJ792" s="56"/>
      <c r="BK792" s="56"/>
      <c r="BM792" s="56"/>
      <c r="BN792" s="56"/>
      <c r="BO792" s="56"/>
      <c r="BP792" s="56"/>
      <c r="BQ792" s="56"/>
    </row>
    <row r="793" spans="45:69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5:69">
      <c r="AV794" s="44"/>
      <c r="AW794" s="45"/>
      <c r="AX794" s="56"/>
      <c r="AY794" s="56"/>
      <c r="AZ794" s="56"/>
      <c r="BA794" s="46"/>
      <c r="BB794" s="56"/>
      <c r="BC794" s="47"/>
      <c r="BD794" s="47"/>
      <c r="BE794" s="46"/>
      <c r="BG794" s="56"/>
      <c r="BH794" s="56"/>
      <c r="BI794" s="56"/>
      <c r="BJ794" s="56"/>
      <c r="BK794" s="56"/>
      <c r="BM794" s="56"/>
      <c r="BN794" s="56"/>
      <c r="BO794" s="56"/>
      <c r="BP794" s="56"/>
      <c r="BQ794" s="56"/>
    </row>
    <row r="795" spans="45:69">
      <c r="AV795" s="44"/>
      <c r="AW795" s="45"/>
      <c r="AX795" s="56"/>
      <c r="AY795" s="56"/>
      <c r="AZ795" s="56"/>
      <c r="BA795" s="46"/>
      <c r="BB795" s="56"/>
      <c r="BC795" s="47"/>
      <c r="BD795" s="47"/>
      <c r="BE795" s="46"/>
      <c r="BG795" s="56"/>
      <c r="BH795" s="56"/>
      <c r="BI795" s="56"/>
      <c r="BJ795" s="56"/>
      <c r="BK795" s="56"/>
      <c r="BM795" s="56"/>
      <c r="BN795" s="56"/>
      <c r="BO795" s="56"/>
      <c r="BP795" s="56"/>
      <c r="BQ795" s="56"/>
    </row>
    <row r="796" spans="45:69">
      <c r="AV796" s="44"/>
      <c r="AW796" s="45"/>
      <c r="AX796" s="56"/>
      <c r="AY796" s="56"/>
      <c r="AZ796" s="56"/>
      <c r="BA796" s="46"/>
      <c r="BB796" s="56"/>
      <c r="BC796" s="47"/>
      <c r="BD796" s="47"/>
      <c r="BE796" s="46"/>
      <c r="BG796" s="56"/>
      <c r="BH796" s="56"/>
      <c r="BI796" s="56"/>
      <c r="BJ796" s="56"/>
      <c r="BK796" s="56"/>
      <c r="BM796" s="56"/>
      <c r="BN796" s="56"/>
      <c r="BO796" s="56"/>
      <c r="BP796" s="56"/>
      <c r="BQ796" s="56"/>
    </row>
    <row r="797" spans="45:69">
      <c r="AV797" s="44"/>
      <c r="AW797" s="45"/>
      <c r="AX797" s="56"/>
      <c r="AY797" s="56"/>
      <c r="AZ797" s="56"/>
      <c r="BA797" s="46"/>
      <c r="BB797" s="56"/>
      <c r="BC797" s="47"/>
      <c r="BD797" s="47"/>
      <c r="BE797" s="46"/>
      <c r="BG797" s="56"/>
      <c r="BH797" s="56"/>
      <c r="BI797" s="56"/>
      <c r="BJ797" s="56"/>
      <c r="BK797" s="56"/>
      <c r="BM797" s="56"/>
      <c r="BN797" s="56"/>
      <c r="BO797" s="56"/>
      <c r="BP797" s="56"/>
      <c r="BQ797" s="56"/>
    </row>
    <row r="798" spans="45:69">
      <c r="AY798" s="47"/>
      <c r="AZ798" s="56"/>
      <c r="BA798" s="46"/>
      <c r="BB798" s="56"/>
      <c r="BC798" s="47"/>
      <c r="BD798" s="47"/>
      <c r="BE798" s="46"/>
      <c r="BK798" s="56"/>
      <c r="BQ798" s="56"/>
    </row>
    <row r="799" spans="45:69">
      <c r="AV799" s="44"/>
      <c r="AY799" s="47"/>
      <c r="AZ799" s="56"/>
      <c r="BA799" s="46"/>
      <c r="BB799" s="56"/>
      <c r="BC799" s="47"/>
      <c r="BD799" s="47"/>
      <c r="BE799" s="46"/>
      <c r="BK799" s="56"/>
      <c r="BQ799" s="56"/>
    </row>
    <row r="800" spans="45:69">
      <c r="AV800" s="44"/>
      <c r="AW800" s="45"/>
      <c r="AX800" s="56"/>
      <c r="AY800" s="56"/>
      <c r="AZ800" s="56"/>
      <c r="BA800" s="46"/>
      <c r="BB800" s="56"/>
      <c r="BC800" s="47"/>
      <c r="BD800" s="47"/>
      <c r="BE800" s="46"/>
      <c r="BG800" s="56"/>
      <c r="BH800" s="56"/>
      <c r="BI800" s="56"/>
      <c r="BJ800" s="56"/>
      <c r="BK800" s="56"/>
      <c r="BM800" s="56"/>
      <c r="BN800" s="56"/>
      <c r="BO800" s="56"/>
      <c r="BP800" s="56"/>
      <c r="BQ800" s="56"/>
    </row>
    <row r="801" spans="45:69">
      <c r="AV801" s="44"/>
      <c r="AW801" s="45"/>
      <c r="AX801" s="56"/>
      <c r="AY801" s="56"/>
      <c r="AZ801" s="56"/>
      <c r="BA801" s="46"/>
      <c r="BB801" s="56"/>
      <c r="BC801" s="47"/>
      <c r="BD801" s="47"/>
      <c r="BE801" s="46"/>
      <c r="BG801" s="56"/>
      <c r="BH801" s="56"/>
      <c r="BI801" s="56"/>
      <c r="BJ801" s="56"/>
      <c r="BK801" s="56"/>
      <c r="BM801" s="56"/>
      <c r="BN801" s="56"/>
      <c r="BO801" s="56"/>
      <c r="BP801" s="56"/>
      <c r="BQ801" s="56"/>
    </row>
    <row r="802" spans="45:69">
      <c r="AV802" s="44"/>
      <c r="AW802" s="45"/>
      <c r="AX802" s="56"/>
      <c r="AY802" s="56"/>
      <c r="AZ802" s="56"/>
      <c r="BA802" s="46"/>
      <c r="BB802" s="56"/>
      <c r="BC802" s="47"/>
      <c r="BD802" s="47"/>
      <c r="BE802" s="46"/>
      <c r="BG802" s="56"/>
      <c r="BH802" s="56"/>
      <c r="BI802" s="56"/>
      <c r="BJ802" s="56"/>
      <c r="BK802" s="56"/>
      <c r="BM802" s="56"/>
      <c r="BN802" s="56"/>
      <c r="BO802" s="56"/>
      <c r="BP802" s="56"/>
      <c r="BQ802" s="56"/>
    </row>
    <row r="803" spans="45:69">
      <c r="AV803" s="44"/>
      <c r="AW803" s="45"/>
      <c r="AX803" s="56"/>
      <c r="AY803" s="56"/>
      <c r="AZ803" s="56"/>
      <c r="BA803" s="46"/>
      <c r="BB803" s="56"/>
      <c r="BC803" s="47"/>
      <c r="BD803" s="47"/>
      <c r="BE803" s="46"/>
      <c r="BG803" s="56"/>
      <c r="BH803" s="56"/>
      <c r="BI803" s="56"/>
      <c r="BJ803" s="56"/>
      <c r="BK803" s="56"/>
      <c r="BM803" s="56"/>
      <c r="BN803" s="56"/>
      <c r="BO803" s="56"/>
      <c r="BP803" s="56"/>
      <c r="BQ803" s="56"/>
    </row>
    <row r="804" spans="45:69">
      <c r="AV804" s="44"/>
      <c r="AW804" s="45"/>
      <c r="AX804" s="56"/>
      <c r="AY804" s="56"/>
      <c r="AZ804" s="56"/>
      <c r="BA804" s="46"/>
      <c r="BB804" s="56"/>
      <c r="BC804" s="47"/>
      <c r="BD804" s="47"/>
      <c r="BE804" s="46"/>
      <c r="BG804" s="56"/>
      <c r="BH804" s="56"/>
      <c r="BI804" s="56"/>
      <c r="BJ804" s="56"/>
      <c r="BK804" s="56"/>
      <c r="BM804" s="56"/>
      <c r="BN804" s="56"/>
      <c r="BO804" s="56"/>
      <c r="BP804" s="56"/>
      <c r="BQ804" s="56"/>
    </row>
    <row r="805" spans="45:69">
      <c r="AV805" s="44"/>
      <c r="AW805" s="45"/>
      <c r="AX805" s="56"/>
      <c r="AY805" s="56"/>
      <c r="AZ805" s="56"/>
      <c r="BA805" s="46"/>
      <c r="BB805" s="56"/>
      <c r="BC805" s="47"/>
      <c r="BD805" s="47"/>
      <c r="BE805" s="46"/>
      <c r="BG805" s="56"/>
      <c r="BH805" s="56"/>
      <c r="BI805" s="56"/>
      <c r="BJ805" s="56"/>
      <c r="BK805" s="56"/>
      <c r="BM805" s="56"/>
      <c r="BN805" s="56"/>
      <c r="BO805" s="56"/>
      <c r="BP805" s="56"/>
      <c r="BQ805" s="56"/>
    </row>
    <row r="806" spans="45:69">
      <c r="AV806" s="44"/>
      <c r="AW806" s="45"/>
      <c r="AX806" s="56"/>
      <c r="AY806" s="56"/>
      <c r="AZ806" s="56"/>
      <c r="BA806" s="46"/>
      <c r="BB806" s="56"/>
      <c r="BC806" s="47"/>
      <c r="BD806" s="47"/>
      <c r="BE806" s="46"/>
      <c r="BG806" s="56"/>
      <c r="BH806" s="56"/>
      <c r="BI806" s="56"/>
      <c r="BJ806" s="56"/>
      <c r="BK806" s="56"/>
      <c r="BM806" s="56"/>
      <c r="BN806" s="56"/>
      <c r="BO806" s="56"/>
      <c r="BP806" s="56"/>
      <c r="BQ806" s="56"/>
    </row>
    <row r="807" spans="45:69">
      <c r="AV807" s="44"/>
      <c r="AW807" s="45"/>
      <c r="AX807" s="56"/>
      <c r="AY807" s="56"/>
      <c r="AZ807" s="56"/>
      <c r="BA807" s="46"/>
      <c r="BB807" s="56"/>
      <c r="BC807" s="47"/>
      <c r="BD807" s="47"/>
      <c r="BE807" s="46"/>
      <c r="BG807" s="56"/>
      <c r="BH807" s="56"/>
      <c r="BI807" s="56"/>
      <c r="BJ807" s="56"/>
      <c r="BK807" s="56"/>
      <c r="BM807" s="56"/>
      <c r="BN807" s="56"/>
      <c r="BO807" s="56"/>
      <c r="BP807" s="56"/>
      <c r="BQ807" s="56"/>
    </row>
    <row r="808" spans="45:69">
      <c r="AY808" s="47"/>
      <c r="AZ808" s="56"/>
      <c r="BA808" s="46"/>
      <c r="BB808" s="56"/>
      <c r="BC808" s="47"/>
      <c r="BD808" s="47"/>
      <c r="BE808" s="46"/>
      <c r="BK808" s="56"/>
      <c r="BQ808" s="56"/>
    </row>
    <row r="809" spans="45:69">
      <c r="AU809" s="42"/>
      <c r="AZ809" s="56"/>
      <c r="BB809" s="56"/>
      <c r="BG809" s="56"/>
      <c r="BH809" s="56"/>
      <c r="BJ809" s="56"/>
      <c r="BK809" s="56"/>
    </row>
    <row r="810" spans="45:69">
      <c r="AZ810" s="56"/>
      <c r="BB810" s="56"/>
    </row>
    <row r="811" spans="45:69">
      <c r="AS811" s="42"/>
      <c r="AZ811" s="56"/>
      <c r="BB811" s="56"/>
      <c r="BI811" s="56"/>
    </row>
    <row r="812" spans="45:69">
      <c r="AZ812" s="56"/>
      <c r="BB812" s="56"/>
    </row>
    <row r="813" spans="45:69">
      <c r="AY813" s="56"/>
      <c r="BB813" s="56"/>
    </row>
    <row r="814" spans="45:69">
      <c r="AY814" s="42"/>
      <c r="AZ814" s="56"/>
      <c r="BB814" s="56"/>
    </row>
    <row r="815" spans="45:69">
      <c r="AY815" s="42"/>
      <c r="AZ815" s="56"/>
      <c r="BB815" s="56"/>
    </row>
    <row r="816" spans="45:69">
      <c r="AZ816" s="56"/>
      <c r="BB816" s="56"/>
      <c r="BD816" s="42"/>
    </row>
    <row r="817" spans="45:75">
      <c r="AZ817" s="56"/>
      <c r="BB817" s="56"/>
      <c r="BD817" s="42"/>
    </row>
    <row r="818" spans="45:75">
      <c r="AS818" s="42"/>
      <c r="AZ818" s="56"/>
      <c r="BB818" s="56"/>
      <c r="BD818" s="42"/>
    </row>
    <row r="819" spans="45:75">
      <c r="AZ819" s="56"/>
      <c r="BB819" s="56"/>
    </row>
    <row r="820" spans="45:75">
      <c r="AS820" s="49"/>
      <c r="AT820" s="49"/>
      <c r="AU820" s="49"/>
      <c r="AV820" s="49"/>
      <c r="AW820" s="49"/>
      <c r="AX820" s="49"/>
      <c r="AY820" s="49"/>
      <c r="AZ820" s="57"/>
      <c r="BA820" s="49"/>
      <c r="BB820" s="57"/>
      <c r="BC820" s="49"/>
      <c r="BD820" s="49"/>
      <c r="BE820" s="49"/>
    </row>
    <row r="821" spans="45:75">
      <c r="AX821" s="42"/>
      <c r="AZ821" s="56"/>
      <c r="BB821" s="56"/>
    </row>
    <row r="822" spans="45:75">
      <c r="AX822" s="49"/>
      <c r="AY822" s="49"/>
      <c r="AZ822" s="57"/>
      <c r="BA822" s="49"/>
      <c r="BB822" s="56"/>
      <c r="BC822" s="44"/>
      <c r="BD822" s="44"/>
    </row>
    <row r="823" spans="45:75">
      <c r="AV823" s="44"/>
      <c r="AW823" s="44"/>
      <c r="AZ823" s="58"/>
      <c r="BA823" s="44"/>
      <c r="BB823" s="56"/>
      <c r="BC823" s="44"/>
      <c r="BD823" s="44"/>
      <c r="BE823" s="44"/>
      <c r="BG823" s="49"/>
      <c r="BH823" s="49"/>
      <c r="BI823" s="42"/>
      <c r="BM823" s="49"/>
      <c r="BN823" s="49"/>
      <c r="BP823" s="49"/>
      <c r="BQ823" s="49"/>
      <c r="BR823" s="42"/>
      <c r="BV823" s="49"/>
      <c r="BW823" s="49"/>
    </row>
    <row r="824" spans="45:75">
      <c r="AV824" s="44"/>
      <c r="AW824" s="44"/>
      <c r="AX824" s="44"/>
      <c r="AY824" s="44"/>
      <c r="AZ824" s="58"/>
      <c r="BA824" s="44"/>
      <c r="BB824" s="58"/>
      <c r="BC824" s="44"/>
      <c r="BD824" s="44"/>
      <c r="BE824" s="44"/>
      <c r="BH824" s="44"/>
      <c r="BI824" s="44"/>
      <c r="BJ824" s="44"/>
      <c r="BK824" s="44"/>
      <c r="BL824" s="44"/>
      <c r="BM824" s="44"/>
      <c r="BQ824" s="44"/>
      <c r="BR824" s="44"/>
      <c r="BS824" s="44"/>
      <c r="BT824" s="44"/>
      <c r="BU824" s="44"/>
      <c r="BV824" s="44"/>
    </row>
    <row r="825" spans="45:75">
      <c r="AS825" s="44"/>
      <c r="AU825" s="42"/>
      <c r="AV825" s="44"/>
      <c r="AW825" s="44"/>
      <c r="AX825" s="44"/>
      <c r="AY825" s="44"/>
      <c r="AZ825" s="58"/>
      <c r="BA825" s="44"/>
      <c r="BB825" s="58"/>
      <c r="BC825" s="44"/>
      <c r="BD825" s="44"/>
      <c r="BE825" s="44"/>
      <c r="BG825" s="44"/>
      <c r="BH825" s="44"/>
      <c r="BI825" s="44"/>
      <c r="BJ825" s="44"/>
      <c r="BK825" s="44"/>
      <c r="BL825" s="44"/>
      <c r="BM825" s="44"/>
      <c r="BN825" s="44"/>
      <c r="BP825" s="44"/>
      <c r="BQ825" s="44"/>
      <c r="BR825" s="44"/>
      <c r="BS825" s="44"/>
      <c r="BT825" s="44"/>
      <c r="BU825" s="44"/>
      <c r="BV825" s="44"/>
      <c r="BW825" s="44"/>
    </row>
    <row r="826" spans="45:75">
      <c r="AS826" s="44"/>
      <c r="AU826" s="42"/>
      <c r="AV826" s="44"/>
      <c r="AW826" s="44"/>
      <c r="AX826" s="44"/>
      <c r="AY826" s="44"/>
      <c r="AZ826" s="58"/>
      <c r="BA826" s="44"/>
      <c r="BB826" s="58"/>
      <c r="BC826" s="44"/>
      <c r="BD826" s="44"/>
      <c r="BE826" s="44"/>
      <c r="BG826" s="44"/>
      <c r="BH826" s="44"/>
      <c r="BI826" s="44"/>
      <c r="BJ826" s="44"/>
      <c r="BK826" s="44"/>
      <c r="BL826" s="44"/>
      <c r="BM826" s="44"/>
      <c r="BN826" s="44"/>
      <c r="BP826" s="44"/>
      <c r="BQ826" s="44"/>
      <c r="BR826" s="44"/>
      <c r="BS826" s="44"/>
      <c r="BT826" s="44"/>
      <c r="BU826" s="44"/>
      <c r="BV826" s="44"/>
      <c r="BW826" s="44"/>
    </row>
    <row r="827" spans="45:75">
      <c r="AS827" s="49"/>
      <c r="AT827" s="49"/>
      <c r="AU827" s="49"/>
      <c r="AV827" s="49"/>
      <c r="AW827" s="49"/>
      <c r="AX827" s="49"/>
      <c r="AY827" s="49"/>
      <c r="AZ827" s="57"/>
      <c r="BA827" s="49"/>
      <c r="BB827" s="57"/>
      <c r="BC827" s="49"/>
      <c r="BD827" s="49"/>
      <c r="BE827" s="49"/>
      <c r="BG827" s="49"/>
      <c r="BH827" s="49"/>
      <c r="BI827" s="49"/>
      <c r="BJ827" s="49"/>
      <c r="BK827" s="49"/>
      <c r="BL827" s="49"/>
      <c r="BM827" s="49"/>
      <c r="BN827" s="49"/>
      <c r="BP827" s="49"/>
      <c r="BQ827" s="49"/>
      <c r="BR827" s="49"/>
      <c r="BS827" s="49"/>
      <c r="BT827" s="49"/>
      <c r="BU827" s="49"/>
      <c r="BV827" s="49"/>
      <c r="BW827" s="49"/>
    </row>
    <row r="828" spans="45:75">
      <c r="AV828" s="44"/>
      <c r="AW828" s="44"/>
      <c r="AX828" s="44"/>
      <c r="AY828" s="44"/>
      <c r="AZ828" s="58"/>
      <c r="BA828" s="44"/>
      <c r="BB828" s="58"/>
      <c r="BC828" s="44"/>
      <c r="BD828" s="44"/>
      <c r="BE828" s="44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</row>
    <row r="829" spans="45:75">
      <c r="AU829" s="42"/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</row>
    <row r="830" spans="45:75"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5:75"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5:75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9:75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9:75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9:75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9:75"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9:75"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9:75"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</row>
    <row r="839" spans="49:75"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</row>
    <row r="840" spans="49:75"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</row>
    <row r="841" spans="49:75"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</row>
    <row r="842" spans="49:75"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</row>
    <row r="843" spans="49:75"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</row>
    <row r="844" spans="49:75"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</row>
    <row r="845" spans="49:75"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</row>
    <row r="846" spans="49:75"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</row>
    <row r="847" spans="49:75"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</row>
    <row r="848" spans="49:75"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</row>
    <row r="849" spans="45:75"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</row>
    <row r="850" spans="45:75">
      <c r="AW850" s="45"/>
      <c r="AX850" s="56"/>
      <c r="AY850" s="56"/>
      <c r="AZ850" s="56"/>
      <c r="BA850" s="51"/>
      <c r="BB850" s="56"/>
      <c r="BC850" s="56"/>
      <c r="BD850" s="56"/>
      <c r="BE850" s="51"/>
      <c r="BG850" s="49"/>
      <c r="BH850" s="49"/>
      <c r="BI850" s="42"/>
      <c r="BM850" s="49"/>
      <c r="BN850" s="49"/>
      <c r="BO850" s="56"/>
      <c r="BP850" s="49"/>
      <c r="BQ850" s="49"/>
      <c r="BR850" s="42"/>
      <c r="BV850" s="49"/>
      <c r="BW850" s="49"/>
    </row>
    <row r="851" spans="45:75">
      <c r="AU851" s="42"/>
      <c r="AV851" s="44"/>
      <c r="AW851" s="45"/>
      <c r="AX851" s="56"/>
      <c r="AY851" s="56"/>
      <c r="AZ851" s="56"/>
      <c r="BA851" s="51"/>
      <c r="BB851" s="56"/>
      <c r="BC851" s="56"/>
      <c r="BD851" s="56"/>
      <c r="BE851" s="51"/>
      <c r="BG851" s="58"/>
      <c r="BH851" s="56"/>
      <c r="BI851" s="56"/>
      <c r="BJ851" s="56"/>
      <c r="BK851" s="58"/>
      <c r="BL851" s="59"/>
      <c r="BM851" s="56"/>
      <c r="BN851" s="58"/>
      <c r="BO851" s="56"/>
      <c r="BP851" s="58"/>
      <c r="BQ851" s="56"/>
      <c r="BR851" s="56"/>
      <c r="BS851" s="56"/>
      <c r="BT851" s="58"/>
      <c r="BU851" s="59"/>
      <c r="BV851" s="56"/>
      <c r="BW851" s="58"/>
    </row>
    <row r="852" spans="45:75">
      <c r="AV852" s="44"/>
      <c r="AW852" s="45"/>
      <c r="AX852" s="56"/>
      <c r="AY852" s="56"/>
      <c r="AZ852" s="56"/>
      <c r="BA852" s="51"/>
      <c r="BB852" s="56"/>
      <c r="BC852" s="56"/>
      <c r="BD852" s="56"/>
      <c r="BE852" s="51"/>
      <c r="BG852" s="56"/>
      <c r="BH852" s="56"/>
      <c r="BI852" s="56"/>
      <c r="BJ852" s="56"/>
      <c r="BK852" s="56"/>
      <c r="BL852" s="59"/>
      <c r="BM852" s="56"/>
      <c r="BN852" s="56"/>
      <c r="BO852" s="56"/>
      <c r="BP852" s="56"/>
      <c r="BQ852" s="56"/>
      <c r="BR852" s="56"/>
      <c r="BS852" s="56"/>
      <c r="BT852" s="56"/>
      <c r="BU852" s="59"/>
      <c r="BV852" s="56"/>
      <c r="BW852" s="56"/>
    </row>
    <row r="853" spans="45:75">
      <c r="AV853" s="44"/>
      <c r="AW853" s="45"/>
      <c r="AX853" s="56"/>
      <c r="AY853" s="56"/>
      <c r="AZ853" s="56"/>
      <c r="BA853" s="51"/>
      <c r="BB853" s="56"/>
      <c r="BC853" s="56"/>
      <c r="BD853" s="56"/>
      <c r="BE853" s="51"/>
      <c r="BG853" s="56"/>
      <c r="BH853" s="56"/>
      <c r="BI853" s="56"/>
      <c r="BJ853" s="56"/>
      <c r="BK853" s="56"/>
      <c r="BL853" s="59"/>
      <c r="BM853" s="56"/>
      <c r="BN853" s="56"/>
      <c r="BO853" s="56"/>
      <c r="BP853" s="56"/>
      <c r="BQ853" s="56"/>
      <c r="BR853" s="56"/>
      <c r="BS853" s="56"/>
      <c r="BT853" s="56"/>
      <c r="BU853" s="59"/>
      <c r="BV853" s="56"/>
      <c r="BW853" s="56"/>
    </row>
    <row r="854" spans="45:75">
      <c r="AV854" s="44"/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9"/>
      <c r="BM854" s="56"/>
      <c r="BN854" s="56"/>
      <c r="BO854" s="56"/>
      <c r="BP854" s="56"/>
      <c r="BQ854" s="56"/>
      <c r="BR854" s="56"/>
      <c r="BS854" s="56"/>
      <c r="BT854" s="56"/>
      <c r="BU854" s="59"/>
      <c r="BV854" s="56"/>
      <c r="BW854" s="56"/>
    </row>
    <row r="855" spans="45:75"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</row>
    <row r="856" spans="45:75">
      <c r="AU856" s="42"/>
    </row>
    <row r="857" spans="45:75">
      <c r="AU857" s="42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</row>
    <row r="858" spans="45:75">
      <c r="AS858" s="42"/>
      <c r="AZ858" s="56"/>
      <c r="BB858" s="56"/>
    </row>
    <row r="859" spans="45:75">
      <c r="AZ859" s="56"/>
      <c r="BB859" s="56"/>
      <c r="BO859" s="56"/>
      <c r="BP859" s="56"/>
      <c r="BQ859" s="56"/>
      <c r="BR859" s="56"/>
      <c r="BS859" s="56"/>
      <c r="BT859" s="56"/>
      <c r="BU859" s="56"/>
      <c r="BV859" s="56"/>
    </row>
    <row r="860" spans="45:75">
      <c r="AY860" s="56"/>
      <c r="AZ860" s="56"/>
      <c r="BB860" s="56"/>
      <c r="BO860" s="56"/>
      <c r="BP860" s="56"/>
      <c r="BQ860" s="56"/>
      <c r="BR860" s="56"/>
      <c r="BS860" s="56"/>
      <c r="BT860" s="56"/>
      <c r="BU860" s="56"/>
      <c r="BV860" s="56"/>
    </row>
    <row r="861" spans="45:75">
      <c r="AY861" s="42"/>
      <c r="AZ861" s="56"/>
      <c r="BB861" s="56"/>
      <c r="BO861" s="56"/>
      <c r="BP861" s="56"/>
      <c r="BQ861" s="56"/>
      <c r="BR861" s="56"/>
      <c r="BS861" s="56"/>
      <c r="BT861" s="56"/>
      <c r="BU861" s="56"/>
      <c r="BV861" s="56"/>
    </row>
    <row r="862" spans="45:75">
      <c r="AY862" s="42"/>
      <c r="AZ862" s="56"/>
      <c r="BB862" s="56"/>
      <c r="BO862" s="56"/>
      <c r="BP862" s="56"/>
      <c r="BQ862" s="56"/>
      <c r="BR862" s="56"/>
      <c r="BS862" s="56"/>
      <c r="BT862" s="56"/>
      <c r="BU862" s="56"/>
      <c r="BV862" s="56"/>
    </row>
    <row r="863" spans="45:75">
      <c r="AZ863" s="56"/>
      <c r="BB863" s="56"/>
      <c r="BD863" s="42"/>
      <c r="BO863" s="56"/>
      <c r="BP863" s="56"/>
      <c r="BQ863" s="56"/>
      <c r="BR863" s="56"/>
      <c r="BS863" s="56"/>
      <c r="BT863" s="56"/>
      <c r="BU863" s="56"/>
      <c r="BV863" s="56"/>
    </row>
    <row r="864" spans="45:75">
      <c r="AZ864" s="56"/>
      <c r="BB864" s="56"/>
      <c r="BD864" s="42"/>
      <c r="BO864" s="56"/>
      <c r="BP864" s="56"/>
      <c r="BQ864" s="56"/>
      <c r="BR864" s="56"/>
      <c r="BS864" s="56"/>
      <c r="BT864" s="56"/>
      <c r="BU864" s="56"/>
      <c r="BV864" s="56"/>
    </row>
    <row r="865" spans="45:74">
      <c r="AS865" s="42"/>
      <c r="AZ865" s="56"/>
      <c r="BB865" s="56"/>
      <c r="BD865" s="42"/>
      <c r="BO865" s="56"/>
      <c r="BP865" s="56"/>
      <c r="BQ865" s="56"/>
      <c r="BR865" s="56"/>
      <c r="BS865" s="56"/>
      <c r="BT865" s="56"/>
      <c r="BU865" s="56"/>
      <c r="BV865" s="56"/>
    </row>
    <row r="866" spans="45:74">
      <c r="AZ866" s="56"/>
      <c r="BB866" s="56"/>
      <c r="BO866" s="56"/>
      <c r="BP866" s="56"/>
      <c r="BQ866" s="56"/>
      <c r="BR866" s="56"/>
      <c r="BS866" s="56"/>
      <c r="BT866" s="56"/>
      <c r="BU866" s="56"/>
      <c r="BV866" s="56"/>
    </row>
    <row r="867" spans="45:74">
      <c r="AS867" s="49"/>
      <c r="AT867" s="49"/>
      <c r="AU867" s="49"/>
      <c r="AV867" s="49"/>
      <c r="AW867" s="49"/>
      <c r="AX867" s="49"/>
      <c r="AY867" s="49"/>
      <c r="AZ867" s="57"/>
      <c r="BA867" s="49"/>
      <c r="BB867" s="57"/>
      <c r="BC867" s="49"/>
      <c r="BD867" s="49"/>
      <c r="BE867" s="49"/>
      <c r="BO867" s="56"/>
      <c r="BP867" s="56"/>
      <c r="BQ867" s="56"/>
      <c r="BR867" s="56"/>
      <c r="BS867" s="56"/>
      <c r="BT867" s="56"/>
      <c r="BU867" s="56"/>
      <c r="BV867" s="56"/>
    </row>
    <row r="868" spans="45:74">
      <c r="AX868" s="42"/>
      <c r="AZ868" s="56"/>
      <c r="BB868" s="56"/>
      <c r="BO868" s="56"/>
      <c r="BP868" s="56"/>
      <c r="BQ868" s="56"/>
      <c r="BR868" s="56"/>
      <c r="BS868" s="56"/>
      <c r="BT868" s="56"/>
      <c r="BU868" s="56"/>
      <c r="BV868" s="56"/>
    </row>
    <row r="869" spans="45:74">
      <c r="AX869" s="49"/>
      <c r="AY869" s="49"/>
      <c r="AZ869" s="57"/>
      <c r="BA869" s="49"/>
      <c r="BB869" s="56"/>
      <c r="BC869" s="44"/>
      <c r="BD869" s="44"/>
      <c r="BO869" s="56"/>
      <c r="BP869" s="56"/>
      <c r="BQ869" s="56"/>
      <c r="BR869" s="56"/>
      <c r="BS869" s="56"/>
      <c r="BT869" s="56"/>
      <c r="BU869" s="56"/>
      <c r="BV869" s="56"/>
    </row>
    <row r="870" spans="45:74">
      <c r="AV870" s="44"/>
      <c r="AW870" s="44"/>
      <c r="AZ870" s="58"/>
      <c r="BA870" s="44"/>
      <c r="BB870" s="56"/>
      <c r="BC870" s="44"/>
      <c r="BD870" s="44"/>
      <c r="BE870" s="44"/>
      <c r="BG870" s="49"/>
      <c r="BH870" s="42"/>
      <c r="BK870" s="49"/>
      <c r="BM870" s="49"/>
      <c r="BN870" s="42"/>
      <c r="BQ870" s="49"/>
    </row>
    <row r="871" spans="45:74">
      <c r="AV871" s="44"/>
      <c r="AW871" s="44"/>
      <c r="AX871" s="44"/>
      <c r="AY871" s="44"/>
      <c r="AZ871" s="58"/>
      <c r="BA871" s="44"/>
      <c r="BB871" s="58"/>
      <c r="BC871" s="44"/>
      <c r="BD871" s="44"/>
      <c r="BE871" s="44"/>
      <c r="BH871" s="44"/>
      <c r="BI871" s="44"/>
      <c r="BN871" s="44"/>
      <c r="BO871" s="44"/>
    </row>
    <row r="872" spans="45:74">
      <c r="AS872" s="44"/>
      <c r="AU872" s="42"/>
      <c r="AV872" s="44"/>
      <c r="AW872" s="44"/>
      <c r="AX872" s="44"/>
      <c r="AY872" s="44"/>
      <c r="AZ872" s="58"/>
      <c r="BA872" s="44"/>
      <c r="BB872" s="58"/>
      <c r="BC872" s="44"/>
      <c r="BD872" s="44"/>
      <c r="BE872" s="44"/>
      <c r="BG872" s="44"/>
      <c r="BH872" s="44"/>
      <c r="BI872" s="44"/>
      <c r="BJ872" s="44"/>
      <c r="BK872" s="44"/>
      <c r="BM872" s="44"/>
      <c r="BN872" s="44"/>
      <c r="BO872" s="44"/>
      <c r="BP872" s="44"/>
      <c r="BQ872" s="44"/>
    </row>
    <row r="873" spans="45:74">
      <c r="AS873" s="44"/>
      <c r="AU873" s="42"/>
      <c r="AV873" s="44"/>
      <c r="AW873" s="44"/>
      <c r="AX873" s="44"/>
      <c r="AY873" s="44"/>
      <c r="AZ873" s="58"/>
      <c r="BA873" s="44"/>
      <c r="BB873" s="58"/>
      <c r="BC873" s="44"/>
      <c r="BD873" s="44"/>
      <c r="BE873" s="44"/>
      <c r="BG873" s="44"/>
      <c r="BH873" s="44"/>
      <c r="BI873" s="44"/>
      <c r="BJ873" s="44"/>
      <c r="BK873" s="44"/>
      <c r="BM873" s="44"/>
      <c r="BN873" s="44"/>
      <c r="BO873" s="44"/>
      <c r="BP873" s="44"/>
      <c r="BQ873" s="44"/>
    </row>
    <row r="874" spans="45:74">
      <c r="AS874" s="49"/>
      <c r="AT874" s="49"/>
      <c r="AU874" s="49"/>
      <c r="AV874" s="49"/>
      <c r="AW874" s="49"/>
      <c r="AX874" s="49"/>
      <c r="AY874" s="49"/>
      <c r="AZ874" s="57"/>
      <c r="BA874" s="49"/>
      <c r="BB874" s="57"/>
      <c r="BC874" s="49"/>
      <c r="BD874" s="49"/>
      <c r="BE874" s="49"/>
      <c r="BG874" s="49"/>
      <c r="BH874" s="49"/>
      <c r="BI874" s="49"/>
      <c r="BJ874" s="49"/>
      <c r="BK874" s="49"/>
      <c r="BM874" s="49"/>
      <c r="BN874" s="49"/>
      <c r="BO874" s="49"/>
      <c r="BP874" s="49"/>
      <c r="BQ874" s="49"/>
    </row>
    <row r="875" spans="45:74">
      <c r="AV875" s="44"/>
      <c r="AW875" s="44"/>
      <c r="AX875" s="44"/>
      <c r="AY875" s="44"/>
      <c r="AZ875" s="58"/>
      <c r="BA875" s="44"/>
      <c r="BB875" s="58"/>
      <c r="BC875" s="44"/>
      <c r="BD875" s="44"/>
      <c r="BE875" s="44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</row>
    <row r="876" spans="45:74">
      <c r="AT876" s="42"/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</row>
    <row r="877" spans="45:74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</row>
    <row r="878" spans="45:74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5:74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5:74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6:71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</row>
    <row r="882" spans="46:71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</row>
    <row r="883" spans="46:71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</row>
    <row r="884" spans="46:71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</row>
    <row r="885" spans="46:71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</row>
    <row r="886" spans="46:71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</row>
    <row r="887" spans="46:71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</row>
    <row r="888" spans="46:71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</row>
    <row r="889" spans="46:71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</row>
    <row r="890" spans="46:71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</row>
    <row r="891" spans="46:71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</row>
    <row r="892" spans="46:71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</row>
    <row r="893" spans="46:71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</row>
    <row r="894" spans="46:71">
      <c r="AZ894" s="56"/>
      <c r="BB894" s="56"/>
      <c r="BC894" s="56"/>
      <c r="BD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</row>
    <row r="895" spans="46:71">
      <c r="AT895" s="42"/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71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8:57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8:57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8:57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8:57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8:57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8:57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8:57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8:57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8:57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8:57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8:57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8:57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8:57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0" spans="48:57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</row>
    <row r="911" spans="48:57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</row>
    <row r="912" spans="48:57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</row>
    <row r="913" spans="45:57">
      <c r="BB913" s="56"/>
    </row>
    <row r="914" spans="45:57">
      <c r="AU914" s="42"/>
      <c r="BB914" s="56"/>
    </row>
    <row r="915" spans="45:57">
      <c r="AU915" s="42"/>
    </row>
    <row r="916" spans="45:57">
      <c r="AU916" s="42"/>
      <c r="BB916" s="56"/>
    </row>
    <row r="917" spans="45:57">
      <c r="AS917" s="42"/>
      <c r="AZ917" s="56"/>
      <c r="BB917" s="56"/>
    </row>
    <row r="918" spans="45:57">
      <c r="AZ918" s="56"/>
      <c r="BB918" s="56"/>
    </row>
    <row r="919" spans="45:57">
      <c r="AY919" s="56"/>
      <c r="AZ919" s="56"/>
      <c r="BB919" s="56"/>
    </row>
    <row r="920" spans="45:57">
      <c r="AY920" s="42"/>
      <c r="AZ920" s="56"/>
      <c r="BB920" s="56"/>
    </row>
    <row r="921" spans="45:57">
      <c r="AY921" s="42"/>
      <c r="AZ921" s="56"/>
      <c r="BB921" s="56"/>
    </row>
    <row r="922" spans="45:57">
      <c r="AZ922" s="56"/>
      <c r="BB922" s="56"/>
      <c r="BD922" s="42"/>
    </row>
    <row r="923" spans="45:57">
      <c r="AZ923" s="56"/>
      <c r="BB923" s="56"/>
      <c r="BD923" s="42"/>
    </row>
    <row r="924" spans="45:57">
      <c r="AS924" s="42"/>
      <c r="AZ924" s="56"/>
      <c r="BB924" s="56"/>
      <c r="BD924" s="42"/>
    </row>
    <row r="925" spans="45:57">
      <c r="AZ925" s="56"/>
      <c r="BB925" s="56"/>
    </row>
    <row r="926" spans="45:57">
      <c r="AS926" s="49"/>
      <c r="AT926" s="49"/>
      <c r="AU926" s="49"/>
      <c r="AV926" s="49"/>
      <c r="AW926" s="49"/>
      <c r="AX926" s="49"/>
      <c r="AY926" s="49"/>
      <c r="AZ926" s="57"/>
      <c r="BA926" s="49"/>
      <c r="BB926" s="57"/>
      <c r="BC926" s="49"/>
      <c r="BD926" s="49"/>
      <c r="BE926" s="49"/>
    </row>
    <row r="927" spans="45:57">
      <c r="AX927" s="42"/>
      <c r="AZ927" s="56"/>
      <c r="BB927" s="56"/>
    </row>
    <row r="928" spans="45:57">
      <c r="AX928" s="49"/>
      <c r="AY928" s="49"/>
      <c r="AZ928" s="57"/>
      <c r="BA928" s="49"/>
      <c r="BB928" s="56"/>
      <c r="BC928" s="44"/>
      <c r="BD928" s="44"/>
    </row>
    <row r="929" spans="45:57">
      <c r="AV929" s="44"/>
      <c r="AW929" s="44"/>
      <c r="AZ929" s="58"/>
      <c r="BA929" s="44"/>
      <c r="BB929" s="56"/>
      <c r="BC929" s="44"/>
      <c r="BD929" s="44"/>
      <c r="BE929" s="44"/>
    </row>
    <row r="930" spans="45:57">
      <c r="AV930" s="44"/>
      <c r="AW930" s="44"/>
      <c r="AX930" s="44"/>
      <c r="AY930" s="44"/>
      <c r="AZ930" s="58"/>
      <c r="BA930" s="44"/>
      <c r="BB930" s="58"/>
      <c r="BC930" s="44"/>
      <c r="BD930" s="44"/>
      <c r="BE930" s="44"/>
    </row>
    <row r="931" spans="45:57">
      <c r="AS931" s="44"/>
      <c r="AU931" s="42"/>
      <c r="AV931" s="44"/>
      <c r="AW931" s="44"/>
      <c r="AX931" s="44"/>
      <c r="AY931" s="44"/>
      <c r="AZ931" s="58"/>
      <c r="BA931" s="44"/>
      <c r="BB931" s="58"/>
      <c r="BC931" s="44"/>
      <c r="BD931" s="44"/>
      <c r="BE931" s="44"/>
    </row>
    <row r="932" spans="45:57">
      <c r="AS932" s="44"/>
      <c r="AU932" s="42"/>
      <c r="AV932" s="44"/>
      <c r="AW932" s="44"/>
      <c r="AX932" s="44"/>
      <c r="AY932" s="44"/>
      <c r="AZ932" s="58"/>
      <c r="BA932" s="44"/>
      <c r="BB932" s="58"/>
      <c r="BC932" s="44"/>
      <c r="BD932" s="44"/>
      <c r="BE932" s="44"/>
    </row>
    <row r="933" spans="45:57">
      <c r="AS933" s="49"/>
      <c r="AT933" s="49"/>
      <c r="AU933" s="49"/>
      <c r="AV933" s="49"/>
      <c r="AW933" s="49"/>
      <c r="AX933" s="49"/>
      <c r="AY933" s="49"/>
      <c r="AZ933" s="57"/>
      <c r="BA933" s="49"/>
      <c r="BB933" s="57"/>
      <c r="BC933" s="49"/>
      <c r="BD933" s="49"/>
      <c r="BE933" s="49"/>
    </row>
    <row r="934" spans="45:57">
      <c r="AV934" s="44"/>
      <c r="AW934" s="44"/>
      <c r="AX934" s="44"/>
      <c r="AY934" s="44"/>
      <c r="AZ934" s="58"/>
      <c r="BA934" s="44"/>
      <c r="BB934" s="58"/>
      <c r="BC934" s="44"/>
      <c r="BD934" s="44"/>
      <c r="BE934" s="44"/>
    </row>
    <row r="935" spans="45:57">
      <c r="AT935" s="42"/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5:57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5:57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5:57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5:57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5:57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5:57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5:57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5:57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5:57">
      <c r="AV944" s="45"/>
      <c r="AW944" s="45"/>
      <c r="AX944" s="56"/>
      <c r="AY944" s="56"/>
      <c r="AZ944" s="56"/>
      <c r="BA944" s="51"/>
      <c r="BB944" s="56"/>
      <c r="BC944" s="56"/>
      <c r="BD944" s="56"/>
      <c r="BE944" s="51"/>
    </row>
    <row r="945" spans="45:57">
      <c r="AV945" s="45"/>
      <c r="AW945" s="45"/>
      <c r="BB945" s="56"/>
    </row>
    <row r="946" spans="45:57">
      <c r="AT946" s="42"/>
      <c r="AV946" s="45"/>
      <c r="AW946" s="45"/>
      <c r="AX946" s="56"/>
      <c r="AY946" s="56"/>
      <c r="AZ946" s="56"/>
      <c r="BA946" s="51"/>
      <c r="BB946" s="56"/>
      <c r="BC946" s="56"/>
      <c r="BD946" s="56"/>
      <c r="BE946" s="51"/>
    </row>
    <row r="947" spans="45:57">
      <c r="AV947" s="45"/>
      <c r="AW947" s="45"/>
      <c r="AX947" s="56"/>
      <c r="AY947" s="56"/>
      <c r="AZ947" s="56"/>
      <c r="BA947" s="51"/>
      <c r="BB947" s="56"/>
      <c r="BC947" s="56"/>
      <c r="BD947" s="56"/>
      <c r="BE947" s="51"/>
    </row>
    <row r="948" spans="45:57">
      <c r="AV948" s="45"/>
      <c r="AW948" s="45"/>
      <c r="AX948" s="56"/>
      <c r="AY948" s="56"/>
      <c r="AZ948" s="56"/>
      <c r="BA948" s="51"/>
      <c r="BB948" s="56"/>
      <c r="BC948" s="56"/>
      <c r="BD948" s="56"/>
      <c r="BE948" s="51"/>
    </row>
    <row r="949" spans="45:57">
      <c r="AV949" s="45"/>
      <c r="AW949" s="45"/>
      <c r="AX949" s="56"/>
      <c r="AY949" s="56"/>
      <c r="AZ949" s="56"/>
      <c r="BA949" s="51"/>
      <c r="BB949" s="56"/>
      <c r="BC949" s="56"/>
      <c r="BD949" s="56"/>
      <c r="BE949" s="51"/>
    </row>
    <row r="950" spans="45:57">
      <c r="AV950" s="45"/>
      <c r="AW950" s="45"/>
      <c r="AX950" s="56"/>
      <c r="AY950" s="56"/>
      <c r="AZ950" s="56"/>
      <c r="BA950" s="51"/>
      <c r="BB950" s="56"/>
      <c r="BC950" s="56"/>
      <c r="BD950" s="56"/>
      <c r="BE950" s="51"/>
    </row>
    <row r="951" spans="45:57">
      <c r="AV951" s="45"/>
      <c r="AW951" s="45"/>
      <c r="AX951" s="56"/>
      <c r="AY951" s="56"/>
      <c r="AZ951" s="56"/>
      <c r="BA951" s="51"/>
      <c r="BB951" s="56"/>
      <c r="BC951" s="56"/>
      <c r="BD951" s="56"/>
      <c r="BE951" s="51"/>
    </row>
    <row r="952" spans="45:57">
      <c r="AV952" s="45"/>
      <c r="AW952" s="45"/>
      <c r="AX952" s="56"/>
      <c r="AY952" s="56"/>
      <c r="AZ952" s="56"/>
      <c r="BA952" s="51"/>
      <c r="BB952" s="56"/>
      <c r="BC952" s="56"/>
      <c r="BD952" s="56"/>
      <c r="BE952" s="51"/>
    </row>
    <row r="953" spans="45:57">
      <c r="AV953" s="45"/>
      <c r="AW953" s="45"/>
      <c r="AX953" s="56"/>
      <c r="AY953" s="56"/>
      <c r="AZ953" s="56"/>
      <c r="BA953" s="51"/>
      <c r="BB953" s="56"/>
      <c r="BC953" s="56"/>
      <c r="BD953" s="56"/>
      <c r="BE953" s="51"/>
    </row>
    <row r="954" spans="45:57">
      <c r="AV954" s="45"/>
      <c r="AW954" s="45"/>
      <c r="AX954" s="56"/>
      <c r="AY954" s="56"/>
      <c r="AZ954" s="56"/>
      <c r="BA954" s="51"/>
      <c r="BB954" s="56"/>
      <c r="BC954" s="56"/>
      <c r="BD954" s="56"/>
      <c r="BE954" s="51"/>
    </row>
    <row r="955" spans="45:57">
      <c r="AV955" s="45"/>
      <c r="AW955" s="45"/>
      <c r="AX955" s="56"/>
      <c r="AY955" s="56"/>
      <c r="AZ955" s="56"/>
      <c r="BA955" s="51"/>
      <c r="BB955" s="56"/>
      <c r="BC955" s="56"/>
      <c r="BD955" s="56"/>
      <c r="BE955" s="51"/>
    </row>
    <row r="957" spans="45:57">
      <c r="AU957" s="42"/>
    </row>
    <row r="958" spans="45:57">
      <c r="AU958" s="42"/>
    </row>
    <row r="959" spans="45:57">
      <c r="AU959" s="42"/>
    </row>
    <row r="960" spans="45:57">
      <c r="AS960" s="42"/>
    </row>
    <row r="981" spans="52:71">
      <c r="AZ981" s="56"/>
      <c r="BB981" s="56"/>
      <c r="BC981" s="56"/>
      <c r="BD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</row>
    <row r="982" spans="52:71">
      <c r="AZ982" s="56"/>
      <c r="BB982" s="56"/>
      <c r="BC982" s="56"/>
      <c r="BD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</row>
    <row r="983" spans="52:71">
      <c r="AZ983" s="56"/>
      <c r="BB983" s="56"/>
      <c r="BC983" s="56"/>
      <c r="BD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>
      <c r="AZ984" s="56"/>
      <c r="BB984" s="56"/>
      <c r="BC984" s="56"/>
      <c r="BD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>
      <c r="AZ985" s="56"/>
      <c r="BB985" s="56"/>
      <c r="BC985" s="56"/>
      <c r="BD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>
      <c r="AZ986" s="56"/>
      <c r="BB986" s="56"/>
      <c r="BC986" s="56"/>
      <c r="BD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</row>
    <row r="987" spans="52:71">
      <c r="AZ987" s="56"/>
      <c r="BB987" s="56"/>
      <c r="BC987" s="56"/>
      <c r="BD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</row>
    <row r="988" spans="52:71">
      <c r="AZ988" s="56"/>
      <c r="BB988" s="56"/>
      <c r="BC988" s="56"/>
      <c r="BD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</row>
    <row r="989" spans="52:71">
      <c r="AZ989" s="56"/>
      <c r="BB989" s="56"/>
      <c r="BC989" s="56"/>
      <c r="BD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</row>
    <row r="990" spans="52:71">
      <c r="AZ990" s="56"/>
      <c r="BB990" s="56"/>
      <c r="BC990" s="56"/>
      <c r="BD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</row>
    <row r="991" spans="52:71">
      <c r="AZ991" s="56"/>
      <c r="BB991" s="56"/>
      <c r="BC991" s="56"/>
      <c r="BD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</row>
    <row r="992" spans="52:71">
      <c r="AZ992" s="56"/>
      <c r="BB992" s="56"/>
      <c r="BC992" s="56"/>
      <c r="BD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</row>
    <row r="993" spans="52:71">
      <c r="AZ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</row>
    <row r="994" spans="52:71">
      <c r="AZ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</row>
    <row r="995" spans="52:71">
      <c r="AZ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</row>
    <row r="996" spans="52:71">
      <c r="AZ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</row>
    <row r="997" spans="52:71">
      <c r="AZ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</row>
    <row r="998" spans="52:71">
      <c r="AZ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</row>
    <row r="999" spans="52:71">
      <c r="AZ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</row>
    <row r="1000" spans="52:71">
      <c r="AZ1000" s="56"/>
    </row>
    <row r="1001" spans="52:71">
      <c r="AZ1001" s="56"/>
    </row>
    <row r="1015" spans="1:28">
      <c r="A1015" s="42"/>
    </row>
    <row r="1018" spans="1:28">
      <c r="Y1018" s="42"/>
    </row>
    <row r="1019" spans="1:28">
      <c r="A1019" s="42"/>
      <c r="H1019" s="42"/>
      <c r="I1019" s="42"/>
    </row>
    <row r="1020" spans="1:28">
      <c r="A1020" s="42"/>
      <c r="V1020" s="44"/>
      <c r="AA1020" s="44"/>
      <c r="AB1020" s="44"/>
    </row>
    <row r="1021" spans="1:28">
      <c r="A1021" s="42"/>
      <c r="V1021" s="49"/>
      <c r="AA1021" s="49"/>
      <c r="AB1021" s="49"/>
    </row>
    <row r="1022" spans="1:28">
      <c r="A1022" s="42"/>
      <c r="U1022" s="42"/>
      <c r="AA1022" s="44"/>
      <c r="AB1022" s="44"/>
    </row>
    <row r="1023" spans="1:28">
      <c r="A1023" s="42"/>
    </row>
    <row r="1024" spans="1:28">
      <c r="A1024" s="42"/>
      <c r="U1024" s="42"/>
      <c r="AA1024" s="44"/>
      <c r="AB1024" s="44"/>
    </row>
    <row r="1025" spans="1:28">
      <c r="A1025" s="42"/>
    </row>
    <row r="1026" spans="1:28">
      <c r="A1026" s="42"/>
      <c r="U1026" s="42"/>
      <c r="V1026" s="339"/>
      <c r="AA1026" s="44"/>
      <c r="AB1026" s="44"/>
    </row>
    <row r="1027" spans="1:28">
      <c r="A1027" s="42"/>
    </row>
    <row r="1028" spans="1:28">
      <c r="A1028" s="42"/>
      <c r="U1028" s="42"/>
      <c r="AA1028" s="44"/>
      <c r="AB1028" s="44"/>
    </row>
    <row r="1029" spans="1:28">
      <c r="A1029" s="42"/>
    </row>
    <row r="1030" spans="1:28">
      <c r="A1030" s="42"/>
      <c r="U1030" s="42"/>
      <c r="AA1030" s="44"/>
      <c r="AB1030" s="44"/>
    </row>
    <row r="1031" spans="1:28">
      <c r="A1031" s="42"/>
    </row>
    <row r="1032" spans="1:28">
      <c r="A1032" s="42"/>
    </row>
    <row r="1033" spans="1:28">
      <c r="A1033" s="42"/>
    </row>
    <row r="1034" spans="1:28">
      <c r="A1034" s="42"/>
    </row>
    <row r="1035" spans="1:28">
      <c r="A1035" s="42"/>
    </row>
    <row r="1036" spans="1:28">
      <c r="A1036" s="42"/>
    </row>
    <row r="1037" spans="1:28">
      <c r="A1037" s="42"/>
    </row>
    <row r="1038" spans="1:28">
      <c r="A1038" s="42"/>
    </row>
    <row r="1039" spans="1:28">
      <c r="A1039" s="42"/>
    </row>
    <row r="1040" spans="1:28">
      <c r="A1040" s="42"/>
    </row>
    <row r="1041" spans="1:9">
      <c r="A1041" s="42"/>
      <c r="H1041" s="42"/>
      <c r="I1041" s="42"/>
    </row>
    <row r="1044" spans="1:9">
      <c r="A1044" s="42"/>
    </row>
    <row r="1047" spans="1:9">
      <c r="A1047" s="42"/>
    </row>
    <row r="1050" spans="1:9">
      <c r="A1050" s="42"/>
    </row>
    <row r="1051" spans="1:9">
      <c r="A1051" s="42"/>
    </row>
    <row r="1052" spans="1:9">
      <c r="A1052" s="42"/>
    </row>
    <row r="1053" spans="1:9">
      <c r="A1053" s="42"/>
    </row>
    <row r="1054" spans="1:9">
      <c r="A1054" s="42"/>
    </row>
    <row r="1055" spans="1:9">
      <c r="A1055" s="42"/>
    </row>
    <row r="1056" spans="1:9">
      <c r="A1056" s="42"/>
    </row>
    <row r="1057" spans="1:1">
      <c r="A1057" s="42"/>
    </row>
    <row r="1058" spans="1:1">
      <c r="A1058" s="42"/>
    </row>
    <row r="1059" spans="1:1">
      <c r="A1059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  <row r="1064" spans="1:1">
      <c r="A1064" s="42"/>
    </row>
    <row r="1065" spans="1:1">
      <c r="A1065" s="42"/>
    </row>
    <row r="1066" spans="1:1">
      <c r="A1066" s="42"/>
    </row>
    <row r="1067" spans="1:1">
      <c r="A1067" s="42"/>
    </row>
    <row r="1068" spans="1:1">
      <c r="A1068" s="42"/>
    </row>
    <row r="1069" spans="1:1">
      <c r="A1069" s="42"/>
    </row>
    <row r="1070" spans="1:1">
      <c r="A1070" s="42"/>
    </row>
    <row r="1071" spans="1:1">
      <c r="A1071" s="42"/>
    </row>
    <row r="1072" spans="1:1">
      <c r="A1072" s="42"/>
    </row>
    <row r="1073" spans="1:1">
      <c r="A1073" s="42"/>
    </row>
    <row r="1074" spans="1:1">
      <c r="A1074" s="42"/>
    </row>
    <row r="1075" spans="1:1">
      <c r="A1075" s="42"/>
    </row>
    <row r="1076" spans="1:1">
      <c r="A1076" s="42"/>
    </row>
    <row r="1077" spans="1:1">
      <c r="A1077" s="42"/>
    </row>
    <row r="1078" spans="1:1">
      <c r="A1078" s="42"/>
    </row>
    <row r="1079" spans="1:1">
      <c r="A1079" s="42"/>
    </row>
    <row r="1080" spans="1:1">
      <c r="A1080" s="42"/>
    </row>
    <row r="1081" spans="1:1">
      <c r="A1081" s="42"/>
    </row>
    <row r="1082" spans="1:1">
      <c r="A1082" s="42"/>
    </row>
    <row r="1083" spans="1:1">
      <c r="A1083" s="42"/>
    </row>
    <row r="1084" spans="1:1">
      <c r="A1084" s="42"/>
    </row>
    <row r="1089" spans="1:1">
      <c r="A1089" s="42"/>
    </row>
    <row r="1090" spans="1:1">
      <c r="A1090" s="42"/>
    </row>
    <row r="1093" spans="1:1">
      <c r="A1093" s="42"/>
    </row>
    <row r="1095" spans="1:1">
      <c r="A1095" s="42"/>
    </row>
    <row r="1097" spans="1:1">
      <c r="A1097" s="42"/>
    </row>
    <row r="1099" spans="1:1">
      <c r="A1099" s="42"/>
    </row>
    <row r="1102" spans="1:1">
      <c r="A1102" s="42"/>
    </row>
    <row r="1103" spans="1:1">
      <c r="A1103" s="42"/>
    </row>
    <row r="1104" spans="1:1">
      <c r="A1104" s="42"/>
    </row>
    <row r="1105" spans="1:1">
      <c r="A1105" s="42"/>
    </row>
    <row r="1106" spans="1:1">
      <c r="A1106" s="42"/>
    </row>
    <row r="1107" spans="1:1">
      <c r="A1107" s="42"/>
    </row>
    <row r="1108" spans="1:1">
      <c r="A1108" s="42"/>
    </row>
    <row r="1109" spans="1:1">
      <c r="A1109" s="42"/>
    </row>
  </sheetData>
  <customSheetViews>
    <customSheetView guid="{F562D92E-120C-4AE9-9663-89E64D41DC53}" scale="75" fitToPage="1" topLeftCell="V50">
      <selection activeCell="P35" sqref="P3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9"/>
      <headerFooter alignWithMargins="0"/>
    </customSheetView>
    <customSheetView guid="{4BC93440-BA85-4935-A8C9-66DC6AE5DE5E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10"/>
      <headerFooter alignWithMargins="0"/>
    </customSheetView>
    <customSheetView guid="{0C49E549-011E-46F4-A82E-2CC8951A9C1E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2" type="noConversion"/>
  <pageMargins left="0.5" right="0.5" top="1" bottom="0" header="0" footer="0"/>
  <pageSetup scale="67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 transitionEntry="1" codeName="Sheet10">
    <pageSetUpPr fitToPage="1"/>
  </sheetPr>
  <dimension ref="A1:BX1140"/>
  <sheetViews>
    <sheetView workbookViewId="0"/>
  </sheetViews>
  <sheetFormatPr defaultColWidth="9.69921875" defaultRowHeight="15.75"/>
  <cols>
    <col min="1" max="1" width="5" style="41" customWidth="1"/>
    <col min="2" max="2" width="0.3984375" style="41" customWidth="1"/>
    <col min="3" max="3" width="6.69921875" style="41" customWidth="1"/>
    <col min="4" max="4" width="38.69921875" style="41" customWidth="1"/>
    <col min="5" max="5" width="0.39843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2.5976562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7.5976562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7.296875" style="41" customWidth="1"/>
    <col min="23" max="23" width="37.3984375" style="41" customWidth="1"/>
    <col min="24" max="24" width="0.5976562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2.09765625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7 OF "&amp;TEXT(Page_Num_2.3,"00")</f>
        <v>PAGE 7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>
      <c r="A10" s="133" t="str">
        <f>INPUT!B5</f>
        <v xml:space="preserve"> </v>
      </c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>
      <c r="H19" s="308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H20" s="44"/>
      <c r="I20" s="44"/>
      <c r="J20" s="60"/>
      <c r="K20" s="44"/>
      <c r="L20" s="44"/>
      <c r="M20" s="44"/>
      <c r="N20" s="44"/>
      <c r="O20" s="44"/>
      <c r="P20" s="44"/>
      <c r="Q20" s="44"/>
      <c r="R20" s="44"/>
      <c r="Y20" s="44"/>
      <c r="Z20" s="44"/>
      <c r="AA20" s="44"/>
      <c r="AB20" s="44"/>
      <c r="AC20" s="44"/>
      <c r="AD20" s="44"/>
      <c r="AE20" s="44"/>
      <c r="AF20" s="44"/>
      <c r="AG20" s="102"/>
      <c r="AH20" s="44"/>
      <c r="AI20" s="44"/>
      <c r="AJ20" s="44"/>
      <c r="AK20" s="102"/>
      <c r="AL20" s="44"/>
      <c r="AM20" s="44"/>
      <c r="AN20" s="44"/>
    </row>
    <row r="21" spans="1:40">
      <c r="A21" s="41">
        <v>1</v>
      </c>
      <c r="C21" s="133" t="s">
        <v>95</v>
      </c>
      <c r="D21" s="133" t="s">
        <v>388</v>
      </c>
      <c r="E21" s="42"/>
      <c r="F21" s="1"/>
      <c r="G21" s="1"/>
      <c r="H21" s="3"/>
      <c r="I21" s="3"/>
      <c r="J21" s="7"/>
      <c r="K21" s="7"/>
      <c r="L21" s="3"/>
      <c r="M21" s="3"/>
      <c r="N21" s="4"/>
      <c r="O21" s="4"/>
      <c r="P21" s="3"/>
      <c r="Q21" s="3"/>
      <c r="R21" s="3"/>
      <c r="S21" s="45"/>
      <c r="T21" s="42"/>
      <c r="V21" s="45"/>
      <c r="Y21" s="45"/>
      <c r="Z21" s="326"/>
      <c r="AA21" s="45"/>
      <c r="AB21" s="45"/>
      <c r="AC21" s="46"/>
      <c r="AD21" s="46"/>
      <c r="AE21" s="45"/>
      <c r="AF21" s="45"/>
      <c r="AH21" s="46"/>
      <c r="AI21" s="45"/>
      <c r="AJ21" s="45"/>
      <c r="AL21" s="45"/>
      <c r="AM21" s="46"/>
      <c r="AN21" s="46"/>
    </row>
    <row r="22" spans="1:40">
      <c r="F22" s="1"/>
      <c r="G22" s="1"/>
      <c r="H22" s="3"/>
      <c r="I22" s="3"/>
      <c r="J22" s="7"/>
      <c r="K22" s="7"/>
      <c r="L22" s="3"/>
      <c r="M22" s="3"/>
      <c r="N22" s="4"/>
      <c r="O22" s="4"/>
      <c r="P22" s="3"/>
      <c r="Q22" s="3"/>
      <c r="R22" s="3"/>
      <c r="S22" s="45"/>
      <c r="V22" s="50"/>
      <c r="Y22" s="50"/>
      <c r="Z22" s="326"/>
      <c r="AA22" s="50"/>
      <c r="AB22" s="50"/>
      <c r="AC22" s="50"/>
      <c r="AD22" s="50"/>
      <c r="AE22" s="50"/>
      <c r="AF22" s="50"/>
      <c r="AI22" s="50"/>
      <c r="AJ22" s="50"/>
      <c r="AK22" s="111"/>
      <c r="AL22" s="50"/>
      <c r="AM22" s="46"/>
      <c r="AN22" s="46"/>
    </row>
    <row r="23" spans="1:40" ht="15.95" customHeight="1">
      <c r="A23" s="41">
        <v>2</v>
      </c>
      <c r="C23" s="48" t="s">
        <v>414</v>
      </c>
      <c r="F23" s="164">
        <v>0</v>
      </c>
      <c r="G23" s="1"/>
      <c r="H23" s="68"/>
      <c r="I23" s="68"/>
      <c r="J23" s="81"/>
      <c r="K23" s="81"/>
      <c r="L23" s="68">
        <v>0</v>
      </c>
      <c r="M23" s="68"/>
      <c r="N23" s="4">
        <f>ROUND((L23/L$38)*100,1)</f>
        <v>0</v>
      </c>
      <c r="O23" s="4"/>
      <c r="P23" s="3"/>
      <c r="Q23" s="3"/>
      <c r="R23" s="3">
        <f>L23+P23</f>
        <v>0</v>
      </c>
      <c r="S23" s="45"/>
      <c r="T23" s="42"/>
      <c r="Z23" s="32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>
      <c r="F24" s="164"/>
      <c r="G24" s="1"/>
      <c r="H24" s="317"/>
      <c r="I24" s="317"/>
      <c r="J24" s="317"/>
      <c r="K24" s="317"/>
      <c r="L24" s="1"/>
      <c r="M24" s="1"/>
      <c r="N24" s="1"/>
      <c r="O24" s="1"/>
      <c r="P24" s="1"/>
      <c r="Q24" s="1"/>
      <c r="R24" s="3"/>
      <c r="S24" s="45"/>
      <c r="T24" s="42"/>
      <c r="AA24" s="45"/>
      <c r="AB24" s="45"/>
      <c r="AC24" s="45"/>
      <c r="AD24" s="45"/>
      <c r="AI24" s="45"/>
      <c r="AJ24" s="45"/>
      <c r="AL24" s="45"/>
    </row>
    <row r="25" spans="1:40" ht="15.75" customHeight="1">
      <c r="A25" s="41">
        <v>3</v>
      </c>
      <c r="C25" s="48" t="s">
        <v>62</v>
      </c>
      <c r="F25" s="164">
        <f>'[13]Forecast BILLS'!$B$71</f>
        <v>166</v>
      </c>
      <c r="G25" s="1"/>
      <c r="H25" s="68"/>
      <c r="I25" s="68"/>
      <c r="J25" s="316">
        <f>INPUT!D96</f>
        <v>15</v>
      </c>
      <c r="K25" s="76"/>
      <c r="L25" s="3">
        <f>ROUND(F25*J25,0)</f>
        <v>2490</v>
      </c>
      <c r="M25" s="3"/>
      <c r="N25" s="4">
        <f>ROUND((L25/L$38)*100,1)</f>
        <v>4.2</v>
      </c>
      <c r="O25" s="4"/>
      <c r="P25" s="3"/>
      <c r="Q25" s="3"/>
      <c r="R25" s="3">
        <f>L25+P25</f>
        <v>2490</v>
      </c>
    </row>
    <row r="26" spans="1:40">
      <c r="F26" s="68"/>
      <c r="G26" s="1"/>
      <c r="H26" s="317"/>
      <c r="I26" s="317"/>
      <c r="J26" s="329"/>
      <c r="K26" s="317"/>
      <c r="L26" s="1"/>
      <c r="M26" s="1"/>
      <c r="N26" s="1"/>
      <c r="O26" s="1"/>
      <c r="P26" s="1"/>
      <c r="Q26" s="1"/>
      <c r="R26" s="3"/>
      <c r="Y26" s="42"/>
    </row>
    <row r="27" spans="1:40">
      <c r="A27" s="41">
        <v>4</v>
      </c>
      <c r="C27" s="48" t="s">
        <v>371</v>
      </c>
      <c r="F27" s="68"/>
      <c r="G27" s="1"/>
      <c r="H27" s="317"/>
      <c r="I27" s="317"/>
      <c r="J27" s="329"/>
      <c r="K27" s="317"/>
      <c r="L27" s="1"/>
      <c r="M27" s="1"/>
      <c r="N27" s="1"/>
      <c r="O27" s="1"/>
      <c r="P27" s="1"/>
      <c r="Q27" s="1"/>
      <c r="R27" s="3"/>
      <c r="Y27" s="42"/>
    </row>
    <row r="28" spans="1:40">
      <c r="A28" s="41">
        <v>5</v>
      </c>
      <c r="C28" s="42" t="s">
        <v>153</v>
      </c>
      <c r="F28" s="69"/>
      <c r="G28" s="1"/>
      <c r="H28" s="318">
        <f>'[13]Forecast KWH'!$B$70</f>
        <v>327203</v>
      </c>
      <c r="I28" s="68"/>
      <c r="J28" s="134">
        <f>INPUT!D98</f>
        <v>0.16764499999999999</v>
      </c>
      <c r="K28" s="319"/>
      <c r="L28" s="66">
        <f>ROUND((H28*(J28)),0)</f>
        <v>54854</v>
      </c>
      <c r="M28" s="3"/>
      <c r="N28" s="70">
        <f>ROUND((L28/L$38)*100,1)</f>
        <v>92.1</v>
      </c>
      <c r="O28" s="4"/>
      <c r="P28" s="69"/>
      <c r="Q28" s="3"/>
      <c r="R28" s="66">
        <f>L28+P28</f>
        <v>54854</v>
      </c>
      <c r="AA28" s="42"/>
      <c r="AB28" s="42"/>
    </row>
    <row r="29" spans="1:40" ht="20.100000000000001" customHeight="1">
      <c r="A29" s="41">
        <v>6</v>
      </c>
      <c r="C29" s="310" t="s">
        <v>445</v>
      </c>
      <c r="F29" s="71">
        <f>F25</f>
        <v>166</v>
      </c>
      <c r="G29" s="1"/>
      <c r="H29" s="71">
        <f>H28</f>
        <v>327203</v>
      </c>
      <c r="I29" s="68"/>
      <c r="J29" s="134"/>
      <c r="K29" s="319"/>
      <c r="L29" s="72">
        <f>L23+L25+L28</f>
        <v>57344</v>
      </c>
      <c r="M29" s="3"/>
      <c r="N29" s="74">
        <f>ROUND((L29/L$38)*100,1)</f>
        <v>96.3</v>
      </c>
      <c r="O29" s="4"/>
      <c r="P29" s="71"/>
      <c r="Q29" s="3"/>
      <c r="R29" s="72">
        <f>R23+R25+R28</f>
        <v>57344</v>
      </c>
      <c r="AA29" s="42"/>
      <c r="AB29" s="42"/>
    </row>
    <row r="30" spans="1:40">
      <c r="C30" s="42"/>
      <c r="F30" s="68"/>
      <c r="G30" s="1"/>
      <c r="H30" s="164"/>
      <c r="I30" s="68"/>
      <c r="J30" s="134"/>
      <c r="K30" s="319"/>
      <c r="L30" s="3"/>
      <c r="M30" s="3"/>
      <c r="N30" s="4"/>
      <c r="O30" s="4"/>
      <c r="P30" s="68"/>
      <c r="Q30" s="3"/>
      <c r="R30" s="3"/>
      <c r="AA30" s="42"/>
      <c r="AB30" s="42"/>
    </row>
    <row r="31" spans="1:40">
      <c r="A31" s="41">
        <v>7</v>
      </c>
      <c r="C31" s="133" t="s">
        <v>430</v>
      </c>
      <c r="F31" s="68"/>
      <c r="G31" s="1"/>
      <c r="H31" s="164"/>
      <c r="I31" s="68"/>
      <c r="J31" s="134"/>
      <c r="K31" s="319"/>
      <c r="L31" s="3"/>
      <c r="M31" s="3"/>
      <c r="N31" s="4"/>
      <c r="O31" s="4"/>
      <c r="P31" s="68"/>
      <c r="Q31" s="3"/>
      <c r="R31" s="3"/>
      <c r="AA31" s="42"/>
      <c r="AB31" s="42"/>
    </row>
    <row r="32" spans="1:40">
      <c r="A32" s="41">
        <v>8</v>
      </c>
      <c r="C32" s="128" t="str">
        <f>DSMR_Name</f>
        <v>DEMAND SIDE MANAGEMENT RIDER (DSMR)</v>
      </c>
      <c r="F32" s="68"/>
      <c r="G32" s="1"/>
      <c r="H32" s="164"/>
      <c r="I32" s="68"/>
      <c r="J32" s="327">
        <f>PRO_DSM_DIST</f>
        <v>3.503E-3</v>
      </c>
      <c r="K32" s="319"/>
      <c r="L32" s="3">
        <f>ROUND($H$29*J32,0)</f>
        <v>1146</v>
      </c>
      <c r="M32" s="3"/>
      <c r="N32" s="103">
        <f>ROUND((L32/L$38)*100,1)+0.1</f>
        <v>2</v>
      </c>
      <c r="O32" s="4"/>
      <c r="P32" s="68"/>
      <c r="Q32" s="3"/>
      <c r="R32" s="3">
        <f>L32+P32</f>
        <v>1146</v>
      </c>
      <c r="AA32" s="42"/>
      <c r="AB32" s="42"/>
    </row>
    <row r="33" spans="1:40">
      <c r="A33" s="41">
        <v>9</v>
      </c>
      <c r="C33" s="128" t="str">
        <f>ESM_Name</f>
        <v>ENVIRONMENTAL SURCHARGE MECHANISM RIDER (ESM)</v>
      </c>
      <c r="F33" s="68"/>
      <c r="G33" s="1"/>
      <c r="H33" s="164"/>
      <c r="I33" s="68"/>
      <c r="J33" s="321">
        <f>PRO_ESM_NONRES</f>
        <v>5.4606095773317587E-3</v>
      </c>
      <c r="K33" s="319"/>
      <c r="L33" s="3">
        <f>ROUND((R29-(PRO_BASE_FUEL*H29)+R32+R35)*J33,0)</f>
        <v>263</v>
      </c>
      <c r="M33" s="3"/>
      <c r="N33" s="103">
        <f>ROUND((L33/L$38)*100,1)</f>
        <v>0.4</v>
      </c>
      <c r="O33" s="4"/>
      <c r="P33" s="68"/>
      <c r="Q33" s="3"/>
      <c r="R33" s="3">
        <f>L33+P33</f>
        <v>263</v>
      </c>
      <c r="AA33" s="42"/>
      <c r="AB33" s="42"/>
    </row>
    <row r="34" spans="1:40">
      <c r="A34" s="41">
        <v>10</v>
      </c>
      <c r="C34" s="128" t="str">
        <f>FAC_Name</f>
        <v>FUEL ADJUSTMENT CLAUSE (FAC)</v>
      </c>
      <c r="F34" s="68"/>
      <c r="G34" s="1"/>
      <c r="H34" s="164"/>
      <c r="I34" s="68"/>
      <c r="J34" s="327">
        <f>PRO_FAC</f>
        <v>3.4872127999999998E-3</v>
      </c>
      <c r="K34" s="319"/>
      <c r="L34" s="3"/>
      <c r="M34" s="3"/>
      <c r="N34" s="103"/>
      <c r="O34" s="4"/>
      <c r="P34" s="68">
        <f>ROUND(H29*PRO_FAC,0)</f>
        <v>1141</v>
      </c>
      <c r="Q34" s="3"/>
      <c r="R34" s="3">
        <f>L34+P34</f>
        <v>1141</v>
      </c>
      <c r="AA34" s="42"/>
      <c r="AB34" s="42"/>
    </row>
    <row r="35" spans="1:40">
      <c r="A35" s="41">
        <v>11</v>
      </c>
      <c r="C35" s="128" t="str">
        <f>PSM_Name</f>
        <v>PROFIT SHARING MECHANISM (PSM)</v>
      </c>
      <c r="F35" s="68"/>
      <c r="G35" s="1"/>
      <c r="H35" s="164"/>
      <c r="I35" s="68"/>
      <c r="J35" s="327">
        <f>PRO_PSM</f>
        <v>2.4750000000000002E-3</v>
      </c>
      <c r="K35" s="319"/>
      <c r="L35" s="66">
        <f>ROUND(H29*PRO_PSM,0)</f>
        <v>810</v>
      </c>
      <c r="M35" s="3"/>
      <c r="N35" s="104">
        <f>ROUND((L35/L$38)*100,1)</f>
        <v>1.4</v>
      </c>
      <c r="O35" s="4"/>
      <c r="P35" s="69"/>
      <c r="Q35" s="3"/>
      <c r="R35" s="66">
        <f>L35+P35</f>
        <v>810</v>
      </c>
      <c r="AA35" s="42"/>
      <c r="AB35" s="42"/>
    </row>
    <row r="36" spans="1:40" ht="20.100000000000001" customHeight="1">
      <c r="A36" s="41">
        <v>12</v>
      </c>
      <c r="C36" s="133" t="s">
        <v>435</v>
      </c>
      <c r="F36" s="69"/>
      <c r="G36" s="1"/>
      <c r="H36" s="318"/>
      <c r="I36" s="68"/>
      <c r="J36" s="320"/>
      <c r="K36" s="319"/>
      <c r="L36" s="72">
        <f>SUM(L32:L35)</f>
        <v>2219</v>
      </c>
      <c r="M36" s="3"/>
      <c r="N36" s="105">
        <f>ROUND((L36/L$38)*100,1)</f>
        <v>3.7</v>
      </c>
      <c r="O36" s="4"/>
      <c r="P36" s="71">
        <f>SUM(P32:P35)</f>
        <v>1141</v>
      </c>
      <c r="Q36" s="3"/>
      <c r="R36" s="72">
        <f>SUM(R32:R35)</f>
        <v>3360</v>
      </c>
      <c r="AA36" s="42"/>
      <c r="AB36" s="42"/>
    </row>
    <row r="37" spans="1:40">
      <c r="C37" s="133"/>
      <c r="F37" s="68"/>
      <c r="G37" s="1"/>
      <c r="H37" s="164"/>
      <c r="I37" s="68"/>
      <c r="J37" s="320"/>
      <c r="K37" s="319"/>
      <c r="L37" s="3"/>
      <c r="M37" s="3"/>
      <c r="N37" s="4"/>
      <c r="O37" s="4"/>
      <c r="P37" s="68"/>
      <c r="Q37" s="3"/>
      <c r="R37" s="3"/>
      <c r="AA37" s="42"/>
      <c r="AB37" s="42"/>
    </row>
    <row r="38" spans="1:40" ht="20.100000000000001" customHeight="1" thickBot="1">
      <c r="A38" s="41">
        <v>13</v>
      </c>
      <c r="C38" s="133" t="s">
        <v>448</v>
      </c>
      <c r="E38" s="42"/>
      <c r="F38" s="67">
        <f>F23+F25</f>
        <v>166</v>
      </c>
      <c r="G38" s="1"/>
      <c r="H38" s="67">
        <f>H28</f>
        <v>327203</v>
      </c>
      <c r="I38" s="3"/>
      <c r="J38" s="7"/>
      <c r="K38" s="7"/>
      <c r="L38" s="67">
        <f>L29+L36</f>
        <v>59563</v>
      </c>
      <c r="M38" s="3"/>
      <c r="N38" s="73">
        <v>100</v>
      </c>
      <c r="O38" s="4"/>
      <c r="P38" s="67">
        <f>P36+P29</f>
        <v>1141</v>
      </c>
      <c r="Q38" s="68"/>
      <c r="R38" s="67">
        <f>R29+R36</f>
        <v>60704</v>
      </c>
    </row>
    <row r="39" spans="1:40" ht="16.5" thickTop="1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"/>
    </row>
    <row r="40" spans="1:40" ht="16.5">
      <c r="F40"/>
      <c r="G40"/>
      <c r="H40"/>
      <c r="I40"/>
      <c r="J40"/>
      <c r="K40" s="2"/>
      <c r="L40" s="2"/>
      <c r="M40" s="2"/>
      <c r="N40" s="2"/>
      <c r="O40" s="2"/>
      <c r="P40" s="2"/>
      <c r="Q40" s="2"/>
      <c r="R40" s="2"/>
      <c r="Y40" s="44"/>
      <c r="Z40" s="44"/>
      <c r="AA40" s="44"/>
      <c r="AB40" s="44"/>
      <c r="AC40" s="44"/>
      <c r="AD40" s="44"/>
      <c r="AE40" s="44"/>
      <c r="AF40" s="44"/>
      <c r="AG40" s="102"/>
      <c r="AH40" s="44"/>
      <c r="AI40" s="44"/>
      <c r="AJ40" s="44"/>
      <c r="AK40" s="102"/>
      <c r="AL40" s="44"/>
      <c r="AM40" s="44"/>
      <c r="AN40" s="44"/>
    </row>
    <row r="41" spans="1:40">
      <c r="A41" s="41">
        <v>14</v>
      </c>
      <c r="C41" s="133" t="s">
        <v>356</v>
      </c>
      <c r="D41" s="133" t="s">
        <v>152</v>
      </c>
      <c r="E41" s="4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T41" s="42"/>
      <c r="U41" s="42"/>
    </row>
    <row r="42" spans="1:40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T42" s="42"/>
    </row>
    <row r="43" spans="1:40">
      <c r="A43" s="41">
        <v>15</v>
      </c>
      <c r="C43" s="48" t="s">
        <v>198</v>
      </c>
      <c r="F43" s="164">
        <f>'[14]Forecast BILLS'!$D$71</f>
        <v>275</v>
      </c>
      <c r="G43" s="1"/>
      <c r="H43" s="164"/>
      <c r="I43" s="317"/>
      <c r="J43" s="316">
        <f>INPUT!D104</f>
        <v>4.37</v>
      </c>
      <c r="K43" s="76"/>
      <c r="L43" s="3">
        <f>ROUND(F43*J43,0)</f>
        <v>1202</v>
      </c>
      <c r="M43" s="3"/>
      <c r="N43" s="4">
        <f>ROUND((L43/L$57)*100,1)</f>
        <v>0.1</v>
      </c>
      <c r="O43" s="1"/>
      <c r="P43" s="68"/>
      <c r="Q43" s="1"/>
      <c r="R43" s="3">
        <f>L43+P43</f>
        <v>1202</v>
      </c>
    </row>
    <row r="44" spans="1:40">
      <c r="C44" s="42"/>
      <c r="F44" s="164"/>
      <c r="G44" s="1"/>
      <c r="H44" s="329"/>
      <c r="I44" s="317"/>
      <c r="J44" s="316"/>
      <c r="K44" s="76"/>
      <c r="L44" s="3"/>
      <c r="M44" s="3"/>
      <c r="N44" s="1"/>
      <c r="O44" s="1"/>
      <c r="P44" s="1"/>
      <c r="Q44" s="1"/>
      <c r="R44" s="3"/>
    </row>
    <row r="45" spans="1:40">
      <c r="A45" s="41">
        <v>16</v>
      </c>
      <c r="C45" s="41" t="s">
        <v>372</v>
      </c>
      <c r="F45" s="164"/>
      <c r="G45" s="1"/>
      <c r="H45" s="329"/>
      <c r="I45" s="317"/>
      <c r="J45" s="329"/>
      <c r="K45" s="317"/>
      <c r="L45" s="1"/>
      <c r="M45" s="1"/>
      <c r="N45" s="1"/>
      <c r="O45" s="1"/>
      <c r="P45" s="1"/>
      <c r="Q45" s="1"/>
      <c r="R45" s="3"/>
      <c r="S45" s="45"/>
      <c r="T45" s="42"/>
      <c r="V45" s="45"/>
      <c r="Y45" s="45"/>
      <c r="Z45" s="316"/>
      <c r="AA45" s="45"/>
      <c r="AB45" s="45"/>
      <c r="AC45" s="46"/>
      <c r="AD45" s="46"/>
      <c r="AE45" s="45"/>
      <c r="AF45" s="45"/>
      <c r="AH45" s="46"/>
      <c r="AI45" s="45"/>
      <c r="AJ45" s="45"/>
      <c r="AL45" s="45"/>
      <c r="AM45" s="46"/>
      <c r="AN45" s="46"/>
    </row>
    <row r="46" spans="1:40">
      <c r="A46" s="41">
        <v>17</v>
      </c>
      <c r="C46" s="48" t="s">
        <v>199</v>
      </c>
      <c r="F46" s="164"/>
      <c r="G46" s="1"/>
      <c r="H46" s="164">
        <f>'[14]Forecast KWH'!$B$70</f>
        <v>11644</v>
      </c>
      <c r="I46" s="317"/>
      <c r="J46" s="134">
        <f>INPUT!D106</f>
        <v>0.13300199999999998</v>
      </c>
      <c r="K46" s="317"/>
      <c r="L46" s="3">
        <f>ROUND((H46*J46),0)</f>
        <v>1549</v>
      </c>
      <c r="M46" s="1"/>
      <c r="N46" s="4">
        <f>ROUND((L46/L$57)*100,1)</f>
        <v>0.2</v>
      </c>
      <c r="O46" s="1"/>
      <c r="P46" s="68"/>
      <c r="Q46" s="1"/>
      <c r="R46" s="3">
        <f>L46+P46</f>
        <v>1549</v>
      </c>
      <c r="S46" s="45"/>
      <c r="T46" s="42"/>
      <c r="V46" s="45"/>
      <c r="Y46" s="45"/>
      <c r="Z46" s="316"/>
      <c r="AA46" s="45"/>
      <c r="AB46" s="45"/>
      <c r="AC46" s="46"/>
      <c r="AD46" s="46"/>
      <c r="AE46" s="45"/>
      <c r="AF46" s="45"/>
      <c r="AH46" s="46"/>
      <c r="AI46" s="45"/>
      <c r="AJ46" s="45"/>
      <c r="AL46" s="45"/>
      <c r="AM46" s="46"/>
      <c r="AN46" s="46"/>
    </row>
    <row r="47" spans="1:40">
      <c r="A47" s="41">
        <v>18</v>
      </c>
      <c r="C47" s="48" t="s">
        <v>200</v>
      </c>
      <c r="F47" s="318"/>
      <c r="G47" s="1"/>
      <c r="H47" s="318">
        <f>'[14]Forecast KWH'!$I$70</f>
        <v>5911099</v>
      </c>
      <c r="I47" s="68"/>
      <c r="J47" s="134">
        <f>INPUT!D107</f>
        <v>0.15163599999999999</v>
      </c>
      <c r="K47" s="319"/>
      <c r="L47" s="66">
        <f>ROUND((H47*J47),0)</f>
        <v>896335</v>
      </c>
      <c r="M47" s="3"/>
      <c r="N47" s="70">
        <f>ROUND((L47/L$57)*100,1)</f>
        <v>95.5</v>
      </c>
      <c r="O47" s="4"/>
      <c r="P47" s="69"/>
      <c r="Q47" s="68"/>
      <c r="R47" s="66">
        <f>L47+P47</f>
        <v>896335</v>
      </c>
      <c r="S47" s="45"/>
      <c r="V47" s="50"/>
      <c r="Y47" s="45"/>
      <c r="Z47" s="164"/>
      <c r="AA47" s="45"/>
      <c r="AB47" s="45"/>
      <c r="AC47" s="46"/>
      <c r="AD47" s="46"/>
      <c r="AE47" s="45"/>
      <c r="AF47" s="45"/>
      <c r="AI47" s="45"/>
      <c r="AJ47" s="45"/>
      <c r="AL47" s="45"/>
    </row>
    <row r="48" spans="1:40" ht="20.100000000000001" customHeight="1">
      <c r="A48" s="41">
        <v>19</v>
      </c>
      <c r="C48" s="310" t="s">
        <v>446</v>
      </c>
      <c r="F48" s="71">
        <f>SUM(F43:F47)</f>
        <v>275</v>
      </c>
      <c r="G48" s="1"/>
      <c r="H48" s="71">
        <f>SUM(H46:H47)</f>
        <v>5922743</v>
      </c>
      <c r="I48" s="68"/>
      <c r="J48" s="134"/>
      <c r="K48" s="319"/>
      <c r="L48" s="72">
        <f>SUM(L43:L47)</f>
        <v>899086</v>
      </c>
      <c r="M48" s="3"/>
      <c r="N48" s="74">
        <f>ROUND((L48/L$57)*100,1)</f>
        <v>95.8</v>
      </c>
      <c r="O48" s="4"/>
      <c r="P48" s="71"/>
      <c r="Q48" s="68"/>
      <c r="R48" s="72">
        <f>SUM(R43:R47)</f>
        <v>899086</v>
      </c>
      <c r="S48" s="45"/>
      <c r="V48" s="50"/>
      <c r="Y48" s="45"/>
      <c r="Z48" s="164"/>
      <c r="AA48" s="45"/>
      <c r="AB48" s="45"/>
      <c r="AC48" s="46"/>
      <c r="AD48" s="46"/>
      <c r="AE48" s="45"/>
      <c r="AF48" s="45"/>
      <c r="AI48" s="45"/>
      <c r="AJ48" s="45"/>
      <c r="AL48" s="45"/>
    </row>
    <row r="49" spans="1:40">
      <c r="C49" s="42"/>
      <c r="F49" s="164"/>
      <c r="G49" s="1"/>
      <c r="H49" s="164"/>
      <c r="I49" s="68"/>
      <c r="J49" s="134"/>
      <c r="K49" s="319"/>
      <c r="L49" s="3"/>
      <c r="M49" s="3"/>
      <c r="N49" s="4"/>
      <c r="O49" s="4"/>
      <c r="P49" s="68"/>
      <c r="Q49" s="68"/>
      <c r="R49" s="3"/>
      <c r="S49" s="45"/>
      <c r="V49" s="50"/>
      <c r="Y49" s="45"/>
      <c r="Z49" s="164"/>
      <c r="AA49" s="45"/>
      <c r="AB49" s="45"/>
      <c r="AC49" s="46"/>
      <c r="AD49" s="46"/>
      <c r="AE49" s="45"/>
      <c r="AF49" s="45"/>
      <c r="AI49" s="45"/>
      <c r="AJ49" s="45"/>
      <c r="AL49" s="45"/>
    </row>
    <row r="50" spans="1:40">
      <c r="A50" s="41">
        <v>20</v>
      </c>
      <c r="C50" s="133" t="s">
        <v>430</v>
      </c>
      <c r="F50" s="164"/>
      <c r="G50" s="1"/>
      <c r="H50" s="164"/>
      <c r="I50" s="68"/>
      <c r="J50" s="134"/>
      <c r="K50" s="319"/>
      <c r="L50" s="3"/>
      <c r="M50" s="3"/>
      <c r="N50" s="4"/>
      <c r="O50" s="4"/>
      <c r="P50" s="68"/>
      <c r="Q50" s="68"/>
      <c r="R50" s="3"/>
      <c r="S50" s="45"/>
      <c r="V50" s="50"/>
      <c r="Y50" s="45"/>
      <c r="Z50" s="164"/>
      <c r="AA50" s="45"/>
      <c r="AB50" s="45"/>
      <c r="AC50" s="46"/>
      <c r="AD50" s="46"/>
      <c r="AE50" s="45"/>
      <c r="AF50" s="45"/>
      <c r="AI50" s="45"/>
      <c r="AJ50" s="45"/>
      <c r="AL50" s="45"/>
    </row>
    <row r="51" spans="1:40">
      <c r="A51" s="41">
        <v>21</v>
      </c>
      <c r="C51" s="128" t="str">
        <f>DSMR_Name</f>
        <v>DEMAND SIDE MANAGEMENT RIDER (DSMR)</v>
      </c>
      <c r="F51" s="164"/>
      <c r="G51" s="1"/>
      <c r="H51" s="164"/>
      <c r="I51" s="68"/>
      <c r="J51" s="327">
        <f>PRO_DSM_DIST</f>
        <v>3.503E-3</v>
      </c>
      <c r="K51" s="319"/>
      <c r="L51" s="3">
        <f>ROUND($H$48*J51,0)</f>
        <v>20747</v>
      </c>
      <c r="M51" s="3"/>
      <c r="N51" s="103">
        <f>ROUND((L51/L$57)*100,1)-0.1</f>
        <v>2.1</v>
      </c>
      <c r="O51" s="4"/>
      <c r="P51" s="68"/>
      <c r="Q51" s="68"/>
      <c r="R51" s="3">
        <f>L51+P51</f>
        <v>20747</v>
      </c>
      <c r="S51" s="45"/>
      <c r="V51" s="50"/>
      <c r="Y51" s="45"/>
      <c r="Z51" s="164"/>
      <c r="AA51" s="45"/>
      <c r="AB51" s="45"/>
      <c r="AC51" s="46"/>
      <c r="AD51" s="46"/>
      <c r="AE51" s="45"/>
      <c r="AF51" s="45"/>
      <c r="AI51" s="45"/>
      <c r="AJ51" s="45"/>
      <c r="AL51" s="45"/>
    </row>
    <row r="52" spans="1:40">
      <c r="A52" s="41">
        <v>22</v>
      </c>
      <c r="C52" s="128" t="str">
        <f>ESM_Name</f>
        <v>ENVIRONMENTAL SURCHARGE MECHANISM RIDER (ESM)</v>
      </c>
      <c r="F52" s="164"/>
      <c r="G52" s="1"/>
      <c r="H52" s="164"/>
      <c r="I52" s="68"/>
      <c r="J52" s="321">
        <f>PRO_ESM_NONRES</f>
        <v>5.4606095773317587E-3</v>
      </c>
      <c r="K52" s="319"/>
      <c r="L52" s="3">
        <f>ROUND((R48-(PRO_BASE_FUEL*H48)+R51+R54)*J52,0)</f>
        <v>4010</v>
      </c>
      <c r="M52" s="3"/>
      <c r="N52" s="103">
        <f>ROUND((L52/L$57)*100,1)</f>
        <v>0.4</v>
      </c>
      <c r="O52" s="4"/>
      <c r="P52" s="68"/>
      <c r="Q52" s="68"/>
      <c r="R52" s="3">
        <f>L52+P52</f>
        <v>4010</v>
      </c>
      <c r="S52" s="45"/>
      <c r="V52" s="50"/>
      <c r="Y52" s="45"/>
      <c r="Z52" s="164"/>
      <c r="AA52" s="45"/>
      <c r="AB52" s="45"/>
      <c r="AC52" s="46"/>
      <c r="AD52" s="46"/>
      <c r="AE52" s="45"/>
      <c r="AF52" s="45"/>
      <c r="AI52" s="45"/>
      <c r="AJ52" s="45"/>
      <c r="AL52" s="45"/>
    </row>
    <row r="53" spans="1:40">
      <c r="A53" s="41">
        <v>23</v>
      </c>
      <c r="C53" s="128" t="str">
        <f>FAC_Name</f>
        <v>FUEL ADJUSTMENT CLAUSE (FAC)</v>
      </c>
      <c r="F53" s="164"/>
      <c r="G53" s="1"/>
      <c r="H53" s="164"/>
      <c r="I53" s="68"/>
      <c r="J53" s="327">
        <f>PRO_FAC</f>
        <v>3.4872127999999998E-3</v>
      </c>
      <c r="K53" s="319"/>
      <c r="L53" s="3"/>
      <c r="M53" s="3"/>
      <c r="N53" s="103"/>
      <c r="O53" s="4"/>
      <c r="P53" s="68">
        <f>ROUND(H48*PRO_FAC,0)</f>
        <v>20654</v>
      </c>
      <c r="Q53" s="68"/>
      <c r="R53" s="3">
        <f>L53+P53</f>
        <v>20654</v>
      </c>
      <c r="S53" s="45"/>
      <c r="V53" s="50"/>
      <c r="Y53" s="45"/>
      <c r="Z53" s="164"/>
      <c r="AA53" s="45"/>
      <c r="AB53" s="45"/>
      <c r="AC53" s="46"/>
      <c r="AD53" s="46"/>
      <c r="AE53" s="45"/>
      <c r="AF53" s="45"/>
      <c r="AI53" s="45"/>
      <c r="AJ53" s="45"/>
      <c r="AL53" s="45"/>
    </row>
    <row r="54" spans="1:40">
      <c r="A54" s="41">
        <v>24</v>
      </c>
      <c r="C54" s="128" t="str">
        <f>PSM_Name</f>
        <v>PROFIT SHARING MECHANISM (PSM)</v>
      </c>
      <c r="F54" s="164"/>
      <c r="G54" s="1"/>
      <c r="H54" s="164"/>
      <c r="I54" s="68"/>
      <c r="J54" s="327">
        <f>PRO_PSM</f>
        <v>2.4750000000000002E-3</v>
      </c>
      <c r="K54" s="319"/>
      <c r="L54" s="3">
        <f>ROUND($H$48*J54,0)</f>
        <v>14659</v>
      </c>
      <c r="M54" s="3"/>
      <c r="N54" s="104">
        <f>ROUND((L54/L$57)*100,1)</f>
        <v>1.6</v>
      </c>
      <c r="O54" s="4"/>
      <c r="P54" s="69"/>
      <c r="Q54" s="68"/>
      <c r="R54" s="66">
        <f>L54+P54</f>
        <v>14659</v>
      </c>
      <c r="S54" s="45"/>
      <c r="V54" s="50"/>
      <c r="Y54" s="45"/>
      <c r="Z54" s="164"/>
      <c r="AA54" s="45"/>
      <c r="AB54" s="45"/>
      <c r="AC54" s="46"/>
      <c r="AD54" s="46"/>
      <c r="AE54" s="45"/>
      <c r="AF54" s="45"/>
      <c r="AI54" s="45"/>
      <c r="AJ54" s="45"/>
      <c r="AL54" s="45"/>
    </row>
    <row r="55" spans="1:40" ht="20.100000000000001" customHeight="1">
      <c r="A55" s="41">
        <v>25</v>
      </c>
      <c r="C55" s="133" t="s">
        <v>435</v>
      </c>
      <c r="F55" s="318"/>
      <c r="G55" s="1"/>
      <c r="H55" s="318"/>
      <c r="I55" s="68"/>
      <c r="J55" s="320"/>
      <c r="K55" s="319"/>
      <c r="L55" s="72">
        <f>SUM(L51:L54)</f>
        <v>39416</v>
      </c>
      <c r="M55" s="3"/>
      <c r="N55" s="105">
        <f>ROUND((L55/L$57)*100,1)</f>
        <v>4.2</v>
      </c>
      <c r="O55" s="4"/>
      <c r="P55" s="72">
        <f>SUM(P51:P54)</f>
        <v>20654</v>
      </c>
      <c r="Q55" s="68"/>
      <c r="R55" s="72">
        <f>SUM(R51:R54)</f>
        <v>60070</v>
      </c>
      <c r="S55" s="45"/>
      <c r="V55" s="50"/>
      <c r="Y55" s="45"/>
      <c r="Z55" s="164"/>
      <c r="AA55" s="45"/>
      <c r="AB55" s="45"/>
      <c r="AC55" s="46"/>
      <c r="AD55" s="46"/>
      <c r="AE55" s="45"/>
      <c r="AF55" s="45"/>
      <c r="AI55" s="45"/>
      <c r="AJ55" s="45"/>
      <c r="AL55" s="45"/>
    </row>
    <row r="56" spans="1:40">
      <c r="C56" s="48"/>
      <c r="F56" s="164"/>
      <c r="G56" s="1"/>
      <c r="H56" s="164"/>
      <c r="I56" s="68"/>
      <c r="J56" s="320"/>
      <c r="K56" s="319"/>
      <c r="L56" s="3"/>
      <c r="M56" s="3"/>
      <c r="N56" s="4"/>
      <c r="O56" s="4"/>
      <c r="P56" s="68"/>
      <c r="Q56" s="68"/>
      <c r="R56" s="3"/>
      <c r="S56" s="45"/>
      <c r="V56" s="50"/>
      <c r="Y56" s="45"/>
      <c r="Z56" s="164"/>
      <c r="AA56" s="45"/>
      <c r="AB56" s="45"/>
      <c r="AC56" s="46"/>
      <c r="AD56" s="46"/>
      <c r="AE56" s="45"/>
      <c r="AF56" s="45"/>
      <c r="AI56" s="45"/>
      <c r="AJ56" s="45"/>
      <c r="AL56" s="45"/>
    </row>
    <row r="57" spans="1:40" ht="20.100000000000001" customHeight="1" thickBot="1">
      <c r="A57" s="41">
        <v>26</v>
      </c>
      <c r="C57" s="133" t="s">
        <v>447</v>
      </c>
      <c r="E57" s="42"/>
      <c r="F57" s="67">
        <f>SUM(F43:F47)</f>
        <v>275</v>
      </c>
      <c r="G57" s="1"/>
      <c r="H57" s="67">
        <f>SUM(H43:H47)</f>
        <v>5922743</v>
      </c>
      <c r="I57" s="3"/>
      <c r="J57" s="7"/>
      <c r="K57" s="7"/>
      <c r="L57" s="67">
        <f>L48+L55</f>
        <v>938502</v>
      </c>
      <c r="M57" s="3"/>
      <c r="N57" s="73">
        <v>100</v>
      </c>
      <c r="O57" s="4"/>
      <c r="P57" s="67">
        <f>P48+P55</f>
        <v>20654</v>
      </c>
      <c r="Q57" s="3"/>
      <c r="R57" s="67">
        <f>R48+R55</f>
        <v>959156</v>
      </c>
      <c r="S57" s="45"/>
      <c r="V57" s="50"/>
      <c r="Y57" s="50"/>
      <c r="Z57" s="326"/>
      <c r="AA57" s="50"/>
      <c r="AB57" s="50"/>
      <c r="AC57" s="50"/>
      <c r="AD57" s="50"/>
      <c r="AE57" s="50"/>
      <c r="AF57" s="50"/>
      <c r="AI57" s="50"/>
      <c r="AJ57" s="50"/>
      <c r="AK57" s="111"/>
      <c r="AL57" s="50"/>
      <c r="AM57" s="46"/>
      <c r="AN57" s="46"/>
    </row>
    <row r="58" spans="1:40" ht="16.5" thickTop="1"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"/>
      <c r="S58" s="45"/>
      <c r="V58" s="164"/>
      <c r="Y58" s="164"/>
      <c r="Z58" s="326"/>
      <c r="AA58" s="45"/>
      <c r="AB58" s="45"/>
      <c r="AC58" s="46"/>
      <c r="AD58" s="46"/>
      <c r="AE58" s="45"/>
      <c r="AF58" s="45"/>
      <c r="AI58" s="45"/>
      <c r="AJ58" s="45"/>
      <c r="AL58" s="45"/>
      <c r="AM58" s="46"/>
      <c r="AN58" s="46"/>
    </row>
    <row r="59" spans="1:40">
      <c r="C59" s="140" t="s">
        <v>59</v>
      </c>
      <c r="F59" s="45"/>
      <c r="H59" s="45"/>
      <c r="I59" s="45"/>
      <c r="J59" s="47"/>
      <c r="K59" s="47"/>
      <c r="L59" s="45"/>
      <c r="M59" s="45"/>
      <c r="N59" s="45"/>
      <c r="O59" s="45"/>
      <c r="P59" s="45"/>
      <c r="Q59" s="45"/>
      <c r="R59" s="45"/>
    </row>
    <row r="60" spans="1:40">
      <c r="C60" s="140" t="str">
        <f>"(2) REFLECTS FUEL COMPONENT OF "&amp;TEXT(PRO_FAC,"$0.000000;($0.000000)")&amp;"  PER KWH."</f>
        <v>(2) REFLECTS FUEL COMPONENT OF $0.003487  PER KWH.</v>
      </c>
      <c r="F60" s="45"/>
      <c r="H60" s="45"/>
      <c r="I60" s="45"/>
      <c r="J60" s="47"/>
      <c r="K60" s="47"/>
      <c r="L60" s="45"/>
      <c r="M60" s="45"/>
      <c r="N60" s="45"/>
      <c r="O60" s="45"/>
      <c r="P60" s="45"/>
      <c r="Q60" s="45"/>
      <c r="R60" s="45"/>
    </row>
    <row r="61" spans="1:40">
      <c r="C61" s="140" t="str">
        <f>"(3) REFLECTS FUEL COST RECOVERY INCLUDED IN BASE RATES OF "&amp;TEXT(PRO_BASE_FUEL,"$0.000000;($0.000000)")&amp;"  PER KWH."</f>
        <v>(3) REFLECTS FUEL COST RECOVERY INCLUDED IN BASE RATES OF $0.033780  PER KWH.</v>
      </c>
      <c r="F61" s="45"/>
      <c r="H61" s="45"/>
      <c r="I61" s="45"/>
      <c r="J61" s="47"/>
      <c r="K61" s="47"/>
      <c r="L61" s="45"/>
      <c r="M61" s="45"/>
      <c r="N61" s="45"/>
      <c r="O61" s="45"/>
      <c r="P61" s="45"/>
      <c r="Q61" s="45"/>
      <c r="R61" s="45"/>
    </row>
    <row r="62" spans="1:40">
      <c r="C62" s="141" t="s">
        <v>387</v>
      </c>
    </row>
    <row r="63" spans="1:40">
      <c r="A63" s="44"/>
      <c r="C63" s="44"/>
      <c r="D63" s="44"/>
      <c r="E63" s="44"/>
      <c r="F63" s="44"/>
      <c r="J63" s="44"/>
      <c r="K63" s="44"/>
      <c r="L63" s="44"/>
      <c r="M63" s="44"/>
      <c r="N63" s="44"/>
      <c r="O63" s="44"/>
      <c r="P63" s="44"/>
      <c r="Q63" s="44"/>
      <c r="R63" s="44"/>
    </row>
    <row r="64" spans="1:40" ht="16.5">
      <c r="A64" s="44"/>
      <c r="C64" s="44"/>
      <c r="D64" s="44"/>
      <c r="E64" s="44"/>
      <c r="F64"/>
      <c r="G64"/>
      <c r="H64"/>
      <c r="J64" s="44"/>
      <c r="K64" s="44"/>
      <c r="L64" s="44"/>
      <c r="M64" s="44"/>
      <c r="N64" s="44"/>
      <c r="O64" s="44"/>
      <c r="P64" s="44"/>
      <c r="Q64" s="44"/>
      <c r="R64" s="44"/>
    </row>
    <row r="65" spans="1:76" ht="16.5">
      <c r="A65" s="44"/>
      <c r="C65" s="44"/>
      <c r="D65" s="44"/>
      <c r="E65" s="44"/>
      <c r="F65"/>
      <c r="G65"/>
      <c r="H65"/>
      <c r="I65" s="44"/>
      <c r="J65" s="44"/>
      <c r="K65" s="44"/>
      <c r="L65" s="44"/>
      <c r="M65" s="44"/>
      <c r="N65" s="44"/>
      <c r="O65" s="44"/>
      <c r="P65" s="44"/>
      <c r="Q65" s="44"/>
      <c r="R65" s="44"/>
      <c r="T65" s="40" t="str">
        <f>NAME</f>
        <v>DUKE ENERGY KENTUCKY, INC.</v>
      </c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100"/>
      <c r="AH65" s="40"/>
      <c r="AI65" s="40"/>
      <c r="AJ65" s="40"/>
      <c r="AK65" s="100"/>
      <c r="AL65" s="40"/>
      <c r="AM65" s="40"/>
      <c r="AN65" s="40"/>
      <c r="AO65" s="40"/>
      <c r="AP65" s="40"/>
      <c r="AQ65" s="100"/>
    </row>
    <row r="66" spans="1:76">
      <c r="A66" s="44"/>
      <c r="C66" s="44"/>
      <c r="D66" s="44"/>
      <c r="E66" s="44"/>
      <c r="F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T66" s="40" t="str">
        <f>CASE_NO</f>
        <v>CASE NO.   2024-00354</v>
      </c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100"/>
      <c r="AH66" s="40"/>
      <c r="AI66" s="40"/>
      <c r="AJ66" s="40"/>
      <c r="AK66" s="100"/>
      <c r="AL66" s="40"/>
      <c r="AM66" s="40"/>
      <c r="AN66" s="40"/>
      <c r="AO66" s="40"/>
      <c r="AP66" s="40"/>
      <c r="AQ66" s="100"/>
    </row>
    <row r="67" spans="1:76">
      <c r="C67" s="44"/>
      <c r="D67" s="44"/>
      <c r="E67" s="44"/>
      <c r="F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T67" s="40" t="str">
        <f>TITLE</f>
        <v>ANNUALIZED TEST YEAR REVENUES AT PROPOSED VS. MOST CURRENT RATES</v>
      </c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100"/>
      <c r="AH67" s="40"/>
      <c r="AI67" s="40"/>
      <c r="AJ67" s="40"/>
      <c r="AK67" s="100"/>
      <c r="AL67" s="40"/>
      <c r="AM67" s="40"/>
      <c r="AN67" s="40"/>
      <c r="AO67" s="40"/>
      <c r="AP67" s="40"/>
      <c r="AQ67" s="100"/>
    </row>
    <row r="68" spans="1:76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T68" s="40" t="str">
        <f>DATE</f>
        <v>FOR THE TWELVE MONTHS ENDED June 30, 2026</v>
      </c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100"/>
      <c r="AH68" s="40"/>
      <c r="AI68" s="40"/>
      <c r="AJ68" s="40"/>
      <c r="AK68" s="100"/>
      <c r="AL68" s="40"/>
      <c r="AM68" s="40"/>
      <c r="AN68" s="40"/>
      <c r="AO68" s="40"/>
      <c r="AP68" s="40"/>
      <c r="AQ68" s="100"/>
    </row>
    <row r="69" spans="1:76"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T69" s="40" t="str">
        <f>SERVICE</f>
        <v>(ELECTRIC SERVICE)</v>
      </c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100"/>
      <c r="AH69" s="40"/>
      <c r="AI69" s="40"/>
      <c r="AJ69" s="40"/>
      <c r="AK69" s="100"/>
      <c r="AL69" s="40"/>
      <c r="AM69" s="40"/>
      <c r="AN69" s="40"/>
      <c r="AO69" s="40"/>
      <c r="AP69" s="40"/>
      <c r="AQ69" s="100"/>
    </row>
    <row r="70" spans="1:76">
      <c r="C70" s="42"/>
      <c r="D70" s="42"/>
      <c r="E70" s="42"/>
      <c r="T70" s="41" t="str">
        <f>DATA_PERIOD</f>
        <v>DATA: ____ BASE PERIOD   __X__FORECASTED PERIOD</v>
      </c>
      <c r="AO70" s="42" t="s">
        <v>157</v>
      </c>
      <c r="AP70" s="42"/>
    </row>
    <row r="71" spans="1:76">
      <c r="D71" s="42"/>
      <c r="E71" s="42"/>
      <c r="T71" s="41" t="str">
        <f>TYPE</f>
        <v>TYPE OF FILING: _X_ ORIGINAL   ___UPDATED  ___ REVISED</v>
      </c>
      <c r="AO71" s="48" t="str">
        <f>"PAGE 7 OF "&amp;TEXT(Page_Num_2.2,"00")</f>
        <v>PAGE 7 OF 24</v>
      </c>
      <c r="AP71" s="42"/>
    </row>
    <row r="72" spans="1:76">
      <c r="T72" s="42" t="s">
        <v>170</v>
      </c>
      <c r="AO72" s="42" t="s">
        <v>3</v>
      </c>
      <c r="AP72" s="42"/>
    </row>
    <row r="73" spans="1:76">
      <c r="C73" s="42"/>
      <c r="T73" s="133" t="str">
        <f>TIME</f>
        <v>12 Months Projected with Riders</v>
      </c>
      <c r="AO73" s="41" t="str">
        <f>WIT</f>
        <v>B. L. Sailers</v>
      </c>
    </row>
    <row r="74" spans="1:76">
      <c r="C74" s="42"/>
      <c r="T74" s="133" t="str">
        <f>INPUT!B5</f>
        <v xml:space="preserve"> </v>
      </c>
    </row>
    <row r="75" spans="1:76">
      <c r="C75" s="42"/>
      <c r="F75" s="164"/>
      <c r="H75" s="164"/>
      <c r="I75" s="164"/>
      <c r="J75" s="316"/>
      <c r="K75" s="316"/>
      <c r="L75" s="45"/>
      <c r="M75" s="45"/>
      <c r="N75" s="46"/>
      <c r="O75" s="46"/>
      <c r="R75" s="45"/>
      <c r="T75" s="40" t="s">
        <v>130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76">
      <c r="C76" s="42"/>
      <c r="F76" s="164"/>
      <c r="H76" s="164"/>
      <c r="I76" s="164"/>
      <c r="J76" s="316"/>
      <c r="K76" s="316"/>
      <c r="L76" s="45"/>
      <c r="M76" s="45"/>
      <c r="N76" s="46"/>
      <c r="O76" s="46"/>
      <c r="R76" s="45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101"/>
      <c r="AH76" s="43"/>
      <c r="AI76" s="43"/>
      <c r="AJ76" s="43"/>
      <c r="AK76" s="101"/>
      <c r="AL76" s="43"/>
      <c r="AM76" s="43"/>
      <c r="AN76" s="43"/>
      <c r="AO76" s="43"/>
      <c r="AP76" s="43"/>
      <c r="AQ76" s="101"/>
    </row>
    <row r="77" spans="1:76" ht="18" customHeight="1">
      <c r="F77" s="50"/>
      <c r="H77" s="45"/>
      <c r="I77" s="45"/>
      <c r="J77" s="326"/>
      <c r="K77" s="326"/>
      <c r="L77" s="50"/>
      <c r="M77" s="50"/>
      <c r="N77" s="50"/>
      <c r="O77" s="50"/>
      <c r="P77" s="50"/>
      <c r="Q77" s="50"/>
      <c r="R77" s="50"/>
      <c r="AE77" s="44" t="s">
        <v>8</v>
      </c>
      <c r="AF77" s="44"/>
      <c r="AG77" s="102" t="s">
        <v>7</v>
      </c>
      <c r="AH77" s="44"/>
      <c r="AI77" s="44" t="s">
        <v>9</v>
      </c>
      <c r="AJ77" s="44"/>
      <c r="AK77" s="102" t="s">
        <v>10</v>
      </c>
      <c r="AL77" s="44"/>
      <c r="AO77" s="44" t="s">
        <v>8</v>
      </c>
      <c r="AP77" s="44"/>
      <c r="AQ77" s="102" t="s">
        <v>11</v>
      </c>
    </row>
    <row r="78" spans="1:76">
      <c r="C78" s="42"/>
      <c r="F78" s="45"/>
      <c r="H78" s="45"/>
      <c r="I78" s="45"/>
      <c r="J78" s="326"/>
      <c r="K78" s="326"/>
      <c r="L78" s="45"/>
      <c r="M78" s="45"/>
      <c r="N78" s="46"/>
      <c r="O78" s="46"/>
      <c r="P78" s="45"/>
      <c r="Q78" s="45"/>
      <c r="R78" s="45"/>
      <c r="AC78" s="44" t="s">
        <v>14</v>
      </c>
      <c r="AD78" s="44"/>
      <c r="AE78" s="44" t="s">
        <v>12</v>
      </c>
      <c r="AF78" s="44"/>
      <c r="AG78" s="102" t="s">
        <v>13</v>
      </c>
      <c r="AH78" s="44"/>
      <c r="AI78" s="44" t="s">
        <v>15</v>
      </c>
      <c r="AJ78" s="44"/>
      <c r="AK78" s="102" t="s">
        <v>16</v>
      </c>
      <c r="AL78" s="44"/>
      <c r="AO78" s="44" t="s">
        <v>11</v>
      </c>
      <c r="AP78" s="44"/>
      <c r="AQ78" s="102" t="s">
        <v>9</v>
      </c>
    </row>
    <row r="79" spans="1:76">
      <c r="F79" s="50"/>
      <c r="H79" s="45"/>
      <c r="I79" s="45"/>
      <c r="J79" s="326"/>
      <c r="K79" s="326"/>
      <c r="L79" s="50"/>
      <c r="M79" s="50"/>
      <c r="N79" s="50"/>
      <c r="O79" s="50"/>
      <c r="P79" s="50"/>
      <c r="Q79" s="50"/>
      <c r="R79" s="50"/>
      <c r="T79" s="44" t="s">
        <v>17</v>
      </c>
      <c r="V79" s="44" t="s">
        <v>18</v>
      </c>
      <c r="W79" s="44" t="s">
        <v>19</v>
      </c>
      <c r="X79" s="44"/>
      <c r="Y79" s="44" t="s">
        <v>20</v>
      </c>
      <c r="AC79" s="44" t="s">
        <v>8</v>
      </c>
      <c r="AD79" s="44"/>
      <c r="AE79" s="44" t="s">
        <v>841</v>
      </c>
      <c r="AF79" s="44"/>
      <c r="AG79" s="102" t="s">
        <v>841</v>
      </c>
      <c r="AH79" s="44"/>
      <c r="AI79" s="60" t="s">
        <v>964</v>
      </c>
      <c r="AJ79" s="44"/>
      <c r="AK79" s="277" t="s">
        <v>964</v>
      </c>
      <c r="AL79" s="44"/>
      <c r="AM79" s="44" t="s">
        <v>841</v>
      </c>
      <c r="AN79" s="44"/>
      <c r="AO79" s="44" t="s">
        <v>9</v>
      </c>
      <c r="AP79" s="44"/>
      <c r="AQ79" s="102" t="s">
        <v>21</v>
      </c>
      <c r="AS79" s="45"/>
      <c r="AT79" s="45"/>
      <c r="AU79" s="335"/>
    </row>
    <row r="80" spans="1:76">
      <c r="F80" s="45"/>
      <c r="H80" s="45"/>
      <c r="I80" s="45"/>
      <c r="J80" s="326"/>
      <c r="K80" s="326"/>
      <c r="L80" s="45"/>
      <c r="M80" s="45"/>
      <c r="N80" s="46"/>
      <c r="O80" s="46"/>
      <c r="P80" s="45"/>
      <c r="Q80" s="45"/>
      <c r="R80" s="45"/>
      <c r="T80" s="44" t="s">
        <v>22</v>
      </c>
      <c r="V80" s="44" t="s">
        <v>23</v>
      </c>
      <c r="W80" s="44" t="s">
        <v>24</v>
      </c>
      <c r="X80" s="44"/>
      <c r="Y80" s="44" t="s">
        <v>25</v>
      </c>
      <c r="AA80" s="44" t="s">
        <v>26</v>
      </c>
      <c r="AB80" s="44"/>
      <c r="AC80" s="44" t="s">
        <v>27</v>
      </c>
      <c r="AD80" s="44"/>
      <c r="AE80" s="44" t="s">
        <v>9</v>
      </c>
      <c r="AF80" s="44"/>
      <c r="AG80" s="102" t="s">
        <v>9</v>
      </c>
      <c r="AH80" s="44"/>
      <c r="AI80" s="304" t="s">
        <v>29</v>
      </c>
      <c r="AJ80" s="304"/>
      <c r="AK80" s="311" t="s">
        <v>30</v>
      </c>
      <c r="AL80" s="44"/>
      <c r="AM80" s="44" t="s">
        <v>323</v>
      </c>
      <c r="AN80" s="44"/>
      <c r="AO80" s="304" t="s">
        <v>31</v>
      </c>
      <c r="AP80" s="304"/>
      <c r="AQ80" s="311" t="s">
        <v>32</v>
      </c>
      <c r="AS80" s="45"/>
      <c r="AT80" s="45"/>
      <c r="AU80" s="46"/>
      <c r="BX80" s="329"/>
    </row>
    <row r="81" spans="1:47">
      <c r="C81" s="42"/>
      <c r="F81" s="164"/>
      <c r="H81" s="164"/>
      <c r="I81" s="164"/>
      <c r="J81" s="316"/>
      <c r="K81" s="316"/>
      <c r="L81" s="45"/>
      <c r="M81" s="45"/>
      <c r="N81" s="46"/>
      <c r="O81" s="46"/>
      <c r="P81" s="45"/>
      <c r="Q81" s="45"/>
      <c r="R81" s="45"/>
      <c r="V81" s="304" t="s">
        <v>33</v>
      </c>
      <c r="W81" s="304" t="s">
        <v>34</v>
      </c>
      <c r="X81" s="304"/>
      <c r="Y81" s="304" t="s">
        <v>35</v>
      </c>
      <c r="Z81" s="130"/>
      <c r="AA81" s="304" t="s">
        <v>36</v>
      </c>
      <c r="AB81" s="304"/>
      <c r="AC81" s="304" t="s">
        <v>42</v>
      </c>
      <c r="AD81" s="304"/>
      <c r="AE81" s="304" t="s">
        <v>43</v>
      </c>
      <c r="AF81" s="304"/>
      <c r="AG81" s="311" t="s">
        <v>44</v>
      </c>
      <c r="AH81" s="304"/>
      <c r="AI81" s="304" t="s">
        <v>45</v>
      </c>
      <c r="AJ81" s="304"/>
      <c r="AK81" s="311" t="s">
        <v>46</v>
      </c>
      <c r="AL81" s="304"/>
      <c r="AM81" s="304" t="s">
        <v>40</v>
      </c>
      <c r="AN81" s="304"/>
      <c r="AO81" s="304" t="s">
        <v>47</v>
      </c>
      <c r="AP81" s="304"/>
      <c r="AQ81" s="311" t="s">
        <v>48</v>
      </c>
      <c r="AS81" s="45"/>
      <c r="AT81" s="45"/>
      <c r="AU81" s="46"/>
    </row>
    <row r="82" spans="1:47">
      <c r="F82" s="45"/>
      <c r="H82" s="50"/>
      <c r="I82" s="50"/>
      <c r="J82" s="326"/>
      <c r="K82" s="326"/>
      <c r="L82" s="50"/>
      <c r="M82" s="50"/>
      <c r="N82" s="50"/>
      <c r="O82" s="50"/>
      <c r="P82" s="50"/>
      <c r="Q82" s="50"/>
      <c r="R82" s="50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01"/>
      <c r="AH82" s="43"/>
      <c r="AI82" s="43"/>
      <c r="AJ82" s="43"/>
      <c r="AK82" s="101"/>
      <c r="AL82" s="43"/>
      <c r="AM82" s="43"/>
      <c r="AN82" s="43"/>
      <c r="AO82" s="43"/>
      <c r="AP82" s="43"/>
      <c r="AQ82" s="101"/>
      <c r="AS82" s="45"/>
      <c r="AT82" s="45"/>
      <c r="AU82" s="46"/>
    </row>
    <row r="83" spans="1:47" ht="17.100000000000001" customHeight="1">
      <c r="C83" s="42"/>
      <c r="F83" s="45"/>
      <c r="H83" s="45"/>
      <c r="I83" s="45"/>
      <c r="J83" s="47"/>
      <c r="K83" s="47"/>
      <c r="L83" s="45"/>
      <c r="M83" s="45"/>
      <c r="N83" s="46"/>
      <c r="O83" s="46"/>
      <c r="P83" s="45"/>
      <c r="Q83" s="45"/>
      <c r="R83" s="45"/>
      <c r="AA83" s="308" t="s">
        <v>49</v>
      </c>
      <c r="AB83" s="308"/>
      <c r="AC83" s="309" t="s">
        <v>312</v>
      </c>
      <c r="AD83" s="308"/>
      <c r="AE83" s="308" t="s">
        <v>50</v>
      </c>
      <c r="AF83" s="308"/>
      <c r="AG83" s="312" t="s">
        <v>51</v>
      </c>
      <c r="AH83" s="308"/>
      <c r="AI83" s="308" t="s">
        <v>50</v>
      </c>
      <c r="AJ83" s="308"/>
      <c r="AK83" s="312" t="s">
        <v>51</v>
      </c>
      <c r="AL83" s="308"/>
      <c r="AM83" s="308" t="s">
        <v>50</v>
      </c>
      <c r="AN83" s="308"/>
      <c r="AO83" s="308" t="s">
        <v>50</v>
      </c>
      <c r="AP83" s="308"/>
      <c r="AQ83" s="312" t="s">
        <v>51</v>
      </c>
      <c r="AS83" s="45"/>
      <c r="AT83" s="45"/>
      <c r="AU83" s="335"/>
    </row>
    <row r="84" spans="1:47">
      <c r="T84" s="41">
        <v>1</v>
      </c>
      <c r="V84" s="133" t="s">
        <v>95</v>
      </c>
      <c r="W84" s="133" t="s">
        <v>388</v>
      </c>
      <c r="X84" s="42"/>
      <c r="Y84" s="1"/>
      <c r="Z84" s="1"/>
      <c r="AA84" s="3"/>
      <c r="AB84" s="3"/>
      <c r="AC84" s="7"/>
      <c r="AD84" s="7"/>
      <c r="AE84" s="3"/>
      <c r="AF84" s="3"/>
      <c r="AG84" s="103"/>
      <c r="AH84" s="4"/>
      <c r="AI84" s="1"/>
      <c r="AJ84" s="1"/>
      <c r="AK84" s="103"/>
      <c r="AL84" s="1"/>
      <c r="AM84" s="1"/>
      <c r="AN84" s="1"/>
      <c r="AO84" s="1"/>
      <c r="AP84" s="1"/>
      <c r="AQ84" s="103"/>
      <c r="AR84" s="164"/>
    </row>
    <row r="85" spans="1:47">
      <c r="L85" s="42"/>
      <c r="M85" s="42"/>
      <c r="Y85" s="1"/>
      <c r="Z85" s="1"/>
      <c r="AA85" s="3"/>
      <c r="AB85" s="3"/>
      <c r="AC85" s="7"/>
      <c r="AD85" s="7"/>
      <c r="AE85" s="3"/>
      <c r="AF85" s="3"/>
      <c r="AG85" s="103"/>
      <c r="AH85" s="4"/>
      <c r="AI85" s="1"/>
      <c r="AJ85" s="1"/>
      <c r="AK85" s="103"/>
      <c r="AL85" s="1"/>
      <c r="AM85" s="1"/>
      <c r="AN85" s="1"/>
      <c r="AO85" s="1"/>
      <c r="AP85" s="1"/>
      <c r="AQ85" s="103"/>
      <c r="AR85" s="164"/>
    </row>
    <row r="86" spans="1:47" ht="15.95" customHeight="1">
      <c r="R86" s="42"/>
      <c r="T86" s="41">
        <v>2</v>
      </c>
      <c r="V86" s="48" t="s">
        <v>414</v>
      </c>
      <c r="Y86" s="3">
        <f>F23</f>
        <v>0</v>
      </c>
      <c r="Z86" s="1"/>
      <c r="AA86" s="3"/>
      <c r="AB86" s="3"/>
      <c r="AC86" s="81"/>
      <c r="AD86" s="81"/>
      <c r="AE86" s="3">
        <f>L23</f>
        <v>0</v>
      </c>
      <c r="AF86" s="3"/>
      <c r="AG86" s="103">
        <f>ROUND((AE86/AE$101)*100,1)</f>
        <v>0</v>
      </c>
      <c r="AH86" s="4"/>
      <c r="AI86" s="3">
        <f>L23-AE86</f>
        <v>0</v>
      </c>
      <c r="AJ86" s="3"/>
      <c r="AK86" s="103">
        <v>0</v>
      </c>
      <c r="AL86" s="6"/>
      <c r="AM86" s="3"/>
      <c r="AN86" s="3"/>
      <c r="AO86" s="3">
        <f>AE86+AM86</f>
        <v>0</v>
      </c>
      <c r="AP86" s="3"/>
      <c r="AQ86" s="113" t="str">
        <f>IF(AO86=0,"0.0 ",ROUND((AI86/AO86)*100,1))</f>
        <v xml:space="preserve">0.0 </v>
      </c>
      <c r="AR86" s="164"/>
    </row>
    <row r="87" spans="1:47">
      <c r="R87" s="42"/>
      <c r="Y87" s="3"/>
      <c r="Z87" s="1"/>
      <c r="AA87" s="1"/>
      <c r="AB87" s="1"/>
      <c r="AC87" s="317"/>
      <c r="AD87" s="317"/>
      <c r="AE87" s="1"/>
      <c r="AF87" s="1"/>
      <c r="AG87" s="103"/>
      <c r="AH87" s="1"/>
      <c r="AI87" s="1"/>
      <c r="AJ87" s="1"/>
      <c r="AK87" s="103"/>
      <c r="AL87" s="1"/>
      <c r="AM87" s="1"/>
      <c r="AN87" s="1"/>
      <c r="AO87" s="1"/>
      <c r="AP87" s="1"/>
      <c r="AQ87" s="103"/>
      <c r="AR87" s="45"/>
    </row>
    <row r="88" spans="1:47">
      <c r="A88" s="42"/>
      <c r="R88" s="42"/>
      <c r="T88" s="41">
        <v>3</v>
      </c>
      <c r="V88" s="48" t="s">
        <v>62</v>
      </c>
      <c r="Y88" s="3">
        <f>F25</f>
        <v>166</v>
      </c>
      <c r="Z88" s="1"/>
      <c r="AA88" s="3"/>
      <c r="AB88" s="3"/>
      <c r="AC88" s="316">
        <f>INPUT!C96</f>
        <v>15</v>
      </c>
      <c r="AD88" s="76"/>
      <c r="AE88" s="3">
        <f>ROUND(Y88*AC88,0)</f>
        <v>2490</v>
      </c>
      <c r="AF88" s="3"/>
      <c r="AG88" s="103">
        <f>ROUND((AE88/AE$101)*100,1)</f>
        <v>4.8</v>
      </c>
      <c r="AH88" s="4"/>
      <c r="AI88" s="3">
        <f>L25-AE88</f>
        <v>0</v>
      </c>
      <c r="AJ88" s="3"/>
      <c r="AK88" s="103">
        <f>ROUND((AI88/AE88)*100,1)</f>
        <v>0</v>
      </c>
      <c r="AL88" s="6"/>
      <c r="AM88" s="3"/>
      <c r="AN88" s="3"/>
      <c r="AO88" s="3">
        <f>AE88+AM88</f>
        <v>2490</v>
      </c>
      <c r="AP88" s="3"/>
      <c r="AQ88" s="113">
        <f>IF(AO88=0,"0.0 ",ROUND((AI88/AO88)*100,1))</f>
        <v>0</v>
      </c>
      <c r="AR88" s="45"/>
    </row>
    <row r="89" spans="1:47">
      <c r="L89" s="42"/>
      <c r="M89" s="42"/>
      <c r="Y89" s="3"/>
      <c r="Z89" s="1"/>
      <c r="AA89" s="1"/>
      <c r="AB89" s="1"/>
      <c r="AC89" s="329"/>
      <c r="AD89" s="317"/>
      <c r="AE89" s="1"/>
      <c r="AF89" s="1"/>
      <c r="AG89" s="103"/>
      <c r="AH89" s="1"/>
      <c r="AI89" s="1"/>
      <c r="AJ89" s="1"/>
      <c r="AK89" s="103"/>
      <c r="AL89" s="1"/>
      <c r="AM89" s="1"/>
      <c r="AN89" s="1"/>
      <c r="AO89" s="1"/>
      <c r="AP89" s="1"/>
      <c r="AQ89" s="103"/>
      <c r="AR89" s="45"/>
    </row>
    <row r="90" spans="1:47">
      <c r="L90" s="42"/>
      <c r="M90" s="42"/>
      <c r="T90" s="41">
        <v>4</v>
      </c>
      <c r="V90" s="41" t="s">
        <v>371</v>
      </c>
      <c r="Y90" s="3"/>
      <c r="Z90" s="1"/>
      <c r="AA90" s="1"/>
      <c r="AB90" s="1"/>
      <c r="AC90" s="329"/>
      <c r="AD90" s="317"/>
      <c r="AE90" s="1"/>
      <c r="AF90" s="1"/>
      <c r="AG90" s="103"/>
      <c r="AH90" s="1"/>
      <c r="AI90" s="1"/>
      <c r="AJ90" s="1"/>
      <c r="AK90" s="103"/>
      <c r="AL90" s="1"/>
      <c r="AM90" s="1"/>
      <c r="AN90" s="1"/>
      <c r="AO90" s="1"/>
      <c r="AP90" s="1"/>
      <c r="AQ90" s="103"/>
      <c r="AR90" s="45"/>
    </row>
    <row r="91" spans="1:47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T91" s="41">
        <v>5</v>
      </c>
      <c r="V91" s="48" t="s">
        <v>85</v>
      </c>
      <c r="Y91" s="66"/>
      <c r="Z91" s="1"/>
      <c r="AA91" s="66">
        <f>H28</f>
        <v>327203</v>
      </c>
      <c r="AB91" s="3"/>
      <c r="AC91" s="134">
        <f>INPUT!C98</f>
        <v>0.14451900000000001</v>
      </c>
      <c r="AD91" s="322"/>
      <c r="AE91" s="66">
        <f>ROUND((AA91*AC91),0)</f>
        <v>47287</v>
      </c>
      <c r="AF91" s="3"/>
      <c r="AG91" s="104">
        <f>ROUND((AE91/AE$101)*100,1)-0.1</f>
        <v>90.800000000000011</v>
      </c>
      <c r="AH91" s="4"/>
      <c r="AI91" s="66">
        <f>L28-AE91</f>
        <v>7567</v>
      </c>
      <c r="AJ91" s="3"/>
      <c r="AK91" s="104">
        <f>ROUND((AI91/AE91)*100,1)</f>
        <v>16</v>
      </c>
      <c r="AL91" s="6"/>
      <c r="AM91" s="69"/>
      <c r="AN91" s="3"/>
      <c r="AO91" s="66">
        <f>AE91+AM91</f>
        <v>47287</v>
      </c>
      <c r="AP91" s="3"/>
      <c r="AQ91" s="112">
        <f>IF(AO91=0,"0.0 ",ROUND((AI91/AO91)*100,1))</f>
        <v>16</v>
      </c>
    </row>
    <row r="92" spans="1:47" ht="20.100000000000001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T92" s="41">
        <v>6</v>
      </c>
      <c r="V92" s="310" t="s">
        <v>445</v>
      </c>
      <c r="Y92" s="72">
        <f>Y88</f>
        <v>166</v>
      </c>
      <c r="Z92" s="1"/>
      <c r="AA92" s="72">
        <f>AA91</f>
        <v>327203</v>
      </c>
      <c r="AB92" s="3"/>
      <c r="AC92" s="134"/>
      <c r="AD92" s="322"/>
      <c r="AE92" s="72">
        <f>SUM(AE86:AE91)</f>
        <v>49777</v>
      </c>
      <c r="AF92" s="3"/>
      <c r="AG92" s="105">
        <f>ROUND((AE92/AE$101)*100,1)</f>
        <v>95.7</v>
      </c>
      <c r="AH92" s="4"/>
      <c r="AI92" s="72">
        <f>SUM(AI86:AI91)</f>
        <v>7567</v>
      </c>
      <c r="AJ92" s="3"/>
      <c r="AK92" s="105">
        <f>ROUND((AI92/AE92)*100,1)</f>
        <v>15.2</v>
      </c>
      <c r="AL92" s="6"/>
      <c r="AM92" s="71"/>
      <c r="AN92" s="3"/>
      <c r="AO92" s="72">
        <f>SUM(AO86:AO91)</f>
        <v>49777</v>
      </c>
      <c r="AP92" s="3"/>
      <c r="AQ92" s="114">
        <f>IF(AO92=0,"0.0 ",ROUND((AI92/AO92)*100,1))</f>
        <v>15.2</v>
      </c>
    </row>
    <row r="93" spans="1:47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V93" s="42"/>
      <c r="Y93" s="3"/>
      <c r="Z93" s="1"/>
      <c r="AA93" s="3"/>
      <c r="AB93" s="3"/>
      <c r="AC93" s="134"/>
      <c r="AD93" s="322"/>
      <c r="AE93" s="3"/>
      <c r="AF93" s="3"/>
      <c r="AG93" s="103"/>
      <c r="AH93" s="4"/>
      <c r="AI93" s="3"/>
      <c r="AJ93" s="3"/>
      <c r="AK93" s="103"/>
      <c r="AL93" s="6"/>
      <c r="AM93" s="68"/>
      <c r="AN93" s="3"/>
      <c r="AO93" s="3"/>
      <c r="AP93" s="3"/>
      <c r="AQ93" s="113"/>
    </row>
    <row r="94" spans="1:47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T94" s="41">
        <v>7</v>
      </c>
      <c r="V94" s="133" t="s">
        <v>430</v>
      </c>
      <c r="Y94" s="3"/>
      <c r="Z94" s="1"/>
      <c r="AA94" s="3"/>
      <c r="AB94" s="3"/>
      <c r="AC94" s="134"/>
      <c r="AD94" s="322"/>
      <c r="AE94" s="3"/>
      <c r="AF94" s="3"/>
      <c r="AG94" s="103"/>
      <c r="AH94" s="4"/>
      <c r="AI94" s="3"/>
      <c r="AJ94" s="3"/>
      <c r="AK94" s="103"/>
      <c r="AL94" s="6"/>
      <c r="AM94" s="68"/>
      <c r="AN94" s="3"/>
      <c r="AO94" s="3"/>
      <c r="AP94" s="3"/>
      <c r="AQ94" s="113"/>
    </row>
    <row r="95" spans="1:47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T95" s="41">
        <f>A32</f>
        <v>8</v>
      </c>
      <c r="V95" s="128" t="str">
        <f>C32</f>
        <v>DEMAND SIDE MANAGEMENT RIDER (DSMR)</v>
      </c>
      <c r="Y95" s="3"/>
      <c r="Z95" s="1"/>
      <c r="AA95" s="3"/>
      <c r="AB95" s="3"/>
      <c r="AC95" s="327">
        <f>DSM_DIST</f>
        <v>3.503E-3</v>
      </c>
      <c r="AD95" s="322"/>
      <c r="AE95" s="3">
        <f>ROUND(AA92*AC95,0)</f>
        <v>1146</v>
      </c>
      <c r="AF95" s="3"/>
      <c r="AG95" s="103">
        <f>ROUND((AE95/AE$101)*100,1)</f>
        <v>2.2000000000000002</v>
      </c>
      <c r="AH95" s="4"/>
      <c r="AI95" s="3">
        <f>L32-AE95</f>
        <v>0</v>
      </c>
      <c r="AJ95" s="3"/>
      <c r="AK95" s="103">
        <f>ROUND((AI95/AE95)*100,1)</f>
        <v>0</v>
      </c>
      <c r="AL95" s="6"/>
      <c r="AM95" s="68"/>
      <c r="AN95" s="3"/>
      <c r="AO95" s="3">
        <f>AE95+AM95</f>
        <v>1146</v>
      </c>
      <c r="AP95" s="3"/>
      <c r="AQ95" s="113">
        <f>IF(AO95=0,"0.0 ",ROUND((AI95/AO95)*100,1))</f>
        <v>0</v>
      </c>
    </row>
    <row r="96" spans="1:47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T96" s="41">
        <f>A33</f>
        <v>9</v>
      </c>
      <c r="V96" s="128" t="str">
        <f>C33</f>
        <v>ENVIRONMENTAL SURCHARGE MECHANISM RIDER (ESM)</v>
      </c>
      <c r="Y96" s="3"/>
      <c r="Z96" s="1"/>
      <c r="AA96" s="3"/>
      <c r="AB96" s="3"/>
      <c r="AC96" s="332">
        <f>CUR_ESM_NonRes</f>
        <v>6.4941608437496566E-3</v>
      </c>
      <c r="AD96" s="322"/>
      <c r="AE96" s="3">
        <f>ROUND((AO92-(CUR_BASE_FUEL*AA92)+AO95+AO98)*AC96,0)</f>
        <v>264</v>
      </c>
      <c r="AF96" s="3"/>
      <c r="AG96" s="103">
        <f>ROUND((AE96/AE$101)*100,1)</f>
        <v>0.5</v>
      </c>
      <c r="AH96" s="4"/>
      <c r="AI96" s="3">
        <f>L33-AE96</f>
        <v>-1</v>
      </c>
      <c r="AJ96" s="3"/>
      <c r="AK96" s="113">
        <f>IF(AE96=0,0,ROUND((AI96/AE96)*100,1))</f>
        <v>-0.4</v>
      </c>
      <c r="AL96" s="6"/>
      <c r="AM96" s="68"/>
      <c r="AN96" s="3"/>
      <c r="AO96" s="3">
        <f>AE96+AM96</f>
        <v>264</v>
      </c>
      <c r="AP96" s="3"/>
      <c r="AQ96" s="113">
        <f>IF(AO96=0,"0.0 ",ROUND((AI96/AO96)*100,1))</f>
        <v>-0.4</v>
      </c>
    </row>
    <row r="97" spans="1:47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T97" s="41">
        <f>A34</f>
        <v>10</v>
      </c>
      <c r="V97" s="128" t="str">
        <f>C34</f>
        <v>FUEL ADJUSTMENT CLAUSE (FAC)</v>
      </c>
      <c r="Y97" s="3"/>
      <c r="Z97" s="1"/>
      <c r="AA97" s="3"/>
      <c r="AB97" s="3"/>
      <c r="AC97" s="327">
        <f>CUR_FAC</f>
        <v>3.4872127999999998E-3</v>
      </c>
      <c r="AD97" s="322"/>
      <c r="AE97" s="3"/>
      <c r="AF97" s="3"/>
      <c r="AG97" s="103"/>
      <c r="AH97" s="4"/>
      <c r="AI97" s="3"/>
      <c r="AJ97" s="3"/>
      <c r="AK97" s="103"/>
      <c r="AL97" s="6"/>
      <c r="AM97" s="68">
        <f>ROUND(AA92*CUR_FAC,0)</f>
        <v>1141</v>
      </c>
      <c r="AN97" s="3"/>
      <c r="AO97" s="3">
        <f>AE97+AM97</f>
        <v>1141</v>
      </c>
      <c r="AP97" s="3"/>
      <c r="AQ97" s="113">
        <f>IF(AO97=0,0,ROUND(((R34-AO97)/AO97)*100,1))</f>
        <v>0</v>
      </c>
    </row>
    <row r="98" spans="1:47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T98" s="41">
        <f>A35</f>
        <v>11</v>
      </c>
      <c r="V98" s="128" t="str">
        <f>C35</f>
        <v>PROFIT SHARING MECHANISM (PSM)</v>
      </c>
      <c r="Y98" s="3"/>
      <c r="Z98" s="1"/>
      <c r="AA98" s="3"/>
      <c r="AB98" s="3"/>
      <c r="AC98" s="327">
        <f>RS_PSM</f>
        <v>2.4750000000000002E-3</v>
      </c>
      <c r="AD98" s="322"/>
      <c r="AE98" s="66">
        <f>ROUND(AA92*AC98,0)</f>
        <v>810</v>
      </c>
      <c r="AF98" s="3"/>
      <c r="AG98" s="104">
        <f>ROUND((AE98/AE$101)*100,1)</f>
        <v>1.6</v>
      </c>
      <c r="AH98" s="4"/>
      <c r="AI98" s="3">
        <f>L35-AE98</f>
        <v>0</v>
      </c>
      <c r="AJ98" s="3"/>
      <c r="AK98" s="104">
        <f>ROUND((AI98/AE98)*100,1)</f>
        <v>0</v>
      </c>
      <c r="AL98" s="6"/>
      <c r="AM98" s="69"/>
      <c r="AN98" s="3"/>
      <c r="AO98" s="66">
        <f>AE98+AM98</f>
        <v>810</v>
      </c>
      <c r="AP98" s="3"/>
      <c r="AQ98" s="112">
        <f>IF(AO98=0,"0.0 ",ROUND((AI98/AO98)*100,1))</f>
        <v>0</v>
      </c>
    </row>
    <row r="99" spans="1:47" ht="20.100000000000001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T99" s="41">
        <f>A36</f>
        <v>12</v>
      </c>
      <c r="V99" s="133" t="s">
        <v>435</v>
      </c>
      <c r="Y99" s="66"/>
      <c r="Z99" s="1"/>
      <c r="AA99" s="66"/>
      <c r="AB99" s="3"/>
      <c r="AC99" s="320"/>
      <c r="AD99" s="322"/>
      <c r="AE99" s="72">
        <f>SUM(AE95:AE98)</f>
        <v>2220</v>
      </c>
      <c r="AF99" s="3"/>
      <c r="AG99" s="105">
        <f>ROUND((AE99/AE$101)*100,1)</f>
        <v>4.3</v>
      </c>
      <c r="AH99" s="4"/>
      <c r="AI99" s="72">
        <f>SUM(AI95:AI98)</f>
        <v>-1</v>
      </c>
      <c r="AJ99" s="3"/>
      <c r="AK99" s="105">
        <f>ROUND((AI99/AE99)*100,1)</f>
        <v>0</v>
      </c>
      <c r="AL99" s="6"/>
      <c r="AM99" s="72">
        <f>SUM(AM95:AM98)</f>
        <v>1141</v>
      </c>
      <c r="AN99" s="3"/>
      <c r="AO99" s="72">
        <f>SUM(AO95:AO98)</f>
        <v>3361</v>
      </c>
      <c r="AP99" s="3"/>
      <c r="AQ99" s="114">
        <f>IF(AO99=0,"0.0 ",ROUND((AI99/AO99)*100,1))</f>
        <v>0</v>
      </c>
    </row>
    <row r="100" spans="1:47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V100" s="48"/>
      <c r="Y100" s="3"/>
      <c r="Z100" s="1"/>
      <c r="AA100" s="3"/>
      <c r="AB100" s="3"/>
      <c r="AC100" s="320"/>
      <c r="AD100" s="322"/>
      <c r="AE100" s="3"/>
      <c r="AF100" s="3"/>
      <c r="AG100" s="103"/>
      <c r="AH100" s="4"/>
      <c r="AI100" s="3"/>
      <c r="AJ100" s="3"/>
      <c r="AK100" s="103"/>
      <c r="AL100" s="6"/>
      <c r="AM100" s="68"/>
      <c r="AN100" s="3"/>
      <c r="AO100" s="3"/>
      <c r="AP100" s="3"/>
      <c r="AQ100" s="113"/>
    </row>
    <row r="101" spans="1:47" ht="20.100000000000001" customHeight="1" thickBot="1">
      <c r="L101" s="44"/>
      <c r="M101" s="44"/>
      <c r="N101" s="44"/>
      <c r="O101" s="44"/>
      <c r="R101" s="44"/>
      <c r="T101" s="41">
        <f>A38</f>
        <v>13</v>
      </c>
      <c r="V101" s="133" t="s">
        <v>448</v>
      </c>
      <c r="X101" s="42"/>
      <c r="Y101" s="67">
        <f>F38</f>
        <v>166</v>
      </c>
      <c r="Z101" s="1"/>
      <c r="AA101" s="67">
        <f>H38</f>
        <v>327203</v>
      </c>
      <c r="AB101" s="3"/>
      <c r="AC101" s="7"/>
      <c r="AD101" s="7"/>
      <c r="AE101" s="67">
        <f>AE92+AE99</f>
        <v>51997</v>
      </c>
      <c r="AF101" s="3"/>
      <c r="AG101" s="106">
        <v>100</v>
      </c>
      <c r="AH101" s="4"/>
      <c r="AI101" s="67">
        <f>AI92+AI99</f>
        <v>7566</v>
      </c>
      <c r="AJ101" s="3"/>
      <c r="AK101" s="106">
        <f>ROUND((AI101/AE101)*100,1)</f>
        <v>14.6</v>
      </c>
      <c r="AL101" s="6"/>
      <c r="AM101" s="75">
        <f>AM99+AM92</f>
        <v>1141</v>
      </c>
      <c r="AN101" s="68"/>
      <c r="AO101" s="67">
        <f>AO99+AO92</f>
        <v>53138</v>
      </c>
      <c r="AP101" s="3"/>
      <c r="AQ101" s="115">
        <f>IF(AO101=0,"0.0 ",ROUND((AI101/AO101)*100,1))</f>
        <v>14.2</v>
      </c>
    </row>
    <row r="102" spans="1:47" ht="16.5" thickTop="1">
      <c r="C102" s="42"/>
      <c r="F102" s="45"/>
      <c r="H102" s="45"/>
      <c r="I102" s="45"/>
      <c r="J102" s="47"/>
      <c r="K102" s="47"/>
      <c r="L102" s="45"/>
      <c r="M102" s="45"/>
      <c r="N102" s="46"/>
      <c r="O102" s="46"/>
      <c r="P102" s="45"/>
      <c r="Q102" s="45"/>
      <c r="R102" s="45"/>
      <c r="Y102" s="1"/>
      <c r="Z102" s="1"/>
      <c r="AA102" s="2"/>
      <c r="AB102" s="2"/>
      <c r="AC102" s="82"/>
      <c r="AD102" s="2"/>
      <c r="AE102" s="2"/>
      <c r="AF102" s="2"/>
      <c r="AG102" s="108"/>
      <c r="AH102" s="2"/>
      <c r="AI102" s="2"/>
      <c r="AJ102" s="2"/>
      <c r="AK102" s="108"/>
      <c r="AL102" s="2"/>
      <c r="AM102" s="2"/>
      <c r="AN102" s="2"/>
      <c r="AO102" s="2"/>
      <c r="AP102" s="2"/>
      <c r="AQ102" s="108"/>
      <c r="AS102" s="45"/>
      <c r="AT102" s="45"/>
      <c r="AU102" s="335"/>
    </row>
    <row r="103" spans="1:47">
      <c r="C103" s="42"/>
      <c r="F103" s="45"/>
      <c r="H103" s="45"/>
      <c r="I103" s="45"/>
      <c r="J103" s="47"/>
      <c r="K103" s="47"/>
      <c r="L103" s="45"/>
      <c r="M103" s="45"/>
      <c r="N103" s="46"/>
      <c r="O103" s="46"/>
      <c r="P103" s="45"/>
      <c r="Q103" s="45"/>
      <c r="R103" s="45"/>
      <c r="Y103" s="93"/>
      <c r="Z103" s="93"/>
      <c r="AA103" s="93"/>
      <c r="AB103" s="2"/>
      <c r="AC103" s="2"/>
      <c r="AD103" s="2"/>
      <c r="AE103" s="2"/>
      <c r="AF103" s="2"/>
      <c r="AG103" s="108"/>
      <c r="AH103" s="2"/>
      <c r="AI103" s="2"/>
      <c r="AJ103" s="2"/>
      <c r="AK103" s="108"/>
      <c r="AL103" s="2"/>
      <c r="AM103" s="2"/>
      <c r="AN103" s="2"/>
      <c r="AO103" s="2"/>
      <c r="AP103" s="2"/>
      <c r="AQ103" s="108"/>
      <c r="AS103" s="45"/>
      <c r="AT103" s="45"/>
      <c r="AU103" s="335"/>
    </row>
    <row r="104" spans="1:47">
      <c r="C104" s="42"/>
      <c r="F104" s="164"/>
      <c r="H104" s="164"/>
      <c r="I104" s="164"/>
      <c r="J104" s="331"/>
      <c r="K104" s="331"/>
      <c r="L104" s="45"/>
      <c r="M104" s="45"/>
      <c r="N104" s="46"/>
      <c r="O104" s="46"/>
      <c r="P104" s="164"/>
      <c r="Q104" s="164"/>
      <c r="R104" s="45"/>
      <c r="T104" s="41">
        <f>A41</f>
        <v>14</v>
      </c>
      <c r="V104" s="133" t="s">
        <v>356</v>
      </c>
      <c r="W104" s="133" t="s">
        <v>152</v>
      </c>
      <c r="X104" s="42"/>
      <c r="Y104" s="1"/>
      <c r="Z104" s="1"/>
      <c r="AA104" s="1"/>
      <c r="AB104" s="1"/>
      <c r="AC104" s="1"/>
      <c r="AD104" s="1"/>
      <c r="AE104" s="1"/>
      <c r="AF104" s="1"/>
      <c r="AG104" s="103"/>
      <c r="AH104" s="1"/>
      <c r="AI104" s="1"/>
      <c r="AJ104" s="1"/>
      <c r="AK104" s="103"/>
      <c r="AL104" s="1"/>
      <c r="AM104" s="1"/>
      <c r="AN104" s="1"/>
      <c r="AO104" s="1"/>
      <c r="AP104" s="1"/>
      <c r="AQ104" s="103"/>
      <c r="AS104" s="45"/>
      <c r="AT104" s="45"/>
      <c r="AU104" s="46"/>
    </row>
    <row r="105" spans="1:47">
      <c r="C105" s="42"/>
      <c r="H105" s="164"/>
      <c r="I105" s="164"/>
      <c r="J105" s="331"/>
      <c r="K105" s="331"/>
      <c r="L105" s="45"/>
      <c r="M105" s="45"/>
      <c r="N105" s="46"/>
      <c r="O105" s="46"/>
      <c r="P105" s="164"/>
      <c r="Q105" s="164"/>
      <c r="R105" s="45"/>
      <c r="Y105" s="1"/>
      <c r="Z105" s="1"/>
      <c r="AA105" s="1"/>
      <c r="AB105" s="1"/>
      <c r="AC105" s="1"/>
      <c r="AD105" s="1"/>
      <c r="AE105" s="1"/>
      <c r="AF105" s="1"/>
      <c r="AG105" s="103"/>
      <c r="AH105" s="1"/>
      <c r="AI105" s="1"/>
      <c r="AJ105" s="1"/>
      <c r="AK105" s="103"/>
      <c r="AL105" s="1"/>
      <c r="AM105" s="1"/>
      <c r="AN105" s="1"/>
      <c r="AO105" s="1"/>
      <c r="AP105" s="1"/>
      <c r="AQ105" s="103"/>
      <c r="AS105" s="45"/>
      <c r="AT105" s="45"/>
      <c r="AU105" s="46"/>
    </row>
    <row r="106" spans="1:47">
      <c r="C106" s="42"/>
      <c r="F106" s="45"/>
      <c r="H106" s="45"/>
      <c r="I106" s="45"/>
      <c r="J106" s="47"/>
      <c r="K106" s="47"/>
      <c r="L106" s="45"/>
      <c r="M106" s="45"/>
      <c r="N106" s="46"/>
      <c r="O106" s="46"/>
      <c r="P106" s="45"/>
      <c r="Q106" s="45"/>
      <c r="R106" s="45"/>
      <c r="T106" s="41">
        <f>A43</f>
        <v>15</v>
      </c>
      <c r="V106" s="48" t="s">
        <v>198</v>
      </c>
      <c r="Y106" s="3">
        <f>F43</f>
        <v>275</v>
      </c>
      <c r="Z106" s="1"/>
      <c r="AA106" s="3"/>
      <c r="AB106" s="1"/>
      <c r="AC106" s="316">
        <f>INPUT!C104</f>
        <v>3.79</v>
      </c>
      <c r="AD106" s="76"/>
      <c r="AE106" s="3">
        <f>ROUND(Y106*AC106,0)</f>
        <v>1042</v>
      </c>
      <c r="AF106" s="3"/>
      <c r="AG106" s="103">
        <f>ROUND((AE106/AE$120)*100,1)</f>
        <v>0.1</v>
      </c>
      <c r="AH106" s="1"/>
      <c r="AI106" s="3">
        <f>L43-AE106</f>
        <v>160</v>
      </c>
      <c r="AJ106" s="3"/>
      <c r="AK106" s="113">
        <f>IF(AE106=0,"0.0 ",ROUND((AI106/AE106)*100,1))</f>
        <v>15.4</v>
      </c>
      <c r="AL106" s="330"/>
      <c r="AM106" s="68"/>
      <c r="AN106" s="3"/>
      <c r="AO106" s="3">
        <f>AE106+AM106</f>
        <v>1042</v>
      </c>
      <c r="AP106" s="3"/>
      <c r="AQ106" s="113">
        <f>IF(AO106=0,"0.0 ",ROUND((AI106/AO106)*100,1))</f>
        <v>15.4</v>
      </c>
      <c r="AS106" s="45"/>
      <c r="AT106" s="45"/>
      <c r="AU106" s="46"/>
    </row>
    <row r="107" spans="1:47">
      <c r="F107" s="50"/>
      <c r="H107" s="50"/>
      <c r="I107" s="50"/>
      <c r="J107" s="326"/>
      <c r="K107" s="326"/>
      <c r="L107" s="50"/>
      <c r="M107" s="50"/>
      <c r="N107" s="50"/>
      <c r="O107" s="50"/>
      <c r="P107" s="50"/>
      <c r="Q107" s="50"/>
      <c r="R107" s="50"/>
      <c r="Y107" s="3"/>
      <c r="Z107" s="1"/>
      <c r="AA107" s="1"/>
      <c r="AB107" s="1"/>
      <c r="AC107" s="329"/>
      <c r="AD107" s="317"/>
      <c r="AE107" s="1"/>
      <c r="AF107" s="1"/>
      <c r="AG107" s="103"/>
      <c r="AH107" s="1"/>
      <c r="AI107" s="1"/>
      <c r="AJ107" s="1"/>
      <c r="AK107" s="103"/>
      <c r="AL107" s="1"/>
      <c r="AM107" s="1"/>
      <c r="AN107" s="1"/>
      <c r="AO107" s="1"/>
      <c r="AP107" s="1"/>
      <c r="AQ107" s="103"/>
      <c r="AS107" s="45"/>
      <c r="AT107" s="45"/>
      <c r="AU107" s="46"/>
    </row>
    <row r="108" spans="1:47">
      <c r="F108" s="50"/>
      <c r="H108" s="50"/>
      <c r="I108" s="50"/>
      <c r="J108" s="326"/>
      <c r="K108" s="326"/>
      <c r="L108" s="50"/>
      <c r="M108" s="50"/>
      <c r="N108" s="50"/>
      <c r="O108" s="50"/>
      <c r="P108" s="50"/>
      <c r="Q108" s="50"/>
      <c r="R108" s="50"/>
      <c r="T108" s="41">
        <f>A45</f>
        <v>16</v>
      </c>
      <c r="V108" s="41" t="s">
        <v>372</v>
      </c>
      <c r="Y108" s="3"/>
      <c r="Z108" s="1"/>
      <c r="AA108" s="1"/>
      <c r="AB108" s="1"/>
      <c r="AC108" s="329"/>
      <c r="AD108" s="317"/>
      <c r="AE108" s="1"/>
      <c r="AF108" s="1"/>
      <c r="AG108" s="103"/>
      <c r="AH108" s="1"/>
      <c r="AI108" s="1"/>
      <c r="AJ108" s="1"/>
      <c r="AK108" s="103"/>
      <c r="AL108" s="1"/>
      <c r="AM108" s="1"/>
      <c r="AN108" s="1"/>
      <c r="AO108" s="1"/>
      <c r="AP108" s="1"/>
      <c r="AQ108" s="103"/>
      <c r="AS108" s="45"/>
      <c r="AT108" s="45"/>
      <c r="AU108" s="46"/>
    </row>
    <row r="109" spans="1:47">
      <c r="F109" s="50"/>
      <c r="H109" s="50"/>
      <c r="I109" s="50"/>
      <c r="J109" s="326"/>
      <c r="K109" s="326"/>
      <c r="L109" s="50"/>
      <c r="M109" s="50"/>
      <c r="N109" s="50"/>
      <c r="O109" s="50"/>
      <c r="P109" s="50"/>
      <c r="Q109" s="50"/>
      <c r="R109" s="50"/>
      <c r="T109" s="41">
        <f>A46</f>
        <v>17</v>
      </c>
      <c r="V109" s="48" t="s">
        <v>199</v>
      </c>
      <c r="Y109" s="3"/>
      <c r="Z109" s="1"/>
      <c r="AA109" s="3">
        <f>H46</f>
        <v>11644</v>
      </c>
      <c r="AB109" s="1"/>
      <c r="AC109" s="134">
        <f>INPUT!C106</f>
        <v>0.115594</v>
      </c>
      <c r="AD109" s="317"/>
      <c r="AE109" s="3">
        <f>ROUND((AA109*AC109),0)</f>
        <v>1346</v>
      </c>
      <c r="AF109" s="1"/>
      <c r="AG109" s="103">
        <f>ROUND((AE109/AE$120)*100,1)</f>
        <v>0.2</v>
      </c>
      <c r="AH109" s="1"/>
      <c r="AI109" s="3">
        <f>L46-AE109</f>
        <v>203</v>
      </c>
      <c r="AJ109" s="1"/>
      <c r="AK109" s="113">
        <f>IF(AE109=0,"0.0 ",ROUND((AI109/AE109)*100,1))</f>
        <v>15.1</v>
      </c>
      <c r="AL109" s="1"/>
      <c r="AM109" s="68"/>
      <c r="AN109" s="1"/>
      <c r="AO109" s="3">
        <f>AE109+AM109</f>
        <v>1346</v>
      </c>
      <c r="AP109" s="1"/>
      <c r="AQ109" s="113">
        <f>IF(AO109=0,"0.0 ",ROUND((AI109/AO109)*100,1))</f>
        <v>15.1</v>
      </c>
      <c r="AS109" s="45"/>
      <c r="AT109" s="45"/>
      <c r="AU109" s="46"/>
    </row>
    <row r="110" spans="1:47">
      <c r="C110" s="42"/>
      <c r="F110" s="45"/>
      <c r="H110" s="45"/>
      <c r="I110" s="45"/>
      <c r="J110" s="47"/>
      <c r="K110" s="47"/>
      <c r="L110" s="45"/>
      <c r="M110" s="45"/>
      <c r="N110" s="46"/>
      <c r="O110" s="46"/>
      <c r="P110" s="45"/>
      <c r="Q110" s="45"/>
      <c r="R110" s="45"/>
      <c r="T110" s="41">
        <f>A47</f>
        <v>18</v>
      </c>
      <c r="V110" s="48" t="s">
        <v>200</v>
      </c>
      <c r="Y110" s="66"/>
      <c r="Z110" s="1"/>
      <c r="AA110" s="66">
        <f>H47</f>
        <v>5911099</v>
      </c>
      <c r="AB110" s="3"/>
      <c r="AC110" s="134">
        <f>INPUT!C107</f>
        <v>0.13156599999999999</v>
      </c>
      <c r="AD110" s="322"/>
      <c r="AE110" s="66">
        <f>ROUND((AA110*AC110),0)</f>
        <v>777700</v>
      </c>
      <c r="AF110" s="3"/>
      <c r="AG110" s="104">
        <f>ROUND((AE110/AE$120)*100,1)</f>
        <v>94.9</v>
      </c>
      <c r="AH110" s="4"/>
      <c r="AI110" s="66">
        <f>L47-AE110</f>
        <v>118635</v>
      </c>
      <c r="AJ110" s="3"/>
      <c r="AK110" s="112">
        <f>IF(AE110=0,"0.0 ",ROUND((AI110/AE110)*100,1))</f>
        <v>15.3</v>
      </c>
      <c r="AL110" s="6"/>
      <c r="AM110" s="69"/>
      <c r="AN110" s="68"/>
      <c r="AO110" s="66">
        <f>AE110+AM110</f>
        <v>777700</v>
      </c>
      <c r="AP110" s="3"/>
      <c r="AQ110" s="112">
        <f>IF(AO110=0,"0.0 ",ROUND((AI110/AO110)*100,1))</f>
        <v>15.3</v>
      </c>
      <c r="AS110" s="45"/>
      <c r="AT110" s="45"/>
      <c r="AU110" s="46"/>
    </row>
    <row r="111" spans="1:47" ht="20.100000000000001" customHeight="1">
      <c r="C111" s="42"/>
      <c r="F111" s="45"/>
      <c r="H111" s="45"/>
      <c r="I111" s="45"/>
      <c r="J111" s="47"/>
      <c r="K111" s="47"/>
      <c r="L111" s="45"/>
      <c r="M111" s="45"/>
      <c r="N111" s="46"/>
      <c r="O111" s="46"/>
      <c r="P111" s="45"/>
      <c r="Q111" s="45"/>
      <c r="R111" s="45"/>
      <c r="T111" s="41">
        <f>A48</f>
        <v>19</v>
      </c>
      <c r="V111" s="310" t="s">
        <v>446</v>
      </c>
      <c r="Y111" s="72">
        <f>SUM(Y106:Y110)</f>
        <v>275</v>
      </c>
      <c r="Z111" s="1"/>
      <c r="AA111" s="72">
        <f>SUM(AA106:AA110)</f>
        <v>5922743</v>
      </c>
      <c r="AB111" s="3"/>
      <c r="AC111" s="134"/>
      <c r="AD111" s="322"/>
      <c r="AE111" s="72">
        <f>SUM(AE106:AE110)</f>
        <v>780088</v>
      </c>
      <c r="AF111" s="3"/>
      <c r="AG111" s="105">
        <f>ROUND((AE111/AE$120)*100,1)</f>
        <v>95.2</v>
      </c>
      <c r="AH111" s="4"/>
      <c r="AI111" s="72">
        <f>SUM(AI106:AI110)</f>
        <v>118998</v>
      </c>
      <c r="AJ111" s="3"/>
      <c r="AK111" s="114">
        <f>IF(AE111=0,"0.0 ",ROUND((AI111/AE111)*100,1))</f>
        <v>15.3</v>
      </c>
      <c r="AL111" s="6"/>
      <c r="AM111" s="71"/>
      <c r="AN111" s="68"/>
      <c r="AO111" s="72">
        <f>SUM(AO106:AO110)</f>
        <v>780088</v>
      </c>
      <c r="AP111" s="3"/>
      <c r="AQ111" s="114">
        <f>IF(AO111=0,"0.0 ",ROUND((AI111/AO111)*100,1))</f>
        <v>15.3</v>
      </c>
      <c r="AS111" s="45"/>
      <c r="AT111" s="45"/>
      <c r="AU111" s="46"/>
    </row>
    <row r="112" spans="1:47">
      <c r="C112" s="42"/>
      <c r="F112" s="45"/>
      <c r="H112" s="45"/>
      <c r="I112" s="45"/>
      <c r="J112" s="47"/>
      <c r="K112" s="47"/>
      <c r="L112" s="45"/>
      <c r="M112" s="45"/>
      <c r="N112" s="46"/>
      <c r="O112" s="46"/>
      <c r="P112" s="45"/>
      <c r="Q112" s="45"/>
      <c r="R112" s="45"/>
      <c r="V112" s="42"/>
      <c r="Y112" s="3"/>
      <c r="Z112" s="1"/>
      <c r="AA112" s="3"/>
      <c r="AB112" s="3"/>
      <c r="AC112" s="134"/>
      <c r="AD112" s="322"/>
      <c r="AE112" s="3"/>
      <c r="AF112" s="3"/>
      <c r="AG112" s="103"/>
      <c r="AH112" s="4"/>
      <c r="AI112" s="3"/>
      <c r="AJ112" s="3"/>
      <c r="AK112" s="113"/>
      <c r="AL112" s="6"/>
      <c r="AM112" s="68"/>
      <c r="AN112" s="68"/>
      <c r="AO112" s="3"/>
      <c r="AP112" s="3"/>
      <c r="AQ112" s="113"/>
      <c r="AS112" s="45"/>
      <c r="AT112" s="45"/>
      <c r="AU112" s="46"/>
    </row>
    <row r="113" spans="1:47">
      <c r="C113" s="42"/>
      <c r="F113" s="45"/>
      <c r="H113" s="45"/>
      <c r="I113" s="45"/>
      <c r="J113" s="47"/>
      <c r="K113" s="47"/>
      <c r="L113" s="45"/>
      <c r="M113" s="45"/>
      <c r="N113" s="46"/>
      <c r="O113" s="46"/>
      <c r="P113" s="45"/>
      <c r="Q113" s="45"/>
      <c r="R113" s="45"/>
      <c r="T113" s="41">
        <f t="shared" ref="T113:T118" si="0">A50</f>
        <v>20</v>
      </c>
      <c r="V113" s="133" t="s">
        <v>430</v>
      </c>
      <c r="Y113" s="3"/>
      <c r="Z113" s="1"/>
      <c r="AA113" s="3"/>
      <c r="AB113" s="3"/>
      <c r="AC113" s="134"/>
      <c r="AD113" s="322"/>
      <c r="AE113" s="3"/>
      <c r="AF113" s="3"/>
      <c r="AG113" s="103"/>
      <c r="AH113" s="4"/>
      <c r="AI113" s="3"/>
      <c r="AJ113" s="3"/>
      <c r="AK113" s="113"/>
      <c r="AL113" s="6"/>
      <c r="AM113" s="68"/>
      <c r="AN113" s="68"/>
      <c r="AO113" s="3"/>
      <c r="AP113" s="3"/>
      <c r="AQ113" s="113"/>
      <c r="AS113" s="45"/>
      <c r="AT113" s="45"/>
      <c r="AU113" s="46"/>
    </row>
    <row r="114" spans="1:47">
      <c r="C114" s="42"/>
      <c r="F114" s="45"/>
      <c r="H114" s="45"/>
      <c r="I114" s="45"/>
      <c r="J114" s="47"/>
      <c r="K114" s="47"/>
      <c r="L114" s="45"/>
      <c r="M114" s="45"/>
      <c r="N114" s="46"/>
      <c r="O114" s="46"/>
      <c r="P114" s="45"/>
      <c r="Q114" s="45"/>
      <c r="R114" s="45"/>
      <c r="T114" s="41">
        <f t="shared" si="0"/>
        <v>21</v>
      </c>
      <c r="V114" s="128" t="str">
        <f>C51</f>
        <v>DEMAND SIDE MANAGEMENT RIDER (DSMR)</v>
      </c>
      <c r="Y114" s="3"/>
      <c r="Z114" s="1"/>
      <c r="AA114" s="3"/>
      <c r="AB114" s="3"/>
      <c r="AC114" s="327">
        <f>DSM_DIST</f>
        <v>3.503E-3</v>
      </c>
      <c r="AD114" s="322"/>
      <c r="AE114" s="3">
        <f>ROUND($AA$111*AC114,0)</f>
        <v>20747</v>
      </c>
      <c r="AF114" s="3"/>
      <c r="AG114" s="103">
        <f>ROUND((AE114/AE$120)*100,1)</f>
        <v>2.5</v>
      </c>
      <c r="AH114" s="4"/>
      <c r="AI114" s="3">
        <f>L51-AE114</f>
        <v>0</v>
      </c>
      <c r="AJ114" s="3"/>
      <c r="AK114" s="113">
        <f>IF(AE114=0,"0.0 ",ROUND((AI114/AE114)*100,1))</f>
        <v>0</v>
      </c>
      <c r="AL114" s="6"/>
      <c r="AM114" s="68"/>
      <c r="AN114" s="68"/>
      <c r="AO114" s="3">
        <f>AE114+AM114</f>
        <v>20747</v>
      </c>
      <c r="AP114" s="3"/>
      <c r="AQ114" s="113">
        <f>IF(AO114=0,"0.0 ",ROUND((AI114/AO114)*100,1))</f>
        <v>0</v>
      </c>
      <c r="AS114" s="45"/>
      <c r="AT114" s="45"/>
      <c r="AU114" s="46"/>
    </row>
    <row r="115" spans="1:47">
      <c r="C115" s="42"/>
      <c r="F115" s="45"/>
      <c r="H115" s="45"/>
      <c r="I115" s="45"/>
      <c r="J115" s="47"/>
      <c r="K115" s="47"/>
      <c r="L115" s="45"/>
      <c r="M115" s="45"/>
      <c r="N115" s="46"/>
      <c r="O115" s="46"/>
      <c r="P115" s="45"/>
      <c r="Q115" s="45"/>
      <c r="R115" s="45"/>
      <c r="T115" s="41">
        <f t="shared" si="0"/>
        <v>22</v>
      </c>
      <c r="V115" s="128" t="str">
        <f>C52</f>
        <v>ENVIRONMENTAL SURCHARGE MECHANISM RIDER (ESM)</v>
      </c>
      <c r="Y115" s="3"/>
      <c r="Z115" s="1"/>
      <c r="AA115" s="3"/>
      <c r="AB115" s="3"/>
      <c r="AC115" s="332">
        <f>CUR_ESM_NonRes</f>
        <v>6.4941608437496566E-3</v>
      </c>
      <c r="AD115" s="322"/>
      <c r="AE115" s="3">
        <f>ROUND((AO111-(CUR_BASE_FUEL*AA111)+AO114+AO117)*AC115,0)</f>
        <v>3997</v>
      </c>
      <c r="AF115" s="3"/>
      <c r="AG115" s="103">
        <f>ROUND((AE115/AE$120)*100,1)</f>
        <v>0.5</v>
      </c>
      <c r="AH115" s="4"/>
      <c r="AI115" s="3">
        <f>L52-AE115</f>
        <v>13</v>
      </c>
      <c r="AJ115" s="3"/>
      <c r="AK115" s="113">
        <f>IF(AE115=0,"0.0 ",ROUND((AI115/AE115)*100,1))</f>
        <v>0.3</v>
      </c>
      <c r="AL115" s="6"/>
      <c r="AM115" s="68"/>
      <c r="AN115" s="68"/>
      <c r="AO115" s="3">
        <f>AE115+AM115</f>
        <v>3997</v>
      </c>
      <c r="AP115" s="3"/>
      <c r="AQ115" s="113">
        <f>IF(AO115=0,"0.0 ",ROUND((AI115/AO115)*100,1))</f>
        <v>0.3</v>
      </c>
      <c r="AS115" s="45"/>
      <c r="AT115" s="45"/>
      <c r="AU115" s="46"/>
    </row>
    <row r="116" spans="1:47">
      <c r="C116" s="42"/>
      <c r="F116" s="45"/>
      <c r="H116" s="45"/>
      <c r="I116" s="45"/>
      <c r="J116" s="47"/>
      <c r="K116" s="47"/>
      <c r="L116" s="45"/>
      <c r="M116" s="45"/>
      <c r="N116" s="46"/>
      <c r="O116" s="46"/>
      <c r="P116" s="45"/>
      <c r="Q116" s="45"/>
      <c r="R116" s="45"/>
      <c r="T116" s="41">
        <f t="shared" si="0"/>
        <v>23</v>
      </c>
      <c r="V116" s="128" t="str">
        <f>C53</f>
        <v>FUEL ADJUSTMENT CLAUSE (FAC)</v>
      </c>
      <c r="Y116" s="3"/>
      <c r="Z116" s="1"/>
      <c r="AA116" s="3"/>
      <c r="AB116" s="3"/>
      <c r="AC116" s="327">
        <f>CUR_FAC</f>
        <v>3.4872127999999998E-3</v>
      </c>
      <c r="AD116" s="322"/>
      <c r="AE116" s="3"/>
      <c r="AF116" s="3"/>
      <c r="AG116" s="103"/>
      <c r="AH116" s="4"/>
      <c r="AI116" s="3"/>
      <c r="AJ116" s="3"/>
      <c r="AK116" s="113"/>
      <c r="AL116" s="6"/>
      <c r="AM116" s="68">
        <f>ROUND(AA111*CUR_FAC,0)</f>
        <v>20654</v>
      </c>
      <c r="AN116" s="68"/>
      <c r="AO116" s="3">
        <f>AE116+AM116</f>
        <v>20654</v>
      </c>
      <c r="AP116" s="3"/>
      <c r="AQ116" s="113">
        <f>IF(AO116=0,0,ROUND(((R53-AO116)/AO116)*100,1))</f>
        <v>0</v>
      </c>
      <c r="AS116" s="45"/>
      <c r="AT116" s="45"/>
      <c r="AU116" s="46"/>
    </row>
    <row r="117" spans="1:47">
      <c r="C117" s="42"/>
      <c r="F117" s="45"/>
      <c r="H117" s="45"/>
      <c r="I117" s="45"/>
      <c r="J117" s="47"/>
      <c r="K117" s="47"/>
      <c r="L117" s="45"/>
      <c r="M117" s="45"/>
      <c r="N117" s="46"/>
      <c r="O117" s="46"/>
      <c r="P117" s="45"/>
      <c r="Q117" s="45"/>
      <c r="R117" s="45"/>
      <c r="T117" s="41">
        <f t="shared" si="0"/>
        <v>24</v>
      </c>
      <c r="V117" s="128" t="str">
        <f>C54</f>
        <v>PROFIT SHARING MECHANISM (PSM)</v>
      </c>
      <c r="Y117" s="3"/>
      <c r="Z117" s="1"/>
      <c r="AA117" s="3"/>
      <c r="AB117" s="3"/>
      <c r="AC117" s="327">
        <f>RS_PSM</f>
        <v>2.4750000000000002E-3</v>
      </c>
      <c r="AD117" s="322"/>
      <c r="AE117" s="66">
        <f>ROUND(AA111*RS_PSM,0)</f>
        <v>14659</v>
      </c>
      <c r="AF117" s="3"/>
      <c r="AG117" s="104">
        <f>ROUND((AE117/AE$120)*100,1)</f>
        <v>1.8</v>
      </c>
      <c r="AH117" s="4"/>
      <c r="AI117" s="66">
        <f>L54-AE117</f>
        <v>0</v>
      </c>
      <c r="AJ117" s="3"/>
      <c r="AK117" s="112">
        <f>IF(AE117=0,"0.0 ",ROUND((AI117/AE117)*100,1))</f>
        <v>0</v>
      </c>
      <c r="AL117" s="6"/>
      <c r="AM117" s="69"/>
      <c r="AN117" s="68"/>
      <c r="AO117" s="66">
        <f>AE117+AM117</f>
        <v>14659</v>
      </c>
      <c r="AP117" s="3"/>
      <c r="AQ117" s="112">
        <f>IF(AO117=0,"0.0 ",ROUND((AI117/AO117)*100,1))</f>
        <v>0</v>
      </c>
      <c r="AS117" s="45"/>
      <c r="AT117" s="45"/>
      <c r="AU117" s="46"/>
    </row>
    <row r="118" spans="1:47">
      <c r="C118" s="42"/>
      <c r="F118" s="45"/>
      <c r="H118" s="45"/>
      <c r="I118" s="45"/>
      <c r="J118" s="47"/>
      <c r="K118" s="47"/>
      <c r="L118" s="45"/>
      <c r="M118" s="45"/>
      <c r="N118" s="46"/>
      <c r="O118" s="46"/>
      <c r="P118" s="45"/>
      <c r="Q118" s="45"/>
      <c r="R118" s="45"/>
      <c r="T118" s="41">
        <f t="shared" si="0"/>
        <v>25</v>
      </c>
      <c r="V118" s="133" t="s">
        <v>435</v>
      </c>
      <c r="Y118" s="66"/>
      <c r="Z118" s="1"/>
      <c r="AA118" s="66"/>
      <c r="AB118" s="3"/>
      <c r="AC118" s="320"/>
      <c r="AD118" s="322"/>
      <c r="AE118" s="72">
        <f>SUM(AE114:AE117)</f>
        <v>39403</v>
      </c>
      <c r="AF118" s="3"/>
      <c r="AG118" s="105">
        <f>ROUND((AE118/AE$120)*100,1)</f>
        <v>4.8</v>
      </c>
      <c r="AH118" s="4"/>
      <c r="AI118" s="72">
        <f>SUM(AI114:AI117)</f>
        <v>13</v>
      </c>
      <c r="AJ118" s="3"/>
      <c r="AK118" s="114">
        <f>IF(AE118=0,"0.0 ",ROUND((AI118/AE118)*100,1))</f>
        <v>0</v>
      </c>
      <c r="AL118" s="6"/>
      <c r="AM118" s="71">
        <f>SUM(AM114:AM117)</f>
        <v>20654</v>
      </c>
      <c r="AN118" s="68"/>
      <c r="AO118" s="72">
        <f>SUM(AO114:AO117)</f>
        <v>60057</v>
      </c>
      <c r="AP118" s="3"/>
      <c r="AQ118" s="114">
        <f>IF(AO118=0,"0.0 ",ROUND((AI118/AO118)*100,1))</f>
        <v>0</v>
      </c>
      <c r="AS118" s="45"/>
      <c r="AT118" s="45"/>
      <c r="AU118" s="46"/>
    </row>
    <row r="119" spans="1:47">
      <c r="C119" s="42"/>
      <c r="F119" s="45"/>
      <c r="H119" s="45"/>
      <c r="I119" s="45"/>
      <c r="J119" s="47"/>
      <c r="K119" s="47"/>
      <c r="L119" s="45"/>
      <c r="M119" s="45"/>
      <c r="N119" s="46"/>
      <c r="O119" s="46"/>
      <c r="P119" s="45"/>
      <c r="Q119" s="45"/>
      <c r="R119" s="45"/>
      <c r="V119" s="48"/>
      <c r="Y119" s="3"/>
      <c r="Z119" s="1"/>
      <c r="AA119" s="3"/>
      <c r="AB119" s="3"/>
      <c r="AC119" s="320"/>
      <c r="AD119" s="322"/>
      <c r="AE119" s="3"/>
      <c r="AF119" s="3"/>
      <c r="AG119" s="103"/>
      <c r="AH119" s="4"/>
      <c r="AI119" s="3"/>
      <c r="AJ119" s="3"/>
      <c r="AK119" s="113"/>
      <c r="AL119" s="6"/>
      <c r="AM119" s="68"/>
      <c r="AN119" s="68"/>
      <c r="AO119" s="3"/>
      <c r="AP119" s="3"/>
      <c r="AQ119" s="113"/>
      <c r="AS119" s="45"/>
      <c r="AT119" s="45"/>
      <c r="AU119" s="46"/>
    </row>
    <row r="120" spans="1:47" ht="24.75" customHeight="1" thickBot="1">
      <c r="A120" s="42"/>
      <c r="F120" s="45"/>
      <c r="H120" s="45"/>
      <c r="I120" s="45"/>
      <c r="J120" s="47"/>
      <c r="K120" s="47"/>
      <c r="L120" s="45"/>
      <c r="M120" s="45"/>
      <c r="N120" s="45"/>
      <c r="O120" s="45"/>
      <c r="P120" s="45"/>
      <c r="Q120" s="45"/>
      <c r="R120" s="45"/>
      <c r="T120" s="41">
        <f>A57</f>
        <v>26</v>
      </c>
      <c r="V120" s="133" t="s">
        <v>447</v>
      </c>
      <c r="X120" s="42"/>
      <c r="Y120" s="67">
        <f>F57</f>
        <v>275</v>
      </c>
      <c r="Z120" s="1"/>
      <c r="AA120" s="67">
        <f>H57</f>
        <v>5922743</v>
      </c>
      <c r="AB120" s="3"/>
      <c r="AC120" s="7"/>
      <c r="AD120" s="7"/>
      <c r="AE120" s="67">
        <f>AE111+AE118</f>
        <v>819491</v>
      </c>
      <c r="AF120" s="3"/>
      <c r="AG120" s="106">
        <v>100</v>
      </c>
      <c r="AH120" s="4"/>
      <c r="AI120" s="67">
        <f>AI111+AI118</f>
        <v>119011</v>
      </c>
      <c r="AJ120" s="3"/>
      <c r="AK120" s="115">
        <f>IF(AE120=0,"0.0 ",ROUND((AI120/AE120)*100,1))</f>
        <v>14.5</v>
      </c>
      <c r="AL120" s="6"/>
      <c r="AM120" s="67">
        <f>AM111+AM118</f>
        <v>20654</v>
      </c>
      <c r="AN120" s="3"/>
      <c r="AO120" s="67">
        <f>AO111+AO118</f>
        <v>840145</v>
      </c>
      <c r="AP120" s="3"/>
      <c r="AQ120" s="115">
        <f>IF(AO120=0,"0.0 ",ROUND((AI120/AO120)*100,1))</f>
        <v>14.2</v>
      </c>
      <c r="AR120" s="45"/>
      <c r="AS120" s="45"/>
      <c r="AT120" s="45"/>
      <c r="AU120" s="46"/>
    </row>
    <row r="121" spans="1:47" ht="16.5" thickTop="1">
      <c r="L121" s="45"/>
      <c r="M121" s="45"/>
      <c r="N121" s="45"/>
      <c r="O121" s="45"/>
      <c r="P121" s="45"/>
      <c r="Q121" s="45"/>
      <c r="R121" s="45"/>
      <c r="Y121" s="1"/>
      <c r="Z121" s="1"/>
      <c r="AA121" s="1"/>
      <c r="AB121" s="1"/>
      <c r="AC121" s="1"/>
      <c r="AD121" s="1"/>
      <c r="AE121" s="1"/>
      <c r="AF121" s="1"/>
      <c r="AG121" s="103"/>
      <c r="AH121" s="1"/>
      <c r="AI121" s="1"/>
      <c r="AJ121" s="1"/>
      <c r="AK121" s="103"/>
      <c r="AL121" s="1"/>
      <c r="AM121" s="1"/>
      <c r="AN121" s="1"/>
      <c r="AO121" s="1"/>
      <c r="AP121" s="1"/>
      <c r="AQ121" s="103"/>
      <c r="AR121" s="45"/>
      <c r="AS121" s="45"/>
      <c r="AT121" s="45"/>
      <c r="AU121" s="46"/>
    </row>
    <row r="122" spans="1:47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V122" s="140" t="s">
        <v>59</v>
      </c>
      <c r="Y122" s="45"/>
      <c r="AA122" s="45"/>
      <c r="AB122" s="45"/>
      <c r="AC122" s="47"/>
      <c r="AD122" s="47"/>
      <c r="AE122" s="45"/>
      <c r="AF122" s="45"/>
      <c r="AH122" s="45"/>
    </row>
    <row r="123" spans="1:47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V123" s="140" t="str">
        <f>"(2) REFLECTS FUEL COMPONENT OF "&amp;TEXT(CUR_FAC,"$0.000000;($0.000000)")&amp;"  PER KWH."</f>
        <v>(2) REFLECTS FUEL COMPONENT OF $0.003487  PER KWH.</v>
      </c>
      <c r="Y123" s="45"/>
      <c r="AA123" s="45"/>
      <c r="AB123" s="45"/>
      <c r="AC123" s="47"/>
      <c r="AD123" s="47"/>
      <c r="AE123" s="45"/>
      <c r="AF123" s="45"/>
      <c r="AH123" s="45"/>
    </row>
    <row r="124" spans="1:47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V124" s="140" t="str">
        <f>"(3) REFLECTS FUEL COST RECOVERY INCLUDED IN BASE RATES OF "&amp;TEXT(CUR_BASE_FUEL,"$0.000000;($0.000000)")&amp;"  PER KWH."</f>
        <v>(3) REFLECTS FUEL COST RECOVERY INCLUDED IN BASE RATES OF $0.033780  PER KWH.</v>
      </c>
      <c r="Y124" s="45"/>
      <c r="AA124" s="45"/>
      <c r="AB124" s="45"/>
      <c r="AC124" s="47"/>
      <c r="AD124" s="47"/>
      <c r="AE124" s="45"/>
      <c r="AF124" s="45"/>
      <c r="AH124" s="45"/>
    </row>
    <row r="125" spans="1:47"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V125" s="141" t="s">
        <v>387</v>
      </c>
    </row>
    <row r="126" spans="1:47">
      <c r="C126" s="42"/>
      <c r="D126" s="42"/>
      <c r="E126" s="42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107"/>
      <c r="AH126" s="49"/>
      <c r="AI126" s="49"/>
      <c r="AJ126" s="49"/>
      <c r="AK126" s="107"/>
      <c r="AL126" s="49"/>
      <c r="AM126" s="49"/>
      <c r="AN126" s="49"/>
    </row>
    <row r="127" spans="1:47">
      <c r="C127" s="42"/>
      <c r="AA127" s="44"/>
      <c r="AB127" s="44"/>
      <c r="AC127" s="44"/>
      <c r="AD127" s="44"/>
      <c r="AE127" s="44"/>
      <c r="AF127" s="44"/>
      <c r="AG127" s="102"/>
      <c r="AH127" s="44"/>
      <c r="AK127" s="102"/>
      <c r="AL127" s="44"/>
      <c r="AM127" s="44"/>
      <c r="AN127" s="44"/>
    </row>
    <row r="128" spans="1:47">
      <c r="Z128" s="44"/>
      <c r="AA128" s="44"/>
      <c r="AB128" s="44"/>
      <c r="AC128" s="44"/>
      <c r="AD128" s="44"/>
      <c r="AE128" s="44"/>
      <c r="AF128" s="44"/>
      <c r="AG128" s="102"/>
      <c r="AH128" s="44"/>
      <c r="AK128" s="102"/>
      <c r="AL128" s="44"/>
      <c r="AM128" s="44"/>
      <c r="AN128" s="44"/>
    </row>
    <row r="129" spans="3:40">
      <c r="C129" s="42"/>
      <c r="T129" s="44"/>
      <c r="U129" s="44"/>
      <c r="V129" s="44"/>
      <c r="Z129" s="44"/>
      <c r="AA129" s="44"/>
      <c r="AB129" s="44"/>
      <c r="AC129" s="44"/>
      <c r="AD129" s="44"/>
      <c r="AE129" s="44"/>
      <c r="AF129" s="44"/>
      <c r="AG129" s="102"/>
      <c r="AH129" s="44"/>
      <c r="AI129" s="44"/>
      <c r="AJ129" s="44"/>
      <c r="AK129" s="102"/>
      <c r="AL129" s="44"/>
      <c r="AM129" s="44"/>
      <c r="AN129" s="44"/>
    </row>
    <row r="130" spans="3:40">
      <c r="C130" s="42"/>
      <c r="F130" s="164"/>
      <c r="H130" s="164"/>
      <c r="I130" s="164"/>
      <c r="J130" s="316"/>
      <c r="K130" s="316"/>
      <c r="L130" s="45"/>
      <c r="M130" s="45"/>
      <c r="N130" s="46"/>
      <c r="O130" s="46"/>
      <c r="R130" s="45"/>
      <c r="T130" s="44"/>
      <c r="U130" s="44"/>
      <c r="V130" s="44"/>
      <c r="Y130" s="44"/>
      <c r="Z130" s="44"/>
      <c r="AA130" s="44"/>
      <c r="AB130" s="44"/>
      <c r="AC130" s="44"/>
      <c r="AD130" s="44"/>
      <c r="AE130" s="44"/>
      <c r="AF130" s="44"/>
      <c r="AG130" s="102"/>
      <c r="AH130" s="44"/>
      <c r="AI130" s="44"/>
      <c r="AJ130" s="44"/>
      <c r="AK130" s="102"/>
      <c r="AL130" s="44"/>
      <c r="AM130" s="44"/>
      <c r="AN130" s="44"/>
    </row>
    <row r="131" spans="3:40">
      <c r="C131" s="42"/>
      <c r="F131" s="164"/>
      <c r="H131" s="164"/>
      <c r="I131" s="164"/>
      <c r="J131" s="316"/>
      <c r="K131" s="316"/>
      <c r="L131" s="45"/>
      <c r="M131" s="45"/>
      <c r="N131" s="46"/>
      <c r="O131" s="46"/>
      <c r="R131" s="45"/>
      <c r="T131" s="44"/>
      <c r="U131" s="44"/>
      <c r="V131" s="44"/>
      <c r="Y131" s="44"/>
      <c r="Z131" s="44"/>
      <c r="AA131" s="44"/>
      <c r="AB131" s="44"/>
      <c r="AC131" s="44"/>
      <c r="AD131" s="44"/>
      <c r="AE131" s="44"/>
      <c r="AF131" s="44"/>
      <c r="AG131" s="102"/>
      <c r="AH131" s="44"/>
      <c r="AI131" s="44"/>
      <c r="AJ131" s="44"/>
      <c r="AK131" s="102"/>
      <c r="AL131" s="44"/>
      <c r="AM131" s="44"/>
      <c r="AN131" s="44"/>
    </row>
    <row r="132" spans="3:40">
      <c r="C132" s="42"/>
      <c r="F132" s="164"/>
      <c r="H132" s="164"/>
      <c r="I132" s="164"/>
      <c r="J132" s="316"/>
      <c r="K132" s="316"/>
      <c r="L132" s="45"/>
      <c r="M132" s="45"/>
      <c r="N132" s="46"/>
      <c r="O132" s="46"/>
      <c r="R132" s="45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107"/>
      <c r="AH132" s="49"/>
      <c r="AI132" s="49"/>
      <c r="AJ132" s="49"/>
      <c r="AK132" s="107"/>
      <c r="AL132" s="49"/>
      <c r="AM132" s="49"/>
      <c r="AN132" s="49"/>
    </row>
    <row r="133" spans="3:40">
      <c r="F133" s="50"/>
      <c r="H133" s="45"/>
      <c r="I133" s="45"/>
      <c r="J133" s="326"/>
      <c r="K133" s="326"/>
      <c r="L133" s="50"/>
      <c r="M133" s="50"/>
      <c r="N133" s="50"/>
      <c r="O133" s="50"/>
      <c r="P133" s="50"/>
      <c r="Q133" s="50"/>
      <c r="R133" s="50"/>
      <c r="Y133" s="44"/>
      <c r="Z133" s="44"/>
      <c r="AA133" s="44"/>
      <c r="AB133" s="44"/>
      <c r="AC133" s="44"/>
      <c r="AD133" s="44"/>
      <c r="AE133" s="44"/>
      <c r="AF133" s="44"/>
      <c r="AG133" s="102"/>
      <c r="AH133" s="44"/>
      <c r="AI133" s="44"/>
      <c r="AJ133" s="44"/>
      <c r="AK133" s="102"/>
      <c r="AL133" s="44"/>
      <c r="AM133" s="44"/>
      <c r="AN133" s="44"/>
    </row>
    <row r="134" spans="3:40">
      <c r="C134" s="42"/>
      <c r="F134" s="45"/>
      <c r="H134" s="45"/>
      <c r="I134" s="45"/>
      <c r="J134" s="326"/>
      <c r="K134" s="326"/>
      <c r="L134" s="45"/>
      <c r="M134" s="45"/>
      <c r="N134" s="46"/>
      <c r="O134" s="46"/>
      <c r="P134" s="45"/>
      <c r="Q134" s="45"/>
      <c r="R134" s="45"/>
      <c r="T134" s="42"/>
      <c r="U134" s="42"/>
    </row>
    <row r="135" spans="3:40">
      <c r="F135" s="50"/>
      <c r="H135" s="45"/>
      <c r="I135" s="45"/>
      <c r="J135" s="326"/>
      <c r="K135" s="326"/>
      <c r="L135" s="50"/>
      <c r="M135" s="50"/>
      <c r="N135" s="50"/>
      <c r="O135" s="50"/>
      <c r="P135" s="50"/>
      <c r="Q135" s="50"/>
      <c r="R135" s="50"/>
      <c r="T135" s="42"/>
    </row>
    <row r="136" spans="3:40">
      <c r="C136" s="42"/>
      <c r="F136" s="164"/>
      <c r="H136" s="164"/>
      <c r="I136" s="164"/>
      <c r="J136" s="336"/>
      <c r="K136" s="336"/>
      <c r="L136" s="45"/>
      <c r="M136" s="45"/>
      <c r="N136" s="46"/>
      <c r="O136" s="46"/>
      <c r="P136" s="45"/>
      <c r="Q136" s="45"/>
      <c r="R136" s="45"/>
      <c r="S136" s="45"/>
    </row>
    <row r="137" spans="3:40">
      <c r="C137" s="42"/>
      <c r="F137" s="164"/>
      <c r="H137" s="164"/>
      <c r="I137" s="164"/>
      <c r="J137" s="316"/>
      <c r="K137" s="316"/>
      <c r="L137" s="45"/>
      <c r="M137" s="45"/>
      <c r="N137" s="46"/>
      <c r="O137" s="46"/>
      <c r="P137" s="45"/>
      <c r="Q137" s="45"/>
      <c r="R137" s="45"/>
      <c r="T137" s="42"/>
    </row>
    <row r="138" spans="3:40">
      <c r="C138" s="42"/>
      <c r="F138" s="164"/>
      <c r="H138" s="164"/>
      <c r="I138" s="164"/>
      <c r="J138" s="316"/>
      <c r="K138" s="316"/>
      <c r="L138" s="45"/>
      <c r="M138" s="45"/>
      <c r="N138" s="46"/>
      <c r="O138" s="46"/>
      <c r="P138" s="45"/>
      <c r="Q138" s="45"/>
      <c r="R138" s="45"/>
      <c r="T138" s="42"/>
      <c r="V138" s="45"/>
      <c r="Y138" s="164"/>
      <c r="Z138" s="316"/>
      <c r="AA138" s="45"/>
      <c r="AB138" s="45"/>
      <c r="AC138" s="46"/>
      <c r="AD138" s="46"/>
      <c r="AE138" s="45"/>
      <c r="AF138" s="45"/>
      <c r="AG138" s="333"/>
      <c r="AH138" s="334"/>
      <c r="AL138" s="45"/>
      <c r="AM138" s="335"/>
      <c r="AN138" s="335"/>
    </row>
    <row r="139" spans="3:40">
      <c r="F139" s="45"/>
      <c r="H139" s="50"/>
      <c r="I139" s="50"/>
      <c r="J139" s="326"/>
      <c r="K139" s="326"/>
      <c r="L139" s="50"/>
      <c r="M139" s="50"/>
      <c r="N139" s="50"/>
      <c r="O139" s="50"/>
      <c r="P139" s="50"/>
      <c r="Q139" s="50"/>
      <c r="R139" s="50"/>
      <c r="T139" s="42"/>
      <c r="V139" s="45"/>
      <c r="Y139" s="164"/>
      <c r="Z139" s="316"/>
      <c r="AA139" s="45"/>
      <c r="AB139" s="45"/>
      <c r="AC139" s="46"/>
      <c r="AD139" s="46"/>
      <c r="AE139" s="45"/>
      <c r="AF139" s="45"/>
      <c r="AH139" s="51"/>
      <c r="AL139" s="45"/>
      <c r="AM139" s="46"/>
      <c r="AN139" s="46"/>
    </row>
    <row r="140" spans="3:40">
      <c r="C140" s="42"/>
      <c r="F140" s="45"/>
      <c r="H140" s="45"/>
      <c r="I140" s="45"/>
      <c r="J140" s="326"/>
      <c r="K140" s="326"/>
      <c r="L140" s="45"/>
      <c r="M140" s="45"/>
      <c r="N140" s="46"/>
      <c r="O140" s="46"/>
      <c r="P140" s="45"/>
      <c r="Q140" s="45"/>
      <c r="R140" s="45"/>
      <c r="T140" s="42"/>
      <c r="V140" s="45"/>
      <c r="Y140" s="164"/>
      <c r="Z140" s="316"/>
      <c r="AA140" s="45"/>
      <c r="AB140" s="45"/>
      <c r="AC140" s="46"/>
      <c r="AD140" s="46"/>
      <c r="AE140" s="45"/>
      <c r="AF140" s="45"/>
      <c r="AH140" s="51"/>
      <c r="AL140" s="45"/>
      <c r="AM140" s="46"/>
      <c r="AN140" s="46"/>
    </row>
    <row r="141" spans="3:40">
      <c r="F141" s="45"/>
      <c r="H141" s="50"/>
      <c r="I141" s="50"/>
      <c r="J141" s="326"/>
      <c r="K141" s="326"/>
      <c r="L141" s="50"/>
      <c r="M141" s="50"/>
      <c r="N141" s="50"/>
      <c r="O141" s="50"/>
      <c r="P141" s="50"/>
      <c r="Q141" s="50"/>
      <c r="R141" s="50"/>
      <c r="V141" s="50"/>
      <c r="Y141" s="45"/>
      <c r="Z141" s="326"/>
      <c r="AA141" s="50"/>
      <c r="AB141" s="50"/>
      <c r="AC141" s="50"/>
      <c r="AD141" s="50"/>
      <c r="AE141" s="50"/>
      <c r="AF141" s="50"/>
      <c r="AI141" s="50"/>
      <c r="AJ141" s="50"/>
      <c r="AK141" s="111"/>
      <c r="AL141" s="50"/>
      <c r="AM141" s="46"/>
      <c r="AN141" s="46"/>
    </row>
    <row r="142" spans="3:40">
      <c r="C142" s="42"/>
      <c r="F142" s="45"/>
      <c r="H142" s="45"/>
      <c r="I142" s="45"/>
      <c r="J142" s="326"/>
      <c r="K142" s="326"/>
      <c r="L142" s="45"/>
      <c r="M142" s="45"/>
      <c r="N142" s="45"/>
      <c r="O142" s="45"/>
      <c r="P142" s="45"/>
      <c r="Q142" s="45"/>
      <c r="R142" s="45"/>
      <c r="T142" s="42"/>
      <c r="V142" s="45"/>
      <c r="Y142" s="45"/>
      <c r="Z142" s="47"/>
      <c r="AA142" s="45"/>
      <c r="AB142" s="45"/>
      <c r="AC142" s="46"/>
      <c r="AD142" s="46"/>
      <c r="AE142" s="45"/>
      <c r="AF142" s="45"/>
      <c r="AH142" s="51"/>
      <c r="AI142" s="45"/>
      <c r="AJ142" s="45"/>
      <c r="AL142" s="45"/>
      <c r="AM142" s="46"/>
      <c r="AN142" s="46"/>
    </row>
    <row r="143" spans="3:40">
      <c r="C143" s="42"/>
      <c r="F143" s="45"/>
      <c r="H143" s="164"/>
      <c r="I143" s="164"/>
      <c r="J143" s="132"/>
      <c r="K143" s="132"/>
      <c r="L143" s="45"/>
      <c r="M143" s="45"/>
      <c r="N143" s="46"/>
      <c r="O143" s="46"/>
      <c r="P143" s="45"/>
      <c r="Q143" s="45"/>
      <c r="R143" s="45"/>
      <c r="V143" s="50"/>
      <c r="Y143" s="45"/>
      <c r="Z143" s="326"/>
      <c r="AA143" s="50"/>
      <c r="AB143" s="50"/>
      <c r="AC143" s="50"/>
      <c r="AD143" s="50"/>
      <c r="AE143" s="50"/>
      <c r="AF143" s="50"/>
      <c r="AI143" s="50"/>
      <c r="AJ143" s="50"/>
      <c r="AK143" s="111"/>
      <c r="AL143" s="50"/>
      <c r="AM143" s="46"/>
      <c r="AN143" s="46"/>
    </row>
    <row r="144" spans="3:40">
      <c r="C144" s="42"/>
      <c r="H144" s="164"/>
      <c r="I144" s="164"/>
      <c r="J144" s="132"/>
      <c r="K144" s="132"/>
      <c r="L144" s="45"/>
      <c r="M144" s="45"/>
      <c r="N144" s="46"/>
      <c r="O144" s="46"/>
      <c r="P144" s="45"/>
      <c r="Q144" s="45"/>
      <c r="R144" s="45"/>
      <c r="T144" s="42"/>
      <c r="V144" s="164"/>
      <c r="Y144" s="164"/>
      <c r="Z144" s="336"/>
      <c r="AA144" s="45"/>
      <c r="AB144" s="45"/>
      <c r="AC144" s="46"/>
      <c r="AD144" s="46"/>
      <c r="AE144" s="45"/>
      <c r="AF144" s="45"/>
      <c r="AH144" s="46"/>
      <c r="AI144" s="45"/>
      <c r="AJ144" s="45"/>
      <c r="AL144" s="45"/>
      <c r="AM144" s="46"/>
      <c r="AN144" s="46"/>
    </row>
    <row r="145" spans="3:40">
      <c r="F145" s="45"/>
      <c r="H145" s="45"/>
      <c r="I145" s="45"/>
      <c r="J145" s="326"/>
      <c r="K145" s="326"/>
      <c r="L145" s="50"/>
      <c r="M145" s="50"/>
      <c r="N145" s="50"/>
      <c r="O145" s="50"/>
      <c r="P145" s="50"/>
      <c r="Q145" s="50"/>
      <c r="R145" s="50"/>
      <c r="T145" s="42"/>
      <c r="V145" s="164"/>
      <c r="Y145" s="45"/>
      <c r="Z145" s="316"/>
      <c r="AA145" s="45"/>
      <c r="AB145" s="45"/>
      <c r="AC145" s="46"/>
      <c r="AD145" s="46"/>
      <c r="AE145" s="45"/>
      <c r="AF145" s="45"/>
      <c r="AH145" s="51"/>
      <c r="AI145" s="45"/>
      <c r="AJ145" s="45"/>
      <c r="AL145" s="45"/>
      <c r="AM145" s="46"/>
      <c r="AN145" s="46"/>
    </row>
    <row r="146" spans="3:40">
      <c r="C146" s="42"/>
      <c r="F146" s="45"/>
      <c r="H146" s="45"/>
      <c r="I146" s="45"/>
      <c r="J146" s="47"/>
      <c r="K146" s="47"/>
      <c r="L146" s="45"/>
      <c r="M146" s="45"/>
      <c r="N146" s="46"/>
      <c r="O146" s="46"/>
      <c r="P146" s="45"/>
      <c r="Q146" s="45"/>
      <c r="R146" s="45"/>
      <c r="T146" s="42"/>
      <c r="V146" s="164"/>
      <c r="Y146" s="45"/>
      <c r="Z146" s="316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3:40">
      <c r="F147" s="45"/>
      <c r="H147" s="45"/>
      <c r="I147" s="45"/>
      <c r="J147" s="326"/>
      <c r="K147" s="326"/>
      <c r="L147" s="50"/>
      <c r="M147" s="50"/>
      <c r="N147" s="50"/>
      <c r="O147" s="50"/>
      <c r="P147" s="50"/>
      <c r="Q147" s="50"/>
      <c r="R147" s="50"/>
      <c r="V147" s="45"/>
      <c r="Y147" s="50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6"/>
      <c r="AN147" s="46"/>
    </row>
    <row r="148" spans="3:40">
      <c r="C148" s="42"/>
      <c r="F148" s="45"/>
      <c r="H148" s="45"/>
      <c r="I148" s="45"/>
      <c r="J148" s="47"/>
      <c r="K148" s="47"/>
      <c r="L148" s="45"/>
      <c r="M148" s="45"/>
      <c r="N148" s="46"/>
      <c r="O148" s="46"/>
      <c r="P148" s="45"/>
      <c r="Q148" s="45"/>
      <c r="R148" s="45"/>
      <c r="T148" s="42"/>
      <c r="V148" s="45"/>
      <c r="Y148" s="45"/>
      <c r="Z148" s="326"/>
      <c r="AA148" s="45"/>
      <c r="AB148" s="45"/>
      <c r="AC148" s="46"/>
      <c r="AD148" s="46"/>
      <c r="AE148" s="45"/>
      <c r="AF148" s="45"/>
      <c r="AH148" s="51"/>
      <c r="AI148" s="45"/>
      <c r="AJ148" s="45"/>
      <c r="AL148" s="45"/>
      <c r="AM148" s="46"/>
      <c r="AN148" s="46"/>
    </row>
    <row r="149" spans="3:40">
      <c r="C149" s="42"/>
      <c r="F149" s="45"/>
      <c r="H149" s="164"/>
      <c r="I149" s="164"/>
      <c r="J149" s="331"/>
      <c r="K149" s="331"/>
      <c r="L149" s="45"/>
      <c r="M149" s="45"/>
      <c r="N149" s="46"/>
      <c r="O149" s="46"/>
      <c r="P149" s="45"/>
      <c r="Q149" s="45"/>
      <c r="R149" s="45"/>
      <c r="V149" s="45"/>
      <c r="Y149" s="50"/>
      <c r="Z149" s="326"/>
      <c r="AA149" s="50"/>
      <c r="AB149" s="50"/>
      <c r="AC149" s="50"/>
      <c r="AD149" s="50"/>
      <c r="AE149" s="50"/>
      <c r="AF149" s="50"/>
      <c r="AI149" s="50"/>
      <c r="AJ149" s="50"/>
      <c r="AK149" s="111"/>
      <c r="AL149" s="50"/>
      <c r="AM149" s="46"/>
      <c r="AN149" s="46"/>
    </row>
    <row r="150" spans="3:40">
      <c r="F150" s="50"/>
      <c r="H150" s="50"/>
      <c r="I150" s="50"/>
      <c r="J150" s="326"/>
      <c r="K150" s="326"/>
      <c r="L150" s="50"/>
      <c r="M150" s="50"/>
      <c r="N150" s="50"/>
      <c r="O150" s="50"/>
      <c r="P150" s="50"/>
      <c r="Q150" s="50"/>
      <c r="R150" s="50"/>
      <c r="T150" s="42"/>
      <c r="V150" s="45"/>
      <c r="Y150" s="45"/>
      <c r="Z150" s="326"/>
      <c r="AA150" s="45"/>
      <c r="AB150" s="45"/>
      <c r="AC150" s="45"/>
      <c r="AD150" s="45"/>
      <c r="AE150" s="45"/>
      <c r="AF150" s="45"/>
      <c r="AH150" s="51"/>
      <c r="AI150" s="45"/>
      <c r="AJ150" s="45"/>
      <c r="AL150" s="45"/>
      <c r="AM150" s="46"/>
      <c r="AN150" s="46"/>
    </row>
    <row r="151" spans="3:40">
      <c r="C151" s="42"/>
      <c r="F151" s="45"/>
      <c r="H151" s="45"/>
      <c r="I151" s="45"/>
      <c r="J151" s="326"/>
      <c r="K151" s="326"/>
      <c r="L151" s="45"/>
      <c r="M151" s="45"/>
      <c r="N151" s="46"/>
      <c r="O151" s="46"/>
      <c r="P151" s="45"/>
      <c r="Q151" s="45"/>
      <c r="R151" s="45"/>
      <c r="S151" s="45"/>
      <c r="T151" s="42"/>
      <c r="V151" s="45"/>
      <c r="Y151" s="45"/>
      <c r="Z151" s="132"/>
      <c r="AA151" s="45"/>
      <c r="AB151" s="45"/>
      <c r="AC151" s="46"/>
      <c r="AD151" s="46"/>
      <c r="AE151" s="45"/>
      <c r="AF151" s="45"/>
      <c r="AH151" s="51"/>
      <c r="AI151" s="45"/>
      <c r="AJ151" s="45"/>
      <c r="AL151" s="45"/>
      <c r="AM151" s="46"/>
      <c r="AN151" s="46"/>
    </row>
    <row r="152" spans="3:40">
      <c r="F152" s="50"/>
      <c r="H152" s="50"/>
      <c r="I152" s="50"/>
      <c r="J152" s="326"/>
      <c r="K152" s="326"/>
      <c r="L152" s="50"/>
      <c r="M152" s="50"/>
      <c r="N152" s="50"/>
      <c r="O152" s="50"/>
      <c r="P152" s="50"/>
      <c r="Q152" s="50"/>
      <c r="R152" s="50"/>
      <c r="S152" s="45"/>
      <c r="T152" s="42"/>
      <c r="Y152" s="45"/>
      <c r="Z152" s="132"/>
      <c r="AA152" s="45"/>
      <c r="AB152" s="45"/>
      <c r="AC152" s="46"/>
      <c r="AD152" s="46"/>
      <c r="AE152" s="45"/>
      <c r="AF152" s="45"/>
      <c r="AH152" s="51"/>
      <c r="AI152" s="45"/>
      <c r="AJ152" s="45"/>
      <c r="AL152" s="45"/>
      <c r="AM152" s="46"/>
      <c r="AN152" s="46"/>
    </row>
    <row r="153" spans="3:40">
      <c r="C153" s="42"/>
      <c r="F153" s="164"/>
      <c r="H153" s="337"/>
      <c r="I153" s="337"/>
      <c r="J153" s="326"/>
      <c r="K153" s="326"/>
      <c r="L153" s="45"/>
      <c r="M153" s="45"/>
      <c r="N153" s="46"/>
      <c r="O153" s="46"/>
      <c r="P153" s="45"/>
      <c r="Q153" s="45"/>
      <c r="R153" s="45"/>
      <c r="S153" s="45"/>
      <c r="V153" s="45"/>
      <c r="Y153" s="45"/>
      <c r="Z153" s="326"/>
      <c r="AA153" s="50"/>
      <c r="AB153" s="50"/>
      <c r="AC153" s="50"/>
      <c r="AD153" s="50"/>
      <c r="AE153" s="50"/>
      <c r="AF153" s="50"/>
      <c r="AI153" s="50"/>
      <c r="AJ153" s="50"/>
      <c r="AK153" s="111"/>
      <c r="AL153" s="50"/>
      <c r="AM153" s="46"/>
      <c r="AN153" s="46"/>
    </row>
    <row r="154" spans="3:40">
      <c r="T154" s="42"/>
      <c r="V154" s="45"/>
      <c r="Y154" s="45"/>
      <c r="Z154" s="47"/>
      <c r="AA154" s="45"/>
      <c r="AB154" s="45"/>
      <c r="AC154" s="46"/>
      <c r="AD154" s="46"/>
      <c r="AE154" s="45"/>
      <c r="AF154" s="45"/>
      <c r="AH154" s="51"/>
      <c r="AI154" s="45"/>
      <c r="AJ154" s="45"/>
      <c r="AL154" s="45"/>
      <c r="AM154" s="46"/>
      <c r="AN154" s="46"/>
    </row>
    <row r="155" spans="3:40">
      <c r="C155" s="42"/>
      <c r="V155" s="45"/>
      <c r="Y155" s="45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  <c r="AM155" s="46"/>
      <c r="AN155" s="46"/>
    </row>
    <row r="156" spans="3:40">
      <c r="C156" s="42"/>
      <c r="F156" s="164"/>
      <c r="H156" s="164"/>
      <c r="I156" s="164"/>
      <c r="J156" s="316"/>
      <c r="K156" s="316"/>
      <c r="L156" s="45"/>
      <c r="M156" s="45"/>
      <c r="N156" s="46"/>
      <c r="O156" s="46"/>
      <c r="R156" s="45"/>
      <c r="T156" s="42"/>
      <c r="V156" s="45"/>
      <c r="Y156" s="45"/>
      <c r="Z156" s="47"/>
      <c r="AA156" s="45"/>
      <c r="AB156" s="45"/>
      <c r="AC156" s="46"/>
      <c r="AD156" s="46"/>
      <c r="AE156" s="45"/>
      <c r="AF156" s="45"/>
      <c r="AH156" s="51"/>
      <c r="AI156" s="45"/>
      <c r="AJ156" s="45"/>
      <c r="AL156" s="45"/>
      <c r="AM156" s="46"/>
      <c r="AN156" s="46"/>
    </row>
    <row r="157" spans="3:40">
      <c r="C157" s="42"/>
      <c r="F157" s="164"/>
      <c r="H157" s="164"/>
      <c r="I157" s="164"/>
      <c r="J157" s="316"/>
      <c r="K157" s="316"/>
      <c r="L157" s="45"/>
      <c r="M157" s="45"/>
      <c r="N157" s="46"/>
      <c r="O157" s="46"/>
      <c r="R157" s="45"/>
      <c r="T157" s="42"/>
      <c r="V157" s="164"/>
      <c r="Y157" s="45"/>
      <c r="Z157" s="331"/>
      <c r="AA157" s="45"/>
      <c r="AB157" s="45"/>
      <c r="AC157" s="46"/>
      <c r="AD157" s="46"/>
      <c r="AE157" s="45"/>
      <c r="AF157" s="45"/>
      <c r="AH157" s="51"/>
      <c r="AI157" s="45"/>
      <c r="AJ157" s="45"/>
      <c r="AL157" s="45"/>
      <c r="AM157" s="46"/>
      <c r="AN157" s="46"/>
    </row>
    <row r="158" spans="3:40">
      <c r="C158" s="42"/>
      <c r="F158" s="164"/>
      <c r="H158" s="164"/>
      <c r="I158" s="164"/>
      <c r="J158" s="316"/>
      <c r="K158" s="316"/>
      <c r="L158" s="45"/>
      <c r="M158" s="45"/>
      <c r="N158" s="46"/>
      <c r="O158" s="46"/>
      <c r="R158" s="45"/>
      <c r="V158" s="50"/>
      <c r="Y158" s="50"/>
      <c r="Z158" s="326"/>
      <c r="AA158" s="50"/>
      <c r="AB158" s="50"/>
      <c r="AC158" s="50"/>
      <c r="AD158" s="50"/>
      <c r="AE158" s="50"/>
      <c r="AF158" s="50"/>
      <c r="AI158" s="50"/>
      <c r="AJ158" s="50"/>
      <c r="AK158" s="111"/>
      <c r="AL158" s="50"/>
      <c r="AM158" s="46"/>
      <c r="AN158" s="46"/>
    </row>
    <row r="159" spans="3:40">
      <c r="F159" s="50"/>
      <c r="H159" s="45"/>
      <c r="I159" s="45"/>
      <c r="J159" s="326"/>
      <c r="K159" s="326"/>
      <c r="L159" s="50"/>
      <c r="M159" s="50"/>
      <c r="N159" s="50"/>
      <c r="O159" s="50"/>
      <c r="P159" s="50"/>
      <c r="Q159" s="50"/>
      <c r="R159" s="50"/>
      <c r="T159" s="42"/>
      <c r="V159" s="45"/>
      <c r="Y159" s="45"/>
      <c r="Z159" s="326"/>
      <c r="AA159" s="45"/>
      <c r="AB159" s="45"/>
      <c r="AC159" s="46"/>
      <c r="AD159" s="46"/>
      <c r="AE159" s="45"/>
      <c r="AF159" s="45"/>
      <c r="AH159" s="46"/>
      <c r="AI159" s="45"/>
      <c r="AJ159" s="45"/>
      <c r="AL159" s="45"/>
      <c r="AM159" s="46"/>
      <c r="AN159" s="46"/>
    </row>
    <row r="160" spans="3:40">
      <c r="C160" s="42"/>
      <c r="F160" s="45"/>
      <c r="H160" s="45"/>
      <c r="I160" s="45"/>
      <c r="J160" s="326"/>
      <c r="K160" s="326"/>
      <c r="L160" s="45"/>
      <c r="M160" s="45"/>
      <c r="N160" s="46"/>
      <c r="O160" s="46"/>
      <c r="P160" s="45"/>
      <c r="Q160" s="45"/>
      <c r="R160" s="45"/>
      <c r="V160" s="50"/>
      <c r="Y160" s="50"/>
      <c r="Z160" s="326"/>
      <c r="AA160" s="50"/>
      <c r="AB160" s="50"/>
      <c r="AC160" s="50"/>
      <c r="AD160" s="50"/>
      <c r="AE160" s="50"/>
      <c r="AF160" s="50"/>
      <c r="AI160" s="50"/>
      <c r="AJ160" s="50"/>
      <c r="AK160" s="111"/>
      <c r="AL160" s="50"/>
      <c r="AM160" s="46"/>
      <c r="AN160" s="46"/>
    </row>
    <row r="161" spans="3:40">
      <c r="F161" s="50"/>
      <c r="H161" s="45"/>
      <c r="I161" s="45"/>
      <c r="J161" s="326"/>
      <c r="K161" s="326"/>
      <c r="L161" s="50"/>
      <c r="M161" s="50"/>
      <c r="N161" s="50"/>
      <c r="O161" s="50"/>
      <c r="P161" s="50"/>
      <c r="Q161" s="50"/>
      <c r="R161" s="50"/>
      <c r="T161" s="42"/>
      <c r="V161" s="164"/>
      <c r="Y161" s="164"/>
      <c r="Z161" s="326"/>
      <c r="AA161" s="45"/>
      <c r="AB161" s="45"/>
      <c r="AC161" s="46"/>
      <c r="AD161" s="46"/>
      <c r="AE161" s="45"/>
      <c r="AF161" s="45"/>
      <c r="AI161" s="45"/>
      <c r="AJ161" s="45"/>
      <c r="AL161" s="45"/>
      <c r="AM161" s="46"/>
      <c r="AN161" s="46"/>
    </row>
    <row r="162" spans="3:40">
      <c r="C162" s="42"/>
      <c r="F162" s="164"/>
      <c r="H162" s="164"/>
      <c r="I162" s="164"/>
      <c r="J162" s="336"/>
      <c r="K162" s="336"/>
      <c r="L162" s="45"/>
      <c r="M162" s="45"/>
      <c r="N162" s="46"/>
      <c r="O162" s="46"/>
      <c r="P162" s="45"/>
      <c r="Q162" s="45"/>
      <c r="R162" s="45"/>
      <c r="S162" s="45"/>
    </row>
    <row r="163" spans="3:40">
      <c r="C163" s="42"/>
      <c r="F163" s="164"/>
      <c r="H163" s="164"/>
      <c r="I163" s="164"/>
      <c r="J163" s="316"/>
      <c r="K163" s="316"/>
      <c r="L163" s="45"/>
      <c r="M163" s="45"/>
      <c r="N163" s="46"/>
      <c r="O163" s="46"/>
      <c r="P163" s="45"/>
      <c r="Q163" s="45"/>
      <c r="R163" s="45"/>
      <c r="T163" s="42"/>
    </row>
    <row r="164" spans="3:40">
      <c r="C164" s="42"/>
      <c r="F164" s="164"/>
      <c r="H164" s="164"/>
      <c r="I164" s="164"/>
      <c r="J164" s="316"/>
      <c r="K164" s="316"/>
      <c r="L164" s="45"/>
      <c r="M164" s="45"/>
      <c r="N164" s="46"/>
      <c r="O164" s="46"/>
      <c r="P164" s="45"/>
      <c r="Q164" s="45"/>
      <c r="R164" s="45"/>
      <c r="T164" s="42"/>
      <c r="V164" s="45"/>
      <c r="Y164" s="164"/>
      <c r="Z164" s="316"/>
      <c r="AA164" s="45"/>
      <c r="AB164" s="45"/>
      <c r="AC164" s="46"/>
      <c r="AD164" s="46"/>
      <c r="AE164" s="45"/>
      <c r="AF164" s="45"/>
      <c r="AG164" s="333"/>
      <c r="AH164" s="334"/>
      <c r="AL164" s="45"/>
      <c r="AM164" s="335"/>
      <c r="AN164" s="335"/>
    </row>
    <row r="165" spans="3:40">
      <c r="F165" s="45"/>
      <c r="H165" s="50"/>
      <c r="I165" s="50"/>
      <c r="J165" s="326"/>
      <c r="K165" s="326"/>
      <c r="L165" s="50"/>
      <c r="M165" s="50"/>
      <c r="N165" s="50"/>
      <c r="O165" s="50"/>
      <c r="P165" s="50"/>
      <c r="Q165" s="50"/>
      <c r="R165" s="50"/>
      <c r="T165" s="42"/>
      <c r="V165" s="45"/>
      <c r="Y165" s="164"/>
      <c r="Z165" s="316"/>
      <c r="AA165" s="45"/>
      <c r="AB165" s="45"/>
      <c r="AC165" s="46"/>
      <c r="AD165" s="46"/>
      <c r="AE165" s="45"/>
      <c r="AF165" s="45"/>
      <c r="AH165" s="51"/>
      <c r="AL165" s="45"/>
      <c r="AM165" s="46"/>
      <c r="AN165" s="46"/>
    </row>
    <row r="166" spans="3:40">
      <c r="C166" s="42"/>
      <c r="F166" s="45"/>
      <c r="H166" s="45"/>
      <c r="I166" s="45"/>
      <c r="J166" s="326"/>
      <c r="K166" s="326"/>
      <c r="L166" s="45"/>
      <c r="M166" s="45"/>
      <c r="N166" s="46"/>
      <c r="O166" s="46"/>
      <c r="P166" s="45"/>
      <c r="Q166" s="45"/>
      <c r="R166" s="45"/>
      <c r="T166" s="42"/>
      <c r="V166" s="45"/>
      <c r="Y166" s="164"/>
      <c r="Z166" s="316"/>
      <c r="AA166" s="45"/>
      <c r="AB166" s="45"/>
      <c r="AC166" s="46"/>
      <c r="AD166" s="46"/>
      <c r="AE166" s="45"/>
      <c r="AF166" s="45"/>
      <c r="AH166" s="51"/>
      <c r="AL166" s="45"/>
      <c r="AM166" s="46"/>
      <c r="AN166" s="46"/>
    </row>
    <row r="167" spans="3:40">
      <c r="F167" s="45"/>
      <c r="H167" s="50"/>
      <c r="I167" s="50"/>
      <c r="J167" s="326"/>
      <c r="K167" s="326"/>
      <c r="L167" s="50"/>
      <c r="M167" s="50"/>
      <c r="N167" s="50"/>
      <c r="O167" s="50"/>
      <c r="P167" s="50"/>
      <c r="Q167" s="50"/>
      <c r="R167" s="50"/>
      <c r="V167" s="50"/>
      <c r="Y167" s="45"/>
      <c r="Z167" s="326"/>
      <c r="AA167" s="50"/>
      <c r="AB167" s="50"/>
      <c r="AC167" s="50"/>
      <c r="AD167" s="50"/>
      <c r="AE167" s="50"/>
      <c r="AF167" s="50"/>
      <c r="AI167" s="50"/>
      <c r="AJ167" s="50"/>
      <c r="AK167" s="111"/>
      <c r="AL167" s="50"/>
      <c r="AM167" s="46"/>
      <c r="AN167" s="46"/>
    </row>
    <row r="168" spans="3:40">
      <c r="C168" s="42"/>
      <c r="F168" s="45"/>
      <c r="H168" s="45"/>
      <c r="I168" s="45"/>
      <c r="J168" s="326"/>
      <c r="K168" s="326"/>
      <c r="L168" s="45"/>
      <c r="M168" s="45"/>
      <c r="N168" s="45"/>
      <c r="O168" s="45"/>
      <c r="P168" s="45"/>
      <c r="Q168" s="45"/>
      <c r="R168" s="45"/>
      <c r="T168" s="42"/>
      <c r="V168" s="45"/>
      <c r="Y168" s="45"/>
      <c r="Z168" s="326"/>
      <c r="AA168" s="45"/>
      <c r="AB168" s="45"/>
      <c r="AC168" s="46"/>
      <c r="AD168" s="46"/>
      <c r="AE168" s="45"/>
      <c r="AF168" s="45"/>
      <c r="AH168" s="51"/>
      <c r="AI168" s="45"/>
      <c r="AJ168" s="45"/>
      <c r="AL168" s="45"/>
      <c r="AM168" s="46"/>
      <c r="AN168" s="46"/>
    </row>
    <row r="169" spans="3:40">
      <c r="C169" s="42"/>
      <c r="F169" s="45"/>
      <c r="H169" s="164"/>
      <c r="I169" s="164"/>
      <c r="J169" s="132"/>
      <c r="K169" s="132"/>
      <c r="L169" s="45"/>
      <c r="M169" s="45"/>
      <c r="N169" s="46"/>
      <c r="O169" s="46"/>
      <c r="P169" s="45"/>
      <c r="Q169" s="45"/>
      <c r="R169" s="45"/>
      <c r="V169" s="50"/>
      <c r="Y169" s="45"/>
      <c r="Z169" s="326"/>
      <c r="AA169" s="50"/>
      <c r="AB169" s="50"/>
      <c r="AC169" s="50"/>
      <c r="AD169" s="50"/>
      <c r="AE169" s="50"/>
      <c r="AF169" s="50"/>
      <c r="AI169" s="50"/>
      <c r="AJ169" s="50"/>
      <c r="AK169" s="111"/>
      <c r="AL169" s="50"/>
      <c r="AM169" s="46"/>
      <c r="AN169" s="46"/>
    </row>
    <row r="170" spans="3:40">
      <c r="C170" s="42"/>
      <c r="H170" s="164"/>
      <c r="I170" s="164"/>
      <c r="J170" s="132"/>
      <c r="K170" s="132"/>
      <c r="L170" s="45"/>
      <c r="M170" s="45"/>
      <c r="N170" s="46"/>
      <c r="O170" s="46"/>
      <c r="P170" s="45"/>
      <c r="Q170" s="45"/>
      <c r="R170" s="45"/>
      <c r="T170" s="42"/>
      <c r="V170" s="164"/>
      <c r="Y170" s="164"/>
      <c r="Z170" s="336"/>
      <c r="AA170" s="45"/>
      <c r="AB170" s="45"/>
      <c r="AC170" s="46"/>
      <c r="AD170" s="46"/>
      <c r="AE170" s="45"/>
      <c r="AF170" s="45"/>
      <c r="AH170" s="46"/>
      <c r="AI170" s="45"/>
      <c r="AJ170" s="45"/>
      <c r="AL170" s="45"/>
      <c r="AM170" s="46"/>
      <c r="AN170" s="46"/>
    </row>
    <row r="171" spans="3:40">
      <c r="F171" s="45"/>
      <c r="H171" s="45"/>
      <c r="I171" s="45"/>
      <c r="J171" s="326"/>
      <c r="K171" s="326"/>
      <c r="L171" s="50"/>
      <c r="M171" s="50"/>
      <c r="N171" s="50"/>
      <c r="O171" s="50"/>
      <c r="P171" s="50"/>
      <c r="Q171" s="50"/>
      <c r="R171" s="50"/>
      <c r="T171" s="42"/>
      <c r="V171" s="164"/>
      <c r="Y171" s="45"/>
      <c r="Z171" s="316"/>
      <c r="AA171" s="45"/>
      <c r="AB171" s="45"/>
      <c r="AC171" s="46"/>
      <c r="AD171" s="46"/>
      <c r="AE171" s="45"/>
      <c r="AF171" s="45"/>
      <c r="AH171" s="51"/>
      <c r="AI171" s="45"/>
      <c r="AJ171" s="45"/>
      <c r="AL171" s="45"/>
      <c r="AM171" s="46"/>
      <c r="AN171" s="46"/>
    </row>
    <row r="172" spans="3:40">
      <c r="C172" s="42"/>
      <c r="F172" s="45"/>
      <c r="H172" s="45"/>
      <c r="I172" s="45"/>
      <c r="J172" s="47"/>
      <c r="K172" s="47"/>
      <c r="L172" s="45"/>
      <c r="M172" s="45"/>
      <c r="N172" s="46"/>
      <c r="O172" s="46"/>
      <c r="P172" s="45"/>
      <c r="Q172" s="45"/>
      <c r="R172" s="45"/>
      <c r="T172" s="42"/>
      <c r="V172" s="164"/>
      <c r="Y172" s="45"/>
      <c r="Z172" s="316"/>
      <c r="AA172" s="45"/>
      <c r="AB172" s="45"/>
      <c r="AC172" s="46"/>
      <c r="AD172" s="46"/>
      <c r="AE172" s="45"/>
      <c r="AF172" s="45"/>
      <c r="AH172" s="51"/>
      <c r="AI172" s="45"/>
      <c r="AJ172" s="45"/>
      <c r="AL172" s="45"/>
      <c r="AM172" s="46"/>
      <c r="AN172" s="46"/>
    </row>
    <row r="173" spans="3:40">
      <c r="F173" s="45"/>
      <c r="H173" s="45"/>
      <c r="I173" s="45"/>
      <c r="J173" s="326"/>
      <c r="K173" s="326"/>
      <c r="L173" s="50"/>
      <c r="M173" s="50"/>
      <c r="N173" s="50"/>
      <c r="O173" s="50"/>
      <c r="P173" s="50"/>
      <c r="Q173" s="50"/>
      <c r="R173" s="50"/>
      <c r="V173" s="45"/>
      <c r="Y173" s="50"/>
      <c r="Z173" s="326"/>
      <c r="AA173" s="50"/>
      <c r="AB173" s="50"/>
      <c r="AC173" s="50"/>
      <c r="AD173" s="50"/>
      <c r="AE173" s="50"/>
      <c r="AF173" s="50"/>
      <c r="AI173" s="50"/>
      <c r="AJ173" s="50"/>
      <c r="AK173" s="111"/>
      <c r="AL173" s="50"/>
      <c r="AM173" s="46"/>
      <c r="AN173" s="46"/>
    </row>
    <row r="174" spans="3:40">
      <c r="C174" s="42"/>
      <c r="F174" s="45"/>
      <c r="H174" s="45"/>
      <c r="I174" s="45"/>
      <c r="J174" s="47"/>
      <c r="K174" s="47"/>
      <c r="L174" s="45"/>
      <c r="M174" s="45"/>
      <c r="N174" s="46"/>
      <c r="O174" s="46"/>
      <c r="P174" s="45"/>
      <c r="Q174" s="45"/>
      <c r="R174" s="45"/>
      <c r="T174" s="42"/>
      <c r="V174" s="45"/>
      <c r="Y174" s="45"/>
      <c r="Z174" s="326"/>
      <c r="AA174" s="45"/>
      <c r="AB174" s="45"/>
      <c r="AC174" s="46"/>
      <c r="AD174" s="46"/>
      <c r="AE174" s="45"/>
      <c r="AF174" s="45"/>
      <c r="AH174" s="51"/>
      <c r="AI174" s="45"/>
      <c r="AJ174" s="45"/>
      <c r="AL174" s="45"/>
      <c r="AM174" s="46"/>
      <c r="AN174" s="46"/>
    </row>
    <row r="175" spans="3:40">
      <c r="C175" s="42"/>
      <c r="F175" s="164"/>
      <c r="H175" s="164"/>
      <c r="I175" s="164"/>
      <c r="J175" s="331"/>
      <c r="K175" s="331"/>
      <c r="L175" s="45"/>
      <c r="M175" s="45"/>
      <c r="N175" s="46"/>
      <c r="O175" s="46"/>
      <c r="P175" s="45"/>
      <c r="Q175" s="45"/>
      <c r="R175" s="45"/>
      <c r="V175" s="45"/>
      <c r="Y175" s="50"/>
      <c r="Z175" s="326"/>
      <c r="AA175" s="50"/>
      <c r="AB175" s="50"/>
      <c r="AC175" s="50"/>
      <c r="AD175" s="50"/>
      <c r="AE175" s="50"/>
      <c r="AF175" s="50"/>
      <c r="AI175" s="50"/>
      <c r="AJ175" s="50"/>
      <c r="AK175" s="111"/>
      <c r="AL175" s="50"/>
      <c r="AM175" s="46"/>
      <c r="AN175" s="46"/>
    </row>
    <row r="176" spans="3:40">
      <c r="F176" s="50"/>
      <c r="H176" s="50"/>
      <c r="I176" s="50"/>
      <c r="J176" s="326"/>
      <c r="K176" s="326"/>
      <c r="L176" s="50"/>
      <c r="M176" s="50"/>
      <c r="N176" s="50"/>
      <c r="O176" s="50"/>
      <c r="P176" s="50"/>
      <c r="Q176" s="50"/>
      <c r="R176" s="50"/>
      <c r="T176" s="42"/>
      <c r="V176" s="45"/>
      <c r="Y176" s="45"/>
      <c r="Z176" s="326"/>
      <c r="AA176" s="45"/>
      <c r="AB176" s="45"/>
      <c r="AC176" s="45"/>
      <c r="AD176" s="45"/>
      <c r="AE176" s="45"/>
      <c r="AF176" s="45"/>
      <c r="AH176" s="51"/>
      <c r="AI176" s="45"/>
      <c r="AJ176" s="45"/>
      <c r="AL176" s="45"/>
      <c r="AM176" s="46"/>
      <c r="AN176" s="46"/>
    </row>
    <row r="177" spans="1:40">
      <c r="C177" s="42"/>
      <c r="F177" s="45"/>
      <c r="H177" s="45"/>
      <c r="I177" s="45"/>
      <c r="J177" s="326"/>
      <c r="K177" s="326"/>
      <c r="L177" s="45"/>
      <c r="M177" s="45"/>
      <c r="N177" s="46"/>
      <c r="O177" s="46"/>
      <c r="P177" s="45"/>
      <c r="Q177" s="45"/>
      <c r="R177" s="45"/>
      <c r="S177" s="45"/>
      <c r="T177" s="42"/>
      <c r="V177" s="45"/>
      <c r="Y177" s="45"/>
      <c r="Z177" s="132"/>
      <c r="AA177" s="45"/>
      <c r="AB177" s="45"/>
      <c r="AC177" s="46"/>
      <c r="AD177" s="46"/>
      <c r="AE177" s="45"/>
      <c r="AF177" s="45"/>
      <c r="AH177" s="51"/>
      <c r="AI177" s="45"/>
      <c r="AJ177" s="45"/>
      <c r="AL177" s="45"/>
      <c r="AM177" s="46"/>
      <c r="AN177" s="46"/>
    </row>
    <row r="178" spans="1:40">
      <c r="F178" s="50"/>
      <c r="H178" s="50"/>
      <c r="I178" s="50"/>
      <c r="J178" s="326"/>
      <c r="K178" s="326"/>
      <c r="L178" s="50"/>
      <c r="M178" s="50"/>
      <c r="N178" s="50"/>
      <c r="O178" s="50"/>
      <c r="P178" s="50"/>
      <c r="Q178" s="50"/>
      <c r="R178" s="50"/>
      <c r="S178" s="45"/>
      <c r="T178" s="42"/>
      <c r="Y178" s="45"/>
      <c r="Z178" s="132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1:40">
      <c r="C179" s="42"/>
      <c r="V179" s="45"/>
      <c r="Y179" s="45"/>
      <c r="Z179" s="326"/>
      <c r="AA179" s="50"/>
      <c r="AB179" s="50"/>
      <c r="AC179" s="50"/>
      <c r="AD179" s="50"/>
      <c r="AE179" s="50"/>
      <c r="AF179" s="50"/>
      <c r="AI179" s="50"/>
      <c r="AJ179" s="50"/>
      <c r="AK179" s="111"/>
      <c r="AL179" s="50"/>
      <c r="AM179" s="46"/>
      <c r="AN179" s="46"/>
    </row>
    <row r="180" spans="1:40">
      <c r="C180" s="42"/>
      <c r="F180" s="45"/>
      <c r="H180" s="45"/>
      <c r="I180" s="45"/>
      <c r="L180" s="45"/>
      <c r="M180" s="45"/>
      <c r="N180" s="46"/>
      <c r="O180" s="46"/>
      <c r="P180" s="164"/>
      <c r="Q180" s="164"/>
      <c r="R180" s="45"/>
      <c r="T180" s="42"/>
      <c r="V180" s="45"/>
      <c r="Y180" s="45"/>
      <c r="Z180" s="47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1:40">
      <c r="F181" s="50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V181" s="45"/>
      <c r="Y181" s="45"/>
      <c r="Z181" s="326"/>
      <c r="AA181" s="50"/>
      <c r="AB181" s="50"/>
      <c r="AC181" s="50"/>
      <c r="AD181" s="50"/>
      <c r="AE181" s="50"/>
      <c r="AF181" s="50"/>
      <c r="AI181" s="50"/>
      <c r="AJ181" s="50"/>
      <c r="AK181" s="111"/>
      <c r="AL181" s="50"/>
      <c r="AM181" s="46"/>
      <c r="AN181" s="46"/>
    </row>
    <row r="182" spans="1:40">
      <c r="T182" s="42"/>
      <c r="V182" s="45"/>
      <c r="Y182" s="45"/>
      <c r="Z182" s="47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1:40">
      <c r="C183" s="42"/>
      <c r="L183" s="45"/>
      <c r="M183" s="45"/>
      <c r="N183" s="45"/>
      <c r="O183" s="45"/>
      <c r="P183" s="45"/>
      <c r="Q183" s="45"/>
      <c r="R183" s="45"/>
      <c r="S183" s="45"/>
      <c r="T183" s="42"/>
      <c r="V183" s="164"/>
      <c r="Y183" s="45"/>
      <c r="Z183" s="331"/>
      <c r="AA183" s="45"/>
      <c r="AB183" s="45"/>
      <c r="AC183" s="46"/>
      <c r="AD183" s="46"/>
      <c r="AE183" s="45"/>
      <c r="AF183" s="45"/>
      <c r="AH183" s="51"/>
      <c r="AI183" s="45"/>
      <c r="AJ183" s="45"/>
      <c r="AL183" s="45"/>
      <c r="AM183" s="46"/>
      <c r="AN183" s="46"/>
    </row>
    <row r="184" spans="1:40">
      <c r="A184" s="42"/>
      <c r="V184" s="50"/>
      <c r="Y184" s="50"/>
      <c r="Z184" s="326"/>
      <c r="AA184" s="50"/>
      <c r="AB184" s="50"/>
      <c r="AC184" s="50"/>
      <c r="AD184" s="50"/>
      <c r="AE184" s="50"/>
      <c r="AF184" s="50"/>
      <c r="AI184" s="50"/>
      <c r="AJ184" s="50"/>
      <c r="AK184" s="111"/>
      <c r="AL184" s="50"/>
      <c r="AM184" s="46"/>
      <c r="AN184" s="46"/>
    </row>
    <row r="185" spans="1:40">
      <c r="T185" s="42"/>
      <c r="V185" s="45"/>
      <c r="Y185" s="45"/>
      <c r="Z185" s="326"/>
      <c r="AA185" s="45"/>
      <c r="AB185" s="45"/>
      <c r="AC185" s="46"/>
      <c r="AD185" s="46"/>
      <c r="AE185" s="45"/>
      <c r="AF185" s="45"/>
      <c r="AH185" s="46"/>
      <c r="AI185" s="45"/>
      <c r="AJ185" s="45"/>
      <c r="AL185" s="45"/>
      <c r="AM185" s="46"/>
      <c r="AN185" s="46"/>
    </row>
    <row r="186" spans="1:40">
      <c r="H186" s="42"/>
      <c r="I186" s="42"/>
      <c r="V186" s="50"/>
      <c r="Y186" s="50"/>
      <c r="Z186" s="326"/>
      <c r="AA186" s="50"/>
      <c r="AB186" s="50"/>
      <c r="AC186" s="50"/>
      <c r="AD186" s="50"/>
      <c r="AE186" s="50"/>
      <c r="AF186" s="50"/>
      <c r="AI186" s="50"/>
      <c r="AJ186" s="50"/>
      <c r="AK186" s="111"/>
      <c r="AL186" s="50"/>
      <c r="AM186" s="46"/>
      <c r="AN186" s="46"/>
    </row>
    <row r="187" spans="1:40">
      <c r="T187" s="42"/>
    </row>
    <row r="188" spans="1:40">
      <c r="L188" s="42"/>
      <c r="M188" s="42"/>
      <c r="AA188" s="42"/>
      <c r="AB188" s="42"/>
    </row>
    <row r="189" spans="1:40">
      <c r="R189" s="42"/>
      <c r="AK189" s="110"/>
      <c r="AL189" s="42"/>
    </row>
    <row r="190" spans="1:40">
      <c r="R190" s="42"/>
      <c r="AK190" s="110"/>
      <c r="AL190" s="42"/>
    </row>
    <row r="191" spans="1:40">
      <c r="A191" s="42"/>
      <c r="R191" s="42"/>
      <c r="AK191" s="110"/>
      <c r="AL191" s="42"/>
    </row>
    <row r="192" spans="1:40">
      <c r="L192" s="42"/>
      <c r="M192" s="42"/>
      <c r="AA192" s="42"/>
      <c r="AB192" s="42"/>
    </row>
    <row r="193" spans="1:40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107"/>
      <c r="AH193" s="49"/>
      <c r="AI193" s="49"/>
      <c r="AJ193" s="49"/>
      <c r="AK193" s="107"/>
      <c r="AL193" s="49"/>
      <c r="AM193" s="49"/>
      <c r="AN193" s="49"/>
    </row>
    <row r="194" spans="1:40">
      <c r="L194" s="44"/>
      <c r="M194" s="44"/>
      <c r="N194" s="44"/>
      <c r="O194" s="44"/>
      <c r="R194" s="44"/>
      <c r="AA194" s="44"/>
      <c r="AB194" s="44"/>
      <c r="AC194" s="44"/>
      <c r="AD194" s="44"/>
      <c r="AE194" s="44"/>
      <c r="AF194" s="44"/>
      <c r="AG194" s="102"/>
      <c r="AH194" s="44"/>
      <c r="AK194" s="102"/>
      <c r="AL194" s="44"/>
      <c r="AM194" s="44"/>
      <c r="AN194" s="44"/>
    </row>
    <row r="195" spans="1:40">
      <c r="L195" s="44"/>
      <c r="M195" s="44"/>
      <c r="N195" s="44"/>
      <c r="O195" s="44"/>
      <c r="R195" s="44"/>
      <c r="Z195" s="44"/>
      <c r="AA195" s="44"/>
      <c r="AB195" s="44"/>
      <c r="AC195" s="44"/>
      <c r="AD195" s="44"/>
      <c r="AE195" s="44"/>
      <c r="AF195" s="44"/>
      <c r="AG195" s="102"/>
      <c r="AH195" s="44"/>
      <c r="AK195" s="102"/>
      <c r="AL195" s="44"/>
      <c r="AM195" s="44"/>
      <c r="AN195" s="44"/>
    </row>
    <row r="196" spans="1:40">
      <c r="A196" s="44"/>
      <c r="C196" s="44"/>
      <c r="D196" s="44"/>
      <c r="E196" s="44"/>
      <c r="F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>
      <c r="A197" s="44"/>
      <c r="C197" s="44"/>
      <c r="D197" s="44"/>
      <c r="E197" s="44"/>
      <c r="F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T197" s="44"/>
      <c r="U197" s="44"/>
      <c r="V197" s="44"/>
      <c r="Y197" s="44"/>
      <c r="Z197" s="44"/>
      <c r="AA197" s="44"/>
      <c r="AB197" s="44"/>
      <c r="AC197" s="44"/>
      <c r="AD197" s="44"/>
      <c r="AE197" s="44"/>
      <c r="AF197" s="44"/>
      <c r="AG197" s="102"/>
      <c r="AH197" s="44"/>
      <c r="AI197" s="44"/>
      <c r="AJ197" s="44"/>
      <c r="AK197" s="102"/>
      <c r="AL197" s="44"/>
      <c r="AM197" s="44"/>
      <c r="AN197" s="44"/>
    </row>
    <row r="198" spans="1:40">
      <c r="C198" s="44"/>
      <c r="D198" s="44"/>
      <c r="E198" s="44"/>
      <c r="F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T198" s="44"/>
      <c r="U198" s="44"/>
      <c r="V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107"/>
      <c r="AH199" s="49"/>
      <c r="AI199" s="49"/>
      <c r="AJ199" s="49"/>
      <c r="AK199" s="107"/>
      <c r="AL199" s="49"/>
      <c r="AM199" s="49"/>
      <c r="AN199" s="49"/>
    </row>
    <row r="200" spans="1:40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Y200" s="44"/>
      <c r="Z200" s="44"/>
      <c r="AA200" s="44"/>
      <c r="AB200" s="44"/>
      <c r="AC200" s="44"/>
      <c r="AD200" s="44"/>
      <c r="AE200" s="44"/>
      <c r="AF200" s="44"/>
      <c r="AG200" s="102"/>
      <c r="AH200" s="44"/>
      <c r="AI200" s="44"/>
      <c r="AJ200" s="44"/>
      <c r="AK200" s="102"/>
      <c r="AL200" s="44"/>
      <c r="AM200" s="44"/>
      <c r="AN200" s="44"/>
    </row>
    <row r="201" spans="1:40">
      <c r="C201" s="42"/>
      <c r="D201" s="42"/>
      <c r="E201" s="42"/>
      <c r="T201" s="42"/>
      <c r="U201" s="42"/>
    </row>
    <row r="202" spans="1:40">
      <c r="D202" s="42"/>
      <c r="E202" s="42"/>
      <c r="U202" s="42"/>
    </row>
    <row r="204" spans="1:40">
      <c r="C204" s="42"/>
      <c r="F204" s="164"/>
      <c r="H204" s="164"/>
      <c r="I204" s="164"/>
      <c r="J204" s="316"/>
      <c r="K204" s="316"/>
      <c r="L204" s="45"/>
      <c r="M204" s="45"/>
      <c r="N204" s="46"/>
      <c r="O204" s="46"/>
      <c r="R204" s="45"/>
      <c r="T204" s="42"/>
      <c r="V204" s="45"/>
      <c r="Y204" s="164"/>
      <c r="Z204" s="316"/>
      <c r="AA204" s="45"/>
      <c r="AB204" s="45"/>
      <c r="AC204" s="46"/>
      <c r="AD204" s="46"/>
      <c r="AE204" s="45"/>
      <c r="AF204" s="45"/>
      <c r="AG204" s="333"/>
      <c r="AH204" s="334"/>
      <c r="AL204" s="45"/>
      <c r="AM204" s="335"/>
      <c r="AN204" s="335"/>
    </row>
    <row r="205" spans="1:40">
      <c r="C205" s="42"/>
      <c r="F205" s="164"/>
      <c r="H205" s="164"/>
      <c r="I205" s="164"/>
      <c r="J205" s="316"/>
      <c r="K205" s="316"/>
      <c r="L205" s="45"/>
      <c r="M205" s="45"/>
      <c r="N205" s="46"/>
      <c r="O205" s="46"/>
      <c r="R205" s="45"/>
      <c r="T205" s="42"/>
      <c r="V205" s="45"/>
      <c r="Y205" s="164"/>
      <c r="Z205" s="316"/>
      <c r="AA205" s="45"/>
      <c r="AB205" s="45"/>
      <c r="AC205" s="46"/>
      <c r="AD205" s="46"/>
      <c r="AE205" s="45"/>
      <c r="AF205" s="45"/>
      <c r="AH205" s="51"/>
      <c r="AL205" s="45"/>
      <c r="AM205" s="46"/>
      <c r="AN205" s="46"/>
    </row>
    <row r="206" spans="1:40">
      <c r="F206" s="50"/>
      <c r="H206" s="45"/>
      <c r="I206" s="45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45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  <c r="AM206" s="46"/>
      <c r="AN206" s="46"/>
    </row>
    <row r="207" spans="1:40">
      <c r="C207" s="42"/>
      <c r="F207" s="45"/>
      <c r="H207" s="45"/>
      <c r="I207" s="45"/>
      <c r="J207" s="326"/>
      <c r="K207" s="326"/>
      <c r="L207" s="45"/>
      <c r="M207" s="45"/>
      <c r="N207" s="46"/>
      <c r="O207" s="46"/>
      <c r="P207" s="45"/>
      <c r="Q207" s="45"/>
      <c r="R207" s="45"/>
      <c r="T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1:40">
      <c r="F208" s="50"/>
      <c r="H208" s="45"/>
      <c r="I208" s="45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45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  <c r="AM208" s="46"/>
      <c r="AN208" s="46"/>
    </row>
    <row r="209" spans="3:40">
      <c r="F209" s="45"/>
      <c r="H209" s="45"/>
      <c r="I209" s="45"/>
      <c r="J209" s="326"/>
      <c r="K209" s="326"/>
      <c r="L209" s="45"/>
      <c r="M209" s="45"/>
      <c r="N209" s="46"/>
      <c r="O209" s="46"/>
      <c r="P209" s="45"/>
      <c r="Q209" s="45"/>
      <c r="R209" s="45"/>
      <c r="V209" s="45"/>
      <c r="Y209" s="45"/>
      <c r="Z209" s="47"/>
      <c r="AA209" s="45"/>
      <c r="AB209" s="45"/>
      <c r="AC209" s="46"/>
      <c r="AD209" s="46"/>
      <c r="AE209" s="45"/>
      <c r="AF209" s="45"/>
      <c r="AH209" s="51"/>
      <c r="AI209" s="45"/>
      <c r="AJ209" s="45"/>
      <c r="AL209" s="45"/>
      <c r="AM209" s="46"/>
      <c r="AN209" s="46"/>
    </row>
    <row r="210" spans="3:40">
      <c r="C210" s="42"/>
      <c r="F210" s="164"/>
      <c r="H210" s="164"/>
      <c r="I210" s="164"/>
      <c r="J210" s="316"/>
      <c r="K210" s="316"/>
      <c r="L210" s="45"/>
      <c r="M210" s="45"/>
      <c r="N210" s="46"/>
      <c r="O210" s="46"/>
      <c r="P210" s="45"/>
      <c r="Q210" s="45"/>
      <c r="R210" s="45"/>
      <c r="T210" s="42"/>
      <c r="V210" s="164"/>
      <c r="Y210" s="45"/>
      <c r="Z210" s="316"/>
      <c r="AA210" s="45"/>
      <c r="AB210" s="45"/>
      <c r="AC210" s="46"/>
      <c r="AD210" s="46"/>
      <c r="AE210" s="45"/>
      <c r="AF210" s="45"/>
      <c r="AG210" s="333"/>
      <c r="AH210" s="334"/>
      <c r="AI210" s="45"/>
      <c r="AJ210" s="45"/>
      <c r="AL210" s="45"/>
      <c r="AM210" s="335"/>
      <c r="AN210" s="335"/>
    </row>
    <row r="211" spans="3:40">
      <c r="C211" s="42"/>
      <c r="F211" s="164"/>
      <c r="H211" s="164"/>
      <c r="I211" s="164"/>
      <c r="J211" s="316"/>
      <c r="K211" s="316"/>
      <c r="L211" s="45"/>
      <c r="M211" s="45"/>
      <c r="N211" s="46"/>
      <c r="O211" s="46"/>
      <c r="P211" s="45"/>
      <c r="Q211" s="45"/>
      <c r="R211" s="45"/>
      <c r="T211" s="42"/>
      <c r="V211" s="164"/>
      <c r="Y211" s="45"/>
      <c r="Z211" s="316"/>
      <c r="AA211" s="45"/>
      <c r="AB211" s="45"/>
      <c r="AC211" s="46"/>
      <c r="AD211" s="46"/>
      <c r="AE211" s="45"/>
      <c r="AF211" s="45"/>
      <c r="AH211" s="51"/>
      <c r="AI211" s="45"/>
      <c r="AJ211" s="45"/>
      <c r="AL211" s="45"/>
      <c r="AM211" s="46"/>
      <c r="AN211" s="46"/>
    </row>
    <row r="212" spans="3:40">
      <c r="F212" s="45"/>
      <c r="H212" s="50"/>
      <c r="I212" s="50"/>
      <c r="J212" s="326"/>
      <c r="K212" s="326"/>
      <c r="L212" s="50"/>
      <c r="M212" s="50"/>
      <c r="N212" s="50"/>
      <c r="O212" s="50"/>
      <c r="P212" s="50"/>
      <c r="Q212" s="50"/>
      <c r="R212" s="50"/>
      <c r="V212" s="45"/>
      <c r="Y212" s="50"/>
      <c r="Z212" s="326"/>
      <c r="AA212" s="50"/>
      <c r="AB212" s="50"/>
      <c r="AC212" s="50"/>
      <c r="AD212" s="50"/>
      <c r="AE212" s="50"/>
      <c r="AF212" s="50"/>
      <c r="AI212" s="50"/>
      <c r="AJ212" s="50"/>
      <c r="AK212" s="111"/>
      <c r="AL212" s="50"/>
      <c r="AM212" s="46"/>
      <c r="AN212" s="46"/>
    </row>
    <row r="213" spans="3:40">
      <c r="C213" s="42"/>
      <c r="F213" s="45"/>
      <c r="H213" s="45"/>
      <c r="I213" s="45"/>
      <c r="J213" s="326"/>
      <c r="K213" s="326"/>
      <c r="L213" s="45"/>
      <c r="M213" s="45"/>
      <c r="N213" s="46"/>
      <c r="O213" s="46"/>
      <c r="P213" s="45"/>
      <c r="Q213" s="45"/>
      <c r="R213" s="45"/>
      <c r="T213" s="42"/>
      <c r="V213" s="45"/>
      <c r="Y213" s="45"/>
      <c r="Z213" s="326"/>
      <c r="AA213" s="45"/>
      <c r="AB213" s="45"/>
      <c r="AC213" s="46"/>
      <c r="AD213" s="46"/>
      <c r="AE213" s="45"/>
      <c r="AF213" s="45"/>
      <c r="AH213" s="51"/>
      <c r="AI213" s="45"/>
      <c r="AJ213" s="45"/>
      <c r="AL213" s="45"/>
      <c r="AM213" s="46"/>
      <c r="AN213" s="46"/>
    </row>
    <row r="214" spans="3:40">
      <c r="F214" s="45"/>
      <c r="H214" s="50"/>
      <c r="I214" s="50"/>
      <c r="J214" s="326"/>
      <c r="K214" s="326"/>
      <c r="L214" s="50"/>
      <c r="M214" s="50"/>
      <c r="N214" s="50"/>
      <c r="O214" s="50"/>
      <c r="P214" s="50"/>
      <c r="Q214" s="50"/>
      <c r="R214" s="50"/>
      <c r="V214" s="45"/>
      <c r="Y214" s="50"/>
      <c r="Z214" s="326"/>
      <c r="AA214" s="50"/>
      <c r="AB214" s="50"/>
      <c r="AC214" s="50"/>
      <c r="AD214" s="50"/>
      <c r="AE214" s="50"/>
      <c r="AF214" s="50"/>
      <c r="AI214" s="50"/>
      <c r="AJ214" s="50"/>
      <c r="AK214" s="111"/>
      <c r="AL214" s="50"/>
      <c r="AM214" s="46"/>
      <c r="AN214" s="46"/>
    </row>
    <row r="215" spans="3:40">
      <c r="F215" s="45"/>
      <c r="H215" s="45"/>
      <c r="I215" s="45"/>
      <c r="J215" s="326"/>
      <c r="K215" s="326"/>
      <c r="L215" s="45"/>
      <c r="M215" s="45"/>
      <c r="N215" s="45"/>
      <c r="O215" s="45"/>
      <c r="P215" s="45"/>
      <c r="Q215" s="45"/>
      <c r="R215" s="45"/>
      <c r="V215" s="45"/>
      <c r="Y215" s="45"/>
      <c r="Z215" s="326"/>
      <c r="AA215" s="45"/>
      <c r="AB215" s="45"/>
      <c r="AC215" s="45"/>
      <c r="AD215" s="45"/>
      <c r="AE215" s="45"/>
      <c r="AF215" s="45"/>
      <c r="AH215" s="51"/>
      <c r="AI215" s="45"/>
      <c r="AJ215" s="45"/>
      <c r="AL215" s="45"/>
      <c r="AM215" s="46"/>
      <c r="AN215" s="46"/>
    </row>
    <row r="216" spans="3:40">
      <c r="C216" s="42"/>
      <c r="F216" s="164"/>
      <c r="H216" s="164"/>
      <c r="I216" s="164"/>
      <c r="J216" s="331"/>
      <c r="K216" s="331"/>
      <c r="L216" s="45"/>
      <c r="M216" s="45"/>
      <c r="N216" s="46"/>
      <c r="O216" s="46"/>
      <c r="P216" s="164"/>
      <c r="Q216" s="164"/>
      <c r="R216" s="45"/>
      <c r="T216" s="42"/>
      <c r="V216" s="164"/>
      <c r="Y216" s="164"/>
      <c r="Z216" s="336"/>
      <c r="AA216" s="45"/>
      <c r="AB216" s="45"/>
      <c r="AC216" s="46"/>
      <c r="AD216" s="46"/>
      <c r="AE216" s="45"/>
      <c r="AF216" s="45"/>
      <c r="AH216" s="51"/>
      <c r="AI216" s="164"/>
      <c r="AJ216" s="164"/>
      <c r="AL216" s="45"/>
      <c r="AM216" s="46"/>
      <c r="AN216" s="46"/>
    </row>
    <row r="217" spans="3:40">
      <c r="C217" s="42"/>
      <c r="F217" s="164"/>
      <c r="H217" s="164"/>
      <c r="I217" s="164"/>
      <c r="J217" s="331"/>
      <c r="K217" s="331"/>
      <c r="L217" s="45"/>
      <c r="M217" s="45"/>
      <c r="N217" s="46"/>
      <c r="O217" s="46"/>
      <c r="P217" s="164"/>
      <c r="Q217" s="164"/>
      <c r="R217" s="45"/>
      <c r="T217" s="42"/>
      <c r="V217" s="164"/>
      <c r="Y217" s="45"/>
      <c r="Z217" s="325"/>
      <c r="AA217" s="45"/>
      <c r="AB217" s="45"/>
      <c r="AC217" s="46"/>
      <c r="AD217" s="46"/>
      <c r="AE217" s="45"/>
      <c r="AF217" s="45"/>
      <c r="AH217" s="51"/>
      <c r="AI217" s="164"/>
      <c r="AJ217" s="164"/>
      <c r="AL217" s="45"/>
      <c r="AM217" s="46"/>
      <c r="AN217" s="46"/>
    </row>
    <row r="218" spans="3:40">
      <c r="C218" s="42"/>
      <c r="F218" s="164"/>
      <c r="H218" s="164"/>
      <c r="I218" s="164"/>
      <c r="J218" s="331"/>
      <c r="K218" s="331"/>
      <c r="L218" s="45"/>
      <c r="M218" s="45"/>
      <c r="N218" s="46"/>
      <c r="O218" s="46"/>
      <c r="P218" s="164"/>
      <c r="Q218" s="164"/>
      <c r="R218" s="45"/>
      <c r="T218" s="42"/>
      <c r="V218" s="164"/>
      <c r="Y218" s="45"/>
      <c r="Z218" s="325"/>
      <c r="AA218" s="45"/>
      <c r="AB218" s="45"/>
      <c r="AC218" s="46"/>
      <c r="AD218" s="46"/>
      <c r="AE218" s="45"/>
      <c r="AF218" s="45"/>
      <c r="AH218" s="51"/>
      <c r="AI218" s="164"/>
      <c r="AJ218" s="164"/>
      <c r="AL218" s="45"/>
      <c r="AM218" s="46"/>
      <c r="AN218" s="46"/>
    </row>
    <row r="219" spans="3:40">
      <c r="F219" s="50"/>
      <c r="H219" s="50"/>
      <c r="I219" s="50"/>
      <c r="J219" s="326"/>
      <c r="K219" s="326"/>
      <c r="L219" s="50"/>
      <c r="M219" s="50"/>
      <c r="N219" s="50"/>
      <c r="O219" s="50"/>
      <c r="P219" s="50"/>
      <c r="Q219" s="50"/>
      <c r="R219" s="50"/>
      <c r="V219" s="50"/>
      <c r="Y219" s="50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  <c r="AM219" s="46"/>
      <c r="AN219" s="46"/>
    </row>
    <row r="220" spans="3:40">
      <c r="C220" s="42"/>
      <c r="F220" s="45"/>
      <c r="H220" s="45"/>
      <c r="I220" s="45"/>
      <c r="J220" s="47"/>
      <c r="K220" s="47"/>
      <c r="L220" s="45"/>
      <c r="M220" s="45"/>
      <c r="N220" s="46"/>
      <c r="O220" s="46"/>
      <c r="P220" s="45"/>
      <c r="Q220" s="45"/>
      <c r="R220" s="45"/>
      <c r="T220" s="42"/>
      <c r="V220" s="45"/>
      <c r="Y220" s="45"/>
      <c r="Z220" s="47"/>
      <c r="AA220" s="45"/>
      <c r="AB220" s="45"/>
      <c r="AC220" s="46"/>
      <c r="AD220" s="46"/>
      <c r="AE220" s="45"/>
      <c r="AF220" s="45"/>
      <c r="AH220" s="51"/>
      <c r="AI220" s="45"/>
      <c r="AJ220" s="45"/>
      <c r="AL220" s="45"/>
      <c r="AM220" s="46"/>
      <c r="AN220" s="46"/>
    </row>
    <row r="221" spans="3:40">
      <c r="F221" s="50"/>
      <c r="H221" s="50"/>
      <c r="I221" s="50"/>
      <c r="J221" s="326"/>
      <c r="K221" s="326"/>
      <c r="L221" s="50"/>
      <c r="M221" s="50"/>
      <c r="N221" s="50"/>
      <c r="O221" s="50"/>
      <c r="P221" s="50"/>
      <c r="Q221" s="50"/>
      <c r="R221" s="50"/>
      <c r="V221" s="50"/>
      <c r="Y221" s="50"/>
      <c r="Z221" s="326"/>
      <c r="AA221" s="50"/>
      <c r="AB221" s="50"/>
      <c r="AC221" s="50"/>
      <c r="AD221" s="50"/>
      <c r="AE221" s="50"/>
      <c r="AF221" s="50"/>
      <c r="AI221" s="50"/>
      <c r="AJ221" s="50"/>
      <c r="AK221" s="111"/>
      <c r="AL221" s="50"/>
      <c r="AM221" s="46"/>
      <c r="AN221" s="46"/>
    </row>
    <row r="222" spans="3:40">
      <c r="C222" s="42"/>
      <c r="F222" s="45"/>
      <c r="H222" s="45"/>
      <c r="I222" s="45"/>
      <c r="J222" s="47"/>
      <c r="K222" s="47"/>
      <c r="L222" s="45"/>
      <c r="M222" s="45"/>
      <c r="N222" s="46"/>
      <c r="O222" s="46"/>
      <c r="P222" s="45"/>
      <c r="Q222" s="45"/>
      <c r="R222" s="45"/>
      <c r="T222" s="42"/>
      <c r="V222" s="45"/>
      <c r="Y222" s="45"/>
      <c r="Z222" s="47"/>
      <c r="AA222" s="45"/>
      <c r="AB222" s="45"/>
      <c r="AC222" s="46"/>
      <c r="AD222" s="46"/>
      <c r="AE222" s="45"/>
      <c r="AF222" s="45"/>
      <c r="AH222" s="51"/>
      <c r="AI222" s="45"/>
      <c r="AJ222" s="45"/>
      <c r="AL222" s="45"/>
      <c r="AM222" s="46"/>
      <c r="AN222" s="46"/>
    </row>
    <row r="223" spans="3:40">
      <c r="C223" s="42"/>
      <c r="F223" s="45"/>
      <c r="H223" s="45"/>
      <c r="I223" s="45"/>
      <c r="J223" s="47"/>
      <c r="K223" s="47"/>
      <c r="L223" s="45"/>
      <c r="M223" s="45"/>
      <c r="N223" s="46"/>
      <c r="O223" s="46"/>
      <c r="P223" s="45"/>
      <c r="Q223" s="45"/>
      <c r="R223" s="45"/>
      <c r="T223" s="42"/>
      <c r="V223" s="45"/>
      <c r="Y223" s="45"/>
      <c r="Z223" s="47"/>
      <c r="AA223" s="45"/>
      <c r="AB223" s="45"/>
      <c r="AC223" s="46"/>
      <c r="AD223" s="46"/>
      <c r="AE223" s="45"/>
      <c r="AF223" s="45"/>
      <c r="AH223" s="51"/>
      <c r="AI223" s="45"/>
      <c r="AJ223" s="45"/>
      <c r="AL223" s="45"/>
      <c r="AM223" s="46"/>
      <c r="AN223" s="46"/>
    </row>
    <row r="224" spans="3:40">
      <c r="F224" s="50"/>
      <c r="H224" s="50"/>
      <c r="I224" s="50"/>
      <c r="J224" s="326"/>
      <c r="K224" s="326"/>
      <c r="L224" s="50"/>
      <c r="M224" s="50"/>
      <c r="N224" s="50"/>
      <c r="O224" s="50"/>
      <c r="P224" s="50"/>
      <c r="Q224" s="50"/>
      <c r="R224" s="50"/>
      <c r="V224" s="50"/>
      <c r="Y224" s="50"/>
      <c r="Z224" s="326"/>
      <c r="AA224" s="50"/>
      <c r="AB224" s="50"/>
      <c r="AC224" s="50"/>
      <c r="AD224" s="50"/>
      <c r="AE224" s="50"/>
      <c r="AF224" s="50"/>
      <c r="AI224" s="50"/>
      <c r="AJ224" s="50"/>
      <c r="AK224" s="111"/>
      <c r="AL224" s="50"/>
      <c r="AM224" s="45"/>
      <c r="AN224" s="45"/>
    </row>
    <row r="225" spans="1:40">
      <c r="F225" s="45"/>
      <c r="H225" s="45"/>
      <c r="I225" s="45"/>
      <c r="J225" s="47"/>
      <c r="K225" s="47"/>
      <c r="L225" s="45"/>
      <c r="M225" s="45"/>
      <c r="N225" s="45"/>
      <c r="O225" s="45"/>
      <c r="P225" s="45"/>
      <c r="Q225" s="45"/>
      <c r="R225" s="45"/>
      <c r="V225" s="45"/>
      <c r="Y225" s="45"/>
      <c r="Z225" s="47"/>
      <c r="AA225" s="45"/>
      <c r="AB225" s="45"/>
      <c r="AC225" s="45"/>
      <c r="AD225" s="45"/>
    </row>
    <row r="226" spans="1:40">
      <c r="C226" s="42"/>
      <c r="F226" s="45"/>
      <c r="H226" s="45"/>
      <c r="I226" s="45"/>
      <c r="J226" s="47"/>
      <c r="K226" s="47"/>
      <c r="L226" s="45"/>
      <c r="M226" s="45"/>
      <c r="N226" s="45"/>
      <c r="O226" s="45"/>
      <c r="P226" s="45"/>
      <c r="Q226" s="45"/>
      <c r="R226" s="45"/>
      <c r="T226" s="42"/>
      <c r="V226" s="45"/>
      <c r="Y226" s="45"/>
      <c r="Z226" s="47"/>
      <c r="AA226" s="45"/>
      <c r="AB226" s="45"/>
      <c r="AC226" s="45"/>
      <c r="AD226" s="45"/>
    </row>
    <row r="227" spans="1:40">
      <c r="A227" s="42"/>
    </row>
    <row r="229" spans="1:40">
      <c r="H229" s="42"/>
      <c r="I229" s="42"/>
      <c r="Y229" s="42"/>
    </row>
    <row r="231" spans="1:40">
      <c r="L231" s="42"/>
      <c r="M231" s="42"/>
      <c r="AA231" s="42"/>
      <c r="AB231" s="42"/>
    </row>
    <row r="232" spans="1:40">
      <c r="R232" s="42"/>
      <c r="AK232" s="110"/>
      <c r="AL232" s="42"/>
    </row>
    <row r="233" spans="1:40">
      <c r="R233" s="42"/>
      <c r="AK233" s="110"/>
      <c r="AL233" s="42"/>
    </row>
    <row r="234" spans="1:40">
      <c r="A234" s="42"/>
      <c r="R234" s="42"/>
      <c r="AK234" s="110"/>
      <c r="AL234" s="42"/>
    </row>
    <row r="235" spans="1:40">
      <c r="L235" s="42"/>
      <c r="M235" s="42"/>
      <c r="AA235" s="42"/>
      <c r="AB235" s="42"/>
    </row>
    <row r="236" spans="1:40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107"/>
      <c r="AH236" s="49"/>
      <c r="AI236" s="49"/>
      <c r="AJ236" s="49"/>
      <c r="AK236" s="107"/>
      <c r="AL236" s="49"/>
      <c r="AM236" s="49"/>
      <c r="AN236" s="49"/>
    </row>
    <row r="237" spans="1:40">
      <c r="L237" s="44"/>
      <c r="M237" s="44"/>
      <c r="N237" s="44"/>
      <c r="O237" s="44"/>
      <c r="R237" s="44"/>
      <c r="AA237" s="44"/>
      <c r="AB237" s="44"/>
      <c r="AC237" s="44"/>
      <c r="AD237" s="44"/>
      <c r="AE237" s="44"/>
      <c r="AF237" s="44"/>
      <c r="AG237" s="102"/>
      <c r="AH237" s="44"/>
      <c r="AK237" s="102"/>
      <c r="AL237" s="44"/>
      <c r="AM237" s="44"/>
      <c r="AN237" s="44"/>
    </row>
    <row r="238" spans="1:40">
      <c r="L238" s="44"/>
      <c r="M238" s="44"/>
      <c r="N238" s="44"/>
      <c r="O238" s="44"/>
      <c r="R238" s="44"/>
      <c r="Z238" s="44"/>
      <c r="AA238" s="44"/>
      <c r="AB238" s="44"/>
      <c r="AC238" s="44"/>
      <c r="AD238" s="44"/>
      <c r="AE238" s="44"/>
      <c r="AF238" s="44"/>
      <c r="AG238" s="102"/>
      <c r="AH238" s="44"/>
      <c r="AK238" s="102"/>
      <c r="AL238" s="44"/>
      <c r="AM238" s="44"/>
      <c r="AN238" s="44"/>
    </row>
    <row r="239" spans="1:40">
      <c r="A239" s="44"/>
      <c r="C239" s="44"/>
      <c r="D239" s="44"/>
      <c r="E239" s="44"/>
      <c r="F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Z239" s="44"/>
      <c r="AA239" s="44"/>
      <c r="AB239" s="44"/>
      <c r="AC239" s="44"/>
      <c r="AD239" s="44"/>
      <c r="AE239" s="44"/>
      <c r="AF239" s="44"/>
      <c r="AG239" s="102"/>
      <c r="AH239" s="44"/>
      <c r="AI239" s="44"/>
      <c r="AJ239" s="44"/>
      <c r="AK239" s="102"/>
      <c r="AL239" s="44"/>
      <c r="AM239" s="44"/>
      <c r="AN239" s="44"/>
    </row>
    <row r="240" spans="1:40">
      <c r="A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Y240" s="44"/>
      <c r="Z240" s="44"/>
      <c r="AA240" s="44"/>
      <c r="AB240" s="44"/>
      <c r="AC240" s="44"/>
      <c r="AD240" s="44"/>
      <c r="AE240" s="44"/>
      <c r="AF240" s="44"/>
      <c r="AG240" s="102"/>
      <c r="AH240" s="44"/>
      <c r="AI240" s="44"/>
      <c r="AJ240" s="44"/>
      <c r="AK240" s="102"/>
      <c r="AL240" s="44"/>
      <c r="AM240" s="44"/>
      <c r="AN240" s="44"/>
    </row>
    <row r="241" spans="1:40"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1:40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107"/>
      <c r="AH242" s="49"/>
      <c r="AI242" s="49"/>
      <c r="AJ242" s="49"/>
      <c r="AK242" s="107"/>
      <c r="AL242" s="49"/>
      <c r="AM242" s="49"/>
      <c r="AN242" s="49"/>
    </row>
    <row r="243" spans="1:40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Y243" s="44"/>
      <c r="Z243" s="44"/>
      <c r="AA243" s="44"/>
      <c r="AB243" s="44"/>
      <c r="AC243" s="44"/>
      <c r="AD243" s="44"/>
      <c r="AE243" s="44"/>
      <c r="AF243" s="44"/>
      <c r="AG243" s="102"/>
      <c r="AH243" s="44"/>
      <c r="AI243" s="44"/>
      <c r="AJ243" s="44"/>
      <c r="AK243" s="102"/>
      <c r="AL243" s="44"/>
      <c r="AM243" s="44"/>
      <c r="AN243" s="44"/>
    </row>
    <row r="244" spans="1:40">
      <c r="C244" s="42"/>
      <c r="D244" s="42"/>
      <c r="E244" s="42"/>
      <c r="T244" s="42"/>
      <c r="U244" s="42"/>
    </row>
    <row r="246" spans="1:40">
      <c r="C246" s="42"/>
      <c r="F246" s="164"/>
      <c r="H246" s="329"/>
      <c r="I246" s="329"/>
      <c r="J246" s="316"/>
      <c r="K246" s="316"/>
      <c r="L246" s="45"/>
      <c r="M246" s="45"/>
      <c r="R246" s="45"/>
      <c r="T246" s="42"/>
      <c r="V246" s="45"/>
      <c r="Z246" s="316"/>
      <c r="AA246" s="45"/>
      <c r="AB246" s="45"/>
      <c r="AE246" s="45"/>
      <c r="AF246" s="45"/>
      <c r="AG246" s="333"/>
      <c r="AH246" s="334"/>
      <c r="AI246" s="45"/>
      <c r="AJ246" s="45"/>
      <c r="AL246" s="45"/>
      <c r="AM246" s="335"/>
      <c r="AN246" s="335"/>
    </row>
    <row r="247" spans="1:40">
      <c r="F247" s="164"/>
      <c r="H247" s="329"/>
      <c r="I247" s="329"/>
      <c r="J247" s="329"/>
      <c r="K247" s="329"/>
      <c r="R247" s="45"/>
      <c r="V247" s="45"/>
      <c r="Z247" s="329"/>
    </row>
    <row r="248" spans="1:40">
      <c r="C248" s="42"/>
      <c r="F248" s="164"/>
      <c r="H248" s="164"/>
      <c r="I248" s="164"/>
      <c r="J248" s="331"/>
      <c r="K248" s="331"/>
      <c r="L248" s="45"/>
      <c r="M248" s="45"/>
      <c r="N248" s="46"/>
      <c r="O248" s="46"/>
      <c r="P248" s="164"/>
      <c r="Q248" s="164"/>
      <c r="R248" s="45"/>
      <c r="T248" s="42"/>
      <c r="V248" s="45"/>
      <c r="Y248" s="45"/>
      <c r="Z248" s="325"/>
      <c r="AA248" s="45"/>
      <c r="AB248" s="45"/>
      <c r="AC248" s="46"/>
      <c r="AD248" s="46"/>
      <c r="AE248" s="45"/>
      <c r="AF248" s="45"/>
      <c r="AH248" s="51"/>
      <c r="AI248" s="164"/>
      <c r="AJ248" s="164"/>
      <c r="AL248" s="45"/>
      <c r="AM248" s="46"/>
      <c r="AN248" s="46"/>
    </row>
    <row r="249" spans="1:40">
      <c r="F249" s="50"/>
      <c r="H249" s="50"/>
      <c r="I249" s="50"/>
      <c r="J249" s="326"/>
      <c r="K249" s="326"/>
      <c r="L249" s="50"/>
      <c r="M249" s="50"/>
      <c r="N249" s="50"/>
      <c r="O249" s="50"/>
      <c r="P249" s="50"/>
      <c r="Q249" s="50"/>
      <c r="R249" s="50"/>
      <c r="V249" s="50"/>
      <c r="Y249" s="50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</row>
    <row r="250" spans="1:40">
      <c r="D250" s="42"/>
      <c r="E250" s="42"/>
      <c r="F250" s="45"/>
      <c r="H250" s="45"/>
      <c r="I250" s="45"/>
      <c r="J250" s="47"/>
      <c r="K250" s="47"/>
      <c r="L250" s="45"/>
      <c r="M250" s="45"/>
      <c r="N250" s="46"/>
      <c r="O250" s="46"/>
      <c r="P250" s="45"/>
      <c r="Q250" s="45"/>
      <c r="R250" s="45"/>
      <c r="U250" s="42"/>
      <c r="V250" s="45"/>
      <c r="Y250" s="45"/>
      <c r="Z250" s="47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1:40">
      <c r="F251" s="50"/>
      <c r="H251" s="50"/>
      <c r="I251" s="50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1:40">
      <c r="R252" s="45"/>
    </row>
    <row r="253" spans="1:40">
      <c r="R253" s="45"/>
    </row>
    <row r="254" spans="1:40">
      <c r="R254" s="45"/>
    </row>
    <row r="255" spans="1:40">
      <c r="C255" s="42"/>
      <c r="D255" s="42"/>
      <c r="E255" s="42"/>
      <c r="H255" s="45"/>
      <c r="I255" s="45"/>
      <c r="J255" s="47"/>
      <c r="K255" s="47"/>
      <c r="L255" s="45"/>
      <c r="M255" s="45"/>
      <c r="N255" s="46"/>
      <c r="O255" s="46"/>
      <c r="P255" s="45"/>
      <c r="Q255" s="45"/>
      <c r="R255" s="45"/>
      <c r="T255" s="42"/>
      <c r="U255" s="42"/>
      <c r="Y255" s="45"/>
      <c r="Z255" s="47"/>
      <c r="AA255" s="45"/>
      <c r="AB255" s="45"/>
      <c r="AC255" s="46"/>
      <c r="AD255" s="46"/>
    </row>
    <row r="256" spans="1:40"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Y256" s="45"/>
      <c r="Z256" s="47"/>
      <c r="AA256" s="45"/>
      <c r="AB256" s="45"/>
      <c r="AC256" s="46"/>
      <c r="AD256" s="46"/>
    </row>
    <row r="257" spans="1:40">
      <c r="C257" s="42"/>
      <c r="F257" s="164"/>
      <c r="H257" s="164"/>
      <c r="I257" s="164"/>
      <c r="J257" s="52"/>
      <c r="K257" s="52"/>
      <c r="L257" s="164"/>
      <c r="M257" s="164"/>
      <c r="N257" s="46"/>
      <c r="O257" s="46"/>
      <c r="P257" s="45"/>
      <c r="Q257" s="45"/>
      <c r="R257" s="45"/>
      <c r="T257" s="42"/>
      <c r="V257" s="45"/>
      <c r="Y257" s="45"/>
      <c r="Z257" s="52"/>
      <c r="AA257" s="45"/>
      <c r="AB257" s="45"/>
      <c r="AC257" s="46"/>
      <c r="AD257" s="46"/>
      <c r="AE257" s="45"/>
      <c r="AF257" s="45"/>
      <c r="AH257" s="51"/>
      <c r="AI257" s="45"/>
      <c r="AJ257" s="45"/>
      <c r="AL257" s="45"/>
      <c r="AM257" s="46"/>
      <c r="AN257" s="46"/>
    </row>
    <row r="258" spans="1:40">
      <c r="F258" s="164"/>
      <c r="H258" s="329"/>
      <c r="I258" s="329"/>
      <c r="J258" s="329"/>
      <c r="K258" s="329"/>
      <c r="R258" s="45"/>
      <c r="V258" s="45"/>
      <c r="Z258" s="329"/>
    </row>
    <row r="259" spans="1:40">
      <c r="C259" s="42"/>
      <c r="F259" s="164"/>
      <c r="H259" s="164"/>
      <c r="I259" s="164"/>
      <c r="J259" s="316"/>
      <c r="K259" s="316"/>
      <c r="L259" s="45"/>
      <c r="M259" s="45"/>
      <c r="N259" s="46"/>
      <c r="O259" s="46"/>
      <c r="P259" s="45"/>
      <c r="Q259" s="45"/>
      <c r="R259" s="45"/>
      <c r="T259" s="42"/>
      <c r="V259" s="45"/>
      <c r="Y259" s="45"/>
      <c r="Z259" s="316"/>
      <c r="AA259" s="45"/>
      <c r="AB259" s="45"/>
      <c r="AC259" s="46"/>
      <c r="AD259" s="46"/>
      <c r="AE259" s="45"/>
      <c r="AF259" s="45"/>
      <c r="AH259" s="51"/>
      <c r="AI259" s="45"/>
      <c r="AJ259" s="45"/>
      <c r="AL259" s="45"/>
      <c r="AM259" s="46"/>
      <c r="AN259" s="46"/>
    </row>
    <row r="260" spans="1:40">
      <c r="F260" s="164"/>
      <c r="H260" s="329"/>
      <c r="I260" s="329"/>
      <c r="J260" s="329"/>
      <c r="K260" s="329"/>
      <c r="R260" s="45"/>
      <c r="V260" s="45"/>
      <c r="Z260" s="329"/>
    </row>
    <row r="261" spans="1:40">
      <c r="C261" s="42"/>
      <c r="F261" s="164"/>
      <c r="H261" s="164"/>
      <c r="I261" s="164"/>
      <c r="J261" s="331"/>
      <c r="K261" s="331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1:40">
      <c r="F262" s="50"/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S262" s="45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</row>
    <row r="263" spans="1:40">
      <c r="D263" s="42"/>
      <c r="E263" s="42"/>
      <c r="F263" s="45"/>
      <c r="H263" s="45"/>
      <c r="I263" s="45"/>
      <c r="J263" s="47"/>
      <c r="K263" s="47"/>
      <c r="L263" s="45"/>
      <c r="M263" s="45"/>
      <c r="N263" s="46"/>
      <c r="O263" s="46"/>
      <c r="P263" s="164"/>
      <c r="Q263" s="164"/>
      <c r="R263" s="45"/>
      <c r="S263" s="45"/>
      <c r="U263" s="42"/>
      <c r="V263" s="45"/>
      <c r="Y263" s="45"/>
      <c r="Z263" s="47"/>
      <c r="AA263" s="45"/>
      <c r="AB263" s="45"/>
      <c r="AC263" s="46"/>
      <c r="AD263" s="46"/>
      <c r="AE263" s="45"/>
      <c r="AF263" s="45"/>
      <c r="AH263" s="51"/>
      <c r="AI263" s="164"/>
      <c r="AJ263" s="164"/>
      <c r="AL263" s="45"/>
      <c r="AM263" s="46"/>
      <c r="AN263" s="46"/>
    </row>
    <row r="264" spans="1:40">
      <c r="F264" s="50"/>
      <c r="H264" s="50"/>
      <c r="I264" s="50"/>
      <c r="J264" s="326"/>
      <c r="K264" s="326"/>
      <c r="L264" s="50"/>
      <c r="M264" s="50"/>
      <c r="N264" s="50"/>
      <c r="O264" s="50"/>
      <c r="P264" s="50"/>
      <c r="Q264" s="50"/>
      <c r="R264" s="50"/>
      <c r="S264" s="45"/>
      <c r="V264" s="50"/>
      <c r="Y264" s="50"/>
      <c r="Z264" s="326"/>
      <c r="AA264" s="50"/>
      <c r="AB264" s="50"/>
      <c r="AC264" s="50"/>
      <c r="AD264" s="50"/>
      <c r="AE264" s="50"/>
      <c r="AF264" s="50"/>
      <c r="AI264" s="50"/>
      <c r="AJ264" s="50"/>
      <c r="AK264" s="111"/>
      <c r="AL264" s="50"/>
    </row>
    <row r="265" spans="1:40">
      <c r="R265" s="45"/>
    </row>
    <row r="266" spans="1:40">
      <c r="F266" s="45"/>
      <c r="H266" s="45"/>
      <c r="I266" s="45"/>
      <c r="J266" s="47"/>
      <c r="K266" s="47"/>
      <c r="L266" s="45"/>
      <c r="M266" s="45"/>
      <c r="N266" s="45"/>
      <c r="O266" s="45"/>
      <c r="P266" s="45"/>
      <c r="Q266" s="45"/>
      <c r="R266" s="45"/>
      <c r="V266" s="45"/>
      <c r="Y266" s="45"/>
      <c r="Z266" s="47"/>
      <c r="AA266" s="45"/>
      <c r="AB266" s="45"/>
      <c r="AC266" s="45"/>
      <c r="AD266" s="45"/>
    </row>
    <row r="267" spans="1:40">
      <c r="C267" s="42"/>
      <c r="F267" s="45"/>
      <c r="H267" s="45"/>
      <c r="I267" s="45"/>
      <c r="J267" s="47"/>
      <c r="K267" s="47"/>
      <c r="L267" s="45"/>
      <c r="M267" s="45"/>
      <c r="N267" s="45"/>
      <c r="O267" s="45"/>
      <c r="P267" s="45"/>
      <c r="Q267" s="45"/>
      <c r="R267" s="45"/>
      <c r="T267" s="42"/>
      <c r="V267" s="45"/>
      <c r="Y267" s="45"/>
      <c r="Z267" s="47"/>
      <c r="AA267" s="45"/>
      <c r="AB267" s="45"/>
      <c r="AC267" s="45"/>
      <c r="AD267" s="45"/>
    </row>
    <row r="268" spans="1:40">
      <c r="C268" s="42"/>
      <c r="T268" s="42"/>
    </row>
    <row r="269" spans="1:40">
      <c r="A269" s="42"/>
    </row>
    <row r="272" spans="1:40">
      <c r="H272" s="42"/>
      <c r="I272" s="42"/>
      <c r="Y272" s="42"/>
    </row>
    <row r="274" spans="1:40">
      <c r="L274" s="42"/>
      <c r="M274" s="42"/>
      <c r="AA274" s="42"/>
      <c r="AB274" s="42"/>
    </row>
    <row r="275" spans="1:40">
      <c r="R275" s="42"/>
      <c r="AK275" s="110"/>
      <c r="AL275" s="42"/>
    </row>
    <row r="276" spans="1:40">
      <c r="R276" s="42"/>
      <c r="AK276" s="110"/>
      <c r="AL276" s="42"/>
    </row>
    <row r="277" spans="1:40">
      <c r="A277" s="42"/>
      <c r="R277" s="42"/>
      <c r="AK277" s="110"/>
      <c r="AL277" s="42"/>
    </row>
    <row r="278" spans="1:40">
      <c r="L278" s="42"/>
      <c r="M278" s="42"/>
      <c r="AA278" s="42"/>
      <c r="AB278" s="42"/>
    </row>
    <row r="279" spans="1:40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107"/>
      <c r="AH279" s="49"/>
      <c r="AI279" s="49"/>
      <c r="AJ279" s="49"/>
      <c r="AK279" s="107"/>
      <c r="AL279" s="49"/>
      <c r="AM279" s="49"/>
      <c r="AN279" s="49"/>
    </row>
    <row r="280" spans="1:40">
      <c r="L280" s="44"/>
      <c r="M280" s="44"/>
      <c r="N280" s="44"/>
      <c r="O280" s="44"/>
      <c r="R280" s="44"/>
      <c r="AA280" s="44"/>
      <c r="AB280" s="44"/>
      <c r="AC280" s="44"/>
      <c r="AD280" s="44"/>
      <c r="AE280" s="44"/>
      <c r="AF280" s="44"/>
      <c r="AG280" s="102"/>
      <c r="AH280" s="44"/>
      <c r="AK280" s="102"/>
      <c r="AL280" s="44"/>
      <c r="AM280" s="44"/>
      <c r="AN280" s="44"/>
    </row>
    <row r="281" spans="1:40">
      <c r="L281" s="44"/>
      <c r="M281" s="44"/>
      <c r="N281" s="44"/>
      <c r="O281" s="44"/>
      <c r="R281" s="44"/>
      <c r="Z281" s="44"/>
      <c r="AA281" s="44"/>
      <c r="AB281" s="44"/>
      <c r="AC281" s="44"/>
      <c r="AD281" s="44"/>
      <c r="AE281" s="44"/>
      <c r="AF281" s="44"/>
      <c r="AG281" s="102"/>
      <c r="AH281" s="44"/>
      <c r="AK281" s="102"/>
      <c r="AL281" s="44"/>
      <c r="AM281" s="44"/>
      <c r="AN281" s="44"/>
    </row>
    <row r="282" spans="1:40">
      <c r="A282" s="44"/>
      <c r="C282" s="44"/>
      <c r="D282" s="44"/>
      <c r="E282" s="44"/>
      <c r="F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>
      <c r="A283" s="44"/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02"/>
      <c r="AH283" s="44"/>
      <c r="AI283" s="44"/>
      <c r="AJ283" s="44"/>
      <c r="AK283" s="102"/>
      <c r="AL283" s="44"/>
      <c r="AM283" s="44"/>
      <c r="AN283" s="44"/>
    </row>
    <row r="284" spans="1:40">
      <c r="C284" s="44"/>
      <c r="D284" s="44"/>
      <c r="E284" s="44"/>
      <c r="F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T284" s="44"/>
      <c r="U284" s="44"/>
      <c r="V284" s="44"/>
      <c r="Y284" s="44"/>
      <c r="Z284" s="44"/>
      <c r="AA284" s="44"/>
      <c r="AB284" s="44"/>
      <c r="AC284" s="44"/>
      <c r="AD284" s="44"/>
      <c r="AE284" s="44"/>
      <c r="AF284" s="44"/>
      <c r="AG284" s="102"/>
      <c r="AH284" s="44"/>
      <c r="AI284" s="44"/>
      <c r="AJ284" s="44"/>
      <c r="AK284" s="102"/>
      <c r="AL284" s="44"/>
      <c r="AM284" s="44"/>
      <c r="AN284" s="44"/>
    </row>
    <row r="285" spans="1:40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107"/>
      <c r="AH285" s="49"/>
      <c r="AI285" s="49"/>
      <c r="AJ285" s="49"/>
      <c r="AK285" s="107"/>
      <c r="AL285" s="49"/>
      <c r="AM285" s="49"/>
      <c r="AN285" s="49"/>
    </row>
    <row r="286" spans="1:40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Y286" s="44"/>
      <c r="Z286" s="44"/>
      <c r="AA286" s="44"/>
      <c r="AB286" s="44"/>
      <c r="AC286" s="44"/>
      <c r="AD286" s="44"/>
      <c r="AE286" s="44"/>
      <c r="AF286" s="44"/>
      <c r="AG286" s="102"/>
      <c r="AH286" s="44"/>
      <c r="AI286" s="44"/>
      <c r="AJ286" s="44"/>
      <c r="AK286" s="102"/>
      <c r="AL286" s="44"/>
      <c r="AM286" s="44"/>
      <c r="AN286" s="44"/>
    </row>
    <row r="287" spans="1:40">
      <c r="C287" s="42"/>
      <c r="D287" s="42"/>
      <c r="E287" s="42"/>
      <c r="T287" s="42"/>
      <c r="U287" s="42"/>
    </row>
    <row r="288" spans="1:40">
      <c r="D288" s="42"/>
      <c r="E288" s="42"/>
      <c r="U288" s="42"/>
    </row>
    <row r="290" spans="3:40">
      <c r="C290" s="42"/>
      <c r="F290" s="45"/>
      <c r="J290" s="53"/>
      <c r="K290" s="53"/>
      <c r="L290" s="45"/>
      <c r="M290" s="45"/>
      <c r="R290" s="45"/>
      <c r="T290" s="42"/>
      <c r="V290" s="45"/>
      <c r="Z290" s="53"/>
      <c r="AA290" s="45"/>
      <c r="AB290" s="45"/>
      <c r="AL290" s="45"/>
    </row>
    <row r="291" spans="3:40">
      <c r="F291" s="45"/>
      <c r="R291" s="45"/>
      <c r="V291" s="45"/>
      <c r="AL291" s="45"/>
    </row>
    <row r="292" spans="3:40">
      <c r="C292" s="42"/>
      <c r="F292" s="164"/>
      <c r="H292" s="164"/>
      <c r="I292" s="164"/>
      <c r="J292" s="316"/>
      <c r="K292" s="316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316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>
      <c r="C293" s="42"/>
      <c r="F293" s="164"/>
      <c r="H293" s="329"/>
      <c r="I293" s="329"/>
      <c r="J293" s="316"/>
      <c r="K293" s="316"/>
      <c r="L293" s="45"/>
      <c r="M293" s="45"/>
      <c r="N293" s="46"/>
      <c r="O293" s="46"/>
      <c r="P293" s="45"/>
      <c r="Q293" s="45"/>
      <c r="R293" s="45"/>
      <c r="T293" s="42"/>
      <c r="V293" s="45"/>
      <c r="Y293" s="45"/>
      <c r="Z293" s="316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>
      <c r="F294" s="50"/>
      <c r="H294" s="45"/>
      <c r="I294" s="45"/>
      <c r="J294" s="326"/>
      <c r="K294" s="326"/>
      <c r="L294" s="50"/>
      <c r="M294" s="50"/>
      <c r="N294" s="50"/>
      <c r="O294" s="50"/>
      <c r="P294" s="50"/>
      <c r="Q294" s="50"/>
      <c r="R294" s="50"/>
      <c r="V294" s="50"/>
      <c r="Y294" s="45"/>
      <c r="Z294" s="326"/>
      <c r="AA294" s="50"/>
      <c r="AB294" s="50"/>
      <c r="AC294" s="50"/>
      <c r="AD294" s="50"/>
      <c r="AE294" s="50"/>
      <c r="AF294" s="50"/>
      <c r="AI294" s="50"/>
      <c r="AJ294" s="50"/>
      <c r="AK294" s="111"/>
      <c r="AL294" s="50"/>
    </row>
    <row r="295" spans="3:40">
      <c r="C295" s="42"/>
      <c r="F295" s="45"/>
      <c r="H295" s="45"/>
      <c r="I295" s="45"/>
      <c r="J295" s="47"/>
      <c r="K295" s="47"/>
      <c r="L295" s="45"/>
      <c r="M295" s="45"/>
      <c r="N295" s="46"/>
      <c r="O295" s="46"/>
      <c r="P295" s="45"/>
      <c r="Q295" s="45"/>
      <c r="R295" s="45"/>
      <c r="T295" s="42"/>
      <c r="V295" s="45"/>
      <c r="Y295" s="45"/>
      <c r="Z295" s="47"/>
      <c r="AA295" s="45"/>
      <c r="AB295" s="45"/>
      <c r="AC295" s="46"/>
      <c r="AD295" s="46"/>
      <c r="AE295" s="45"/>
      <c r="AF295" s="45"/>
      <c r="AH295" s="51"/>
      <c r="AI295" s="45"/>
      <c r="AJ295" s="45"/>
      <c r="AL295" s="45"/>
      <c r="AM295" s="46"/>
      <c r="AN295" s="46"/>
    </row>
    <row r="296" spans="3:40">
      <c r="F296" s="50"/>
      <c r="H296" s="45"/>
      <c r="I296" s="45"/>
      <c r="J296" s="326"/>
      <c r="K296" s="326"/>
      <c r="L296" s="50"/>
      <c r="M296" s="50"/>
      <c r="N296" s="50"/>
      <c r="O296" s="50"/>
      <c r="P296" s="50"/>
      <c r="Q296" s="50"/>
      <c r="R296" s="50"/>
      <c r="V296" s="50"/>
      <c r="Y296" s="45"/>
      <c r="Z296" s="326"/>
      <c r="AA296" s="50"/>
      <c r="AB296" s="50"/>
      <c r="AC296" s="50"/>
      <c r="AD296" s="50"/>
      <c r="AE296" s="50"/>
      <c r="AF296" s="50"/>
      <c r="AI296" s="50"/>
      <c r="AJ296" s="50"/>
      <c r="AK296" s="111"/>
      <c r="AL296" s="50"/>
    </row>
    <row r="297" spans="3:40">
      <c r="F297" s="45"/>
      <c r="R297" s="45"/>
      <c r="V297" s="45"/>
      <c r="AL297" s="45"/>
    </row>
    <row r="298" spans="3:40">
      <c r="C298" s="42"/>
      <c r="F298" s="45"/>
      <c r="R298" s="45"/>
      <c r="T298" s="42"/>
      <c r="V298" s="45"/>
      <c r="AL298" s="45"/>
    </row>
    <row r="299" spans="3:40">
      <c r="F299" s="45"/>
      <c r="R299" s="45"/>
      <c r="V299" s="45"/>
      <c r="AL299" s="45"/>
    </row>
    <row r="300" spans="3:40">
      <c r="C300" s="42"/>
      <c r="F300" s="45"/>
      <c r="H300" s="164"/>
      <c r="I300" s="164"/>
      <c r="J300" s="331"/>
      <c r="K300" s="331"/>
      <c r="L300" s="45"/>
      <c r="M300" s="45"/>
      <c r="N300" s="46"/>
      <c r="O300" s="46"/>
      <c r="P300" s="164"/>
      <c r="Q300" s="164"/>
      <c r="R300" s="45"/>
      <c r="T300" s="42"/>
      <c r="V300" s="45"/>
      <c r="Y300" s="45"/>
      <c r="Z300" s="325"/>
      <c r="AA300" s="45"/>
      <c r="AB300" s="45"/>
      <c r="AC300" s="46"/>
      <c r="AD300" s="46"/>
      <c r="AE300" s="45"/>
      <c r="AF300" s="45"/>
      <c r="AH300" s="51"/>
      <c r="AI300" s="164"/>
      <c r="AJ300" s="164"/>
      <c r="AL300" s="45"/>
      <c r="AM300" s="46"/>
      <c r="AN300" s="46"/>
    </row>
    <row r="301" spans="3:40">
      <c r="F301" s="50"/>
      <c r="H301" s="50"/>
      <c r="I301" s="50"/>
      <c r="J301" s="326"/>
      <c r="K301" s="326"/>
      <c r="L301" s="50"/>
      <c r="M301" s="50"/>
      <c r="N301" s="50"/>
      <c r="O301" s="50"/>
      <c r="P301" s="50"/>
      <c r="Q301" s="50"/>
      <c r="R301" s="50"/>
      <c r="V301" s="50"/>
      <c r="Y301" s="50"/>
      <c r="Z301" s="326"/>
      <c r="AA301" s="50"/>
      <c r="AB301" s="50"/>
      <c r="AC301" s="50"/>
      <c r="AD301" s="50"/>
      <c r="AE301" s="50"/>
      <c r="AF301" s="50"/>
      <c r="AI301" s="50"/>
      <c r="AJ301" s="50"/>
      <c r="AK301" s="111"/>
      <c r="AL301" s="50"/>
    </row>
    <row r="303" spans="3:40">
      <c r="C303" s="42"/>
      <c r="F303" s="45"/>
      <c r="H303" s="45"/>
      <c r="I303" s="45"/>
      <c r="J303" s="53"/>
      <c r="K303" s="53"/>
      <c r="L303" s="45"/>
      <c r="M303" s="45"/>
      <c r="N303" s="46"/>
      <c r="O303" s="46"/>
      <c r="P303" s="45"/>
      <c r="Q303" s="45"/>
      <c r="R303" s="45"/>
      <c r="T303" s="42"/>
      <c r="V303" s="45"/>
      <c r="Y303" s="45"/>
      <c r="Z303" s="53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3:40">
      <c r="F304" s="50"/>
      <c r="H304" s="50"/>
      <c r="I304" s="50"/>
      <c r="J304" s="326"/>
      <c r="K304" s="326"/>
      <c r="L304" s="50"/>
      <c r="M304" s="50"/>
      <c r="N304" s="50"/>
      <c r="O304" s="50"/>
      <c r="P304" s="50"/>
      <c r="Q304" s="50"/>
      <c r="R304" s="50"/>
      <c r="V304" s="50"/>
      <c r="Y304" s="50"/>
      <c r="Z304" s="326"/>
      <c r="AA304" s="50"/>
      <c r="AB304" s="50"/>
      <c r="AC304" s="50"/>
      <c r="AD304" s="50"/>
      <c r="AE304" s="50"/>
      <c r="AF304" s="50"/>
      <c r="AI304" s="50"/>
      <c r="AJ304" s="50"/>
      <c r="AK304" s="111"/>
      <c r="AL304" s="50"/>
    </row>
    <row r="305" spans="1:40">
      <c r="R305" s="45"/>
      <c r="AH305" s="45"/>
    </row>
    <row r="306" spans="1:40">
      <c r="F306" s="45"/>
      <c r="H306" s="45"/>
      <c r="I306" s="45"/>
      <c r="J306" s="47"/>
      <c r="K306" s="47"/>
      <c r="L306" s="45"/>
      <c r="M306" s="45"/>
      <c r="N306" s="45"/>
      <c r="O306" s="45"/>
      <c r="P306" s="45"/>
      <c r="Q306" s="45"/>
      <c r="R306" s="45"/>
      <c r="V306" s="45"/>
      <c r="Y306" s="45"/>
      <c r="Z306" s="47"/>
      <c r="AA306" s="45"/>
      <c r="AB306" s="45"/>
      <c r="AC306" s="45"/>
      <c r="AD306" s="45"/>
      <c r="AE306" s="45"/>
      <c r="AF306" s="45"/>
      <c r="AH306" s="45"/>
    </row>
    <row r="307" spans="1:40">
      <c r="C307" s="42"/>
      <c r="F307" s="45"/>
      <c r="H307" s="45"/>
      <c r="I307" s="45"/>
      <c r="J307" s="47"/>
      <c r="K307" s="47"/>
      <c r="L307" s="45"/>
      <c r="M307" s="45"/>
      <c r="N307" s="45"/>
      <c r="O307" s="45"/>
      <c r="P307" s="45"/>
      <c r="Q307" s="45"/>
      <c r="R307" s="45"/>
      <c r="T307" s="42"/>
      <c r="V307" s="45"/>
      <c r="Y307" s="45"/>
      <c r="Z307" s="47"/>
      <c r="AA307" s="45"/>
      <c r="AB307" s="45"/>
      <c r="AC307" s="45"/>
      <c r="AD307" s="45"/>
      <c r="AE307" s="45"/>
      <c r="AF307" s="45"/>
      <c r="AH307" s="45"/>
    </row>
    <row r="308" spans="1:40">
      <c r="A308" s="42"/>
    </row>
    <row r="311" spans="1:40">
      <c r="H311" s="42"/>
      <c r="I311" s="42"/>
      <c r="Y311" s="42"/>
    </row>
    <row r="313" spans="1:40">
      <c r="L313" s="42"/>
      <c r="M313" s="42"/>
      <c r="AA313" s="42"/>
      <c r="AB313" s="42"/>
    </row>
    <row r="314" spans="1:40">
      <c r="R314" s="42"/>
      <c r="AK314" s="110"/>
      <c r="AL314" s="42"/>
    </row>
    <row r="315" spans="1:40">
      <c r="R315" s="42"/>
      <c r="AK315" s="110"/>
      <c r="AL315" s="42"/>
    </row>
    <row r="316" spans="1:40">
      <c r="A316" s="42"/>
      <c r="R316" s="42"/>
      <c r="AK316" s="110"/>
      <c r="AL316" s="42"/>
    </row>
    <row r="317" spans="1:40">
      <c r="L317" s="42"/>
      <c r="M317" s="42"/>
      <c r="AA317" s="42"/>
      <c r="AB317" s="42"/>
    </row>
    <row r="318" spans="1:40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107"/>
      <c r="AH318" s="49"/>
      <c r="AI318" s="49"/>
      <c r="AJ318" s="49"/>
      <c r="AK318" s="107"/>
      <c r="AL318" s="49"/>
      <c r="AM318" s="49"/>
      <c r="AN318" s="49"/>
    </row>
    <row r="319" spans="1:40">
      <c r="L319" s="44"/>
      <c r="M319" s="44"/>
      <c r="N319" s="44"/>
      <c r="O319" s="44"/>
      <c r="R319" s="44"/>
      <c r="AA319" s="44"/>
      <c r="AB319" s="44"/>
      <c r="AC319" s="44"/>
      <c r="AD319" s="44"/>
      <c r="AE319" s="44"/>
      <c r="AF319" s="44"/>
      <c r="AG319" s="102"/>
      <c r="AH319" s="44"/>
      <c r="AK319" s="102"/>
      <c r="AL319" s="44"/>
      <c r="AM319" s="44"/>
      <c r="AN319" s="44"/>
    </row>
    <row r="320" spans="1:40">
      <c r="L320" s="44"/>
      <c r="M320" s="44"/>
      <c r="N320" s="44"/>
      <c r="O320" s="44"/>
      <c r="R320" s="44"/>
      <c r="Z320" s="44"/>
      <c r="AA320" s="44"/>
      <c r="AB320" s="44"/>
      <c r="AC320" s="44"/>
      <c r="AD320" s="44"/>
      <c r="AE320" s="44"/>
      <c r="AF320" s="44"/>
      <c r="AG320" s="102"/>
      <c r="AH320" s="44"/>
      <c r="AK320" s="102"/>
      <c r="AL320" s="44"/>
      <c r="AM320" s="44"/>
      <c r="AN320" s="44"/>
    </row>
    <row r="321" spans="1:40">
      <c r="A321" s="44"/>
      <c r="C321" s="44"/>
      <c r="D321" s="44"/>
      <c r="E321" s="44"/>
      <c r="F321" s="44"/>
      <c r="J321" s="44"/>
      <c r="K321" s="44"/>
      <c r="L321" s="44"/>
      <c r="M321" s="44"/>
      <c r="N321" s="44"/>
      <c r="O321" s="44"/>
      <c r="P321" s="44"/>
      <c r="Q321" s="44"/>
      <c r="R321" s="44"/>
      <c r="T321" s="44"/>
      <c r="U321" s="44"/>
      <c r="V321" s="44"/>
      <c r="Z321" s="44"/>
      <c r="AA321" s="44"/>
      <c r="AB321" s="44"/>
      <c r="AC321" s="44"/>
      <c r="AD321" s="44"/>
      <c r="AE321" s="44"/>
      <c r="AF321" s="44"/>
      <c r="AG321" s="102"/>
      <c r="AH321" s="44"/>
      <c r="AI321" s="44"/>
      <c r="AJ321" s="44"/>
      <c r="AK321" s="102"/>
      <c r="AL321" s="44"/>
      <c r="AM321" s="44"/>
      <c r="AN321" s="44"/>
    </row>
    <row r="322" spans="1:40">
      <c r="A322" s="44"/>
      <c r="C322" s="44"/>
      <c r="D322" s="44"/>
      <c r="E322" s="44"/>
      <c r="F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T322" s="44"/>
      <c r="U322" s="44"/>
      <c r="V322" s="44"/>
      <c r="Y322" s="44"/>
      <c r="Z322" s="44"/>
      <c r="AA322" s="44"/>
      <c r="AB322" s="44"/>
      <c r="AC322" s="44"/>
      <c r="AD322" s="44"/>
      <c r="AE322" s="44"/>
      <c r="AF322" s="44"/>
      <c r="AG322" s="102"/>
      <c r="AH322" s="44"/>
      <c r="AI322" s="44"/>
      <c r="AJ322" s="44"/>
      <c r="AK322" s="102"/>
      <c r="AL322" s="44"/>
      <c r="AM322" s="44"/>
      <c r="AN322" s="44"/>
    </row>
    <row r="323" spans="1:40">
      <c r="C323" s="44"/>
      <c r="D323" s="44"/>
      <c r="E323" s="44"/>
      <c r="F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T323" s="44"/>
      <c r="U323" s="44"/>
      <c r="V323" s="44"/>
      <c r="Y323" s="44"/>
      <c r="Z323" s="44"/>
      <c r="AA323" s="44"/>
      <c r="AB323" s="44"/>
      <c r="AC323" s="44"/>
      <c r="AD323" s="44"/>
      <c r="AE323" s="44"/>
      <c r="AF323" s="44"/>
      <c r="AG323" s="102"/>
      <c r="AH323" s="44"/>
      <c r="AI323" s="44"/>
      <c r="AJ323" s="44"/>
      <c r="AK323" s="102"/>
      <c r="AL323" s="44"/>
      <c r="AM323" s="44"/>
      <c r="AN323" s="44"/>
    </row>
    <row r="324" spans="1:40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107"/>
      <c r="AH324" s="49"/>
      <c r="AI324" s="49"/>
      <c r="AJ324" s="49"/>
      <c r="AK324" s="107"/>
      <c r="AL324" s="49"/>
      <c r="AM324" s="49"/>
      <c r="AN324" s="49"/>
    </row>
    <row r="325" spans="1:40"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Y325" s="44"/>
      <c r="Z325" s="44"/>
      <c r="AA325" s="44"/>
      <c r="AB325" s="44"/>
      <c r="AC325" s="44"/>
      <c r="AD325" s="44"/>
      <c r="AE325" s="44"/>
      <c r="AF325" s="44"/>
      <c r="AG325" s="102"/>
      <c r="AH325" s="44"/>
      <c r="AI325" s="44"/>
      <c r="AJ325" s="44"/>
      <c r="AK325" s="102"/>
      <c r="AL325" s="44"/>
      <c r="AM325" s="44"/>
      <c r="AN325" s="44"/>
    </row>
    <row r="326" spans="1:40">
      <c r="C326" s="42"/>
      <c r="D326" s="42"/>
      <c r="E326" s="42"/>
      <c r="T326" s="42"/>
      <c r="U326" s="42"/>
    </row>
    <row r="327" spans="1:40">
      <c r="C327" s="42"/>
      <c r="T327" s="42"/>
    </row>
    <row r="329" spans="1:40">
      <c r="C329" s="42"/>
      <c r="F329" s="164"/>
      <c r="H329" s="164"/>
      <c r="I329" s="164"/>
      <c r="J329" s="316"/>
      <c r="K329" s="316"/>
      <c r="L329" s="45"/>
      <c r="M329" s="45"/>
      <c r="N329" s="46"/>
      <c r="O329" s="46"/>
      <c r="R329" s="45"/>
      <c r="T329" s="42"/>
      <c r="V329" s="45"/>
      <c r="Y329" s="164"/>
      <c r="Z329" s="316"/>
      <c r="AA329" s="45"/>
      <c r="AB329" s="45"/>
      <c r="AC329" s="46"/>
      <c r="AD329" s="46"/>
      <c r="AE329" s="45"/>
      <c r="AF329" s="45"/>
      <c r="AH329" s="51"/>
      <c r="AL329" s="45"/>
      <c r="AM329" s="46"/>
      <c r="AN329" s="46"/>
    </row>
    <row r="330" spans="1:40">
      <c r="F330" s="50"/>
      <c r="H330" s="45"/>
      <c r="I330" s="45"/>
      <c r="J330" s="326"/>
      <c r="K330" s="326"/>
      <c r="L330" s="50"/>
      <c r="M330" s="50"/>
      <c r="N330" s="50"/>
      <c r="O330" s="50"/>
      <c r="P330" s="50"/>
      <c r="Q330" s="50"/>
      <c r="R330" s="50"/>
      <c r="V330" s="50"/>
      <c r="Y330" s="45"/>
      <c r="Z330" s="326"/>
      <c r="AA330" s="50"/>
      <c r="AB330" s="50"/>
      <c r="AC330" s="50"/>
      <c r="AD330" s="50"/>
      <c r="AE330" s="50"/>
      <c r="AF330" s="50"/>
      <c r="AI330" s="50"/>
      <c r="AJ330" s="50"/>
      <c r="AK330" s="111"/>
      <c r="AL330" s="50"/>
      <c r="AM330" s="46"/>
      <c r="AN330" s="46"/>
    </row>
    <row r="331" spans="1:40">
      <c r="C331" s="42"/>
      <c r="F331" s="164"/>
      <c r="H331" s="164"/>
      <c r="I331" s="164"/>
      <c r="J331" s="336"/>
      <c r="K331" s="336"/>
      <c r="L331" s="45"/>
      <c r="M331" s="45"/>
      <c r="N331" s="46"/>
      <c r="O331" s="46"/>
      <c r="P331" s="45"/>
      <c r="Q331" s="45"/>
      <c r="R331" s="45"/>
      <c r="S331" s="45"/>
      <c r="T331" s="42"/>
      <c r="V331" s="164"/>
      <c r="Y331" s="164"/>
      <c r="Z331" s="336"/>
      <c r="AA331" s="45"/>
      <c r="AB331" s="45"/>
      <c r="AC331" s="46"/>
      <c r="AD331" s="46"/>
      <c r="AE331" s="45"/>
      <c r="AF331" s="45"/>
      <c r="AH331" s="46"/>
      <c r="AI331" s="45"/>
      <c r="AJ331" s="45"/>
      <c r="AL331" s="45"/>
      <c r="AM331" s="46"/>
      <c r="AN331" s="46"/>
    </row>
    <row r="332" spans="1:40">
      <c r="C332" s="42"/>
      <c r="F332" s="164"/>
      <c r="H332" s="164"/>
      <c r="I332" s="164"/>
      <c r="J332" s="316"/>
      <c r="K332" s="316"/>
      <c r="L332" s="45"/>
      <c r="M332" s="45"/>
      <c r="N332" s="46"/>
      <c r="O332" s="46"/>
      <c r="P332" s="45"/>
      <c r="Q332" s="45"/>
      <c r="R332" s="45"/>
      <c r="T332" s="42"/>
      <c r="V332" s="164"/>
      <c r="Y332" s="45"/>
      <c r="Z332" s="316"/>
      <c r="AA332" s="45"/>
      <c r="AB332" s="45"/>
      <c r="AC332" s="46"/>
      <c r="AD332" s="46"/>
      <c r="AE332" s="45"/>
      <c r="AF332" s="45"/>
      <c r="AH332" s="51"/>
      <c r="AI332" s="45"/>
      <c r="AJ332" s="45"/>
      <c r="AL332" s="45"/>
      <c r="AM332" s="46"/>
      <c r="AN332" s="46"/>
    </row>
    <row r="333" spans="1:40">
      <c r="C333" s="42"/>
      <c r="F333" s="164"/>
      <c r="H333" s="164"/>
      <c r="I333" s="164"/>
      <c r="J333" s="316"/>
      <c r="K333" s="316"/>
      <c r="L333" s="45"/>
      <c r="M333" s="45"/>
      <c r="N333" s="46"/>
      <c r="O333" s="46"/>
      <c r="P333" s="45"/>
      <c r="Q333" s="45"/>
      <c r="R333" s="45"/>
      <c r="T333" s="42"/>
      <c r="V333" s="164"/>
      <c r="Y333" s="45"/>
      <c r="Z333" s="316"/>
      <c r="AA333" s="45"/>
      <c r="AB333" s="45"/>
      <c r="AC333" s="46"/>
      <c r="AD333" s="46"/>
      <c r="AE333" s="45"/>
      <c r="AF333" s="45"/>
      <c r="AH333" s="51"/>
      <c r="AI333" s="45"/>
      <c r="AJ333" s="45"/>
      <c r="AL333" s="45"/>
      <c r="AM333" s="46"/>
      <c r="AN333" s="46"/>
    </row>
    <row r="334" spans="1:40">
      <c r="F334" s="50"/>
      <c r="H334" s="50"/>
      <c r="I334" s="50"/>
      <c r="J334" s="326"/>
      <c r="K334" s="326"/>
      <c r="L334" s="50"/>
      <c r="M334" s="50"/>
      <c r="N334" s="50"/>
      <c r="O334" s="50"/>
      <c r="P334" s="50"/>
      <c r="Q334" s="50"/>
      <c r="R334" s="50"/>
      <c r="V334" s="50"/>
      <c r="Y334" s="50"/>
      <c r="Z334" s="326"/>
      <c r="AA334" s="50"/>
      <c r="AB334" s="50"/>
      <c r="AC334" s="50"/>
      <c r="AD334" s="50"/>
      <c r="AE334" s="50"/>
      <c r="AF334" s="50"/>
      <c r="AI334" s="50"/>
      <c r="AJ334" s="50"/>
      <c r="AK334" s="111"/>
      <c r="AL334" s="50"/>
      <c r="AM334" s="46"/>
      <c r="AN334" s="46"/>
    </row>
    <row r="335" spans="1:40">
      <c r="C335" s="42"/>
      <c r="F335" s="45"/>
      <c r="H335" s="45"/>
      <c r="I335" s="45"/>
      <c r="J335" s="47"/>
      <c r="K335" s="47"/>
      <c r="L335" s="45"/>
      <c r="M335" s="45"/>
      <c r="N335" s="46"/>
      <c r="O335" s="46"/>
      <c r="P335" s="45"/>
      <c r="Q335" s="45"/>
      <c r="R335" s="45"/>
      <c r="T335" s="42"/>
      <c r="V335" s="45"/>
      <c r="Y335" s="45"/>
      <c r="Z335" s="47"/>
      <c r="AA335" s="45"/>
      <c r="AB335" s="45"/>
      <c r="AC335" s="46"/>
      <c r="AD335" s="46"/>
      <c r="AE335" s="45"/>
      <c r="AF335" s="45"/>
      <c r="AH335" s="51"/>
      <c r="AI335" s="45"/>
      <c r="AJ335" s="45"/>
      <c r="AL335" s="45"/>
      <c r="AM335" s="46"/>
      <c r="AN335" s="46"/>
    </row>
    <row r="336" spans="1:40">
      <c r="F336" s="50"/>
      <c r="H336" s="50"/>
      <c r="I336" s="50"/>
      <c r="J336" s="326"/>
      <c r="K336" s="326"/>
      <c r="L336" s="50"/>
      <c r="M336" s="50"/>
      <c r="N336" s="50"/>
      <c r="O336" s="50"/>
      <c r="P336" s="50"/>
      <c r="Q336" s="50"/>
      <c r="R336" s="50"/>
      <c r="V336" s="50"/>
      <c r="Y336" s="50"/>
      <c r="Z336" s="326"/>
      <c r="AA336" s="50"/>
      <c r="AB336" s="50"/>
      <c r="AC336" s="50"/>
      <c r="AD336" s="50"/>
      <c r="AE336" s="50"/>
      <c r="AF336" s="50"/>
      <c r="AI336" s="50"/>
      <c r="AJ336" s="50"/>
      <c r="AK336" s="111"/>
      <c r="AL336" s="50"/>
      <c r="AM336" s="46"/>
      <c r="AN336" s="46"/>
    </row>
    <row r="337" spans="3:40">
      <c r="C337" s="42"/>
      <c r="F337" s="45"/>
      <c r="H337" s="45"/>
      <c r="I337" s="45"/>
      <c r="J337" s="47"/>
      <c r="K337" s="47"/>
      <c r="L337" s="45"/>
      <c r="M337" s="45"/>
      <c r="N337" s="46"/>
      <c r="O337" s="46"/>
      <c r="P337" s="45"/>
      <c r="Q337" s="45"/>
      <c r="R337" s="45"/>
      <c r="T337" s="42"/>
      <c r="V337" s="45"/>
      <c r="Y337" s="45"/>
      <c r="Z337" s="47"/>
      <c r="AA337" s="45"/>
      <c r="AB337" s="45"/>
      <c r="AC337" s="46"/>
      <c r="AD337" s="46"/>
      <c r="AE337" s="45"/>
      <c r="AF337" s="45"/>
      <c r="AH337" s="51"/>
      <c r="AI337" s="45"/>
      <c r="AJ337" s="45"/>
      <c r="AL337" s="45"/>
      <c r="AM337" s="46"/>
      <c r="AN337" s="46"/>
    </row>
    <row r="338" spans="3:40">
      <c r="C338" s="42"/>
      <c r="F338" s="45"/>
      <c r="H338" s="164"/>
      <c r="I338" s="164"/>
      <c r="J338" s="331"/>
      <c r="K338" s="331"/>
      <c r="L338" s="45"/>
      <c r="M338" s="45"/>
      <c r="N338" s="46"/>
      <c r="O338" s="46"/>
      <c r="P338" s="45"/>
      <c r="Q338" s="45"/>
      <c r="R338" s="45"/>
      <c r="T338" s="42"/>
      <c r="V338" s="45"/>
      <c r="Y338" s="45"/>
      <c r="Z338" s="325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3:40">
      <c r="F339" s="50"/>
      <c r="H339" s="50"/>
      <c r="I339" s="50"/>
      <c r="J339" s="326"/>
      <c r="K339" s="326"/>
      <c r="L339" s="50"/>
      <c r="M339" s="50"/>
      <c r="N339" s="50"/>
      <c r="O339" s="50"/>
      <c r="P339" s="50"/>
      <c r="Q339" s="50"/>
      <c r="R339" s="50"/>
      <c r="V339" s="50"/>
      <c r="Y339" s="50"/>
      <c r="Z339" s="326"/>
      <c r="AA339" s="50"/>
      <c r="AB339" s="50"/>
      <c r="AC339" s="50"/>
      <c r="AD339" s="50"/>
      <c r="AE339" s="50"/>
      <c r="AF339" s="50"/>
      <c r="AI339" s="50"/>
      <c r="AJ339" s="50"/>
      <c r="AK339" s="111"/>
      <c r="AL339" s="50"/>
      <c r="AM339" s="46"/>
      <c r="AN339" s="46"/>
    </row>
    <row r="341" spans="3:40">
      <c r="C341" s="42"/>
      <c r="F341" s="45"/>
      <c r="H341" s="45"/>
      <c r="I341" s="45"/>
      <c r="J341" s="326"/>
      <c r="K341" s="326"/>
      <c r="L341" s="45"/>
      <c r="M341" s="45"/>
      <c r="N341" s="46"/>
      <c r="O341" s="46"/>
      <c r="P341" s="45"/>
      <c r="Q341" s="45"/>
      <c r="R341" s="45"/>
      <c r="S341" s="45"/>
      <c r="T341" s="42"/>
      <c r="V341" s="45"/>
      <c r="Y341" s="45"/>
      <c r="Z341" s="326"/>
      <c r="AA341" s="45"/>
      <c r="AB341" s="45"/>
      <c r="AC341" s="46"/>
      <c r="AD341" s="46"/>
      <c r="AE341" s="45"/>
      <c r="AF341" s="45"/>
      <c r="AH341" s="46"/>
      <c r="AI341" s="45"/>
      <c r="AJ341" s="45"/>
      <c r="AL341" s="45"/>
      <c r="AM341" s="46"/>
      <c r="AN341" s="46"/>
    </row>
    <row r="342" spans="3:40">
      <c r="F342" s="50"/>
      <c r="H342" s="50"/>
      <c r="I342" s="50"/>
      <c r="J342" s="326"/>
      <c r="K342" s="326"/>
      <c r="L342" s="50"/>
      <c r="M342" s="50"/>
      <c r="N342" s="50"/>
      <c r="O342" s="50"/>
      <c r="P342" s="50"/>
      <c r="Q342" s="50"/>
      <c r="R342" s="50"/>
      <c r="S342" s="45"/>
      <c r="V342" s="50"/>
      <c r="Y342" s="50"/>
      <c r="Z342" s="326"/>
      <c r="AA342" s="50"/>
      <c r="AB342" s="50"/>
      <c r="AC342" s="50"/>
      <c r="AD342" s="50"/>
      <c r="AE342" s="50"/>
      <c r="AF342" s="50"/>
      <c r="AI342" s="50"/>
      <c r="AJ342" s="50"/>
      <c r="AK342" s="111"/>
      <c r="AL342" s="50"/>
      <c r="AM342" s="46"/>
      <c r="AN342" s="46"/>
    </row>
    <row r="343" spans="3:40">
      <c r="C343" s="42"/>
      <c r="F343" s="164"/>
      <c r="H343" s="164"/>
      <c r="I343" s="164"/>
      <c r="J343" s="326"/>
      <c r="K343" s="326"/>
      <c r="L343" s="45"/>
      <c r="M343" s="45"/>
      <c r="N343" s="46"/>
      <c r="O343" s="46"/>
      <c r="P343" s="45"/>
      <c r="Q343" s="45"/>
      <c r="R343" s="45"/>
      <c r="S343" s="45"/>
      <c r="T343" s="42"/>
      <c r="V343" s="164"/>
      <c r="Y343" s="164"/>
      <c r="Z343" s="326"/>
      <c r="AA343" s="45"/>
      <c r="AB343" s="45"/>
      <c r="AC343" s="46"/>
      <c r="AD343" s="46"/>
      <c r="AE343" s="45"/>
      <c r="AF343" s="45"/>
      <c r="AI343" s="45"/>
      <c r="AJ343" s="45"/>
      <c r="AL343" s="45"/>
      <c r="AM343" s="46"/>
      <c r="AN343" s="46"/>
    </row>
    <row r="345" spans="3:40">
      <c r="C345" s="42"/>
      <c r="F345" s="164"/>
      <c r="H345" s="164"/>
      <c r="I345" s="164"/>
      <c r="J345" s="316"/>
      <c r="K345" s="316"/>
      <c r="L345" s="45"/>
      <c r="M345" s="45"/>
      <c r="N345" s="46"/>
      <c r="O345" s="46"/>
      <c r="R345" s="45"/>
      <c r="T345" s="42"/>
      <c r="V345" s="45"/>
      <c r="Y345" s="164"/>
      <c r="Z345" s="316"/>
      <c r="AA345" s="45"/>
      <c r="AB345" s="45"/>
      <c r="AC345" s="46"/>
      <c r="AD345" s="46"/>
      <c r="AE345" s="45"/>
      <c r="AF345" s="45"/>
      <c r="AH345" s="51"/>
      <c r="AL345" s="45"/>
      <c r="AM345" s="46"/>
      <c r="AN345" s="46"/>
    </row>
    <row r="346" spans="3:40">
      <c r="F346" s="50"/>
      <c r="H346" s="45"/>
      <c r="I346" s="45"/>
      <c r="J346" s="326"/>
      <c r="K346" s="326"/>
      <c r="L346" s="50"/>
      <c r="M346" s="50"/>
      <c r="N346" s="50"/>
      <c r="O346" s="50"/>
      <c r="P346" s="50"/>
      <c r="Q346" s="50"/>
      <c r="R346" s="50"/>
      <c r="V346" s="50"/>
      <c r="Y346" s="45"/>
      <c r="Z346" s="326"/>
      <c r="AA346" s="50"/>
      <c r="AB346" s="50"/>
      <c r="AC346" s="50"/>
      <c r="AD346" s="50"/>
      <c r="AE346" s="50"/>
      <c r="AF346" s="50"/>
      <c r="AI346" s="50"/>
      <c r="AJ346" s="50"/>
      <c r="AK346" s="111"/>
      <c r="AL346" s="50"/>
      <c r="AM346" s="46"/>
      <c r="AN346" s="46"/>
    </row>
    <row r="347" spans="3:40">
      <c r="C347" s="42"/>
      <c r="F347" s="164"/>
      <c r="H347" s="164"/>
      <c r="I347" s="164"/>
      <c r="J347" s="336"/>
      <c r="K347" s="336"/>
      <c r="L347" s="45"/>
      <c r="M347" s="45"/>
      <c r="N347" s="46"/>
      <c r="O347" s="46"/>
      <c r="P347" s="45"/>
      <c r="Q347" s="45"/>
      <c r="R347" s="45"/>
      <c r="S347" s="45"/>
      <c r="T347" s="42"/>
      <c r="V347" s="164"/>
      <c r="Y347" s="164"/>
      <c r="Z347" s="336"/>
      <c r="AA347" s="45"/>
      <c r="AB347" s="45"/>
      <c r="AC347" s="46"/>
      <c r="AD347" s="46"/>
      <c r="AE347" s="45"/>
      <c r="AF347" s="45"/>
      <c r="AH347" s="46"/>
      <c r="AI347" s="45"/>
      <c r="AJ347" s="45"/>
      <c r="AL347" s="45"/>
      <c r="AM347" s="46"/>
      <c r="AN347" s="46"/>
    </row>
    <row r="348" spans="3:40">
      <c r="C348" s="42"/>
      <c r="F348" s="164"/>
      <c r="H348" s="164"/>
      <c r="I348" s="164"/>
      <c r="J348" s="316"/>
      <c r="K348" s="316"/>
      <c r="L348" s="45"/>
      <c r="M348" s="45"/>
      <c r="N348" s="46"/>
      <c r="O348" s="46"/>
      <c r="P348" s="45"/>
      <c r="Q348" s="45"/>
      <c r="R348" s="45"/>
      <c r="T348" s="42"/>
      <c r="V348" s="164"/>
      <c r="Y348" s="45"/>
      <c r="Z348" s="316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>
      <c r="C349" s="42"/>
      <c r="F349" s="164"/>
      <c r="H349" s="164"/>
      <c r="I349" s="164"/>
      <c r="J349" s="316"/>
      <c r="K349" s="316"/>
      <c r="L349" s="45"/>
      <c r="M349" s="45"/>
      <c r="N349" s="46"/>
      <c r="O349" s="46"/>
      <c r="P349" s="45"/>
      <c r="Q349" s="45"/>
      <c r="R349" s="45"/>
      <c r="T349" s="42"/>
      <c r="V349" s="164"/>
      <c r="Y349" s="45"/>
      <c r="Z349" s="316"/>
      <c r="AA349" s="45"/>
      <c r="AB349" s="45"/>
      <c r="AC349" s="46"/>
      <c r="AD349" s="46"/>
      <c r="AE349" s="45"/>
      <c r="AF349" s="45"/>
      <c r="AH349" s="51"/>
      <c r="AI349" s="45"/>
      <c r="AJ349" s="45"/>
      <c r="AL349" s="45"/>
      <c r="AM349" s="46"/>
      <c r="AN349" s="46"/>
    </row>
    <row r="350" spans="3:40">
      <c r="F350" s="50"/>
      <c r="H350" s="50"/>
      <c r="I350" s="50"/>
      <c r="J350" s="326"/>
      <c r="K350" s="326"/>
      <c r="L350" s="50"/>
      <c r="M350" s="50"/>
      <c r="N350" s="50"/>
      <c r="O350" s="50"/>
      <c r="P350" s="50"/>
      <c r="Q350" s="50"/>
      <c r="R350" s="50"/>
      <c r="V350" s="50"/>
      <c r="Y350" s="50"/>
      <c r="Z350" s="326"/>
      <c r="AA350" s="50"/>
      <c r="AB350" s="50"/>
      <c r="AC350" s="50"/>
      <c r="AD350" s="50"/>
      <c r="AE350" s="50"/>
      <c r="AF350" s="50"/>
      <c r="AI350" s="50"/>
      <c r="AJ350" s="50"/>
      <c r="AK350" s="111"/>
      <c r="AL350" s="50"/>
      <c r="AM350" s="46"/>
      <c r="AN350" s="46"/>
    </row>
    <row r="351" spans="3:40">
      <c r="C351" s="42"/>
      <c r="F351" s="45"/>
      <c r="H351" s="45"/>
      <c r="I351" s="45"/>
      <c r="J351" s="47"/>
      <c r="K351" s="47"/>
      <c r="L351" s="45"/>
      <c r="M351" s="45"/>
      <c r="N351" s="46"/>
      <c r="O351" s="46"/>
      <c r="P351" s="45"/>
      <c r="Q351" s="45"/>
      <c r="R351" s="45"/>
      <c r="T351" s="42"/>
      <c r="V351" s="45"/>
      <c r="Y351" s="45"/>
      <c r="Z351" s="47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3:40">
      <c r="F352" s="50"/>
      <c r="H352" s="50"/>
      <c r="I352" s="50"/>
      <c r="J352" s="326"/>
      <c r="K352" s="326"/>
      <c r="L352" s="50"/>
      <c r="M352" s="50"/>
      <c r="N352" s="50"/>
      <c r="O352" s="50"/>
      <c r="P352" s="50"/>
      <c r="Q352" s="50"/>
      <c r="R352" s="50"/>
      <c r="V352" s="50"/>
      <c r="Y352" s="50"/>
      <c r="Z352" s="326"/>
      <c r="AA352" s="50"/>
      <c r="AB352" s="50"/>
      <c r="AC352" s="50"/>
      <c r="AD352" s="50"/>
      <c r="AE352" s="50"/>
      <c r="AF352" s="50"/>
      <c r="AI352" s="50"/>
      <c r="AJ352" s="50"/>
      <c r="AK352" s="111"/>
      <c r="AL352" s="50"/>
      <c r="AM352" s="46"/>
      <c r="AN352" s="46"/>
    </row>
    <row r="353" spans="1:40">
      <c r="C353" s="42"/>
      <c r="F353" s="45"/>
      <c r="H353" s="45"/>
      <c r="I353" s="45"/>
      <c r="J353" s="47"/>
      <c r="K353" s="47"/>
      <c r="L353" s="45"/>
      <c r="M353" s="45"/>
      <c r="N353" s="46"/>
      <c r="O353" s="46"/>
      <c r="P353" s="45"/>
      <c r="Q353" s="45"/>
      <c r="R353" s="45"/>
      <c r="T353" s="42"/>
      <c r="V353" s="45"/>
      <c r="Y353" s="45"/>
      <c r="Z353" s="47"/>
      <c r="AA353" s="45"/>
      <c r="AB353" s="45"/>
      <c r="AC353" s="46"/>
      <c r="AD353" s="46"/>
      <c r="AE353" s="45"/>
      <c r="AF353" s="45"/>
      <c r="AH353" s="51"/>
      <c r="AI353" s="45"/>
      <c r="AJ353" s="45"/>
      <c r="AL353" s="45"/>
      <c r="AM353" s="46"/>
      <c r="AN353" s="46"/>
    </row>
    <row r="354" spans="1:40">
      <c r="C354" s="42"/>
      <c r="F354" s="45"/>
      <c r="H354" s="164"/>
      <c r="I354" s="164"/>
      <c r="J354" s="331"/>
      <c r="K354" s="331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325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1:40">
      <c r="F355" s="50"/>
      <c r="H355" s="50"/>
      <c r="I355" s="50"/>
      <c r="J355" s="326"/>
      <c r="K355" s="326"/>
      <c r="L355" s="50"/>
      <c r="M355" s="50"/>
      <c r="N355" s="50"/>
      <c r="O355" s="50"/>
      <c r="P355" s="50"/>
      <c r="Q355" s="50"/>
      <c r="R355" s="50"/>
      <c r="V355" s="50"/>
      <c r="Y355" s="50"/>
      <c r="Z355" s="326"/>
      <c r="AA355" s="50"/>
      <c r="AB355" s="50"/>
      <c r="AC355" s="50"/>
      <c r="AD355" s="50"/>
      <c r="AE355" s="50"/>
      <c r="AF355" s="50"/>
      <c r="AI355" s="50"/>
      <c r="AJ355" s="50"/>
      <c r="AK355" s="111"/>
      <c r="AL355" s="50"/>
      <c r="AM355" s="46"/>
      <c r="AN355" s="46"/>
    </row>
    <row r="357" spans="1:40">
      <c r="C357" s="42"/>
      <c r="F357" s="45"/>
      <c r="H357" s="45"/>
      <c r="I357" s="45"/>
      <c r="J357" s="326"/>
      <c r="K357" s="326"/>
      <c r="L357" s="45"/>
      <c r="M357" s="45"/>
      <c r="N357" s="46"/>
      <c r="O357" s="46"/>
      <c r="P357" s="45"/>
      <c r="Q357" s="45"/>
      <c r="R357" s="45"/>
      <c r="S357" s="45"/>
      <c r="T357" s="42"/>
      <c r="V357" s="45"/>
      <c r="Y357" s="45"/>
      <c r="Z357" s="326"/>
      <c r="AA357" s="45"/>
      <c r="AB357" s="45"/>
      <c r="AC357" s="46"/>
      <c r="AD357" s="46"/>
      <c r="AE357" s="45"/>
      <c r="AF357" s="45"/>
      <c r="AH357" s="46"/>
      <c r="AI357" s="45"/>
      <c r="AJ357" s="45"/>
      <c r="AL357" s="45"/>
      <c r="AM357" s="46"/>
      <c r="AN357" s="46"/>
    </row>
    <row r="358" spans="1:40">
      <c r="F358" s="50"/>
      <c r="H358" s="50"/>
      <c r="I358" s="50"/>
      <c r="J358" s="326"/>
      <c r="K358" s="326"/>
      <c r="L358" s="50"/>
      <c r="M358" s="50"/>
      <c r="N358" s="50"/>
      <c r="O358" s="50"/>
      <c r="P358" s="50"/>
      <c r="Q358" s="50"/>
      <c r="R358" s="50"/>
      <c r="S358" s="45"/>
      <c r="V358" s="50"/>
      <c r="Y358" s="50"/>
      <c r="Z358" s="326"/>
      <c r="AA358" s="50"/>
      <c r="AB358" s="50"/>
      <c r="AC358" s="50"/>
      <c r="AD358" s="50"/>
      <c r="AE358" s="50"/>
      <c r="AF358" s="50"/>
      <c r="AI358" s="50"/>
      <c r="AJ358" s="50"/>
      <c r="AK358" s="111"/>
      <c r="AL358" s="50"/>
      <c r="AM358" s="46"/>
      <c r="AN358" s="46"/>
    </row>
    <row r="359" spans="1:40">
      <c r="C359" s="42"/>
      <c r="T359" s="42"/>
    </row>
    <row r="360" spans="1:40">
      <c r="C360" s="42"/>
      <c r="F360" s="45"/>
      <c r="H360" s="45"/>
      <c r="I360" s="45"/>
      <c r="L360" s="45"/>
      <c r="M360" s="45"/>
      <c r="N360" s="46"/>
      <c r="O360" s="46"/>
      <c r="P360" s="164"/>
      <c r="Q360" s="164"/>
      <c r="R360" s="45"/>
      <c r="T360" s="42"/>
      <c r="V360" s="45"/>
      <c r="Y360" s="45"/>
      <c r="AA360" s="45"/>
      <c r="AB360" s="45"/>
      <c r="AC360" s="46"/>
      <c r="AD360" s="46"/>
      <c r="AE360" s="45"/>
      <c r="AF360" s="45"/>
      <c r="AH360" s="46"/>
      <c r="AI360" s="164"/>
      <c r="AJ360" s="164"/>
      <c r="AL360" s="45"/>
      <c r="AM360" s="46"/>
      <c r="AN360" s="46"/>
    </row>
    <row r="361" spans="1:40">
      <c r="F361" s="50"/>
      <c r="H361" s="50"/>
      <c r="I361" s="50"/>
      <c r="J361" s="326"/>
      <c r="K361" s="326"/>
      <c r="L361" s="50"/>
      <c r="M361" s="50"/>
      <c r="N361" s="50"/>
      <c r="O361" s="50"/>
      <c r="P361" s="50"/>
      <c r="Q361" s="50"/>
      <c r="R361" s="50"/>
      <c r="V361" s="50"/>
      <c r="Y361" s="50"/>
      <c r="Z361" s="326"/>
      <c r="AA361" s="50"/>
      <c r="AB361" s="50"/>
      <c r="AC361" s="50"/>
      <c r="AD361" s="50"/>
      <c r="AE361" s="50"/>
      <c r="AF361" s="50"/>
      <c r="AI361" s="50"/>
      <c r="AJ361" s="50"/>
      <c r="AK361" s="111"/>
      <c r="AL361" s="50"/>
    </row>
    <row r="363" spans="1:40">
      <c r="C363" s="42"/>
      <c r="L363" s="45"/>
      <c r="M363" s="45"/>
      <c r="N363" s="45"/>
      <c r="O363" s="45"/>
      <c r="P363" s="45"/>
      <c r="Q363" s="45"/>
      <c r="R363" s="45"/>
      <c r="S363" s="45"/>
      <c r="T363" s="42"/>
      <c r="AA363" s="45"/>
      <c r="AB363" s="45"/>
      <c r="AC363" s="45"/>
      <c r="AD363" s="45"/>
      <c r="AI363" s="45"/>
      <c r="AJ363" s="45"/>
      <c r="AL363" s="45"/>
    </row>
    <row r="364" spans="1:40">
      <c r="A364" s="42"/>
    </row>
    <row r="366" spans="1:40">
      <c r="H366" s="42"/>
      <c r="I366" s="42"/>
      <c r="Y366" s="42"/>
    </row>
    <row r="368" spans="1:40">
      <c r="L368" s="42"/>
      <c r="M368" s="42"/>
      <c r="AA368" s="42"/>
      <c r="AB368" s="42"/>
    </row>
    <row r="369" spans="1:40">
      <c r="R369" s="42"/>
      <c r="AK369" s="110"/>
      <c r="AL369" s="42"/>
    </row>
    <row r="370" spans="1:40">
      <c r="R370" s="42"/>
      <c r="AK370" s="110"/>
      <c r="AL370" s="42"/>
    </row>
    <row r="371" spans="1:40">
      <c r="A371" s="42"/>
      <c r="R371" s="42"/>
      <c r="AK371" s="110"/>
      <c r="AL371" s="42"/>
    </row>
    <row r="372" spans="1:40">
      <c r="L372" s="42"/>
      <c r="M372" s="42"/>
      <c r="AA372" s="42"/>
      <c r="AB372" s="42"/>
    </row>
    <row r="373" spans="1:40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107"/>
      <c r="AH373" s="49"/>
      <c r="AI373" s="49"/>
      <c r="AJ373" s="49"/>
      <c r="AK373" s="107"/>
      <c r="AL373" s="49"/>
      <c r="AM373" s="49"/>
      <c r="AN373" s="49"/>
    </row>
    <row r="374" spans="1:40">
      <c r="L374" s="44"/>
      <c r="M374" s="44"/>
      <c r="N374" s="44"/>
      <c r="O374" s="44"/>
      <c r="R374" s="44"/>
      <c r="AA374" s="44"/>
      <c r="AB374" s="44"/>
      <c r="AC374" s="44"/>
      <c r="AD374" s="44"/>
      <c r="AE374" s="44"/>
      <c r="AF374" s="44"/>
      <c r="AG374" s="102"/>
      <c r="AH374" s="44"/>
      <c r="AK374" s="102"/>
      <c r="AL374" s="44"/>
      <c r="AM374" s="44"/>
      <c r="AN374" s="44"/>
    </row>
    <row r="375" spans="1:40">
      <c r="L375" s="44"/>
      <c r="M375" s="44"/>
      <c r="N375" s="44"/>
      <c r="O375" s="44"/>
      <c r="R375" s="44"/>
      <c r="Z375" s="44"/>
      <c r="AA375" s="44"/>
      <c r="AB375" s="44"/>
      <c r="AC375" s="44"/>
      <c r="AD375" s="44"/>
      <c r="AE375" s="44"/>
      <c r="AF375" s="44"/>
      <c r="AG375" s="102"/>
      <c r="AH375" s="44"/>
      <c r="AK375" s="102"/>
      <c r="AL375" s="44"/>
      <c r="AM375" s="44"/>
      <c r="AN375" s="44"/>
    </row>
    <row r="376" spans="1:40">
      <c r="A376" s="44"/>
      <c r="C376" s="44"/>
      <c r="D376" s="44"/>
      <c r="E376" s="44"/>
      <c r="F376" s="44"/>
      <c r="J376" s="44"/>
      <c r="K376" s="44"/>
      <c r="L376" s="44"/>
      <c r="M376" s="44"/>
      <c r="N376" s="44"/>
      <c r="O376" s="44"/>
      <c r="P376" s="44"/>
      <c r="Q376" s="44"/>
      <c r="R376" s="44"/>
      <c r="T376" s="44"/>
      <c r="U376" s="44"/>
      <c r="V376" s="44"/>
      <c r="Z376" s="44"/>
      <c r="AA376" s="44"/>
      <c r="AB376" s="44"/>
      <c r="AC376" s="44"/>
      <c r="AD376" s="44"/>
      <c r="AE376" s="44"/>
      <c r="AF376" s="44"/>
      <c r="AG376" s="102"/>
      <c r="AH376" s="44"/>
      <c r="AI376" s="44"/>
      <c r="AJ376" s="44"/>
      <c r="AK376" s="102"/>
      <c r="AL376" s="44"/>
      <c r="AM376" s="44"/>
      <c r="AN376" s="44"/>
    </row>
    <row r="377" spans="1:40">
      <c r="A377" s="44"/>
      <c r="C377" s="44"/>
      <c r="D377" s="44"/>
      <c r="E377" s="44"/>
      <c r="F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T377" s="44"/>
      <c r="U377" s="44"/>
      <c r="V377" s="44"/>
      <c r="Y377" s="44"/>
      <c r="Z377" s="44"/>
      <c r="AA377" s="44"/>
      <c r="AB377" s="44"/>
      <c r="AC377" s="44"/>
      <c r="AD377" s="44"/>
      <c r="AE377" s="44"/>
      <c r="AF377" s="44"/>
      <c r="AG377" s="102"/>
      <c r="AH377" s="44"/>
      <c r="AI377" s="44"/>
      <c r="AJ377" s="44"/>
      <c r="AK377" s="102"/>
      <c r="AL377" s="44"/>
      <c r="AM377" s="44"/>
      <c r="AN377" s="44"/>
    </row>
    <row r="378" spans="1:40">
      <c r="C378" s="44"/>
      <c r="D378" s="44"/>
      <c r="E378" s="44"/>
      <c r="F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T378" s="44"/>
      <c r="U378" s="44"/>
      <c r="V378" s="44"/>
      <c r="Y378" s="44"/>
      <c r="Z378" s="44"/>
      <c r="AA378" s="44"/>
      <c r="AB378" s="44"/>
      <c r="AC378" s="44"/>
      <c r="AD378" s="44"/>
      <c r="AE378" s="44"/>
      <c r="AF378" s="44"/>
      <c r="AG378" s="102"/>
      <c r="AH378" s="44"/>
      <c r="AI378" s="44"/>
      <c r="AJ378" s="44"/>
      <c r="AK378" s="102"/>
      <c r="AL378" s="44"/>
      <c r="AM378" s="44"/>
      <c r="AN378" s="44"/>
    </row>
    <row r="379" spans="1:40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107"/>
      <c r="AH379" s="49"/>
      <c r="AI379" s="49"/>
      <c r="AJ379" s="49"/>
      <c r="AK379" s="107"/>
      <c r="AL379" s="49"/>
      <c r="AM379" s="49"/>
      <c r="AN379" s="49"/>
    </row>
    <row r="380" spans="1:40"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Y380" s="44"/>
      <c r="Z380" s="44"/>
      <c r="AA380" s="44"/>
      <c r="AB380" s="44"/>
      <c r="AC380" s="44"/>
      <c r="AD380" s="44"/>
      <c r="AE380" s="44"/>
      <c r="AF380" s="44"/>
      <c r="AG380" s="102"/>
      <c r="AH380" s="44"/>
      <c r="AI380" s="44"/>
      <c r="AJ380" s="44"/>
      <c r="AK380" s="102"/>
      <c r="AL380" s="44"/>
      <c r="AM380" s="44"/>
      <c r="AN380" s="44"/>
    </row>
    <row r="381" spans="1:40">
      <c r="C381" s="42"/>
      <c r="D381" s="42"/>
      <c r="E381" s="42"/>
      <c r="T381" s="42"/>
      <c r="U381" s="42"/>
    </row>
    <row r="382" spans="1:40">
      <c r="D382" s="42"/>
      <c r="E382" s="42"/>
      <c r="U382" s="42"/>
    </row>
    <row r="384" spans="1:40">
      <c r="C384" s="42"/>
      <c r="T384" s="42"/>
    </row>
    <row r="385" spans="3:40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164"/>
      <c r="W385" s="45"/>
      <c r="X385" s="45"/>
      <c r="Y385" s="164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>
      <c r="C386" s="42"/>
      <c r="F386" s="45"/>
      <c r="H386" s="45"/>
      <c r="I386" s="45"/>
      <c r="J386" s="326"/>
      <c r="K386" s="326"/>
      <c r="L386" s="45"/>
      <c r="M386" s="45"/>
      <c r="N386" s="46"/>
      <c r="O386" s="46"/>
      <c r="P386" s="45"/>
      <c r="Q386" s="45"/>
      <c r="R386" s="45"/>
      <c r="T386" s="42"/>
      <c r="V386" s="164"/>
      <c r="W386" s="45"/>
      <c r="X386" s="45"/>
      <c r="Y386" s="164"/>
      <c r="Z386" s="326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164"/>
      <c r="W387" s="45"/>
      <c r="X387" s="45"/>
      <c r="Y387" s="164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164"/>
      <c r="W388" s="45"/>
      <c r="X388" s="45"/>
      <c r="Y388" s="164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164"/>
      <c r="W389" s="45"/>
      <c r="X389" s="45"/>
      <c r="Y389" s="164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>
      <c r="C390" s="42"/>
      <c r="F390" s="45"/>
      <c r="H390" s="45"/>
      <c r="I390" s="45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164"/>
      <c r="W390" s="45"/>
      <c r="X390" s="45"/>
      <c r="Y390" s="164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>
      <c r="C391" s="42"/>
      <c r="F391" s="45"/>
      <c r="H391" s="45"/>
      <c r="I391" s="45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164"/>
      <c r="W391" s="45"/>
      <c r="X391" s="45"/>
      <c r="Y391" s="164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>
      <c r="F392" s="54"/>
      <c r="H392" s="338"/>
      <c r="I392" s="338"/>
      <c r="J392" s="132"/>
      <c r="K392" s="132"/>
      <c r="L392" s="54"/>
      <c r="M392" s="54"/>
      <c r="N392" s="50"/>
      <c r="O392" s="50"/>
      <c r="P392" s="54"/>
      <c r="Q392" s="54"/>
      <c r="R392" s="54"/>
      <c r="V392" s="54"/>
      <c r="W392" s="45"/>
      <c r="X392" s="45"/>
      <c r="Y392" s="54"/>
      <c r="Z392" s="132"/>
      <c r="AA392" s="54"/>
      <c r="AB392" s="54"/>
      <c r="AC392" s="55"/>
      <c r="AD392" s="55"/>
      <c r="AE392" s="54"/>
      <c r="AF392" s="54"/>
      <c r="AH392" s="51"/>
      <c r="AI392" s="54"/>
      <c r="AJ392" s="54"/>
      <c r="AK392" s="107"/>
      <c r="AL392" s="54"/>
      <c r="AM392" s="46"/>
      <c r="AN392" s="46"/>
    </row>
    <row r="393" spans="3:40">
      <c r="C393" s="42"/>
      <c r="F393" s="45"/>
      <c r="H393" s="45"/>
      <c r="I393" s="45"/>
      <c r="J393" s="132"/>
      <c r="K393" s="132"/>
      <c r="L393" s="45"/>
      <c r="M393" s="45"/>
      <c r="N393" s="51"/>
      <c r="O393" s="51"/>
      <c r="P393" s="45"/>
      <c r="Q393" s="45"/>
      <c r="R393" s="45"/>
      <c r="T393" s="44"/>
      <c r="V393" s="45"/>
      <c r="W393" s="45"/>
      <c r="X393" s="45"/>
      <c r="Y393" s="45"/>
      <c r="Z393" s="132"/>
      <c r="AA393" s="45"/>
      <c r="AB393" s="45"/>
      <c r="AC393" s="51"/>
      <c r="AD393" s="51"/>
      <c r="AE393" s="45"/>
      <c r="AF393" s="45"/>
      <c r="AH393" s="51"/>
      <c r="AI393" s="45"/>
      <c r="AJ393" s="45"/>
      <c r="AL393" s="45"/>
      <c r="AM393" s="46"/>
      <c r="AN393" s="46"/>
    </row>
    <row r="394" spans="3:40">
      <c r="F394" s="49"/>
      <c r="H394" s="49"/>
      <c r="I394" s="49"/>
      <c r="L394" s="49"/>
      <c r="M394" s="49"/>
      <c r="N394" s="55"/>
      <c r="O394" s="55"/>
      <c r="P394" s="54"/>
      <c r="Q394" s="54"/>
      <c r="R394" s="54"/>
      <c r="V394" s="54"/>
      <c r="Y394" s="54"/>
      <c r="Z394" s="326"/>
      <c r="AA394" s="54"/>
      <c r="AB394" s="54"/>
      <c r="AC394" s="54"/>
      <c r="AD394" s="54"/>
      <c r="AE394" s="54"/>
      <c r="AF394" s="54"/>
      <c r="AI394" s="54"/>
      <c r="AJ394" s="54"/>
      <c r="AK394" s="107"/>
      <c r="AL394" s="54"/>
      <c r="AM394" s="55"/>
      <c r="AN394" s="55"/>
    </row>
    <row r="399" spans="3:40">
      <c r="N399" s="45"/>
      <c r="O399" s="45"/>
      <c r="P399" s="45"/>
      <c r="Q399" s="45"/>
      <c r="R399" s="45"/>
      <c r="V399" s="45"/>
      <c r="Y399" s="45"/>
      <c r="Z399" s="47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>
      <c r="C400" s="42"/>
      <c r="D400" s="42"/>
      <c r="E400" s="42"/>
      <c r="J400" s="56"/>
      <c r="K400" s="56"/>
      <c r="T400" s="42"/>
      <c r="U400" s="42"/>
      <c r="Z400" s="56"/>
      <c r="AE400" s="45"/>
      <c r="AF400" s="45"/>
      <c r="AI400" s="45"/>
      <c r="AJ400" s="45"/>
      <c r="AL400" s="45"/>
      <c r="AM400" s="46"/>
      <c r="AN400" s="46"/>
    </row>
    <row r="401" spans="1:40">
      <c r="D401" s="42"/>
      <c r="E401" s="42"/>
      <c r="F401" s="45"/>
      <c r="H401" s="45"/>
      <c r="I401" s="45"/>
      <c r="J401" s="132"/>
      <c r="K401" s="132"/>
      <c r="L401" s="45"/>
      <c r="M401" s="45"/>
      <c r="N401" s="46"/>
      <c r="O401" s="46"/>
      <c r="P401" s="45"/>
      <c r="Q401" s="45"/>
      <c r="R401" s="45"/>
      <c r="U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1:40">
      <c r="F402" s="45"/>
      <c r="H402" s="45"/>
      <c r="I402" s="45"/>
      <c r="J402" s="326"/>
      <c r="K402" s="326"/>
      <c r="L402" s="45"/>
      <c r="M402" s="45"/>
      <c r="N402" s="45"/>
      <c r="O402" s="45"/>
      <c r="P402" s="45"/>
      <c r="Q402" s="45"/>
      <c r="R402" s="45"/>
      <c r="V402" s="45"/>
      <c r="Y402" s="45"/>
      <c r="Z402" s="326"/>
      <c r="AA402" s="45"/>
      <c r="AB402" s="45"/>
      <c r="AC402" s="45"/>
      <c r="AD402" s="45"/>
      <c r="AE402" s="45"/>
      <c r="AF402" s="45"/>
      <c r="AH402" s="51"/>
      <c r="AI402" s="164"/>
      <c r="AJ402" s="164"/>
      <c r="AL402" s="45"/>
      <c r="AM402" s="46"/>
      <c r="AN402" s="46"/>
    </row>
    <row r="403" spans="1:40">
      <c r="C403" s="42"/>
      <c r="F403" s="164"/>
      <c r="H403" s="164"/>
      <c r="I403" s="164"/>
      <c r="J403" s="325"/>
      <c r="K403" s="325"/>
      <c r="L403" s="45"/>
      <c r="M403" s="45"/>
      <c r="N403" s="46"/>
      <c r="O403" s="46"/>
      <c r="P403" s="45"/>
      <c r="Q403" s="45"/>
      <c r="R403" s="45"/>
      <c r="T403" s="42"/>
      <c r="V403" s="164"/>
      <c r="Y403" s="164"/>
      <c r="Z403" s="325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1:40">
      <c r="F404" s="49"/>
      <c r="H404" s="49"/>
      <c r="I404" s="49"/>
      <c r="L404" s="49"/>
      <c r="M404" s="49"/>
      <c r="N404" s="49"/>
      <c r="O404" s="49"/>
      <c r="P404" s="49"/>
      <c r="Q404" s="49"/>
      <c r="R404" s="49"/>
      <c r="V404" s="49"/>
      <c r="Y404" s="49"/>
      <c r="AA404" s="49"/>
      <c r="AB404" s="49"/>
      <c r="AC404" s="49"/>
      <c r="AD404" s="49"/>
      <c r="AE404" s="49"/>
      <c r="AF404" s="49"/>
      <c r="AG404" s="107"/>
      <c r="AH404" s="49"/>
      <c r="AI404" s="49"/>
      <c r="AJ404" s="49"/>
      <c r="AK404" s="107"/>
      <c r="AL404" s="49"/>
      <c r="AM404" s="49"/>
      <c r="AN404" s="49"/>
    </row>
    <row r="405" spans="1:40">
      <c r="C405" s="44"/>
      <c r="F405" s="164"/>
      <c r="H405" s="164"/>
      <c r="I405" s="164"/>
      <c r="J405" s="316"/>
      <c r="K405" s="316"/>
      <c r="L405" s="164"/>
      <c r="M405" s="164"/>
      <c r="N405" s="46"/>
      <c r="O405" s="46"/>
      <c r="P405" s="164"/>
      <c r="Q405" s="164"/>
      <c r="R405" s="164"/>
      <c r="T405" s="44"/>
      <c r="V405" s="45"/>
      <c r="Y405" s="45"/>
      <c r="Z405" s="47"/>
      <c r="AA405" s="45"/>
      <c r="AB405" s="45"/>
      <c r="AC405" s="46"/>
      <c r="AD405" s="46"/>
      <c r="AH405" s="51"/>
      <c r="AI405" s="45"/>
      <c r="AJ405" s="45"/>
      <c r="AL405" s="45"/>
      <c r="AM405" s="46"/>
      <c r="AN405" s="46"/>
    </row>
    <row r="406" spans="1:40">
      <c r="F406" s="54"/>
      <c r="H406" s="54"/>
      <c r="I406" s="54"/>
      <c r="J406" s="326"/>
      <c r="K406" s="326"/>
      <c r="L406" s="54"/>
      <c r="M406" s="54"/>
      <c r="N406" s="54"/>
      <c r="O406" s="54"/>
      <c r="P406" s="54"/>
      <c r="Q406" s="54"/>
      <c r="R406" s="54"/>
      <c r="V406" s="49"/>
      <c r="Y406" s="49"/>
      <c r="AA406" s="49"/>
      <c r="AB406" s="49"/>
      <c r="AC406" s="49"/>
      <c r="AD406" s="49"/>
      <c r="AE406" s="49"/>
      <c r="AF406" s="49"/>
      <c r="AG406" s="107"/>
      <c r="AH406" s="49"/>
      <c r="AI406" s="49"/>
      <c r="AJ406" s="49"/>
      <c r="AK406" s="107"/>
      <c r="AL406" s="49"/>
      <c r="AM406" s="49"/>
      <c r="AN406" s="49"/>
    </row>
    <row r="407" spans="1:40">
      <c r="F407" s="164"/>
      <c r="H407" s="164"/>
      <c r="I407" s="164"/>
      <c r="J407" s="336"/>
      <c r="K407" s="336"/>
      <c r="L407" s="45"/>
      <c r="M407" s="45"/>
      <c r="N407" s="46"/>
      <c r="O407" s="46"/>
      <c r="P407" s="45"/>
      <c r="Q407" s="45"/>
      <c r="R407" s="45"/>
    </row>
    <row r="408" spans="1:40">
      <c r="A408" s="42"/>
      <c r="F408" s="164"/>
      <c r="H408" s="164"/>
      <c r="I408" s="164"/>
      <c r="J408" s="316"/>
      <c r="K408" s="316"/>
      <c r="L408" s="45"/>
      <c r="M408" s="45"/>
      <c r="N408" s="46"/>
      <c r="O408" s="46"/>
      <c r="P408" s="45"/>
      <c r="Q408" s="45"/>
      <c r="R408" s="45"/>
    </row>
    <row r="409" spans="1:40">
      <c r="F409" s="164"/>
      <c r="H409" s="164"/>
      <c r="I409" s="164"/>
      <c r="J409" s="316"/>
      <c r="K409" s="316"/>
      <c r="L409" s="45"/>
      <c r="M409" s="45"/>
      <c r="N409" s="46"/>
      <c r="O409" s="46"/>
      <c r="P409" s="45"/>
      <c r="Q409" s="45"/>
      <c r="R409" s="45"/>
    </row>
    <row r="410" spans="1:40">
      <c r="A410" s="42"/>
    </row>
    <row r="413" spans="1:40">
      <c r="H413" s="42"/>
      <c r="I413" s="42"/>
      <c r="Y413" s="42"/>
    </row>
    <row r="415" spans="1:40">
      <c r="L415" s="42"/>
      <c r="M415" s="42"/>
      <c r="AA415" s="42"/>
      <c r="AB415" s="42"/>
    </row>
    <row r="416" spans="1:40">
      <c r="R416" s="42"/>
      <c r="AK416" s="110"/>
      <c r="AL416" s="42"/>
    </row>
    <row r="417" spans="1:40">
      <c r="R417" s="42"/>
      <c r="AK417" s="110"/>
      <c r="AL417" s="42"/>
    </row>
    <row r="418" spans="1:40">
      <c r="A418" s="42"/>
      <c r="R418" s="42"/>
      <c r="AK418" s="110"/>
      <c r="AL418" s="42"/>
    </row>
    <row r="419" spans="1:40">
      <c r="L419" s="42"/>
      <c r="M419" s="42"/>
      <c r="AA419" s="42"/>
      <c r="AB419" s="42"/>
    </row>
    <row r="420" spans="1:40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107"/>
      <c r="AH420" s="49"/>
      <c r="AI420" s="49"/>
      <c r="AJ420" s="49"/>
      <c r="AK420" s="107"/>
      <c r="AL420" s="49"/>
      <c r="AM420" s="49"/>
      <c r="AN420" s="49"/>
    </row>
    <row r="421" spans="1:40">
      <c r="L421" s="44"/>
      <c r="M421" s="44"/>
      <c r="N421" s="44"/>
      <c r="O421" s="44"/>
      <c r="R421" s="44"/>
      <c r="AA421" s="44"/>
      <c r="AB421" s="44"/>
      <c r="AC421" s="44"/>
      <c r="AD421" s="44"/>
      <c r="AE421" s="44"/>
      <c r="AF421" s="44"/>
      <c r="AG421" s="102"/>
      <c r="AH421" s="44"/>
      <c r="AK421" s="102"/>
      <c r="AL421" s="44"/>
      <c r="AM421" s="44"/>
      <c r="AN421" s="44"/>
    </row>
    <row r="422" spans="1:40">
      <c r="L422" s="44"/>
      <c r="M422" s="44"/>
      <c r="N422" s="44"/>
      <c r="O422" s="44"/>
      <c r="R422" s="44"/>
      <c r="Z422" s="44"/>
      <c r="AA422" s="44"/>
      <c r="AB422" s="44"/>
      <c r="AC422" s="44"/>
      <c r="AD422" s="44"/>
      <c r="AE422" s="44"/>
      <c r="AF422" s="44"/>
      <c r="AG422" s="102"/>
      <c r="AH422" s="44"/>
      <c r="AK422" s="102"/>
      <c r="AL422" s="44"/>
      <c r="AM422" s="44"/>
      <c r="AN422" s="44"/>
    </row>
    <row r="423" spans="1:40">
      <c r="A423" s="44"/>
      <c r="C423" s="44"/>
      <c r="D423" s="44"/>
      <c r="E423" s="44"/>
      <c r="F423" s="44"/>
      <c r="J423" s="44"/>
      <c r="K423" s="44"/>
      <c r="L423" s="44"/>
      <c r="M423" s="44"/>
      <c r="N423" s="44"/>
      <c r="O423" s="44"/>
      <c r="P423" s="44"/>
      <c r="Q423" s="44"/>
      <c r="R423" s="44"/>
      <c r="T423" s="44"/>
      <c r="U423" s="44"/>
      <c r="V423" s="44"/>
      <c r="Z423" s="44"/>
      <c r="AA423" s="44"/>
      <c r="AB423" s="44"/>
      <c r="AC423" s="44"/>
      <c r="AD423" s="44"/>
      <c r="AE423" s="44"/>
      <c r="AF423" s="44"/>
      <c r="AG423" s="102"/>
      <c r="AH423" s="44"/>
      <c r="AI423" s="44"/>
      <c r="AJ423" s="44"/>
      <c r="AK423" s="102"/>
      <c r="AL423" s="44"/>
      <c r="AM423" s="44"/>
      <c r="AN423" s="44"/>
    </row>
    <row r="424" spans="1:40">
      <c r="A424" s="44"/>
      <c r="C424" s="44"/>
      <c r="D424" s="44"/>
      <c r="E424" s="44"/>
      <c r="F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T424" s="44"/>
      <c r="U424" s="44"/>
      <c r="V424" s="44"/>
      <c r="Y424" s="44"/>
      <c r="Z424" s="44"/>
      <c r="AA424" s="44"/>
      <c r="AB424" s="44"/>
      <c r="AC424" s="44"/>
      <c r="AD424" s="44"/>
      <c r="AE424" s="44"/>
      <c r="AF424" s="44"/>
      <c r="AG424" s="102"/>
      <c r="AH424" s="44"/>
      <c r="AI424" s="44"/>
      <c r="AJ424" s="44"/>
      <c r="AK424" s="102"/>
      <c r="AL424" s="44"/>
      <c r="AM424" s="44"/>
      <c r="AN424" s="44"/>
    </row>
    <row r="425" spans="1:40">
      <c r="C425" s="44"/>
      <c r="D425" s="44"/>
      <c r="E425" s="44"/>
      <c r="F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T425" s="44"/>
      <c r="U425" s="44"/>
      <c r="V425" s="44"/>
      <c r="Y425" s="44"/>
      <c r="Z425" s="44"/>
      <c r="AA425" s="44"/>
      <c r="AB425" s="44"/>
      <c r="AC425" s="44"/>
      <c r="AD425" s="44"/>
      <c r="AE425" s="44"/>
      <c r="AF425" s="44"/>
      <c r="AG425" s="102"/>
      <c r="AH425" s="44"/>
      <c r="AI425" s="44"/>
      <c r="AJ425" s="44"/>
      <c r="AK425" s="102"/>
      <c r="AL425" s="44"/>
      <c r="AM425" s="44"/>
      <c r="AN425" s="44"/>
    </row>
    <row r="426" spans="1:40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107"/>
      <c r="AH426" s="49"/>
      <c r="AI426" s="49"/>
      <c r="AJ426" s="49"/>
      <c r="AK426" s="107"/>
      <c r="AL426" s="49"/>
      <c r="AM426" s="49"/>
      <c r="AN426" s="49"/>
    </row>
    <row r="427" spans="1:40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Y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>
      <c r="C428" s="42"/>
      <c r="D428" s="42"/>
      <c r="E428" s="42"/>
      <c r="T428" s="42"/>
      <c r="U428" s="42"/>
    </row>
    <row r="430" spans="1:40">
      <c r="C430" s="42"/>
      <c r="T430" s="42"/>
    </row>
    <row r="431" spans="1:40">
      <c r="C431" s="42"/>
      <c r="F431" s="164"/>
      <c r="H431" s="164"/>
      <c r="I431" s="164"/>
      <c r="J431" s="326"/>
      <c r="K431" s="326"/>
      <c r="L431" s="45"/>
      <c r="M431" s="45"/>
      <c r="N431" s="46"/>
      <c r="O431" s="46"/>
      <c r="P431" s="45"/>
      <c r="Q431" s="45"/>
      <c r="R431" s="45"/>
      <c r="T431" s="42"/>
      <c r="V431" s="164"/>
      <c r="Y431" s="164"/>
      <c r="Z431" s="326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1:40">
      <c r="C432" s="42"/>
      <c r="T432" s="42"/>
    </row>
    <row r="433" spans="3:40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>
      <c r="C436" s="42"/>
      <c r="F436" s="164"/>
      <c r="H436" s="164"/>
      <c r="I436" s="164"/>
      <c r="J436" s="132"/>
      <c r="K436" s="132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132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3:40">
      <c r="C437" s="42"/>
      <c r="J437" s="56"/>
      <c r="K437" s="56"/>
      <c r="T437" s="42"/>
      <c r="Z437" s="56"/>
    </row>
    <row r="438" spans="3:40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>
      <c r="C441" s="42"/>
      <c r="J441" s="56"/>
      <c r="K441" s="56"/>
      <c r="T441" s="42"/>
      <c r="Z441" s="56"/>
    </row>
    <row r="442" spans="3:40">
      <c r="C442" s="42"/>
      <c r="F442" s="164"/>
      <c r="H442" s="164"/>
      <c r="I442" s="164"/>
      <c r="J442" s="132"/>
      <c r="K442" s="132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132"/>
      <c r="AA442" s="45"/>
      <c r="AB442" s="45"/>
      <c r="AC442" s="46"/>
      <c r="AD442" s="46"/>
      <c r="AE442" s="45"/>
      <c r="AF442" s="45"/>
      <c r="AH442" s="51"/>
      <c r="AI442" s="45"/>
      <c r="AJ442" s="45"/>
      <c r="AL442" s="45"/>
      <c r="AM442" s="46"/>
      <c r="AN442" s="46"/>
    </row>
    <row r="443" spans="3:40">
      <c r="C443" s="42"/>
      <c r="F443" s="164"/>
      <c r="H443" s="164"/>
      <c r="I443" s="164"/>
      <c r="J443" s="132"/>
      <c r="K443" s="132"/>
      <c r="L443" s="45"/>
      <c r="M443" s="45"/>
      <c r="N443" s="46"/>
      <c r="O443" s="46"/>
      <c r="P443" s="45"/>
      <c r="Q443" s="45"/>
      <c r="R443" s="45"/>
      <c r="T443" s="42"/>
      <c r="V443" s="45"/>
      <c r="Y443" s="45"/>
      <c r="Z443" s="132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>
      <c r="C444" s="42"/>
      <c r="J444" s="56"/>
      <c r="K444" s="56"/>
      <c r="T444" s="42"/>
      <c r="Z444" s="56"/>
    </row>
    <row r="445" spans="3:40">
      <c r="C445" s="42"/>
      <c r="F445" s="164"/>
      <c r="H445" s="164"/>
      <c r="I445" s="164"/>
      <c r="J445" s="132"/>
      <c r="K445" s="132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132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>
      <c r="C446" s="42"/>
      <c r="F446" s="164"/>
      <c r="H446" s="164"/>
      <c r="I446" s="164"/>
      <c r="J446" s="132"/>
      <c r="K446" s="132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132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>
      <c r="C447" s="42"/>
      <c r="F447" s="164"/>
      <c r="H447" s="164"/>
      <c r="I447" s="164"/>
      <c r="J447" s="132"/>
      <c r="K447" s="132"/>
      <c r="L447" s="45"/>
      <c r="M447" s="45"/>
      <c r="N447" s="46"/>
      <c r="O447" s="46"/>
      <c r="P447" s="45"/>
      <c r="Q447" s="45"/>
      <c r="R447" s="45"/>
      <c r="T447" s="42"/>
      <c r="V447" s="45"/>
      <c r="Y447" s="45"/>
      <c r="Z447" s="132"/>
      <c r="AA447" s="45"/>
      <c r="AB447" s="45"/>
      <c r="AC447" s="46"/>
      <c r="AD447" s="46"/>
      <c r="AE447" s="45"/>
      <c r="AF447" s="45"/>
      <c r="AH447" s="51"/>
      <c r="AI447" s="45"/>
      <c r="AJ447" s="45"/>
      <c r="AL447" s="45"/>
      <c r="AM447" s="46"/>
      <c r="AN447" s="46"/>
    </row>
    <row r="448" spans="3:40">
      <c r="F448" s="50"/>
      <c r="H448" s="50"/>
      <c r="I448" s="50"/>
      <c r="J448" s="132"/>
      <c r="K448" s="132"/>
      <c r="L448" s="50"/>
      <c r="M448" s="50"/>
      <c r="N448" s="50"/>
      <c r="O448" s="50"/>
      <c r="P448" s="50"/>
      <c r="Q448" s="50"/>
      <c r="R448" s="50"/>
      <c r="V448" s="50"/>
      <c r="Y448" s="50"/>
      <c r="Z448" s="132"/>
      <c r="AA448" s="50"/>
      <c r="AB448" s="50"/>
      <c r="AC448" s="50"/>
      <c r="AD448" s="50"/>
      <c r="AE448" s="50"/>
      <c r="AF448" s="50"/>
      <c r="AI448" s="50"/>
      <c r="AJ448" s="50"/>
      <c r="AK448" s="111"/>
      <c r="AL448" s="50"/>
    </row>
    <row r="449" spans="3:40">
      <c r="C449" s="44"/>
      <c r="F449" s="45"/>
      <c r="H449" s="45"/>
      <c r="I449" s="45"/>
      <c r="J449" s="56"/>
      <c r="K449" s="56"/>
      <c r="L449" s="45"/>
      <c r="M449" s="45"/>
      <c r="N449" s="51"/>
      <c r="O449" s="51"/>
      <c r="P449" s="45"/>
      <c r="Q449" s="45"/>
      <c r="R449" s="45"/>
      <c r="T449" s="44"/>
      <c r="V449" s="45"/>
      <c r="Y449" s="45"/>
      <c r="Z449" s="56"/>
      <c r="AA449" s="45"/>
      <c r="AB449" s="45"/>
      <c r="AC449" s="45"/>
      <c r="AD449" s="45"/>
      <c r="AE449" s="45"/>
      <c r="AF449" s="45"/>
      <c r="AH449" s="51"/>
      <c r="AI449" s="45"/>
      <c r="AJ449" s="45"/>
      <c r="AL449" s="45"/>
      <c r="AM449" s="46"/>
      <c r="AN449" s="46"/>
    </row>
    <row r="450" spans="3:40">
      <c r="F450" s="50"/>
      <c r="H450" s="50"/>
      <c r="I450" s="50"/>
      <c r="J450" s="132"/>
      <c r="K450" s="132"/>
      <c r="L450" s="50"/>
      <c r="M450" s="50"/>
      <c r="N450" s="50"/>
      <c r="O450" s="50"/>
      <c r="P450" s="50"/>
      <c r="Q450" s="50"/>
      <c r="R450" s="50"/>
      <c r="V450" s="50"/>
      <c r="Y450" s="50"/>
      <c r="Z450" s="132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</row>
    <row r="451" spans="3:40">
      <c r="C451" s="42"/>
      <c r="J451" s="56"/>
      <c r="K451" s="56"/>
      <c r="T451" s="42"/>
      <c r="Z451" s="56"/>
    </row>
    <row r="452" spans="3:40">
      <c r="C452" s="42"/>
      <c r="J452" s="56"/>
      <c r="K452" s="56"/>
      <c r="T452" s="42"/>
      <c r="Z452" s="56"/>
    </row>
    <row r="453" spans="3:40">
      <c r="C453" s="42"/>
      <c r="F453" s="164"/>
      <c r="H453" s="164"/>
      <c r="I453" s="164"/>
      <c r="J453" s="132"/>
      <c r="K453" s="132"/>
      <c r="L453" s="45"/>
      <c r="M453" s="45"/>
      <c r="N453" s="46"/>
      <c r="O453" s="46"/>
      <c r="P453" s="45"/>
      <c r="Q453" s="45"/>
      <c r="R453" s="45"/>
      <c r="T453" s="42"/>
      <c r="V453" s="45"/>
      <c r="Y453" s="45"/>
      <c r="Z453" s="132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3:40">
      <c r="C454" s="42"/>
      <c r="F454" s="164"/>
      <c r="H454" s="164"/>
      <c r="I454" s="164"/>
      <c r="J454" s="132"/>
      <c r="K454" s="132"/>
      <c r="L454" s="45"/>
      <c r="M454" s="45"/>
      <c r="N454" s="46"/>
      <c r="O454" s="46"/>
      <c r="P454" s="45"/>
      <c r="Q454" s="45"/>
      <c r="R454" s="45"/>
      <c r="T454" s="42"/>
      <c r="V454" s="45"/>
      <c r="Y454" s="45"/>
      <c r="Z454" s="132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>
      <c r="C455" s="42"/>
      <c r="F455" s="164"/>
      <c r="H455" s="164"/>
      <c r="I455" s="164"/>
      <c r="J455" s="132"/>
      <c r="K455" s="132"/>
      <c r="L455" s="45"/>
      <c r="M455" s="45"/>
      <c r="N455" s="46"/>
      <c r="O455" s="46"/>
      <c r="P455" s="45"/>
      <c r="Q455" s="45"/>
      <c r="R455" s="45"/>
      <c r="T455" s="42"/>
      <c r="V455" s="45"/>
      <c r="Y455" s="45"/>
      <c r="Z455" s="132"/>
      <c r="AA455" s="45"/>
      <c r="AB455" s="45"/>
      <c r="AC455" s="46"/>
      <c r="AD455" s="46"/>
      <c r="AE455" s="45"/>
      <c r="AF455" s="45"/>
      <c r="AH455" s="51"/>
      <c r="AI455" s="45"/>
      <c r="AJ455" s="45"/>
      <c r="AL455" s="45"/>
      <c r="AM455" s="46"/>
      <c r="AN455" s="46"/>
    </row>
    <row r="456" spans="3:40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46"/>
      <c r="AN456" s="46"/>
    </row>
    <row r="457" spans="3:40">
      <c r="C457" s="42"/>
      <c r="F457" s="164"/>
      <c r="H457" s="164"/>
      <c r="I457" s="164"/>
      <c r="J457" s="132"/>
      <c r="K457" s="132"/>
      <c r="L457" s="45"/>
      <c r="M457" s="45"/>
      <c r="N457" s="46"/>
      <c r="O457" s="46"/>
      <c r="P457" s="45"/>
      <c r="Q457" s="45"/>
      <c r="R457" s="45"/>
      <c r="T457" s="42"/>
      <c r="V457" s="45"/>
      <c r="Y457" s="45"/>
      <c r="Z457" s="132"/>
      <c r="AA457" s="45"/>
      <c r="AB457" s="45"/>
      <c r="AC457" s="46"/>
      <c r="AD457" s="46"/>
      <c r="AE457" s="45"/>
      <c r="AF457" s="45"/>
      <c r="AH457" s="51"/>
      <c r="AI457" s="45"/>
      <c r="AJ457" s="45"/>
      <c r="AL457" s="45"/>
      <c r="AM457" s="46"/>
      <c r="AN457" s="46"/>
    </row>
    <row r="458" spans="3:40">
      <c r="C458" s="42"/>
      <c r="F458" s="164"/>
      <c r="H458" s="164"/>
      <c r="I458" s="164"/>
      <c r="J458" s="132"/>
      <c r="K458" s="132"/>
      <c r="L458" s="45"/>
      <c r="M458" s="45"/>
      <c r="N458" s="46"/>
      <c r="O458" s="46"/>
      <c r="P458" s="45"/>
      <c r="Q458" s="45"/>
      <c r="R458" s="45"/>
      <c r="T458" s="42"/>
      <c r="V458" s="45"/>
      <c r="Y458" s="45"/>
      <c r="Z458" s="132"/>
      <c r="AA458" s="45"/>
      <c r="AB458" s="45"/>
      <c r="AC458" s="46"/>
      <c r="AD458" s="46"/>
      <c r="AE458" s="45"/>
      <c r="AF458" s="45"/>
      <c r="AH458" s="51"/>
      <c r="AI458" s="45"/>
      <c r="AJ458" s="45"/>
      <c r="AL458" s="45"/>
      <c r="AM458" s="46"/>
      <c r="AN458" s="46"/>
    </row>
    <row r="459" spans="3:40">
      <c r="C459" s="42"/>
      <c r="F459" s="164"/>
      <c r="H459" s="164"/>
      <c r="I459" s="164"/>
      <c r="J459" s="132"/>
      <c r="K459" s="132"/>
      <c r="L459" s="45"/>
      <c r="M459" s="45"/>
      <c r="N459" s="46"/>
      <c r="O459" s="46"/>
      <c r="P459" s="45"/>
      <c r="Q459" s="45"/>
      <c r="R459" s="45"/>
      <c r="T459" s="42"/>
      <c r="V459" s="45"/>
      <c r="Y459" s="45"/>
      <c r="Z459" s="132"/>
      <c r="AA459" s="45"/>
      <c r="AB459" s="45"/>
      <c r="AC459" s="46"/>
      <c r="AD459" s="46"/>
      <c r="AE459" s="45"/>
      <c r="AF459" s="45"/>
      <c r="AH459" s="51"/>
      <c r="AI459" s="45"/>
      <c r="AJ459" s="45"/>
      <c r="AL459" s="45"/>
      <c r="AM459" s="46"/>
      <c r="AN459" s="46"/>
    </row>
    <row r="460" spans="3:40">
      <c r="C460" s="42"/>
      <c r="J460" s="56"/>
      <c r="K460" s="56"/>
      <c r="T460" s="42"/>
      <c r="Z460" s="56"/>
    </row>
    <row r="461" spans="3:40">
      <c r="C461" s="42"/>
      <c r="F461" s="164"/>
      <c r="H461" s="164"/>
      <c r="I461" s="164"/>
      <c r="J461" s="132"/>
      <c r="K461" s="132"/>
      <c r="L461" s="45"/>
      <c r="M461" s="45"/>
      <c r="N461" s="46"/>
      <c r="O461" s="46"/>
      <c r="P461" s="45"/>
      <c r="Q461" s="45"/>
      <c r="R461" s="45"/>
      <c r="T461" s="42"/>
      <c r="V461" s="45"/>
      <c r="Y461" s="45"/>
      <c r="Z461" s="132"/>
      <c r="AA461" s="45"/>
      <c r="AB461" s="45"/>
      <c r="AC461" s="46"/>
      <c r="AD461" s="46"/>
      <c r="AE461" s="45"/>
      <c r="AF461" s="45"/>
      <c r="AH461" s="51"/>
      <c r="AI461" s="45"/>
      <c r="AJ461" s="45"/>
      <c r="AL461" s="45"/>
      <c r="AM461" s="46"/>
      <c r="AN461" s="46"/>
    </row>
    <row r="462" spans="3:40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3:40">
      <c r="C463" s="42"/>
      <c r="F463" s="164"/>
      <c r="H463" s="164"/>
      <c r="I463" s="164"/>
      <c r="J463" s="132"/>
      <c r="K463" s="132"/>
      <c r="L463" s="45"/>
      <c r="M463" s="45"/>
      <c r="N463" s="46"/>
      <c r="O463" s="46"/>
      <c r="P463" s="45"/>
      <c r="Q463" s="45"/>
      <c r="R463" s="45"/>
      <c r="T463" s="42"/>
      <c r="V463" s="45"/>
      <c r="Y463" s="45"/>
      <c r="Z463" s="132"/>
      <c r="AA463" s="45"/>
      <c r="AB463" s="45"/>
      <c r="AC463" s="46"/>
      <c r="AD463" s="46"/>
      <c r="AE463" s="45"/>
      <c r="AF463" s="45"/>
      <c r="AH463" s="51"/>
      <c r="AI463" s="45"/>
      <c r="AJ463" s="45"/>
      <c r="AL463" s="45"/>
      <c r="AM463" s="46"/>
      <c r="AN463" s="46"/>
    </row>
    <row r="464" spans="3:40">
      <c r="C464" s="42"/>
      <c r="F464" s="164"/>
      <c r="H464" s="164"/>
      <c r="I464" s="164"/>
      <c r="J464" s="132"/>
      <c r="K464" s="132"/>
      <c r="L464" s="45"/>
      <c r="M464" s="45"/>
      <c r="N464" s="46"/>
      <c r="O464" s="46"/>
      <c r="P464" s="45"/>
      <c r="Q464" s="45"/>
      <c r="R464" s="45"/>
      <c r="T464" s="42"/>
      <c r="V464" s="45"/>
      <c r="Y464" s="45"/>
      <c r="Z464" s="132"/>
      <c r="AA464" s="45"/>
      <c r="AB464" s="45"/>
      <c r="AC464" s="46"/>
      <c r="AD464" s="46"/>
      <c r="AE464" s="45"/>
      <c r="AF464" s="45"/>
      <c r="AH464" s="51"/>
      <c r="AI464" s="45"/>
      <c r="AJ464" s="45"/>
      <c r="AL464" s="45"/>
      <c r="AM464" s="46"/>
      <c r="AN464" s="46"/>
    </row>
    <row r="465" spans="3:40">
      <c r="C465" s="42"/>
      <c r="J465" s="56"/>
      <c r="K465" s="56"/>
      <c r="T465" s="42"/>
      <c r="Z465" s="56"/>
    </row>
    <row r="466" spans="3:40">
      <c r="C466" s="42"/>
      <c r="F466" s="164"/>
      <c r="H466" s="164"/>
      <c r="I466" s="164"/>
      <c r="J466" s="132"/>
      <c r="K466" s="132"/>
      <c r="L466" s="45"/>
      <c r="M466" s="45"/>
      <c r="N466" s="46"/>
      <c r="O466" s="46"/>
      <c r="P466" s="45"/>
      <c r="Q466" s="45"/>
      <c r="R466" s="45"/>
      <c r="T466" s="42"/>
      <c r="V466" s="45"/>
      <c r="Y466" s="45"/>
      <c r="Z466" s="132"/>
      <c r="AA466" s="45"/>
      <c r="AB466" s="45"/>
      <c r="AC466" s="46"/>
      <c r="AD466" s="46"/>
      <c r="AE466" s="45"/>
      <c r="AF466" s="45"/>
      <c r="AH466" s="51"/>
      <c r="AI466" s="45"/>
      <c r="AJ466" s="45"/>
      <c r="AL466" s="45"/>
      <c r="AM466" s="46"/>
      <c r="AN466" s="46"/>
    </row>
    <row r="467" spans="3:40">
      <c r="C467" s="42"/>
      <c r="F467" s="164"/>
      <c r="H467" s="164"/>
      <c r="I467" s="164"/>
      <c r="J467" s="132"/>
      <c r="K467" s="132"/>
      <c r="L467" s="45"/>
      <c r="M467" s="45"/>
      <c r="N467" s="46"/>
      <c r="O467" s="46"/>
      <c r="P467" s="45"/>
      <c r="Q467" s="45"/>
      <c r="R467" s="45"/>
      <c r="T467" s="42"/>
      <c r="V467" s="45"/>
      <c r="Y467" s="45"/>
      <c r="Z467" s="132"/>
      <c r="AA467" s="45"/>
      <c r="AB467" s="45"/>
      <c r="AC467" s="46"/>
      <c r="AD467" s="46"/>
      <c r="AE467" s="45"/>
      <c r="AF467" s="45"/>
      <c r="AH467" s="51"/>
      <c r="AI467" s="45"/>
      <c r="AJ467" s="45"/>
      <c r="AL467" s="45"/>
      <c r="AM467" s="46"/>
      <c r="AN467" s="46"/>
    </row>
    <row r="468" spans="3:40">
      <c r="C468" s="42"/>
      <c r="F468" s="164"/>
      <c r="H468" s="164"/>
      <c r="I468" s="164"/>
      <c r="J468" s="132"/>
      <c r="K468" s="132"/>
      <c r="L468" s="45"/>
      <c r="M468" s="45"/>
      <c r="N468" s="46"/>
      <c r="O468" s="46"/>
      <c r="P468" s="45"/>
      <c r="Q468" s="45"/>
      <c r="R468" s="45"/>
      <c r="T468" s="42"/>
      <c r="V468" s="45"/>
      <c r="Y468" s="45"/>
      <c r="Z468" s="132"/>
      <c r="AA468" s="45"/>
      <c r="AB468" s="45"/>
      <c r="AC468" s="46"/>
      <c r="AD468" s="46"/>
      <c r="AE468" s="45"/>
      <c r="AF468" s="45"/>
      <c r="AH468" s="51"/>
      <c r="AI468" s="45"/>
      <c r="AJ468" s="45"/>
      <c r="AL468" s="45"/>
      <c r="AM468" s="46"/>
      <c r="AN468" s="46"/>
    </row>
    <row r="469" spans="3:40">
      <c r="C469" s="42"/>
      <c r="F469" s="164"/>
      <c r="H469" s="164"/>
      <c r="I469" s="164"/>
      <c r="J469" s="132"/>
      <c r="K469" s="132"/>
      <c r="L469" s="45"/>
      <c r="M469" s="45"/>
      <c r="N469" s="46"/>
      <c r="O469" s="46"/>
      <c r="P469" s="45"/>
      <c r="Q469" s="45"/>
      <c r="R469" s="45"/>
      <c r="T469" s="42"/>
      <c r="V469" s="45"/>
      <c r="Y469" s="45"/>
      <c r="Z469" s="132"/>
      <c r="AA469" s="45"/>
      <c r="AB469" s="45"/>
      <c r="AC469" s="46"/>
      <c r="AD469" s="46"/>
      <c r="AE469" s="45"/>
      <c r="AF469" s="45"/>
      <c r="AH469" s="51"/>
      <c r="AI469" s="45"/>
      <c r="AJ469" s="45"/>
      <c r="AL469" s="45"/>
      <c r="AM469" s="46"/>
      <c r="AN469" s="46"/>
    </row>
    <row r="470" spans="3:40">
      <c r="C470" s="42"/>
      <c r="F470" s="164"/>
      <c r="H470" s="164"/>
      <c r="I470" s="164"/>
      <c r="J470" s="132"/>
      <c r="K470" s="132"/>
      <c r="L470" s="45"/>
      <c r="M470" s="45"/>
      <c r="N470" s="46"/>
      <c r="O470" s="46"/>
      <c r="P470" s="45"/>
      <c r="Q470" s="45"/>
      <c r="R470" s="45"/>
      <c r="T470" s="42"/>
      <c r="V470" s="45"/>
      <c r="Y470" s="45"/>
      <c r="Z470" s="132"/>
      <c r="AA470" s="45"/>
      <c r="AB470" s="45"/>
      <c r="AC470" s="46"/>
      <c r="AD470" s="46"/>
      <c r="AE470" s="45"/>
      <c r="AF470" s="45"/>
      <c r="AH470" s="51"/>
      <c r="AI470" s="45"/>
      <c r="AJ470" s="45"/>
      <c r="AL470" s="45"/>
      <c r="AM470" s="46"/>
      <c r="AN470" s="46"/>
    </row>
    <row r="471" spans="3:40">
      <c r="F471" s="50"/>
      <c r="H471" s="50"/>
      <c r="I471" s="50"/>
      <c r="J471" s="326"/>
      <c r="K471" s="326"/>
      <c r="L471" s="50"/>
      <c r="M471" s="50"/>
      <c r="N471" s="50"/>
      <c r="O471" s="50"/>
      <c r="P471" s="50"/>
      <c r="Q471" s="50"/>
      <c r="R471" s="50"/>
      <c r="V471" s="50"/>
      <c r="Y471" s="50"/>
      <c r="Z471" s="132"/>
      <c r="AA471" s="50"/>
      <c r="AB471" s="50"/>
      <c r="AC471" s="50"/>
      <c r="AD471" s="50"/>
      <c r="AE471" s="50"/>
      <c r="AF471" s="50"/>
      <c r="AI471" s="50"/>
      <c r="AJ471" s="50"/>
      <c r="AK471" s="111"/>
      <c r="AL471" s="50"/>
    </row>
    <row r="472" spans="3:40">
      <c r="C472" s="42"/>
      <c r="F472" s="45"/>
      <c r="H472" s="45"/>
      <c r="I472" s="45"/>
      <c r="L472" s="45"/>
      <c r="M472" s="45"/>
      <c r="N472" s="51"/>
      <c r="O472" s="51"/>
      <c r="P472" s="45"/>
      <c r="Q472" s="45"/>
      <c r="R472" s="45"/>
      <c r="T472" s="42"/>
      <c r="V472" s="45"/>
      <c r="Y472" s="45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46"/>
      <c r="AN472" s="46"/>
    </row>
    <row r="473" spans="3:40">
      <c r="F473" s="50"/>
      <c r="H473" s="50"/>
      <c r="I473" s="50"/>
      <c r="J473" s="326"/>
      <c r="K473" s="326"/>
      <c r="L473" s="50"/>
      <c r="M473" s="50"/>
      <c r="N473" s="50"/>
      <c r="O473" s="50"/>
      <c r="P473" s="50"/>
      <c r="Q473" s="50"/>
      <c r="R473" s="50"/>
      <c r="V473" s="50"/>
      <c r="Y473" s="50"/>
      <c r="Z473" s="326"/>
      <c r="AA473" s="50"/>
      <c r="AB473" s="50"/>
      <c r="AC473" s="50"/>
      <c r="AD473" s="50"/>
      <c r="AE473" s="50"/>
      <c r="AF473" s="50"/>
      <c r="AI473" s="50"/>
      <c r="AJ473" s="50"/>
      <c r="AK473" s="111"/>
      <c r="AL473" s="50"/>
    </row>
    <row r="474" spans="3:40">
      <c r="C474" s="42"/>
      <c r="T474" s="42"/>
    </row>
    <row r="475" spans="3:40">
      <c r="C475" s="42"/>
      <c r="F475" s="164"/>
      <c r="H475" s="164"/>
      <c r="I475" s="164"/>
      <c r="J475" s="316"/>
      <c r="K475" s="316"/>
      <c r="L475" s="45"/>
      <c r="M475" s="45"/>
      <c r="N475" s="46"/>
      <c r="O475" s="46"/>
      <c r="P475" s="45"/>
      <c r="Q475" s="45"/>
      <c r="R475" s="45"/>
      <c r="T475" s="42"/>
      <c r="V475" s="45"/>
      <c r="Y475" s="45"/>
      <c r="Z475" s="316"/>
      <c r="AA475" s="45"/>
      <c r="AB475" s="45"/>
      <c r="AC475" s="46"/>
      <c r="AD475" s="46"/>
      <c r="AE475" s="45"/>
      <c r="AF475" s="45"/>
      <c r="AH475" s="51"/>
      <c r="AI475" s="45"/>
      <c r="AJ475" s="45"/>
      <c r="AL475" s="45"/>
      <c r="AM475" s="46"/>
      <c r="AN475" s="46"/>
    </row>
    <row r="476" spans="3:40">
      <c r="C476" s="42"/>
      <c r="F476" s="164"/>
      <c r="H476" s="164"/>
      <c r="I476" s="164"/>
      <c r="J476" s="316"/>
      <c r="K476" s="316"/>
      <c r="L476" s="45"/>
      <c r="M476" s="45"/>
      <c r="N476" s="46"/>
      <c r="O476" s="46"/>
      <c r="P476" s="45"/>
      <c r="Q476" s="45"/>
      <c r="R476" s="45"/>
      <c r="T476" s="42"/>
      <c r="V476" s="45"/>
      <c r="Y476" s="45"/>
      <c r="Z476" s="316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3:40">
      <c r="F477" s="50"/>
      <c r="H477" s="45"/>
      <c r="I477" s="45"/>
      <c r="J477" s="326"/>
      <c r="K477" s="326"/>
      <c r="L477" s="50"/>
      <c r="M477" s="50"/>
      <c r="N477" s="50"/>
      <c r="O477" s="50"/>
      <c r="P477" s="50"/>
      <c r="Q477" s="50"/>
      <c r="R477" s="50"/>
      <c r="V477" s="50"/>
      <c r="Y477" s="45"/>
      <c r="Z477" s="326"/>
      <c r="AA477" s="50"/>
      <c r="AB477" s="50"/>
      <c r="AC477" s="50"/>
      <c r="AD477" s="50"/>
      <c r="AE477" s="50"/>
      <c r="AF477" s="50"/>
      <c r="AI477" s="50"/>
      <c r="AJ477" s="50"/>
      <c r="AK477" s="111"/>
      <c r="AL477" s="50"/>
    </row>
    <row r="478" spans="3:40">
      <c r="F478" s="45"/>
      <c r="H478" s="45"/>
      <c r="I478" s="45"/>
      <c r="J478" s="326"/>
      <c r="K478" s="326"/>
      <c r="L478" s="45"/>
      <c r="M478" s="45"/>
      <c r="N478" s="45"/>
      <c r="O478" s="45"/>
      <c r="P478" s="45"/>
      <c r="Q478" s="45"/>
      <c r="R478" s="45"/>
      <c r="V478" s="45"/>
      <c r="Y478" s="45"/>
      <c r="Z478" s="326"/>
      <c r="AA478" s="45"/>
      <c r="AB478" s="45"/>
      <c r="AC478" s="45"/>
      <c r="AD478" s="45"/>
      <c r="AE478" s="45"/>
      <c r="AF478" s="45"/>
      <c r="AI478" s="45"/>
      <c r="AJ478" s="45"/>
      <c r="AL478" s="45"/>
    </row>
    <row r="479" spans="3:40">
      <c r="C479" s="42"/>
      <c r="F479" s="45"/>
      <c r="H479" s="45"/>
      <c r="I479" s="45"/>
      <c r="L479" s="45"/>
      <c r="M479" s="45"/>
      <c r="N479" s="46"/>
      <c r="O479" s="46"/>
      <c r="P479" s="45"/>
      <c r="Q479" s="45"/>
      <c r="R479" s="45"/>
      <c r="T479" s="42"/>
      <c r="V479" s="45"/>
      <c r="Y479" s="45"/>
      <c r="AA479" s="45"/>
      <c r="AB479" s="45"/>
      <c r="AC479" s="46"/>
      <c r="AD479" s="46"/>
      <c r="AE479" s="45"/>
      <c r="AF479" s="45"/>
      <c r="AH479" s="51"/>
      <c r="AI479" s="164"/>
      <c r="AJ479" s="164"/>
      <c r="AL479" s="45"/>
      <c r="AM479" s="46"/>
      <c r="AN479" s="46"/>
    </row>
    <row r="480" spans="3:40">
      <c r="F480" s="50"/>
      <c r="H480" s="50"/>
      <c r="I480" s="50"/>
      <c r="J480" s="326"/>
      <c r="K480" s="326"/>
      <c r="L480" s="50"/>
      <c r="M480" s="50"/>
      <c r="N480" s="50"/>
      <c r="O480" s="50"/>
      <c r="P480" s="50"/>
      <c r="Q480" s="50"/>
      <c r="R480" s="50"/>
      <c r="V480" s="50"/>
      <c r="Y480" s="50"/>
      <c r="Z480" s="326"/>
      <c r="AA480" s="50"/>
      <c r="AB480" s="50"/>
      <c r="AC480" s="50"/>
      <c r="AD480" s="50"/>
      <c r="AE480" s="50"/>
      <c r="AF480" s="50"/>
      <c r="AI480" s="50"/>
      <c r="AJ480" s="50"/>
      <c r="AK480" s="111"/>
      <c r="AL480" s="50"/>
    </row>
    <row r="482" spans="1:28">
      <c r="A482" s="42"/>
      <c r="T482" s="42"/>
    </row>
    <row r="483" spans="1:28">
      <c r="A483" s="42"/>
      <c r="T483" s="42"/>
    </row>
    <row r="484" spans="1:28">
      <c r="A484" s="42"/>
      <c r="T484" s="42"/>
    </row>
    <row r="485" spans="1:28">
      <c r="A485" s="42"/>
      <c r="T485" s="42"/>
    </row>
    <row r="486" spans="1:28">
      <c r="A486" s="42"/>
      <c r="T486" s="42"/>
    </row>
    <row r="487" spans="1:28">
      <c r="A487" s="42"/>
      <c r="T487" s="42"/>
    </row>
    <row r="488" spans="1:28">
      <c r="A488" s="42"/>
      <c r="T488" s="42"/>
    </row>
    <row r="489" spans="1:28">
      <c r="A489" s="42"/>
      <c r="T489" s="42"/>
    </row>
    <row r="490" spans="1:28">
      <c r="A490" s="42"/>
      <c r="T490" s="42"/>
    </row>
    <row r="492" spans="1:28">
      <c r="A492" s="42"/>
    </row>
    <row r="494" spans="1:28">
      <c r="H494" s="42"/>
      <c r="I494" s="42"/>
      <c r="Y494" s="42"/>
    </row>
    <row r="496" spans="1:28">
      <c r="L496" s="42"/>
      <c r="M496" s="42"/>
      <c r="AA496" s="42"/>
      <c r="AB496" s="42"/>
    </row>
    <row r="497" spans="1:40">
      <c r="R497" s="42"/>
      <c r="AK497" s="110"/>
      <c r="AL497" s="42"/>
    </row>
    <row r="498" spans="1:40">
      <c r="R498" s="42"/>
      <c r="AK498" s="110"/>
      <c r="AL498" s="42"/>
    </row>
    <row r="499" spans="1:40">
      <c r="A499" s="42"/>
      <c r="R499" s="42"/>
      <c r="AK499" s="110"/>
      <c r="AL499" s="42"/>
    </row>
    <row r="500" spans="1:40">
      <c r="L500" s="42"/>
      <c r="M500" s="42"/>
      <c r="AA500" s="42"/>
      <c r="AB500" s="42"/>
    </row>
    <row r="501" spans="1:40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107"/>
      <c r="AH501" s="49"/>
      <c r="AI501" s="49"/>
      <c r="AJ501" s="49"/>
      <c r="AK501" s="107"/>
      <c r="AL501" s="49"/>
      <c r="AM501" s="49"/>
      <c r="AN501" s="49"/>
    </row>
    <row r="502" spans="1:40">
      <c r="L502" s="44"/>
      <c r="M502" s="44"/>
      <c r="N502" s="44"/>
      <c r="O502" s="44"/>
      <c r="R502" s="44"/>
      <c r="AA502" s="44"/>
      <c r="AB502" s="44"/>
      <c r="AC502" s="44"/>
      <c r="AD502" s="44"/>
      <c r="AE502" s="44"/>
      <c r="AF502" s="44"/>
      <c r="AG502" s="102"/>
      <c r="AH502" s="44"/>
      <c r="AK502" s="102"/>
      <c r="AL502" s="44"/>
      <c r="AM502" s="44"/>
      <c r="AN502" s="44"/>
    </row>
    <row r="503" spans="1:40">
      <c r="L503" s="44"/>
      <c r="M503" s="44"/>
      <c r="N503" s="44"/>
      <c r="O503" s="44"/>
      <c r="R503" s="44"/>
      <c r="Z503" s="44"/>
      <c r="AA503" s="44"/>
      <c r="AB503" s="44"/>
      <c r="AC503" s="44"/>
      <c r="AD503" s="44"/>
      <c r="AE503" s="44"/>
      <c r="AF503" s="44"/>
      <c r="AG503" s="102"/>
      <c r="AH503" s="44"/>
      <c r="AK503" s="102"/>
      <c r="AL503" s="44"/>
      <c r="AM503" s="44"/>
      <c r="AN503" s="44"/>
    </row>
    <row r="504" spans="1:40">
      <c r="A504" s="44"/>
      <c r="C504" s="44"/>
      <c r="D504" s="44"/>
      <c r="E504" s="44"/>
      <c r="F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>
      <c r="A505" s="44"/>
      <c r="C505" s="44"/>
      <c r="D505" s="44"/>
      <c r="E505" s="44"/>
      <c r="F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T505" s="44"/>
      <c r="U505" s="44"/>
      <c r="V505" s="44"/>
      <c r="Y505" s="44"/>
      <c r="Z505" s="44"/>
      <c r="AA505" s="44"/>
      <c r="AB505" s="44"/>
      <c r="AC505" s="44"/>
      <c r="AD505" s="44"/>
      <c r="AE505" s="44"/>
      <c r="AF505" s="44"/>
      <c r="AG505" s="102"/>
      <c r="AH505" s="44"/>
      <c r="AI505" s="44"/>
      <c r="AJ505" s="44"/>
      <c r="AK505" s="102"/>
      <c r="AL505" s="44"/>
      <c r="AM505" s="44"/>
      <c r="AN505" s="44"/>
    </row>
    <row r="506" spans="1:40">
      <c r="C506" s="44"/>
      <c r="D506" s="44"/>
      <c r="E506" s="44"/>
      <c r="F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T506" s="44"/>
      <c r="U506" s="44"/>
      <c r="V506" s="44"/>
      <c r="Y506" s="44"/>
      <c r="Z506" s="44"/>
      <c r="AA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</row>
    <row r="507" spans="1:40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107"/>
      <c r="AH507" s="49"/>
      <c r="AI507" s="49"/>
      <c r="AJ507" s="49"/>
      <c r="AK507" s="107"/>
      <c r="AL507" s="49"/>
      <c r="AM507" s="49"/>
      <c r="AN507" s="49"/>
    </row>
    <row r="508" spans="1:40"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Y508" s="44"/>
      <c r="Z508" s="44"/>
      <c r="AA508" s="44"/>
      <c r="AB508" s="44"/>
      <c r="AC508" s="44"/>
      <c r="AD508" s="44"/>
      <c r="AE508" s="44"/>
      <c r="AF508" s="44"/>
      <c r="AG508" s="102"/>
      <c r="AH508" s="44"/>
      <c r="AI508" s="44"/>
      <c r="AJ508" s="44"/>
      <c r="AK508" s="102"/>
      <c r="AL508" s="44"/>
      <c r="AM508" s="44"/>
      <c r="AN508" s="44"/>
    </row>
    <row r="509" spans="1:40">
      <c r="C509" s="42"/>
      <c r="D509" s="42"/>
      <c r="E509" s="42"/>
      <c r="T509" s="42"/>
      <c r="U509" s="42"/>
    </row>
    <row r="510" spans="1:40">
      <c r="D510" s="42"/>
      <c r="E510" s="42"/>
      <c r="U510" s="42"/>
    </row>
    <row r="512" spans="1:40">
      <c r="C512" s="42"/>
      <c r="F512" s="45"/>
      <c r="J512" s="53"/>
      <c r="K512" s="53"/>
      <c r="L512" s="45"/>
      <c r="M512" s="45"/>
      <c r="R512" s="45"/>
      <c r="T512" s="42"/>
      <c r="V512" s="45"/>
      <c r="Z512" s="53"/>
      <c r="AA512" s="45"/>
      <c r="AB512" s="45"/>
      <c r="AH512" s="45"/>
      <c r="AL512" s="45"/>
    </row>
    <row r="513" spans="3:40">
      <c r="C513" s="42"/>
      <c r="F513" s="45"/>
      <c r="R513" s="45"/>
      <c r="T513" s="42"/>
      <c r="V513" s="45"/>
      <c r="AH513" s="45"/>
      <c r="AL513" s="45"/>
    </row>
    <row r="514" spans="3:40">
      <c r="AI514" s="45"/>
      <c r="AJ514" s="45"/>
      <c r="AL514" s="45"/>
      <c r="AM514" s="46"/>
      <c r="AN514" s="46"/>
    </row>
    <row r="515" spans="3:40">
      <c r="C515" s="42"/>
      <c r="F515" s="164"/>
      <c r="H515" s="164"/>
      <c r="I515" s="164"/>
      <c r="J515" s="336"/>
      <c r="K515" s="336"/>
      <c r="L515" s="45"/>
      <c r="M515" s="45"/>
      <c r="N515" s="46"/>
      <c r="O515" s="46"/>
      <c r="P515" s="45"/>
      <c r="Q515" s="45"/>
      <c r="R515" s="45"/>
      <c r="T515" s="42"/>
      <c r="V515" s="45"/>
      <c r="Y515" s="45"/>
      <c r="Z515" s="336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46"/>
      <c r="AN515" s="46"/>
    </row>
    <row r="516" spans="3:40">
      <c r="F516" s="45"/>
      <c r="H516" s="45"/>
      <c r="I516" s="45"/>
      <c r="J516" s="47"/>
      <c r="K516" s="47"/>
      <c r="L516" s="45"/>
      <c r="M516" s="45"/>
      <c r="P516" s="45"/>
      <c r="Q516" s="45"/>
      <c r="R516" s="45"/>
      <c r="V516" s="45"/>
      <c r="Y516" s="45"/>
      <c r="Z516" s="47"/>
      <c r="AA516" s="45"/>
      <c r="AB516" s="45"/>
      <c r="AI516" s="45"/>
      <c r="AJ516" s="45"/>
      <c r="AL516" s="45"/>
      <c r="AM516" s="46"/>
      <c r="AN516" s="46"/>
    </row>
    <row r="517" spans="3:40">
      <c r="F517" s="45"/>
      <c r="R517" s="45"/>
      <c r="V517" s="45"/>
      <c r="AL517" s="45"/>
      <c r="AM517" s="46"/>
      <c r="AN517" s="46"/>
    </row>
    <row r="518" spans="3:40">
      <c r="C518" s="42"/>
      <c r="F518" s="45"/>
      <c r="J518" s="53"/>
      <c r="K518" s="53"/>
      <c r="L518" s="45"/>
      <c r="M518" s="45"/>
      <c r="N518" s="46"/>
      <c r="O518" s="46"/>
      <c r="R518" s="45"/>
      <c r="T518" s="42"/>
      <c r="V518" s="45"/>
      <c r="Z518" s="53"/>
      <c r="AA518" s="45"/>
      <c r="AB518" s="45"/>
      <c r="AC518" s="46"/>
      <c r="AD518" s="46"/>
      <c r="AL518" s="45"/>
      <c r="AM518" s="46"/>
      <c r="AN518" s="46"/>
    </row>
    <row r="519" spans="3:40">
      <c r="C519" s="42"/>
      <c r="F519" s="45"/>
      <c r="H519" s="45"/>
      <c r="I519" s="45"/>
      <c r="J519" s="53"/>
      <c r="K519" s="53"/>
      <c r="L519" s="45"/>
      <c r="M519" s="45"/>
      <c r="N519" s="46"/>
      <c r="O519" s="46"/>
      <c r="P519" s="45"/>
      <c r="Q519" s="45"/>
      <c r="R519" s="45"/>
      <c r="T519" s="42"/>
      <c r="V519" s="45"/>
      <c r="Y519" s="45"/>
      <c r="Z519" s="53"/>
      <c r="AA519" s="45"/>
      <c r="AB519" s="45"/>
      <c r="AC519" s="46"/>
      <c r="AD519" s="46"/>
      <c r="AI519" s="45"/>
      <c r="AJ519" s="45"/>
      <c r="AL519" s="45"/>
      <c r="AM519" s="46"/>
      <c r="AN519" s="46"/>
    </row>
    <row r="520" spans="3:40">
      <c r="C520" s="42"/>
      <c r="T520" s="42"/>
      <c r="AM520" s="46"/>
      <c r="AN520" s="46"/>
    </row>
    <row r="521" spans="3:40">
      <c r="C521" s="42"/>
      <c r="T521" s="42"/>
      <c r="AM521" s="46"/>
      <c r="AN521" s="46"/>
    </row>
    <row r="522" spans="3:40">
      <c r="AM522" s="46"/>
      <c r="AN522" s="46"/>
    </row>
    <row r="523" spans="3:40">
      <c r="C523" s="42"/>
      <c r="F523" s="164"/>
      <c r="H523" s="164"/>
      <c r="I523" s="164"/>
      <c r="J523" s="336"/>
      <c r="K523" s="336"/>
      <c r="L523" s="45"/>
      <c r="M523" s="45"/>
      <c r="N523" s="46"/>
      <c r="O523" s="46"/>
      <c r="P523" s="45"/>
      <c r="Q523" s="45"/>
      <c r="R523" s="45"/>
      <c r="T523" s="42"/>
      <c r="V523" s="45"/>
      <c r="Y523" s="45"/>
      <c r="Z523" s="336"/>
      <c r="AA523" s="45"/>
      <c r="AB523" s="45"/>
      <c r="AC523" s="46"/>
      <c r="AD523" s="46"/>
      <c r="AE523" s="45"/>
      <c r="AF523" s="45"/>
      <c r="AH523" s="51"/>
      <c r="AI523" s="45"/>
      <c r="AJ523" s="45"/>
      <c r="AL523" s="45"/>
      <c r="AM523" s="46"/>
      <c r="AN523" s="46"/>
    </row>
    <row r="524" spans="3:40">
      <c r="F524" s="50"/>
      <c r="H524" s="50"/>
      <c r="I524" s="50"/>
      <c r="J524" s="326"/>
      <c r="K524" s="326"/>
      <c r="L524" s="50"/>
      <c r="M524" s="50"/>
      <c r="N524" s="50"/>
      <c r="O524" s="50"/>
      <c r="P524" s="50"/>
      <c r="Q524" s="50"/>
      <c r="R524" s="50"/>
      <c r="V524" s="50"/>
      <c r="Y524" s="50"/>
      <c r="Z524" s="326"/>
      <c r="AA524" s="50"/>
      <c r="AB524" s="50"/>
      <c r="AC524" s="50"/>
      <c r="AD524" s="50"/>
      <c r="AE524" s="50"/>
      <c r="AF524" s="50"/>
      <c r="AI524" s="50"/>
      <c r="AJ524" s="50"/>
      <c r="AK524" s="111"/>
      <c r="AL524" s="50"/>
      <c r="AM524" s="46"/>
      <c r="AN524" s="46"/>
    </row>
    <row r="525" spans="3:40">
      <c r="H525" s="45"/>
      <c r="I525" s="45"/>
      <c r="Y525" s="45"/>
      <c r="AM525" s="46"/>
      <c r="AN525" s="46"/>
    </row>
    <row r="526" spans="3:40">
      <c r="C526" s="42"/>
      <c r="F526" s="45"/>
      <c r="H526" s="45"/>
      <c r="I526" s="45"/>
      <c r="L526" s="45"/>
      <c r="M526" s="45"/>
      <c r="N526" s="46"/>
      <c r="O526" s="46"/>
      <c r="P526" s="164"/>
      <c r="Q526" s="164"/>
      <c r="R526" s="45"/>
      <c r="T526" s="42"/>
      <c r="V526" s="45"/>
      <c r="Y526" s="45"/>
      <c r="AA526" s="45"/>
      <c r="AB526" s="45"/>
      <c r="AC526" s="46"/>
      <c r="AD526" s="46"/>
      <c r="AE526" s="45"/>
      <c r="AF526" s="45"/>
      <c r="AH526" s="51"/>
      <c r="AI526" s="164"/>
      <c r="AJ526" s="164"/>
      <c r="AL526" s="45"/>
      <c r="AM526" s="46"/>
      <c r="AN526" s="46"/>
    </row>
    <row r="527" spans="3:40">
      <c r="F527" s="50"/>
      <c r="H527" s="50"/>
      <c r="I527" s="50"/>
      <c r="J527" s="326"/>
      <c r="K527" s="326"/>
      <c r="L527" s="50"/>
      <c r="M527" s="50"/>
      <c r="N527" s="50"/>
      <c r="O527" s="50"/>
      <c r="P527" s="50"/>
      <c r="Q527" s="50"/>
      <c r="R527" s="50"/>
      <c r="V527" s="50"/>
      <c r="Y527" s="50"/>
      <c r="Z527" s="326"/>
      <c r="AA527" s="50"/>
      <c r="AB527" s="50"/>
      <c r="AC527" s="50"/>
      <c r="AD527" s="50"/>
      <c r="AE527" s="50"/>
      <c r="AF527" s="50"/>
      <c r="AI527" s="50"/>
      <c r="AJ527" s="50"/>
      <c r="AK527" s="111"/>
      <c r="AL527" s="50"/>
      <c r="AM527" s="46"/>
      <c r="AN527" s="46"/>
    </row>
    <row r="529" spans="1:40">
      <c r="F529" s="45"/>
      <c r="H529" s="45"/>
      <c r="I529" s="45"/>
      <c r="J529" s="47"/>
      <c r="K529" s="47"/>
      <c r="L529" s="45"/>
      <c r="M529" s="45"/>
      <c r="N529" s="45"/>
      <c r="O529" s="45"/>
      <c r="P529" s="45"/>
      <c r="Q529" s="45"/>
      <c r="R529" s="45"/>
      <c r="V529" s="45"/>
      <c r="Y529" s="45"/>
      <c r="Z529" s="47"/>
      <c r="AA529" s="45"/>
      <c r="AB529" s="45"/>
      <c r="AC529" s="45"/>
      <c r="AD529" s="45"/>
      <c r="AE529" s="45"/>
      <c r="AF529" s="45"/>
      <c r="AH529" s="45"/>
      <c r="AI529" s="45"/>
      <c r="AJ529" s="45"/>
      <c r="AL529" s="45"/>
    </row>
    <row r="530" spans="1:40">
      <c r="A530" s="42"/>
    </row>
    <row r="532" spans="1:40">
      <c r="H532" s="42"/>
      <c r="I532" s="42"/>
      <c r="Y532" s="42"/>
    </row>
    <row r="534" spans="1:40">
      <c r="L534" s="42"/>
      <c r="M534" s="42"/>
      <c r="AA534" s="42"/>
      <c r="AB534" s="42"/>
    </row>
    <row r="535" spans="1:40">
      <c r="R535" s="42"/>
      <c r="AK535" s="110"/>
      <c r="AL535" s="42"/>
    </row>
    <row r="536" spans="1:40">
      <c r="R536" s="42"/>
      <c r="AK536" s="110"/>
      <c r="AL536" s="42"/>
    </row>
    <row r="537" spans="1:40">
      <c r="A537" s="42"/>
      <c r="R537" s="42"/>
      <c r="AK537" s="110"/>
      <c r="AL537" s="42"/>
    </row>
    <row r="538" spans="1:40">
      <c r="L538" s="42"/>
      <c r="M538" s="42"/>
      <c r="AA538" s="42"/>
      <c r="AB538" s="42"/>
    </row>
    <row r="539" spans="1:40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107"/>
      <c r="AH539" s="49"/>
      <c r="AI539" s="49"/>
      <c r="AJ539" s="49"/>
      <c r="AK539" s="107"/>
      <c r="AL539" s="49"/>
      <c r="AM539" s="49"/>
      <c r="AN539" s="49"/>
    </row>
    <row r="540" spans="1:40">
      <c r="L540" s="44"/>
      <c r="M540" s="44"/>
      <c r="N540" s="44"/>
      <c r="O540" s="44"/>
      <c r="R540" s="44"/>
      <c r="AA540" s="44"/>
      <c r="AB540" s="44"/>
      <c r="AC540" s="44"/>
      <c r="AD540" s="44"/>
      <c r="AE540" s="44"/>
      <c r="AF540" s="44"/>
      <c r="AG540" s="102"/>
      <c r="AH540" s="44"/>
      <c r="AK540" s="102"/>
      <c r="AL540" s="44"/>
      <c r="AM540" s="44"/>
      <c r="AN540" s="44"/>
    </row>
    <row r="541" spans="1:40">
      <c r="L541" s="44"/>
      <c r="M541" s="44"/>
      <c r="N541" s="44"/>
      <c r="O541" s="44"/>
      <c r="R541" s="44"/>
      <c r="Z541" s="44"/>
      <c r="AA541" s="44"/>
      <c r="AB541" s="44"/>
      <c r="AC541" s="44"/>
      <c r="AD541" s="44"/>
      <c r="AE541" s="44"/>
      <c r="AF541" s="44"/>
      <c r="AG541" s="102"/>
      <c r="AH541" s="44"/>
      <c r="AK541" s="102"/>
      <c r="AL541" s="44"/>
      <c r="AM541" s="44"/>
      <c r="AN541" s="44"/>
    </row>
    <row r="542" spans="1:40">
      <c r="A542" s="44"/>
      <c r="C542" s="44"/>
      <c r="D542" s="44"/>
      <c r="E542" s="44"/>
      <c r="F542" s="44"/>
      <c r="J542" s="44"/>
      <c r="K542" s="44"/>
      <c r="L542" s="44"/>
      <c r="M542" s="44"/>
      <c r="N542" s="44"/>
      <c r="O542" s="44"/>
      <c r="P542" s="44"/>
      <c r="Q542" s="44"/>
      <c r="R542" s="44"/>
      <c r="T542" s="44"/>
      <c r="U542" s="44"/>
      <c r="V542" s="44"/>
      <c r="Z542" s="44"/>
      <c r="AA542" s="44"/>
      <c r="AB542" s="44"/>
      <c r="AC542" s="44"/>
      <c r="AD542" s="44"/>
      <c r="AE542" s="44"/>
      <c r="AF542" s="44"/>
      <c r="AG542" s="102"/>
      <c r="AH542" s="44"/>
      <c r="AI542" s="44"/>
      <c r="AJ542" s="44"/>
      <c r="AK542" s="102"/>
      <c r="AL542" s="44"/>
      <c r="AM542" s="44"/>
      <c r="AN542" s="44"/>
    </row>
    <row r="543" spans="1:40">
      <c r="A543" s="44"/>
      <c r="C543" s="44"/>
      <c r="D543" s="44"/>
      <c r="E543" s="44"/>
      <c r="F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T543" s="44"/>
      <c r="U543" s="44"/>
      <c r="V543" s="44"/>
      <c r="Y543" s="44"/>
      <c r="Z543" s="44"/>
      <c r="AA543" s="44"/>
      <c r="AB543" s="44"/>
      <c r="AC543" s="44"/>
      <c r="AD543" s="44"/>
      <c r="AE543" s="44"/>
      <c r="AF543" s="44"/>
      <c r="AG543" s="102"/>
      <c r="AH543" s="44"/>
      <c r="AI543" s="44"/>
      <c r="AJ543" s="44"/>
      <c r="AK543" s="102"/>
      <c r="AL543" s="44"/>
      <c r="AM543" s="44"/>
      <c r="AN543" s="44"/>
    </row>
    <row r="544" spans="1:40">
      <c r="C544" s="44"/>
      <c r="D544" s="44"/>
      <c r="E544" s="44"/>
      <c r="F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T544" s="44"/>
      <c r="U544" s="44"/>
      <c r="V544" s="44"/>
      <c r="Y544" s="44"/>
      <c r="Z544" s="44"/>
      <c r="AA544" s="44"/>
      <c r="AB544" s="44"/>
      <c r="AC544" s="44"/>
      <c r="AD544" s="44"/>
      <c r="AE544" s="44"/>
      <c r="AF544" s="44"/>
      <c r="AG544" s="102"/>
      <c r="AH544" s="44"/>
      <c r="AI544" s="44"/>
      <c r="AJ544" s="44"/>
      <c r="AK544" s="102"/>
      <c r="AL544" s="44"/>
      <c r="AM544" s="44"/>
      <c r="AN544" s="44"/>
    </row>
    <row r="545" spans="1:40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107"/>
      <c r="AH545" s="49"/>
      <c r="AI545" s="49"/>
      <c r="AJ545" s="49"/>
      <c r="AK545" s="107"/>
      <c r="AL545" s="49"/>
      <c r="AM545" s="49"/>
      <c r="AN545" s="49"/>
    </row>
    <row r="546" spans="1:40"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Y546" s="44"/>
      <c r="Z546" s="44"/>
      <c r="AA546" s="44"/>
      <c r="AB546" s="44"/>
      <c r="AC546" s="44"/>
      <c r="AD546" s="44"/>
      <c r="AE546" s="44"/>
      <c r="AF546" s="44"/>
      <c r="AG546" s="102"/>
      <c r="AH546" s="44"/>
      <c r="AI546" s="44"/>
      <c r="AJ546" s="44"/>
      <c r="AK546" s="102"/>
      <c r="AL546" s="44"/>
      <c r="AM546" s="44"/>
      <c r="AN546" s="44"/>
    </row>
    <row r="547" spans="1:40">
      <c r="C547" s="42"/>
      <c r="D547" s="42"/>
      <c r="E547" s="42"/>
      <c r="T547" s="42"/>
      <c r="U547" s="42"/>
      <c r="V547" s="45"/>
      <c r="W547" s="45"/>
      <c r="X547" s="45"/>
      <c r="Y547" s="45"/>
      <c r="Z547" s="336"/>
    </row>
    <row r="549" spans="1:40">
      <c r="C549" s="42"/>
      <c r="T549" s="42"/>
      <c r="V549" s="45"/>
      <c r="W549" s="45"/>
      <c r="X549" s="45"/>
      <c r="Y549" s="45"/>
      <c r="Z549" s="336"/>
    </row>
    <row r="550" spans="1:40">
      <c r="C550" s="42"/>
      <c r="F550" s="164"/>
      <c r="H550" s="164"/>
      <c r="I550" s="164"/>
      <c r="J550" s="132"/>
      <c r="K550" s="132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132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46"/>
      <c r="AN550" s="46"/>
    </row>
    <row r="551" spans="1:40">
      <c r="C551" s="42"/>
      <c r="F551" s="164"/>
      <c r="H551" s="164"/>
      <c r="I551" s="164"/>
      <c r="J551" s="132"/>
      <c r="K551" s="132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132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46"/>
      <c r="AN551" s="46"/>
    </row>
    <row r="552" spans="1:40">
      <c r="C552" s="42"/>
      <c r="F552" s="164"/>
      <c r="H552" s="164"/>
      <c r="I552" s="164"/>
      <c r="J552" s="132"/>
      <c r="K552" s="132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132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46"/>
      <c r="AN552" s="46"/>
    </row>
    <row r="553" spans="1:40">
      <c r="C553" s="42"/>
      <c r="F553" s="164"/>
      <c r="H553" s="164"/>
      <c r="I553" s="164"/>
      <c r="J553" s="132"/>
      <c r="K553" s="132"/>
      <c r="L553" s="45"/>
      <c r="M553" s="45"/>
      <c r="N553" s="46"/>
      <c r="O553" s="46"/>
      <c r="P553" s="45"/>
      <c r="Q553" s="45"/>
      <c r="R553" s="45"/>
      <c r="T553" s="42"/>
      <c r="V553" s="45"/>
      <c r="W553" s="45"/>
      <c r="X553" s="45"/>
      <c r="Y553" s="45"/>
      <c r="Z553" s="132"/>
      <c r="AA553" s="45"/>
      <c r="AB553" s="45"/>
      <c r="AC553" s="46"/>
      <c r="AD553" s="46"/>
      <c r="AE553" s="45"/>
      <c r="AF553" s="45"/>
      <c r="AH553" s="51"/>
      <c r="AI553" s="45"/>
      <c r="AJ553" s="45"/>
      <c r="AL553" s="45"/>
      <c r="AM553" s="46"/>
      <c r="AN553" s="46"/>
    </row>
    <row r="554" spans="1:40">
      <c r="J554" s="56"/>
      <c r="K554" s="56"/>
      <c r="V554" s="45"/>
      <c r="W554" s="45"/>
      <c r="X554" s="45"/>
      <c r="Y554" s="45"/>
      <c r="Z554" s="132"/>
    </row>
    <row r="555" spans="1:40">
      <c r="C555" s="42"/>
      <c r="F555" s="164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51"/>
      <c r="AN555" s="51"/>
    </row>
    <row r="556" spans="1:40">
      <c r="C556" s="42"/>
      <c r="J556" s="56"/>
      <c r="K556" s="56"/>
      <c r="T556" s="42"/>
      <c r="V556" s="45"/>
      <c r="W556" s="45"/>
      <c r="X556" s="45"/>
      <c r="Y556" s="45"/>
      <c r="Z556" s="132"/>
    </row>
    <row r="557" spans="1:40">
      <c r="C557" s="42"/>
      <c r="F557" s="164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51"/>
      <c r="AN557" s="51"/>
    </row>
    <row r="558" spans="1:40">
      <c r="J558" s="56"/>
      <c r="K558" s="56"/>
      <c r="Z558" s="56"/>
    </row>
    <row r="559" spans="1:40">
      <c r="C559" s="42"/>
      <c r="J559" s="56"/>
      <c r="K559" s="56"/>
      <c r="T559" s="42"/>
      <c r="V559" s="45"/>
      <c r="W559" s="45"/>
      <c r="X559" s="45"/>
      <c r="Y559" s="45"/>
      <c r="Z559" s="132"/>
    </row>
    <row r="560" spans="1:40">
      <c r="C560" s="42"/>
      <c r="F560" s="164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51"/>
      <c r="AN560" s="51"/>
    </row>
    <row r="561" spans="1:40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1:40">
      <c r="F562" s="50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326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1:40">
      <c r="C563" s="42"/>
      <c r="F563" s="45"/>
      <c r="H563" s="45"/>
      <c r="I563" s="45"/>
      <c r="L563" s="45"/>
      <c r="M563" s="45"/>
      <c r="N563" s="46"/>
      <c r="O563" s="46"/>
      <c r="P563" s="164"/>
      <c r="Q563" s="164"/>
      <c r="R563" s="45"/>
      <c r="T563" s="42"/>
      <c r="V563" s="45"/>
      <c r="W563" s="45"/>
      <c r="X563" s="45"/>
      <c r="Y563" s="45"/>
      <c r="Z563" s="336"/>
      <c r="AA563" s="45"/>
      <c r="AB563" s="45"/>
      <c r="AC563" s="46"/>
      <c r="AD563" s="46"/>
      <c r="AE563" s="45"/>
      <c r="AF563" s="45"/>
      <c r="AH563" s="51"/>
      <c r="AI563" s="164"/>
      <c r="AJ563" s="164"/>
      <c r="AL563" s="45"/>
      <c r="AM563" s="51"/>
      <c r="AN563" s="51"/>
    </row>
    <row r="564" spans="1:40">
      <c r="F564" s="50"/>
      <c r="H564" s="50"/>
      <c r="I564" s="50"/>
      <c r="J564" s="326"/>
      <c r="K564" s="326"/>
      <c r="L564" s="50"/>
      <c r="M564" s="50"/>
      <c r="N564" s="50"/>
      <c r="O564" s="50"/>
      <c r="P564" s="50"/>
      <c r="Q564" s="50"/>
      <c r="R564" s="50"/>
      <c r="V564" s="50"/>
      <c r="Y564" s="50"/>
      <c r="Z564" s="326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7" spans="1:40">
      <c r="A567" s="42"/>
    </row>
    <row r="569" spans="1:40">
      <c r="H569" s="42"/>
      <c r="I569" s="42"/>
      <c r="Y569" s="42"/>
    </row>
    <row r="571" spans="1:40">
      <c r="L571" s="42"/>
      <c r="M571" s="42"/>
      <c r="AA571" s="42"/>
      <c r="AB571" s="42"/>
    </row>
    <row r="572" spans="1:40">
      <c r="R572" s="42"/>
      <c r="AK572" s="110"/>
      <c r="AL572" s="42"/>
    </row>
    <row r="573" spans="1:40">
      <c r="R573" s="42"/>
      <c r="AK573" s="110"/>
      <c r="AL573" s="42"/>
    </row>
    <row r="574" spans="1:40">
      <c r="A574" s="42"/>
      <c r="R574" s="42"/>
      <c r="AK574" s="110"/>
      <c r="AL574" s="42"/>
    </row>
    <row r="575" spans="1:40">
      <c r="L575" s="42"/>
      <c r="M575" s="42"/>
      <c r="AA575" s="42"/>
      <c r="AB575" s="42"/>
    </row>
    <row r="576" spans="1:40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107"/>
      <c r="AH576" s="49"/>
      <c r="AI576" s="49"/>
      <c r="AJ576" s="49"/>
      <c r="AK576" s="107"/>
      <c r="AL576" s="49"/>
      <c r="AM576" s="49"/>
      <c r="AN576" s="49"/>
    </row>
    <row r="577" spans="1:40">
      <c r="L577" s="44"/>
      <c r="M577" s="44"/>
      <c r="N577" s="44"/>
      <c r="O577" s="44"/>
      <c r="R577" s="44"/>
      <c r="AA577" s="44"/>
      <c r="AB577" s="44"/>
      <c r="AC577" s="44"/>
      <c r="AD577" s="44"/>
      <c r="AE577" s="44"/>
      <c r="AF577" s="44"/>
      <c r="AG577" s="102"/>
      <c r="AH577" s="44"/>
      <c r="AK577" s="102"/>
      <c r="AL577" s="44"/>
      <c r="AM577" s="44"/>
      <c r="AN577" s="44"/>
    </row>
    <row r="578" spans="1:40">
      <c r="L578" s="44"/>
      <c r="M578" s="44"/>
      <c r="N578" s="44"/>
      <c r="O578" s="44"/>
      <c r="R578" s="44"/>
      <c r="Z578" s="44"/>
      <c r="AA578" s="44"/>
      <c r="AB578" s="44"/>
      <c r="AC578" s="44"/>
      <c r="AD578" s="44"/>
      <c r="AE578" s="44"/>
      <c r="AF578" s="44"/>
      <c r="AG578" s="102"/>
      <c r="AH578" s="44"/>
      <c r="AK578" s="102"/>
      <c r="AL578" s="44"/>
      <c r="AM578" s="44"/>
      <c r="AN578" s="44"/>
    </row>
    <row r="579" spans="1:40">
      <c r="A579" s="44"/>
      <c r="C579" s="44"/>
      <c r="D579" s="44"/>
      <c r="E579" s="44"/>
      <c r="F579" s="44"/>
      <c r="J579" s="44"/>
      <c r="K579" s="44"/>
      <c r="L579" s="44"/>
      <c r="M579" s="44"/>
      <c r="N579" s="44"/>
      <c r="O579" s="44"/>
      <c r="P579" s="44"/>
      <c r="Q579" s="44"/>
      <c r="R579" s="44"/>
      <c r="T579" s="44"/>
      <c r="U579" s="44"/>
      <c r="V579" s="44"/>
      <c r="Z579" s="44"/>
      <c r="AA579" s="44"/>
      <c r="AB579" s="44"/>
      <c r="AC579" s="44"/>
      <c r="AD579" s="44"/>
      <c r="AE579" s="44"/>
      <c r="AF579" s="44"/>
      <c r="AG579" s="102"/>
      <c r="AH579" s="44"/>
      <c r="AI579" s="44"/>
      <c r="AJ579" s="44"/>
      <c r="AK579" s="102"/>
      <c r="AL579" s="44"/>
      <c r="AM579" s="44"/>
      <c r="AN579" s="44"/>
    </row>
    <row r="580" spans="1:40">
      <c r="A580" s="44"/>
      <c r="C580" s="44"/>
      <c r="D580" s="44"/>
      <c r="E580" s="44"/>
      <c r="F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T580" s="44"/>
      <c r="U580" s="44"/>
      <c r="V580" s="44"/>
      <c r="Y580" s="44"/>
      <c r="Z580" s="44"/>
      <c r="AA580" s="44"/>
      <c r="AB580" s="44"/>
      <c r="AC580" s="44"/>
      <c r="AD580" s="44"/>
      <c r="AE580" s="44"/>
      <c r="AF580" s="44"/>
      <c r="AG580" s="102"/>
      <c r="AH580" s="44"/>
      <c r="AI580" s="44"/>
      <c r="AJ580" s="44"/>
      <c r="AK580" s="102"/>
      <c r="AL580" s="44"/>
      <c r="AM580" s="44"/>
      <c r="AN580" s="44"/>
    </row>
    <row r="581" spans="1:40">
      <c r="C581" s="44"/>
      <c r="D581" s="44"/>
      <c r="E581" s="44"/>
      <c r="F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T581" s="44"/>
      <c r="U581" s="44"/>
      <c r="V581" s="44"/>
      <c r="Y581" s="44"/>
      <c r="Z581" s="44"/>
      <c r="AA581" s="44"/>
      <c r="AB581" s="44"/>
      <c r="AC581" s="44"/>
      <c r="AD581" s="44"/>
      <c r="AE581" s="44"/>
      <c r="AF581" s="44"/>
      <c r="AG581" s="102"/>
      <c r="AH581" s="44"/>
      <c r="AI581" s="44"/>
      <c r="AJ581" s="44"/>
      <c r="AK581" s="102"/>
      <c r="AL581" s="44"/>
      <c r="AM581" s="44"/>
      <c r="AN581" s="44"/>
    </row>
    <row r="582" spans="1:40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107"/>
      <c r="AH582" s="49"/>
      <c r="AI582" s="49"/>
      <c r="AJ582" s="49"/>
      <c r="AK582" s="107"/>
      <c r="AL582" s="49"/>
      <c r="AM582" s="49"/>
      <c r="AN582" s="49"/>
    </row>
    <row r="583" spans="1:40"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Y583" s="44"/>
      <c r="Z583" s="44"/>
      <c r="AA583" s="44"/>
      <c r="AB583" s="44"/>
      <c r="AC583" s="44"/>
      <c r="AD583" s="44"/>
      <c r="AE583" s="44"/>
      <c r="AF583" s="44"/>
      <c r="AG583" s="102"/>
      <c r="AH583" s="44"/>
      <c r="AI583" s="44"/>
      <c r="AJ583" s="44"/>
      <c r="AK583" s="102"/>
      <c r="AL583" s="44"/>
      <c r="AM583" s="44"/>
      <c r="AN583" s="44"/>
    </row>
    <row r="584" spans="1:40">
      <c r="C584" s="42"/>
      <c r="D584" s="42"/>
      <c r="E584" s="42"/>
      <c r="T584" s="42"/>
      <c r="U584" s="42"/>
    </row>
    <row r="586" spans="1:40">
      <c r="C586" s="42"/>
      <c r="T586" s="42"/>
    </row>
    <row r="587" spans="1:40">
      <c r="C587" s="42"/>
      <c r="T587" s="42"/>
    </row>
    <row r="588" spans="1:40">
      <c r="C588" s="42"/>
      <c r="F588" s="164"/>
      <c r="H588" s="164"/>
      <c r="I588" s="164"/>
      <c r="J588" s="132"/>
      <c r="K588" s="132"/>
      <c r="L588" s="45"/>
      <c r="M588" s="45"/>
      <c r="N588" s="46"/>
      <c r="O588" s="46"/>
      <c r="P588" s="45"/>
      <c r="Q588" s="45"/>
      <c r="R588" s="45"/>
      <c r="T588" s="42"/>
      <c r="V588" s="45"/>
      <c r="W588" s="45"/>
      <c r="X588" s="45"/>
      <c r="Y588" s="45"/>
      <c r="Z588" s="132"/>
      <c r="AA588" s="45"/>
      <c r="AB588" s="45"/>
      <c r="AC588" s="46"/>
      <c r="AD588" s="46"/>
      <c r="AE588" s="45"/>
      <c r="AF588" s="45"/>
      <c r="AH588" s="51"/>
      <c r="AI588" s="45"/>
      <c r="AJ588" s="45"/>
      <c r="AL588" s="45"/>
      <c r="AM588" s="51"/>
      <c r="AN588" s="51"/>
    </row>
    <row r="589" spans="1:40">
      <c r="C589" s="42"/>
      <c r="F589" s="45"/>
      <c r="H589" s="45"/>
      <c r="I589" s="45"/>
      <c r="J589" s="56"/>
      <c r="K589" s="5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56"/>
      <c r="AA589" s="45"/>
      <c r="AB589" s="45"/>
      <c r="AC589" s="46"/>
      <c r="AD589" s="46"/>
      <c r="AE589" s="45"/>
      <c r="AF589" s="45"/>
      <c r="AH589" s="51"/>
      <c r="AI589" s="45"/>
      <c r="AJ589" s="45"/>
      <c r="AL589" s="45"/>
      <c r="AM589" s="51"/>
      <c r="AN589" s="51"/>
    </row>
    <row r="590" spans="1:40">
      <c r="C590" s="42"/>
      <c r="F590" s="45"/>
      <c r="H590" s="45"/>
      <c r="I590" s="45"/>
      <c r="J590" s="56"/>
      <c r="K590" s="56"/>
      <c r="L590" s="45"/>
      <c r="M590" s="45"/>
      <c r="N590" s="46"/>
      <c r="O590" s="46"/>
      <c r="P590" s="45"/>
      <c r="Q590" s="45"/>
      <c r="R590" s="45"/>
      <c r="T590" s="42"/>
      <c r="V590" s="45"/>
      <c r="W590" s="45"/>
      <c r="X590" s="45"/>
      <c r="Y590" s="45"/>
      <c r="Z590" s="56"/>
      <c r="AA590" s="45"/>
      <c r="AB590" s="45"/>
      <c r="AC590" s="46"/>
      <c r="AD590" s="46"/>
      <c r="AE590" s="45"/>
      <c r="AF590" s="45"/>
      <c r="AH590" s="51"/>
      <c r="AI590" s="45"/>
      <c r="AJ590" s="45"/>
      <c r="AL590" s="45"/>
      <c r="AM590" s="51"/>
      <c r="AN590" s="51"/>
    </row>
    <row r="591" spans="1:40">
      <c r="C591" s="42"/>
      <c r="F591" s="45"/>
      <c r="H591" s="45"/>
      <c r="I591" s="45"/>
      <c r="J591" s="56"/>
      <c r="K591" s="56"/>
      <c r="T591" s="42"/>
      <c r="V591" s="45"/>
      <c r="Z591" s="56"/>
    </row>
    <row r="592" spans="1:40">
      <c r="C592" s="42"/>
      <c r="F592" s="164"/>
      <c r="H592" s="164"/>
      <c r="I592" s="164"/>
      <c r="J592" s="132"/>
      <c r="K592" s="132"/>
      <c r="L592" s="45"/>
      <c r="M592" s="45"/>
      <c r="N592" s="46"/>
      <c r="O592" s="46"/>
      <c r="P592" s="45"/>
      <c r="Q592" s="45"/>
      <c r="R592" s="45"/>
      <c r="T592" s="42"/>
      <c r="V592" s="45"/>
      <c r="W592" s="45"/>
      <c r="X592" s="45"/>
      <c r="Y592" s="45"/>
      <c r="Z592" s="132"/>
      <c r="AA592" s="45"/>
      <c r="AB592" s="45"/>
      <c r="AC592" s="46"/>
      <c r="AD592" s="46"/>
      <c r="AE592" s="45"/>
      <c r="AF592" s="45"/>
      <c r="AH592" s="51"/>
      <c r="AI592" s="45"/>
      <c r="AJ592" s="45"/>
      <c r="AL592" s="45"/>
      <c r="AM592" s="51"/>
      <c r="AN592" s="51"/>
    </row>
    <row r="593" spans="3:40">
      <c r="C593" s="42"/>
      <c r="F593" s="45"/>
      <c r="H593" s="45"/>
      <c r="I593" s="45"/>
      <c r="J593" s="56"/>
      <c r="K593" s="56"/>
      <c r="T593" s="42"/>
      <c r="V593" s="45"/>
      <c r="W593" s="45"/>
      <c r="X593" s="45"/>
      <c r="Y593" s="45"/>
      <c r="Z593" s="56"/>
      <c r="AC593" s="46"/>
      <c r="AD593" s="46"/>
      <c r="AE593" s="45"/>
      <c r="AF593" s="45"/>
      <c r="AH593" s="51"/>
      <c r="AI593" s="45"/>
      <c r="AJ593" s="45"/>
      <c r="AL593" s="45"/>
      <c r="AM593" s="51"/>
      <c r="AN593" s="51"/>
    </row>
    <row r="594" spans="3:40">
      <c r="C594" s="42"/>
      <c r="F594" s="164"/>
      <c r="H594" s="164"/>
      <c r="I594" s="164"/>
      <c r="J594" s="132"/>
      <c r="K594" s="132"/>
      <c r="L594" s="45"/>
      <c r="M594" s="45"/>
      <c r="N594" s="46"/>
      <c r="O594" s="46"/>
      <c r="P594" s="45"/>
      <c r="Q594" s="45"/>
      <c r="R594" s="45"/>
      <c r="T594" s="42"/>
      <c r="V594" s="45"/>
      <c r="W594" s="45"/>
      <c r="X594" s="45"/>
      <c r="Y594" s="45"/>
      <c r="Z594" s="132"/>
      <c r="AA594" s="45"/>
      <c r="AB594" s="45"/>
      <c r="AC594" s="46"/>
      <c r="AD594" s="46"/>
      <c r="AE594" s="45"/>
      <c r="AF594" s="45"/>
      <c r="AH594" s="51"/>
      <c r="AI594" s="45"/>
      <c r="AJ594" s="45"/>
      <c r="AL594" s="45"/>
      <c r="AM594" s="51"/>
      <c r="AN594" s="51"/>
    </row>
    <row r="595" spans="3:40">
      <c r="C595" s="42"/>
      <c r="F595" s="45"/>
      <c r="H595" s="45"/>
      <c r="I595" s="45"/>
      <c r="J595" s="56"/>
      <c r="K595" s="56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Z595" s="56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51"/>
      <c r="AN595" s="51"/>
    </row>
    <row r="596" spans="3:40">
      <c r="F596" s="45"/>
      <c r="H596" s="45"/>
      <c r="I596" s="45"/>
      <c r="J596" s="56"/>
      <c r="K596" s="56"/>
      <c r="Z596" s="56"/>
    </row>
    <row r="597" spans="3:40">
      <c r="C597" s="42"/>
      <c r="F597" s="45"/>
      <c r="H597" s="164"/>
      <c r="I597" s="164"/>
      <c r="J597" s="132"/>
      <c r="K597" s="132"/>
      <c r="L597" s="45"/>
      <c r="M597" s="45"/>
      <c r="N597" s="46"/>
      <c r="O597" s="46"/>
      <c r="P597" s="45"/>
      <c r="Q597" s="45"/>
      <c r="R597" s="45"/>
      <c r="T597" s="42"/>
      <c r="V597" s="45"/>
      <c r="W597" s="45"/>
      <c r="X597" s="45"/>
      <c r="Y597" s="45"/>
      <c r="Z597" s="132"/>
      <c r="AA597" s="45"/>
      <c r="AB597" s="45"/>
      <c r="AC597" s="46"/>
      <c r="AD597" s="46"/>
      <c r="AE597" s="45"/>
      <c r="AF597" s="45"/>
      <c r="AH597" s="51"/>
      <c r="AI597" s="45"/>
      <c r="AJ597" s="45"/>
      <c r="AL597" s="45"/>
      <c r="AM597" s="51"/>
      <c r="AN597" s="51"/>
    </row>
    <row r="598" spans="3:40">
      <c r="F598" s="50"/>
      <c r="H598" s="50"/>
      <c r="I598" s="50"/>
      <c r="J598" s="132"/>
      <c r="K598" s="132"/>
      <c r="L598" s="50"/>
      <c r="M598" s="50"/>
      <c r="N598" s="50"/>
      <c r="O598" s="50"/>
      <c r="P598" s="50"/>
      <c r="Q598" s="50"/>
      <c r="R598" s="50"/>
      <c r="V598" s="50"/>
      <c r="Y598" s="50"/>
      <c r="Z598" s="132"/>
      <c r="AA598" s="50"/>
      <c r="AB598" s="50"/>
      <c r="AC598" s="50"/>
      <c r="AD598" s="50"/>
      <c r="AE598" s="50"/>
      <c r="AF598" s="50"/>
      <c r="AI598" s="50"/>
      <c r="AJ598" s="50"/>
      <c r="AK598" s="111"/>
      <c r="AL598" s="50"/>
    </row>
    <row r="599" spans="3:40">
      <c r="C599" s="42"/>
      <c r="F599" s="45"/>
      <c r="H599" s="45"/>
      <c r="I599" s="45"/>
      <c r="J599" s="56"/>
      <c r="K599" s="56"/>
      <c r="L599" s="45"/>
      <c r="M599" s="45"/>
      <c r="P599" s="45"/>
      <c r="Q599" s="45"/>
      <c r="R599" s="45"/>
      <c r="T599" s="42"/>
      <c r="V599" s="45"/>
      <c r="Y599" s="45"/>
      <c r="Z599" s="56"/>
      <c r="AA599" s="45"/>
      <c r="AB599" s="45"/>
      <c r="AC599" s="51"/>
      <c r="AD599" s="51"/>
      <c r="AE599" s="45"/>
      <c r="AF599" s="45"/>
      <c r="AH599" s="51"/>
      <c r="AI599" s="45"/>
      <c r="AJ599" s="45"/>
      <c r="AL599" s="45"/>
      <c r="AM599" s="51"/>
      <c r="AN599" s="51"/>
    </row>
    <row r="600" spans="3:40">
      <c r="F600" s="50"/>
      <c r="H600" s="50"/>
      <c r="I600" s="50"/>
      <c r="J600" s="132"/>
      <c r="K600" s="132"/>
      <c r="L600" s="50"/>
      <c r="M600" s="50"/>
      <c r="N600" s="50"/>
      <c r="O600" s="50"/>
      <c r="P600" s="50"/>
      <c r="Q600" s="50"/>
      <c r="R600" s="50"/>
      <c r="V600" s="50"/>
      <c r="Y600" s="50"/>
      <c r="Z600" s="132"/>
      <c r="AA600" s="50"/>
      <c r="AB600" s="50"/>
      <c r="AC600" s="50"/>
      <c r="AD600" s="50"/>
      <c r="AE600" s="50"/>
      <c r="AF600" s="50"/>
      <c r="AI600" s="50"/>
      <c r="AJ600" s="50"/>
      <c r="AK600" s="111"/>
      <c r="AL600" s="50"/>
    </row>
    <row r="601" spans="3:40">
      <c r="J601" s="56"/>
      <c r="K601" s="56"/>
      <c r="Z601" s="56"/>
    </row>
    <row r="602" spans="3:40">
      <c r="C602" s="42"/>
      <c r="J602" s="56"/>
      <c r="K602" s="56"/>
      <c r="T602" s="42"/>
      <c r="Z602" s="56"/>
    </row>
    <row r="603" spans="3:40">
      <c r="C603" s="42"/>
      <c r="J603" s="56"/>
      <c r="K603" s="56"/>
      <c r="T603" s="42"/>
      <c r="Z603" s="56"/>
    </row>
    <row r="604" spans="3:40">
      <c r="C604" s="42"/>
      <c r="F604" s="164"/>
      <c r="H604" s="164"/>
      <c r="I604" s="164"/>
      <c r="J604" s="132"/>
      <c r="K604" s="132"/>
      <c r="L604" s="45"/>
      <c r="M604" s="45"/>
      <c r="N604" s="46"/>
      <c r="O604" s="46"/>
      <c r="P604" s="45"/>
      <c r="Q604" s="45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45"/>
      <c r="AJ604" s="45"/>
      <c r="AL604" s="45"/>
      <c r="AM604" s="51"/>
      <c r="AN604" s="51"/>
    </row>
    <row r="605" spans="3:40">
      <c r="C605" s="42"/>
      <c r="J605" s="56"/>
      <c r="K605" s="56"/>
      <c r="T605" s="42"/>
      <c r="Z605" s="56"/>
    </row>
    <row r="606" spans="3:40">
      <c r="C606" s="42"/>
      <c r="F606" s="164"/>
      <c r="H606" s="164"/>
      <c r="I606" s="164"/>
      <c r="J606" s="132"/>
      <c r="K606" s="132"/>
      <c r="L606" s="45"/>
      <c r="M606" s="45"/>
      <c r="N606" s="46"/>
      <c r="O606" s="46"/>
      <c r="P606" s="45"/>
      <c r="Q606" s="45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45"/>
      <c r="AJ606" s="45"/>
      <c r="AL606" s="45"/>
      <c r="AM606" s="51"/>
      <c r="AN606" s="51"/>
    </row>
    <row r="607" spans="3:40">
      <c r="F607" s="50"/>
      <c r="H607" s="50"/>
      <c r="I607" s="50"/>
      <c r="J607" s="132"/>
      <c r="K607" s="132"/>
      <c r="L607" s="50"/>
      <c r="M607" s="50"/>
      <c r="N607" s="50"/>
      <c r="O607" s="50"/>
      <c r="P607" s="50"/>
      <c r="Q607" s="50"/>
      <c r="R607" s="50"/>
      <c r="V607" s="50"/>
      <c r="Y607" s="50"/>
      <c r="Z607" s="132"/>
      <c r="AA607" s="50"/>
      <c r="AB607" s="50"/>
      <c r="AC607" s="50"/>
      <c r="AD607" s="50"/>
      <c r="AE607" s="50"/>
      <c r="AF607" s="50"/>
      <c r="AI607" s="50"/>
      <c r="AJ607" s="50"/>
      <c r="AK607" s="111"/>
      <c r="AL607" s="50"/>
    </row>
    <row r="608" spans="3:40">
      <c r="C608" s="42"/>
      <c r="F608" s="45"/>
      <c r="H608" s="45"/>
      <c r="I608" s="45"/>
      <c r="J608" s="56"/>
      <c r="K608" s="56"/>
      <c r="L608" s="45"/>
      <c r="M608" s="45"/>
      <c r="N608" s="51"/>
      <c r="O608" s="51"/>
      <c r="P608" s="45"/>
      <c r="Q608" s="45"/>
      <c r="R608" s="45"/>
      <c r="T608" s="42"/>
      <c r="V608" s="45"/>
      <c r="Y608" s="45"/>
      <c r="Z608" s="56"/>
      <c r="AA608" s="45"/>
      <c r="AB608" s="45"/>
      <c r="AC608" s="51"/>
      <c r="AD608" s="51"/>
      <c r="AE608" s="45"/>
      <c r="AF608" s="45"/>
      <c r="AH608" s="51"/>
      <c r="AI608" s="45"/>
      <c r="AJ608" s="45"/>
      <c r="AL608" s="45"/>
      <c r="AM608" s="51"/>
      <c r="AN608" s="51"/>
    </row>
    <row r="609" spans="1:40">
      <c r="F609" s="50"/>
      <c r="H609" s="50"/>
      <c r="I609" s="50"/>
      <c r="J609" s="132"/>
      <c r="K609" s="132"/>
      <c r="L609" s="50"/>
      <c r="M609" s="50"/>
      <c r="N609" s="50"/>
      <c r="O609" s="50"/>
      <c r="P609" s="50"/>
      <c r="Q609" s="50"/>
      <c r="R609" s="50"/>
      <c r="V609" s="50"/>
      <c r="Y609" s="50"/>
      <c r="Z609" s="326"/>
      <c r="AA609" s="50"/>
      <c r="AB609" s="50"/>
      <c r="AC609" s="50"/>
      <c r="AD609" s="50"/>
      <c r="AE609" s="50"/>
      <c r="AF609" s="50"/>
      <c r="AI609" s="50"/>
      <c r="AJ609" s="50"/>
      <c r="AK609" s="111"/>
      <c r="AL609" s="50"/>
    </row>
    <row r="610" spans="1:40">
      <c r="J610" s="56"/>
      <c r="K610" s="56"/>
    </row>
    <row r="611" spans="1:40">
      <c r="C611" s="42"/>
      <c r="F611" s="45"/>
      <c r="H611" s="45"/>
      <c r="I611" s="45"/>
      <c r="J611" s="56"/>
      <c r="K611" s="56"/>
      <c r="L611" s="45"/>
      <c r="M611" s="45"/>
      <c r="N611" s="46"/>
      <c r="O611" s="46"/>
      <c r="P611" s="164"/>
      <c r="Q611" s="164"/>
      <c r="R611" s="45"/>
      <c r="T611" s="42"/>
      <c r="V611" s="45"/>
      <c r="Y611" s="45"/>
      <c r="AA611" s="45"/>
      <c r="AB611" s="45"/>
      <c r="AC611" s="51"/>
      <c r="AD611" s="51"/>
      <c r="AE611" s="45"/>
      <c r="AF611" s="45"/>
      <c r="AH611" s="51"/>
      <c r="AI611" s="164"/>
      <c r="AJ611" s="164"/>
      <c r="AL611" s="45"/>
      <c r="AM611" s="51"/>
      <c r="AN611" s="51"/>
    </row>
    <row r="612" spans="1:40">
      <c r="F612" s="50"/>
      <c r="H612" s="50"/>
      <c r="I612" s="50"/>
      <c r="J612" s="132"/>
      <c r="K612" s="132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</row>
    <row r="615" spans="1:40">
      <c r="A615" s="42"/>
    </row>
    <row r="617" spans="1:40">
      <c r="H617" s="42"/>
      <c r="I617" s="42"/>
      <c r="Y617" s="42"/>
    </row>
    <row r="619" spans="1:40">
      <c r="L619" s="42"/>
      <c r="M619" s="42"/>
      <c r="AA619" s="42"/>
      <c r="AB619" s="42"/>
    </row>
    <row r="620" spans="1:40">
      <c r="R620" s="42"/>
      <c r="AK620" s="110"/>
      <c r="AL620" s="42"/>
    </row>
    <row r="621" spans="1:40">
      <c r="R621" s="42"/>
      <c r="AK621" s="110"/>
      <c r="AL621" s="42"/>
    </row>
    <row r="622" spans="1:40">
      <c r="A622" s="42"/>
      <c r="R622" s="42"/>
      <c r="AK622" s="110"/>
      <c r="AL622" s="42"/>
    </row>
    <row r="623" spans="1:40">
      <c r="L623" s="42"/>
      <c r="M623" s="42"/>
      <c r="AA623" s="42"/>
      <c r="AB623" s="42"/>
    </row>
    <row r="624" spans="1:40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107"/>
      <c r="AH624" s="49"/>
      <c r="AI624" s="49"/>
      <c r="AJ624" s="49"/>
      <c r="AK624" s="107"/>
      <c r="AL624" s="49"/>
      <c r="AM624" s="49"/>
      <c r="AN624" s="49"/>
    </row>
    <row r="625" spans="1:40">
      <c r="L625" s="44"/>
      <c r="M625" s="44"/>
      <c r="N625" s="44"/>
      <c r="O625" s="44"/>
      <c r="R625" s="44"/>
      <c r="AA625" s="44"/>
      <c r="AB625" s="44"/>
      <c r="AC625" s="44"/>
      <c r="AD625" s="44"/>
      <c r="AE625" s="44"/>
      <c r="AF625" s="44"/>
      <c r="AG625" s="102"/>
      <c r="AH625" s="44"/>
      <c r="AK625" s="102"/>
      <c r="AL625" s="44"/>
      <c r="AM625" s="44"/>
      <c r="AN625" s="44"/>
    </row>
    <row r="626" spans="1:40">
      <c r="L626" s="44"/>
      <c r="M626" s="44"/>
      <c r="N626" s="44"/>
      <c r="O626" s="44"/>
      <c r="R626" s="44"/>
      <c r="Z626" s="44"/>
      <c r="AA626" s="44"/>
      <c r="AB626" s="44"/>
      <c r="AC626" s="44"/>
      <c r="AD626" s="44"/>
      <c r="AE626" s="44"/>
      <c r="AF626" s="44"/>
      <c r="AG626" s="102"/>
      <c r="AH626" s="44"/>
      <c r="AK626" s="102"/>
      <c r="AL626" s="44"/>
      <c r="AM626" s="44"/>
      <c r="AN626" s="44"/>
    </row>
    <row r="627" spans="1:40">
      <c r="A627" s="44"/>
      <c r="C627" s="44"/>
      <c r="D627" s="44"/>
      <c r="E627" s="44"/>
      <c r="F627" s="44"/>
      <c r="J627" s="44"/>
      <c r="K627" s="44"/>
      <c r="L627" s="44"/>
      <c r="M627" s="44"/>
      <c r="N627" s="44"/>
      <c r="O627" s="44"/>
      <c r="P627" s="44"/>
      <c r="Q627" s="44"/>
      <c r="R627" s="44"/>
      <c r="T627" s="44"/>
      <c r="U627" s="44"/>
      <c r="V627" s="44"/>
      <c r="Z627" s="44"/>
      <c r="AA627" s="44"/>
      <c r="AB627" s="44"/>
      <c r="AC627" s="44"/>
      <c r="AD627" s="44"/>
      <c r="AE627" s="44"/>
      <c r="AF627" s="44"/>
      <c r="AG627" s="102"/>
      <c r="AH627" s="44"/>
      <c r="AI627" s="44"/>
      <c r="AJ627" s="44"/>
      <c r="AK627" s="102"/>
      <c r="AL627" s="44"/>
      <c r="AM627" s="44"/>
      <c r="AN627" s="44"/>
    </row>
    <row r="628" spans="1:40">
      <c r="A628" s="44"/>
      <c r="C628" s="44"/>
      <c r="D628" s="44"/>
      <c r="E628" s="44"/>
      <c r="F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T628" s="44"/>
      <c r="U628" s="44"/>
      <c r="V628" s="44"/>
      <c r="Y628" s="44"/>
      <c r="Z628" s="44"/>
      <c r="AA628" s="44"/>
      <c r="AB628" s="44"/>
      <c r="AC628" s="44"/>
      <c r="AD628" s="44"/>
      <c r="AE628" s="44"/>
      <c r="AF628" s="44"/>
      <c r="AG628" s="102"/>
      <c r="AH628" s="44"/>
      <c r="AI628" s="44"/>
      <c r="AJ628" s="44"/>
      <c r="AK628" s="102"/>
      <c r="AL628" s="44"/>
      <c r="AM628" s="44"/>
      <c r="AN628" s="44"/>
    </row>
    <row r="629" spans="1:40">
      <c r="C629" s="44"/>
      <c r="D629" s="44"/>
      <c r="E629" s="44"/>
      <c r="F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T629" s="44"/>
      <c r="U629" s="44"/>
      <c r="V629" s="44"/>
      <c r="Y629" s="44"/>
      <c r="Z629" s="44"/>
      <c r="AA629" s="44"/>
      <c r="AB629" s="44"/>
      <c r="AC629" s="44"/>
      <c r="AD629" s="44"/>
      <c r="AE629" s="44"/>
      <c r="AF629" s="44"/>
      <c r="AG629" s="102"/>
      <c r="AH629" s="44"/>
      <c r="AI629" s="44"/>
      <c r="AJ629" s="44"/>
      <c r="AK629" s="102"/>
      <c r="AL629" s="44"/>
      <c r="AM629" s="44"/>
      <c r="AN629" s="44"/>
    </row>
    <row r="630" spans="1:40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107"/>
      <c r="AH630" s="49"/>
      <c r="AI630" s="49"/>
      <c r="AJ630" s="49"/>
      <c r="AK630" s="107"/>
      <c r="AL630" s="49"/>
      <c r="AM630" s="49"/>
      <c r="AN630" s="49"/>
    </row>
    <row r="631" spans="1:40"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Y631" s="44"/>
      <c r="Z631" s="44"/>
      <c r="AA631" s="44"/>
      <c r="AB631" s="44"/>
      <c r="AC631" s="44"/>
      <c r="AD631" s="44"/>
      <c r="AE631" s="44"/>
      <c r="AF631" s="44"/>
      <c r="AG631" s="102"/>
      <c r="AH631" s="44"/>
      <c r="AI631" s="44"/>
      <c r="AJ631" s="44"/>
      <c r="AK631" s="102"/>
      <c r="AL631" s="44"/>
      <c r="AM631" s="44"/>
      <c r="AN631" s="44"/>
    </row>
    <row r="632" spans="1:40">
      <c r="C632" s="42"/>
      <c r="D632" s="42"/>
      <c r="E632" s="42"/>
      <c r="T632" s="42"/>
      <c r="U632" s="42"/>
    </row>
    <row r="634" spans="1:40">
      <c r="C634" s="42"/>
      <c r="D634" s="42"/>
      <c r="E634" s="42"/>
      <c r="T634" s="42"/>
      <c r="U634" s="42"/>
    </row>
    <row r="635" spans="1:40">
      <c r="C635" s="42"/>
      <c r="T635" s="42"/>
    </row>
    <row r="636" spans="1:40">
      <c r="C636" s="42"/>
      <c r="T636" s="42"/>
    </row>
    <row r="637" spans="1:40">
      <c r="C637" s="42"/>
      <c r="F637" s="164"/>
      <c r="H637" s="164"/>
      <c r="I637" s="164"/>
      <c r="J637" s="132"/>
      <c r="K637" s="132"/>
      <c r="L637" s="45"/>
      <c r="M637" s="45"/>
      <c r="N637" s="46"/>
      <c r="O637" s="46"/>
      <c r="P637" s="45"/>
      <c r="Q637" s="45"/>
      <c r="R637" s="45"/>
      <c r="T637" s="42"/>
      <c r="V637" s="45"/>
      <c r="W637" s="45"/>
      <c r="X637" s="45"/>
      <c r="Y637" s="45"/>
      <c r="Z637" s="132"/>
      <c r="AA637" s="45"/>
      <c r="AB637" s="45"/>
      <c r="AC637" s="46"/>
      <c r="AD637" s="46"/>
      <c r="AE637" s="45"/>
      <c r="AF637" s="45"/>
      <c r="AH637" s="51"/>
      <c r="AI637" s="45"/>
      <c r="AJ637" s="45"/>
      <c r="AL637" s="45"/>
      <c r="AM637" s="46"/>
      <c r="AN637" s="46"/>
    </row>
    <row r="638" spans="1:40">
      <c r="C638" s="42"/>
      <c r="J638" s="56"/>
      <c r="K638" s="56"/>
      <c r="T638" s="42"/>
      <c r="V638" s="45"/>
      <c r="W638" s="45"/>
      <c r="X638" s="45"/>
      <c r="Y638" s="45"/>
      <c r="Z638" s="132"/>
    </row>
    <row r="639" spans="1:40">
      <c r="C639" s="42"/>
      <c r="F639" s="164"/>
      <c r="H639" s="164"/>
      <c r="I639" s="164"/>
      <c r="J639" s="132"/>
      <c r="K639" s="132"/>
      <c r="L639" s="45"/>
      <c r="M639" s="45"/>
      <c r="N639" s="46"/>
      <c r="O639" s="46"/>
      <c r="P639" s="45"/>
      <c r="Q639" s="45"/>
      <c r="R639" s="45"/>
      <c r="T639" s="42"/>
      <c r="V639" s="45"/>
      <c r="W639" s="45"/>
      <c r="X639" s="45"/>
      <c r="Y639" s="45"/>
      <c r="Z639" s="132"/>
      <c r="AA639" s="45"/>
      <c r="AB639" s="45"/>
      <c r="AC639" s="46"/>
      <c r="AD639" s="46"/>
      <c r="AE639" s="45"/>
      <c r="AF639" s="45"/>
      <c r="AH639" s="51"/>
      <c r="AI639" s="45"/>
      <c r="AJ639" s="45"/>
      <c r="AL639" s="45"/>
      <c r="AM639" s="46"/>
      <c r="AN639" s="46"/>
    </row>
    <row r="640" spans="1:40">
      <c r="C640" s="42"/>
      <c r="J640" s="56"/>
      <c r="K640" s="56"/>
      <c r="T640" s="42"/>
      <c r="V640" s="45"/>
      <c r="W640" s="45"/>
      <c r="X640" s="45"/>
      <c r="Y640" s="45"/>
      <c r="Z640" s="132"/>
    </row>
    <row r="641" spans="3:40">
      <c r="C641" s="42"/>
      <c r="F641" s="164"/>
      <c r="H641" s="164"/>
      <c r="I641" s="164"/>
      <c r="J641" s="132"/>
      <c r="K641" s="132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Z641" s="132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46"/>
      <c r="AN641" s="46"/>
    </row>
    <row r="642" spans="3:40">
      <c r="C642" s="42"/>
      <c r="J642" s="56"/>
      <c r="K642" s="56"/>
      <c r="T642" s="42"/>
      <c r="V642" s="45"/>
      <c r="W642" s="45"/>
      <c r="X642" s="45"/>
      <c r="Y642" s="45"/>
      <c r="Z642" s="132"/>
    </row>
    <row r="643" spans="3:40">
      <c r="C643" s="42"/>
      <c r="F643" s="164"/>
      <c r="H643" s="164"/>
      <c r="I643" s="164"/>
      <c r="J643" s="132"/>
      <c r="K643" s="132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Z643" s="132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46"/>
      <c r="AN643" s="46"/>
    </row>
    <row r="644" spans="3:40">
      <c r="C644" s="42"/>
      <c r="J644" s="56"/>
      <c r="K644" s="56"/>
      <c r="T644" s="42"/>
      <c r="V644" s="45"/>
      <c r="W644" s="45"/>
      <c r="X644" s="45"/>
      <c r="Y644" s="45"/>
      <c r="Z644" s="132"/>
    </row>
    <row r="645" spans="3:40">
      <c r="C645" s="42"/>
      <c r="F645" s="164"/>
      <c r="H645" s="164"/>
      <c r="I645" s="164"/>
      <c r="J645" s="132"/>
      <c r="K645" s="132"/>
      <c r="L645" s="45"/>
      <c r="M645" s="45"/>
      <c r="N645" s="46"/>
      <c r="O645" s="46"/>
      <c r="P645" s="45"/>
      <c r="Q645" s="45"/>
      <c r="R645" s="45"/>
      <c r="T645" s="42"/>
      <c r="V645" s="45"/>
      <c r="W645" s="45"/>
      <c r="X645" s="45"/>
      <c r="Y645" s="45"/>
      <c r="Z645" s="132"/>
      <c r="AA645" s="45"/>
      <c r="AB645" s="45"/>
      <c r="AC645" s="46"/>
      <c r="AD645" s="46"/>
      <c r="AE645" s="45"/>
      <c r="AF645" s="45"/>
      <c r="AH645" s="51"/>
      <c r="AI645" s="45"/>
      <c r="AJ645" s="45"/>
      <c r="AL645" s="45"/>
      <c r="AM645" s="46"/>
      <c r="AN645" s="46"/>
    </row>
    <row r="646" spans="3:40">
      <c r="C646" s="42"/>
      <c r="J646" s="56"/>
      <c r="K646" s="56"/>
      <c r="T646" s="42"/>
      <c r="V646" s="45"/>
      <c r="W646" s="45"/>
      <c r="X646" s="45"/>
      <c r="Y646" s="45"/>
      <c r="Z646" s="132"/>
    </row>
    <row r="647" spans="3:40">
      <c r="C647" s="42"/>
      <c r="F647" s="164"/>
      <c r="H647" s="164"/>
      <c r="I647" s="164"/>
      <c r="J647" s="132"/>
      <c r="K647" s="132"/>
      <c r="L647" s="45"/>
      <c r="M647" s="45"/>
      <c r="N647" s="46"/>
      <c r="O647" s="46"/>
      <c r="P647" s="45"/>
      <c r="Q647" s="45"/>
      <c r="R647" s="45"/>
      <c r="T647" s="42"/>
      <c r="V647" s="45"/>
      <c r="W647" s="45"/>
      <c r="X647" s="45"/>
      <c r="Y647" s="45"/>
      <c r="Z647" s="132"/>
      <c r="AA647" s="45"/>
      <c r="AB647" s="45"/>
      <c r="AC647" s="46"/>
      <c r="AD647" s="46"/>
      <c r="AE647" s="45"/>
      <c r="AF647" s="45"/>
      <c r="AH647" s="51"/>
      <c r="AI647" s="45"/>
      <c r="AJ647" s="45"/>
      <c r="AL647" s="45"/>
      <c r="AM647" s="46"/>
      <c r="AN647" s="46"/>
    </row>
    <row r="648" spans="3:40">
      <c r="F648" s="50"/>
      <c r="H648" s="50"/>
      <c r="I648" s="50"/>
      <c r="J648" s="132"/>
      <c r="K648" s="132"/>
      <c r="L648" s="50"/>
      <c r="M648" s="50"/>
      <c r="N648" s="50"/>
      <c r="O648" s="50"/>
      <c r="P648" s="50"/>
      <c r="Q648" s="50"/>
      <c r="R648" s="50"/>
      <c r="V648" s="50"/>
      <c r="Y648" s="50"/>
      <c r="Z648" s="132"/>
      <c r="AA648" s="50"/>
      <c r="AB648" s="50"/>
      <c r="AC648" s="50"/>
      <c r="AD648" s="50"/>
      <c r="AE648" s="50"/>
      <c r="AF648" s="50"/>
      <c r="AI648" s="50"/>
      <c r="AJ648" s="50"/>
      <c r="AK648" s="111"/>
      <c r="AL648" s="50"/>
      <c r="AM648" s="46"/>
      <c r="AN648" s="46"/>
    </row>
    <row r="649" spans="3:40">
      <c r="C649" s="42"/>
      <c r="F649" s="45"/>
      <c r="H649" s="45"/>
      <c r="I649" s="45"/>
      <c r="J649" s="56"/>
      <c r="K649" s="56"/>
      <c r="L649" s="45"/>
      <c r="M649" s="45"/>
      <c r="N649" s="46"/>
      <c r="O649" s="46"/>
      <c r="P649" s="164"/>
      <c r="Q649" s="164"/>
      <c r="R649" s="45"/>
      <c r="T649" s="42"/>
      <c r="V649" s="45"/>
      <c r="W649" s="45"/>
      <c r="X649" s="45"/>
      <c r="Y649" s="45"/>
      <c r="Z649" s="132"/>
      <c r="AA649" s="45"/>
      <c r="AB649" s="45"/>
      <c r="AC649" s="46"/>
      <c r="AD649" s="46"/>
      <c r="AE649" s="45"/>
      <c r="AF649" s="45"/>
      <c r="AH649" s="51"/>
      <c r="AI649" s="164"/>
      <c r="AJ649" s="164"/>
      <c r="AL649" s="45"/>
      <c r="AM649" s="46"/>
      <c r="AN649" s="46"/>
    </row>
    <row r="650" spans="3:40">
      <c r="F650" s="50"/>
      <c r="H650" s="50"/>
      <c r="I650" s="50"/>
      <c r="J650" s="132"/>
      <c r="K650" s="132"/>
      <c r="L650" s="50"/>
      <c r="M650" s="50"/>
      <c r="N650" s="50"/>
      <c r="O650" s="50"/>
      <c r="P650" s="50"/>
      <c r="Q650" s="50"/>
      <c r="R650" s="50"/>
      <c r="V650" s="50"/>
      <c r="Y650" s="50"/>
      <c r="Z650" s="132"/>
      <c r="AA650" s="50"/>
      <c r="AB650" s="50"/>
      <c r="AC650" s="50"/>
      <c r="AD650" s="50"/>
      <c r="AE650" s="50"/>
      <c r="AF650" s="50"/>
      <c r="AI650" s="50"/>
      <c r="AJ650" s="50"/>
      <c r="AK650" s="111"/>
      <c r="AL650" s="50"/>
    </row>
    <row r="651" spans="3:40">
      <c r="C651" s="42"/>
      <c r="D651" s="42"/>
      <c r="E651" s="42"/>
      <c r="J651" s="56"/>
      <c r="K651" s="56"/>
      <c r="T651" s="42"/>
      <c r="U651" s="42"/>
      <c r="V651" s="45"/>
      <c r="W651" s="45"/>
      <c r="X651" s="45"/>
      <c r="Y651" s="45"/>
      <c r="Z651" s="132"/>
    </row>
    <row r="652" spans="3:40">
      <c r="C652" s="42"/>
      <c r="J652" s="56"/>
      <c r="K652" s="56"/>
      <c r="T652" s="42"/>
      <c r="V652" s="45"/>
      <c r="W652" s="45"/>
      <c r="X652" s="45"/>
      <c r="Y652" s="45"/>
      <c r="Z652" s="132"/>
    </row>
    <row r="653" spans="3:40">
      <c r="C653" s="42"/>
      <c r="J653" s="56"/>
      <c r="K653" s="56"/>
      <c r="T653" s="42"/>
      <c r="V653" s="45"/>
      <c r="W653" s="45"/>
      <c r="X653" s="45"/>
      <c r="Y653" s="45"/>
      <c r="Z653" s="132"/>
    </row>
    <row r="654" spans="3:40">
      <c r="C654" s="42"/>
      <c r="F654" s="164"/>
      <c r="H654" s="164"/>
      <c r="I654" s="164"/>
      <c r="J654" s="132"/>
      <c r="K654" s="132"/>
      <c r="L654" s="45"/>
      <c r="M654" s="45"/>
      <c r="N654" s="46"/>
      <c r="O654" s="46"/>
      <c r="P654" s="45"/>
      <c r="Q654" s="45"/>
      <c r="R654" s="45"/>
      <c r="T654" s="42"/>
      <c r="V654" s="45"/>
      <c r="W654" s="45"/>
      <c r="X654" s="45"/>
      <c r="Y654" s="45"/>
      <c r="Z654" s="132"/>
      <c r="AA654" s="45"/>
      <c r="AB654" s="45"/>
      <c r="AC654" s="46"/>
      <c r="AD654" s="46"/>
      <c r="AE654" s="45"/>
      <c r="AF654" s="45"/>
      <c r="AH654" s="51"/>
      <c r="AI654" s="45"/>
      <c r="AJ654" s="45"/>
      <c r="AL654" s="45"/>
      <c r="AM654" s="46"/>
      <c r="AN654" s="46"/>
    </row>
    <row r="655" spans="3:40">
      <c r="C655" s="42"/>
      <c r="J655" s="56"/>
      <c r="K655" s="56"/>
      <c r="T655" s="42"/>
      <c r="V655" s="45"/>
      <c r="W655" s="45"/>
      <c r="X655" s="45"/>
      <c r="Y655" s="45"/>
      <c r="Z655" s="132"/>
    </row>
    <row r="656" spans="3:40">
      <c r="C656" s="42"/>
      <c r="F656" s="164"/>
      <c r="H656" s="164"/>
      <c r="I656" s="164"/>
      <c r="J656" s="132"/>
      <c r="K656" s="132"/>
      <c r="L656" s="45"/>
      <c r="M656" s="45"/>
      <c r="N656" s="46"/>
      <c r="O656" s="46"/>
      <c r="P656" s="45"/>
      <c r="Q656" s="45"/>
      <c r="R656" s="45"/>
      <c r="T656" s="42"/>
      <c r="V656" s="45"/>
      <c r="W656" s="45"/>
      <c r="X656" s="45"/>
      <c r="Y656" s="45"/>
      <c r="Z656" s="132"/>
      <c r="AA656" s="45"/>
      <c r="AB656" s="45"/>
      <c r="AC656" s="46"/>
      <c r="AD656" s="46"/>
      <c r="AE656" s="45"/>
      <c r="AF656" s="45"/>
      <c r="AH656" s="51"/>
      <c r="AI656" s="45"/>
      <c r="AJ656" s="45"/>
      <c r="AL656" s="45"/>
      <c r="AM656" s="46"/>
      <c r="AN656" s="46"/>
    </row>
    <row r="657" spans="3:40">
      <c r="F657" s="50"/>
      <c r="H657" s="50"/>
      <c r="I657" s="50"/>
      <c r="J657" s="132"/>
      <c r="K657" s="132"/>
      <c r="L657" s="50"/>
      <c r="M657" s="50"/>
      <c r="N657" s="50"/>
      <c r="O657" s="50"/>
      <c r="P657" s="50"/>
      <c r="Q657" s="50"/>
      <c r="R657" s="50"/>
      <c r="V657" s="50"/>
      <c r="Y657" s="50"/>
      <c r="Z657" s="326"/>
      <c r="AA657" s="50"/>
      <c r="AB657" s="50"/>
      <c r="AC657" s="50"/>
      <c r="AD657" s="50"/>
      <c r="AE657" s="50"/>
      <c r="AF657" s="50"/>
      <c r="AI657" s="50"/>
      <c r="AJ657" s="50"/>
      <c r="AK657" s="111"/>
      <c r="AL657" s="50"/>
    </row>
    <row r="658" spans="3:40">
      <c r="C658" s="42"/>
      <c r="F658" s="45"/>
      <c r="H658" s="45"/>
      <c r="I658" s="45"/>
      <c r="L658" s="45"/>
      <c r="M658" s="45"/>
      <c r="N658" s="46"/>
      <c r="O658" s="46"/>
      <c r="P658" s="164"/>
      <c r="Q658" s="164"/>
      <c r="R658" s="45"/>
      <c r="T658" s="42"/>
      <c r="V658" s="45"/>
      <c r="W658" s="45"/>
      <c r="X658" s="45"/>
      <c r="Y658" s="45"/>
      <c r="Z658" s="336"/>
      <c r="AA658" s="45"/>
      <c r="AB658" s="45"/>
      <c r="AC658" s="46"/>
      <c r="AD658" s="46"/>
      <c r="AE658" s="45"/>
      <c r="AF658" s="45"/>
      <c r="AH658" s="51"/>
      <c r="AI658" s="164"/>
      <c r="AJ658" s="164"/>
      <c r="AL658" s="45"/>
      <c r="AM658" s="46"/>
      <c r="AN658" s="46"/>
    </row>
    <row r="659" spans="3:40">
      <c r="F659" s="50"/>
      <c r="H659" s="50"/>
      <c r="I659" s="50"/>
      <c r="J659" s="326"/>
      <c r="K659" s="326"/>
      <c r="L659" s="50"/>
      <c r="M659" s="50"/>
      <c r="N659" s="50"/>
      <c r="O659" s="50"/>
      <c r="P659" s="50"/>
      <c r="Q659" s="50"/>
      <c r="R659" s="50"/>
      <c r="V659" s="50"/>
      <c r="Y659" s="50"/>
      <c r="Z659" s="326"/>
      <c r="AA659" s="50"/>
      <c r="AB659" s="50"/>
      <c r="AC659" s="50"/>
      <c r="AD659" s="50"/>
      <c r="AE659" s="50"/>
      <c r="AF659" s="50"/>
      <c r="AI659" s="50"/>
      <c r="AJ659" s="50"/>
      <c r="AK659" s="111"/>
      <c r="AL659" s="50"/>
    </row>
    <row r="660" spans="3:40">
      <c r="C660" s="42"/>
      <c r="D660" s="42"/>
      <c r="E660" s="42"/>
      <c r="T660" s="42"/>
      <c r="U660" s="42"/>
      <c r="V660" s="45"/>
      <c r="W660" s="45"/>
      <c r="X660" s="45"/>
      <c r="Y660" s="45"/>
      <c r="Z660" s="336"/>
    </row>
    <row r="661" spans="3:40">
      <c r="C661" s="42"/>
      <c r="T661" s="42"/>
      <c r="V661" s="45"/>
      <c r="W661" s="45"/>
      <c r="X661" s="45"/>
      <c r="Y661" s="45"/>
      <c r="Z661" s="336"/>
    </row>
    <row r="662" spans="3:40">
      <c r="C662" s="42"/>
      <c r="F662" s="164"/>
      <c r="H662" s="164"/>
      <c r="I662" s="164"/>
      <c r="J662" s="336"/>
      <c r="K662" s="336"/>
      <c r="L662" s="45"/>
      <c r="M662" s="45"/>
      <c r="N662" s="46"/>
      <c r="O662" s="46"/>
      <c r="P662" s="45"/>
      <c r="Q662" s="45"/>
      <c r="R662" s="45"/>
      <c r="T662" s="42"/>
      <c r="V662" s="45"/>
      <c r="W662" s="45"/>
      <c r="X662" s="45"/>
      <c r="Y662" s="45"/>
      <c r="Z662" s="336"/>
      <c r="AA662" s="45"/>
      <c r="AB662" s="45"/>
      <c r="AC662" s="46"/>
      <c r="AD662" s="46"/>
      <c r="AE662" s="45"/>
      <c r="AF662" s="45"/>
      <c r="AH662" s="51"/>
      <c r="AI662" s="45"/>
      <c r="AJ662" s="45"/>
      <c r="AL662" s="45"/>
      <c r="AM662" s="46"/>
      <c r="AN662" s="46"/>
    </row>
    <row r="663" spans="3:40">
      <c r="C663" s="42"/>
      <c r="T663" s="42"/>
      <c r="V663" s="45"/>
      <c r="W663" s="45"/>
      <c r="X663" s="45"/>
      <c r="Y663" s="45"/>
      <c r="Z663" s="336"/>
    </row>
    <row r="664" spans="3:40">
      <c r="C664" s="42"/>
      <c r="F664" s="164"/>
      <c r="H664" s="164"/>
      <c r="I664" s="164"/>
      <c r="J664" s="336"/>
      <c r="K664" s="336"/>
      <c r="L664" s="45"/>
      <c r="M664" s="45"/>
      <c r="N664" s="46"/>
      <c r="O664" s="46"/>
      <c r="P664" s="45"/>
      <c r="Q664" s="45"/>
      <c r="R664" s="45"/>
      <c r="T664" s="42"/>
      <c r="V664" s="45"/>
      <c r="W664" s="45"/>
      <c r="X664" s="45"/>
      <c r="Y664" s="45"/>
      <c r="Z664" s="336"/>
      <c r="AA664" s="45"/>
      <c r="AB664" s="45"/>
      <c r="AC664" s="46"/>
      <c r="AD664" s="46"/>
      <c r="AE664" s="45"/>
      <c r="AF664" s="45"/>
      <c r="AH664" s="51"/>
      <c r="AI664" s="45"/>
      <c r="AJ664" s="45"/>
      <c r="AL664" s="45"/>
      <c r="AM664" s="46"/>
      <c r="AN664" s="46"/>
    </row>
    <row r="665" spans="3:40">
      <c r="C665" s="42"/>
      <c r="T665" s="42"/>
      <c r="V665" s="45"/>
      <c r="W665" s="45"/>
      <c r="X665" s="45"/>
      <c r="Y665" s="45"/>
      <c r="Z665" s="336"/>
    </row>
    <row r="666" spans="3:40">
      <c r="C666" s="42"/>
      <c r="F666" s="164"/>
      <c r="H666" s="164"/>
      <c r="I666" s="164"/>
      <c r="J666" s="336"/>
      <c r="K666" s="336"/>
      <c r="L666" s="45"/>
      <c r="M666" s="45"/>
      <c r="N666" s="46"/>
      <c r="O666" s="46"/>
      <c r="P666" s="45"/>
      <c r="Q666" s="45"/>
      <c r="R666" s="45"/>
      <c r="T666" s="42"/>
      <c r="V666" s="45"/>
      <c r="W666" s="45"/>
      <c r="X666" s="45"/>
      <c r="Y666" s="45"/>
      <c r="Z666" s="336"/>
      <c r="AA666" s="45"/>
      <c r="AB666" s="45"/>
      <c r="AC666" s="46"/>
      <c r="AD666" s="46"/>
      <c r="AE666" s="45"/>
      <c r="AF666" s="45"/>
      <c r="AH666" s="51"/>
      <c r="AI666" s="45"/>
      <c r="AJ666" s="45"/>
      <c r="AL666" s="45"/>
      <c r="AM666" s="46"/>
      <c r="AN666" s="46"/>
    </row>
    <row r="667" spans="3:40">
      <c r="C667" s="42"/>
      <c r="T667" s="42"/>
      <c r="V667" s="45"/>
      <c r="W667" s="45"/>
      <c r="X667" s="45"/>
      <c r="Y667" s="45"/>
      <c r="Z667" s="336"/>
    </row>
    <row r="668" spans="3:40">
      <c r="C668" s="42"/>
      <c r="F668" s="164"/>
      <c r="H668" s="164"/>
      <c r="I668" s="164"/>
      <c r="J668" s="336"/>
      <c r="K668" s="336"/>
      <c r="L668" s="45"/>
      <c r="M668" s="45"/>
      <c r="N668" s="46"/>
      <c r="O668" s="46"/>
      <c r="P668" s="45"/>
      <c r="Q668" s="45"/>
      <c r="R668" s="45"/>
      <c r="T668" s="42"/>
      <c r="V668" s="45"/>
      <c r="W668" s="45"/>
      <c r="X668" s="45"/>
      <c r="Y668" s="45"/>
      <c r="Z668" s="336"/>
      <c r="AA668" s="45"/>
      <c r="AB668" s="45"/>
      <c r="AC668" s="46"/>
      <c r="AD668" s="46"/>
      <c r="AE668" s="45"/>
      <c r="AF668" s="45"/>
      <c r="AH668" s="51"/>
      <c r="AI668" s="45"/>
      <c r="AJ668" s="45"/>
      <c r="AL668" s="45"/>
      <c r="AM668" s="46"/>
      <c r="AN668" s="46"/>
    </row>
    <row r="669" spans="3:40">
      <c r="F669" s="50"/>
      <c r="H669" s="50"/>
      <c r="I669" s="50"/>
      <c r="J669" s="326"/>
      <c r="K669" s="326"/>
      <c r="L669" s="50"/>
      <c r="M669" s="50"/>
      <c r="N669" s="50"/>
      <c r="O669" s="50"/>
      <c r="P669" s="50"/>
      <c r="Q669" s="50"/>
      <c r="R669" s="50"/>
      <c r="V669" s="50"/>
      <c r="Y669" s="50"/>
      <c r="Z669" s="326"/>
      <c r="AA669" s="50"/>
      <c r="AB669" s="50"/>
      <c r="AC669" s="50"/>
      <c r="AD669" s="50"/>
      <c r="AE669" s="50"/>
      <c r="AF669" s="50"/>
      <c r="AI669" s="50"/>
      <c r="AJ669" s="50"/>
      <c r="AK669" s="111"/>
      <c r="AL669" s="50"/>
    </row>
    <row r="670" spans="3:40">
      <c r="C670" s="42"/>
      <c r="F670" s="45"/>
      <c r="H670" s="45"/>
      <c r="I670" s="45"/>
      <c r="L670" s="45"/>
      <c r="M670" s="45"/>
      <c r="N670" s="46"/>
      <c r="O670" s="46"/>
      <c r="P670" s="164"/>
      <c r="Q670" s="164"/>
      <c r="R670" s="45"/>
      <c r="T670" s="42"/>
      <c r="V670" s="45"/>
      <c r="W670" s="45"/>
      <c r="X670" s="45"/>
      <c r="Y670" s="45"/>
      <c r="Z670" s="336"/>
      <c r="AA670" s="45"/>
      <c r="AB670" s="45"/>
      <c r="AC670" s="46"/>
      <c r="AD670" s="46"/>
      <c r="AE670" s="45"/>
      <c r="AF670" s="45"/>
      <c r="AH670" s="51"/>
      <c r="AI670" s="164"/>
      <c r="AJ670" s="164"/>
      <c r="AL670" s="45"/>
      <c r="AM670" s="46"/>
      <c r="AN670" s="46"/>
    </row>
    <row r="671" spans="3:40">
      <c r="F671" s="50"/>
      <c r="H671" s="50"/>
      <c r="I671" s="50"/>
      <c r="J671" s="326"/>
      <c r="K671" s="326"/>
      <c r="L671" s="50"/>
      <c r="M671" s="50"/>
      <c r="N671" s="50"/>
      <c r="O671" s="50"/>
      <c r="P671" s="50"/>
      <c r="Q671" s="50"/>
      <c r="R671" s="50"/>
      <c r="V671" s="50"/>
      <c r="Y671" s="50"/>
      <c r="Z671" s="326"/>
      <c r="AA671" s="50"/>
      <c r="AB671" s="50"/>
      <c r="AC671" s="50"/>
      <c r="AD671" s="50"/>
      <c r="AE671" s="50"/>
      <c r="AF671" s="50"/>
      <c r="AI671" s="50"/>
      <c r="AJ671" s="50"/>
      <c r="AK671" s="111"/>
      <c r="AL671" s="50"/>
    </row>
    <row r="672" spans="3:40">
      <c r="C672" s="42"/>
      <c r="F672" s="45"/>
      <c r="H672" s="45"/>
      <c r="I672" s="45"/>
      <c r="L672" s="45"/>
      <c r="M672" s="45"/>
      <c r="N672" s="46"/>
      <c r="O672" s="46"/>
      <c r="P672" s="45"/>
      <c r="Q672" s="45"/>
      <c r="R672" s="45"/>
      <c r="T672" s="42"/>
      <c r="V672" s="45"/>
      <c r="W672" s="45"/>
      <c r="X672" s="45"/>
      <c r="Y672" s="45"/>
      <c r="AA672" s="45"/>
      <c r="AB672" s="45"/>
      <c r="AC672" s="46"/>
      <c r="AD672" s="46"/>
      <c r="AE672" s="45"/>
      <c r="AF672" s="45"/>
      <c r="AH672" s="51"/>
      <c r="AI672" s="45"/>
      <c r="AJ672" s="45"/>
      <c r="AL672" s="45"/>
      <c r="AM672" s="51"/>
      <c r="AN672" s="51"/>
    </row>
    <row r="673" spans="1:40">
      <c r="F673" s="50"/>
      <c r="H673" s="50"/>
      <c r="I673" s="50"/>
      <c r="J673" s="326"/>
      <c r="K673" s="326"/>
      <c r="L673" s="50"/>
      <c r="M673" s="50"/>
      <c r="N673" s="50"/>
      <c r="O673" s="50"/>
      <c r="P673" s="50"/>
      <c r="Q673" s="50"/>
      <c r="R673" s="50"/>
      <c r="V673" s="50"/>
      <c r="Y673" s="50"/>
      <c r="Z673" s="326"/>
      <c r="AA673" s="50"/>
      <c r="AB673" s="50"/>
      <c r="AC673" s="50"/>
      <c r="AD673" s="50"/>
      <c r="AE673" s="50"/>
      <c r="AF673" s="50"/>
      <c r="AI673" s="50"/>
      <c r="AJ673" s="50"/>
      <c r="AK673" s="111"/>
      <c r="AL673" s="50"/>
    </row>
    <row r="676" spans="1:40">
      <c r="A676" s="42"/>
    </row>
    <row r="678" spans="1:40">
      <c r="H678" s="42"/>
      <c r="I678" s="42"/>
      <c r="Y678" s="42"/>
    </row>
    <row r="680" spans="1:40">
      <c r="L680" s="42"/>
      <c r="M680" s="42"/>
      <c r="AA680" s="42"/>
      <c r="AB680" s="42"/>
    </row>
    <row r="681" spans="1:40">
      <c r="R681" s="42"/>
      <c r="AK681" s="110"/>
      <c r="AL681" s="42"/>
    </row>
    <row r="682" spans="1:40">
      <c r="R682" s="42"/>
      <c r="AK682" s="110"/>
      <c r="AL682" s="42"/>
    </row>
    <row r="683" spans="1:40">
      <c r="A683" s="42"/>
      <c r="R683" s="42"/>
      <c r="AK683" s="110"/>
      <c r="AL683" s="42"/>
    </row>
    <row r="684" spans="1:40">
      <c r="L684" s="42"/>
      <c r="M684" s="42"/>
      <c r="AA684" s="42"/>
      <c r="AB684" s="42"/>
    </row>
    <row r="685" spans="1:40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107"/>
      <c r="AH685" s="49"/>
      <c r="AI685" s="49"/>
      <c r="AJ685" s="49"/>
      <c r="AK685" s="107"/>
      <c r="AL685" s="49"/>
      <c r="AM685" s="49"/>
      <c r="AN685" s="49"/>
    </row>
    <row r="686" spans="1:40">
      <c r="L686" s="44"/>
      <c r="M686" s="44"/>
      <c r="N686" s="44"/>
      <c r="O686" s="44"/>
      <c r="R686" s="44"/>
      <c r="AA686" s="44"/>
      <c r="AB686" s="44"/>
      <c r="AC686" s="44"/>
      <c r="AD686" s="44"/>
      <c r="AE686" s="44"/>
      <c r="AF686" s="44"/>
      <c r="AG686" s="102"/>
      <c r="AH686" s="44"/>
      <c r="AK686" s="102"/>
      <c r="AL686" s="44"/>
      <c r="AM686" s="44"/>
      <c r="AN686" s="44"/>
    </row>
    <row r="687" spans="1:40">
      <c r="L687" s="44"/>
      <c r="M687" s="44"/>
      <c r="N687" s="44"/>
      <c r="O687" s="44"/>
      <c r="R687" s="44"/>
      <c r="Z687" s="44"/>
      <c r="AA687" s="44"/>
      <c r="AB687" s="44"/>
      <c r="AC687" s="44"/>
      <c r="AD687" s="44"/>
      <c r="AE687" s="44"/>
      <c r="AF687" s="44"/>
      <c r="AG687" s="102"/>
      <c r="AH687" s="44"/>
      <c r="AK687" s="102"/>
      <c r="AL687" s="44"/>
      <c r="AM687" s="44"/>
      <c r="AN687" s="44"/>
    </row>
    <row r="688" spans="1:40">
      <c r="A688" s="44"/>
      <c r="C688" s="44"/>
      <c r="D688" s="44"/>
      <c r="E688" s="44"/>
      <c r="F688" s="44"/>
      <c r="J688" s="44"/>
      <c r="K688" s="44"/>
      <c r="L688" s="44"/>
      <c r="M688" s="44"/>
      <c r="N688" s="44"/>
      <c r="O688" s="44"/>
      <c r="P688" s="44"/>
      <c r="Q688" s="44"/>
      <c r="R688" s="44"/>
      <c r="T688" s="44"/>
      <c r="U688" s="44"/>
      <c r="V688" s="44"/>
      <c r="Z688" s="44"/>
      <c r="AA688" s="44"/>
      <c r="AB688" s="44"/>
      <c r="AC688" s="44"/>
      <c r="AD688" s="44"/>
      <c r="AE688" s="44"/>
      <c r="AF688" s="44"/>
      <c r="AG688" s="102"/>
      <c r="AH688" s="44"/>
      <c r="AI688" s="44"/>
      <c r="AJ688" s="44"/>
      <c r="AK688" s="102"/>
      <c r="AL688" s="44"/>
      <c r="AM688" s="44"/>
      <c r="AN688" s="44"/>
    </row>
    <row r="689" spans="1:40">
      <c r="A689" s="44"/>
      <c r="C689" s="44"/>
      <c r="D689" s="44"/>
      <c r="E689" s="44"/>
      <c r="F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T689" s="44"/>
      <c r="U689" s="44"/>
      <c r="V689" s="44"/>
      <c r="Y689" s="44"/>
      <c r="Z689" s="44"/>
      <c r="AA689" s="44"/>
      <c r="AB689" s="44"/>
      <c r="AC689" s="44"/>
      <c r="AD689" s="44"/>
      <c r="AE689" s="44"/>
      <c r="AF689" s="44"/>
      <c r="AG689" s="102"/>
      <c r="AH689" s="44"/>
      <c r="AI689" s="44"/>
      <c r="AJ689" s="44"/>
      <c r="AK689" s="102"/>
      <c r="AL689" s="44"/>
      <c r="AM689" s="44"/>
      <c r="AN689" s="44"/>
    </row>
    <row r="690" spans="1:40">
      <c r="C690" s="44"/>
      <c r="D690" s="44"/>
      <c r="E690" s="44"/>
      <c r="F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T690" s="44"/>
      <c r="U690" s="44"/>
      <c r="V690" s="44"/>
      <c r="Y690" s="44"/>
      <c r="Z690" s="44"/>
      <c r="AA690" s="44"/>
      <c r="AB690" s="44"/>
      <c r="AC690" s="44"/>
      <c r="AD690" s="44"/>
      <c r="AE690" s="44"/>
      <c r="AF690" s="44"/>
      <c r="AG690" s="102"/>
      <c r="AH690" s="44"/>
      <c r="AI690" s="44"/>
      <c r="AJ690" s="44"/>
      <c r="AK690" s="102"/>
      <c r="AL690" s="44"/>
      <c r="AM690" s="44"/>
      <c r="AN690" s="44"/>
    </row>
    <row r="691" spans="1:40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107"/>
      <c r="AH691" s="49"/>
      <c r="AI691" s="49"/>
      <c r="AJ691" s="49"/>
      <c r="AK691" s="107"/>
      <c r="AL691" s="49"/>
      <c r="AM691" s="49"/>
      <c r="AN691" s="49"/>
    </row>
    <row r="692" spans="1:40"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Y692" s="44"/>
      <c r="Z692" s="44"/>
      <c r="AA692" s="44"/>
      <c r="AB692" s="44"/>
      <c r="AC692" s="44"/>
      <c r="AD692" s="44"/>
      <c r="AE692" s="44"/>
      <c r="AF692" s="44"/>
      <c r="AG692" s="102"/>
      <c r="AH692" s="44"/>
      <c r="AI692" s="44"/>
      <c r="AJ692" s="44"/>
      <c r="AK692" s="102"/>
      <c r="AL692" s="44"/>
      <c r="AM692" s="44"/>
      <c r="AN692" s="44"/>
    </row>
    <row r="693" spans="1:40">
      <c r="C693" s="42"/>
      <c r="D693" s="42"/>
      <c r="E693" s="42"/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T693" s="42"/>
      <c r="U693" s="42"/>
      <c r="V693" s="45"/>
      <c r="Y693" s="45"/>
      <c r="Z693" s="47"/>
      <c r="AA693" s="45"/>
      <c r="AB693" s="45"/>
      <c r="AC693" s="47"/>
      <c r="AD693" s="47"/>
      <c r="AE693" s="45"/>
      <c r="AF693" s="45"/>
      <c r="AH693" s="51"/>
      <c r="AI693" s="45"/>
      <c r="AJ693" s="45"/>
      <c r="AL693" s="45"/>
      <c r="AM693" s="46"/>
      <c r="AN693" s="46"/>
    </row>
    <row r="694" spans="1:40">
      <c r="F694" s="50"/>
      <c r="H694" s="50"/>
      <c r="I694" s="50"/>
      <c r="J694" s="326"/>
      <c r="K694" s="326"/>
      <c r="L694" s="50"/>
      <c r="M694" s="50"/>
      <c r="N694" s="50"/>
      <c r="O694" s="50"/>
      <c r="P694" s="50"/>
      <c r="Q694" s="50"/>
      <c r="R694" s="50"/>
      <c r="V694" s="50"/>
      <c r="Y694" s="50"/>
      <c r="Z694" s="326"/>
      <c r="AA694" s="50"/>
      <c r="AB694" s="50"/>
      <c r="AC694" s="50"/>
      <c r="AD694" s="50"/>
      <c r="AE694" s="50"/>
      <c r="AF694" s="50"/>
      <c r="AI694" s="50"/>
      <c r="AJ694" s="50"/>
      <c r="AK694" s="111"/>
      <c r="AL694" s="50"/>
      <c r="AM694" s="46"/>
      <c r="AN694" s="46"/>
    </row>
    <row r="695" spans="1:40">
      <c r="C695" s="42"/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T695" s="42"/>
      <c r="V695" s="45"/>
      <c r="Y695" s="45"/>
      <c r="Z695" s="47"/>
      <c r="AA695" s="45"/>
      <c r="AB695" s="45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1:40">
      <c r="F696" s="45"/>
      <c r="H696" s="45"/>
      <c r="I696" s="45"/>
      <c r="J696" s="47"/>
      <c r="K696" s="47"/>
      <c r="L696" s="45"/>
      <c r="M696" s="45"/>
      <c r="N696" s="47"/>
      <c r="O696" s="47"/>
      <c r="P696" s="45"/>
      <c r="Q696" s="45"/>
      <c r="R696" s="45"/>
      <c r="V696" s="45"/>
      <c r="Y696" s="45"/>
      <c r="Z696" s="47"/>
      <c r="AA696" s="45"/>
      <c r="AB696" s="45"/>
      <c r="AC696" s="47"/>
      <c r="AD696" s="47"/>
      <c r="AH696" s="51"/>
      <c r="AI696" s="45"/>
      <c r="AJ696" s="45"/>
      <c r="AL696" s="45"/>
      <c r="AM696" s="46"/>
      <c r="AN696" s="46"/>
    </row>
    <row r="697" spans="1:40">
      <c r="C697" s="42"/>
      <c r="D697" s="42"/>
      <c r="E697" s="42"/>
      <c r="F697" s="45"/>
      <c r="H697" s="45"/>
      <c r="I697" s="45"/>
      <c r="J697" s="47"/>
      <c r="K697" s="47"/>
      <c r="L697" s="45"/>
      <c r="M697" s="45"/>
      <c r="N697" s="47"/>
      <c r="O697" s="47"/>
      <c r="P697" s="45"/>
      <c r="Q697" s="45"/>
      <c r="R697" s="45"/>
      <c r="T697" s="42"/>
      <c r="U697" s="42"/>
      <c r="V697" s="45"/>
      <c r="Y697" s="45"/>
      <c r="Z697" s="47"/>
      <c r="AA697" s="45"/>
      <c r="AB697" s="45"/>
      <c r="AC697" s="47"/>
      <c r="AD697" s="47"/>
      <c r="AE697" s="45"/>
      <c r="AF697" s="45"/>
      <c r="AH697" s="51"/>
      <c r="AI697" s="45"/>
      <c r="AJ697" s="45"/>
      <c r="AL697" s="45"/>
      <c r="AM697" s="46"/>
      <c r="AN697" s="46"/>
    </row>
    <row r="698" spans="1:40">
      <c r="C698" s="42"/>
      <c r="D698" s="42"/>
      <c r="E698" s="42"/>
      <c r="F698" s="45"/>
      <c r="H698" s="45"/>
      <c r="I698" s="45"/>
      <c r="J698" s="47"/>
      <c r="K698" s="47"/>
      <c r="L698" s="45"/>
      <c r="M698" s="45"/>
      <c r="N698" s="47"/>
      <c r="O698" s="47"/>
      <c r="P698" s="45"/>
      <c r="Q698" s="45"/>
      <c r="R698" s="45"/>
      <c r="T698" s="42"/>
      <c r="U698" s="42"/>
      <c r="V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1:40">
      <c r="C699" s="42"/>
      <c r="D699" s="42"/>
      <c r="E699" s="42"/>
      <c r="F699" s="45"/>
      <c r="H699" s="45"/>
      <c r="I699" s="45"/>
      <c r="J699" s="47"/>
      <c r="K699" s="47"/>
      <c r="L699" s="45"/>
      <c r="M699" s="45"/>
      <c r="N699" s="47"/>
      <c r="O699" s="47"/>
      <c r="P699" s="45"/>
      <c r="Q699" s="45"/>
      <c r="R699" s="45"/>
      <c r="T699" s="42"/>
      <c r="U699" s="42"/>
      <c r="V699" s="45"/>
      <c r="Y699" s="45"/>
      <c r="Z699" s="47"/>
      <c r="AA699" s="45"/>
      <c r="AB699" s="45"/>
      <c r="AC699" s="47"/>
      <c r="AD699" s="47"/>
      <c r="AE699" s="45"/>
      <c r="AF699" s="45"/>
      <c r="AH699" s="51"/>
      <c r="AI699" s="45"/>
      <c r="AJ699" s="45"/>
      <c r="AL699" s="45"/>
      <c r="AM699" s="46"/>
      <c r="AN699" s="46"/>
    </row>
    <row r="700" spans="1:40">
      <c r="C700" s="42"/>
      <c r="D700" s="42"/>
      <c r="E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U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1:40">
      <c r="C701" s="42"/>
      <c r="D701" s="42"/>
      <c r="E701" s="42"/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T701" s="42"/>
      <c r="U701" s="42"/>
      <c r="V701" s="45"/>
      <c r="Y701" s="45"/>
      <c r="Z701" s="47"/>
      <c r="AA701" s="45"/>
      <c r="AB701" s="45"/>
      <c r="AC701" s="47"/>
      <c r="AD701" s="47"/>
      <c r="AE701" s="45"/>
      <c r="AF701" s="45"/>
      <c r="AH701" s="51"/>
      <c r="AI701" s="45"/>
      <c r="AJ701" s="45"/>
      <c r="AL701" s="45"/>
      <c r="AM701" s="46"/>
      <c r="AN701" s="46"/>
    </row>
    <row r="702" spans="1:40">
      <c r="C702" s="42"/>
      <c r="D702" s="42"/>
      <c r="E702" s="42"/>
      <c r="F702" s="45"/>
      <c r="H702" s="45"/>
      <c r="I702" s="45"/>
      <c r="J702" s="47"/>
      <c r="K702" s="47"/>
      <c r="L702" s="45"/>
      <c r="M702" s="45"/>
      <c r="N702" s="47"/>
      <c r="O702" s="47"/>
      <c r="P702" s="45"/>
      <c r="Q702" s="45"/>
      <c r="R702" s="45"/>
      <c r="T702" s="42"/>
      <c r="U702" s="42"/>
      <c r="V702" s="45"/>
      <c r="Y702" s="45"/>
      <c r="Z702" s="47"/>
      <c r="AA702" s="45"/>
      <c r="AB702" s="45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1:40">
      <c r="F703" s="50"/>
      <c r="H703" s="50"/>
      <c r="I703" s="50"/>
      <c r="J703" s="326"/>
      <c r="K703" s="326"/>
      <c r="L703" s="50"/>
      <c r="M703" s="50"/>
      <c r="N703" s="50"/>
      <c r="O703" s="50"/>
      <c r="P703" s="50"/>
      <c r="Q703" s="50"/>
      <c r="R703" s="50"/>
      <c r="V703" s="50"/>
      <c r="Y703" s="50"/>
      <c r="Z703" s="326"/>
      <c r="AA703" s="50"/>
      <c r="AB703" s="50"/>
      <c r="AC703" s="50"/>
      <c r="AD703" s="50"/>
      <c r="AE703" s="50"/>
      <c r="AF703" s="50"/>
      <c r="AI703" s="50"/>
      <c r="AJ703" s="50"/>
      <c r="AK703" s="111"/>
      <c r="AL703" s="50"/>
      <c r="AM703" s="46"/>
      <c r="AN703" s="46"/>
    </row>
    <row r="704" spans="1:40">
      <c r="C704" s="42"/>
      <c r="F704" s="45"/>
      <c r="H704" s="45"/>
      <c r="I704" s="45"/>
      <c r="J704" s="47"/>
      <c r="K704" s="47"/>
      <c r="L704" s="45"/>
      <c r="M704" s="45"/>
      <c r="N704" s="47"/>
      <c r="O704" s="47"/>
      <c r="P704" s="45"/>
      <c r="Q704" s="45"/>
      <c r="R704" s="45"/>
      <c r="T704" s="42"/>
      <c r="V704" s="45"/>
      <c r="Y704" s="45"/>
      <c r="Z704" s="47"/>
      <c r="AA704" s="45"/>
      <c r="AB704" s="45"/>
      <c r="AC704" s="47"/>
      <c r="AD704" s="47"/>
      <c r="AE704" s="45"/>
      <c r="AF704" s="45"/>
      <c r="AH704" s="51"/>
      <c r="AI704" s="45"/>
      <c r="AJ704" s="45"/>
      <c r="AL704" s="45"/>
      <c r="AM704" s="46"/>
      <c r="AN704" s="46"/>
    </row>
    <row r="705" spans="3:40">
      <c r="F705" s="45"/>
      <c r="H705" s="45"/>
      <c r="I705" s="45"/>
      <c r="J705" s="47"/>
      <c r="K705" s="47"/>
      <c r="L705" s="45"/>
      <c r="M705" s="45"/>
      <c r="N705" s="47"/>
      <c r="O705" s="47"/>
      <c r="P705" s="45"/>
      <c r="Q705" s="45"/>
      <c r="R705" s="45"/>
      <c r="V705" s="45"/>
      <c r="Y705" s="45"/>
      <c r="Z705" s="47"/>
      <c r="AA705" s="45"/>
      <c r="AB705" s="45"/>
      <c r="AC705" s="47"/>
      <c r="AD705" s="47"/>
      <c r="AH705" s="51"/>
      <c r="AI705" s="45"/>
      <c r="AJ705" s="45"/>
      <c r="AL705" s="45"/>
      <c r="AM705" s="46"/>
      <c r="AN705" s="46"/>
    </row>
    <row r="706" spans="3:40">
      <c r="C706" s="42"/>
      <c r="D706" s="42"/>
      <c r="E706" s="42"/>
      <c r="F706" s="45"/>
      <c r="H706" s="45"/>
      <c r="I706" s="45"/>
      <c r="J706" s="47"/>
      <c r="K706" s="47"/>
      <c r="L706" s="45"/>
      <c r="M706" s="45"/>
      <c r="N706" s="47"/>
      <c r="O706" s="47"/>
      <c r="P706" s="45"/>
      <c r="Q706" s="45"/>
      <c r="R706" s="45"/>
      <c r="T706" s="42"/>
      <c r="U706" s="42"/>
      <c r="V706" s="45"/>
      <c r="Y706" s="45"/>
      <c r="Z706" s="47"/>
      <c r="AA706" s="45"/>
      <c r="AB706" s="45"/>
      <c r="AC706" s="47"/>
      <c r="AD706" s="47"/>
      <c r="AE706" s="45"/>
      <c r="AF706" s="45"/>
      <c r="AH706" s="51"/>
      <c r="AI706" s="45"/>
      <c r="AJ706" s="45"/>
      <c r="AL706" s="45"/>
      <c r="AM706" s="46"/>
      <c r="AN706" s="46"/>
    </row>
    <row r="707" spans="3:40">
      <c r="F707" s="50"/>
      <c r="H707" s="50"/>
      <c r="I707" s="50"/>
      <c r="J707" s="326"/>
      <c r="K707" s="326"/>
      <c r="L707" s="50"/>
      <c r="M707" s="50"/>
      <c r="N707" s="50"/>
      <c r="O707" s="50"/>
      <c r="P707" s="50"/>
      <c r="Q707" s="50"/>
      <c r="R707" s="50"/>
      <c r="V707" s="50"/>
      <c r="Y707" s="50"/>
      <c r="Z707" s="326"/>
      <c r="AA707" s="50"/>
      <c r="AB707" s="50"/>
      <c r="AC707" s="50"/>
      <c r="AD707" s="50"/>
      <c r="AE707" s="50"/>
      <c r="AF707" s="50"/>
      <c r="AI707" s="50"/>
      <c r="AJ707" s="50"/>
      <c r="AK707" s="111"/>
      <c r="AL707" s="50"/>
      <c r="AM707" s="46"/>
      <c r="AN707" s="46"/>
    </row>
    <row r="708" spans="3:40">
      <c r="C708" s="42"/>
      <c r="F708" s="45"/>
      <c r="H708" s="45"/>
      <c r="I708" s="45"/>
      <c r="J708" s="47"/>
      <c r="K708" s="47"/>
      <c r="L708" s="45"/>
      <c r="M708" s="45"/>
      <c r="N708" s="47"/>
      <c r="O708" s="47"/>
      <c r="P708" s="45"/>
      <c r="Q708" s="45"/>
      <c r="R708" s="45"/>
      <c r="T708" s="42"/>
      <c r="V708" s="45"/>
      <c r="Y708" s="45"/>
      <c r="Z708" s="47"/>
      <c r="AA708" s="45"/>
      <c r="AB708" s="45"/>
      <c r="AC708" s="47"/>
      <c r="AD708" s="47"/>
      <c r="AE708" s="45"/>
      <c r="AF708" s="45"/>
      <c r="AH708" s="51"/>
      <c r="AI708" s="45"/>
      <c r="AJ708" s="45"/>
      <c r="AL708" s="45"/>
      <c r="AM708" s="46"/>
      <c r="AN708" s="46"/>
    </row>
    <row r="709" spans="3:40">
      <c r="F709" s="45"/>
      <c r="H709" s="45"/>
      <c r="I709" s="45"/>
      <c r="J709" s="47"/>
      <c r="K709" s="47"/>
      <c r="L709" s="45"/>
      <c r="M709" s="45"/>
      <c r="N709" s="47"/>
      <c r="O709" s="47"/>
      <c r="P709" s="45"/>
      <c r="Q709" s="45"/>
      <c r="R709" s="45"/>
      <c r="V709" s="45"/>
      <c r="Y709" s="45"/>
      <c r="Z709" s="47"/>
      <c r="AA709" s="45"/>
      <c r="AB709" s="45"/>
      <c r="AC709" s="47"/>
      <c r="AD709" s="47"/>
      <c r="AH709" s="51"/>
      <c r="AI709" s="45"/>
      <c r="AJ709" s="45"/>
      <c r="AL709" s="45"/>
      <c r="AM709" s="46"/>
      <c r="AN709" s="46"/>
    </row>
    <row r="710" spans="3:40">
      <c r="C710" s="42"/>
      <c r="D710" s="42"/>
      <c r="E710" s="42"/>
      <c r="F710" s="45"/>
      <c r="H710" s="45"/>
      <c r="I710" s="45"/>
      <c r="J710" s="47"/>
      <c r="K710" s="47"/>
      <c r="L710" s="45"/>
      <c r="M710" s="45"/>
      <c r="N710" s="47"/>
      <c r="O710" s="47"/>
      <c r="P710" s="45"/>
      <c r="Q710" s="45"/>
      <c r="R710" s="45"/>
      <c r="T710" s="42"/>
      <c r="U710" s="42"/>
      <c r="V710" s="45"/>
      <c r="Y710" s="45"/>
      <c r="Z710" s="47"/>
      <c r="AA710" s="45"/>
      <c r="AB710" s="45"/>
      <c r="AC710" s="47"/>
      <c r="AD710" s="47"/>
      <c r="AE710" s="45"/>
      <c r="AF710" s="45"/>
      <c r="AH710" s="51"/>
      <c r="AI710" s="45"/>
      <c r="AJ710" s="45"/>
      <c r="AL710" s="45"/>
      <c r="AM710" s="46"/>
      <c r="AN710" s="46"/>
    </row>
    <row r="711" spans="3:40">
      <c r="C711" s="42"/>
      <c r="D711" s="42"/>
      <c r="E711" s="42"/>
      <c r="F711" s="45"/>
      <c r="G711" s="45"/>
      <c r="H711" s="45"/>
      <c r="I711" s="45"/>
      <c r="J711" s="47"/>
      <c r="K711" s="47"/>
      <c r="L711" s="45"/>
      <c r="M711" s="45"/>
      <c r="N711" s="47"/>
      <c r="O711" s="47"/>
      <c r="P711" s="45"/>
      <c r="Q711" s="45"/>
      <c r="R711" s="45"/>
      <c r="T711" s="42"/>
      <c r="U711" s="42"/>
      <c r="V711" s="45"/>
      <c r="W711" s="45"/>
      <c r="X711" s="45"/>
      <c r="Y711" s="45"/>
      <c r="Z711" s="47"/>
      <c r="AA711" s="45"/>
      <c r="AB711" s="45"/>
      <c r="AC711" s="47"/>
      <c r="AD711" s="47"/>
      <c r="AE711" s="45"/>
      <c r="AF711" s="45"/>
      <c r="AH711" s="51"/>
      <c r="AI711" s="45"/>
      <c r="AJ711" s="45"/>
      <c r="AL711" s="45"/>
      <c r="AM711" s="46"/>
      <c r="AN711" s="46"/>
    </row>
    <row r="712" spans="3:40">
      <c r="C712" s="42"/>
      <c r="D712" s="42"/>
      <c r="E712" s="42"/>
      <c r="F712" s="45"/>
      <c r="G712" s="45"/>
      <c r="H712" s="45"/>
      <c r="I712" s="45"/>
      <c r="J712" s="47"/>
      <c r="K712" s="47"/>
      <c r="L712" s="45"/>
      <c r="M712" s="45"/>
      <c r="N712" s="47"/>
      <c r="O712" s="47"/>
      <c r="P712" s="45"/>
      <c r="Q712" s="45"/>
      <c r="R712" s="45"/>
      <c r="T712" s="42"/>
      <c r="U712" s="42"/>
      <c r="V712" s="45"/>
      <c r="W712" s="45"/>
      <c r="X712" s="45"/>
      <c r="Y712" s="45"/>
      <c r="Z712" s="47"/>
      <c r="AA712" s="45"/>
      <c r="AB712" s="45"/>
      <c r="AC712" s="47"/>
      <c r="AD712" s="47"/>
      <c r="AE712" s="45"/>
      <c r="AF712" s="45"/>
      <c r="AH712" s="51"/>
      <c r="AI712" s="45"/>
      <c r="AJ712" s="45"/>
      <c r="AL712" s="45"/>
      <c r="AM712" s="46"/>
      <c r="AN712" s="46"/>
    </row>
    <row r="713" spans="3:40">
      <c r="C713" s="42"/>
      <c r="D713" s="42"/>
      <c r="E713" s="42"/>
      <c r="F713" s="45"/>
      <c r="H713" s="45"/>
      <c r="I713" s="45"/>
      <c r="J713" s="47"/>
      <c r="K713" s="47"/>
      <c r="L713" s="45"/>
      <c r="M713" s="45"/>
      <c r="N713" s="47"/>
      <c r="O713" s="47"/>
      <c r="P713" s="45"/>
      <c r="Q713" s="45"/>
      <c r="R713" s="45"/>
      <c r="T713" s="42"/>
      <c r="U713" s="42"/>
      <c r="V713" s="45"/>
      <c r="Y713" s="45"/>
      <c r="Z713" s="47"/>
      <c r="AA713" s="45"/>
      <c r="AB713" s="45"/>
      <c r="AC713" s="47"/>
      <c r="AD713" s="47"/>
      <c r="AE713" s="45"/>
      <c r="AF713" s="45"/>
      <c r="AH713" s="51"/>
      <c r="AI713" s="45"/>
      <c r="AJ713" s="45"/>
      <c r="AL713" s="45"/>
      <c r="AM713" s="46"/>
      <c r="AN713" s="46"/>
    </row>
    <row r="714" spans="3:40">
      <c r="C714" s="42"/>
      <c r="D714" s="42"/>
      <c r="E714" s="42"/>
      <c r="F714" s="45"/>
      <c r="H714" s="45"/>
      <c r="I714" s="45"/>
      <c r="J714" s="47"/>
      <c r="K714" s="47"/>
      <c r="L714" s="45"/>
      <c r="M714" s="45"/>
      <c r="N714" s="47"/>
      <c r="O714" s="47"/>
      <c r="P714" s="45"/>
      <c r="Q714" s="45"/>
      <c r="R714" s="45"/>
      <c r="T714" s="42"/>
      <c r="U714" s="42"/>
      <c r="V714" s="45"/>
      <c r="Y714" s="45"/>
      <c r="Z714" s="47"/>
      <c r="AA714" s="45"/>
      <c r="AB714" s="45"/>
      <c r="AC714" s="47"/>
      <c r="AD714" s="47"/>
      <c r="AE714" s="45"/>
      <c r="AF714" s="45"/>
      <c r="AH714" s="51"/>
      <c r="AI714" s="45"/>
      <c r="AJ714" s="45"/>
      <c r="AL714" s="45"/>
      <c r="AM714" s="46"/>
      <c r="AN714" s="46"/>
    </row>
    <row r="715" spans="3:40">
      <c r="C715" s="42"/>
      <c r="D715" s="42"/>
      <c r="E715" s="42"/>
      <c r="F715" s="45"/>
      <c r="H715" s="45"/>
      <c r="I715" s="45"/>
      <c r="J715" s="47"/>
      <c r="K715" s="47"/>
      <c r="L715" s="45"/>
      <c r="M715" s="45"/>
      <c r="N715" s="47"/>
      <c r="O715" s="47"/>
      <c r="P715" s="45"/>
      <c r="Q715" s="45"/>
      <c r="R715" s="45"/>
      <c r="T715" s="42"/>
      <c r="U715" s="42"/>
      <c r="V715" s="45"/>
      <c r="Y715" s="45"/>
      <c r="Z715" s="47"/>
      <c r="AA715" s="45"/>
      <c r="AB715" s="45"/>
      <c r="AC715" s="47"/>
      <c r="AD715" s="47"/>
      <c r="AE715" s="45"/>
      <c r="AF715" s="45"/>
      <c r="AH715" s="51"/>
      <c r="AI715" s="45"/>
      <c r="AJ715" s="45"/>
      <c r="AL715" s="45"/>
      <c r="AM715" s="46"/>
      <c r="AN715" s="46"/>
    </row>
    <row r="716" spans="3:40">
      <c r="C716" s="42"/>
      <c r="D716" s="42"/>
      <c r="E716" s="42"/>
      <c r="F716" s="45"/>
      <c r="H716" s="45"/>
      <c r="I716" s="45"/>
      <c r="J716" s="47"/>
      <c r="K716" s="47"/>
      <c r="L716" s="45"/>
      <c r="M716" s="45"/>
      <c r="N716" s="47"/>
      <c r="O716" s="47"/>
      <c r="P716" s="45"/>
      <c r="Q716" s="45"/>
      <c r="R716" s="45"/>
      <c r="T716" s="42"/>
      <c r="U716" s="42"/>
      <c r="V716" s="45"/>
      <c r="Y716" s="45"/>
      <c r="Z716" s="47"/>
      <c r="AA716" s="45"/>
      <c r="AB716" s="45"/>
      <c r="AC716" s="47"/>
      <c r="AD716" s="47"/>
      <c r="AE716" s="45"/>
      <c r="AF716" s="45"/>
      <c r="AH716" s="51"/>
      <c r="AI716" s="45"/>
      <c r="AJ716" s="45"/>
      <c r="AL716" s="45"/>
      <c r="AM716" s="46"/>
      <c r="AN716" s="46"/>
    </row>
    <row r="717" spans="3:40">
      <c r="F717" s="50"/>
      <c r="H717" s="50"/>
      <c r="I717" s="50"/>
      <c r="J717" s="326"/>
      <c r="K717" s="326"/>
      <c r="L717" s="50"/>
      <c r="M717" s="50"/>
      <c r="N717" s="50"/>
      <c r="O717" s="50"/>
      <c r="P717" s="50"/>
      <c r="Q717" s="50"/>
      <c r="R717" s="50"/>
      <c r="V717" s="50"/>
      <c r="Y717" s="50"/>
      <c r="Z717" s="326"/>
      <c r="AA717" s="50"/>
      <c r="AB717" s="50"/>
      <c r="AC717" s="50"/>
      <c r="AD717" s="50"/>
      <c r="AE717" s="50"/>
      <c r="AF717" s="50"/>
      <c r="AI717" s="50"/>
      <c r="AJ717" s="50"/>
      <c r="AK717" s="111"/>
      <c r="AL717" s="50"/>
      <c r="AM717" s="46"/>
      <c r="AN717" s="46"/>
    </row>
    <row r="718" spans="3:40">
      <c r="C718" s="42"/>
      <c r="F718" s="45"/>
      <c r="H718" s="45"/>
      <c r="I718" s="45"/>
      <c r="J718" s="47"/>
      <c r="K718" s="47"/>
      <c r="L718" s="45"/>
      <c r="M718" s="45"/>
      <c r="N718" s="47"/>
      <c r="O718" s="47"/>
      <c r="P718" s="45"/>
      <c r="Q718" s="45"/>
      <c r="R718" s="45"/>
      <c r="T718" s="42"/>
      <c r="V718" s="45"/>
      <c r="Y718" s="45"/>
      <c r="Z718" s="47"/>
      <c r="AA718" s="45"/>
      <c r="AB718" s="45"/>
      <c r="AC718" s="47"/>
      <c r="AD718" s="47"/>
      <c r="AE718" s="45"/>
      <c r="AF718" s="45"/>
      <c r="AH718" s="51"/>
      <c r="AI718" s="45"/>
      <c r="AJ718" s="45"/>
      <c r="AL718" s="45"/>
      <c r="AM718" s="46"/>
      <c r="AN718" s="46"/>
    </row>
    <row r="719" spans="3:40">
      <c r="V719" s="45"/>
      <c r="Y719" s="45"/>
      <c r="Z719" s="326"/>
      <c r="AA719" s="45"/>
      <c r="AB719" s="45"/>
      <c r="AC719" s="45"/>
      <c r="AD719" s="45"/>
      <c r="AE719" s="45"/>
      <c r="AF719" s="45"/>
      <c r="AI719" s="45"/>
      <c r="AJ719" s="45"/>
      <c r="AL719" s="45"/>
      <c r="AM719" s="46"/>
      <c r="AN719" s="46"/>
    </row>
    <row r="720" spans="3:40">
      <c r="C720" s="42"/>
      <c r="D720" s="42"/>
      <c r="E720" s="42"/>
      <c r="L720" s="45"/>
      <c r="M720" s="45"/>
      <c r="N720" s="47"/>
      <c r="O720" s="47"/>
      <c r="R720" s="45"/>
      <c r="T720" s="42"/>
      <c r="U720" s="42"/>
      <c r="AA720" s="45"/>
      <c r="AB720" s="45"/>
      <c r="AC720" s="47"/>
      <c r="AD720" s="47"/>
      <c r="AE720" s="45"/>
      <c r="AF720" s="45"/>
      <c r="AH720" s="51"/>
      <c r="AL720" s="45"/>
      <c r="AM720" s="46"/>
      <c r="AN720" s="46"/>
    </row>
    <row r="721" spans="1:40">
      <c r="D721" s="42"/>
      <c r="E721" s="42"/>
      <c r="F721" s="164"/>
      <c r="H721" s="164"/>
      <c r="I721" s="164"/>
      <c r="J721" s="47"/>
      <c r="K721" s="47"/>
      <c r="L721" s="45"/>
      <c r="M721" s="45"/>
      <c r="N721" s="47"/>
      <c r="O721" s="47"/>
      <c r="P721" s="164"/>
      <c r="Q721" s="164"/>
      <c r="R721" s="45"/>
      <c r="U721" s="42"/>
      <c r="V721" s="45"/>
      <c r="Y721" s="45"/>
      <c r="Z721" s="47"/>
      <c r="AA721" s="45"/>
      <c r="AB721" s="45"/>
      <c r="AC721" s="47"/>
      <c r="AD721" s="47"/>
      <c r="AE721" s="45"/>
      <c r="AF721" s="45"/>
      <c r="AH721" s="51"/>
      <c r="AI721" s="45"/>
      <c r="AJ721" s="45"/>
      <c r="AL721" s="45"/>
      <c r="AM721" s="46"/>
      <c r="AN721" s="46"/>
    </row>
    <row r="722" spans="1:40">
      <c r="F722" s="50"/>
      <c r="H722" s="50"/>
      <c r="I722" s="50"/>
      <c r="J722" s="326"/>
      <c r="K722" s="326"/>
      <c r="L722" s="50"/>
      <c r="M722" s="50"/>
      <c r="N722" s="50"/>
      <c r="O722" s="50"/>
      <c r="P722" s="50"/>
      <c r="Q722" s="50"/>
      <c r="R722" s="50"/>
      <c r="V722" s="50"/>
      <c r="Y722" s="50"/>
      <c r="Z722" s="326"/>
      <c r="AA722" s="50"/>
      <c r="AB722" s="50"/>
      <c r="AC722" s="50"/>
      <c r="AD722" s="50"/>
      <c r="AE722" s="50"/>
      <c r="AF722" s="50"/>
      <c r="AI722" s="50"/>
      <c r="AJ722" s="50"/>
      <c r="AK722" s="111"/>
      <c r="AL722" s="50"/>
      <c r="AM722" s="46"/>
      <c r="AN722" s="46"/>
    </row>
    <row r="723" spans="1:40">
      <c r="C723" s="42"/>
      <c r="F723" s="45"/>
      <c r="H723" s="45"/>
      <c r="I723" s="45"/>
      <c r="J723" s="47"/>
      <c r="K723" s="47"/>
      <c r="L723" s="45"/>
      <c r="M723" s="45"/>
      <c r="N723" s="47"/>
      <c r="O723" s="47"/>
      <c r="P723" s="45"/>
      <c r="Q723" s="45"/>
      <c r="R723" s="45"/>
      <c r="T723" s="42"/>
      <c r="V723" s="45"/>
      <c r="Y723" s="45"/>
      <c r="Z723" s="47"/>
      <c r="AA723" s="45"/>
      <c r="AB723" s="45"/>
      <c r="AC723" s="47"/>
      <c r="AD723" s="47"/>
      <c r="AE723" s="45"/>
      <c r="AF723" s="45"/>
      <c r="AH723" s="51"/>
      <c r="AI723" s="45"/>
      <c r="AJ723" s="45"/>
      <c r="AL723" s="45"/>
      <c r="AM723" s="46"/>
      <c r="AN723" s="46"/>
    </row>
    <row r="724" spans="1:40">
      <c r="F724" s="45"/>
      <c r="H724" s="45"/>
      <c r="I724" s="45"/>
      <c r="J724" s="47"/>
      <c r="K724" s="47"/>
      <c r="L724" s="45"/>
      <c r="M724" s="45"/>
      <c r="N724" s="47"/>
      <c r="O724" s="47"/>
      <c r="P724" s="45"/>
      <c r="Q724" s="45"/>
      <c r="R724" s="45"/>
      <c r="V724" s="45"/>
      <c r="Y724" s="45"/>
      <c r="Z724" s="47"/>
      <c r="AA724" s="45"/>
      <c r="AB724" s="45"/>
      <c r="AC724" s="47"/>
      <c r="AD724" s="47"/>
      <c r="AH724" s="51"/>
      <c r="AI724" s="45"/>
      <c r="AJ724" s="45"/>
      <c r="AL724" s="45"/>
      <c r="AM724" s="46"/>
      <c r="AN724" s="46"/>
    </row>
    <row r="725" spans="1:40">
      <c r="D725" s="42"/>
      <c r="E725" s="42"/>
      <c r="F725" s="45"/>
      <c r="H725" s="45"/>
      <c r="I725" s="45"/>
      <c r="J725" s="47"/>
      <c r="K725" s="47"/>
      <c r="L725" s="164"/>
      <c r="M725" s="164"/>
      <c r="N725" s="47"/>
      <c r="O725" s="47"/>
      <c r="P725" s="45"/>
      <c r="Q725" s="45"/>
      <c r="R725" s="45"/>
      <c r="U725" s="42"/>
      <c r="V725" s="45"/>
      <c r="Y725" s="45"/>
      <c r="Z725" s="47"/>
      <c r="AA725" s="164"/>
      <c r="AB725" s="164"/>
      <c r="AC725" s="47"/>
      <c r="AD725" s="47"/>
      <c r="AE725" s="45"/>
      <c r="AF725" s="45"/>
      <c r="AH725" s="51"/>
      <c r="AI725" s="45"/>
      <c r="AJ725" s="45"/>
      <c r="AL725" s="45"/>
      <c r="AM725" s="46"/>
      <c r="AN725" s="46"/>
    </row>
    <row r="726" spans="1:40">
      <c r="D726" s="42"/>
      <c r="E726" s="42"/>
      <c r="F726" s="45"/>
      <c r="H726" s="45"/>
      <c r="I726" s="45"/>
      <c r="J726" s="47"/>
      <c r="K726" s="47"/>
      <c r="L726" s="164"/>
      <c r="M726" s="164"/>
      <c r="N726" s="47"/>
      <c r="O726" s="47"/>
      <c r="P726" s="45"/>
      <c r="Q726" s="45"/>
      <c r="R726" s="45"/>
      <c r="U726" s="42"/>
      <c r="V726" s="45"/>
      <c r="Y726" s="45"/>
      <c r="Z726" s="47"/>
      <c r="AA726" s="164"/>
      <c r="AB726" s="164"/>
      <c r="AC726" s="47"/>
      <c r="AD726" s="47"/>
      <c r="AE726" s="45"/>
      <c r="AF726" s="45"/>
      <c r="AH726" s="51"/>
      <c r="AI726" s="45"/>
      <c r="AJ726" s="45"/>
      <c r="AL726" s="45"/>
      <c r="AM726" s="46"/>
      <c r="AN726" s="46"/>
    </row>
    <row r="727" spans="1:40">
      <c r="D727" s="42"/>
      <c r="E727" s="42"/>
      <c r="F727" s="45"/>
      <c r="H727" s="45"/>
      <c r="I727" s="45"/>
      <c r="J727" s="47"/>
      <c r="K727" s="47"/>
      <c r="L727" s="164"/>
      <c r="M727" s="164"/>
      <c r="N727" s="47"/>
      <c r="O727" s="47"/>
      <c r="P727" s="45"/>
      <c r="Q727" s="45"/>
      <c r="R727" s="45"/>
      <c r="U727" s="42"/>
      <c r="V727" s="45"/>
      <c r="Y727" s="45"/>
      <c r="Z727" s="47"/>
      <c r="AA727" s="164"/>
      <c r="AB727" s="164"/>
      <c r="AC727" s="47"/>
      <c r="AD727" s="47"/>
      <c r="AE727" s="45"/>
      <c r="AF727" s="45"/>
      <c r="AH727" s="51"/>
      <c r="AI727" s="45"/>
      <c r="AJ727" s="45"/>
      <c r="AL727" s="45"/>
      <c r="AM727" s="46"/>
      <c r="AN727" s="46"/>
    </row>
    <row r="728" spans="1:40">
      <c r="F728" s="50"/>
      <c r="H728" s="50"/>
      <c r="I728" s="50"/>
      <c r="J728" s="326"/>
      <c r="K728" s="326"/>
      <c r="L728" s="50"/>
      <c r="M728" s="50"/>
      <c r="N728" s="50"/>
      <c r="O728" s="50"/>
      <c r="P728" s="50"/>
      <c r="Q728" s="50"/>
      <c r="R728" s="50"/>
      <c r="V728" s="50"/>
      <c r="Y728" s="50"/>
      <c r="Z728" s="326"/>
      <c r="AA728" s="50"/>
      <c r="AB728" s="50"/>
      <c r="AC728" s="50"/>
      <c r="AD728" s="50"/>
      <c r="AE728" s="50"/>
      <c r="AF728" s="50"/>
      <c r="AI728" s="50"/>
      <c r="AJ728" s="50"/>
      <c r="AK728" s="111"/>
      <c r="AL728" s="50"/>
      <c r="AM728" s="46"/>
      <c r="AN728" s="46"/>
    </row>
    <row r="729" spans="1:40">
      <c r="C729" s="42"/>
      <c r="F729" s="45"/>
      <c r="H729" s="45"/>
      <c r="I729" s="45"/>
      <c r="J729" s="47"/>
      <c r="K729" s="47"/>
      <c r="L729" s="45"/>
      <c r="M729" s="45"/>
      <c r="N729" s="47"/>
      <c r="O729" s="47"/>
      <c r="P729" s="45"/>
      <c r="Q729" s="45"/>
      <c r="R729" s="45"/>
      <c r="T729" s="42"/>
      <c r="V729" s="45"/>
      <c r="Y729" s="45"/>
      <c r="Z729" s="47"/>
      <c r="AA729" s="45"/>
      <c r="AB729" s="45"/>
      <c r="AC729" s="47"/>
      <c r="AD729" s="47"/>
      <c r="AE729" s="45"/>
      <c r="AF729" s="45"/>
      <c r="AH729" s="51"/>
      <c r="AI729" s="45"/>
      <c r="AJ729" s="45"/>
      <c r="AL729" s="45"/>
      <c r="AM729" s="46"/>
      <c r="AN729" s="46"/>
    </row>
    <row r="730" spans="1:40">
      <c r="F730" s="45"/>
      <c r="H730" s="45"/>
      <c r="I730" s="45"/>
      <c r="J730" s="47"/>
      <c r="K730" s="47"/>
      <c r="L730" s="45"/>
      <c r="M730" s="45"/>
      <c r="N730" s="47"/>
      <c r="O730" s="47"/>
      <c r="P730" s="45"/>
      <c r="Q730" s="45"/>
      <c r="R730" s="45"/>
      <c r="V730" s="45"/>
      <c r="Y730" s="45"/>
      <c r="Z730" s="47"/>
      <c r="AA730" s="45"/>
      <c r="AB730" s="45"/>
      <c r="AC730" s="47"/>
      <c r="AD730" s="47"/>
      <c r="AH730" s="51"/>
      <c r="AI730" s="45"/>
      <c r="AJ730" s="45"/>
      <c r="AL730" s="45"/>
      <c r="AM730" s="46"/>
      <c r="AN730" s="46"/>
    </row>
    <row r="731" spans="1:40">
      <c r="C731" s="42"/>
      <c r="F731" s="45"/>
      <c r="H731" s="45"/>
      <c r="I731" s="45"/>
      <c r="J731" s="47"/>
      <c r="K731" s="47"/>
      <c r="L731" s="45"/>
      <c r="M731" s="45"/>
      <c r="N731" s="47"/>
      <c r="O731" s="47"/>
      <c r="P731" s="45"/>
      <c r="Q731" s="45"/>
      <c r="R731" s="45"/>
      <c r="T731" s="42"/>
      <c r="V731" s="45"/>
      <c r="Y731" s="45"/>
      <c r="Z731" s="47"/>
      <c r="AA731" s="45"/>
      <c r="AB731" s="45"/>
      <c r="AC731" s="47"/>
      <c r="AD731" s="47"/>
      <c r="AE731" s="45"/>
      <c r="AF731" s="45"/>
      <c r="AH731" s="51"/>
      <c r="AI731" s="45"/>
      <c r="AJ731" s="45"/>
      <c r="AL731" s="45"/>
      <c r="AM731" s="46"/>
      <c r="AN731" s="46"/>
    </row>
    <row r="732" spans="1:40">
      <c r="F732" s="50"/>
      <c r="H732" s="50"/>
      <c r="I732" s="50"/>
      <c r="J732" s="326"/>
      <c r="K732" s="326"/>
      <c r="L732" s="50"/>
      <c r="M732" s="50"/>
      <c r="N732" s="50"/>
      <c r="O732" s="50"/>
      <c r="P732" s="50"/>
      <c r="Q732" s="50"/>
      <c r="R732" s="50"/>
      <c r="V732" s="50"/>
      <c r="Y732" s="50"/>
      <c r="Z732" s="326"/>
      <c r="AA732" s="50"/>
      <c r="AB732" s="50"/>
      <c r="AC732" s="50"/>
      <c r="AD732" s="50"/>
      <c r="AE732" s="50"/>
      <c r="AF732" s="50"/>
      <c r="AI732" s="50"/>
      <c r="AJ732" s="50"/>
      <c r="AK732" s="111"/>
      <c r="AL732" s="50"/>
    </row>
    <row r="734" spans="1:40">
      <c r="C734" s="42"/>
      <c r="L734" s="45"/>
      <c r="M734" s="45"/>
      <c r="P734" s="45"/>
      <c r="Q734" s="45"/>
      <c r="R734" s="45"/>
      <c r="T734" s="42"/>
    </row>
    <row r="735" spans="1:40">
      <c r="A735" s="42"/>
      <c r="L735" s="45"/>
      <c r="M735" s="45"/>
      <c r="P735" s="45"/>
      <c r="Q735" s="45"/>
      <c r="R735" s="45"/>
    </row>
    <row r="736" spans="1:40">
      <c r="L736" s="45"/>
      <c r="M736" s="45"/>
      <c r="P736" s="45"/>
      <c r="Q736" s="45"/>
      <c r="R736" s="45"/>
    </row>
    <row r="737" spans="12:18">
      <c r="L737" s="45"/>
      <c r="M737" s="45"/>
      <c r="P737" s="45"/>
      <c r="Q737" s="45"/>
      <c r="R737" s="45"/>
    </row>
    <row r="738" spans="12:18">
      <c r="L738" s="45"/>
      <c r="M738" s="45"/>
      <c r="P738" s="45"/>
      <c r="Q738" s="45"/>
      <c r="R738" s="45"/>
    </row>
    <row r="739" spans="12:18">
      <c r="L739" s="45"/>
      <c r="M739" s="45"/>
      <c r="P739" s="45"/>
      <c r="Q739" s="45"/>
      <c r="R739" s="45"/>
    </row>
    <row r="740" spans="12:18">
      <c r="L740" s="45"/>
      <c r="M740" s="45"/>
      <c r="P740" s="45"/>
      <c r="Q740" s="45"/>
      <c r="R740" s="45"/>
    </row>
    <row r="773" spans="49:49">
      <c r="AW773" s="45"/>
    </row>
    <row r="774" spans="49:49">
      <c r="AW774" s="45"/>
    </row>
    <row r="775" spans="49:49">
      <c r="AW775" s="45"/>
    </row>
    <row r="776" spans="49:49">
      <c r="AW776" s="45"/>
    </row>
    <row r="777" spans="49:49">
      <c r="AW777" s="45"/>
    </row>
    <row r="778" spans="49:49">
      <c r="AW778" s="45"/>
    </row>
    <row r="781" spans="49:49">
      <c r="AW781" s="45"/>
    </row>
    <row r="782" spans="49:49">
      <c r="AW782" s="45"/>
    </row>
    <row r="783" spans="49:49">
      <c r="AW783" s="45"/>
    </row>
    <row r="784" spans="49:49">
      <c r="AW784" s="45"/>
    </row>
    <row r="785" spans="49:49">
      <c r="AW785" s="45"/>
    </row>
    <row r="786" spans="49:49">
      <c r="AW786" s="45"/>
    </row>
    <row r="787" spans="49:49">
      <c r="AW787" s="45"/>
    </row>
    <row r="788" spans="49:49">
      <c r="AW788" s="45"/>
    </row>
    <row r="791" spans="49:49">
      <c r="AW791" s="45"/>
    </row>
    <row r="792" spans="49:49">
      <c r="AW792" s="45"/>
    </row>
    <row r="795" spans="49:49">
      <c r="AW795" s="45"/>
    </row>
    <row r="796" spans="49:49">
      <c r="AW796" s="45"/>
    </row>
    <row r="797" spans="49:49">
      <c r="AW797" s="45"/>
    </row>
    <row r="798" spans="49:49">
      <c r="AW798" s="45"/>
    </row>
    <row r="806" spans="45:69">
      <c r="AY806" s="42"/>
    </row>
    <row r="807" spans="45:69">
      <c r="AY807" s="42"/>
    </row>
    <row r="808" spans="45:69">
      <c r="BD808" s="42"/>
    </row>
    <row r="809" spans="45:69">
      <c r="BD809" s="42"/>
    </row>
    <row r="810" spans="45:69">
      <c r="AS810" s="42"/>
      <c r="BD810" s="42"/>
    </row>
    <row r="812" spans="45:69"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</row>
    <row r="813" spans="45:69">
      <c r="AX813" s="42"/>
    </row>
    <row r="814" spans="45:69">
      <c r="AX814" s="49"/>
      <c r="AY814" s="49"/>
      <c r="AZ814" s="49"/>
      <c r="BA814" s="49"/>
      <c r="BC814" s="44"/>
      <c r="BD814" s="44"/>
    </row>
    <row r="815" spans="45:69">
      <c r="AV815" s="44"/>
      <c r="AW815" s="44"/>
      <c r="AZ815" s="44"/>
      <c r="BA815" s="44"/>
      <c r="BC815" s="44"/>
      <c r="BD815" s="44"/>
      <c r="BE815" s="44"/>
      <c r="BG815" s="49"/>
      <c r="BH815" s="42"/>
      <c r="BK815" s="49"/>
      <c r="BM815" s="49"/>
      <c r="BN815" s="42"/>
      <c r="BQ815" s="49"/>
    </row>
    <row r="816" spans="45:69"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H816" s="44"/>
      <c r="BI816" s="44"/>
      <c r="BJ816" s="44"/>
      <c r="BN816" s="44"/>
      <c r="BO816" s="44"/>
      <c r="BP816" s="44"/>
    </row>
    <row r="817" spans="45:69">
      <c r="AS817" s="44"/>
      <c r="AU817" s="42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G817" s="44"/>
      <c r="BH817" s="44"/>
      <c r="BI817" s="44"/>
      <c r="BJ817" s="44"/>
      <c r="BK817" s="44"/>
      <c r="BM817" s="44"/>
      <c r="BN817" s="44"/>
      <c r="BO817" s="44"/>
      <c r="BP817" s="44"/>
      <c r="BQ817" s="44"/>
    </row>
    <row r="818" spans="45:69">
      <c r="AS818" s="44"/>
      <c r="AU818" s="42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G818" s="44"/>
      <c r="BH818" s="44"/>
      <c r="BI818" s="44"/>
      <c r="BJ818" s="44"/>
      <c r="BK818" s="44"/>
      <c r="BM818" s="44"/>
      <c r="BN818" s="44"/>
      <c r="BO818" s="44"/>
      <c r="BP818" s="44"/>
      <c r="BQ818" s="44"/>
    </row>
    <row r="819" spans="45:69"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G819" s="49"/>
      <c r="BH819" s="49"/>
      <c r="BI819" s="49"/>
      <c r="BJ819" s="49"/>
      <c r="BK819" s="49"/>
      <c r="BM819" s="49"/>
      <c r="BN819" s="49"/>
      <c r="BO819" s="49"/>
      <c r="BP819" s="49"/>
      <c r="BQ819" s="49"/>
    </row>
    <row r="820" spans="45:69"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</row>
    <row r="821" spans="45:69">
      <c r="AU821" s="42"/>
      <c r="AV821" s="44"/>
      <c r="AY821" s="47"/>
    </row>
    <row r="822" spans="45:69">
      <c r="AV822" s="44"/>
      <c r="AW822" s="45"/>
      <c r="AX822" s="56"/>
      <c r="AY822" s="56"/>
      <c r="AZ822" s="56"/>
      <c r="BA822" s="46"/>
      <c r="BB822" s="56"/>
      <c r="BC822" s="47"/>
      <c r="BD822" s="47"/>
      <c r="BE822" s="46"/>
      <c r="BG822" s="56"/>
      <c r="BH822" s="56"/>
      <c r="BI822" s="56"/>
      <c r="BJ822" s="56"/>
      <c r="BK822" s="56"/>
      <c r="BM822" s="56"/>
      <c r="BN822" s="56"/>
      <c r="BO822" s="56"/>
      <c r="BP822" s="56"/>
      <c r="BQ822" s="56"/>
    </row>
    <row r="823" spans="45:69">
      <c r="AV823" s="44"/>
      <c r="AW823" s="45"/>
      <c r="AX823" s="56"/>
      <c r="AY823" s="56"/>
      <c r="AZ823" s="56"/>
      <c r="BA823" s="46"/>
      <c r="BB823" s="56"/>
      <c r="BC823" s="47"/>
      <c r="BD823" s="47"/>
      <c r="BE823" s="46"/>
      <c r="BG823" s="56"/>
      <c r="BH823" s="56"/>
      <c r="BI823" s="56"/>
      <c r="BJ823" s="56"/>
      <c r="BK823" s="56"/>
      <c r="BM823" s="56"/>
      <c r="BN823" s="56"/>
      <c r="BO823" s="56"/>
      <c r="BP823" s="56"/>
      <c r="BQ823" s="56"/>
    </row>
    <row r="824" spans="45:69">
      <c r="AV824" s="44"/>
      <c r="AW824" s="45"/>
      <c r="AX824" s="56"/>
      <c r="AY824" s="56"/>
      <c r="AZ824" s="56"/>
      <c r="BA824" s="46"/>
      <c r="BB824" s="56"/>
      <c r="BC824" s="47"/>
      <c r="BD824" s="47"/>
      <c r="BE824" s="46"/>
      <c r="BG824" s="56"/>
      <c r="BH824" s="56"/>
      <c r="BI824" s="56"/>
      <c r="BJ824" s="56"/>
      <c r="BK824" s="56"/>
      <c r="BM824" s="56"/>
      <c r="BN824" s="56"/>
      <c r="BO824" s="56"/>
      <c r="BP824" s="56"/>
      <c r="BQ824" s="56"/>
    </row>
    <row r="825" spans="45:69">
      <c r="AV825" s="44"/>
      <c r="AW825" s="45"/>
      <c r="AX825" s="56"/>
      <c r="AY825" s="56"/>
      <c r="AZ825" s="56"/>
      <c r="BA825" s="46"/>
      <c r="BB825" s="56"/>
      <c r="BC825" s="47"/>
      <c r="BD825" s="47"/>
      <c r="BE825" s="46"/>
      <c r="BG825" s="56"/>
      <c r="BH825" s="56"/>
      <c r="BI825" s="56"/>
      <c r="BJ825" s="56"/>
      <c r="BK825" s="56"/>
      <c r="BM825" s="56"/>
      <c r="BN825" s="56"/>
      <c r="BO825" s="56"/>
      <c r="BP825" s="56"/>
      <c r="BQ825" s="56"/>
    </row>
    <row r="826" spans="45:69">
      <c r="AV826" s="44"/>
      <c r="AW826" s="45"/>
      <c r="AX826" s="56"/>
      <c r="AY826" s="56"/>
      <c r="AZ826" s="56"/>
      <c r="BA826" s="46"/>
      <c r="BB826" s="56"/>
      <c r="BC826" s="47"/>
      <c r="BD826" s="47"/>
      <c r="BE826" s="46"/>
      <c r="BG826" s="56"/>
      <c r="BH826" s="56"/>
      <c r="BI826" s="56"/>
      <c r="BJ826" s="56"/>
      <c r="BK826" s="56"/>
      <c r="BM826" s="56"/>
      <c r="BN826" s="56"/>
      <c r="BO826" s="56"/>
      <c r="BP826" s="56"/>
      <c r="BQ826" s="56"/>
    </row>
    <row r="827" spans="45:69">
      <c r="AV827" s="44"/>
      <c r="AW827" s="45"/>
      <c r="AX827" s="56"/>
      <c r="AY827" s="56"/>
      <c r="AZ827" s="56"/>
      <c r="BA827" s="46"/>
      <c r="BB827" s="56"/>
      <c r="BC827" s="47"/>
      <c r="BD827" s="47"/>
      <c r="BE827" s="46"/>
      <c r="BG827" s="56"/>
      <c r="BH827" s="56"/>
      <c r="BI827" s="56"/>
      <c r="BJ827" s="56"/>
      <c r="BK827" s="56"/>
      <c r="BM827" s="56"/>
      <c r="BN827" s="56"/>
      <c r="BO827" s="56"/>
      <c r="BP827" s="56"/>
      <c r="BQ827" s="56"/>
    </row>
    <row r="828" spans="45:69">
      <c r="AV828" s="44"/>
      <c r="AW828" s="45"/>
      <c r="AX828" s="56"/>
      <c r="AY828" s="56"/>
      <c r="AZ828" s="56"/>
      <c r="BA828" s="46"/>
      <c r="BB828" s="56"/>
      <c r="BC828" s="47"/>
      <c r="BD828" s="47"/>
      <c r="BE828" s="46"/>
      <c r="BG828" s="56"/>
      <c r="BH828" s="56"/>
      <c r="BI828" s="56"/>
      <c r="BJ828" s="56"/>
      <c r="BK828" s="56"/>
      <c r="BM828" s="56"/>
      <c r="BN828" s="56"/>
      <c r="BO828" s="56"/>
      <c r="BP828" s="56"/>
      <c r="BQ828" s="56"/>
    </row>
    <row r="829" spans="45:69">
      <c r="AY829" s="47"/>
      <c r="AZ829" s="56"/>
      <c r="BA829" s="46"/>
      <c r="BB829" s="56"/>
      <c r="BC829" s="47"/>
      <c r="BD829" s="47"/>
      <c r="BE829" s="46"/>
      <c r="BK829" s="56"/>
      <c r="BQ829" s="56"/>
    </row>
    <row r="830" spans="45:69">
      <c r="AV830" s="44"/>
      <c r="AY830" s="47"/>
      <c r="AZ830" s="56"/>
      <c r="BA830" s="46"/>
      <c r="BB830" s="56"/>
      <c r="BC830" s="47"/>
      <c r="BD830" s="47"/>
      <c r="BE830" s="46"/>
      <c r="BK830" s="56"/>
      <c r="BQ830" s="56"/>
    </row>
    <row r="831" spans="45:69">
      <c r="AV831" s="44"/>
      <c r="AW831" s="45"/>
      <c r="AX831" s="56"/>
      <c r="AY831" s="56"/>
      <c r="AZ831" s="56"/>
      <c r="BA831" s="46"/>
      <c r="BB831" s="56"/>
      <c r="BC831" s="47"/>
      <c r="BD831" s="47"/>
      <c r="BE831" s="46"/>
      <c r="BG831" s="56"/>
      <c r="BH831" s="56"/>
      <c r="BI831" s="56"/>
      <c r="BJ831" s="56"/>
      <c r="BK831" s="56"/>
      <c r="BM831" s="56"/>
      <c r="BN831" s="56"/>
      <c r="BO831" s="56"/>
      <c r="BP831" s="56"/>
      <c r="BQ831" s="56"/>
    </row>
    <row r="832" spans="45:69">
      <c r="AV832" s="44"/>
      <c r="AW832" s="45"/>
      <c r="AX832" s="56"/>
      <c r="AY832" s="56"/>
      <c r="AZ832" s="56"/>
      <c r="BA832" s="46"/>
      <c r="BB832" s="56"/>
      <c r="BC832" s="47"/>
      <c r="BD832" s="47"/>
      <c r="BE832" s="46"/>
      <c r="BG832" s="56"/>
      <c r="BH832" s="56"/>
      <c r="BI832" s="56"/>
      <c r="BJ832" s="56"/>
      <c r="BK832" s="56"/>
      <c r="BM832" s="56"/>
      <c r="BN832" s="56"/>
      <c r="BO832" s="56"/>
      <c r="BP832" s="56"/>
      <c r="BQ832" s="56"/>
    </row>
    <row r="833" spans="45:69">
      <c r="AV833" s="44"/>
      <c r="AW833" s="45"/>
      <c r="AX833" s="56"/>
      <c r="AY833" s="56"/>
      <c r="AZ833" s="56"/>
      <c r="BA833" s="46"/>
      <c r="BB833" s="56"/>
      <c r="BC833" s="47"/>
      <c r="BD833" s="47"/>
      <c r="BE833" s="46"/>
      <c r="BG833" s="56"/>
      <c r="BH833" s="56"/>
      <c r="BI833" s="56"/>
      <c r="BJ833" s="56"/>
      <c r="BK833" s="56"/>
      <c r="BM833" s="56"/>
      <c r="BN833" s="56"/>
      <c r="BO833" s="56"/>
      <c r="BP833" s="56"/>
      <c r="BQ833" s="56"/>
    </row>
    <row r="834" spans="45:69">
      <c r="AV834" s="44"/>
      <c r="AW834" s="45"/>
      <c r="AX834" s="56"/>
      <c r="AY834" s="56"/>
      <c r="AZ834" s="56"/>
      <c r="BA834" s="46"/>
      <c r="BB834" s="56"/>
      <c r="BC834" s="47"/>
      <c r="BD834" s="47"/>
      <c r="BE834" s="46"/>
      <c r="BG834" s="56"/>
      <c r="BH834" s="56"/>
      <c r="BI834" s="56"/>
      <c r="BJ834" s="56"/>
      <c r="BK834" s="56"/>
      <c r="BM834" s="56"/>
      <c r="BN834" s="56"/>
      <c r="BO834" s="56"/>
      <c r="BP834" s="56"/>
      <c r="BQ834" s="56"/>
    </row>
    <row r="835" spans="45:69">
      <c r="AV835" s="44"/>
      <c r="AW835" s="45"/>
      <c r="AX835" s="56"/>
      <c r="AY835" s="56"/>
      <c r="AZ835" s="56"/>
      <c r="BA835" s="46"/>
      <c r="BB835" s="56"/>
      <c r="BC835" s="47"/>
      <c r="BD835" s="47"/>
      <c r="BE835" s="46"/>
      <c r="BG835" s="56"/>
      <c r="BH835" s="56"/>
      <c r="BI835" s="56"/>
      <c r="BJ835" s="56"/>
      <c r="BK835" s="56"/>
      <c r="BM835" s="56"/>
      <c r="BN835" s="56"/>
      <c r="BO835" s="56"/>
      <c r="BP835" s="56"/>
      <c r="BQ835" s="56"/>
    </row>
    <row r="836" spans="45:69">
      <c r="AV836" s="44"/>
      <c r="AW836" s="45"/>
      <c r="AX836" s="56"/>
      <c r="AY836" s="56"/>
      <c r="AZ836" s="56"/>
      <c r="BA836" s="46"/>
      <c r="BB836" s="56"/>
      <c r="BC836" s="47"/>
      <c r="BD836" s="47"/>
      <c r="BE836" s="46"/>
      <c r="BG836" s="56"/>
      <c r="BH836" s="56"/>
      <c r="BI836" s="56"/>
      <c r="BJ836" s="56"/>
      <c r="BK836" s="56"/>
      <c r="BM836" s="56"/>
      <c r="BN836" s="56"/>
      <c r="BO836" s="56"/>
      <c r="BP836" s="56"/>
      <c r="BQ836" s="56"/>
    </row>
    <row r="837" spans="45:69">
      <c r="AV837" s="44"/>
      <c r="AW837" s="45"/>
      <c r="AX837" s="56"/>
      <c r="AY837" s="56"/>
      <c r="AZ837" s="56"/>
      <c r="BA837" s="46"/>
      <c r="BB837" s="56"/>
      <c r="BC837" s="47"/>
      <c r="BD837" s="47"/>
      <c r="BE837" s="46"/>
      <c r="BG837" s="56"/>
      <c r="BH837" s="56"/>
      <c r="BI837" s="56"/>
      <c r="BJ837" s="56"/>
      <c r="BK837" s="56"/>
      <c r="BM837" s="56"/>
      <c r="BN837" s="56"/>
      <c r="BO837" s="56"/>
      <c r="BP837" s="56"/>
      <c r="BQ837" s="56"/>
    </row>
    <row r="838" spans="45:69">
      <c r="AV838" s="44"/>
      <c r="AW838" s="45"/>
      <c r="AX838" s="56"/>
      <c r="AY838" s="56"/>
      <c r="AZ838" s="56"/>
      <c r="BA838" s="46"/>
      <c r="BB838" s="56"/>
      <c r="BC838" s="47"/>
      <c r="BD838" s="47"/>
      <c r="BE838" s="46"/>
      <c r="BG838" s="56"/>
      <c r="BH838" s="56"/>
      <c r="BI838" s="56"/>
      <c r="BJ838" s="56"/>
      <c r="BK838" s="56"/>
      <c r="BM838" s="56"/>
      <c r="BN838" s="56"/>
      <c r="BO838" s="56"/>
      <c r="BP838" s="56"/>
      <c r="BQ838" s="56"/>
    </row>
    <row r="839" spans="45:69">
      <c r="AY839" s="47"/>
      <c r="AZ839" s="56"/>
      <c r="BA839" s="46"/>
      <c r="BB839" s="56"/>
      <c r="BC839" s="47"/>
      <c r="BD839" s="47"/>
      <c r="BE839" s="46"/>
      <c r="BK839" s="56"/>
      <c r="BQ839" s="56"/>
    </row>
    <row r="840" spans="45:69">
      <c r="AU840" s="42"/>
      <c r="AZ840" s="56"/>
      <c r="BB840" s="56"/>
      <c r="BG840" s="56"/>
      <c r="BH840" s="56"/>
      <c r="BJ840" s="56"/>
      <c r="BK840" s="56"/>
    </row>
    <row r="841" spans="45:69">
      <c r="AZ841" s="56"/>
      <c r="BB841" s="56"/>
    </row>
    <row r="842" spans="45:69">
      <c r="AS842" s="42"/>
      <c r="AZ842" s="56"/>
      <c r="BB842" s="56"/>
      <c r="BI842" s="56"/>
    </row>
    <row r="843" spans="45:69">
      <c r="AZ843" s="56"/>
      <c r="BB843" s="56"/>
    </row>
    <row r="844" spans="45:69">
      <c r="AY844" s="56"/>
      <c r="BB844" s="56"/>
    </row>
    <row r="845" spans="45:69">
      <c r="AY845" s="42"/>
      <c r="AZ845" s="56"/>
      <c r="BB845" s="56"/>
    </row>
    <row r="846" spans="45:69">
      <c r="AY846" s="42"/>
      <c r="AZ846" s="56"/>
      <c r="BB846" s="56"/>
    </row>
    <row r="847" spans="45:69">
      <c r="AZ847" s="56"/>
      <c r="BB847" s="56"/>
      <c r="BD847" s="42"/>
    </row>
    <row r="848" spans="45:69">
      <c r="AZ848" s="56"/>
      <c r="BB848" s="56"/>
      <c r="BD848" s="42"/>
    </row>
    <row r="849" spans="45:75">
      <c r="AS849" s="42"/>
      <c r="AZ849" s="56"/>
      <c r="BB849" s="56"/>
      <c r="BD849" s="42"/>
    </row>
    <row r="850" spans="45:75">
      <c r="AZ850" s="56"/>
      <c r="BB850" s="56"/>
    </row>
    <row r="851" spans="45:75">
      <c r="AS851" s="49"/>
      <c r="AT851" s="49"/>
      <c r="AU851" s="49"/>
      <c r="AV851" s="49"/>
      <c r="AW851" s="49"/>
      <c r="AX851" s="49"/>
      <c r="AY851" s="49"/>
      <c r="AZ851" s="57"/>
      <c r="BA851" s="49"/>
      <c r="BB851" s="57"/>
      <c r="BC851" s="49"/>
      <c r="BD851" s="49"/>
      <c r="BE851" s="49"/>
    </row>
    <row r="852" spans="45:75">
      <c r="AX852" s="42"/>
      <c r="AZ852" s="56"/>
      <c r="BB852" s="56"/>
    </row>
    <row r="853" spans="45:75">
      <c r="AX853" s="49"/>
      <c r="AY853" s="49"/>
      <c r="AZ853" s="57"/>
      <c r="BA853" s="49"/>
      <c r="BB853" s="56"/>
      <c r="BC853" s="44"/>
      <c r="BD853" s="44"/>
    </row>
    <row r="854" spans="45:75">
      <c r="AV854" s="44"/>
      <c r="AW854" s="44"/>
      <c r="AZ854" s="58"/>
      <c r="BA854" s="44"/>
      <c r="BB854" s="56"/>
      <c r="BC854" s="44"/>
      <c r="BD854" s="44"/>
      <c r="BE854" s="44"/>
      <c r="BG854" s="49"/>
      <c r="BH854" s="49"/>
      <c r="BI854" s="42"/>
      <c r="BM854" s="49"/>
      <c r="BN854" s="49"/>
      <c r="BP854" s="49"/>
      <c r="BQ854" s="49"/>
      <c r="BR854" s="42"/>
      <c r="BV854" s="49"/>
      <c r="BW854" s="49"/>
    </row>
    <row r="855" spans="45:75">
      <c r="AV855" s="44"/>
      <c r="AW855" s="44"/>
      <c r="AX855" s="44"/>
      <c r="AY855" s="44"/>
      <c r="AZ855" s="58"/>
      <c r="BA855" s="44"/>
      <c r="BB855" s="58"/>
      <c r="BC855" s="44"/>
      <c r="BD855" s="44"/>
      <c r="BE855" s="44"/>
      <c r="BH855" s="44"/>
      <c r="BI855" s="44"/>
      <c r="BJ855" s="44"/>
      <c r="BK855" s="44"/>
      <c r="BL855" s="44"/>
      <c r="BM855" s="44"/>
      <c r="BQ855" s="44"/>
      <c r="BR855" s="44"/>
      <c r="BS855" s="44"/>
      <c r="BT855" s="44"/>
      <c r="BU855" s="44"/>
      <c r="BV855" s="44"/>
    </row>
    <row r="856" spans="45:75">
      <c r="AS856" s="44"/>
      <c r="AU856" s="42"/>
      <c r="AV856" s="44"/>
      <c r="AW856" s="44"/>
      <c r="AX856" s="44"/>
      <c r="AY856" s="44"/>
      <c r="AZ856" s="58"/>
      <c r="BA856" s="44"/>
      <c r="BB856" s="58"/>
      <c r="BC856" s="44"/>
      <c r="BD856" s="44"/>
      <c r="BE856" s="44"/>
      <c r="BG856" s="44"/>
      <c r="BH856" s="44"/>
      <c r="BI856" s="44"/>
      <c r="BJ856" s="44"/>
      <c r="BK856" s="44"/>
      <c r="BL856" s="44"/>
      <c r="BM856" s="44"/>
      <c r="BN856" s="44"/>
      <c r="BP856" s="44"/>
      <c r="BQ856" s="44"/>
      <c r="BR856" s="44"/>
      <c r="BS856" s="44"/>
      <c r="BT856" s="44"/>
      <c r="BU856" s="44"/>
      <c r="BV856" s="44"/>
      <c r="BW856" s="44"/>
    </row>
    <row r="857" spans="45:75">
      <c r="AS857" s="44"/>
      <c r="AU857" s="42"/>
      <c r="AV857" s="44"/>
      <c r="AW857" s="44"/>
      <c r="AX857" s="44"/>
      <c r="AY857" s="44"/>
      <c r="AZ857" s="58"/>
      <c r="BA857" s="44"/>
      <c r="BB857" s="58"/>
      <c r="BC857" s="44"/>
      <c r="BD857" s="44"/>
      <c r="BE857" s="44"/>
      <c r="BG857" s="44"/>
      <c r="BH857" s="44"/>
      <c r="BI857" s="44"/>
      <c r="BJ857" s="44"/>
      <c r="BK857" s="44"/>
      <c r="BL857" s="44"/>
      <c r="BM857" s="44"/>
      <c r="BN857" s="44"/>
      <c r="BP857" s="44"/>
      <c r="BQ857" s="44"/>
      <c r="BR857" s="44"/>
      <c r="BS857" s="44"/>
      <c r="BT857" s="44"/>
      <c r="BU857" s="44"/>
      <c r="BV857" s="44"/>
      <c r="BW857" s="44"/>
    </row>
    <row r="858" spans="45:75">
      <c r="AS858" s="49"/>
      <c r="AT858" s="49"/>
      <c r="AU858" s="49"/>
      <c r="AV858" s="49"/>
      <c r="AW858" s="49"/>
      <c r="AX858" s="49"/>
      <c r="AY858" s="49"/>
      <c r="AZ858" s="57"/>
      <c r="BA858" s="49"/>
      <c r="BB858" s="57"/>
      <c r="BC858" s="49"/>
      <c r="BD858" s="49"/>
      <c r="BE858" s="49"/>
      <c r="BG858" s="49"/>
      <c r="BH858" s="49"/>
      <c r="BI858" s="49"/>
      <c r="BJ858" s="49"/>
      <c r="BK858" s="49"/>
      <c r="BL858" s="49"/>
      <c r="BM858" s="49"/>
      <c r="BN858" s="49"/>
      <c r="BP858" s="49"/>
      <c r="BQ858" s="49"/>
      <c r="BR858" s="49"/>
      <c r="BS858" s="49"/>
      <c r="BT858" s="49"/>
      <c r="BU858" s="49"/>
      <c r="BV858" s="49"/>
      <c r="BW858" s="49"/>
    </row>
    <row r="859" spans="45:75">
      <c r="AV859" s="44"/>
      <c r="AW859" s="44"/>
      <c r="AX859" s="44"/>
      <c r="AY859" s="44"/>
      <c r="AZ859" s="58"/>
      <c r="BA859" s="44"/>
      <c r="BB859" s="58"/>
      <c r="BC859" s="44"/>
      <c r="BD859" s="44"/>
      <c r="BE859" s="44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</row>
    <row r="860" spans="45:75">
      <c r="AU860" s="42"/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</row>
    <row r="861" spans="45:75"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</row>
    <row r="862" spans="45:75"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</row>
    <row r="863" spans="45:75"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</row>
    <row r="864" spans="45:75"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</row>
    <row r="865" spans="49:75"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</row>
    <row r="866" spans="49:75"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</row>
    <row r="867" spans="49:75"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</row>
    <row r="868" spans="49:75"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</row>
    <row r="869" spans="49:75"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</row>
    <row r="870" spans="49:75"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</row>
    <row r="871" spans="49:75"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</row>
    <row r="872" spans="49:75"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</row>
    <row r="873" spans="49:75"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</row>
    <row r="874" spans="49:75"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</row>
    <row r="875" spans="49:75"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</row>
    <row r="876" spans="49:75"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</row>
    <row r="877" spans="49:75"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</row>
    <row r="878" spans="49:75"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</row>
    <row r="879" spans="49:75"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</row>
    <row r="880" spans="49:75"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</row>
    <row r="881" spans="45:75">
      <c r="AW881" s="45"/>
      <c r="AX881" s="56"/>
      <c r="AY881" s="56"/>
      <c r="AZ881" s="56"/>
      <c r="BA881" s="51"/>
      <c r="BB881" s="56"/>
      <c r="BC881" s="56"/>
      <c r="BD881" s="56"/>
      <c r="BE881" s="51"/>
      <c r="BG881" s="49"/>
      <c r="BH881" s="49"/>
      <c r="BI881" s="42"/>
      <c r="BM881" s="49"/>
      <c r="BN881" s="49"/>
      <c r="BO881" s="56"/>
      <c r="BP881" s="49"/>
      <c r="BQ881" s="49"/>
      <c r="BR881" s="42"/>
      <c r="BV881" s="49"/>
      <c r="BW881" s="49"/>
    </row>
    <row r="882" spans="45:75">
      <c r="AU882" s="42"/>
      <c r="AV882" s="44"/>
      <c r="AW882" s="45"/>
      <c r="AX882" s="56"/>
      <c r="AY882" s="56"/>
      <c r="AZ882" s="56"/>
      <c r="BA882" s="51"/>
      <c r="BB882" s="56"/>
      <c r="BC882" s="56"/>
      <c r="BD882" s="56"/>
      <c r="BE882" s="51"/>
      <c r="BG882" s="58"/>
      <c r="BH882" s="56"/>
      <c r="BI882" s="56"/>
      <c r="BJ882" s="56"/>
      <c r="BK882" s="58"/>
      <c r="BL882" s="59"/>
      <c r="BM882" s="56"/>
      <c r="BN882" s="58"/>
      <c r="BO882" s="56"/>
      <c r="BP882" s="58"/>
      <c r="BQ882" s="56"/>
      <c r="BR882" s="56"/>
      <c r="BS882" s="56"/>
      <c r="BT882" s="58"/>
      <c r="BU882" s="59"/>
      <c r="BV882" s="56"/>
      <c r="BW882" s="58"/>
    </row>
    <row r="883" spans="45:75">
      <c r="AV883" s="44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9"/>
      <c r="BM883" s="56"/>
      <c r="BN883" s="56"/>
      <c r="BO883" s="56"/>
      <c r="BP883" s="56"/>
      <c r="BQ883" s="56"/>
      <c r="BR883" s="56"/>
      <c r="BS883" s="56"/>
      <c r="BT883" s="56"/>
      <c r="BU883" s="59"/>
      <c r="BV883" s="56"/>
      <c r="BW883" s="56"/>
    </row>
    <row r="884" spans="45:75">
      <c r="AV884" s="44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9"/>
      <c r="BM884" s="56"/>
      <c r="BN884" s="56"/>
      <c r="BO884" s="56"/>
      <c r="BP884" s="56"/>
      <c r="BQ884" s="56"/>
      <c r="BR884" s="56"/>
      <c r="BS884" s="56"/>
      <c r="BT884" s="56"/>
      <c r="BU884" s="59"/>
      <c r="BV884" s="56"/>
      <c r="BW884" s="56"/>
    </row>
    <row r="885" spans="45:75">
      <c r="AV885" s="44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9"/>
      <c r="BM885" s="56"/>
      <c r="BN885" s="56"/>
      <c r="BO885" s="56"/>
      <c r="BP885" s="56"/>
      <c r="BQ885" s="56"/>
      <c r="BR885" s="56"/>
      <c r="BS885" s="56"/>
      <c r="BT885" s="56"/>
      <c r="BU885" s="59"/>
      <c r="BV885" s="56"/>
      <c r="BW885" s="56"/>
    </row>
    <row r="886" spans="45:75"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</row>
    <row r="887" spans="45:75">
      <c r="AU887" s="42"/>
    </row>
    <row r="888" spans="45:75">
      <c r="AU888" s="42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</row>
    <row r="889" spans="45:75">
      <c r="AS889" s="42"/>
      <c r="AZ889" s="56"/>
      <c r="BB889" s="56"/>
    </row>
    <row r="890" spans="45:75">
      <c r="AZ890" s="56"/>
      <c r="BB890" s="56"/>
      <c r="BO890" s="56"/>
      <c r="BP890" s="56"/>
      <c r="BQ890" s="56"/>
      <c r="BR890" s="56"/>
      <c r="BS890" s="56"/>
      <c r="BT890" s="56"/>
      <c r="BU890" s="56"/>
      <c r="BV890" s="56"/>
    </row>
    <row r="891" spans="45:75">
      <c r="AY891" s="56"/>
      <c r="AZ891" s="56"/>
      <c r="BB891" s="56"/>
      <c r="BO891" s="56"/>
      <c r="BP891" s="56"/>
      <c r="BQ891" s="56"/>
      <c r="BR891" s="56"/>
      <c r="BS891" s="56"/>
      <c r="BT891" s="56"/>
      <c r="BU891" s="56"/>
      <c r="BV891" s="56"/>
    </row>
    <row r="892" spans="45:75">
      <c r="AY892" s="42"/>
      <c r="AZ892" s="56"/>
      <c r="BB892" s="56"/>
      <c r="BO892" s="56"/>
      <c r="BP892" s="56"/>
      <c r="BQ892" s="56"/>
      <c r="BR892" s="56"/>
      <c r="BS892" s="56"/>
      <c r="BT892" s="56"/>
      <c r="BU892" s="56"/>
      <c r="BV892" s="56"/>
    </row>
    <row r="893" spans="45:75">
      <c r="AY893" s="42"/>
      <c r="AZ893" s="56"/>
      <c r="BB893" s="56"/>
      <c r="BO893" s="56"/>
      <c r="BP893" s="56"/>
      <c r="BQ893" s="56"/>
      <c r="BR893" s="56"/>
      <c r="BS893" s="56"/>
      <c r="BT893" s="56"/>
      <c r="BU893" s="56"/>
      <c r="BV893" s="56"/>
    </row>
    <row r="894" spans="45:75">
      <c r="AZ894" s="56"/>
      <c r="BB894" s="56"/>
      <c r="BD894" s="42"/>
      <c r="BO894" s="56"/>
      <c r="BP894" s="56"/>
      <c r="BQ894" s="56"/>
      <c r="BR894" s="56"/>
      <c r="BS894" s="56"/>
      <c r="BT894" s="56"/>
      <c r="BU894" s="56"/>
      <c r="BV894" s="56"/>
    </row>
    <row r="895" spans="45:75">
      <c r="AZ895" s="56"/>
      <c r="BB895" s="56"/>
      <c r="BD895" s="42"/>
      <c r="BO895" s="56"/>
      <c r="BP895" s="56"/>
      <c r="BQ895" s="56"/>
      <c r="BR895" s="56"/>
      <c r="BS895" s="56"/>
      <c r="BT895" s="56"/>
      <c r="BU895" s="56"/>
      <c r="BV895" s="56"/>
    </row>
    <row r="896" spans="45:75">
      <c r="AS896" s="42"/>
      <c r="AZ896" s="56"/>
      <c r="BB896" s="56"/>
      <c r="BD896" s="42"/>
      <c r="BO896" s="56"/>
      <c r="BP896" s="56"/>
      <c r="BQ896" s="56"/>
      <c r="BR896" s="56"/>
      <c r="BS896" s="56"/>
      <c r="BT896" s="56"/>
      <c r="BU896" s="56"/>
      <c r="BV896" s="56"/>
    </row>
    <row r="897" spans="45:74">
      <c r="AZ897" s="56"/>
      <c r="BB897" s="56"/>
      <c r="BO897" s="56"/>
      <c r="BP897" s="56"/>
      <c r="BQ897" s="56"/>
      <c r="BR897" s="56"/>
      <c r="BS897" s="56"/>
      <c r="BT897" s="56"/>
      <c r="BU897" s="56"/>
      <c r="BV897" s="56"/>
    </row>
    <row r="898" spans="45:74">
      <c r="AS898" s="49"/>
      <c r="AT898" s="49"/>
      <c r="AU898" s="49"/>
      <c r="AV898" s="49"/>
      <c r="AW898" s="49"/>
      <c r="AX898" s="49"/>
      <c r="AY898" s="49"/>
      <c r="AZ898" s="57"/>
      <c r="BA898" s="49"/>
      <c r="BB898" s="57"/>
      <c r="BC898" s="49"/>
      <c r="BD898" s="49"/>
      <c r="BE898" s="49"/>
      <c r="BO898" s="56"/>
      <c r="BP898" s="56"/>
      <c r="BQ898" s="56"/>
      <c r="BR898" s="56"/>
      <c r="BS898" s="56"/>
      <c r="BT898" s="56"/>
      <c r="BU898" s="56"/>
      <c r="BV898" s="56"/>
    </row>
    <row r="899" spans="45:74">
      <c r="AX899" s="42"/>
      <c r="AZ899" s="56"/>
      <c r="BB899" s="56"/>
      <c r="BO899" s="56"/>
      <c r="BP899" s="56"/>
      <c r="BQ899" s="56"/>
      <c r="BR899" s="56"/>
      <c r="BS899" s="56"/>
      <c r="BT899" s="56"/>
      <c r="BU899" s="56"/>
      <c r="BV899" s="56"/>
    </row>
    <row r="900" spans="45:74">
      <c r="AX900" s="49"/>
      <c r="AY900" s="49"/>
      <c r="AZ900" s="57"/>
      <c r="BA900" s="49"/>
      <c r="BB900" s="56"/>
      <c r="BC900" s="44"/>
      <c r="BD900" s="44"/>
      <c r="BO900" s="56"/>
      <c r="BP900" s="56"/>
      <c r="BQ900" s="56"/>
      <c r="BR900" s="56"/>
      <c r="BS900" s="56"/>
      <c r="BT900" s="56"/>
      <c r="BU900" s="56"/>
      <c r="BV900" s="56"/>
    </row>
    <row r="901" spans="45:74">
      <c r="AV901" s="44"/>
      <c r="AW901" s="44"/>
      <c r="AZ901" s="58"/>
      <c r="BA901" s="44"/>
      <c r="BB901" s="56"/>
      <c r="BC901" s="44"/>
      <c r="BD901" s="44"/>
      <c r="BE901" s="44"/>
      <c r="BG901" s="49"/>
      <c r="BH901" s="42"/>
      <c r="BK901" s="49"/>
      <c r="BM901" s="49"/>
      <c r="BN901" s="42"/>
      <c r="BQ901" s="49"/>
    </row>
    <row r="902" spans="45:74">
      <c r="AV902" s="44"/>
      <c r="AW902" s="44"/>
      <c r="AX902" s="44"/>
      <c r="AY902" s="44"/>
      <c r="AZ902" s="58"/>
      <c r="BA902" s="44"/>
      <c r="BB902" s="58"/>
      <c r="BC902" s="44"/>
      <c r="BD902" s="44"/>
      <c r="BE902" s="44"/>
      <c r="BH902" s="44"/>
      <c r="BI902" s="44"/>
      <c r="BN902" s="44"/>
      <c r="BO902" s="44"/>
    </row>
    <row r="903" spans="45:74">
      <c r="AS903" s="44"/>
      <c r="AU903" s="42"/>
      <c r="AV903" s="44"/>
      <c r="AW903" s="44"/>
      <c r="AX903" s="44"/>
      <c r="AY903" s="44"/>
      <c r="AZ903" s="58"/>
      <c r="BA903" s="44"/>
      <c r="BB903" s="58"/>
      <c r="BC903" s="44"/>
      <c r="BD903" s="44"/>
      <c r="BE903" s="44"/>
      <c r="BG903" s="44"/>
      <c r="BH903" s="44"/>
      <c r="BI903" s="44"/>
      <c r="BJ903" s="44"/>
      <c r="BK903" s="44"/>
      <c r="BM903" s="44"/>
      <c r="BN903" s="44"/>
      <c r="BO903" s="44"/>
      <c r="BP903" s="44"/>
      <c r="BQ903" s="44"/>
    </row>
    <row r="904" spans="45:74">
      <c r="AS904" s="44"/>
      <c r="AU904" s="42"/>
      <c r="AV904" s="44"/>
      <c r="AW904" s="44"/>
      <c r="AX904" s="44"/>
      <c r="AY904" s="44"/>
      <c r="AZ904" s="58"/>
      <c r="BA904" s="44"/>
      <c r="BB904" s="58"/>
      <c r="BC904" s="44"/>
      <c r="BD904" s="44"/>
      <c r="BE904" s="44"/>
      <c r="BG904" s="44"/>
      <c r="BH904" s="44"/>
      <c r="BI904" s="44"/>
      <c r="BJ904" s="44"/>
      <c r="BK904" s="44"/>
      <c r="BM904" s="44"/>
      <c r="BN904" s="44"/>
      <c r="BO904" s="44"/>
      <c r="BP904" s="44"/>
      <c r="BQ904" s="44"/>
    </row>
    <row r="905" spans="45:74">
      <c r="AS905" s="49"/>
      <c r="AT905" s="49"/>
      <c r="AU905" s="49"/>
      <c r="AV905" s="49"/>
      <c r="AW905" s="49"/>
      <c r="AX905" s="49"/>
      <c r="AY905" s="49"/>
      <c r="AZ905" s="57"/>
      <c r="BA905" s="49"/>
      <c r="BB905" s="57"/>
      <c r="BC905" s="49"/>
      <c r="BD905" s="49"/>
      <c r="BE905" s="49"/>
      <c r="BG905" s="49"/>
      <c r="BH905" s="49"/>
      <c r="BI905" s="49"/>
      <c r="BJ905" s="49"/>
      <c r="BK905" s="49"/>
      <c r="BM905" s="49"/>
      <c r="BN905" s="49"/>
      <c r="BO905" s="49"/>
      <c r="BP905" s="49"/>
      <c r="BQ905" s="49"/>
    </row>
    <row r="906" spans="45:74">
      <c r="AV906" s="44"/>
      <c r="AW906" s="44"/>
      <c r="AX906" s="44"/>
      <c r="AY906" s="44"/>
      <c r="AZ906" s="58"/>
      <c r="BA906" s="44"/>
      <c r="BB906" s="58"/>
      <c r="BC906" s="44"/>
      <c r="BD906" s="44"/>
      <c r="BE906" s="44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</row>
    <row r="907" spans="45:74">
      <c r="AT907" s="42"/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</row>
    <row r="908" spans="45:74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</row>
    <row r="909" spans="45:74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</row>
    <row r="910" spans="45:74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</row>
    <row r="911" spans="45:74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</row>
    <row r="912" spans="45:74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</row>
    <row r="913" spans="46:71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</row>
    <row r="914" spans="46:71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</row>
    <row r="915" spans="46:71">
      <c r="AV915" s="45"/>
      <c r="AW915" s="45"/>
      <c r="AX915" s="56"/>
      <c r="AY915" s="56"/>
      <c r="AZ915" s="56"/>
      <c r="BA915" s="51"/>
      <c r="BB915" s="56"/>
      <c r="BC915" s="56"/>
      <c r="BD915" s="56"/>
      <c r="BE915" s="51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</row>
    <row r="916" spans="46:71"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</row>
    <row r="917" spans="46:71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</row>
    <row r="918" spans="46:71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</row>
    <row r="919" spans="46:71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</row>
    <row r="920" spans="46:71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</row>
    <row r="921" spans="46:71"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</row>
    <row r="922" spans="46:71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</row>
    <row r="923" spans="46:71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</row>
    <row r="924" spans="46:71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46:71">
      <c r="AZ925" s="56"/>
      <c r="BB925" s="56"/>
      <c r="BC925" s="56"/>
      <c r="BD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46:71">
      <c r="AT926" s="42"/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6:71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6:71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8:57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8:57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8:57">
      <c r="AV931" s="45"/>
      <c r="AW931" s="45"/>
      <c r="AX931" s="56"/>
      <c r="AY931" s="56"/>
      <c r="AZ931" s="56"/>
      <c r="BA931" s="51"/>
      <c r="BB931" s="56"/>
      <c r="BC931" s="56"/>
      <c r="BD931" s="56"/>
      <c r="BE931" s="51"/>
    </row>
    <row r="932" spans="48:57"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8:57">
      <c r="AV933" s="45"/>
      <c r="AW933" s="45"/>
      <c r="AX933" s="56"/>
      <c r="AY933" s="56"/>
      <c r="AZ933" s="56"/>
      <c r="BA933" s="51"/>
      <c r="BB933" s="56"/>
      <c r="BC933" s="56"/>
      <c r="BD933" s="56"/>
      <c r="BE933" s="51"/>
    </row>
    <row r="934" spans="48:57"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8:57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8:57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8:57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8:57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8:57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8:57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8:57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8:57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8:57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8:57">
      <c r="BB944" s="56"/>
    </row>
    <row r="945" spans="45:57">
      <c r="AU945" s="42"/>
      <c r="BB945" s="56"/>
    </row>
    <row r="946" spans="45:57">
      <c r="AU946" s="42"/>
    </row>
    <row r="947" spans="45:57">
      <c r="AU947" s="42"/>
      <c r="BB947" s="56"/>
    </row>
    <row r="948" spans="45:57">
      <c r="AS948" s="42"/>
      <c r="AZ948" s="56"/>
      <c r="BB948" s="56"/>
    </row>
    <row r="949" spans="45:57">
      <c r="AZ949" s="56"/>
      <c r="BB949" s="56"/>
    </row>
    <row r="950" spans="45:57">
      <c r="AY950" s="56"/>
      <c r="AZ950" s="56"/>
      <c r="BB950" s="56"/>
    </row>
    <row r="951" spans="45:57">
      <c r="AY951" s="42"/>
      <c r="AZ951" s="56"/>
      <c r="BB951" s="56"/>
    </row>
    <row r="952" spans="45:57">
      <c r="AY952" s="42"/>
      <c r="AZ952" s="56"/>
      <c r="BB952" s="56"/>
    </row>
    <row r="953" spans="45:57">
      <c r="AZ953" s="56"/>
      <c r="BB953" s="56"/>
      <c r="BD953" s="42"/>
    </row>
    <row r="954" spans="45:57">
      <c r="AZ954" s="56"/>
      <c r="BB954" s="56"/>
      <c r="BD954" s="42"/>
    </row>
    <row r="955" spans="45:57">
      <c r="AS955" s="42"/>
      <c r="AZ955" s="56"/>
      <c r="BB955" s="56"/>
      <c r="BD955" s="42"/>
    </row>
    <row r="956" spans="45:57">
      <c r="AZ956" s="56"/>
      <c r="BB956" s="56"/>
    </row>
    <row r="957" spans="45:57">
      <c r="AS957" s="49"/>
      <c r="AT957" s="49"/>
      <c r="AU957" s="49"/>
      <c r="AV957" s="49"/>
      <c r="AW957" s="49"/>
      <c r="AX957" s="49"/>
      <c r="AY957" s="49"/>
      <c r="AZ957" s="57"/>
      <c r="BA957" s="49"/>
      <c r="BB957" s="57"/>
      <c r="BC957" s="49"/>
      <c r="BD957" s="49"/>
      <c r="BE957" s="49"/>
    </row>
    <row r="958" spans="45:57">
      <c r="AX958" s="42"/>
      <c r="AZ958" s="56"/>
      <c r="BB958" s="56"/>
    </row>
    <row r="959" spans="45:57">
      <c r="AX959" s="49"/>
      <c r="AY959" s="49"/>
      <c r="AZ959" s="57"/>
      <c r="BA959" s="49"/>
      <c r="BB959" s="56"/>
      <c r="BC959" s="44"/>
      <c r="BD959" s="44"/>
    </row>
    <row r="960" spans="45:57">
      <c r="AV960" s="44"/>
      <c r="AW960" s="44"/>
      <c r="AZ960" s="58"/>
      <c r="BA960" s="44"/>
      <c r="BB960" s="56"/>
      <c r="BC960" s="44"/>
      <c r="BD960" s="44"/>
      <c r="BE960" s="44"/>
    </row>
    <row r="961" spans="45:57">
      <c r="AV961" s="44"/>
      <c r="AW961" s="44"/>
      <c r="AX961" s="44"/>
      <c r="AY961" s="44"/>
      <c r="AZ961" s="58"/>
      <c r="BA961" s="44"/>
      <c r="BB961" s="58"/>
      <c r="BC961" s="44"/>
      <c r="BD961" s="44"/>
      <c r="BE961" s="44"/>
    </row>
    <row r="962" spans="45:57">
      <c r="AS962" s="44"/>
      <c r="AU962" s="42"/>
      <c r="AV962" s="44"/>
      <c r="AW962" s="44"/>
      <c r="AX962" s="44"/>
      <c r="AY962" s="44"/>
      <c r="AZ962" s="58"/>
      <c r="BA962" s="44"/>
      <c r="BB962" s="58"/>
      <c r="BC962" s="44"/>
      <c r="BD962" s="44"/>
      <c r="BE962" s="44"/>
    </row>
    <row r="963" spans="45:57">
      <c r="AS963" s="44"/>
      <c r="AU963" s="42"/>
      <c r="AV963" s="44"/>
      <c r="AW963" s="44"/>
      <c r="AX963" s="44"/>
      <c r="AY963" s="44"/>
      <c r="AZ963" s="58"/>
      <c r="BA963" s="44"/>
      <c r="BB963" s="58"/>
      <c r="BC963" s="44"/>
      <c r="BD963" s="44"/>
      <c r="BE963" s="44"/>
    </row>
    <row r="964" spans="45:57">
      <c r="AS964" s="49"/>
      <c r="AT964" s="49"/>
      <c r="AU964" s="49"/>
      <c r="AV964" s="49"/>
      <c r="AW964" s="49"/>
      <c r="AX964" s="49"/>
      <c r="AY964" s="49"/>
      <c r="AZ964" s="57"/>
      <c r="BA964" s="49"/>
      <c r="BB964" s="57"/>
      <c r="BC964" s="49"/>
      <c r="BD964" s="49"/>
      <c r="BE964" s="49"/>
    </row>
    <row r="965" spans="45:57">
      <c r="AV965" s="44"/>
      <c r="AW965" s="44"/>
      <c r="AX965" s="44"/>
      <c r="AY965" s="44"/>
      <c r="AZ965" s="58"/>
      <c r="BA965" s="44"/>
      <c r="BB965" s="58"/>
      <c r="BC965" s="44"/>
      <c r="BD965" s="44"/>
      <c r="BE965" s="44"/>
    </row>
    <row r="966" spans="45:57">
      <c r="AT966" s="42"/>
      <c r="AV966" s="45"/>
      <c r="AW966" s="45"/>
      <c r="AX966" s="56"/>
      <c r="AY966" s="56"/>
      <c r="AZ966" s="56"/>
      <c r="BA966" s="51"/>
      <c r="BB966" s="56"/>
      <c r="BC966" s="56"/>
      <c r="BD966" s="56"/>
      <c r="BE966" s="51"/>
    </row>
    <row r="967" spans="45:57">
      <c r="AV967" s="45"/>
      <c r="AW967" s="45"/>
      <c r="AX967" s="56"/>
      <c r="AY967" s="56"/>
      <c r="AZ967" s="56"/>
      <c r="BA967" s="51"/>
      <c r="BB967" s="56"/>
      <c r="BC967" s="56"/>
      <c r="BD967" s="56"/>
      <c r="BE967" s="51"/>
    </row>
    <row r="968" spans="45:57">
      <c r="AV968" s="45"/>
      <c r="AW968" s="45"/>
      <c r="AX968" s="56"/>
      <c r="AY968" s="56"/>
      <c r="AZ968" s="56"/>
      <c r="BA968" s="51"/>
      <c r="BB968" s="56"/>
      <c r="BC968" s="56"/>
      <c r="BD968" s="56"/>
      <c r="BE968" s="51"/>
    </row>
    <row r="969" spans="45:57">
      <c r="AV969" s="45"/>
      <c r="AW969" s="45"/>
      <c r="AX969" s="56"/>
      <c r="AY969" s="56"/>
      <c r="AZ969" s="56"/>
      <c r="BA969" s="51"/>
      <c r="BB969" s="56"/>
      <c r="BC969" s="56"/>
      <c r="BD969" s="56"/>
      <c r="BE969" s="51"/>
    </row>
    <row r="970" spans="45:57">
      <c r="AV970" s="45"/>
      <c r="AW970" s="45"/>
      <c r="AX970" s="56"/>
      <c r="AY970" s="56"/>
      <c r="AZ970" s="56"/>
      <c r="BA970" s="51"/>
      <c r="BB970" s="56"/>
      <c r="BC970" s="56"/>
      <c r="BD970" s="56"/>
      <c r="BE970" s="51"/>
    </row>
    <row r="971" spans="45:57">
      <c r="AV971" s="45"/>
      <c r="AW971" s="45"/>
      <c r="AX971" s="56"/>
      <c r="AY971" s="56"/>
      <c r="AZ971" s="56"/>
      <c r="BA971" s="51"/>
      <c r="BB971" s="56"/>
      <c r="BC971" s="56"/>
      <c r="BD971" s="56"/>
      <c r="BE971" s="51"/>
    </row>
    <row r="972" spans="45:57">
      <c r="AV972" s="45"/>
      <c r="AW972" s="45"/>
      <c r="AX972" s="56"/>
      <c r="AY972" s="56"/>
      <c r="AZ972" s="56"/>
      <c r="BA972" s="51"/>
      <c r="BB972" s="56"/>
      <c r="BC972" s="56"/>
      <c r="BD972" s="56"/>
      <c r="BE972" s="51"/>
    </row>
    <row r="973" spans="45:57">
      <c r="AV973" s="45"/>
      <c r="AW973" s="45"/>
      <c r="AX973" s="56"/>
      <c r="AY973" s="56"/>
      <c r="AZ973" s="56"/>
      <c r="BA973" s="51"/>
      <c r="BB973" s="56"/>
      <c r="BC973" s="56"/>
      <c r="BD973" s="56"/>
      <c r="BE973" s="51"/>
    </row>
    <row r="974" spans="45:57">
      <c r="AV974" s="45"/>
      <c r="AW974" s="45"/>
      <c r="AX974" s="56"/>
      <c r="AY974" s="56"/>
      <c r="AZ974" s="56"/>
      <c r="BA974" s="51"/>
      <c r="BB974" s="56"/>
      <c r="BC974" s="56"/>
      <c r="BD974" s="56"/>
      <c r="BE974" s="51"/>
    </row>
    <row r="975" spans="45:57">
      <c r="AV975" s="45"/>
      <c r="AW975" s="45"/>
      <c r="AX975" s="56"/>
      <c r="AY975" s="56"/>
      <c r="AZ975" s="56"/>
      <c r="BA975" s="51"/>
      <c r="BB975" s="56"/>
      <c r="BC975" s="56"/>
      <c r="BD975" s="56"/>
      <c r="BE975" s="51"/>
    </row>
    <row r="976" spans="45:57">
      <c r="AV976" s="45"/>
      <c r="AW976" s="45"/>
      <c r="BB976" s="56"/>
    </row>
    <row r="977" spans="45:57">
      <c r="AT977" s="42"/>
      <c r="AV977" s="45"/>
      <c r="AW977" s="45"/>
      <c r="AX977" s="56"/>
      <c r="AY977" s="56"/>
      <c r="AZ977" s="56"/>
      <c r="BA977" s="51"/>
      <c r="BB977" s="56"/>
      <c r="BC977" s="56"/>
      <c r="BD977" s="56"/>
      <c r="BE977" s="51"/>
    </row>
    <row r="978" spans="45:57">
      <c r="AV978" s="45"/>
      <c r="AW978" s="45"/>
      <c r="AX978" s="56"/>
      <c r="AY978" s="56"/>
      <c r="AZ978" s="56"/>
      <c r="BA978" s="51"/>
      <c r="BB978" s="56"/>
      <c r="BC978" s="56"/>
      <c r="BD978" s="56"/>
      <c r="BE978" s="51"/>
    </row>
    <row r="979" spans="45:57">
      <c r="AV979" s="45"/>
      <c r="AW979" s="45"/>
      <c r="AX979" s="56"/>
      <c r="AY979" s="56"/>
      <c r="AZ979" s="56"/>
      <c r="BA979" s="51"/>
      <c r="BB979" s="56"/>
      <c r="BC979" s="56"/>
      <c r="BD979" s="56"/>
      <c r="BE979" s="51"/>
    </row>
    <row r="980" spans="45:57">
      <c r="AV980" s="45"/>
      <c r="AW980" s="45"/>
      <c r="AX980" s="56"/>
      <c r="AY980" s="56"/>
      <c r="AZ980" s="56"/>
      <c r="BA980" s="51"/>
      <c r="BB980" s="56"/>
      <c r="BC980" s="56"/>
      <c r="BD980" s="56"/>
      <c r="BE980" s="51"/>
    </row>
    <row r="981" spans="45:57">
      <c r="AV981" s="45"/>
      <c r="AW981" s="45"/>
      <c r="AX981" s="56"/>
      <c r="AY981" s="56"/>
      <c r="AZ981" s="56"/>
      <c r="BA981" s="51"/>
      <c r="BB981" s="56"/>
      <c r="BC981" s="56"/>
      <c r="BD981" s="56"/>
      <c r="BE981" s="51"/>
    </row>
    <row r="982" spans="45:57">
      <c r="AV982" s="45"/>
      <c r="AW982" s="45"/>
      <c r="AX982" s="56"/>
      <c r="AY982" s="56"/>
      <c r="AZ982" s="56"/>
      <c r="BA982" s="51"/>
      <c r="BB982" s="56"/>
      <c r="BC982" s="56"/>
      <c r="BD982" s="56"/>
      <c r="BE982" s="51"/>
    </row>
    <row r="983" spans="45:57">
      <c r="AV983" s="45"/>
      <c r="AW983" s="45"/>
      <c r="AX983" s="56"/>
      <c r="AY983" s="56"/>
      <c r="AZ983" s="56"/>
      <c r="BA983" s="51"/>
      <c r="BB983" s="56"/>
      <c r="BC983" s="56"/>
      <c r="BD983" s="56"/>
      <c r="BE983" s="51"/>
    </row>
    <row r="984" spans="45:57">
      <c r="AV984" s="45"/>
      <c r="AW984" s="45"/>
      <c r="AX984" s="56"/>
      <c r="AY984" s="56"/>
      <c r="AZ984" s="56"/>
      <c r="BA984" s="51"/>
      <c r="BB984" s="56"/>
      <c r="BC984" s="56"/>
      <c r="BD984" s="56"/>
      <c r="BE984" s="51"/>
    </row>
    <row r="985" spans="45:57">
      <c r="AV985" s="45"/>
      <c r="AW985" s="45"/>
      <c r="AX985" s="56"/>
      <c r="AY985" s="56"/>
      <c r="AZ985" s="56"/>
      <c r="BA985" s="51"/>
      <c r="BB985" s="56"/>
      <c r="BC985" s="56"/>
      <c r="BD985" s="56"/>
      <c r="BE985" s="51"/>
    </row>
    <row r="986" spans="45:57">
      <c r="AV986" s="45"/>
      <c r="AW986" s="45"/>
      <c r="AX986" s="56"/>
      <c r="AY986" s="56"/>
      <c r="AZ986" s="56"/>
      <c r="BA986" s="51"/>
      <c r="BB986" s="56"/>
      <c r="BC986" s="56"/>
      <c r="BD986" s="56"/>
      <c r="BE986" s="51"/>
    </row>
    <row r="988" spans="45:57">
      <c r="AU988" s="42"/>
    </row>
    <row r="989" spans="45:57">
      <c r="AU989" s="42"/>
    </row>
    <row r="990" spans="45:57">
      <c r="AU990" s="42"/>
    </row>
    <row r="991" spans="45:57">
      <c r="AS991" s="42"/>
    </row>
    <row r="1012" spans="52:71">
      <c r="AZ1012" s="56"/>
      <c r="BB1012" s="56"/>
      <c r="BC1012" s="56"/>
      <c r="BD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</row>
    <row r="1013" spans="52:71">
      <c r="AZ1013" s="56"/>
      <c r="BB1013" s="56"/>
      <c r="BC1013" s="56"/>
      <c r="BD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</row>
    <row r="1014" spans="52:71">
      <c r="AZ1014" s="56"/>
      <c r="BB1014" s="56"/>
      <c r="BC1014" s="56"/>
      <c r="BD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</row>
    <row r="1015" spans="52:71">
      <c r="AZ1015" s="56"/>
      <c r="BB1015" s="56"/>
      <c r="BC1015" s="56"/>
      <c r="BD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</row>
    <row r="1016" spans="52:71">
      <c r="AZ1016" s="56"/>
      <c r="BB1016" s="56"/>
      <c r="BC1016" s="56"/>
      <c r="BD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</row>
    <row r="1017" spans="52:71">
      <c r="AZ1017" s="56"/>
      <c r="BB1017" s="56"/>
      <c r="BC1017" s="56"/>
      <c r="BD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</row>
    <row r="1018" spans="52:71">
      <c r="AZ1018" s="56"/>
      <c r="BB1018" s="56"/>
      <c r="BC1018" s="56"/>
      <c r="BD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</row>
    <row r="1019" spans="52:71">
      <c r="AZ1019" s="56"/>
      <c r="BB1019" s="56"/>
      <c r="BC1019" s="56"/>
      <c r="BD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</row>
    <row r="1020" spans="52:71">
      <c r="AZ1020" s="56"/>
      <c r="BB1020" s="56"/>
      <c r="BC1020" s="56"/>
      <c r="BD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</row>
    <row r="1021" spans="52:71">
      <c r="AZ1021" s="56"/>
      <c r="BB1021" s="56"/>
      <c r="BC1021" s="56"/>
      <c r="BD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</row>
    <row r="1022" spans="52:71">
      <c r="AZ1022" s="56"/>
      <c r="BB1022" s="56"/>
      <c r="BC1022" s="56"/>
      <c r="BD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</row>
    <row r="1023" spans="52:71">
      <c r="AZ1023" s="56"/>
      <c r="BB1023" s="56"/>
      <c r="BC1023" s="56"/>
      <c r="BD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</row>
    <row r="1024" spans="52:71">
      <c r="AZ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</row>
    <row r="1025" spans="52:71">
      <c r="AZ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</row>
    <row r="1026" spans="52:71">
      <c r="AZ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</row>
    <row r="1027" spans="52:71">
      <c r="AZ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</row>
    <row r="1028" spans="52:71">
      <c r="AZ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</row>
    <row r="1029" spans="52:71">
      <c r="AZ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</row>
    <row r="1030" spans="52:71">
      <c r="AZ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</row>
    <row r="1031" spans="52:71">
      <c r="AZ1031" s="56"/>
    </row>
    <row r="1032" spans="52:71">
      <c r="AZ1032" s="56"/>
    </row>
    <row r="1046" spans="1:28">
      <c r="A1046" s="42"/>
    </row>
    <row r="1049" spans="1:28">
      <c r="Y1049" s="42"/>
    </row>
    <row r="1050" spans="1:28">
      <c r="A1050" s="42"/>
      <c r="H1050" s="42"/>
      <c r="I1050" s="42"/>
    </row>
    <row r="1051" spans="1:28">
      <c r="A1051" s="42"/>
      <c r="V1051" s="44"/>
      <c r="AA1051" s="44"/>
      <c r="AB1051" s="44"/>
    </row>
    <row r="1052" spans="1:28">
      <c r="A1052" s="42"/>
      <c r="V1052" s="49"/>
      <c r="AA1052" s="49"/>
      <c r="AB1052" s="49"/>
    </row>
    <row r="1053" spans="1:28">
      <c r="A1053" s="42"/>
      <c r="U1053" s="42"/>
      <c r="AA1053" s="44"/>
      <c r="AB1053" s="44"/>
    </row>
    <row r="1054" spans="1:28">
      <c r="A1054" s="42"/>
    </row>
    <row r="1055" spans="1:28">
      <c r="A1055" s="42"/>
      <c r="U1055" s="42"/>
      <c r="AA1055" s="44"/>
      <c r="AB1055" s="44"/>
    </row>
    <row r="1056" spans="1:28">
      <c r="A1056" s="42"/>
    </row>
    <row r="1057" spans="1:28">
      <c r="A1057" s="42"/>
      <c r="U1057" s="42"/>
      <c r="V1057" s="339"/>
      <c r="AA1057" s="44"/>
      <c r="AB1057" s="44"/>
    </row>
    <row r="1058" spans="1:28">
      <c r="A1058" s="42"/>
    </row>
    <row r="1059" spans="1:28">
      <c r="A1059" s="42"/>
      <c r="U1059" s="42"/>
      <c r="AA1059" s="44"/>
      <c r="AB1059" s="44"/>
    </row>
    <row r="1060" spans="1:28">
      <c r="A1060" s="42"/>
    </row>
    <row r="1061" spans="1:28">
      <c r="A1061" s="42"/>
      <c r="U1061" s="42"/>
      <c r="AA1061" s="44"/>
      <c r="AB1061" s="44"/>
    </row>
    <row r="1062" spans="1:28">
      <c r="A1062" s="42"/>
    </row>
    <row r="1063" spans="1:28">
      <c r="A1063" s="42"/>
    </row>
    <row r="1064" spans="1:28">
      <c r="A1064" s="42"/>
    </row>
    <row r="1065" spans="1:28">
      <c r="A1065" s="42"/>
    </row>
    <row r="1066" spans="1:28">
      <c r="A1066" s="42"/>
    </row>
    <row r="1067" spans="1:28">
      <c r="A1067" s="42"/>
    </row>
    <row r="1068" spans="1:28">
      <c r="A1068" s="42"/>
    </row>
    <row r="1069" spans="1:28">
      <c r="A1069" s="42"/>
    </row>
    <row r="1070" spans="1:28">
      <c r="A1070" s="42"/>
    </row>
    <row r="1071" spans="1:28">
      <c r="A1071" s="42"/>
    </row>
    <row r="1072" spans="1:28">
      <c r="A1072" s="42"/>
      <c r="H1072" s="42"/>
      <c r="I1072" s="42"/>
    </row>
    <row r="1075" spans="1:1">
      <c r="A1075" s="42"/>
    </row>
    <row r="1078" spans="1:1">
      <c r="A1078" s="42"/>
    </row>
    <row r="1081" spans="1:1">
      <c r="A1081" s="42"/>
    </row>
    <row r="1082" spans="1:1">
      <c r="A1082" s="42"/>
    </row>
    <row r="1083" spans="1:1">
      <c r="A1083" s="42"/>
    </row>
    <row r="1084" spans="1:1">
      <c r="A1084" s="42"/>
    </row>
    <row r="1085" spans="1:1">
      <c r="A1085" s="42"/>
    </row>
    <row r="1086" spans="1:1">
      <c r="A1086" s="42"/>
    </row>
    <row r="1087" spans="1:1">
      <c r="A1087" s="42"/>
    </row>
    <row r="1088" spans="1:1">
      <c r="A1088" s="42"/>
    </row>
    <row r="1089" spans="1:1">
      <c r="A1089" s="42"/>
    </row>
    <row r="1090" spans="1:1">
      <c r="A1090" s="42"/>
    </row>
    <row r="1091" spans="1:1">
      <c r="A1091" s="42"/>
    </row>
    <row r="1092" spans="1:1">
      <c r="A1092" s="42"/>
    </row>
    <row r="1093" spans="1:1">
      <c r="A1093" s="42"/>
    </row>
    <row r="1094" spans="1:1">
      <c r="A1094" s="42"/>
    </row>
    <row r="1095" spans="1:1">
      <c r="A1095" s="42"/>
    </row>
    <row r="1096" spans="1:1">
      <c r="A1096" s="42"/>
    </row>
    <row r="1097" spans="1:1">
      <c r="A1097" s="42"/>
    </row>
    <row r="1098" spans="1:1">
      <c r="A1098" s="42"/>
    </row>
    <row r="1099" spans="1:1">
      <c r="A1099" s="42"/>
    </row>
    <row r="1100" spans="1:1">
      <c r="A1100" s="42"/>
    </row>
    <row r="1101" spans="1:1">
      <c r="A1101" s="42"/>
    </row>
    <row r="1102" spans="1:1">
      <c r="A1102" s="42"/>
    </row>
    <row r="1103" spans="1:1">
      <c r="A1103" s="42"/>
    </row>
    <row r="1104" spans="1:1">
      <c r="A1104" s="42"/>
    </row>
    <row r="1105" spans="1:1">
      <c r="A1105" s="42"/>
    </row>
    <row r="1106" spans="1:1">
      <c r="A1106" s="42"/>
    </row>
    <row r="1107" spans="1:1">
      <c r="A1107" s="42"/>
    </row>
    <row r="1108" spans="1:1">
      <c r="A1108" s="42"/>
    </row>
    <row r="1109" spans="1:1">
      <c r="A1109" s="42"/>
    </row>
    <row r="1110" spans="1:1">
      <c r="A1110" s="42"/>
    </row>
    <row r="1111" spans="1:1">
      <c r="A1111" s="42"/>
    </row>
    <row r="1112" spans="1:1">
      <c r="A1112" s="42"/>
    </row>
    <row r="1113" spans="1:1">
      <c r="A1113" s="42"/>
    </row>
    <row r="1114" spans="1:1">
      <c r="A1114" s="42"/>
    </row>
    <row r="1115" spans="1:1">
      <c r="A1115" s="42"/>
    </row>
    <row r="1120" spans="1:1">
      <c r="A1120" s="42"/>
    </row>
    <row r="1121" spans="1:1">
      <c r="A1121" s="42"/>
    </row>
    <row r="1124" spans="1:1">
      <c r="A1124" s="42"/>
    </row>
    <row r="1126" spans="1:1">
      <c r="A1126" s="42"/>
    </row>
    <row r="1128" spans="1:1">
      <c r="A1128" s="42"/>
    </row>
    <row r="1130" spans="1:1">
      <c r="A1130" s="42"/>
    </row>
    <row r="1133" spans="1:1">
      <c r="A1133" s="42"/>
    </row>
    <row r="1134" spans="1:1">
      <c r="A1134" s="42"/>
    </row>
    <row r="1135" spans="1:1">
      <c r="A1135" s="42"/>
    </row>
    <row r="1136" spans="1:1">
      <c r="A1136" s="42"/>
    </row>
    <row r="1137" spans="1:1">
      <c r="A1137" s="42"/>
    </row>
    <row r="1138" spans="1:1">
      <c r="A1138" s="42"/>
    </row>
    <row r="1139" spans="1:1">
      <c r="A1139" s="42"/>
    </row>
    <row r="1140" spans="1:1">
      <c r="A1140" s="42"/>
    </row>
  </sheetData>
  <customSheetViews>
    <customSheetView guid="{F562D92E-120C-4AE9-9663-89E64D41DC53}" scale="75" fitToPage="1" topLeftCell="W57">
      <selection activeCell="P30" sqref="P3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A8">
      <selection activeCell="F20" sqref="F2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>
      <selection activeCell="J24" sqref="J24: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>
      <selection activeCell="V33" sqref="V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X53">
      <selection activeCell="AE80" sqref="AE8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9"/>
      <headerFooter alignWithMargins="0"/>
    </customSheetView>
    <customSheetView guid="{4BC93440-BA85-4935-A8C9-66DC6AE5DE5E}" scale="75" fitToPage="1" showRuler="0" topLeftCell="AC63">
      <selection activeCell="R8" sqref="R8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10"/>
      <headerFooter alignWithMargins="0"/>
    </customSheetView>
    <customSheetView guid="{0C49E549-011E-46F4-A82E-2CC8951A9C1E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2" type="noConversion"/>
  <pageMargins left="0.5" right="0.5" top="1" bottom="0" header="0" footer="0"/>
  <pageSetup scale="48" orientation="landscape" r:id="rId13"/>
  <headerFooter alignWithMargins="0"/>
  <rowBreaks count="16" manualBreakCount="16">
    <brk id="136" max="65535" man="1"/>
    <brk id="179" max="65535" man="1"/>
    <brk id="221" max="65535" man="1"/>
    <brk id="260" max="65535" man="1"/>
    <brk id="316" max="65535" man="1"/>
    <brk id="362" max="65535" man="1"/>
    <brk id="444" max="65535" man="1"/>
    <brk id="482" max="65535" man="1"/>
    <brk id="519" max="65535" man="1"/>
    <brk id="567" max="65535" man="1"/>
    <brk id="628" max="65535" man="1"/>
    <brk id="687" max="65535" man="1"/>
    <brk id="794" max="65535" man="1"/>
    <brk id="841" max="65535" man="1"/>
    <brk id="900" max="65535" man="1"/>
    <brk id="943" max="65535" man="1"/>
  </rowBreaks>
  <colBreaks count="1" manualBreakCount="1">
    <brk id="4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transitionEntry="1" codeName="Sheet9">
    <pageSetUpPr fitToPage="1"/>
  </sheetPr>
  <dimension ref="A1:BX1127"/>
  <sheetViews>
    <sheetView workbookViewId="0"/>
  </sheetViews>
  <sheetFormatPr defaultColWidth="9.69921875" defaultRowHeight="15.75"/>
  <cols>
    <col min="1" max="1" width="4.8984375" style="41" customWidth="1"/>
    <col min="2" max="2" width="0.69921875" style="41" customWidth="1"/>
    <col min="3" max="3" width="6.69921875" style="41" customWidth="1"/>
    <col min="4" max="4" width="35.69921875" style="41" customWidth="1"/>
    <col min="5" max="5" width="0.69921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2.398437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8.6992187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4.59765625" style="41" customWidth="1"/>
    <col min="23" max="23" width="39.3984375" style="41" customWidth="1"/>
    <col min="24" max="24" width="0.5976562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1.3984375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8 OF "&amp;TEXT(Page_Num_2.3,"00")</f>
        <v>PAGE 8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>
      <c r="A10" s="133" t="str">
        <f>INPUT!B5</f>
        <v xml:space="preserve"> </v>
      </c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>
      <c r="H19" s="309" t="s">
        <v>196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A20" s="41">
        <v>1</v>
      </c>
      <c r="C20" s="133" t="s">
        <v>92</v>
      </c>
      <c r="D20" s="133" t="s">
        <v>149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>
      <c r="A21" s="41">
        <v>2</v>
      </c>
      <c r="C21" s="130"/>
      <c r="D21" s="133" t="s">
        <v>132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>
      <c r="A23" s="41">
        <v>3</v>
      </c>
      <c r="C23" s="133" t="s">
        <v>133</v>
      </c>
      <c r="F23" s="68"/>
      <c r="G23" s="1"/>
      <c r="H23" s="68"/>
      <c r="I23" s="68"/>
      <c r="J23" s="76"/>
      <c r="K23" s="76"/>
      <c r="L23" s="3"/>
      <c r="M23" s="3"/>
      <c r="N23" s="4"/>
      <c r="O23" s="4"/>
      <c r="P23" s="1"/>
      <c r="Q23" s="1"/>
      <c r="R23" s="3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>
      <c r="A24" s="41">
        <v>4</v>
      </c>
      <c r="C24" s="42" t="s">
        <v>353</v>
      </c>
      <c r="F24" s="164">
        <f>'[15]Forecast BILLS'!$D$71</f>
        <v>24</v>
      </c>
      <c r="G24" s="1"/>
      <c r="H24" s="68"/>
      <c r="I24" s="68"/>
      <c r="J24" s="316">
        <f>INPUT!D64</f>
        <v>5</v>
      </c>
      <c r="K24" s="76"/>
      <c r="L24" s="3">
        <f>ROUND(F24*J24,0)</f>
        <v>120</v>
      </c>
      <c r="M24" s="3"/>
      <c r="N24" s="4">
        <f>ROUND((L24/$L$46)*100,1)</f>
        <v>0</v>
      </c>
      <c r="O24" s="4"/>
      <c r="P24" s="1"/>
      <c r="Q24" s="1"/>
      <c r="R24" s="3">
        <f>L24+P24</f>
        <v>120</v>
      </c>
      <c r="S24" s="45"/>
      <c r="T24" s="42"/>
      <c r="V24" s="45"/>
      <c r="Y24" s="45"/>
      <c r="Z24" s="316"/>
      <c r="AA24" s="45"/>
      <c r="AB24" s="45"/>
      <c r="AC24" s="46"/>
      <c r="AD24" s="46"/>
      <c r="AE24" s="45"/>
      <c r="AF24" s="45"/>
      <c r="AH24" s="46"/>
      <c r="AI24" s="45"/>
      <c r="AJ24" s="45"/>
      <c r="AL24" s="45"/>
      <c r="AM24" s="46"/>
      <c r="AN24" s="46"/>
    </row>
    <row r="25" spans="1:40">
      <c r="A25" s="41">
        <v>5</v>
      </c>
      <c r="C25" s="42" t="s">
        <v>144</v>
      </c>
      <c r="F25" s="164">
        <f>'[15]Forecast BILLS'!$B$71</f>
        <v>120</v>
      </c>
      <c r="G25" s="1"/>
      <c r="H25" s="68"/>
      <c r="I25" s="68"/>
      <c r="J25" s="316">
        <f>INPUT!D113</f>
        <v>120</v>
      </c>
      <c r="K25" s="76"/>
      <c r="L25" s="3">
        <f>ROUND(F25*J25,0)</f>
        <v>14400</v>
      </c>
      <c r="M25" s="3"/>
      <c r="N25" s="70">
        <f>ROUND((L25/$L$46)*100,1)</f>
        <v>1.6</v>
      </c>
      <c r="O25" s="4"/>
      <c r="P25" s="1"/>
      <c r="Q25" s="1"/>
      <c r="R25" s="3">
        <f>L25+P25</f>
        <v>14400</v>
      </c>
      <c r="S25" s="45"/>
      <c r="V25" s="50"/>
      <c r="Y25" s="45"/>
      <c r="Z25" s="164"/>
      <c r="AA25" s="45"/>
      <c r="AB25" s="45"/>
      <c r="AC25" s="46"/>
      <c r="AD25" s="46"/>
      <c r="AE25" s="45"/>
      <c r="AF25" s="45"/>
      <c r="AI25" s="45"/>
      <c r="AJ25" s="45"/>
      <c r="AL25" s="45"/>
    </row>
    <row r="26" spans="1:40" ht="20.100000000000001" customHeight="1">
      <c r="A26" s="41">
        <v>6</v>
      </c>
      <c r="C26" s="133" t="s">
        <v>136</v>
      </c>
      <c r="F26" s="72">
        <f>F25</f>
        <v>120</v>
      </c>
      <c r="G26" s="1"/>
      <c r="H26" s="3"/>
      <c r="I26" s="3"/>
      <c r="J26" s="314"/>
      <c r="K26" s="314"/>
      <c r="L26" s="72">
        <f>SUM(L24:L25)</f>
        <v>14520</v>
      </c>
      <c r="M26" s="3"/>
      <c r="N26" s="70">
        <f>ROUND((L26/$L$46)*100,1)</f>
        <v>1.6</v>
      </c>
      <c r="O26" s="4"/>
      <c r="P26" s="72"/>
      <c r="Q26" s="3"/>
      <c r="R26" s="72">
        <f>SUM(R24:R25)</f>
        <v>14520</v>
      </c>
      <c r="S26" s="45"/>
      <c r="T26" s="42"/>
      <c r="V26" s="45"/>
      <c r="Y26" s="45"/>
      <c r="Z26" s="325"/>
      <c r="AA26" s="45"/>
      <c r="AB26" s="45"/>
      <c r="AC26" s="46"/>
      <c r="AD26" s="46"/>
      <c r="AE26" s="45"/>
      <c r="AF26" s="45"/>
      <c r="AH26" s="46"/>
      <c r="AI26" s="45"/>
      <c r="AJ26" s="45"/>
      <c r="AL26" s="45"/>
      <c r="AM26" s="46"/>
      <c r="AN26" s="46"/>
    </row>
    <row r="27" spans="1:40">
      <c r="F27" s="3"/>
      <c r="G27" s="1"/>
      <c r="H27" s="3"/>
      <c r="I27" s="3"/>
      <c r="J27" s="314"/>
      <c r="K27" s="314"/>
      <c r="L27" s="3"/>
      <c r="M27" s="3"/>
      <c r="N27" s="4"/>
      <c r="O27" s="4"/>
      <c r="P27" s="3"/>
      <c r="Q27" s="3"/>
      <c r="R27" s="3"/>
      <c r="S27" s="45"/>
      <c r="V27" s="50"/>
      <c r="Y27" s="50"/>
      <c r="Z27" s="326"/>
      <c r="AA27" s="50"/>
      <c r="AB27" s="50"/>
      <c r="AC27" s="50"/>
      <c r="AD27" s="50"/>
      <c r="AE27" s="50"/>
      <c r="AF27" s="50"/>
      <c r="AI27" s="50"/>
      <c r="AJ27" s="50"/>
      <c r="AK27" s="111"/>
      <c r="AL27" s="50"/>
      <c r="AM27" s="46"/>
      <c r="AN27" s="46"/>
    </row>
    <row r="28" spans="1:40">
      <c r="A28" s="41">
        <v>7</v>
      </c>
      <c r="C28" s="133" t="s">
        <v>63</v>
      </c>
      <c r="F28" s="68"/>
      <c r="G28" s="1"/>
      <c r="H28" s="68"/>
      <c r="I28" s="68"/>
      <c r="J28" s="76"/>
      <c r="K28" s="76"/>
      <c r="L28" s="3"/>
      <c r="M28" s="3"/>
      <c r="N28" s="4"/>
      <c r="O28" s="4"/>
      <c r="P28" s="3"/>
      <c r="Q28" s="3"/>
      <c r="R28" s="3"/>
      <c r="S28" s="45"/>
      <c r="T28" s="42"/>
      <c r="V28" s="164"/>
      <c r="Y28" s="164"/>
      <c r="Z28" s="326"/>
      <c r="AA28" s="45"/>
      <c r="AB28" s="45"/>
      <c r="AC28" s="46"/>
      <c r="AD28" s="46"/>
      <c r="AE28" s="45"/>
      <c r="AF28" s="45"/>
      <c r="AI28" s="45"/>
      <c r="AJ28" s="45"/>
      <c r="AL28" s="45"/>
      <c r="AM28" s="46"/>
      <c r="AN28" s="46"/>
    </row>
    <row r="29" spans="1:40">
      <c r="A29" s="41">
        <v>8</v>
      </c>
      <c r="C29" s="42" t="s">
        <v>150</v>
      </c>
      <c r="F29" s="68"/>
      <c r="G29" s="1"/>
      <c r="H29" s="164">
        <f>'[15]Forecast KW'!$B$71</f>
        <v>27415</v>
      </c>
      <c r="I29" s="68"/>
      <c r="J29" s="316">
        <f>INPUT!D119</f>
        <v>10.130000000000001</v>
      </c>
      <c r="K29" s="76"/>
      <c r="L29" s="3">
        <f>ROUND(H29*J29,0)</f>
        <v>277714</v>
      </c>
      <c r="M29" s="3"/>
      <c r="N29" s="70">
        <f>ROUND((L29/$L$46)*100,1)</f>
        <v>30.1</v>
      </c>
      <c r="O29" s="79"/>
      <c r="P29" s="3"/>
      <c r="Q29" s="3"/>
      <c r="R29" s="3">
        <f>L29+P29</f>
        <v>277714</v>
      </c>
      <c r="S29" s="45"/>
      <c r="V29" s="164"/>
      <c r="Y29" s="164"/>
      <c r="Z29" s="326"/>
      <c r="AA29" s="45"/>
      <c r="AB29" s="45"/>
      <c r="AC29" s="46"/>
      <c r="AD29" s="46"/>
      <c r="AE29" s="45"/>
      <c r="AF29" s="45"/>
      <c r="AI29" s="45"/>
      <c r="AJ29" s="45"/>
      <c r="AL29" s="45"/>
      <c r="AM29" s="46"/>
      <c r="AN29" s="46"/>
    </row>
    <row r="30" spans="1:40" ht="20.100000000000001" customHeight="1">
      <c r="A30" s="41">
        <v>9</v>
      </c>
      <c r="C30" s="133" t="s">
        <v>66</v>
      </c>
      <c r="F30" s="3"/>
      <c r="G30" s="1"/>
      <c r="H30" s="72">
        <f>SUM(H29)</f>
        <v>27415</v>
      </c>
      <c r="I30" s="3"/>
      <c r="J30" s="314"/>
      <c r="K30" s="314"/>
      <c r="L30" s="72">
        <f>SUM(L29)</f>
        <v>277714</v>
      </c>
      <c r="M30" s="3"/>
      <c r="N30" s="70">
        <f>ROUND((L30/$L$46)*100,1)</f>
        <v>30.1</v>
      </c>
      <c r="O30" s="4"/>
      <c r="P30" s="72"/>
      <c r="Q30" s="3"/>
      <c r="R30" s="72">
        <f>SUM(R29)</f>
        <v>277714</v>
      </c>
      <c r="S30" s="45"/>
      <c r="T30" s="42"/>
      <c r="V30" s="164"/>
      <c r="Y30" s="45"/>
      <c r="Z30" s="325"/>
      <c r="AA30" s="45"/>
      <c r="AB30" s="45"/>
      <c r="AC30" s="46"/>
      <c r="AD30" s="46"/>
      <c r="AE30" s="45"/>
      <c r="AF30" s="45"/>
      <c r="AH30" s="46"/>
      <c r="AI30" s="45"/>
      <c r="AJ30" s="45"/>
      <c r="AL30" s="45"/>
      <c r="AM30" s="46"/>
      <c r="AN30" s="46"/>
    </row>
    <row r="31" spans="1:40">
      <c r="F31" s="3"/>
      <c r="G31" s="1"/>
      <c r="H31" s="3"/>
      <c r="I31" s="3"/>
      <c r="J31" s="314"/>
      <c r="K31" s="314"/>
      <c r="L31" s="3"/>
      <c r="M31" s="3"/>
      <c r="N31" s="3"/>
      <c r="O31" s="3"/>
      <c r="P31" s="3"/>
      <c r="Q31" s="3"/>
      <c r="R31" s="3"/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  <c r="AM31" s="46"/>
      <c r="AN31" s="46"/>
    </row>
    <row r="32" spans="1:40">
      <c r="A32" s="41">
        <v>10</v>
      </c>
      <c r="C32" s="133" t="s">
        <v>371</v>
      </c>
      <c r="F32" s="68"/>
      <c r="G32" s="1"/>
      <c r="H32" s="68"/>
      <c r="I32" s="68"/>
      <c r="J32" s="319"/>
      <c r="K32" s="319"/>
      <c r="L32" s="3"/>
      <c r="M32" s="3"/>
      <c r="N32" s="4"/>
      <c r="O32" s="4"/>
      <c r="P32" s="68"/>
      <c r="Q32" s="68"/>
      <c r="R32" s="3"/>
      <c r="S32" s="45"/>
      <c r="T32" s="42"/>
      <c r="V32" s="45"/>
      <c r="Y32" s="45"/>
      <c r="Z32" s="326"/>
      <c r="AA32" s="45"/>
      <c r="AB32" s="45"/>
      <c r="AC32" s="46"/>
      <c r="AD32" s="46"/>
      <c r="AE32" s="45"/>
      <c r="AF32" s="45"/>
      <c r="AH32" s="46"/>
      <c r="AI32" s="45"/>
      <c r="AJ32" s="45"/>
      <c r="AL32" s="45"/>
      <c r="AM32" s="46"/>
      <c r="AN32" s="46"/>
    </row>
    <row r="33" spans="1:40">
      <c r="A33" s="41">
        <v>11</v>
      </c>
      <c r="C33" s="42" t="s">
        <v>151</v>
      </c>
      <c r="F33" s="68"/>
      <c r="G33" s="1"/>
      <c r="H33" s="164">
        <f>'[15]Forecast KWH'!$I$70</f>
        <v>6857618</v>
      </c>
      <c r="I33" s="68"/>
      <c r="J33" s="323">
        <f>INPUT!D115</f>
        <v>7.6294000000000001E-2</v>
      </c>
      <c r="K33" s="319"/>
      <c r="L33" s="3">
        <f>ROUND((H33*J33),0)</f>
        <v>523195</v>
      </c>
      <c r="M33" s="3"/>
      <c r="N33" s="4">
        <f>ROUND((L33/$L$46)*100,1)</f>
        <v>56.7</v>
      </c>
      <c r="O33" s="4"/>
      <c r="P33" s="3"/>
      <c r="Q33" s="68"/>
      <c r="R33" s="3">
        <f>L33+P33</f>
        <v>523195</v>
      </c>
      <c r="S33" s="45"/>
      <c r="V33" s="50"/>
      <c r="Y33" s="50"/>
      <c r="Z33" s="326"/>
      <c r="AA33" s="50"/>
      <c r="AB33" s="50"/>
      <c r="AC33" s="50"/>
      <c r="AD33" s="50"/>
      <c r="AE33" s="50"/>
      <c r="AF33" s="50"/>
      <c r="AI33" s="50"/>
      <c r="AJ33" s="50"/>
      <c r="AK33" s="111"/>
      <c r="AL33" s="50"/>
      <c r="AM33" s="46"/>
      <c r="AN33" s="46"/>
    </row>
    <row r="34" spans="1:40">
      <c r="A34" s="41">
        <v>12</v>
      </c>
      <c r="C34" s="42" t="s">
        <v>141</v>
      </c>
      <c r="F34" s="68"/>
      <c r="G34" s="1"/>
      <c r="H34" s="164">
        <f>'[15]Forecast KWH'!$C$70</f>
        <v>869355</v>
      </c>
      <c r="I34" s="68"/>
      <c r="J34" s="323">
        <f>INPUT!D116</f>
        <v>6.611199999999999E-2</v>
      </c>
      <c r="K34" s="319"/>
      <c r="L34" s="3">
        <f>ROUND((H34*J34),0)</f>
        <v>57475</v>
      </c>
      <c r="M34" s="3"/>
      <c r="N34" s="4">
        <f>ROUND((L34/$L$46)*100,1)</f>
        <v>6.2</v>
      </c>
      <c r="O34" s="4"/>
      <c r="P34" s="3"/>
      <c r="Q34" s="68"/>
      <c r="R34" s="3">
        <f>L34+P34</f>
        <v>57475</v>
      </c>
      <c r="S34" s="45"/>
      <c r="T34" s="42"/>
      <c r="Z34" s="326"/>
      <c r="AA34" s="45"/>
      <c r="AB34" s="45"/>
      <c r="AC34" s="46"/>
      <c r="AD34" s="46"/>
      <c r="AE34" s="45"/>
      <c r="AF34" s="45"/>
      <c r="AH34" s="46"/>
      <c r="AI34" s="45"/>
      <c r="AJ34" s="45"/>
      <c r="AL34" s="45"/>
      <c r="AM34" s="46"/>
      <c r="AN34" s="46"/>
    </row>
    <row r="35" spans="1:40">
      <c r="A35" s="41">
        <v>13</v>
      </c>
      <c r="C35" s="42" t="s">
        <v>528</v>
      </c>
      <c r="F35" s="68"/>
      <c r="G35" s="1"/>
      <c r="H35" s="164">
        <f>'[15]Forecast KWH'!$D$70</f>
        <v>0</v>
      </c>
      <c r="I35" s="68"/>
      <c r="J35" s="323">
        <f>INPUT!D117</f>
        <v>0.308166</v>
      </c>
      <c r="K35" s="319"/>
      <c r="L35" s="3">
        <f>ROUND((H35*J35),0)</f>
        <v>0</v>
      </c>
      <c r="M35" s="3"/>
      <c r="N35" s="70">
        <f>ROUND((L35/$L$46)*100,1)</f>
        <v>0</v>
      </c>
      <c r="O35" s="4"/>
      <c r="P35" s="66"/>
      <c r="Q35" s="68"/>
      <c r="R35" s="3">
        <f>L35+P35</f>
        <v>0</v>
      </c>
      <c r="S35" s="45"/>
      <c r="T35" s="42"/>
      <c r="Z35" s="326"/>
      <c r="AA35" s="45"/>
      <c r="AB35" s="45"/>
      <c r="AC35" s="46"/>
      <c r="AD35" s="46"/>
      <c r="AE35" s="45"/>
      <c r="AF35" s="45"/>
      <c r="AH35" s="46"/>
      <c r="AI35" s="45"/>
      <c r="AJ35" s="45"/>
      <c r="AL35" s="45"/>
      <c r="AM35" s="46"/>
      <c r="AN35" s="46"/>
    </row>
    <row r="36" spans="1:40" ht="20.100000000000001" customHeight="1">
      <c r="A36" s="41">
        <v>14</v>
      </c>
      <c r="C36" s="133" t="s">
        <v>142</v>
      </c>
      <c r="F36" s="3"/>
      <c r="G36" s="1"/>
      <c r="H36" s="72">
        <f>SUM(H33:H35)</f>
        <v>7726973</v>
      </c>
      <c r="I36" s="3"/>
      <c r="J36" s="154"/>
      <c r="K36" s="7"/>
      <c r="L36" s="72">
        <f>SUM(L33:L35)</f>
        <v>580670</v>
      </c>
      <c r="M36" s="3"/>
      <c r="N36" s="70">
        <f>ROUND((L36/$L$46)*100,1)</f>
        <v>62.9</v>
      </c>
      <c r="O36" s="4"/>
      <c r="P36" s="66"/>
      <c r="Q36" s="3"/>
      <c r="R36" s="72">
        <f>L36+P36</f>
        <v>580670</v>
      </c>
      <c r="S36" s="45"/>
      <c r="T36" s="42"/>
      <c r="AA36" s="45"/>
      <c r="AB36" s="45"/>
      <c r="AC36" s="45"/>
      <c r="AD36" s="45"/>
      <c r="AI36" s="45"/>
      <c r="AJ36" s="45"/>
      <c r="AL36" s="45"/>
    </row>
    <row r="37" spans="1:40" ht="20.100000000000001" customHeight="1">
      <c r="A37" s="41">
        <v>15</v>
      </c>
      <c r="C37" s="310" t="s">
        <v>449</v>
      </c>
      <c r="F37" s="66">
        <f>F26</f>
        <v>120</v>
      </c>
      <c r="G37" s="1"/>
      <c r="H37" s="72">
        <f>H36</f>
        <v>7726973</v>
      </c>
      <c r="I37" s="3"/>
      <c r="J37" s="154"/>
      <c r="K37" s="7"/>
      <c r="L37" s="72">
        <f>L36+L30+L26</f>
        <v>872904</v>
      </c>
      <c r="M37" s="3"/>
      <c r="N37" s="74">
        <f>ROUND((L37/$L$46)*100,1)</f>
        <v>94.6</v>
      </c>
      <c r="O37" s="4"/>
      <c r="P37" s="72"/>
      <c r="Q37" s="3"/>
      <c r="R37" s="72">
        <f>R26+R30+R36</f>
        <v>872904</v>
      </c>
      <c r="S37" s="45"/>
      <c r="T37" s="42"/>
      <c r="AA37" s="45"/>
      <c r="AB37" s="45"/>
      <c r="AC37" s="45"/>
      <c r="AD37" s="45"/>
      <c r="AI37" s="45"/>
      <c r="AJ37" s="45"/>
      <c r="AL37" s="45"/>
    </row>
    <row r="38" spans="1:40" ht="15.75" customHeight="1">
      <c r="C38" s="42"/>
      <c r="F38" s="3"/>
      <c r="G38" s="1"/>
      <c r="H38" s="3"/>
      <c r="I38" s="3"/>
      <c r="J38" s="154"/>
      <c r="K38" s="7"/>
      <c r="L38" s="3"/>
      <c r="M38" s="3"/>
      <c r="N38" s="4"/>
      <c r="O38" s="4"/>
      <c r="P38" s="3"/>
      <c r="Q38" s="3"/>
      <c r="R38" s="3"/>
      <c r="S38" s="45"/>
      <c r="T38" s="42"/>
      <c r="AA38" s="45"/>
      <c r="AB38" s="45"/>
      <c r="AC38" s="45"/>
      <c r="AD38" s="45"/>
      <c r="AI38" s="45"/>
      <c r="AJ38" s="45"/>
      <c r="AL38" s="45"/>
    </row>
    <row r="39" spans="1:40" ht="15.75" customHeight="1">
      <c r="A39" s="41">
        <v>16</v>
      </c>
      <c r="C39" s="133" t="s">
        <v>430</v>
      </c>
      <c r="F39" s="3"/>
      <c r="G39" s="1"/>
      <c r="H39" s="3"/>
      <c r="I39" s="3"/>
      <c r="J39" s="154"/>
      <c r="K39" s="7"/>
      <c r="L39" s="3"/>
      <c r="M39" s="3"/>
      <c r="N39" s="4"/>
      <c r="O39" s="4"/>
      <c r="P39" s="3"/>
      <c r="Q39" s="3"/>
      <c r="R39" s="3"/>
      <c r="S39" s="45"/>
      <c r="T39" s="42"/>
      <c r="AA39" s="45"/>
      <c r="AB39" s="45"/>
      <c r="AC39" s="45"/>
      <c r="AD39" s="45"/>
      <c r="AI39" s="45"/>
      <c r="AJ39" s="45"/>
      <c r="AL39" s="45"/>
    </row>
    <row r="40" spans="1:40" ht="15.75" customHeight="1">
      <c r="A40" s="41">
        <v>17</v>
      </c>
      <c r="C40" s="128" t="str">
        <f>DSMR_Name</f>
        <v>DEMAND SIDE MANAGEMENT RIDER (DSMR)</v>
      </c>
      <c r="F40" s="3"/>
      <c r="G40" s="1"/>
      <c r="H40" s="3"/>
      <c r="I40" s="3"/>
      <c r="J40" s="327">
        <f>PRO_DSM_DIST</f>
        <v>3.503E-3</v>
      </c>
      <c r="K40" s="7"/>
      <c r="L40" s="3">
        <f>ROUND($H$37*J40,0)</f>
        <v>27068</v>
      </c>
      <c r="M40" s="3"/>
      <c r="N40" s="103">
        <f>ROUND((L40/$L$46)*100,1)</f>
        <v>2.9</v>
      </c>
      <c r="O40" s="4"/>
      <c r="P40" s="3"/>
      <c r="Q40" s="3"/>
      <c r="R40" s="3">
        <f>L40+P40</f>
        <v>27068</v>
      </c>
      <c r="S40" s="45"/>
      <c r="T40" s="42"/>
      <c r="AA40" s="45"/>
      <c r="AB40" s="45"/>
      <c r="AC40" s="45"/>
      <c r="AD40" s="45"/>
      <c r="AI40" s="45"/>
      <c r="AJ40" s="45"/>
      <c r="AL40" s="45"/>
    </row>
    <row r="41" spans="1:40" ht="15.75" customHeight="1">
      <c r="A41" s="41">
        <v>18</v>
      </c>
      <c r="C41" s="128" t="str">
        <f>ESM_Name</f>
        <v>ENVIRONMENTAL SURCHARGE MECHANISM RIDER (ESM)</v>
      </c>
      <c r="F41" s="3"/>
      <c r="G41" s="1"/>
      <c r="H41" s="3"/>
      <c r="I41" s="3"/>
      <c r="J41" s="134">
        <f>PRO_ESM_NONRES</f>
        <v>5.4606095773317587E-3</v>
      </c>
      <c r="K41" s="7"/>
      <c r="L41" s="3">
        <f>ROUND((R37-(PRO_BASE_FUEL*H37)+R40+R43)*J41,0)</f>
        <v>3594</v>
      </c>
      <c r="M41" s="3"/>
      <c r="N41" s="103">
        <f>ROUND((L41/$L$46)*100,1)</f>
        <v>0.4</v>
      </c>
      <c r="O41" s="4"/>
      <c r="P41" s="3"/>
      <c r="Q41" s="3"/>
      <c r="R41" s="3">
        <f>L41+P41</f>
        <v>3594</v>
      </c>
      <c r="S41" s="45"/>
      <c r="T41" s="42"/>
      <c r="AA41" s="45"/>
      <c r="AB41" s="45"/>
      <c r="AC41" s="45"/>
      <c r="AD41" s="45"/>
      <c r="AI41" s="45"/>
      <c r="AJ41" s="45"/>
      <c r="AL41" s="45"/>
    </row>
    <row r="42" spans="1:40" ht="15.75" customHeight="1">
      <c r="A42" s="41">
        <v>19</v>
      </c>
      <c r="C42" s="128" t="str">
        <f>FAC_Name</f>
        <v>FUEL ADJUSTMENT CLAUSE (FAC)</v>
      </c>
      <c r="F42" s="3"/>
      <c r="G42" s="1"/>
      <c r="H42" s="3"/>
      <c r="I42" s="3"/>
      <c r="J42" s="327">
        <f>PRO_FAC</f>
        <v>3.4872127999999998E-3</v>
      </c>
      <c r="K42" s="7"/>
      <c r="L42" s="3"/>
      <c r="M42" s="3"/>
      <c r="N42" s="103"/>
      <c r="O42" s="4"/>
      <c r="P42" s="3">
        <f>ROUND(H37*PRO_FAC,0)</f>
        <v>26946</v>
      </c>
      <c r="Q42" s="3"/>
      <c r="R42" s="3">
        <f>L42+P42</f>
        <v>26946</v>
      </c>
      <c r="S42" s="45"/>
      <c r="T42" s="42"/>
      <c r="AA42" s="45"/>
      <c r="AB42" s="45"/>
      <c r="AC42" s="45"/>
      <c r="AD42" s="45"/>
      <c r="AI42" s="45"/>
      <c r="AJ42" s="45"/>
      <c r="AL42" s="45"/>
    </row>
    <row r="43" spans="1:40" ht="15.75" customHeight="1">
      <c r="A43" s="41">
        <v>20</v>
      </c>
      <c r="C43" s="128" t="str">
        <f>PSM_Name</f>
        <v>PROFIT SHARING MECHANISM (PSM)</v>
      </c>
      <c r="F43" s="3"/>
      <c r="G43" s="1"/>
      <c r="H43" s="3"/>
      <c r="I43" s="3"/>
      <c r="J43" s="327">
        <f>PRO_PSM</f>
        <v>2.4750000000000002E-3</v>
      </c>
      <c r="K43" s="7"/>
      <c r="L43" s="66">
        <f>ROUND(H37*PRO_PSM,0)</f>
        <v>19124</v>
      </c>
      <c r="M43" s="3"/>
      <c r="N43" s="104">
        <f>ROUND((L43/$L$46)*100,1)</f>
        <v>2.1</v>
      </c>
      <c r="O43" s="4"/>
      <c r="P43" s="66"/>
      <c r="Q43" s="3"/>
      <c r="R43" s="66">
        <f>L43+P43</f>
        <v>19124</v>
      </c>
      <c r="S43" s="45"/>
      <c r="T43" s="42"/>
      <c r="AA43" s="45"/>
      <c r="AB43" s="45"/>
      <c r="AC43" s="45"/>
      <c r="AD43" s="45"/>
      <c r="AI43" s="45"/>
      <c r="AJ43" s="45"/>
      <c r="AL43" s="45"/>
    </row>
    <row r="44" spans="1:40" ht="20.100000000000001" customHeight="1">
      <c r="A44" s="41">
        <v>21</v>
      </c>
      <c r="C44" s="133" t="s">
        <v>435</v>
      </c>
      <c r="F44" s="66"/>
      <c r="G44" s="1"/>
      <c r="H44" s="66"/>
      <c r="I44" s="3"/>
      <c r="J44" s="7"/>
      <c r="K44" s="7"/>
      <c r="L44" s="72">
        <f>SUM(L40:L43)</f>
        <v>49786</v>
      </c>
      <c r="M44" s="3"/>
      <c r="N44" s="105">
        <f>ROUND((L44/$L$46)*100,1)</f>
        <v>5.4</v>
      </c>
      <c r="O44" s="4"/>
      <c r="P44" s="72">
        <f>SUM(P40:P43)</f>
        <v>26946</v>
      </c>
      <c r="Q44" s="3"/>
      <c r="R44" s="72">
        <f>SUM(R40:R43)</f>
        <v>76732</v>
      </c>
      <c r="S44" s="45"/>
      <c r="T44" s="42"/>
      <c r="AA44" s="45"/>
      <c r="AB44" s="45"/>
      <c r="AC44" s="45"/>
      <c r="AD44" s="45"/>
      <c r="AI44" s="45"/>
      <c r="AJ44" s="45"/>
      <c r="AL44" s="45"/>
    </row>
    <row r="45" spans="1:40" ht="15.75" customHeight="1">
      <c r="C45" s="133"/>
      <c r="F45" s="3"/>
      <c r="G45" s="1"/>
      <c r="H45" s="3"/>
      <c r="I45" s="3"/>
      <c r="J45" s="7"/>
      <c r="K45" s="7"/>
      <c r="L45" s="3"/>
      <c r="M45" s="3"/>
      <c r="N45" s="4"/>
      <c r="O45" s="4"/>
      <c r="P45" s="3"/>
      <c r="Q45" s="3"/>
      <c r="R45" s="3"/>
      <c r="S45" s="45"/>
      <c r="T45" s="42"/>
      <c r="AA45" s="45"/>
      <c r="AB45" s="45"/>
      <c r="AC45" s="45"/>
      <c r="AD45" s="45"/>
      <c r="AI45" s="45"/>
      <c r="AJ45" s="45"/>
      <c r="AL45" s="45"/>
    </row>
    <row r="46" spans="1:40" ht="20.100000000000001" customHeight="1" thickBot="1">
      <c r="A46" s="41">
        <v>22</v>
      </c>
      <c r="C46" s="310" t="s">
        <v>450</v>
      </c>
      <c r="F46" s="67">
        <f>F26</f>
        <v>120</v>
      </c>
      <c r="G46" s="1"/>
      <c r="H46" s="67">
        <f>H36</f>
        <v>7726973</v>
      </c>
      <c r="I46" s="3"/>
      <c r="J46" s="7"/>
      <c r="K46" s="7"/>
      <c r="L46" s="67">
        <f>L37+L44</f>
        <v>922690</v>
      </c>
      <c r="M46" s="3"/>
      <c r="N46" s="73">
        <v>100</v>
      </c>
      <c r="O46" s="4"/>
      <c r="P46" s="67">
        <f>P44+P37</f>
        <v>26946</v>
      </c>
      <c r="Q46" s="3"/>
      <c r="R46" s="67">
        <f>R44+R37</f>
        <v>949636</v>
      </c>
      <c r="Y46" s="42"/>
    </row>
    <row r="47" spans="1:40" ht="16.5" thickTop="1">
      <c r="F47" s="3"/>
      <c r="G47" s="1"/>
      <c r="H47" s="3"/>
      <c r="I47" s="3"/>
      <c r="J47" s="7"/>
      <c r="K47" s="7"/>
      <c r="L47" s="3"/>
      <c r="M47" s="3"/>
      <c r="N47" s="3"/>
      <c r="O47" s="3"/>
      <c r="P47" s="3"/>
      <c r="Q47" s="3"/>
      <c r="R47" s="3"/>
      <c r="AA47" s="42"/>
      <c r="AB47" s="42"/>
    </row>
    <row r="48" spans="1:40">
      <c r="C48" s="140" t="s">
        <v>59</v>
      </c>
      <c r="F48" s="45"/>
      <c r="H48" s="45"/>
      <c r="I48" s="45"/>
      <c r="J48" s="47"/>
      <c r="K48" s="47"/>
      <c r="L48" s="45"/>
      <c r="M48" s="45"/>
      <c r="N48" s="45"/>
      <c r="O48" s="45"/>
      <c r="P48" s="45"/>
      <c r="Q48" s="45"/>
      <c r="R48" s="45"/>
      <c r="AK48" s="110"/>
      <c r="AL48" s="42"/>
    </row>
    <row r="49" spans="1:43">
      <c r="C49" s="140" t="str">
        <f>"(2) REFLECTS FUEL COMPONENT OF "&amp;TEXT(PRO_FAC,"$0.000000;($0.000000)")&amp;"  PER KWH."</f>
        <v>(2) REFLECTS FUEL COMPONENT OF $0.003487  PER KWH.</v>
      </c>
      <c r="F49" s="45"/>
      <c r="H49" s="45"/>
      <c r="I49" s="45"/>
      <c r="J49" s="47"/>
      <c r="K49" s="47"/>
      <c r="L49" s="45"/>
      <c r="M49" s="45"/>
      <c r="N49" s="45"/>
      <c r="O49" s="45"/>
      <c r="P49" s="45"/>
      <c r="Q49" s="45"/>
      <c r="R49" s="45"/>
      <c r="AK49" s="110"/>
      <c r="AL49" s="42"/>
    </row>
    <row r="50" spans="1:43">
      <c r="C50" s="140" t="str">
        <f>"(3) REFLECTS FUEL COST RECOVERY INCLUDED IN BASE RATES OF "&amp;TEXT(PRO_BASE_FUEL,"$0.000000;($0.000000)")&amp;"  PER KWH."</f>
        <v>(3) REFLECTS FUEL COST RECOVERY INCLUDED IN BASE RATES OF $0.033780  PER KWH.</v>
      </c>
      <c r="R50" s="42"/>
    </row>
    <row r="51" spans="1:43">
      <c r="A51" s="42"/>
      <c r="R51" s="42"/>
    </row>
    <row r="52" spans="1:43" ht="16.5">
      <c r="F52"/>
      <c r="G52"/>
      <c r="H52"/>
      <c r="I52"/>
      <c r="J52"/>
      <c r="L52" s="42"/>
      <c r="M52" s="42"/>
    </row>
    <row r="53" spans="1:43" ht="16.5">
      <c r="A53" s="49"/>
      <c r="B53" s="49"/>
      <c r="C53" s="49"/>
      <c r="D53" s="49"/>
      <c r="E53" s="49"/>
      <c r="F53"/>
      <c r="G53"/>
      <c r="H53"/>
      <c r="I53"/>
      <c r="J53"/>
      <c r="K53" s="49"/>
      <c r="L53" s="49"/>
      <c r="M53" s="49"/>
      <c r="N53" s="49"/>
      <c r="O53" s="49"/>
      <c r="P53" s="49"/>
      <c r="Q53" s="49"/>
      <c r="R53" s="49"/>
      <c r="T53" s="40" t="str">
        <f>NAME</f>
        <v>DUKE ENERGY KENTUCKY, INC.</v>
      </c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00"/>
      <c r="AH53" s="40"/>
      <c r="AI53" s="40"/>
      <c r="AJ53" s="40"/>
      <c r="AK53" s="100"/>
      <c r="AL53" s="40"/>
      <c r="AM53" s="40"/>
      <c r="AN53" s="40"/>
      <c r="AO53" s="40"/>
      <c r="AP53" s="40"/>
      <c r="AQ53" s="100"/>
    </row>
    <row r="54" spans="1:43" ht="16.5">
      <c r="A54" s="49"/>
      <c r="B54" s="49"/>
      <c r="C54" s="49"/>
      <c r="D54" s="49"/>
      <c r="E54" s="49"/>
      <c r="F54"/>
      <c r="G54"/>
      <c r="H54"/>
      <c r="I54"/>
      <c r="J54"/>
      <c r="K54" s="49"/>
      <c r="L54" s="49"/>
      <c r="M54" s="49"/>
      <c r="N54" s="49"/>
      <c r="O54" s="49"/>
      <c r="P54" s="49"/>
      <c r="Q54" s="49"/>
      <c r="R54" s="49"/>
      <c r="T54" s="40" t="str">
        <f>CASE_NO</f>
        <v>CASE NO.   2024-00354</v>
      </c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100"/>
      <c r="AH54" s="40"/>
      <c r="AI54" s="40"/>
      <c r="AJ54" s="40"/>
      <c r="AK54" s="100"/>
      <c r="AL54" s="40"/>
      <c r="AM54" s="40"/>
      <c r="AN54" s="40"/>
      <c r="AO54" s="40"/>
      <c r="AP54" s="40"/>
      <c r="AQ54" s="100"/>
    </row>
    <row r="55" spans="1:43" ht="16.5">
      <c r="F55"/>
      <c r="G55"/>
      <c r="H55"/>
      <c r="I55"/>
      <c r="J55"/>
      <c r="L55" s="44"/>
      <c r="M55" s="44"/>
      <c r="N55" s="44"/>
      <c r="O55" s="44"/>
      <c r="R55" s="44"/>
      <c r="T55" s="40" t="str">
        <f>TITLE</f>
        <v>ANNUALIZED TEST YEAR REVENUES AT PROPOSED VS. MOST CURRENT RATES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</row>
    <row r="56" spans="1:43">
      <c r="L56" s="44"/>
      <c r="M56" s="44"/>
      <c r="N56" s="44"/>
      <c r="O56" s="44"/>
      <c r="R56" s="44"/>
      <c r="T56" s="40" t="str">
        <f>DATE</f>
        <v>FOR THE TWELVE MONTHS ENDED June 30, 2026</v>
      </c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00"/>
      <c r="AH56" s="40"/>
      <c r="AI56" s="40"/>
      <c r="AJ56" s="40"/>
      <c r="AK56" s="100"/>
      <c r="AL56" s="40"/>
      <c r="AM56" s="40"/>
      <c r="AN56" s="40"/>
      <c r="AO56" s="40"/>
      <c r="AP56" s="40"/>
      <c r="AQ56" s="100"/>
    </row>
    <row r="57" spans="1:43">
      <c r="A57" s="44"/>
      <c r="C57" s="44"/>
      <c r="D57" s="44"/>
      <c r="E57" s="44"/>
      <c r="F57" s="44"/>
      <c r="J57" s="44"/>
      <c r="K57" s="44"/>
      <c r="L57" s="44"/>
      <c r="M57" s="44"/>
      <c r="N57" s="44"/>
      <c r="O57" s="44"/>
      <c r="P57" s="44"/>
      <c r="Q57" s="44"/>
      <c r="R57" s="44"/>
      <c r="T57" s="40" t="str">
        <f>SERVICE</f>
        <v>(ELECTRIC SERVICE)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00"/>
      <c r="AH57" s="40"/>
      <c r="AI57" s="40"/>
      <c r="AJ57" s="40"/>
      <c r="AK57" s="100"/>
      <c r="AL57" s="40"/>
      <c r="AM57" s="40"/>
      <c r="AN57" s="40"/>
      <c r="AO57" s="40"/>
      <c r="AP57" s="40"/>
      <c r="AQ57" s="100"/>
    </row>
    <row r="58" spans="1:43">
      <c r="A58" s="44"/>
      <c r="C58" s="44"/>
      <c r="D58" s="44"/>
      <c r="E58" s="44"/>
      <c r="F58" s="44"/>
      <c r="J58" s="44"/>
      <c r="K58" s="44"/>
      <c r="L58" s="44"/>
      <c r="M58" s="44"/>
      <c r="N58" s="44"/>
      <c r="O58" s="44"/>
      <c r="P58" s="44"/>
      <c r="Q58" s="44"/>
      <c r="R58" s="44"/>
      <c r="T58" s="41" t="str">
        <f>DATA_PERIOD</f>
        <v>DATA: ____ BASE PERIOD   __X__FORECASTED PERIOD</v>
      </c>
      <c r="AO58" s="42" t="s">
        <v>157</v>
      </c>
      <c r="AP58" s="42"/>
    </row>
    <row r="59" spans="1:43">
      <c r="A59" s="44"/>
      <c r="C59" s="44"/>
      <c r="D59" s="44"/>
      <c r="E59" s="44"/>
      <c r="F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T59" s="41" t="str">
        <f>TYPE</f>
        <v>TYPE OF FILING: _X_ ORIGINAL   ___UPDATED  ___ REVISED</v>
      </c>
      <c r="AO59" s="48" t="str">
        <f>"PAGE 8 OF "&amp;TEXT(Page_Num_2.2,"00")</f>
        <v>PAGE 8 OF 24</v>
      </c>
      <c r="AP59" s="42"/>
    </row>
    <row r="60" spans="1:43">
      <c r="C60" s="44"/>
      <c r="D60" s="44"/>
      <c r="E60" s="44"/>
      <c r="F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T60" s="42" t="s">
        <v>170</v>
      </c>
      <c r="AO60" s="42" t="s">
        <v>3</v>
      </c>
      <c r="AP60" s="42"/>
    </row>
    <row r="61" spans="1:43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T61" s="133" t="str">
        <f>TIME</f>
        <v>12 Months Projected with Riders</v>
      </c>
      <c r="AO61" s="41" t="str">
        <f>WIT</f>
        <v>B. L. Sailers</v>
      </c>
    </row>
    <row r="62" spans="1:43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T62" s="133" t="str">
        <f>INPUT!B5</f>
        <v xml:space="preserve"> </v>
      </c>
    </row>
    <row r="63" spans="1:43"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T63" s="40" t="s">
        <v>130</v>
      </c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100"/>
      <c r="AH63" s="40"/>
      <c r="AI63" s="40"/>
      <c r="AJ63" s="40"/>
      <c r="AK63" s="100"/>
      <c r="AL63" s="40"/>
      <c r="AM63" s="40"/>
      <c r="AN63" s="40"/>
      <c r="AO63" s="40"/>
      <c r="AP63" s="40"/>
      <c r="AQ63" s="100"/>
    </row>
    <row r="64" spans="1:43">
      <c r="C64" s="42"/>
      <c r="D64" s="42"/>
      <c r="E64" s="42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101"/>
      <c r="AH64" s="43"/>
      <c r="AI64" s="43"/>
      <c r="AJ64" s="43"/>
      <c r="AK64" s="101"/>
      <c r="AL64" s="43"/>
      <c r="AM64" s="43"/>
      <c r="AN64" s="43"/>
      <c r="AO64" s="43"/>
      <c r="AP64" s="43"/>
      <c r="AQ64" s="101"/>
    </row>
    <row r="65" spans="3:76" ht="18" customHeight="1">
      <c r="D65" s="42"/>
      <c r="E65" s="42"/>
      <c r="AE65" s="44" t="s">
        <v>8</v>
      </c>
      <c r="AF65" s="44"/>
      <c r="AG65" s="102" t="s">
        <v>7</v>
      </c>
      <c r="AH65" s="44"/>
      <c r="AI65" s="44" t="s">
        <v>9</v>
      </c>
      <c r="AJ65" s="44"/>
      <c r="AK65" s="102" t="s">
        <v>10</v>
      </c>
      <c r="AL65" s="44"/>
      <c r="AO65" s="44" t="s">
        <v>8</v>
      </c>
      <c r="AP65" s="44"/>
      <c r="AQ65" s="102" t="s">
        <v>11</v>
      </c>
    </row>
    <row r="66" spans="3:76">
      <c r="AC66" s="44" t="s">
        <v>14</v>
      </c>
      <c r="AD66" s="44"/>
      <c r="AE66" s="44" t="s">
        <v>12</v>
      </c>
      <c r="AF66" s="44"/>
      <c r="AG66" s="102" t="s">
        <v>13</v>
      </c>
      <c r="AH66" s="44"/>
      <c r="AI66" s="44" t="s">
        <v>15</v>
      </c>
      <c r="AJ66" s="44"/>
      <c r="AK66" s="102" t="s">
        <v>16</v>
      </c>
      <c r="AL66" s="44"/>
      <c r="AO66" s="44" t="s">
        <v>11</v>
      </c>
      <c r="AP66" s="44"/>
      <c r="AQ66" s="102" t="s">
        <v>9</v>
      </c>
    </row>
    <row r="67" spans="3:76">
      <c r="C67" s="42"/>
      <c r="T67" s="44" t="s">
        <v>17</v>
      </c>
      <c r="V67" s="44" t="s">
        <v>18</v>
      </c>
      <c r="W67" s="44" t="s">
        <v>19</v>
      </c>
      <c r="X67" s="44"/>
      <c r="Y67" s="44" t="s">
        <v>20</v>
      </c>
      <c r="AC67" s="44" t="s">
        <v>8</v>
      </c>
      <c r="AD67" s="44"/>
      <c r="AE67" s="44" t="s">
        <v>841</v>
      </c>
      <c r="AF67" s="44"/>
      <c r="AG67" s="102" t="s">
        <v>841</v>
      </c>
      <c r="AH67" s="44"/>
      <c r="AI67" s="60" t="s">
        <v>964</v>
      </c>
      <c r="AJ67" s="44"/>
      <c r="AK67" s="277" t="s">
        <v>964</v>
      </c>
      <c r="AL67" s="44"/>
      <c r="AM67" s="44" t="s">
        <v>841</v>
      </c>
      <c r="AN67" s="44"/>
      <c r="AO67" s="44" t="s">
        <v>9</v>
      </c>
      <c r="AP67" s="44"/>
      <c r="AQ67" s="102" t="s">
        <v>21</v>
      </c>
    </row>
    <row r="68" spans="3:76">
      <c r="C68" s="42"/>
      <c r="F68" s="164"/>
      <c r="H68" s="164"/>
      <c r="I68" s="164"/>
      <c r="J68" s="316"/>
      <c r="K68" s="316"/>
      <c r="L68" s="45"/>
      <c r="M68" s="45"/>
      <c r="N68" s="46"/>
      <c r="O68" s="46"/>
      <c r="R68" s="45"/>
      <c r="T68" s="44" t="s">
        <v>22</v>
      </c>
      <c r="V68" s="44" t="s">
        <v>23</v>
      </c>
      <c r="W68" s="44" t="s">
        <v>24</v>
      </c>
      <c r="X68" s="44"/>
      <c r="Y68" s="44" t="s">
        <v>25</v>
      </c>
      <c r="AA68" s="44" t="s">
        <v>26</v>
      </c>
      <c r="AB68" s="44"/>
      <c r="AC68" s="44" t="s">
        <v>27</v>
      </c>
      <c r="AD68" s="44"/>
      <c r="AE68" s="44" t="s">
        <v>9</v>
      </c>
      <c r="AF68" s="44"/>
      <c r="AG68" s="102" t="s">
        <v>9</v>
      </c>
      <c r="AH68" s="44"/>
      <c r="AI68" s="304" t="s">
        <v>29</v>
      </c>
      <c r="AJ68" s="304"/>
      <c r="AK68" s="311" t="s">
        <v>30</v>
      </c>
      <c r="AL68" s="44"/>
      <c r="AM68" s="44" t="s">
        <v>323</v>
      </c>
      <c r="AN68" s="44"/>
      <c r="AO68" s="304" t="s">
        <v>31</v>
      </c>
      <c r="AP68" s="304"/>
      <c r="AQ68" s="311" t="s">
        <v>32</v>
      </c>
    </row>
    <row r="69" spans="3:76">
      <c r="C69" s="42"/>
      <c r="F69" s="164"/>
      <c r="H69" s="164"/>
      <c r="I69" s="164"/>
      <c r="J69" s="316"/>
      <c r="K69" s="316"/>
      <c r="L69" s="45"/>
      <c r="M69" s="45"/>
      <c r="N69" s="46"/>
      <c r="O69" s="46"/>
      <c r="R69" s="45"/>
      <c r="V69" s="304" t="s">
        <v>33</v>
      </c>
      <c r="W69" s="304" t="s">
        <v>34</v>
      </c>
      <c r="X69" s="304"/>
      <c r="Y69" s="304" t="s">
        <v>35</v>
      </c>
      <c r="Z69" s="130"/>
      <c r="AA69" s="304" t="s">
        <v>36</v>
      </c>
      <c r="AB69" s="304"/>
      <c r="AC69" s="304" t="s">
        <v>42</v>
      </c>
      <c r="AD69" s="304"/>
      <c r="AE69" s="304" t="s">
        <v>43</v>
      </c>
      <c r="AF69" s="304"/>
      <c r="AG69" s="311" t="s">
        <v>44</v>
      </c>
      <c r="AH69" s="304"/>
      <c r="AI69" s="304" t="s">
        <v>45</v>
      </c>
      <c r="AJ69" s="304"/>
      <c r="AK69" s="311" t="s">
        <v>46</v>
      </c>
      <c r="AL69" s="304"/>
      <c r="AM69" s="304" t="s">
        <v>40</v>
      </c>
      <c r="AN69" s="304"/>
      <c r="AO69" s="304" t="s">
        <v>47</v>
      </c>
      <c r="AP69" s="304"/>
      <c r="AQ69" s="311" t="s">
        <v>48</v>
      </c>
    </row>
    <row r="70" spans="3:76">
      <c r="F70" s="50"/>
      <c r="H70" s="45"/>
      <c r="I70" s="45"/>
      <c r="J70" s="326"/>
      <c r="K70" s="326"/>
      <c r="L70" s="50"/>
      <c r="M70" s="50"/>
      <c r="N70" s="50"/>
      <c r="O70" s="50"/>
      <c r="P70" s="50"/>
      <c r="Q70" s="50"/>
      <c r="R70" s="50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101"/>
      <c r="AH70" s="43"/>
      <c r="AI70" s="43"/>
      <c r="AJ70" s="43"/>
      <c r="AK70" s="101"/>
      <c r="AL70" s="43"/>
      <c r="AM70" s="43"/>
      <c r="AN70" s="43"/>
      <c r="AO70" s="43"/>
      <c r="AP70" s="43"/>
      <c r="AQ70" s="101"/>
    </row>
    <row r="71" spans="3:76" ht="17.100000000000001" customHeight="1">
      <c r="C71" s="42"/>
      <c r="F71" s="45"/>
      <c r="H71" s="45"/>
      <c r="I71" s="45"/>
      <c r="J71" s="326"/>
      <c r="K71" s="326"/>
      <c r="L71" s="45"/>
      <c r="M71" s="45"/>
      <c r="N71" s="46"/>
      <c r="O71" s="46"/>
      <c r="P71" s="45"/>
      <c r="Q71" s="45"/>
      <c r="R71" s="45"/>
      <c r="AA71" s="309" t="s">
        <v>196</v>
      </c>
      <c r="AB71" s="308"/>
      <c r="AC71" s="309" t="s">
        <v>331</v>
      </c>
      <c r="AD71" s="308"/>
      <c r="AE71" s="308" t="s">
        <v>50</v>
      </c>
      <c r="AF71" s="308"/>
      <c r="AG71" s="312" t="s">
        <v>51</v>
      </c>
      <c r="AH71" s="308"/>
      <c r="AI71" s="308" t="s">
        <v>50</v>
      </c>
      <c r="AJ71" s="308"/>
      <c r="AK71" s="312" t="s">
        <v>51</v>
      </c>
      <c r="AL71" s="308"/>
      <c r="AM71" s="308" t="s">
        <v>50</v>
      </c>
      <c r="AN71" s="308"/>
      <c r="AO71" s="308" t="s">
        <v>50</v>
      </c>
      <c r="AP71" s="308"/>
      <c r="AQ71" s="312" t="s">
        <v>51</v>
      </c>
    </row>
    <row r="72" spans="3:76">
      <c r="F72" s="50"/>
      <c r="H72" s="45"/>
      <c r="I72" s="45"/>
      <c r="J72" s="326"/>
      <c r="K72" s="326"/>
      <c r="L72" s="50"/>
      <c r="M72" s="50"/>
      <c r="N72" s="50"/>
      <c r="O72" s="50"/>
      <c r="P72" s="50"/>
      <c r="Q72" s="50"/>
      <c r="R72" s="50"/>
      <c r="T72" s="41">
        <v>1</v>
      </c>
      <c r="V72" s="133" t="s">
        <v>92</v>
      </c>
      <c r="W72" s="133" t="s">
        <v>149</v>
      </c>
      <c r="X72" s="42"/>
      <c r="Y72" s="1"/>
      <c r="Z72" s="1"/>
      <c r="AA72" s="324"/>
      <c r="AB72" s="324"/>
      <c r="AC72" s="309" t="s">
        <v>328</v>
      </c>
      <c r="AD72" s="324"/>
      <c r="AE72" s="324"/>
      <c r="AF72" s="324"/>
      <c r="AG72" s="328"/>
      <c r="AH72" s="324"/>
      <c r="AI72" s="324"/>
      <c r="AJ72" s="324"/>
      <c r="AK72" s="328"/>
      <c r="AL72" s="324"/>
      <c r="AM72" s="324"/>
      <c r="AN72" s="324"/>
      <c r="AO72" s="324"/>
      <c r="AP72" s="324"/>
      <c r="AQ72" s="328"/>
      <c r="AU72" s="335"/>
    </row>
    <row r="73" spans="3:76">
      <c r="F73" s="45"/>
      <c r="H73" s="45"/>
      <c r="I73" s="45"/>
      <c r="J73" s="326"/>
      <c r="K73" s="326"/>
      <c r="L73" s="45"/>
      <c r="M73" s="45"/>
      <c r="N73" s="46"/>
      <c r="O73" s="46"/>
      <c r="P73" s="45"/>
      <c r="Q73" s="45"/>
      <c r="R73" s="45"/>
      <c r="T73" s="41">
        <v>2</v>
      </c>
      <c r="V73" s="130"/>
      <c r="W73" s="133" t="s">
        <v>132</v>
      </c>
      <c r="X73" s="42"/>
      <c r="Y73" s="1"/>
      <c r="Z73" s="1"/>
      <c r="AA73" s="1"/>
      <c r="AB73" s="1"/>
      <c r="AC73" s="1"/>
      <c r="AD73" s="1"/>
      <c r="AE73" s="1"/>
      <c r="AF73" s="1"/>
      <c r="AG73" s="103"/>
      <c r="AH73" s="1"/>
      <c r="AI73" s="1"/>
      <c r="AJ73" s="1"/>
      <c r="AK73" s="103"/>
      <c r="AL73" s="1"/>
      <c r="AM73" s="1"/>
      <c r="AN73" s="1"/>
      <c r="AO73" s="1"/>
      <c r="AP73" s="1"/>
      <c r="AQ73" s="103"/>
      <c r="AU73" s="46"/>
      <c r="BX73" s="329"/>
    </row>
    <row r="74" spans="3:76">
      <c r="C74" s="42"/>
      <c r="F74" s="164"/>
      <c r="H74" s="164"/>
      <c r="I74" s="164"/>
      <c r="J74" s="316"/>
      <c r="K74" s="316"/>
      <c r="L74" s="45"/>
      <c r="M74" s="45"/>
      <c r="N74" s="46"/>
      <c r="O74" s="46"/>
      <c r="P74" s="45"/>
      <c r="Q74" s="45"/>
      <c r="R74" s="45"/>
      <c r="Y74" s="1"/>
      <c r="Z74" s="1"/>
      <c r="AA74" s="1"/>
      <c r="AB74" s="1"/>
      <c r="AC74" s="1"/>
      <c r="AD74" s="1"/>
      <c r="AE74" s="1"/>
      <c r="AF74" s="1"/>
      <c r="AG74" s="103"/>
      <c r="AH74" s="1"/>
      <c r="AI74" s="1"/>
      <c r="AJ74" s="1"/>
      <c r="AK74" s="103"/>
      <c r="AL74" s="1"/>
      <c r="AM74" s="1"/>
      <c r="AN74" s="1"/>
      <c r="AO74" s="1"/>
      <c r="AP74" s="1"/>
      <c r="AQ74" s="103"/>
      <c r="AU74" s="46"/>
    </row>
    <row r="75" spans="3:76">
      <c r="F75" s="45"/>
      <c r="H75" s="50"/>
      <c r="I75" s="50"/>
      <c r="J75" s="326"/>
      <c r="K75" s="326"/>
      <c r="L75" s="50"/>
      <c r="M75" s="50"/>
      <c r="N75" s="50"/>
      <c r="O75" s="50"/>
      <c r="P75" s="50"/>
      <c r="Q75" s="50"/>
      <c r="R75" s="50"/>
      <c r="T75" s="41">
        <v>3</v>
      </c>
      <c r="V75" s="133" t="s">
        <v>133</v>
      </c>
      <c r="Y75" s="3"/>
      <c r="Z75" s="1"/>
      <c r="AA75" s="68"/>
      <c r="AB75" s="68"/>
      <c r="AC75" s="76"/>
      <c r="AD75" s="76"/>
      <c r="AE75" s="3"/>
      <c r="AF75" s="3"/>
      <c r="AG75" s="103"/>
      <c r="AH75" s="4"/>
      <c r="AI75" s="3"/>
      <c r="AJ75" s="3"/>
      <c r="AK75" s="116"/>
      <c r="AL75" s="330"/>
      <c r="AM75" s="1"/>
      <c r="AN75" s="1"/>
      <c r="AO75" s="3"/>
      <c r="AP75" s="3"/>
      <c r="AQ75" s="116"/>
      <c r="AS75" s="45"/>
      <c r="AT75" s="45"/>
      <c r="AU75" s="46"/>
    </row>
    <row r="76" spans="3:76">
      <c r="F76" s="45"/>
      <c r="H76" s="50"/>
      <c r="I76" s="50"/>
      <c r="J76" s="326"/>
      <c r="K76" s="326"/>
      <c r="L76" s="50"/>
      <c r="M76" s="50"/>
      <c r="N76" s="50"/>
      <c r="O76" s="50"/>
      <c r="P76" s="50"/>
      <c r="Q76" s="50"/>
      <c r="R76" s="50"/>
      <c r="T76" s="41">
        <v>4</v>
      </c>
      <c r="V76" s="42" t="s">
        <v>353</v>
      </c>
      <c r="Y76" s="3">
        <f>F24</f>
        <v>24</v>
      </c>
      <c r="Z76" s="1"/>
      <c r="AA76" s="68"/>
      <c r="AB76" s="68"/>
      <c r="AC76" s="316">
        <f>INPUT!C64</f>
        <v>5</v>
      </c>
      <c r="AD76" s="76"/>
      <c r="AE76" s="3">
        <f>ROUND(Y76*AC76,0)</f>
        <v>120</v>
      </c>
      <c r="AF76" s="3"/>
      <c r="AG76" s="103">
        <f>ROUND((AE76/$AE$98)*100,1)</f>
        <v>0</v>
      </c>
      <c r="AH76" s="4"/>
      <c r="AI76" s="3">
        <f>L24-AE76</f>
        <v>0</v>
      </c>
      <c r="AJ76" s="3"/>
      <c r="AK76" s="103">
        <f>ROUND((AI76/AE76)*100,1)</f>
        <v>0</v>
      </c>
      <c r="AL76" s="6"/>
      <c r="AM76" s="3"/>
      <c r="AN76" s="1"/>
      <c r="AO76" s="3">
        <f>AE76+AM76</f>
        <v>120</v>
      </c>
      <c r="AP76" s="3"/>
      <c r="AQ76" s="103">
        <f>ROUND((AI76/AO76)*100,1)</f>
        <v>0</v>
      </c>
      <c r="AS76" s="45"/>
      <c r="AT76" s="45"/>
      <c r="AU76" s="46"/>
    </row>
    <row r="77" spans="3:76">
      <c r="C77" s="42"/>
      <c r="F77" s="45"/>
      <c r="H77" s="45"/>
      <c r="I77" s="45"/>
      <c r="J77" s="47"/>
      <c r="K77" s="47"/>
      <c r="L77" s="45"/>
      <c r="M77" s="45"/>
      <c r="N77" s="46"/>
      <c r="O77" s="46"/>
      <c r="P77" s="45"/>
      <c r="Q77" s="45"/>
      <c r="R77" s="45"/>
      <c r="T77" s="41">
        <v>5</v>
      </c>
      <c r="V77" s="42" t="s">
        <v>144</v>
      </c>
      <c r="Y77" s="3">
        <f>F25</f>
        <v>120</v>
      </c>
      <c r="Z77" s="1"/>
      <c r="AA77" s="68"/>
      <c r="AB77" s="68"/>
      <c r="AC77" s="316">
        <f>INPUT!C113</f>
        <v>117</v>
      </c>
      <c r="AD77" s="76"/>
      <c r="AE77" s="3">
        <f>ROUND(Y77*AC77,0)</f>
        <v>14040</v>
      </c>
      <c r="AF77" s="3"/>
      <c r="AG77" s="104">
        <f>ROUND((AE77/$AE$98)*100,1)</f>
        <v>1.6</v>
      </c>
      <c r="AH77" s="4"/>
      <c r="AI77" s="3">
        <f>L25-AE77</f>
        <v>360</v>
      </c>
      <c r="AJ77" s="3"/>
      <c r="AK77" s="104">
        <f>ROUND((AI77/AE77)*100,1)</f>
        <v>2.6</v>
      </c>
      <c r="AL77" s="6"/>
      <c r="AM77" s="3"/>
      <c r="AN77" s="1"/>
      <c r="AO77" s="3">
        <f>AE77+AM77</f>
        <v>14040</v>
      </c>
      <c r="AP77" s="3"/>
      <c r="AQ77" s="104">
        <f>ROUND((AI77/AO77)*100,1)</f>
        <v>2.6</v>
      </c>
      <c r="AS77" s="45"/>
      <c r="AT77" s="45"/>
      <c r="AU77" s="335"/>
    </row>
    <row r="78" spans="3:76" ht="20.100000000000001" customHeight="1">
      <c r="C78" s="42"/>
      <c r="F78" s="164"/>
      <c r="H78" s="164"/>
      <c r="I78" s="164"/>
      <c r="J78" s="331"/>
      <c r="K78" s="331"/>
      <c r="L78" s="45"/>
      <c r="M78" s="45"/>
      <c r="N78" s="46"/>
      <c r="O78" s="46"/>
      <c r="P78" s="164"/>
      <c r="Q78" s="164"/>
      <c r="R78" s="45"/>
      <c r="T78" s="41">
        <v>6</v>
      </c>
      <c r="V78" s="133" t="s">
        <v>136</v>
      </c>
      <c r="Y78" s="72">
        <f>F26</f>
        <v>120</v>
      </c>
      <c r="Z78" s="1"/>
      <c r="AA78" s="3"/>
      <c r="AB78" s="3"/>
      <c r="AC78" s="7"/>
      <c r="AD78" s="7"/>
      <c r="AE78" s="72">
        <f>SUM(AE76:AE77)</f>
        <v>14160</v>
      </c>
      <c r="AF78" s="3"/>
      <c r="AG78" s="104">
        <f>ROUND((AE78/$AE$98)*100,1)+0.1</f>
        <v>1.7000000000000002</v>
      </c>
      <c r="AH78" s="4"/>
      <c r="AI78" s="72">
        <f>SUM(AI76:AI77)</f>
        <v>360</v>
      </c>
      <c r="AJ78" s="3"/>
      <c r="AK78" s="105">
        <f>SUM(AK76:AK77)</f>
        <v>2.6</v>
      </c>
      <c r="AL78" s="6"/>
      <c r="AM78" s="72"/>
      <c r="AN78" s="3"/>
      <c r="AO78" s="72">
        <f>SUM(AO76:AO77)</f>
        <v>14160</v>
      </c>
      <c r="AP78" s="3"/>
      <c r="AQ78" s="104">
        <f>ROUND((AI78/AO78)*100,1)</f>
        <v>2.5</v>
      </c>
      <c r="AR78" s="45"/>
      <c r="AS78" s="45"/>
      <c r="AT78" s="45"/>
      <c r="AU78" s="46"/>
    </row>
    <row r="79" spans="3:76">
      <c r="C79" s="42"/>
      <c r="H79" s="164"/>
      <c r="I79" s="164"/>
      <c r="J79" s="331"/>
      <c r="K79" s="331"/>
      <c r="L79" s="45"/>
      <c r="M79" s="45"/>
      <c r="N79" s="46"/>
      <c r="O79" s="46"/>
      <c r="P79" s="164"/>
      <c r="Q79" s="164"/>
      <c r="R79" s="45"/>
      <c r="Y79" s="3"/>
      <c r="Z79" s="1"/>
      <c r="AA79" s="3"/>
      <c r="AB79" s="3"/>
      <c r="AC79" s="7"/>
      <c r="AD79" s="7"/>
      <c r="AE79" s="3"/>
      <c r="AF79" s="3"/>
      <c r="AG79" s="103"/>
      <c r="AH79" s="4"/>
      <c r="AI79" s="3"/>
      <c r="AJ79" s="3"/>
      <c r="AK79" s="103"/>
      <c r="AL79" s="6"/>
      <c r="AM79" s="3"/>
      <c r="AN79" s="3"/>
      <c r="AO79" s="3"/>
      <c r="AP79" s="3"/>
      <c r="AQ79" s="103"/>
      <c r="AR79" s="45"/>
      <c r="AS79" s="45"/>
      <c r="AT79" s="45"/>
      <c r="AU79" s="46"/>
    </row>
    <row r="80" spans="3:76">
      <c r="C80" s="42"/>
      <c r="F80" s="45"/>
      <c r="H80" s="45"/>
      <c r="I80" s="45"/>
      <c r="J80" s="47"/>
      <c r="K80" s="47"/>
      <c r="L80" s="45"/>
      <c r="M80" s="45"/>
      <c r="N80" s="46"/>
      <c r="O80" s="46"/>
      <c r="P80" s="45"/>
      <c r="Q80" s="45"/>
      <c r="R80" s="45"/>
      <c r="T80" s="41">
        <v>7</v>
      </c>
      <c r="V80" s="133" t="s">
        <v>63</v>
      </c>
      <c r="Y80" s="68"/>
      <c r="Z80" s="1"/>
      <c r="AA80" s="3"/>
      <c r="AB80" s="3"/>
      <c r="AC80" s="76"/>
      <c r="AD80" s="76"/>
      <c r="AE80" s="3"/>
      <c r="AF80" s="3"/>
      <c r="AG80" s="103"/>
      <c r="AH80" s="4"/>
      <c r="AI80" s="3"/>
      <c r="AJ80" s="3"/>
      <c r="AK80" s="116"/>
      <c r="AL80" s="330"/>
      <c r="AM80" s="3"/>
      <c r="AN80" s="3"/>
      <c r="AO80" s="3"/>
      <c r="AP80" s="3"/>
      <c r="AQ80" s="116"/>
      <c r="AR80" s="45"/>
      <c r="AS80" s="45"/>
      <c r="AT80" s="45"/>
      <c r="AU80" s="46"/>
    </row>
    <row r="81" spans="1:47">
      <c r="F81" s="50"/>
      <c r="H81" s="50"/>
      <c r="I81" s="50"/>
      <c r="J81" s="326"/>
      <c r="K81" s="326"/>
      <c r="L81" s="50"/>
      <c r="M81" s="50"/>
      <c r="N81" s="50"/>
      <c r="O81" s="50"/>
      <c r="P81" s="50"/>
      <c r="Q81" s="50"/>
      <c r="R81" s="50"/>
      <c r="T81" s="41">
        <v>8</v>
      </c>
      <c r="V81" s="42" t="s">
        <v>150</v>
      </c>
      <c r="Y81" s="68"/>
      <c r="Z81" s="1"/>
      <c r="AA81" s="3">
        <f>H29</f>
        <v>27415</v>
      </c>
      <c r="AB81" s="3"/>
      <c r="AC81" s="316">
        <f>INPUT!C119</f>
        <v>9.5</v>
      </c>
      <c r="AD81" s="76"/>
      <c r="AE81" s="3">
        <f>ROUND(AA81*AC81,0)</f>
        <v>260443</v>
      </c>
      <c r="AF81" s="3"/>
      <c r="AG81" s="104">
        <f>ROUND((AE81/$AE$98)*100,1)</f>
        <v>30</v>
      </c>
      <c r="AH81" s="4"/>
      <c r="AI81" s="3">
        <f>L29-AE81</f>
        <v>17271</v>
      </c>
      <c r="AJ81" s="3"/>
      <c r="AK81" s="104">
        <f>ROUND((AI81/AE81)*100,1)</f>
        <v>6.6</v>
      </c>
      <c r="AL81" s="6"/>
      <c r="AM81" s="3"/>
      <c r="AN81" s="3"/>
      <c r="AO81" s="3">
        <f>AE81+AM81</f>
        <v>260443</v>
      </c>
      <c r="AP81" s="3"/>
      <c r="AQ81" s="104">
        <f>ROUND((AI81/AO81)*100,1)</f>
        <v>6.6</v>
      </c>
      <c r="AR81" s="45"/>
      <c r="AS81" s="45"/>
      <c r="AT81" s="45"/>
      <c r="AU81" s="46"/>
    </row>
    <row r="82" spans="1:47" ht="20.100000000000001" customHeight="1">
      <c r="C82" s="42"/>
      <c r="F82" s="45"/>
      <c r="H82" s="45"/>
      <c r="I82" s="45"/>
      <c r="J82" s="47"/>
      <c r="K82" s="47"/>
      <c r="L82" s="45"/>
      <c r="M82" s="45"/>
      <c r="N82" s="46"/>
      <c r="O82" s="46"/>
      <c r="P82" s="45"/>
      <c r="Q82" s="45"/>
      <c r="R82" s="45"/>
      <c r="T82" s="41">
        <v>9</v>
      </c>
      <c r="V82" s="133" t="s">
        <v>66</v>
      </c>
      <c r="Y82" s="3"/>
      <c r="Z82" s="1"/>
      <c r="AA82" s="72">
        <f>H30</f>
        <v>27415</v>
      </c>
      <c r="AB82" s="3"/>
      <c r="AC82" s="314"/>
      <c r="AD82" s="314"/>
      <c r="AE82" s="72">
        <f>SUM(AE81)</f>
        <v>260443</v>
      </c>
      <c r="AF82" s="3"/>
      <c r="AG82" s="104">
        <f>ROUND((AE82/$AE$98)*100,1)</f>
        <v>30</v>
      </c>
      <c r="AH82" s="4"/>
      <c r="AI82" s="72">
        <f>SUM(AI81)</f>
        <v>17271</v>
      </c>
      <c r="AJ82" s="3"/>
      <c r="AK82" s="105">
        <f>ROUND((AI82/AE82)*100,1)</f>
        <v>6.6</v>
      </c>
      <c r="AL82" s="6"/>
      <c r="AM82" s="72"/>
      <c r="AN82" s="3"/>
      <c r="AO82" s="72">
        <f>SUM(AO81)</f>
        <v>260443</v>
      </c>
      <c r="AP82" s="3"/>
      <c r="AQ82" s="104">
        <f>ROUND((AI82/AO82)*100,1)</f>
        <v>6.6</v>
      </c>
      <c r="AR82" s="45"/>
      <c r="AS82" s="45"/>
      <c r="AT82" s="45"/>
      <c r="AU82" s="46"/>
    </row>
    <row r="83" spans="1:47">
      <c r="C83" s="42"/>
      <c r="F83" s="45"/>
      <c r="H83" s="45"/>
      <c r="I83" s="45"/>
      <c r="J83" s="47"/>
      <c r="K83" s="47"/>
      <c r="L83" s="45"/>
      <c r="M83" s="45"/>
      <c r="N83" s="46"/>
      <c r="O83" s="46"/>
      <c r="P83" s="45"/>
      <c r="Q83" s="45"/>
      <c r="R83" s="45"/>
      <c r="Y83" s="3"/>
      <c r="Z83" s="1"/>
      <c r="AA83" s="3"/>
      <c r="AB83" s="3"/>
      <c r="AC83" s="314"/>
      <c r="AD83" s="314"/>
      <c r="AE83" s="3"/>
      <c r="AF83" s="3"/>
      <c r="AG83" s="103"/>
      <c r="AH83" s="3"/>
      <c r="AI83" s="3"/>
      <c r="AJ83" s="3"/>
      <c r="AK83" s="103"/>
      <c r="AL83" s="6"/>
      <c r="AM83" s="3"/>
      <c r="AN83" s="3"/>
      <c r="AO83" s="3"/>
      <c r="AP83" s="3"/>
      <c r="AQ83" s="103"/>
      <c r="AR83" s="45"/>
      <c r="AS83" s="45"/>
      <c r="AT83" s="45"/>
      <c r="AU83" s="46"/>
    </row>
    <row r="84" spans="1:47">
      <c r="A84" s="42"/>
      <c r="F84" s="45"/>
      <c r="H84" s="45"/>
      <c r="I84" s="45"/>
      <c r="J84" s="47"/>
      <c r="K84" s="47"/>
      <c r="L84" s="45"/>
      <c r="M84" s="45"/>
      <c r="N84" s="45"/>
      <c r="O84" s="45"/>
      <c r="P84" s="45"/>
      <c r="Q84" s="45"/>
      <c r="R84" s="45"/>
      <c r="T84" s="41">
        <v>10</v>
      </c>
      <c r="V84" s="133" t="s">
        <v>371</v>
      </c>
      <c r="Y84" s="68"/>
      <c r="Z84" s="1"/>
      <c r="AA84" s="68"/>
      <c r="AB84" s="68"/>
      <c r="AC84" s="340"/>
      <c r="AD84" s="340"/>
      <c r="AE84" s="3"/>
      <c r="AF84" s="3"/>
      <c r="AG84" s="103"/>
      <c r="AH84" s="4"/>
      <c r="AI84" s="3"/>
      <c r="AJ84" s="3"/>
      <c r="AK84" s="103"/>
      <c r="AL84" s="6"/>
      <c r="AM84" s="68"/>
      <c r="AN84" s="68"/>
      <c r="AO84" s="3"/>
      <c r="AP84" s="3"/>
      <c r="AQ84" s="103"/>
      <c r="AR84" s="164"/>
      <c r="AS84" s="45"/>
      <c r="AT84" s="45"/>
      <c r="AU84" s="46"/>
    </row>
    <row r="85" spans="1:47">
      <c r="T85" s="41">
        <v>11</v>
      </c>
      <c r="V85" s="48" t="s">
        <v>151</v>
      </c>
      <c r="Y85" s="68"/>
      <c r="Z85" s="1"/>
      <c r="AA85" s="3">
        <f>H33</f>
        <v>6857618</v>
      </c>
      <c r="AB85" s="3"/>
      <c r="AC85" s="323">
        <f>INPUT!C115</f>
        <v>7.1562000000000001E-2</v>
      </c>
      <c r="AD85" s="322"/>
      <c r="AE85" s="3">
        <f>ROUND((AA85*AC85),0)</f>
        <v>490745</v>
      </c>
      <c r="AF85" s="3"/>
      <c r="AG85" s="103">
        <f>ROUND((AE85/$AE$98)*100,1)</f>
        <v>56.4</v>
      </c>
      <c r="AH85" s="4"/>
      <c r="AI85" s="3">
        <f>L33-AE85</f>
        <v>32450</v>
      </c>
      <c r="AJ85" s="3"/>
      <c r="AK85" s="103">
        <f>ROUND((AI85/AE85)*100,1)</f>
        <v>6.6</v>
      </c>
      <c r="AL85" s="6"/>
      <c r="AM85" s="3"/>
      <c r="AN85" s="68"/>
      <c r="AO85" s="3">
        <f>AE85+AM85</f>
        <v>490745</v>
      </c>
      <c r="AP85" s="3"/>
      <c r="AQ85" s="103">
        <f>ROUND((AI85/AO85)*100,1)</f>
        <v>6.6</v>
      </c>
      <c r="AR85" s="164"/>
      <c r="AS85" s="45"/>
      <c r="AT85" s="45"/>
      <c r="AU85" s="46"/>
    </row>
    <row r="86" spans="1:47">
      <c r="L86" s="45"/>
      <c r="M86" s="45"/>
      <c r="N86" s="45"/>
      <c r="O86" s="45"/>
      <c r="P86" s="45"/>
      <c r="Q86" s="45"/>
      <c r="R86" s="45"/>
      <c r="T86" s="41">
        <v>12</v>
      </c>
      <c r="V86" s="42" t="s">
        <v>141</v>
      </c>
      <c r="Y86" s="68"/>
      <c r="Z86" s="1"/>
      <c r="AA86" s="3">
        <f>H34</f>
        <v>869355</v>
      </c>
      <c r="AB86" s="3"/>
      <c r="AC86" s="323">
        <f>INPUT!C116</f>
        <v>6.2067999999999998E-2</v>
      </c>
      <c r="AD86" s="322"/>
      <c r="AE86" s="3">
        <f>ROUND((AA86*AC86),0)</f>
        <v>53959</v>
      </c>
      <c r="AF86" s="3"/>
      <c r="AG86" s="103">
        <f>ROUND((AE86/$AE$98)*100,1)</f>
        <v>6.2</v>
      </c>
      <c r="AH86" s="4"/>
      <c r="AI86" s="3">
        <f>L34-AE86</f>
        <v>3516</v>
      </c>
      <c r="AJ86" s="3"/>
      <c r="AK86" s="103">
        <f>ROUND((AI86/AE86)*100,1)</f>
        <v>6.5</v>
      </c>
      <c r="AL86" s="6"/>
      <c r="AM86" s="3"/>
      <c r="AN86" s="68"/>
      <c r="AO86" s="3">
        <f>AE86+AM86</f>
        <v>53959</v>
      </c>
      <c r="AP86" s="3"/>
      <c r="AQ86" s="103">
        <f>ROUND((AI86/AO86)*100,1)</f>
        <v>6.5</v>
      </c>
      <c r="AR86" s="164"/>
      <c r="AS86" s="45"/>
      <c r="AT86" s="45"/>
      <c r="AU86" s="46"/>
    </row>
    <row r="87" spans="1:47">
      <c r="L87" s="45"/>
      <c r="M87" s="45"/>
      <c r="N87" s="45"/>
      <c r="O87" s="45"/>
      <c r="P87" s="45"/>
      <c r="Q87" s="45"/>
      <c r="R87" s="45"/>
      <c r="T87" s="41">
        <v>13</v>
      </c>
      <c r="V87" s="42" t="s">
        <v>528</v>
      </c>
      <c r="Y87" s="68"/>
      <c r="Z87" s="1"/>
      <c r="AA87" s="3">
        <f>H35</f>
        <v>0</v>
      </c>
      <c r="AB87" s="3"/>
      <c r="AC87" s="323">
        <f>INPUT!C117</f>
        <v>0.289184</v>
      </c>
      <c r="AD87" s="322"/>
      <c r="AE87" s="3">
        <f>ROUND((AA87*AC87),0)</f>
        <v>0</v>
      </c>
      <c r="AF87" s="3"/>
      <c r="AG87" s="104">
        <f>ROUND((AE87/$AE$98)*100,1)</f>
        <v>0</v>
      </c>
      <c r="AH87" s="4"/>
      <c r="AI87" s="3">
        <f>L35-AE87</f>
        <v>0</v>
      </c>
      <c r="AJ87" s="3"/>
      <c r="AK87" s="103">
        <f>IF(AE87=0,0,ROUND((AI87/AE87)*100,1))</f>
        <v>0</v>
      </c>
      <c r="AL87" s="6"/>
      <c r="AM87" s="66"/>
      <c r="AN87" s="68"/>
      <c r="AO87" s="3">
        <f>AE87+AM87</f>
        <v>0</v>
      </c>
      <c r="AP87" s="3"/>
      <c r="AQ87" s="104">
        <f>IF(AO87=0,0,ROUND((AI87/AO87)*100,1))</f>
        <v>0</v>
      </c>
      <c r="AR87" s="164"/>
      <c r="AS87" s="45"/>
      <c r="AT87" s="45"/>
      <c r="AU87" s="46"/>
    </row>
    <row r="88" spans="1:47" ht="20.100000000000001" customHeight="1">
      <c r="T88" s="41">
        <v>14</v>
      </c>
      <c r="V88" s="133" t="s">
        <v>142</v>
      </c>
      <c r="Y88" s="3"/>
      <c r="Z88" s="1"/>
      <c r="AA88" s="72">
        <f>H36</f>
        <v>7726973</v>
      </c>
      <c r="AB88" s="3"/>
      <c r="AC88" s="154"/>
      <c r="AD88" s="7"/>
      <c r="AE88" s="72">
        <f>SUM(AE85:AE87)</f>
        <v>544704</v>
      </c>
      <c r="AF88" s="3"/>
      <c r="AG88" s="104">
        <f>ROUND((AE88/$AE$98)*100,1)</f>
        <v>62.7</v>
      </c>
      <c r="AH88" s="4"/>
      <c r="AI88" s="72">
        <f>SUM(AI85:AI87)</f>
        <v>35966</v>
      </c>
      <c r="AJ88" s="3"/>
      <c r="AK88" s="105">
        <f>ROUND((AI88/AE88)*100,1)</f>
        <v>6.6</v>
      </c>
      <c r="AL88" s="6"/>
      <c r="AM88" s="72"/>
      <c r="AN88" s="3"/>
      <c r="AO88" s="72">
        <f>SUM(AO85:AO87)</f>
        <v>544704</v>
      </c>
      <c r="AP88" s="3"/>
      <c r="AQ88" s="104">
        <f>ROUND((AI88/AO88)*100,1)</f>
        <v>6.6</v>
      </c>
      <c r="AR88" s="45"/>
      <c r="AS88" s="45"/>
      <c r="AT88" s="45"/>
    </row>
    <row r="89" spans="1:47" ht="20.100000000000001" customHeight="1">
      <c r="T89" s="41">
        <v>15</v>
      </c>
      <c r="V89" s="310" t="s">
        <v>449</v>
      </c>
      <c r="Y89" s="66">
        <f>Y78</f>
        <v>120</v>
      </c>
      <c r="Z89" s="1"/>
      <c r="AA89" s="72">
        <f>AA88</f>
        <v>7726973</v>
      </c>
      <c r="AB89" s="3"/>
      <c r="AC89" s="154"/>
      <c r="AD89" s="7"/>
      <c r="AE89" s="72">
        <f>AE78+AE82+AE88</f>
        <v>819307</v>
      </c>
      <c r="AF89" s="3"/>
      <c r="AG89" s="105">
        <f>ROUND((AE89/$AE$98)*100,1)</f>
        <v>94.2</v>
      </c>
      <c r="AH89" s="4"/>
      <c r="AI89" s="72">
        <f>AI78+AI82+AI88</f>
        <v>53597</v>
      </c>
      <c r="AJ89" s="3"/>
      <c r="AK89" s="105">
        <f>ROUND((AI89/AE89)*100,1)</f>
        <v>6.5</v>
      </c>
      <c r="AL89" s="6"/>
      <c r="AM89" s="72"/>
      <c r="AN89" s="3"/>
      <c r="AO89" s="72">
        <f>AO78+AO82+AO88</f>
        <v>819307</v>
      </c>
      <c r="AP89" s="3"/>
      <c r="AQ89" s="104">
        <f>ROUND((AI89/AO89)*100,1)</f>
        <v>6.5</v>
      </c>
      <c r="AR89" s="45"/>
      <c r="AS89" s="45"/>
      <c r="AT89" s="45"/>
    </row>
    <row r="90" spans="1:47" ht="15.75" customHeight="1">
      <c r="V90" s="42"/>
      <c r="Y90" s="3"/>
      <c r="Z90" s="1"/>
      <c r="AA90" s="3"/>
      <c r="AB90" s="3"/>
      <c r="AC90" s="154"/>
      <c r="AD90" s="7"/>
      <c r="AE90" s="3"/>
      <c r="AF90" s="3"/>
      <c r="AG90" s="103"/>
      <c r="AH90" s="4"/>
      <c r="AI90" s="3"/>
      <c r="AJ90" s="3"/>
      <c r="AK90" s="103"/>
      <c r="AL90" s="6"/>
      <c r="AM90" s="3"/>
      <c r="AN90" s="3"/>
      <c r="AO90" s="3"/>
      <c r="AP90" s="3"/>
      <c r="AQ90" s="103"/>
      <c r="AR90" s="45"/>
      <c r="AS90" s="45"/>
      <c r="AT90" s="45"/>
    </row>
    <row r="91" spans="1:47" ht="15.75" customHeight="1">
      <c r="T91" s="41">
        <f t="shared" ref="T91:T96" si="0">A39</f>
        <v>16</v>
      </c>
      <c r="V91" s="133" t="s">
        <v>430</v>
      </c>
      <c r="Y91" s="3"/>
      <c r="Z91" s="1"/>
      <c r="AA91" s="3"/>
      <c r="AB91" s="3"/>
      <c r="AC91" s="154"/>
      <c r="AD91" s="7"/>
      <c r="AE91" s="3"/>
      <c r="AF91" s="3"/>
      <c r="AG91" s="103"/>
      <c r="AH91" s="4"/>
      <c r="AI91" s="3"/>
      <c r="AJ91" s="3"/>
      <c r="AK91" s="103"/>
      <c r="AL91" s="6"/>
      <c r="AM91" s="3"/>
      <c r="AN91" s="3"/>
      <c r="AO91" s="3"/>
      <c r="AP91" s="3"/>
      <c r="AQ91" s="103"/>
      <c r="AR91" s="45"/>
      <c r="AS91" s="45"/>
      <c r="AT91" s="45"/>
    </row>
    <row r="92" spans="1:47" ht="15.75" customHeight="1">
      <c r="T92" s="41">
        <f t="shared" si="0"/>
        <v>17</v>
      </c>
      <c r="V92" s="128" t="str">
        <f>C40</f>
        <v>DEMAND SIDE MANAGEMENT RIDER (DSMR)</v>
      </c>
      <c r="Y92" s="3"/>
      <c r="Z92" s="1"/>
      <c r="AA92" s="3"/>
      <c r="AB92" s="3"/>
      <c r="AC92" s="327">
        <f>DSM_DIST</f>
        <v>3.503E-3</v>
      </c>
      <c r="AD92" s="7"/>
      <c r="AE92" s="3">
        <f>ROUND($AA$89*AC92,0)</f>
        <v>27068</v>
      </c>
      <c r="AF92" s="3"/>
      <c r="AG92" s="103">
        <f>ROUND((AE92/$AE$98)*100,1)-0.1</f>
        <v>3</v>
      </c>
      <c r="AH92" s="4"/>
      <c r="AI92" s="3">
        <f>L40-AE92</f>
        <v>0</v>
      </c>
      <c r="AJ92" s="3"/>
      <c r="AK92" s="103">
        <f>IF(AE92=0,0,ROUND((AI92/AE92)*100,1))</f>
        <v>0</v>
      </c>
      <c r="AL92" s="6"/>
      <c r="AM92" s="3"/>
      <c r="AN92" s="3"/>
      <c r="AO92" s="3">
        <f>AE92+AM92</f>
        <v>27068</v>
      </c>
      <c r="AP92" s="3"/>
      <c r="AQ92" s="103">
        <f>IF(AO92=0,0,ROUND((AI92/AO92)*100,1))</f>
        <v>0</v>
      </c>
      <c r="AR92" s="45"/>
      <c r="AS92" s="45"/>
      <c r="AT92" s="45"/>
    </row>
    <row r="93" spans="1:47" ht="15.75" customHeight="1">
      <c r="T93" s="41">
        <f t="shared" si="0"/>
        <v>18</v>
      </c>
      <c r="V93" s="128" t="str">
        <f>C41</f>
        <v>ENVIRONMENTAL SURCHARGE MECHANISM RIDER (ESM)</v>
      </c>
      <c r="Y93" s="3"/>
      <c r="Z93" s="1"/>
      <c r="AA93" s="3"/>
      <c r="AB93" s="3"/>
      <c r="AC93" s="332">
        <f>CUR_ESM_NonRes</f>
        <v>6.4941608437496566E-3</v>
      </c>
      <c r="AD93" s="7"/>
      <c r="AE93" s="3">
        <f>ROUND((AO89-(CUR_BASE_FUEL*AA89)+AO92+AO95)*AC93,0)</f>
        <v>3926</v>
      </c>
      <c r="AF93" s="3"/>
      <c r="AG93" s="103">
        <f>ROUND((AE93/$AE$98)*100,1)</f>
        <v>0.5</v>
      </c>
      <c r="AH93" s="4"/>
      <c r="AI93" s="3">
        <f>L41-AE93</f>
        <v>-332</v>
      </c>
      <c r="AJ93" s="3"/>
      <c r="AK93" s="103">
        <f>IF(AE93=0,0,ROUND((AI93/AE93)*100,1))</f>
        <v>-8.5</v>
      </c>
      <c r="AL93" s="6"/>
      <c r="AM93" s="3"/>
      <c r="AN93" s="3"/>
      <c r="AO93" s="3">
        <f>AE93+AM93</f>
        <v>3926</v>
      </c>
      <c r="AP93" s="3"/>
      <c r="AQ93" s="103">
        <f>IF(AO93=0,0,ROUND((AI93/AO93)*100,1))</f>
        <v>-8.5</v>
      </c>
      <c r="AR93" s="45"/>
      <c r="AS93" s="45"/>
      <c r="AT93" s="45"/>
    </row>
    <row r="94" spans="1:47" ht="15.75" customHeight="1">
      <c r="T94" s="41">
        <f t="shared" si="0"/>
        <v>19</v>
      </c>
      <c r="V94" s="128" t="str">
        <f>C42</f>
        <v>FUEL ADJUSTMENT CLAUSE (FAC)</v>
      </c>
      <c r="Y94" s="3"/>
      <c r="Z94" s="1"/>
      <c r="AA94" s="3"/>
      <c r="AB94" s="3"/>
      <c r="AC94" s="327">
        <f>CUR_FAC</f>
        <v>3.4872127999999998E-3</v>
      </c>
      <c r="AD94" s="7"/>
      <c r="AE94" s="3"/>
      <c r="AF94" s="3"/>
      <c r="AG94" s="103"/>
      <c r="AH94" s="4"/>
      <c r="AI94" s="3"/>
      <c r="AJ94" s="3"/>
      <c r="AK94" s="103"/>
      <c r="AL94" s="6"/>
      <c r="AM94" s="3">
        <f>ROUND(AA89*CUR_FAC,0)</f>
        <v>26946</v>
      </c>
      <c r="AN94" s="3"/>
      <c r="AO94" s="3">
        <f>AE94+AM94</f>
        <v>26946</v>
      </c>
      <c r="AP94" s="3"/>
      <c r="AQ94" s="103">
        <f>IF(AO94=0,0,ROUND((AI94/AO94)*100,1))</f>
        <v>0</v>
      </c>
      <c r="AR94" s="45"/>
      <c r="AS94" s="45"/>
      <c r="AT94" s="45"/>
    </row>
    <row r="95" spans="1:47" ht="15.75" customHeight="1">
      <c r="T95" s="41">
        <f t="shared" si="0"/>
        <v>20</v>
      </c>
      <c r="V95" s="128" t="str">
        <f>C43</f>
        <v>PROFIT SHARING MECHANISM (PSM)</v>
      </c>
      <c r="Y95" s="3"/>
      <c r="Z95" s="1"/>
      <c r="AA95" s="3"/>
      <c r="AB95" s="3"/>
      <c r="AC95" s="327">
        <f>RS_PSM</f>
        <v>2.4750000000000002E-3</v>
      </c>
      <c r="AD95" s="7"/>
      <c r="AE95" s="66">
        <f>ROUND(AA89*RS_PSM,0)</f>
        <v>19124</v>
      </c>
      <c r="AF95" s="3"/>
      <c r="AG95" s="104">
        <f>ROUND((AE95/$AE$98)*100,1)</f>
        <v>2.2000000000000002</v>
      </c>
      <c r="AH95" s="4"/>
      <c r="AI95" s="3">
        <f>L43-AE95</f>
        <v>0</v>
      </c>
      <c r="AJ95" s="3"/>
      <c r="AK95" s="103">
        <f>IF(AE95=0,0,ROUND((AI95/AE95)*100,1))</f>
        <v>0</v>
      </c>
      <c r="AL95" s="6"/>
      <c r="AM95" s="66"/>
      <c r="AN95" s="3"/>
      <c r="AO95" s="3">
        <f>AE95+AM95</f>
        <v>19124</v>
      </c>
      <c r="AP95" s="3"/>
      <c r="AQ95" s="104">
        <f>IF(AO95=0,0,ROUND((AI95/AO95)*100,1))</f>
        <v>0</v>
      </c>
      <c r="AR95" s="45"/>
      <c r="AS95" s="45"/>
      <c r="AT95" s="45"/>
    </row>
    <row r="96" spans="1:47" ht="20.100000000000001" customHeight="1">
      <c r="T96" s="41">
        <f t="shared" si="0"/>
        <v>21</v>
      </c>
      <c r="V96" s="133" t="s">
        <v>435</v>
      </c>
      <c r="Y96" s="66"/>
      <c r="Z96" s="1"/>
      <c r="AA96" s="66"/>
      <c r="AB96" s="3"/>
      <c r="AC96" s="7"/>
      <c r="AD96" s="7"/>
      <c r="AE96" s="72">
        <f>SUM(AE92:AE95)</f>
        <v>50118</v>
      </c>
      <c r="AF96" s="3"/>
      <c r="AG96" s="105">
        <f>ROUND((AE96/$AE$98)*100,1)</f>
        <v>5.8</v>
      </c>
      <c r="AH96" s="4"/>
      <c r="AI96" s="72">
        <f>SUM(AI92:AI95)</f>
        <v>-332</v>
      </c>
      <c r="AJ96" s="3"/>
      <c r="AK96" s="105">
        <f>ROUND((AI96/AE96)*100,1)</f>
        <v>-0.7</v>
      </c>
      <c r="AL96" s="6"/>
      <c r="AM96" s="72">
        <f>SUM(AM92:AM95)</f>
        <v>26946</v>
      </c>
      <c r="AN96" s="3"/>
      <c r="AO96" s="72">
        <f>SUM(AO92:AO95)</f>
        <v>77064</v>
      </c>
      <c r="AP96" s="3"/>
      <c r="AQ96" s="104">
        <f>IF(AO96=0,0,ROUND((AI96/AO96)*100,1))</f>
        <v>-0.4</v>
      </c>
      <c r="AR96" s="45"/>
      <c r="AS96" s="45"/>
      <c r="AT96" s="45"/>
    </row>
    <row r="97" spans="1:46" ht="15.75" customHeight="1">
      <c r="V97" s="133"/>
      <c r="Y97" s="3"/>
      <c r="Z97" s="1"/>
      <c r="AA97" s="3"/>
      <c r="AB97" s="3"/>
      <c r="AC97" s="7"/>
      <c r="AD97" s="7"/>
      <c r="AE97" s="3"/>
      <c r="AF97" s="3"/>
      <c r="AG97" s="103"/>
      <c r="AH97" s="4"/>
      <c r="AI97" s="3"/>
      <c r="AJ97" s="3"/>
      <c r="AK97" s="103"/>
      <c r="AL97" s="6"/>
      <c r="AM97" s="3"/>
      <c r="AN97" s="3"/>
      <c r="AO97" s="3"/>
      <c r="AP97" s="3"/>
      <c r="AQ97" s="103"/>
      <c r="AR97" s="45"/>
      <c r="AS97" s="45"/>
      <c r="AT97" s="45"/>
    </row>
    <row r="98" spans="1:46" ht="20.100000000000001" customHeight="1" thickBot="1">
      <c r="T98" s="41">
        <f>A46</f>
        <v>22</v>
      </c>
      <c r="V98" s="310" t="s">
        <v>451</v>
      </c>
      <c r="Y98" s="67">
        <f>F46</f>
        <v>120</v>
      </c>
      <c r="Z98" s="1"/>
      <c r="AA98" s="67">
        <f>H46</f>
        <v>7726973</v>
      </c>
      <c r="AB98" s="3"/>
      <c r="AC98" s="7"/>
      <c r="AD98" s="7"/>
      <c r="AE98" s="67">
        <f>AE96+AE89</f>
        <v>869425</v>
      </c>
      <c r="AF98" s="3"/>
      <c r="AG98" s="106">
        <v>100</v>
      </c>
      <c r="AH98" s="4"/>
      <c r="AI98" s="67">
        <f>AI96+AI89</f>
        <v>53265</v>
      </c>
      <c r="AJ98" s="3"/>
      <c r="AK98" s="106">
        <f>ROUND((AI98/AE98)*100,1)</f>
        <v>6.1</v>
      </c>
      <c r="AL98" s="6"/>
      <c r="AM98" s="67">
        <f>AM96+AM89</f>
        <v>26946</v>
      </c>
      <c r="AN98" s="3"/>
      <c r="AO98" s="67">
        <f>AO96+AO89</f>
        <v>896371</v>
      </c>
      <c r="AP98" s="3"/>
      <c r="AQ98" s="106">
        <f>ROUND((AI98/AO98)*100,1)</f>
        <v>5.9</v>
      </c>
      <c r="AR98" s="45"/>
      <c r="AS98" s="45"/>
      <c r="AT98" s="45"/>
    </row>
    <row r="99" spans="1:46" ht="16.5" thickTop="1">
      <c r="L99" s="42"/>
      <c r="M99" s="42"/>
      <c r="Y99" s="3"/>
      <c r="Z99" s="1"/>
      <c r="AA99" s="3"/>
      <c r="AB99" s="3"/>
      <c r="AC99" s="7"/>
      <c r="AD99" s="7"/>
      <c r="AE99" s="3"/>
      <c r="AF99" s="3"/>
      <c r="AG99" s="103"/>
      <c r="AH99" s="3"/>
      <c r="AI99" s="1"/>
      <c r="AJ99" s="1"/>
      <c r="AK99" s="103"/>
      <c r="AL99" s="1"/>
      <c r="AM99" s="1"/>
      <c r="AN99" s="1"/>
      <c r="AO99" s="1"/>
      <c r="AP99" s="1"/>
      <c r="AQ99" s="103"/>
    </row>
    <row r="100" spans="1:46">
      <c r="R100" s="42"/>
      <c r="V100" s="140" t="s">
        <v>59</v>
      </c>
      <c r="Y100" s="45"/>
      <c r="AA100" s="45"/>
      <c r="AB100" s="45"/>
      <c r="AC100" s="47"/>
      <c r="AD100" s="47"/>
      <c r="AE100" s="45"/>
      <c r="AF100" s="45"/>
      <c r="AH100" s="45"/>
    </row>
    <row r="101" spans="1:46">
      <c r="R101" s="42"/>
      <c r="V101" s="140" t="str">
        <f>"(2) REFLECTS FUEL COMPONENT OF "&amp;TEXT(CUR_FAC,"$0.000000;($0.000000)")&amp;"  PER KWH."</f>
        <v>(2) REFLECTS FUEL COMPONENT OF $0.003487  PER KWH.</v>
      </c>
      <c r="Y101" s="45"/>
      <c r="AA101" s="45"/>
      <c r="AB101" s="45"/>
      <c r="AC101" s="47"/>
      <c r="AD101" s="47"/>
      <c r="AE101" s="45"/>
      <c r="AF101" s="45"/>
      <c r="AH101" s="45"/>
    </row>
    <row r="102" spans="1:46">
      <c r="R102" s="42"/>
      <c r="V102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3" spans="1:46">
      <c r="A103" s="42"/>
      <c r="R103" s="42"/>
      <c r="AA103" s="42"/>
      <c r="AB103" s="42"/>
    </row>
    <row r="104" spans="1:46">
      <c r="L104" s="42"/>
      <c r="M104" s="42"/>
      <c r="AK104" s="110"/>
      <c r="AL104" s="42"/>
    </row>
    <row r="105" spans="1:46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AK105" s="110"/>
      <c r="AL105" s="42"/>
    </row>
    <row r="106" spans="1:46">
      <c r="L106" s="44"/>
      <c r="M106" s="44"/>
      <c r="N106" s="44"/>
      <c r="O106" s="44"/>
      <c r="R106" s="44"/>
      <c r="AK106" s="110"/>
      <c r="AL106" s="42"/>
    </row>
    <row r="107" spans="1:46">
      <c r="L107" s="44"/>
      <c r="M107" s="44"/>
      <c r="N107" s="44"/>
      <c r="O107" s="44"/>
      <c r="R107" s="44"/>
      <c r="AA107" s="42"/>
      <c r="AB107" s="42"/>
    </row>
    <row r="108" spans="1:46">
      <c r="A108" s="44"/>
      <c r="C108" s="44"/>
      <c r="D108" s="44"/>
      <c r="E108" s="44"/>
      <c r="F108" s="44"/>
      <c r="J108" s="44"/>
      <c r="K108" s="44"/>
      <c r="L108" s="44"/>
      <c r="M108" s="44"/>
      <c r="N108" s="44"/>
      <c r="O108" s="44"/>
      <c r="P108" s="44"/>
      <c r="Q108" s="44"/>
      <c r="R108" s="44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107"/>
      <c r="AH108" s="49"/>
      <c r="AI108" s="49"/>
      <c r="AJ108" s="49"/>
      <c r="AK108" s="107"/>
      <c r="AL108" s="49"/>
      <c r="AM108" s="49"/>
      <c r="AN108" s="49"/>
    </row>
    <row r="109" spans="1:46">
      <c r="A109" s="44"/>
      <c r="C109" s="44"/>
      <c r="D109" s="44"/>
      <c r="E109" s="44"/>
      <c r="F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AA109" s="44"/>
      <c r="AB109" s="44"/>
      <c r="AC109" s="44"/>
      <c r="AD109" s="44"/>
      <c r="AE109" s="44"/>
      <c r="AF109" s="44"/>
      <c r="AG109" s="102"/>
      <c r="AH109" s="44"/>
      <c r="AK109" s="102"/>
      <c r="AL109" s="44"/>
      <c r="AM109" s="44"/>
      <c r="AN109" s="44"/>
    </row>
    <row r="110" spans="1:46">
      <c r="C110" s="44"/>
      <c r="D110" s="44"/>
      <c r="E110" s="44"/>
      <c r="F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Z110" s="44"/>
      <c r="AA110" s="44"/>
      <c r="AB110" s="44"/>
      <c r="AC110" s="44"/>
      <c r="AD110" s="44"/>
      <c r="AE110" s="44"/>
      <c r="AF110" s="44"/>
      <c r="AG110" s="102"/>
      <c r="AH110" s="44"/>
      <c r="AK110" s="102"/>
      <c r="AL110" s="44"/>
      <c r="AM110" s="44"/>
      <c r="AN110" s="44"/>
    </row>
    <row r="111" spans="1:46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T111" s="44"/>
      <c r="U111" s="44"/>
      <c r="V111" s="44"/>
      <c r="Z111" s="44"/>
      <c r="AA111" s="44"/>
      <c r="AB111" s="44"/>
      <c r="AC111" s="44"/>
      <c r="AD111" s="44"/>
      <c r="AE111" s="44"/>
      <c r="AF111" s="44"/>
      <c r="AG111" s="102"/>
      <c r="AH111" s="44"/>
      <c r="AI111" s="44"/>
      <c r="AJ111" s="44"/>
      <c r="AK111" s="102"/>
      <c r="AL111" s="44"/>
      <c r="AM111" s="44"/>
      <c r="AN111" s="44"/>
    </row>
    <row r="112" spans="1:46"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T112" s="44"/>
      <c r="U112" s="44"/>
      <c r="V112" s="44"/>
      <c r="Y112" s="44"/>
      <c r="Z112" s="44"/>
      <c r="AA112" s="44"/>
      <c r="AB112" s="44"/>
      <c r="AC112" s="44"/>
      <c r="AD112" s="44"/>
      <c r="AE112" s="44"/>
      <c r="AF112" s="44"/>
      <c r="AG112" s="102"/>
      <c r="AH112" s="44"/>
      <c r="AI112" s="44"/>
      <c r="AJ112" s="44"/>
      <c r="AK112" s="102"/>
      <c r="AL112" s="44"/>
      <c r="AM112" s="44"/>
      <c r="AN112" s="44"/>
    </row>
    <row r="113" spans="3:40">
      <c r="C113" s="42"/>
      <c r="D113" s="42"/>
      <c r="E113" s="42"/>
      <c r="T113" s="44"/>
      <c r="U113" s="44"/>
      <c r="V113" s="44"/>
      <c r="Y113" s="44"/>
      <c r="Z113" s="44"/>
      <c r="AA113" s="44"/>
      <c r="AB113" s="44"/>
      <c r="AC113" s="44"/>
      <c r="AD113" s="44"/>
      <c r="AE113" s="44"/>
      <c r="AF113" s="44"/>
      <c r="AG113" s="102"/>
      <c r="AH113" s="44"/>
      <c r="AI113" s="44"/>
      <c r="AJ113" s="44"/>
      <c r="AK113" s="102"/>
      <c r="AL113" s="44"/>
      <c r="AM113" s="44"/>
      <c r="AN113" s="44"/>
    </row>
    <row r="114" spans="3:40">
      <c r="C114" s="42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107"/>
      <c r="AH114" s="49"/>
      <c r="AI114" s="49"/>
      <c r="AJ114" s="49"/>
      <c r="AK114" s="107"/>
      <c r="AL114" s="49"/>
      <c r="AM114" s="49"/>
      <c r="AN114" s="49"/>
    </row>
    <row r="115" spans="3:40">
      <c r="Y115" s="44"/>
      <c r="Z115" s="44"/>
      <c r="AA115" s="44"/>
      <c r="AB115" s="44"/>
      <c r="AC115" s="44"/>
      <c r="AD115" s="44"/>
      <c r="AE115" s="44"/>
      <c r="AF115" s="44"/>
      <c r="AG115" s="102"/>
      <c r="AH115" s="44"/>
      <c r="AI115" s="44"/>
      <c r="AJ115" s="44"/>
      <c r="AK115" s="102"/>
      <c r="AL115" s="44"/>
      <c r="AM115" s="44"/>
      <c r="AN115" s="44"/>
    </row>
    <row r="116" spans="3:40">
      <c r="C116" s="42"/>
      <c r="T116" s="42"/>
      <c r="U116" s="42"/>
    </row>
    <row r="117" spans="3:40">
      <c r="C117" s="42"/>
      <c r="F117" s="164"/>
      <c r="H117" s="164"/>
      <c r="I117" s="164"/>
      <c r="J117" s="316"/>
      <c r="K117" s="316"/>
      <c r="L117" s="45"/>
      <c r="M117" s="45"/>
      <c r="N117" s="46"/>
      <c r="O117" s="46"/>
      <c r="R117" s="45"/>
      <c r="T117" s="42"/>
    </row>
    <row r="118" spans="3:40">
      <c r="C118" s="42"/>
      <c r="F118" s="164"/>
      <c r="H118" s="164"/>
      <c r="I118" s="164"/>
      <c r="J118" s="316"/>
      <c r="K118" s="316"/>
      <c r="L118" s="45"/>
      <c r="M118" s="45"/>
      <c r="N118" s="46"/>
      <c r="O118" s="46"/>
      <c r="R118" s="45"/>
    </row>
    <row r="119" spans="3:40">
      <c r="C119" s="42"/>
      <c r="F119" s="164"/>
      <c r="H119" s="164"/>
      <c r="I119" s="164"/>
      <c r="J119" s="316"/>
      <c r="K119" s="316"/>
      <c r="L119" s="45"/>
      <c r="M119" s="45"/>
      <c r="N119" s="46"/>
      <c r="O119" s="46"/>
      <c r="R119" s="45"/>
      <c r="T119" s="42"/>
    </row>
    <row r="120" spans="3:40">
      <c r="F120" s="50"/>
      <c r="H120" s="45"/>
      <c r="I120" s="45"/>
      <c r="J120" s="326"/>
      <c r="K120" s="326"/>
      <c r="L120" s="50"/>
      <c r="M120" s="50"/>
      <c r="N120" s="50"/>
      <c r="O120" s="50"/>
      <c r="P120" s="50"/>
      <c r="Q120" s="50"/>
      <c r="R120" s="50"/>
      <c r="T120" s="42"/>
      <c r="V120" s="45"/>
      <c r="Y120" s="164"/>
      <c r="Z120" s="316"/>
      <c r="AA120" s="45"/>
      <c r="AB120" s="45"/>
      <c r="AC120" s="46"/>
      <c r="AD120" s="46"/>
      <c r="AE120" s="45"/>
      <c r="AF120" s="45"/>
      <c r="AG120" s="333"/>
      <c r="AH120" s="334"/>
      <c r="AL120" s="45"/>
      <c r="AM120" s="335"/>
      <c r="AN120" s="335"/>
    </row>
    <row r="121" spans="3:40">
      <c r="C121" s="42"/>
      <c r="F121" s="45"/>
      <c r="H121" s="45"/>
      <c r="I121" s="45"/>
      <c r="J121" s="326"/>
      <c r="K121" s="326"/>
      <c r="L121" s="45"/>
      <c r="M121" s="45"/>
      <c r="N121" s="46"/>
      <c r="O121" s="46"/>
      <c r="P121" s="45"/>
      <c r="Q121" s="45"/>
      <c r="R121" s="45"/>
      <c r="T121" s="42"/>
      <c r="V121" s="45"/>
      <c r="Y121" s="164"/>
      <c r="Z121" s="316"/>
      <c r="AA121" s="45"/>
      <c r="AB121" s="45"/>
      <c r="AC121" s="46"/>
      <c r="AD121" s="46"/>
      <c r="AE121" s="45"/>
      <c r="AF121" s="45"/>
      <c r="AH121" s="51"/>
      <c r="AL121" s="45"/>
      <c r="AM121" s="46"/>
      <c r="AN121" s="46"/>
    </row>
    <row r="122" spans="3:40">
      <c r="F122" s="50"/>
      <c r="H122" s="45"/>
      <c r="I122" s="45"/>
      <c r="J122" s="326"/>
      <c r="K122" s="326"/>
      <c r="L122" s="50"/>
      <c r="M122" s="50"/>
      <c r="N122" s="50"/>
      <c r="O122" s="50"/>
      <c r="P122" s="50"/>
      <c r="Q122" s="50"/>
      <c r="R122" s="50"/>
      <c r="T122" s="42"/>
      <c r="V122" s="45"/>
      <c r="Y122" s="164"/>
      <c r="Z122" s="316"/>
      <c r="AA122" s="45"/>
      <c r="AB122" s="45"/>
      <c r="AC122" s="46"/>
      <c r="AD122" s="46"/>
      <c r="AE122" s="45"/>
      <c r="AF122" s="45"/>
      <c r="AH122" s="51"/>
      <c r="AL122" s="45"/>
      <c r="AM122" s="46"/>
      <c r="AN122" s="46"/>
    </row>
    <row r="123" spans="3:40">
      <c r="C123" s="42"/>
      <c r="F123" s="164"/>
      <c r="H123" s="164"/>
      <c r="I123" s="164"/>
      <c r="J123" s="336"/>
      <c r="K123" s="336"/>
      <c r="L123" s="45"/>
      <c r="M123" s="45"/>
      <c r="N123" s="46"/>
      <c r="O123" s="46"/>
      <c r="P123" s="45"/>
      <c r="Q123" s="45"/>
      <c r="R123" s="45"/>
      <c r="S123" s="45"/>
      <c r="V123" s="50"/>
      <c r="Y123" s="45"/>
      <c r="Z123" s="326"/>
      <c r="AA123" s="50"/>
      <c r="AB123" s="50"/>
      <c r="AC123" s="50"/>
      <c r="AD123" s="50"/>
      <c r="AE123" s="50"/>
      <c r="AF123" s="50"/>
      <c r="AI123" s="50"/>
      <c r="AJ123" s="50"/>
      <c r="AK123" s="111"/>
      <c r="AL123" s="50"/>
      <c r="AM123" s="46"/>
      <c r="AN123" s="46"/>
    </row>
    <row r="124" spans="3:40">
      <c r="C124" s="42"/>
      <c r="F124" s="164"/>
      <c r="H124" s="164"/>
      <c r="I124" s="164"/>
      <c r="J124" s="316"/>
      <c r="K124" s="316"/>
      <c r="L124" s="45"/>
      <c r="M124" s="45"/>
      <c r="N124" s="46"/>
      <c r="O124" s="46"/>
      <c r="P124" s="45"/>
      <c r="Q124" s="45"/>
      <c r="R124" s="45"/>
      <c r="T124" s="42"/>
      <c r="V124" s="45"/>
      <c r="Y124" s="45"/>
      <c r="Z124" s="47"/>
      <c r="AA124" s="45"/>
      <c r="AB124" s="45"/>
      <c r="AC124" s="46"/>
      <c r="AD124" s="46"/>
      <c r="AE124" s="45"/>
      <c r="AF124" s="45"/>
      <c r="AH124" s="51"/>
      <c r="AI124" s="45"/>
      <c r="AJ124" s="45"/>
      <c r="AL124" s="45"/>
      <c r="AM124" s="46"/>
      <c r="AN124" s="46"/>
    </row>
    <row r="125" spans="3:40">
      <c r="C125" s="42"/>
      <c r="F125" s="164"/>
      <c r="H125" s="164"/>
      <c r="I125" s="164"/>
      <c r="J125" s="316"/>
      <c r="K125" s="316"/>
      <c r="L125" s="45"/>
      <c r="M125" s="45"/>
      <c r="N125" s="46"/>
      <c r="O125" s="46"/>
      <c r="P125" s="45"/>
      <c r="Q125" s="45"/>
      <c r="R125" s="45"/>
      <c r="V125" s="50"/>
      <c r="Y125" s="45"/>
      <c r="Z125" s="326"/>
      <c r="AA125" s="50"/>
      <c r="AB125" s="50"/>
      <c r="AC125" s="50"/>
      <c r="AD125" s="50"/>
      <c r="AE125" s="50"/>
      <c r="AF125" s="50"/>
      <c r="AI125" s="50"/>
      <c r="AJ125" s="50"/>
      <c r="AK125" s="111"/>
      <c r="AL125" s="50"/>
      <c r="AM125" s="46"/>
      <c r="AN125" s="46"/>
    </row>
    <row r="126" spans="3:40">
      <c r="F126" s="45"/>
      <c r="H126" s="50"/>
      <c r="I126" s="50"/>
      <c r="J126" s="326"/>
      <c r="K126" s="326"/>
      <c r="L126" s="50"/>
      <c r="M126" s="50"/>
      <c r="N126" s="50"/>
      <c r="O126" s="50"/>
      <c r="P126" s="50"/>
      <c r="Q126" s="50"/>
      <c r="R126" s="50"/>
      <c r="T126" s="42"/>
      <c r="V126" s="164"/>
      <c r="Y126" s="164"/>
      <c r="Z126" s="336"/>
      <c r="AA126" s="45"/>
      <c r="AB126" s="45"/>
      <c r="AC126" s="46"/>
      <c r="AD126" s="46"/>
      <c r="AE126" s="45"/>
      <c r="AF126" s="45"/>
      <c r="AH126" s="46"/>
      <c r="AI126" s="45"/>
      <c r="AJ126" s="45"/>
      <c r="AL126" s="45"/>
      <c r="AM126" s="46"/>
      <c r="AN126" s="46"/>
    </row>
    <row r="127" spans="3:40">
      <c r="C127" s="42"/>
      <c r="F127" s="45"/>
      <c r="H127" s="45"/>
      <c r="I127" s="45"/>
      <c r="J127" s="326"/>
      <c r="K127" s="326"/>
      <c r="L127" s="45"/>
      <c r="M127" s="45"/>
      <c r="N127" s="46"/>
      <c r="O127" s="46"/>
      <c r="P127" s="45"/>
      <c r="Q127" s="45"/>
      <c r="R127" s="45"/>
      <c r="T127" s="42"/>
      <c r="V127" s="164"/>
      <c r="Y127" s="45"/>
      <c r="Z127" s="316"/>
      <c r="AA127" s="45"/>
      <c r="AB127" s="45"/>
      <c r="AC127" s="46"/>
      <c r="AD127" s="46"/>
      <c r="AE127" s="45"/>
      <c r="AF127" s="45"/>
      <c r="AH127" s="51"/>
      <c r="AI127" s="45"/>
      <c r="AJ127" s="45"/>
      <c r="AL127" s="45"/>
      <c r="AM127" s="46"/>
      <c r="AN127" s="46"/>
    </row>
    <row r="128" spans="3:40">
      <c r="F128" s="45"/>
      <c r="H128" s="50"/>
      <c r="I128" s="50"/>
      <c r="J128" s="326"/>
      <c r="K128" s="326"/>
      <c r="L128" s="50"/>
      <c r="M128" s="50"/>
      <c r="N128" s="50"/>
      <c r="O128" s="50"/>
      <c r="P128" s="50"/>
      <c r="Q128" s="50"/>
      <c r="R128" s="50"/>
      <c r="T128" s="42"/>
      <c r="V128" s="164"/>
      <c r="Y128" s="45"/>
      <c r="Z128" s="316"/>
      <c r="AA128" s="45"/>
      <c r="AB128" s="45"/>
      <c r="AC128" s="46"/>
      <c r="AD128" s="46"/>
      <c r="AE128" s="45"/>
      <c r="AF128" s="45"/>
      <c r="AH128" s="51"/>
      <c r="AI128" s="45"/>
      <c r="AJ128" s="45"/>
      <c r="AL128" s="45"/>
      <c r="AM128" s="46"/>
      <c r="AN128" s="46"/>
    </row>
    <row r="129" spans="3:40">
      <c r="C129" s="42"/>
      <c r="F129" s="45"/>
      <c r="H129" s="45"/>
      <c r="I129" s="45"/>
      <c r="J129" s="326"/>
      <c r="K129" s="326"/>
      <c r="L129" s="45"/>
      <c r="M129" s="45"/>
      <c r="N129" s="45"/>
      <c r="O129" s="45"/>
      <c r="P129" s="45"/>
      <c r="Q129" s="45"/>
      <c r="R129" s="45"/>
      <c r="V129" s="45"/>
      <c r="Y129" s="50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>
      <c r="C130" s="42"/>
      <c r="F130" s="45"/>
      <c r="H130" s="164"/>
      <c r="I130" s="164"/>
      <c r="J130" s="132"/>
      <c r="K130" s="132"/>
      <c r="L130" s="45"/>
      <c r="M130" s="45"/>
      <c r="N130" s="46"/>
      <c r="O130" s="46"/>
      <c r="P130" s="45"/>
      <c r="Q130" s="45"/>
      <c r="R130" s="45"/>
      <c r="T130" s="42"/>
      <c r="V130" s="45"/>
      <c r="Y130" s="45"/>
      <c r="Z130" s="326"/>
      <c r="AA130" s="45"/>
      <c r="AB130" s="45"/>
      <c r="AC130" s="46"/>
      <c r="AD130" s="46"/>
      <c r="AE130" s="45"/>
      <c r="AF130" s="45"/>
      <c r="AH130" s="51"/>
      <c r="AI130" s="45"/>
      <c r="AJ130" s="45"/>
      <c r="AL130" s="45"/>
      <c r="AM130" s="46"/>
      <c r="AN130" s="46"/>
    </row>
    <row r="131" spans="3:40">
      <c r="C131" s="42"/>
      <c r="H131" s="164"/>
      <c r="I131" s="164"/>
      <c r="J131" s="132"/>
      <c r="K131" s="132"/>
      <c r="L131" s="45"/>
      <c r="M131" s="45"/>
      <c r="N131" s="46"/>
      <c r="O131" s="46"/>
      <c r="P131" s="45"/>
      <c r="Q131" s="45"/>
      <c r="R131" s="45"/>
      <c r="V131" s="45"/>
      <c r="Y131" s="50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3:40">
      <c r="F132" s="45"/>
      <c r="H132" s="45"/>
      <c r="I132" s="45"/>
      <c r="J132" s="326"/>
      <c r="K132" s="326"/>
      <c r="L132" s="50"/>
      <c r="M132" s="50"/>
      <c r="N132" s="50"/>
      <c r="O132" s="50"/>
      <c r="P132" s="50"/>
      <c r="Q132" s="50"/>
      <c r="R132" s="50"/>
      <c r="T132" s="42"/>
      <c r="V132" s="45"/>
      <c r="Y132" s="45"/>
      <c r="Z132" s="326"/>
      <c r="AA132" s="45"/>
      <c r="AB132" s="45"/>
      <c r="AC132" s="45"/>
      <c r="AD132" s="45"/>
      <c r="AE132" s="45"/>
      <c r="AF132" s="45"/>
      <c r="AH132" s="51"/>
      <c r="AI132" s="45"/>
      <c r="AJ132" s="45"/>
      <c r="AL132" s="45"/>
      <c r="AM132" s="46"/>
      <c r="AN132" s="46"/>
    </row>
    <row r="133" spans="3:40">
      <c r="C133" s="42"/>
      <c r="F133" s="45"/>
      <c r="H133" s="45"/>
      <c r="I133" s="45"/>
      <c r="J133" s="47"/>
      <c r="K133" s="47"/>
      <c r="L133" s="45"/>
      <c r="M133" s="45"/>
      <c r="N133" s="46"/>
      <c r="O133" s="46"/>
      <c r="P133" s="45"/>
      <c r="Q133" s="45"/>
      <c r="R133" s="45"/>
      <c r="T133" s="42"/>
      <c r="V133" s="45"/>
      <c r="Y133" s="45"/>
      <c r="Z133" s="132"/>
      <c r="AA133" s="45"/>
      <c r="AB133" s="45"/>
      <c r="AC133" s="46"/>
      <c r="AD133" s="46"/>
      <c r="AE133" s="45"/>
      <c r="AF133" s="45"/>
      <c r="AH133" s="51"/>
      <c r="AI133" s="45"/>
      <c r="AJ133" s="45"/>
      <c r="AL133" s="45"/>
      <c r="AM133" s="46"/>
      <c r="AN133" s="46"/>
    </row>
    <row r="134" spans="3:40">
      <c r="F134" s="45"/>
      <c r="H134" s="45"/>
      <c r="I134" s="45"/>
      <c r="J134" s="326"/>
      <c r="K134" s="326"/>
      <c r="L134" s="50"/>
      <c r="M134" s="50"/>
      <c r="N134" s="50"/>
      <c r="O134" s="50"/>
      <c r="P134" s="50"/>
      <c r="Q134" s="50"/>
      <c r="R134" s="50"/>
      <c r="T134" s="42"/>
      <c r="Y134" s="45"/>
      <c r="Z134" s="132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>
      <c r="C135" s="42"/>
      <c r="F135" s="45"/>
      <c r="H135" s="45"/>
      <c r="I135" s="45"/>
      <c r="J135" s="47"/>
      <c r="K135" s="47"/>
      <c r="L135" s="45"/>
      <c r="M135" s="45"/>
      <c r="N135" s="46"/>
      <c r="O135" s="46"/>
      <c r="P135" s="45"/>
      <c r="Q135" s="45"/>
      <c r="R135" s="45"/>
      <c r="V135" s="45"/>
      <c r="Y135" s="45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>
      <c r="C136" s="42"/>
      <c r="F136" s="45"/>
      <c r="H136" s="164"/>
      <c r="I136" s="164"/>
      <c r="J136" s="331"/>
      <c r="K136" s="331"/>
      <c r="L136" s="45"/>
      <c r="M136" s="45"/>
      <c r="N136" s="46"/>
      <c r="O136" s="46"/>
      <c r="P136" s="45"/>
      <c r="Q136" s="45"/>
      <c r="R136" s="45"/>
      <c r="T136" s="42"/>
      <c r="V136" s="45"/>
      <c r="Y136" s="45"/>
      <c r="Z136" s="47"/>
      <c r="AA136" s="45"/>
      <c r="AB136" s="45"/>
      <c r="AC136" s="46"/>
      <c r="AD136" s="46"/>
      <c r="AE136" s="45"/>
      <c r="AF136" s="45"/>
      <c r="AH136" s="51"/>
      <c r="AI136" s="45"/>
      <c r="AJ136" s="45"/>
      <c r="AL136" s="45"/>
      <c r="AM136" s="46"/>
      <c r="AN136" s="46"/>
    </row>
    <row r="137" spans="3:40">
      <c r="F137" s="50"/>
      <c r="H137" s="50"/>
      <c r="I137" s="50"/>
      <c r="J137" s="326"/>
      <c r="K137" s="326"/>
      <c r="L137" s="50"/>
      <c r="M137" s="50"/>
      <c r="N137" s="50"/>
      <c r="O137" s="50"/>
      <c r="P137" s="50"/>
      <c r="Q137" s="50"/>
      <c r="R137" s="50"/>
      <c r="V137" s="45"/>
      <c r="Y137" s="45"/>
      <c r="Z137" s="326"/>
      <c r="AA137" s="50"/>
      <c r="AB137" s="50"/>
      <c r="AC137" s="50"/>
      <c r="AD137" s="50"/>
      <c r="AE137" s="50"/>
      <c r="AF137" s="50"/>
      <c r="AI137" s="50"/>
      <c r="AJ137" s="50"/>
      <c r="AK137" s="111"/>
      <c r="AL137" s="50"/>
      <c r="AM137" s="46"/>
      <c r="AN137" s="46"/>
    </row>
    <row r="138" spans="3:40">
      <c r="C138" s="42"/>
      <c r="F138" s="45"/>
      <c r="H138" s="45"/>
      <c r="I138" s="45"/>
      <c r="J138" s="326"/>
      <c r="K138" s="326"/>
      <c r="L138" s="45"/>
      <c r="M138" s="45"/>
      <c r="N138" s="46"/>
      <c r="O138" s="46"/>
      <c r="P138" s="45"/>
      <c r="Q138" s="45"/>
      <c r="R138" s="45"/>
      <c r="S138" s="45"/>
      <c r="T138" s="42"/>
      <c r="V138" s="45"/>
      <c r="Y138" s="45"/>
      <c r="Z138" s="47"/>
      <c r="AA138" s="45"/>
      <c r="AB138" s="45"/>
      <c r="AC138" s="46"/>
      <c r="AD138" s="46"/>
      <c r="AE138" s="45"/>
      <c r="AF138" s="45"/>
      <c r="AH138" s="51"/>
      <c r="AI138" s="45"/>
      <c r="AJ138" s="45"/>
      <c r="AL138" s="45"/>
      <c r="AM138" s="46"/>
      <c r="AN138" s="46"/>
    </row>
    <row r="139" spans="3:40">
      <c r="F139" s="50"/>
      <c r="H139" s="50"/>
      <c r="I139" s="50"/>
      <c r="J139" s="326"/>
      <c r="K139" s="326"/>
      <c r="L139" s="50"/>
      <c r="M139" s="50"/>
      <c r="N139" s="50"/>
      <c r="O139" s="50"/>
      <c r="P139" s="50"/>
      <c r="Q139" s="50"/>
      <c r="R139" s="50"/>
      <c r="S139" s="45"/>
      <c r="T139" s="42"/>
      <c r="V139" s="164"/>
      <c r="Y139" s="45"/>
      <c r="Z139" s="331"/>
      <c r="AA139" s="45"/>
      <c r="AB139" s="45"/>
      <c r="AC139" s="46"/>
      <c r="AD139" s="46"/>
      <c r="AE139" s="45"/>
      <c r="AF139" s="45"/>
      <c r="AH139" s="51"/>
      <c r="AI139" s="45"/>
      <c r="AJ139" s="45"/>
      <c r="AL139" s="45"/>
      <c r="AM139" s="46"/>
      <c r="AN139" s="46"/>
    </row>
    <row r="140" spans="3:40">
      <c r="C140" s="42"/>
      <c r="F140" s="164"/>
      <c r="H140" s="337"/>
      <c r="I140" s="337"/>
      <c r="J140" s="326"/>
      <c r="K140" s="326"/>
      <c r="L140" s="45"/>
      <c r="M140" s="45"/>
      <c r="N140" s="46"/>
      <c r="O140" s="46"/>
      <c r="P140" s="45"/>
      <c r="Q140" s="45"/>
      <c r="R140" s="45"/>
      <c r="S140" s="45"/>
      <c r="V140" s="50"/>
      <c r="Y140" s="50"/>
      <c r="Z140" s="326"/>
      <c r="AA140" s="50"/>
      <c r="AB140" s="50"/>
      <c r="AC140" s="50"/>
      <c r="AD140" s="50"/>
      <c r="AE140" s="50"/>
      <c r="AF140" s="50"/>
      <c r="AI140" s="50"/>
      <c r="AJ140" s="50"/>
      <c r="AK140" s="111"/>
      <c r="AL140" s="50"/>
      <c r="AM140" s="46"/>
      <c r="AN140" s="46"/>
    </row>
    <row r="141" spans="3:40">
      <c r="T141" s="42"/>
      <c r="V141" s="45"/>
      <c r="Y141" s="45"/>
      <c r="Z141" s="326"/>
      <c r="AA141" s="45"/>
      <c r="AB141" s="45"/>
      <c r="AC141" s="46"/>
      <c r="AD141" s="46"/>
      <c r="AE141" s="45"/>
      <c r="AF141" s="45"/>
      <c r="AH141" s="46"/>
      <c r="AI141" s="45"/>
      <c r="AJ141" s="45"/>
      <c r="AL141" s="45"/>
      <c r="AM141" s="46"/>
      <c r="AN141" s="46"/>
    </row>
    <row r="142" spans="3:40">
      <c r="C142" s="42"/>
      <c r="V142" s="50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>
      <c r="C143" s="42"/>
      <c r="F143" s="164"/>
      <c r="H143" s="164"/>
      <c r="I143" s="164"/>
      <c r="J143" s="316"/>
      <c r="K143" s="316"/>
      <c r="L143" s="45"/>
      <c r="M143" s="45"/>
      <c r="N143" s="46"/>
      <c r="O143" s="46"/>
      <c r="R143" s="45"/>
      <c r="T143" s="42"/>
      <c r="V143" s="164"/>
      <c r="Y143" s="164"/>
      <c r="Z143" s="326"/>
      <c r="AA143" s="45"/>
      <c r="AB143" s="45"/>
      <c r="AC143" s="46"/>
      <c r="AD143" s="46"/>
      <c r="AE143" s="45"/>
      <c r="AF143" s="45"/>
      <c r="AI143" s="45"/>
      <c r="AJ143" s="45"/>
      <c r="AL143" s="45"/>
      <c r="AM143" s="46"/>
      <c r="AN143" s="46"/>
    </row>
    <row r="144" spans="3:40">
      <c r="C144" s="42"/>
      <c r="F144" s="164"/>
      <c r="H144" s="164"/>
      <c r="I144" s="164"/>
      <c r="J144" s="316"/>
      <c r="K144" s="316"/>
      <c r="L144" s="45"/>
      <c r="M144" s="45"/>
      <c r="N144" s="46"/>
      <c r="O144" s="46"/>
      <c r="R144" s="45"/>
    </row>
    <row r="145" spans="3:40">
      <c r="C145" s="42"/>
      <c r="F145" s="164"/>
      <c r="H145" s="164"/>
      <c r="I145" s="164"/>
      <c r="J145" s="316"/>
      <c r="K145" s="316"/>
      <c r="L145" s="45"/>
      <c r="M145" s="45"/>
      <c r="N145" s="46"/>
      <c r="O145" s="46"/>
      <c r="R145" s="45"/>
      <c r="T145" s="42"/>
    </row>
    <row r="146" spans="3:40">
      <c r="F146" s="50"/>
      <c r="H146" s="45"/>
      <c r="I146" s="45"/>
      <c r="J146" s="326"/>
      <c r="K146" s="326"/>
      <c r="L146" s="50"/>
      <c r="M146" s="50"/>
      <c r="N146" s="50"/>
      <c r="O146" s="50"/>
      <c r="P146" s="50"/>
      <c r="Q146" s="50"/>
      <c r="R146" s="50"/>
      <c r="T146" s="42"/>
      <c r="V146" s="45"/>
      <c r="Y146" s="164"/>
      <c r="Z146" s="316"/>
      <c r="AA146" s="45"/>
      <c r="AB146" s="45"/>
      <c r="AC146" s="46"/>
      <c r="AD146" s="46"/>
      <c r="AE146" s="45"/>
      <c r="AF146" s="45"/>
      <c r="AG146" s="333"/>
      <c r="AH146" s="334"/>
      <c r="AL146" s="45"/>
      <c r="AM146" s="335"/>
      <c r="AN146" s="335"/>
    </row>
    <row r="147" spans="3:40">
      <c r="C147" s="42"/>
      <c r="F147" s="45"/>
      <c r="H147" s="45"/>
      <c r="I147" s="45"/>
      <c r="J147" s="326"/>
      <c r="K147" s="326"/>
      <c r="L147" s="45"/>
      <c r="M147" s="45"/>
      <c r="N147" s="46"/>
      <c r="O147" s="46"/>
      <c r="P147" s="45"/>
      <c r="Q147" s="45"/>
      <c r="R147" s="45"/>
      <c r="T147" s="42"/>
      <c r="V147" s="45"/>
      <c r="Y147" s="164"/>
      <c r="Z147" s="316"/>
      <c r="AA147" s="45"/>
      <c r="AB147" s="45"/>
      <c r="AC147" s="46"/>
      <c r="AD147" s="46"/>
      <c r="AE147" s="45"/>
      <c r="AF147" s="45"/>
      <c r="AH147" s="51"/>
      <c r="AL147" s="45"/>
      <c r="AM147" s="46"/>
      <c r="AN147" s="46"/>
    </row>
    <row r="148" spans="3:40">
      <c r="F148" s="50"/>
      <c r="H148" s="45"/>
      <c r="I148" s="45"/>
      <c r="J148" s="326"/>
      <c r="K148" s="326"/>
      <c r="L148" s="50"/>
      <c r="M148" s="50"/>
      <c r="N148" s="50"/>
      <c r="O148" s="50"/>
      <c r="P148" s="50"/>
      <c r="Q148" s="50"/>
      <c r="R148" s="50"/>
      <c r="T148" s="42"/>
      <c r="V148" s="45"/>
      <c r="Y148" s="164"/>
      <c r="Z148" s="316"/>
      <c r="AA148" s="45"/>
      <c r="AB148" s="45"/>
      <c r="AC148" s="46"/>
      <c r="AD148" s="46"/>
      <c r="AE148" s="45"/>
      <c r="AF148" s="45"/>
      <c r="AH148" s="51"/>
      <c r="AL148" s="45"/>
      <c r="AM148" s="46"/>
      <c r="AN148" s="46"/>
    </row>
    <row r="149" spans="3:40">
      <c r="C149" s="42"/>
      <c r="F149" s="164"/>
      <c r="H149" s="164"/>
      <c r="I149" s="164"/>
      <c r="J149" s="336"/>
      <c r="K149" s="336"/>
      <c r="L149" s="45"/>
      <c r="M149" s="45"/>
      <c r="N149" s="46"/>
      <c r="O149" s="46"/>
      <c r="P149" s="45"/>
      <c r="Q149" s="45"/>
      <c r="R149" s="45"/>
      <c r="S149" s="45"/>
      <c r="V149" s="50"/>
      <c r="Y149" s="45"/>
      <c r="Z149" s="326"/>
      <c r="AA149" s="50"/>
      <c r="AB149" s="50"/>
      <c r="AC149" s="50"/>
      <c r="AD149" s="50"/>
      <c r="AE149" s="50"/>
      <c r="AF149" s="50"/>
      <c r="AI149" s="50"/>
      <c r="AJ149" s="50"/>
      <c r="AK149" s="111"/>
      <c r="AL149" s="50"/>
      <c r="AM149" s="46"/>
      <c r="AN149" s="46"/>
    </row>
    <row r="150" spans="3:40">
      <c r="C150" s="42"/>
      <c r="F150" s="164"/>
      <c r="H150" s="164"/>
      <c r="I150" s="164"/>
      <c r="J150" s="316"/>
      <c r="K150" s="316"/>
      <c r="L150" s="45"/>
      <c r="M150" s="45"/>
      <c r="N150" s="46"/>
      <c r="O150" s="46"/>
      <c r="P150" s="45"/>
      <c r="Q150" s="45"/>
      <c r="R150" s="45"/>
      <c r="T150" s="42"/>
      <c r="V150" s="45"/>
      <c r="Y150" s="45"/>
      <c r="Z150" s="326"/>
      <c r="AA150" s="45"/>
      <c r="AB150" s="45"/>
      <c r="AC150" s="46"/>
      <c r="AD150" s="46"/>
      <c r="AE150" s="45"/>
      <c r="AF150" s="45"/>
      <c r="AH150" s="51"/>
      <c r="AI150" s="45"/>
      <c r="AJ150" s="45"/>
      <c r="AL150" s="45"/>
      <c r="AM150" s="46"/>
      <c r="AN150" s="46"/>
    </row>
    <row r="151" spans="3:40">
      <c r="C151" s="42"/>
      <c r="F151" s="164"/>
      <c r="H151" s="164"/>
      <c r="I151" s="164"/>
      <c r="J151" s="316"/>
      <c r="K151" s="316"/>
      <c r="L151" s="45"/>
      <c r="M151" s="45"/>
      <c r="N151" s="46"/>
      <c r="O151" s="46"/>
      <c r="P151" s="45"/>
      <c r="Q151" s="45"/>
      <c r="R151" s="45"/>
      <c r="V151" s="50"/>
      <c r="Y151" s="45"/>
      <c r="Z151" s="326"/>
      <c r="AA151" s="50"/>
      <c r="AB151" s="50"/>
      <c r="AC151" s="50"/>
      <c r="AD151" s="50"/>
      <c r="AE151" s="50"/>
      <c r="AF151" s="50"/>
      <c r="AI151" s="50"/>
      <c r="AJ151" s="50"/>
      <c r="AK151" s="111"/>
      <c r="AL151" s="50"/>
      <c r="AM151" s="46"/>
      <c r="AN151" s="46"/>
    </row>
    <row r="152" spans="3:40">
      <c r="F152" s="45"/>
      <c r="H152" s="50"/>
      <c r="I152" s="50"/>
      <c r="J152" s="326"/>
      <c r="K152" s="326"/>
      <c r="L152" s="50"/>
      <c r="M152" s="50"/>
      <c r="N152" s="50"/>
      <c r="O152" s="50"/>
      <c r="P152" s="50"/>
      <c r="Q152" s="50"/>
      <c r="R152" s="50"/>
      <c r="T152" s="42"/>
      <c r="V152" s="164"/>
      <c r="Y152" s="164"/>
      <c r="Z152" s="336"/>
      <c r="AA152" s="45"/>
      <c r="AB152" s="45"/>
      <c r="AC152" s="46"/>
      <c r="AD152" s="46"/>
      <c r="AE152" s="45"/>
      <c r="AF152" s="45"/>
      <c r="AH152" s="46"/>
      <c r="AI152" s="45"/>
      <c r="AJ152" s="45"/>
      <c r="AL152" s="45"/>
      <c r="AM152" s="46"/>
      <c r="AN152" s="46"/>
    </row>
    <row r="153" spans="3:40">
      <c r="C153" s="42"/>
      <c r="F153" s="45"/>
      <c r="H153" s="45"/>
      <c r="I153" s="45"/>
      <c r="J153" s="326"/>
      <c r="K153" s="326"/>
      <c r="L153" s="45"/>
      <c r="M153" s="45"/>
      <c r="N153" s="46"/>
      <c r="O153" s="46"/>
      <c r="P153" s="45"/>
      <c r="Q153" s="45"/>
      <c r="R153" s="45"/>
      <c r="T153" s="42"/>
      <c r="V153" s="164"/>
      <c r="Y153" s="45"/>
      <c r="Z153" s="316"/>
      <c r="AA153" s="45"/>
      <c r="AB153" s="45"/>
      <c r="AC153" s="46"/>
      <c r="AD153" s="46"/>
      <c r="AE153" s="45"/>
      <c r="AF153" s="45"/>
      <c r="AH153" s="51"/>
      <c r="AI153" s="45"/>
      <c r="AJ153" s="45"/>
      <c r="AL153" s="45"/>
      <c r="AM153" s="46"/>
      <c r="AN153" s="46"/>
    </row>
    <row r="154" spans="3:40">
      <c r="F154" s="45"/>
      <c r="H154" s="50"/>
      <c r="I154" s="50"/>
      <c r="J154" s="326"/>
      <c r="K154" s="326"/>
      <c r="L154" s="50"/>
      <c r="M154" s="50"/>
      <c r="N154" s="50"/>
      <c r="O154" s="50"/>
      <c r="P154" s="50"/>
      <c r="Q154" s="50"/>
      <c r="R154" s="50"/>
      <c r="T154" s="42"/>
      <c r="V154" s="164"/>
      <c r="Y154" s="45"/>
      <c r="Z154" s="316"/>
      <c r="AA154" s="45"/>
      <c r="AB154" s="45"/>
      <c r="AC154" s="46"/>
      <c r="AD154" s="46"/>
      <c r="AE154" s="45"/>
      <c r="AF154" s="45"/>
      <c r="AH154" s="51"/>
      <c r="AI154" s="45"/>
      <c r="AJ154" s="45"/>
      <c r="AL154" s="45"/>
      <c r="AM154" s="46"/>
      <c r="AN154" s="46"/>
    </row>
    <row r="155" spans="3:40">
      <c r="C155" s="42"/>
      <c r="F155" s="45"/>
      <c r="H155" s="45"/>
      <c r="I155" s="45"/>
      <c r="J155" s="326"/>
      <c r="K155" s="326"/>
      <c r="L155" s="45"/>
      <c r="M155" s="45"/>
      <c r="N155" s="45"/>
      <c r="O155" s="45"/>
      <c r="P155" s="45"/>
      <c r="Q155" s="45"/>
      <c r="R155" s="45"/>
      <c r="V155" s="45"/>
      <c r="Y155" s="50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  <c r="AM155" s="46"/>
      <c r="AN155" s="46"/>
    </row>
    <row r="156" spans="3:40">
      <c r="C156" s="42"/>
      <c r="F156" s="45"/>
      <c r="H156" s="164"/>
      <c r="I156" s="164"/>
      <c r="J156" s="132"/>
      <c r="K156" s="132"/>
      <c r="L156" s="45"/>
      <c r="M156" s="45"/>
      <c r="N156" s="46"/>
      <c r="O156" s="46"/>
      <c r="P156" s="45"/>
      <c r="Q156" s="45"/>
      <c r="R156" s="45"/>
      <c r="T156" s="42"/>
      <c r="V156" s="45"/>
      <c r="Y156" s="45"/>
      <c r="Z156" s="326"/>
      <c r="AA156" s="45"/>
      <c r="AB156" s="45"/>
      <c r="AC156" s="46"/>
      <c r="AD156" s="46"/>
      <c r="AE156" s="45"/>
      <c r="AF156" s="45"/>
      <c r="AH156" s="51"/>
      <c r="AI156" s="45"/>
      <c r="AJ156" s="45"/>
      <c r="AL156" s="45"/>
      <c r="AM156" s="46"/>
      <c r="AN156" s="46"/>
    </row>
    <row r="157" spans="3:40">
      <c r="C157" s="42"/>
      <c r="H157" s="164"/>
      <c r="I157" s="164"/>
      <c r="J157" s="132"/>
      <c r="K157" s="132"/>
      <c r="L157" s="45"/>
      <c r="M157" s="45"/>
      <c r="N157" s="46"/>
      <c r="O157" s="46"/>
      <c r="P157" s="45"/>
      <c r="Q157" s="45"/>
      <c r="R157" s="45"/>
      <c r="V157" s="45"/>
      <c r="Y157" s="50"/>
      <c r="Z157" s="326"/>
      <c r="AA157" s="50"/>
      <c r="AB157" s="50"/>
      <c r="AC157" s="50"/>
      <c r="AD157" s="50"/>
      <c r="AE157" s="50"/>
      <c r="AF157" s="50"/>
      <c r="AI157" s="50"/>
      <c r="AJ157" s="50"/>
      <c r="AK157" s="111"/>
      <c r="AL157" s="50"/>
      <c r="AM157" s="46"/>
      <c r="AN157" s="46"/>
    </row>
    <row r="158" spans="3:40">
      <c r="F158" s="45"/>
      <c r="H158" s="45"/>
      <c r="I158" s="45"/>
      <c r="J158" s="326"/>
      <c r="K158" s="326"/>
      <c r="L158" s="50"/>
      <c r="M158" s="50"/>
      <c r="N158" s="50"/>
      <c r="O158" s="50"/>
      <c r="P158" s="50"/>
      <c r="Q158" s="50"/>
      <c r="R158" s="50"/>
      <c r="T158" s="42"/>
      <c r="V158" s="45"/>
      <c r="Y158" s="45"/>
      <c r="Z158" s="326"/>
      <c r="AA158" s="45"/>
      <c r="AB158" s="45"/>
      <c r="AC158" s="45"/>
      <c r="AD158" s="45"/>
      <c r="AE158" s="45"/>
      <c r="AF158" s="45"/>
      <c r="AH158" s="51"/>
      <c r="AI158" s="45"/>
      <c r="AJ158" s="45"/>
      <c r="AL158" s="45"/>
      <c r="AM158" s="46"/>
      <c r="AN158" s="46"/>
    </row>
    <row r="159" spans="3:40">
      <c r="C159" s="42"/>
      <c r="F159" s="45"/>
      <c r="H159" s="45"/>
      <c r="I159" s="45"/>
      <c r="J159" s="47"/>
      <c r="K159" s="47"/>
      <c r="L159" s="45"/>
      <c r="M159" s="45"/>
      <c r="N159" s="46"/>
      <c r="O159" s="46"/>
      <c r="P159" s="45"/>
      <c r="Q159" s="45"/>
      <c r="R159" s="45"/>
      <c r="T159" s="42"/>
      <c r="V159" s="45"/>
      <c r="Y159" s="45"/>
      <c r="Z159" s="132"/>
      <c r="AA159" s="45"/>
      <c r="AB159" s="45"/>
      <c r="AC159" s="46"/>
      <c r="AD159" s="46"/>
      <c r="AE159" s="45"/>
      <c r="AF159" s="45"/>
      <c r="AH159" s="51"/>
      <c r="AI159" s="45"/>
      <c r="AJ159" s="45"/>
      <c r="AL159" s="45"/>
      <c r="AM159" s="46"/>
      <c r="AN159" s="46"/>
    </row>
    <row r="160" spans="3:40">
      <c r="F160" s="45"/>
      <c r="H160" s="45"/>
      <c r="I160" s="45"/>
      <c r="J160" s="326"/>
      <c r="K160" s="326"/>
      <c r="L160" s="50"/>
      <c r="M160" s="50"/>
      <c r="N160" s="50"/>
      <c r="O160" s="50"/>
      <c r="P160" s="50"/>
      <c r="Q160" s="50"/>
      <c r="R160" s="50"/>
      <c r="T160" s="42"/>
      <c r="Y160" s="45"/>
      <c r="Z160" s="132"/>
      <c r="AA160" s="45"/>
      <c r="AB160" s="45"/>
      <c r="AC160" s="46"/>
      <c r="AD160" s="46"/>
      <c r="AE160" s="45"/>
      <c r="AF160" s="45"/>
      <c r="AH160" s="51"/>
      <c r="AI160" s="45"/>
      <c r="AJ160" s="45"/>
      <c r="AL160" s="45"/>
      <c r="AM160" s="46"/>
      <c r="AN160" s="46"/>
    </row>
    <row r="161" spans="1:40">
      <c r="C161" s="42"/>
      <c r="F161" s="45"/>
      <c r="H161" s="45"/>
      <c r="I161" s="45"/>
      <c r="J161" s="47"/>
      <c r="K161" s="47"/>
      <c r="L161" s="45"/>
      <c r="M161" s="45"/>
      <c r="N161" s="46"/>
      <c r="O161" s="46"/>
      <c r="P161" s="45"/>
      <c r="Q161" s="45"/>
      <c r="R161" s="45"/>
      <c r="V161" s="45"/>
      <c r="Y161" s="45"/>
      <c r="Z161" s="326"/>
      <c r="AA161" s="50"/>
      <c r="AB161" s="50"/>
      <c r="AC161" s="50"/>
      <c r="AD161" s="50"/>
      <c r="AE161" s="50"/>
      <c r="AF161" s="50"/>
      <c r="AI161" s="50"/>
      <c r="AJ161" s="50"/>
      <c r="AK161" s="111"/>
      <c r="AL161" s="50"/>
      <c r="AM161" s="46"/>
      <c r="AN161" s="46"/>
    </row>
    <row r="162" spans="1:40">
      <c r="C162" s="42"/>
      <c r="F162" s="164"/>
      <c r="H162" s="164"/>
      <c r="I162" s="164"/>
      <c r="J162" s="331"/>
      <c r="K162" s="331"/>
      <c r="L162" s="45"/>
      <c r="M162" s="45"/>
      <c r="N162" s="46"/>
      <c r="O162" s="46"/>
      <c r="P162" s="45"/>
      <c r="Q162" s="45"/>
      <c r="R162" s="45"/>
      <c r="T162" s="42"/>
      <c r="V162" s="45"/>
      <c r="Y162" s="45"/>
      <c r="Z162" s="47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1:40">
      <c r="F163" s="50"/>
      <c r="H163" s="50"/>
      <c r="I163" s="50"/>
      <c r="J163" s="326"/>
      <c r="K163" s="326"/>
      <c r="L163" s="50"/>
      <c r="M163" s="50"/>
      <c r="N163" s="50"/>
      <c r="O163" s="50"/>
      <c r="P163" s="50"/>
      <c r="Q163" s="50"/>
      <c r="R163" s="50"/>
      <c r="V163" s="45"/>
      <c r="Y163" s="45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  <c r="AM163" s="46"/>
      <c r="AN163" s="46"/>
    </row>
    <row r="164" spans="1:40">
      <c r="C164" s="42"/>
      <c r="F164" s="45"/>
      <c r="H164" s="45"/>
      <c r="I164" s="45"/>
      <c r="J164" s="326"/>
      <c r="K164" s="326"/>
      <c r="L164" s="45"/>
      <c r="M164" s="45"/>
      <c r="N164" s="46"/>
      <c r="O164" s="46"/>
      <c r="P164" s="45"/>
      <c r="Q164" s="45"/>
      <c r="R164" s="45"/>
      <c r="S164" s="45"/>
      <c r="T164" s="42"/>
      <c r="V164" s="45"/>
      <c r="Y164" s="45"/>
      <c r="Z164" s="47"/>
      <c r="AA164" s="45"/>
      <c r="AB164" s="45"/>
      <c r="AC164" s="46"/>
      <c r="AD164" s="46"/>
      <c r="AE164" s="45"/>
      <c r="AF164" s="45"/>
      <c r="AH164" s="51"/>
      <c r="AI164" s="45"/>
      <c r="AJ164" s="45"/>
      <c r="AL164" s="45"/>
      <c r="AM164" s="46"/>
      <c r="AN164" s="46"/>
    </row>
    <row r="165" spans="1:40">
      <c r="F165" s="50"/>
      <c r="H165" s="50"/>
      <c r="I165" s="50"/>
      <c r="J165" s="326"/>
      <c r="K165" s="326"/>
      <c r="L165" s="50"/>
      <c r="M165" s="50"/>
      <c r="N165" s="50"/>
      <c r="O165" s="50"/>
      <c r="P165" s="50"/>
      <c r="Q165" s="50"/>
      <c r="R165" s="50"/>
      <c r="S165" s="45"/>
      <c r="T165" s="42"/>
      <c r="V165" s="164"/>
      <c r="Y165" s="45"/>
      <c r="Z165" s="331"/>
      <c r="AA165" s="45"/>
      <c r="AB165" s="45"/>
      <c r="AC165" s="46"/>
      <c r="AD165" s="46"/>
      <c r="AE165" s="45"/>
      <c r="AF165" s="45"/>
      <c r="AH165" s="51"/>
      <c r="AI165" s="45"/>
      <c r="AJ165" s="45"/>
      <c r="AL165" s="45"/>
      <c r="AM165" s="46"/>
      <c r="AN165" s="46"/>
    </row>
    <row r="166" spans="1:40">
      <c r="C166" s="42"/>
      <c r="V166" s="50"/>
      <c r="Y166" s="50"/>
      <c r="Z166" s="326"/>
      <c r="AA166" s="50"/>
      <c r="AB166" s="50"/>
      <c r="AC166" s="50"/>
      <c r="AD166" s="50"/>
      <c r="AE166" s="50"/>
      <c r="AF166" s="50"/>
      <c r="AI166" s="50"/>
      <c r="AJ166" s="50"/>
      <c r="AK166" s="111"/>
      <c r="AL166" s="50"/>
      <c r="AM166" s="46"/>
      <c r="AN166" s="46"/>
    </row>
    <row r="167" spans="1:40">
      <c r="C167" s="42"/>
      <c r="F167" s="45"/>
      <c r="H167" s="45"/>
      <c r="I167" s="45"/>
      <c r="L167" s="45"/>
      <c r="M167" s="45"/>
      <c r="N167" s="46"/>
      <c r="O167" s="46"/>
      <c r="P167" s="164"/>
      <c r="Q167" s="164"/>
      <c r="R167" s="45"/>
      <c r="T167" s="42"/>
      <c r="V167" s="45"/>
      <c r="Y167" s="45"/>
      <c r="Z167" s="326"/>
      <c r="AA167" s="45"/>
      <c r="AB167" s="45"/>
      <c r="AC167" s="46"/>
      <c r="AD167" s="46"/>
      <c r="AE167" s="45"/>
      <c r="AF167" s="45"/>
      <c r="AH167" s="46"/>
      <c r="AI167" s="45"/>
      <c r="AJ167" s="45"/>
      <c r="AL167" s="45"/>
      <c r="AM167" s="46"/>
      <c r="AN167" s="46"/>
    </row>
    <row r="168" spans="1:40">
      <c r="F168" s="50"/>
      <c r="H168" s="50"/>
      <c r="I168" s="50"/>
      <c r="J168" s="326"/>
      <c r="K168" s="326"/>
      <c r="L168" s="50"/>
      <c r="M168" s="50"/>
      <c r="N168" s="50"/>
      <c r="O168" s="50"/>
      <c r="P168" s="50"/>
      <c r="Q168" s="50"/>
      <c r="R168" s="50"/>
      <c r="V168" s="50"/>
      <c r="Y168" s="50"/>
      <c r="Z168" s="326"/>
      <c r="AA168" s="50"/>
      <c r="AB168" s="50"/>
      <c r="AC168" s="50"/>
      <c r="AD168" s="50"/>
      <c r="AE168" s="50"/>
      <c r="AF168" s="50"/>
      <c r="AI168" s="50"/>
      <c r="AJ168" s="50"/>
      <c r="AK168" s="111"/>
      <c r="AL168" s="50"/>
      <c r="AM168" s="46"/>
      <c r="AN168" s="46"/>
    </row>
    <row r="169" spans="1:40">
      <c r="T169" s="42"/>
    </row>
    <row r="170" spans="1:40">
      <c r="C170" s="42"/>
      <c r="L170" s="45"/>
      <c r="M170" s="45"/>
      <c r="N170" s="45"/>
      <c r="O170" s="45"/>
      <c r="P170" s="45"/>
      <c r="Q170" s="45"/>
      <c r="R170" s="45"/>
      <c r="S170" s="45"/>
      <c r="T170" s="42"/>
      <c r="V170" s="45"/>
      <c r="Y170" s="45"/>
      <c r="AA170" s="45"/>
      <c r="AB170" s="45"/>
      <c r="AC170" s="46"/>
      <c r="AD170" s="46"/>
      <c r="AE170" s="45"/>
      <c r="AF170" s="45"/>
      <c r="AH170" s="46"/>
      <c r="AI170" s="164"/>
      <c r="AJ170" s="164"/>
      <c r="AL170" s="45"/>
      <c r="AM170" s="46"/>
      <c r="AN170" s="46"/>
    </row>
    <row r="171" spans="1:40">
      <c r="A171" s="42"/>
      <c r="V171" s="50"/>
      <c r="Y171" s="50"/>
      <c r="Z171" s="326"/>
      <c r="AA171" s="50"/>
      <c r="AB171" s="50"/>
      <c r="AC171" s="50"/>
      <c r="AD171" s="50"/>
      <c r="AE171" s="50"/>
      <c r="AF171" s="50"/>
      <c r="AI171" s="50"/>
      <c r="AJ171" s="50"/>
      <c r="AK171" s="111"/>
      <c r="AL171" s="50"/>
    </row>
    <row r="173" spans="1:40">
      <c r="H173" s="42"/>
      <c r="I173" s="42"/>
      <c r="T173" s="42"/>
      <c r="AA173" s="45"/>
      <c r="AB173" s="45"/>
      <c r="AC173" s="45"/>
      <c r="AD173" s="45"/>
      <c r="AI173" s="45"/>
      <c r="AJ173" s="45"/>
      <c r="AL173" s="45"/>
    </row>
    <row r="175" spans="1:40">
      <c r="L175" s="42"/>
      <c r="M175" s="42"/>
    </row>
    <row r="176" spans="1:40">
      <c r="R176" s="42"/>
      <c r="Y176" s="42"/>
    </row>
    <row r="177" spans="1:40">
      <c r="R177" s="42"/>
    </row>
    <row r="178" spans="1:40">
      <c r="A178" s="42"/>
      <c r="R178" s="42"/>
      <c r="AK178" s="110"/>
      <c r="AL178" s="42"/>
    </row>
    <row r="179" spans="1:40">
      <c r="L179" s="42"/>
      <c r="M179" s="42"/>
      <c r="AA179" s="42"/>
      <c r="AB179" s="42"/>
    </row>
    <row r="180" spans="1:40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107"/>
      <c r="AH180" s="49"/>
      <c r="AI180" s="49"/>
      <c r="AJ180" s="49"/>
      <c r="AK180" s="107"/>
      <c r="AL180" s="49"/>
      <c r="AM180" s="49"/>
      <c r="AN180" s="49"/>
    </row>
    <row r="181" spans="1:40">
      <c r="L181" s="44"/>
      <c r="M181" s="44"/>
      <c r="N181" s="44"/>
      <c r="O181" s="44"/>
      <c r="R181" s="44"/>
      <c r="AA181" s="44"/>
      <c r="AB181" s="44"/>
      <c r="AC181" s="44"/>
      <c r="AD181" s="44"/>
      <c r="AE181" s="44"/>
      <c r="AF181" s="44"/>
      <c r="AG181" s="102"/>
      <c r="AH181" s="44"/>
      <c r="AK181" s="102"/>
      <c r="AL181" s="44"/>
      <c r="AM181" s="44"/>
      <c r="AN181" s="44"/>
    </row>
    <row r="182" spans="1:40">
      <c r="L182" s="44"/>
      <c r="M182" s="44"/>
      <c r="N182" s="44"/>
      <c r="O182" s="44"/>
      <c r="R182" s="44"/>
      <c r="Z182" s="44"/>
      <c r="AA182" s="44"/>
      <c r="AB182" s="44"/>
      <c r="AC182" s="44"/>
      <c r="AD182" s="44"/>
      <c r="AE182" s="44"/>
      <c r="AF182" s="44"/>
      <c r="AG182" s="102"/>
      <c r="AH182" s="44"/>
      <c r="AK182" s="102"/>
      <c r="AL182" s="44"/>
      <c r="AM182" s="44"/>
      <c r="AN182" s="44"/>
    </row>
    <row r="183" spans="1:40">
      <c r="A183" s="44"/>
      <c r="C183" s="44"/>
      <c r="D183" s="44"/>
      <c r="E183" s="44"/>
      <c r="F183" s="44"/>
      <c r="J183" s="44"/>
      <c r="K183" s="44"/>
      <c r="L183" s="44"/>
      <c r="M183" s="44"/>
      <c r="N183" s="44"/>
      <c r="O183" s="44"/>
      <c r="P183" s="44"/>
      <c r="Q183" s="44"/>
      <c r="R183" s="44"/>
      <c r="T183" s="44"/>
      <c r="U183" s="44"/>
      <c r="V183" s="44"/>
      <c r="Z183" s="44"/>
      <c r="AA183" s="44"/>
      <c r="AB183" s="44"/>
      <c r="AC183" s="44"/>
      <c r="AD183" s="44"/>
      <c r="AE183" s="44"/>
      <c r="AF183" s="44"/>
      <c r="AG183" s="102"/>
      <c r="AH183" s="44"/>
      <c r="AI183" s="44"/>
      <c r="AJ183" s="44"/>
      <c r="AK183" s="102"/>
      <c r="AL183" s="44"/>
      <c r="AM183" s="44"/>
      <c r="AN183" s="44"/>
    </row>
    <row r="184" spans="1:40">
      <c r="A184" s="44"/>
      <c r="C184" s="44"/>
      <c r="D184" s="44"/>
      <c r="E184" s="44"/>
      <c r="F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T184" s="44"/>
      <c r="U184" s="44"/>
      <c r="V184" s="44"/>
      <c r="Y184" s="44"/>
      <c r="Z184" s="44"/>
      <c r="AA184" s="44"/>
      <c r="AB184" s="44"/>
      <c r="AC184" s="44"/>
      <c r="AD184" s="44"/>
      <c r="AE184" s="44"/>
      <c r="AF184" s="44"/>
      <c r="AG184" s="102"/>
      <c r="AH184" s="44"/>
      <c r="AI184" s="44"/>
      <c r="AJ184" s="44"/>
      <c r="AK184" s="102"/>
      <c r="AL184" s="44"/>
      <c r="AM184" s="44"/>
      <c r="AN184" s="44"/>
    </row>
    <row r="185" spans="1:40">
      <c r="C185" s="44"/>
      <c r="D185" s="44"/>
      <c r="E185" s="44"/>
      <c r="F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T185" s="44"/>
      <c r="U185" s="44"/>
      <c r="V185" s="44"/>
      <c r="Y185" s="44"/>
      <c r="Z185" s="44"/>
      <c r="AA185" s="44"/>
      <c r="AB185" s="44"/>
      <c r="AC185" s="44"/>
      <c r="AD185" s="44"/>
      <c r="AE185" s="44"/>
      <c r="AF185" s="44"/>
      <c r="AG185" s="102"/>
      <c r="AH185" s="44"/>
      <c r="AI185" s="44"/>
      <c r="AJ185" s="44"/>
      <c r="AK185" s="102"/>
      <c r="AL185" s="44"/>
      <c r="AM185" s="44"/>
      <c r="AN185" s="44"/>
    </row>
    <row r="186" spans="1:40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107"/>
      <c r="AH186" s="49"/>
      <c r="AI186" s="49"/>
      <c r="AJ186" s="49"/>
      <c r="AK186" s="107"/>
      <c r="AL186" s="49"/>
      <c r="AM186" s="49"/>
      <c r="AN186" s="49"/>
    </row>
    <row r="187" spans="1:40"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Y187" s="44"/>
      <c r="Z187" s="44"/>
      <c r="AA187" s="44"/>
      <c r="AB187" s="44"/>
      <c r="AC187" s="44"/>
      <c r="AD187" s="44"/>
      <c r="AE187" s="44"/>
      <c r="AF187" s="44"/>
      <c r="AG187" s="102"/>
      <c r="AH187" s="44"/>
      <c r="AI187" s="44"/>
      <c r="AJ187" s="44"/>
      <c r="AK187" s="102"/>
      <c r="AL187" s="44"/>
      <c r="AM187" s="44"/>
      <c r="AN187" s="44"/>
    </row>
    <row r="188" spans="1:40">
      <c r="C188" s="42"/>
      <c r="D188" s="42"/>
      <c r="E188" s="42"/>
      <c r="T188" s="42"/>
      <c r="U188" s="42"/>
    </row>
    <row r="189" spans="1:40">
      <c r="D189" s="42"/>
      <c r="E189" s="42"/>
      <c r="U189" s="42"/>
    </row>
    <row r="191" spans="1:40">
      <c r="C191" s="42"/>
      <c r="F191" s="164"/>
      <c r="H191" s="164"/>
      <c r="I191" s="164"/>
      <c r="J191" s="316"/>
      <c r="K191" s="316"/>
      <c r="L191" s="45"/>
      <c r="M191" s="45"/>
      <c r="N191" s="46"/>
      <c r="O191" s="46"/>
      <c r="R191" s="45"/>
      <c r="T191" s="42"/>
      <c r="V191" s="45"/>
      <c r="Y191" s="164"/>
      <c r="Z191" s="316"/>
      <c r="AA191" s="45"/>
      <c r="AB191" s="45"/>
      <c r="AC191" s="46"/>
      <c r="AD191" s="46"/>
      <c r="AE191" s="45"/>
      <c r="AF191" s="45"/>
      <c r="AG191" s="333"/>
      <c r="AH191" s="334"/>
      <c r="AL191" s="45"/>
      <c r="AM191" s="335"/>
      <c r="AN191" s="335"/>
    </row>
    <row r="192" spans="1:40">
      <c r="C192" s="42"/>
      <c r="F192" s="164"/>
      <c r="H192" s="164"/>
      <c r="I192" s="164"/>
      <c r="J192" s="316"/>
      <c r="K192" s="316"/>
      <c r="L192" s="45"/>
      <c r="M192" s="45"/>
      <c r="N192" s="46"/>
      <c r="O192" s="46"/>
      <c r="R192" s="45"/>
      <c r="T192" s="42"/>
      <c r="V192" s="45"/>
      <c r="Y192" s="164"/>
      <c r="Z192" s="316"/>
      <c r="AA192" s="45"/>
      <c r="AB192" s="45"/>
      <c r="AC192" s="46"/>
      <c r="AD192" s="46"/>
      <c r="AE192" s="45"/>
      <c r="AF192" s="45"/>
      <c r="AH192" s="51"/>
      <c r="AL192" s="45"/>
      <c r="AM192" s="46"/>
      <c r="AN192" s="46"/>
    </row>
    <row r="193" spans="3:40">
      <c r="F193" s="50"/>
      <c r="H193" s="45"/>
      <c r="I193" s="45"/>
      <c r="J193" s="326"/>
      <c r="K193" s="326"/>
      <c r="L193" s="50"/>
      <c r="M193" s="50"/>
      <c r="N193" s="50"/>
      <c r="O193" s="50"/>
      <c r="P193" s="50"/>
      <c r="Q193" s="50"/>
      <c r="R193" s="50"/>
      <c r="V193" s="50"/>
      <c r="Y193" s="45"/>
      <c r="Z193" s="326"/>
      <c r="AA193" s="50"/>
      <c r="AB193" s="50"/>
      <c r="AC193" s="50"/>
      <c r="AD193" s="50"/>
      <c r="AE193" s="50"/>
      <c r="AF193" s="50"/>
      <c r="AI193" s="50"/>
      <c r="AJ193" s="50"/>
      <c r="AK193" s="111"/>
      <c r="AL193" s="50"/>
      <c r="AM193" s="46"/>
      <c r="AN193" s="46"/>
    </row>
    <row r="194" spans="3:40">
      <c r="C194" s="42"/>
      <c r="F194" s="45"/>
      <c r="H194" s="45"/>
      <c r="I194" s="45"/>
      <c r="J194" s="326"/>
      <c r="K194" s="326"/>
      <c r="L194" s="45"/>
      <c r="M194" s="45"/>
      <c r="N194" s="46"/>
      <c r="O194" s="46"/>
      <c r="P194" s="45"/>
      <c r="Q194" s="45"/>
      <c r="R194" s="45"/>
      <c r="T194" s="42"/>
      <c r="V194" s="45"/>
      <c r="Y194" s="45"/>
      <c r="Z194" s="47"/>
      <c r="AA194" s="45"/>
      <c r="AB194" s="45"/>
      <c r="AC194" s="46"/>
      <c r="AD194" s="46"/>
      <c r="AE194" s="45"/>
      <c r="AF194" s="45"/>
      <c r="AH194" s="51"/>
      <c r="AI194" s="45"/>
      <c r="AJ194" s="45"/>
      <c r="AL194" s="45"/>
      <c r="AM194" s="46"/>
      <c r="AN194" s="46"/>
    </row>
    <row r="195" spans="3:40">
      <c r="F195" s="50"/>
      <c r="H195" s="45"/>
      <c r="I195" s="45"/>
      <c r="J195" s="326"/>
      <c r="K195" s="326"/>
      <c r="L195" s="50"/>
      <c r="M195" s="50"/>
      <c r="N195" s="50"/>
      <c r="O195" s="50"/>
      <c r="P195" s="50"/>
      <c r="Q195" s="50"/>
      <c r="R195" s="50"/>
      <c r="V195" s="50"/>
      <c r="Y195" s="45"/>
      <c r="Z195" s="326"/>
      <c r="AA195" s="50"/>
      <c r="AB195" s="50"/>
      <c r="AC195" s="50"/>
      <c r="AD195" s="50"/>
      <c r="AE195" s="50"/>
      <c r="AF195" s="50"/>
      <c r="AI195" s="50"/>
      <c r="AJ195" s="50"/>
      <c r="AK195" s="111"/>
      <c r="AL195" s="50"/>
      <c r="AM195" s="46"/>
      <c r="AN195" s="46"/>
    </row>
    <row r="196" spans="3:40">
      <c r="F196" s="45"/>
      <c r="H196" s="45"/>
      <c r="I196" s="45"/>
      <c r="J196" s="326"/>
      <c r="K196" s="326"/>
      <c r="L196" s="45"/>
      <c r="M196" s="45"/>
      <c r="N196" s="46"/>
      <c r="O196" s="46"/>
      <c r="P196" s="45"/>
      <c r="Q196" s="45"/>
      <c r="R196" s="45"/>
      <c r="V196" s="45"/>
      <c r="Y196" s="45"/>
      <c r="Z196" s="47"/>
      <c r="AA196" s="45"/>
      <c r="AB196" s="45"/>
      <c r="AC196" s="46"/>
      <c r="AD196" s="46"/>
      <c r="AE196" s="45"/>
      <c r="AF196" s="45"/>
      <c r="AH196" s="51"/>
      <c r="AI196" s="45"/>
      <c r="AJ196" s="45"/>
      <c r="AL196" s="45"/>
      <c r="AM196" s="46"/>
      <c r="AN196" s="46"/>
    </row>
    <row r="197" spans="3:40">
      <c r="C197" s="42"/>
      <c r="F197" s="164"/>
      <c r="H197" s="164"/>
      <c r="I197" s="164"/>
      <c r="J197" s="316"/>
      <c r="K197" s="316"/>
      <c r="L197" s="45"/>
      <c r="M197" s="45"/>
      <c r="N197" s="46"/>
      <c r="O197" s="46"/>
      <c r="P197" s="45"/>
      <c r="Q197" s="45"/>
      <c r="R197" s="45"/>
      <c r="T197" s="42"/>
      <c r="V197" s="164"/>
      <c r="Y197" s="45"/>
      <c r="Z197" s="316"/>
      <c r="AA197" s="45"/>
      <c r="AB197" s="45"/>
      <c r="AC197" s="46"/>
      <c r="AD197" s="46"/>
      <c r="AE197" s="45"/>
      <c r="AF197" s="45"/>
      <c r="AG197" s="333"/>
      <c r="AH197" s="334"/>
      <c r="AI197" s="45"/>
      <c r="AJ197" s="45"/>
      <c r="AL197" s="45"/>
      <c r="AM197" s="335"/>
      <c r="AN197" s="335"/>
    </row>
    <row r="198" spans="3:40">
      <c r="C198" s="42"/>
      <c r="F198" s="164"/>
      <c r="H198" s="164"/>
      <c r="I198" s="164"/>
      <c r="J198" s="316"/>
      <c r="K198" s="316"/>
      <c r="L198" s="45"/>
      <c r="M198" s="45"/>
      <c r="N198" s="46"/>
      <c r="O198" s="46"/>
      <c r="P198" s="45"/>
      <c r="Q198" s="45"/>
      <c r="R198" s="45"/>
      <c r="T198" s="42"/>
      <c r="V198" s="164"/>
      <c r="Y198" s="45"/>
      <c r="Z198" s="316"/>
      <c r="AA198" s="45"/>
      <c r="AB198" s="45"/>
      <c r="AC198" s="46"/>
      <c r="AD198" s="46"/>
      <c r="AE198" s="45"/>
      <c r="AF198" s="45"/>
      <c r="AH198" s="51"/>
      <c r="AI198" s="45"/>
      <c r="AJ198" s="45"/>
      <c r="AL198" s="45"/>
      <c r="AM198" s="46"/>
      <c r="AN198" s="46"/>
    </row>
    <row r="199" spans="3:40">
      <c r="F199" s="45"/>
      <c r="H199" s="50"/>
      <c r="I199" s="50"/>
      <c r="J199" s="326"/>
      <c r="K199" s="326"/>
      <c r="L199" s="50"/>
      <c r="M199" s="50"/>
      <c r="N199" s="50"/>
      <c r="O199" s="50"/>
      <c r="P199" s="50"/>
      <c r="Q199" s="50"/>
      <c r="R199" s="50"/>
      <c r="V199" s="45"/>
      <c r="Y199" s="50"/>
      <c r="Z199" s="326"/>
      <c r="AA199" s="50"/>
      <c r="AB199" s="50"/>
      <c r="AC199" s="50"/>
      <c r="AD199" s="50"/>
      <c r="AE199" s="50"/>
      <c r="AF199" s="50"/>
      <c r="AI199" s="50"/>
      <c r="AJ199" s="50"/>
      <c r="AK199" s="111"/>
      <c r="AL199" s="50"/>
      <c r="AM199" s="46"/>
      <c r="AN199" s="46"/>
    </row>
    <row r="200" spans="3:40">
      <c r="C200" s="42"/>
      <c r="F200" s="45"/>
      <c r="H200" s="45"/>
      <c r="I200" s="45"/>
      <c r="J200" s="326"/>
      <c r="K200" s="326"/>
      <c r="L200" s="45"/>
      <c r="M200" s="45"/>
      <c r="N200" s="46"/>
      <c r="O200" s="46"/>
      <c r="P200" s="45"/>
      <c r="Q200" s="45"/>
      <c r="R200" s="45"/>
      <c r="T200" s="42"/>
      <c r="V200" s="45"/>
      <c r="Y200" s="45"/>
      <c r="Z200" s="326"/>
      <c r="AA200" s="45"/>
      <c r="AB200" s="45"/>
      <c r="AC200" s="46"/>
      <c r="AD200" s="46"/>
      <c r="AE200" s="45"/>
      <c r="AF200" s="45"/>
      <c r="AH200" s="51"/>
      <c r="AI200" s="45"/>
      <c r="AJ200" s="45"/>
      <c r="AL200" s="45"/>
      <c r="AM200" s="46"/>
      <c r="AN200" s="46"/>
    </row>
    <row r="201" spans="3:40">
      <c r="F201" s="45"/>
      <c r="H201" s="50"/>
      <c r="I201" s="50"/>
      <c r="J201" s="326"/>
      <c r="K201" s="326"/>
      <c r="L201" s="50"/>
      <c r="M201" s="50"/>
      <c r="N201" s="50"/>
      <c r="O201" s="50"/>
      <c r="P201" s="50"/>
      <c r="Q201" s="50"/>
      <c r="R201" s="50"/>
      <c r="V201" s="45"/>
      <c r="Y201" s="50"/>
      <c r="Z201" s="326"/>
      <c r="AA201" s="50"/>
      <c r="AB201" s="50"/>
      <c r="AC201" s="50"/>
      <c r="AD201" s="50"/>
      <c r="AE201" s="50"/>
      <c r="AF201" s="50"/>
      <c r="AI201" s="50"/>
      <c r="AJ201" s="50"/>
      <c r="AK201" s="111"/>
      <c r="AL201" s="50"/>
      <c r="AM201" s="46"/>
      <c r="AN201" s="46"/>
    </row>
    <row r="202" spans="3:40">
      <c r="F202" s="45"/>
      <c r="H202" s="45"/>
      <c r="I202" s="45"/>
      <c r="J202" s="326"/>
      <c r="K202" s="326"/>
      <c r="L202" s="45"/>
      <c r="M202" s="45"/>
      <c r="N202" s="45"/>
      <c r="O202" s="45"/>
      <c r="P202" s="45"/>
      <c r="Q202" s="45"/>
      <c r="R202" s="45"/>
      <c r="V202" s="45"/>
      <c r="Y202" s="45"/>
      <c r="Z202" s="326"/>
      <c r="AA202" s="45"/>
      <c r="AB202" s="45"/>
      <c r="AC202" s="45"/>
      <c r="AD202" s="45"/>
      <c r="AE202" s="45"/>
      <c r="AF202" s="45"/>
      <c r="AH202" s="51"/>
      <c r="AI202" s="45"/>
      <c r="AJ202" s="45"/>
      <c r="AL202" s="45"/>
      <c r="AM202" s="46"/>
      <c r="AN202" s="46"/>
    </row>
    <row r="203" spans="3:40">
      <c r="C203" s="42"/>
      <c r="F203" s="164"/>
      <c r="H203" s="164"/>
      <c r="I203" s="164"/>
      <c r="J203" s="331"/>
      <c r="K203" s="331"/>
      <c r="L203" s="45"/>
      <c r="M203" s="45"/>
      <c r="N203" s="46"/>
      <c r="O203" s="46"/>
      <c r="P203" s="164"/>
      <c r="Q203" s="164"/>
      <c r="R203" s="45"/>
      <c r="T203" s="42"/>
      <c r="V203" s="164"/>
      <c r="Y203" s="164"/>
      <c r="Z203" s="336"/>
      <c r="AA203" s="45"/>
      <c r="AB203" s="45"/>
      <c r="AC203" s="46"/>
      <c r="AD203" s="46"/>
      <c r="AE203" s="45"/>
      <c r="AF203" s="45"/>
      <c r="AH203" s="51"/>
      <c r="AI203" s="164"/>
      <c r="AJ203" s="164"/>
      <c r="AL203" s="45"/>
      <c r="AM203" s="46"/>
      <c r="AN203" s="46"/>
    </row>
    <row r="204" spans="3:40">
      <c r="C204" s="42"/>
      <c r="F204" s="164"/>
      <c r="H204" s="164"/>
      <c r="I204" s="164"/>
      <c r="J204" s="331"/>
      <c r="K204" s="331"/>
      <c r="L204" s="45"/>
      <c r="M204" s="45"/>
      <c r="N204" s="46"/>
      <c r="O204" s="46"/>
      <c r="P204" s="164"/>
      <c r="Q204" s="164"/>
      <c r="R204" s="45"/>
      <c r="T204" s="42"/>
      <c r="V204" s="164"/>
      <c r="Y204" s="45"/>
      <c r="Z204" s="325"/>
      <c r="AA204" s="45"/>
      <c r="AB204" s="45"/>
      <c r="AC204" s="46"/>
      <c r="AD204" s="46"/>
      <c r="AE204" s="45"/>
      <c r="AF204" s="45"/>
      <c r="AH204" s="51"/>
      <c r="AI204" s="164"/>
      <c r="AJ204" s="164"/>
      <c r="AL204" s="45"/>
      <c r="AM204" s="46"/>
      <c r="AN204" s="46"/>
    </row>
    <row r="205" spans="3:40">
      <c r="C205" s="42"/>
      <c r="F205" s="164"/>
      <c r="H205" s="164"/>
      <c r="I205" s="164"/>
      <c r="J205" s="331"/>
      <c r="K205" s="331"/>
      <c r="L205" s="45"/>
      <c r="M205" s="45"/>
      <c r="N205" s="46"/>
      <c r="O205" s="46"/>
      <c r="P205" s="164"/>
      <c r="Q205" s="164"/>
      <c r="R205" s="45"/>
      <c r="T205" s="42"/>
      <c r="V205" s="164"/>
      <c r="Y205" s="45"/>
      <c r="Z205" s="325"/>
      <c r="AA205" s="45"/>
      <c r="AB205" s="45"/>
      <c r="AC205" s="46"/>
      <c r="AD205" s="46"/>
      <c r="AE205" s="45"/>
      <c r="AF205" s="45"/>
      <c r="AH205" s="51"/>
      <c r="AI205" s="164"/>
      <c r="AJ205" s="164"/>
      <c r="AL205" s="45"/>
      <c r="AM205" s="46"/>
      <c r="AN205" s="46"/>
    </row>
    <row r="206" spans="3:40">
      <c r="F206" s="50"/>
      <c r="H206" s="50"/>
      <c r="I206" s="50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50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  <c r="AM206" s="46"/>
      <c r="AN206" s="46"/>
    </row>
    <row r="207" spans="3:40">
      <c r="C207" s="42"/>
      <c r="F207" s="45"/>
      <c r="H207" s="45"/>
      <c r="I207" s="45"/>
      <c r="J207" s="47"/>
      <c r="K207" s="47"/>
      <c r="L207" s="45"/>
      <c r="M207" s="45"/>
      <c r="N207" s="46"/>
      <c r="O207" s="46"/>
      <c r="P207" s="45"/>
      <c r="Q207" s="45"/>
      <c r="R207" s="45"/>
      <c r="T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3:40">
      <c r="F208" s="50"/>
      <c r="H208" s="50"/>
      <c r="I208" s="50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50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  <c r="AM208" s="46"/>
      <c r="AN208" s="46"/>
    </row>
    <row r="209" spans="1:40">
      <c r="C209" s="42"/>
      <c r="F209" s="45"/>
      <c r="H209" s="45"/>
      <c r="I209" s="45"/>
      <c r="J209" s="47"/>
      <c r="K209" s="47"/>
      <c r="L209" s="45"/>
      <c r="M209" s="45"/>
      <c r="N209" s="46"/>
      <c r="O209" s="46"/>
      <c r="P209" s="45"/>
      <c r="Q209" s="45"/>
      <c r="R209" s="45"/>
      <c r="T209" s="42"/>
      <c r="V209" s="45"/>
      <c r="Y209" s="45"/>
      <c r="Z209" s="47"/>
      <c r="AA209" s="45"/>
      <c r="AB209" s="45"/>
      <c r="AC209" s="46"/>
      <c r="AD209" s="46"/>
      <c r="AE209" s="45"/>
      <c r="AF209" s="45"/>
      <c r="AH209" s="51"/>
      <c r="AI209" s="45"/>
      <c r="AJ209" s="45"/>
      <c r="AL209" s="45"/>
      <c r="AM209" s="46"/>
      <c r="AN209" s="46"/>
    </row>
    <row r="210" spans="1:40">
      <c r="C210" s="42"/>
      <c r="F210" s="45"/>
      <c r="H210" s="45"/>
      <c r="I210" s="45"/>
      <c r="J210" s="47"/>
      <c r="K210" s="47"/>
      <c r="L210" s="45"/>
      <c r="M210" s="45"/>
      <c r="N210" s="46"/>
      <c r="O210" s="46"/>
      <c r="P210" s="45"/>
      <c r="Q210" s="45"/>
      <c r="R210" s="45"/>
      <c r="T210" s="42"/>
      <c r="V210" s="45"/>
      <c r="Y210" s="45"/>
      <c r="Z210" s="47"/>
      <c r="AA210" s="45"/>
      <c r="AB210" s="45"/>
      <c r="AC210" s="46"/>
      <c r="AD210" s="46"/>
      <c r="AE210" s="45"/>
      <c r="AF210" s="45"/>
      <c r="AH210" s="51"/>
      <c r="AI210" s="45"/>
      <c r="AJ210" s="45"/>
      <c r="AL210" s="45"/>
      <c r="AM210" s="46"/>
      <c r="AN210" s="46"/>
    </row>
    <row r="211" spans="1:40">
      <c r="F211" s="50"/>
      <c r="H211" s="50"/>
      <c r="I211" s="50"/>
      <c r="J211" s="326"/>
      <c r="K211" s="326"/>
      <c r="L211" s="50"/>
      <c r="M211" s="50"/>
      <c r="N211" s="50"/>
      <c r="O211" s="50"/>
      <c r="P211" s="50"/>
      <c r="Q211" s="50"/>
      <c r="R211" s="50"/>
      <c r="V211" s="50"/>
      <c r="Y211" s="50"/>
      <c r="Z211" s="326"/>
      <c r="AA211" s="50"/>
      <c r="AB211" s="50"/>
      <c r="AC211" s="50"/>
      <c r="AD211" s="50"/>
      <c r="AE211" s="50"/>
      <c r="AF211" s="50"/>
      <c r="AI211" s="50"/>
      <c r="AJ211" s="50"/>
      <c r="AK211" s="111"/>
      <c r="AL211" s="50"/>
      <c r="AM211" s="45"/>
      <c r="AN211" s="45"/>
    </row>
    <row r="212" spans="1:40">
      <c r="F212" s="45"/>
      <c r="H212" s="45"/>
      <c r="I212" s="45"/>
      <c r="J212" s="47"/>
      <c r="K212" s="47"/>
      <c r="L212" s="45"/>
      <c r="M212" s="45"/>
      <c r="N212" s="45"/>
      <c r="O212" s="45"/>
      <c r="P212" s="45"/>
      <c r="Q212" s="45"/>
      <c r="R212" s="45"/>
      <c r="V212" s="45"/>
      <c r="Y212" s="45"/>
      <c r="Z212" s="47"/>
      <c r="AA212" s="45"/>
      <c r="AB212" s="45"/>
      <c r="AC212" s="45"/>
      <c r="AD212" s="45"/>
    </row>
    <row r="213" spans="1:40">
      <c r="C213" s="42"/>
      <c r="F213" s="45"/>
      <c r="H213" s="45"/>
      <c r="I213" s="45"/>
      <c r="J213" s="47"/>
      <c r="K213" s="47"/>
      <c r="L213" s="45"/>
      <c r="M213" s="45"/>
      <c r="N213" s="45"/>
      <c r="O213" s="45"/>
      <c r="P213" s="45"/>
      <c r="Q213" s="45"/>
      <c r="R213" s="45"/>
      <c r="T213" s="42"/>
      <c r="V213" s="45"/>
      <c r="Y213" s="45"/>
      <c r="Z213" s="47"/>
      <c r="AA213" s="45"/>
      <c r="AB213" s="45"/>
      <c r="AC213" s="45"/>
      <c r="AD213" s="45"/>
    </row>
    <row r="214" spans="1:40">
      <c r="A214" s="42"/>
    </row>
    <row r="216" spans="1:40">
      <c r="H216" s="42"/>
      <c r="I216" s="42"/>
      <c r="Y216" s="42"/>
    </row>
    <row r="218" spans="1:40">
      <c r="L218" s="42"/>
      <c r="M218" s="42"/>
      <c r="AA218" s="42"/>
      <c r="AB218" s="42"/>
    </row>
    <row r="219" spans="1:40">
      <c r="R219" s="42"/>
      <c r="AK219" s="110"/>
      <c r="AL219" s="42"/>
    </row>
    <row r="220" spans="1:40">
      <c r="R220" s="42"/>
      <c r="AK220" s="110"/>
      <c r="AL220" s="42"/>
    </row>
    <row r="221" spans="1:40">
      <c r="A221" s="42"/>
      <c r="R221" s="42"/>
      <c r="AK221" s="110"/>
      <c r="AL221" s="42"/>
    </row>
    <row r="222" spans="1:40">
      <c r="L222" s="42"/>
      <c r="M222" s="42"/>
      <c r="AA222" s="42"/>
      <c r="AB222" s="42"/>
    </row>
    <row r="223" spans="1:40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107"/>
      <c r="AH223" s="49"/>
      <c r="AI223" s="49"/>
      <c r="AJ223" s="49"/>
      <c r="AK223" s="107"/>
      <c r="AL223" s="49"/>
      <c r="AM223" s="49"/>
      <c r="AN223" s="49"/>
    </row>
    <row r="224" spans="1:40">
      <c r="L224" s="44"/>
      <c r="M224" s="44"/>
      <c r="N224" s="44"/>
      <c r="O224" s="44"/>
      <c r="R224" s="44"/>
      <c r="AA224" s="44"/>
      <c r="AB224" s="44"/>
      <c r="AC224" s="44"/>
      <c r="AD224" s="44"/>
      <c r="AE224" s="44"/>
      <c r="AF224" s="44"/>
      <c r="AG224" s="102"/>
      <c r="AH224" s="44"/>
      <c r="AK224" s="102"/>
      <c r="AL224" s="44"/>
      <c r="AM224" s="44"/>
      <c r="AN224" s="44"/>
    </row>
    <row r="225" spans="1:40">
      <c r="L225" s="44"/>
      <c r="M225" s="44"/>
      <c r="N225" s="44"/>
      <c r="O225" s="44"/>
      <c r="R225" s="44"/>
      <c r="Z225" s="44"/>
      <c r="AA225" s="44"/>
      <c r="AB225" s="44"/>
      <c r="AC225" s="44"/>
      <c r="AD225" s="44"/>
      <c r="AE225" s="44"/>
      <c r="AF225" s="44"/>
      <c r="AG225" s="102"/>
      <c r="AH225" s="44"/>
      <c r="AK225" s="102"/>
      <c r="AL225" s="44"/>
      <c r="AM225" s="44"/>
      <c r="AN225" s="44"/>
    </row>
    <row r="226" spans="1:40">
      <c r="A226" s="44"/>
      <c r="C226" s="44"/>
      <c r="D226" s="44"/>
      <c r="E226" s="44"/>
      <c r="F226" s="44"/>
      <c r="J226" s="44"/>
      <c r="K226" s="44"/>
      <c r="L226" s="44"/>
      <c r="M226" s="44"/>
      <c r="N226" s="44"/>
      <c r="O226" s="44"/>
      <c r="P226" s="44"/>
      <c r="Q226" s="44"/>
      <c r="R226" s="44"/>
      <c r="T226" s="44"/>
      <c r="U226" s="44"/>
      <c r="V226" s="44"/>
      <c r="Z226" s="44"/>
      <c r="AA226" s="44"/>
      <c r="AB226" s="44"/>
      <c r="AC226" s="44"/>
      <c r="AD226" s="44"/>
      <c r="AE226" s="44"/>
      <c r="AF226" s="44"/>
      <c r="AG226" s="102"/>
      <c r="AH226" s="44"/>
      <c r="AI226" s="44"/>
      <c r="AJ226" s="44"/>
      <c r="AK226" s="102"/>
      <c r="AL226" s="44"/>
      <c r="AM226" s="44"/>
      <c r="AN226" s="44"/>
    </row>
    <row r="227" spans="1:40">
      <c r="A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T227" s="44"/>
      <c r="U227" s="44"/>
      <c r="V227" s="44"/>
      <c r="Y227" s="44"/>
      <c r="Z227" s="44"/>
      <c r="AA227" s="44"/>
      <c r="AB227" s="44"/>
      <c r="AC227" s="44"/>
      <c r="AD227" s="44"/>
      <c r="AE227" s="44"/>
      <c r="AF227" s="44"/>
      <c r="AG227" s="102"/>
      <c r="AH227" s="44"/>
      <c r="AI227" s="44"/>
      <c r="AJ227" s="44"/>
      <c r="AK227" s="102"/>
      <c r="AL227" s="44"/>
      <c r="AM227" s="44"/>
      <c r="AN227" s="44"/>
    </row>
    <row r="228" spans="1:40"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T228" s="44"/>
      <c r="U228" s="44"/>
      <c r="V228" s="44"/>
      <c r="Y228" s="44"/>
      <c r="Z228" s="44"/>
      <c r="AA228" s="44"/>
      <c r="AB228" s="44"/>
      <c r="AC228" s="44"/>
      <c r="AD228" s="44"/>
      <c r="AE228" s="44"/>
      <c r="AF228" s="44"/>
      <c r="AG228" s="102"/>
      <c r="AH228" s="44"/>
      <c r="AI228" s="44"/>
      <c r="AJ228" s="44"/>
      <c r="AK228" s="102"/>
      <c r="AL228" s="44"/>
      <c r="AM228" s="44"/>
      <c r="AN228" s="44"/>
    </row>
    <row r="229" spans="1:40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107"/>
      <c r="AH229" s="49"/>
      <c r="AI229" s="49"/>
      <c r="AJ229" s="49"/>
      <c r="AK229" s="107"/>
      <c r="AL229" s="49"/>
      <c r="AM229" s="49"/>
      <c r="AN229" s="49"/>
    </row>
    <row r="230" spans="1:40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Y230" s="44"/>
      <c r="Z230" s="44"/>
      <c r="AA230" s="44"/>
      <c r="AB230" s="44"/>
      <c r="AC230" s="44"/>
      <c r="AD230" s="44"/>
      <c r="AE230" s="44"/>
      <c r="AF230" s="44"/>
      <c r="AG230" s="102"/>
      <c r="AH230" s="44"/>
      <c r="AI230" s="44"/>
      <c r="AJ230" s="44"/>
      <c r="AK230" s="102"/>
      <c r="AL230" s="44"/>
      <c r="AM230" s="44"/>
      <c r="AN230" s="44"/>
    </row>
    <row r="231" spans="1:40">
      <c r="C231" s="42"/>
      <c r="D231" s="42"/>
      <c r="E231" s="42"/>
      <c r="T231" s="42"/>
      <c r="U231" s="42"/>
    </row>
    <row r="233" spans="1:40">
      <c r="C233" s="42"/>
      <c r="F233" s="164"/>
      <c r="H233" s="329"/>
      <c r="I233" s="329"/>
      <c r="J233" s="316"/>
      <c r="K233" s="316"/>
      <c r="L233" s="45"/>
      <c r="M233" s="45"/>
      <c r="R233" s="45"/>
      <c r="T233" s="42"/>
      <c r="V233" s="45"/>
      <c r="Z233" s="316"/>
      <c r="AA233" s="45"/>
      <c r="AB233" s="45"/>
      <c r="AE233" s="45"/>
      <c r="AF233" s="45"/>
      <c r="AG233" s="333"/>
      <c r="AH233" s="334"/>
      <c r="AI233" s="45"/>
      <c r="AJ233" s="45"/>
      <c r="AL233" s="45"/>
      <c r="AM233" s="335"/>
      <c r="AN233" s="335"/>
    </row>
    <row r="234" spans="1:40">
      <c r="F234" s="164"/>
      <c r="H234" s="329"/>
      <c r="I234" s="329"/>
      <c r="J234" s="329"/>
      <c r="K234" s="329"/>
      <c r="R234" s="45"/>
      <c r="V234" s="45"/>
      <c r="Z234" s="329"/>
    </row>
    <row r="235" spans="1:40">
      <c r="C235" s="42"/>
      <c r="F235" s="164"/>
      <c r="H235" s="164"/>
      <c r="I235" s="164"/>
      <c r="J235" s="331"/>
      <c r="K235" s="331"/>
      <c r="L235" s="45"/>
      <c r="M235" s="45"/>
      <c r="N235" s="46"/>
      <c r="O235" s="46"/>
      <c r="P235" s="164"/>
      <c r="Q235" s="164"/>
      <c r="R235" s="45"/>
      <c r="T235" s="42"/>
      <c r="V235" s="45"/>
      <c r="Y235" s="45"/>
      <c r="Z235" s="325"/>
      <c r="AA235" s="45"/>
      <c r="AB235" s="45"/>
      <c r="AC235" s="46"/>
      <c r="AD235" s="46"/>
      <c r="AE235" s="45"/>
      <c r="AF235" s="45"/>
      <c r="AH235" s="51"/>
      <c r="AI235" s="164"/>
      <c r="AJ235" s="164"/>
      <c r="AL235" s="45"/>
      <c r="AM235" s="46"/>
      <c r="AN235" s="46"/>
    </row>
    <row r="236" spans="1:40">
      <c r="F236" s="50"/>
      <c r="H236" s="50"/>
      <c r="I236" s="50"/>
      <c r="J236" s="326"/>
      <c r="K236" s="326"/>
      <c r="L236" s="50"/>
      <c r="M236" s="50"/>
      <c r="N236" s="50"/>
      <c r="O236" s="50"/>
      <c r="P236" s="50"/>
      <c r="Q236" s="50"/>
      <c r="R236" s="50"/>
      <c r="V236" s="50"/>
      <c r="Y236" s="50"/>
      <c r="Z236" s="326"/>
      <c r="AA236" s="50"/>
      <c r="AB236" s="50"/>
      <c r="AC236" s="50"/>
      <c r="AD236" s="50"/>
      <c r="AE236" s="50"/>
      <c r="AF236" s="50"/>
      <c r="AI236" s="50"/>
      <c r="AJ236" s="50"/>
      <c r="AK236" s="111"/>
      <c r="AL236" s="50"/>
    </row>
    <row r="237" spans="1:40">
      <c r="D237" s="42"/>
      <c r="E237" s="42"/>
      <c r="F237" s="45"/>
      <c r="H237" s="45"/>
      <c r="I237" s="45"/>
      <c r="J237" s="47"/>
      <c r="K237" s="47"/>
      <c r="L237" s="45"/>
      <c r="M237" s="45"/>
      <c r="N237" s="46"/>
      <c r="O237" s="46"/>
      <c r="P237" s="45"/>
      <c r="Q237" s="45"/>
      <c r="R237" s="45"/>
      <c r="U237" s="42"/>
      <c r="V237" s="45"/>
      <c r="Y237" s="45"/>
      <c r="Z237" s="47"/>
      <c r="AA237" s="45"/>
      <c r="AB237" s="45"/>
      <c r="AC237" s="46"/>
      <c r="AD237" s="46"/>
      <c r="AE237" s="45"/>
      <c r="AF237" s="45"/>
      <c r="AH237" s="51"/>
      <c r="AI237" s="45"/>
      <c r="AJ237" s="45"/>
      <c r="AL237" s="45"/>
      <c r="AM237" s="46"/>
      <c r="AN237" s="46"/>
    </row>
    <row r="238" spans="1:40">
      <c r="F238" s="50"/>
      <c r="H238" s="50"/>
      <c r="I238" s="50"/>
      <c r="J238" s="326"/>
      <c r="K238" s="326"/>
      <c r="L238" s="50"/>
      <c r="M238" s="50"/>
      <c r="N238" s="50"/>
      <c r="O238" s="50"/>
      <c r="P238" s="50"/>
      <c r="Q238" s="50"/>
      <c r="R238" s="50"/>
      <c r="V238" s="50"/>
      <c r="Y238" s="50"/>
      <c r="Z238" s="326"/>
      <c r="AA238" s="50"/>
      <c r="AB238" s="50"/>
      <c r="AC238" s="50"/>
      <c r="AD238" s="50"/>
      <c r="AE238" s="50"/>
      <c r="AF238" s="50"/>
      <c r="AI238" s="50"/>
      <c r="AJ238" s="50"/>
      <c r="AK238" s="111"/>
      <c r="AL238" s="50"/>
    </row>
    <row r="239" spans="1:40">
      <c r="R239" s="45"/>
    </row>
    <row r="240" spans="1:40">
      <c r="R240" s="45"/>
    </row>
    <row r="241" spans="1:40">
      <c r="R241" s="45"/>
    </row>
    <row r="242" spans="1:40">
      <c r="C242" s="42"/>
      <c r="D242" s="42"/>
      <c r="E242" s="42"/>
      <c r="H242" s="45"/>
      <c r="I242" s="45"/>
      <c r="J242" s="47"/>
      <c r="K242" s="47"/>
      <c r="L242" s="45"/>
      <c r="M242" s="45"/>
      <c r="N242" s="46"/>
      <c r="O242" s="46"/>
      <c r="P242" s="45"/>
      <c r="Q242" s="45"/>
      <c r="R242" s="45"/>
      <c r="T242" s="42"/>
      <c r="U242" s="42"/>
      <c r="Y242" s="45"/>
      <c r="Z242" s="47"/>
      <c r="AA242" s="45"/>
      <c r="AB242" s="45"/>
      <c r="AC242" s="46"/>
      <c r="AD242" s="46"/>
    </row>
    <row r="243" spans="1:40">
      <c r="H243" s="45"/>
      <c r="I243" s="45"/>
      <c r="J243" s="47"/>
      <c r="K243" s="47"/>
      <c r="L243" s="45"/>
      <c r="M243" s="45"/>
      <c r="N243" s="46"/>
      <c r="O243" s="46"/>
      <c r="P243" s="45"/>
      <c r="Q243" s="45"/>
      <c r="R243" s="45"/>
      <c r="Y243" s="45"/>
      <c r="Z243" s="47"/>
      <c r="AA243" s="45"/>
      <c r="AB243" s="45"/>
      <c r="AC243" s="46"/>
      <c r="AD243" s="46"/>
    </row>
    <row r="244" spans="1:40">
      <c r="C244" s="42"/>
      <c r="F244" s="164"/>
      <c r="H244" s="164"/>
      <c r="I244" s="164"/>
      <c r="J244" s="52"/>
      <c r="K244" s="52"/>
      <c r="L244" s="164"/>
      <c r="M244" s="164"/>
      <c r="N244" s="46"/>
      <c r="O244" s="46"/>
      <c r="P244" s="45"/>
      <c r="Q244" s="45"/>
      <c r="R244" s="45"/>
      <c r="T244" s="42"/>
      <c r="V244" s="45"/>
      <c r="Y244" s="45"/>
      <c r="Z244" s="52"/>
      <c r="AA244" s="45"/>
      <c r="AB244" s="45"/>
      <c r="AC244" s="46"/>
      <c r="AD244" s="46"/>
      <c r="AE244" s="45"/>
      <c r="AF244" s="45"/>
      <c r="AH244" s="51"/>
      <c r="AI244" s="45"/>
      <c r="AJ244" s="45"/>
      <c r="AL244" s="45"/>
      <c r="AM244" s="46"/>
      <c r="AN244" s="46"/>
    </row>
    <row r="245" spans="1:40">
      <c r="F245" s="164"/>
      <c r="H245" s="329"/>
      <c r="I245" s="329"/>
      <c r="J245" s="329"/>
      <c r="K245" s="329"/>
      <c r="R245" s="45"/>
      <c r="V245" s="45"/>
      <c r="Z245" s="329"/>
    </row>
    <row r="246" spans="1:40">
      <c r="C246" s="42"/>
      <c r="F246" s="164"/>
      <c r="H246" s="164"/>
      <c r="I246" s="164"/>
      <c r="J246" s="316"/>
      <c r="K246" s="316"/>
      <c r="L246" s="45"/>
      <c r="M246" s="45"/>
      <c r="N246" s="46"/>
      <c r="O246" s="46"/>
      <c r="P246" s="45"/>
      <c r="Q246" s="45"/>
      <c r="R246" s="45"/>
      <c r="T246" s="42"/>
      <c r="V246" s="45"/>
      <c r="Y246" s="45"/>
      <c r="Z246" s="316"/>
      <c r="AA246" s="45"/>
      <c r="AB246" s="45"/>
      <c r="AC246" s="46"/>
      <c r="AD246" s="46"/>
      <c r="AE246" s="45"/>
      <c r="AF246" s="45"/>
      <c r="AH246" s="51"/>
      <c r="AI246" s="45"/>
      <c r="AJ246" s="45"/>
      <c r="AL246" s="45"/>
      <c r="AM246" s="46"/>
      <c r="AN246" s="46"/>
    </row>
    <row r="247" spans="1:40">
      <c r="F247" s="164"/>
      <c r="H247" s="329"/>
      <c r="I247" s="329"/>
      <c r="J247" s="329"/>
      <c r="K247" s="329"/>
      <c r="R247" s="45"/>
      <c r="V247" s="45"/>
      <c r="Z247" s="329"/>
    </row>
    <row r="248" spans="1:40">
      <c r="C248" s="42"/>
      <c r="F248" s="164"/>
      <c r="H248" s="164"/>
      <c r="I248" s="164"/>
      <c r="J248" s="331"/>
      <c r="K248" s="331"/>
      <c r="L248" s="45"/>
      <c r="M248" s="45"/>
      <c r="N248" s="46"/>
      <c r="O248" s="46"/>
      <c r="P248" s="45"/>
      <c r="Q248" s="45"/>
      <c r="R248" s="45"/>
      <c r="T248" s="42"/>
      <c r="V248" s="45"/>
      <c r="Y248" s="45"/>
      <c r="Z248" s="325"/>
      <c r="AA248" s="45"/>
      <c r="AB248" s="45"/>
      <c r="AC248" s="46"/>
      <c r="AD248" s="46"/>
      <c r="AE248" s="45"/>
      <c r="AF248" s="45"/>
      <c r="AH248" s="51"/>
      <c r="AI248" s="45"/>
      <c r="AJ248" s="45"/>
      <c r="AL248" s="45"/>
      <c r="AM248" s="46"/>
      <c r="AN248" s="46"/>
    </row>
    <row r="249" spans="1:40">
      <c r="F249" s="50"/>
      <c r="H249" s="50"/>
      <c r="I249" s="50"/>
      <c r="J249" s="326"/>
      <c r="K249" s="326"/>
      <c r="L249" s="50"/>
      <c r="M249" s="50"/>
      <c r="N249" s="50"/>
      <c r="O249" s="50"/>
      <c r="P249" s="50"/>
      <c r="Q249" s="50"/>
      <c r="R249" s="50"/>
      <c r="S249" s="45"/>
      <c r="V249" s="50"/>
      <c r="Y249" s="50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</row>
    <row r="250" spans="1:40">
      <c r="D250" s="42"/>
      <c r="E250" s="42"/>
      <c r="F250" s="45"/>
      <c r="H250" s="45"/>
      <c r="I250" s="45"/>
      <c r="J250" s="47"/>
      <c r="K250" s="47"/>
      <c r="L250" s="45"/>
      <c r="M250" s="45"/>
      <c r="N250" s="46"/>
      <c r="O250" s="46"/>
      <c r="P250" s="164"/>
      <c r="Q250" s="164"/>
      <c r="R250" s="45"/>
      <c r="S250" s="45"/>
      <c r="U250" s="42"/>
      <c r="V250" s="45"/>
      <c r="Y250" s="45"/>
      <c r="Z250" s="47"/>
      <c r="AA250" s="45"/>
      <c r="AB250" s="45"/>
      <c r="AC250" s="46"/>
      <c r="AD250" s="46"/>
      <c r="AE250" s="45"/>
      <c r="AF250" s="45"/>
      <c r="AH250" s="51"/>
      <c r="AI250" s="164"/>
      <c r="AJ250" s="164"/>
      <c r="AL250" s="45"/>
      <c r="AM250" s="46"/>
      <c r="AN250" s="46"/>
    </row>
    <row r="251" spans="1:40">
      <c r="F251" s="50"/>
      <c r="H251" s="50"/>
      <c r="I251" s="50"/>
      <c r="J251" s="326"/>
      <c r="K251" s="326"/>
      <c r="L251" s="50"/>
      <c r="M251" s="50"/>
      <c r="N251" s="50"/>
      <c r="O251" s="50"/>
      <c r="P251" s="50"/>
      <c r="Q251" s="50"/>
      <c r="R251" s="50"/>
      <c r="S251" s="45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1:40">
      <c r="R252" s="45"/>
    </row>
    <row r="253" spans="1:40">
      <c r="F253" s="45"/>
      <c r="H253" s="45"/>
      <c r="I253" s="45"/>
      <c r="J253" s="47"/>
      <c r="K253" s="47"/>
      <c r="L253" s="45"/>
      <c r="M253" s="45"/>
      <c r="N253" s="45"/>
      <c r="O253" s="45"/>
      <c r="P253" s="45"/>
      <c r="Q253" s="45"/>
      <c r="R253" s="45"/>
      <c r="V253" s="45"/>
      <c r="Y253" s="45"/>
      <c r="Z253" s="47"/>
      <c r="AA253" s="45"/>
      <c r="AB253" s="45"/>
      <c r="AC253" s="45"/>
      <c r="AD253" s="45"/>
    </row>
    <row r="254" spans="1:40">
      <c r="C254" s="42"/>
      <c r="F254" s="45"/>
      <c r="H254" s="45"/>
      <c r="I254" s="45"/>
      <c r="J254" s="47"/>
      <c r="K254" s="47"/>
      <c r="L254" s="45"/>
      <c r="M254" s="45"/>
      <c r="N254" s="45"/>
      <c r="O254" s="45"/>
      <c r="P254" s="45"/>
      <c r="Q254" s="45"/>
      <c r="R254" s="45"/>
      <c r="T254" s="42"/>
      <c r="V254" s="45"/>
      <c r="Y254" s="45"/>
      <c r="Z254" s="47"/>
      <c r="AA254" s="45"/>
      <c r="AB254" s="45"/>
      <c r="AC254" s="45"/>
      <c r="AD254" s="45"/>
    </row>
    <row r="255" spans="1:40">
      <c r="C255" s="42"/>
      <c r="T255" s="42"/>
    </row>
    <row r="256" spans="1:40">
      <c r="A256" s="42"/>
    </row>
    <row r="259" spans="1:40">
      <c r="H259" s="42"/>
      <c r="I259" s="42"/>
      <c r="Y259" s="42"/>
    </row>
    <row r="261" spans="1:40">
      <c r="L261" s="42"/>
      <c r="M261" s="42"/>
      <c r="AA261" s="42"/>
      <c r="AB261" s="42"/>
    </row>
    <row r="262" spans="1:40">
      <c r="R262" s="42"/>
      <c r="AK262" s="110"/>
      <c r="AL262" s="42"/>
    </row>
    <row r="263" spans="1:40">
      <c r="R263" s="42"/>
      <c r="AK263" s="110"/>
      <c r="AL263" s="42"/>
    </row>
    <row r="264" spans="1:40">
      <c r="A264" s="42"/>
      <c r="R264" s="42"/>
      <c r="AK264" s="110"/>
      <c r="AL264" s="42"/>
    </row>
    <row r="265" spans="1:40">
      <c r="L265" s="42"/>
      <c r="M265" s="42"/>
      <c r="AA265" s="42"/>
      <c r="AB265" s="42"/>
    </row>
    <row r="266" spans="1:40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107"/>
      <c r="AH266" s="49"/>
      <c r="AI266" s="49"/>
      <c r="AJ266" s="49"/>
      <c r="AK266" s="107"/>
      <c r="AL266" s="49"/>
      <c r="AM266" s="49"/>
      <c r="AN266" s="49"/>
    </row>
    <row r="267" spans="1:40">
      <c r="L267" s="44"/>
      <c r="M267" s="44"/>
      <c r="N267" s="44"/>
      <c r="O267" s="44"/>
      <c r="R267" s="44"/>
      <c r="AA267" s="44"/>
      <c r="AB267" s="44"/>
      <c r="AC267" s="44"/>
      <c r="AD267" s="44"/>
      <c r="AE267" s="44"/>
      <c r="AF267" s="44"/>
      <c r="AG267" s="102"/>
      <c r="AH267" s="44"/>
      <c r="AK267" s="102"/>
      <c r="AL267" s="44"/>
      <c r="AM267" s="44"/>
      <c r="AN267" s="44"/>
    </row>
    <row r="268" spans="1:40">
      <c r="L268" s="44"/>
      <c r="M268" s="44"/>
      <c r="N268" s="44"/>
      <c r="O268" s="44"/>
      <c r="R268" s="44"/>
      <c r="Z268" s="44"/>
      <c r="AA268" s="44"/>
      <c r="AB268" s="44"/>
      <c r="AC268" s="44"/>
      <c r="AD268" s="44"/>
      <c r="AE268" s="44"/>
      <c r="AF268" s="44"/>
      <c r="AG268" s="102"/>
      <c r="AH268" s="44"/>
      <c r="AK268" s="102"/>
      <c r="AL268" s="44"/>
      <c r="AM268" s="44"/>
      <c r="AN268" s="44"/>
    </row>
    <row r="269" spans="1:40">
      <c r="A269" s="44"/>
      <c r="C269" s="44"/>
      <c r="D269" s="44"/>
      <c r="E269" s="44"/>
      <c r="F269" s="44"/>
      <c r="J269" s="44"/>
      <c r="K269" s="44"/>
      <c r="L269" s="44"/>
      <c r="M269" s="44"/>
      <c r="N269" s="44"/>
      <c r="O269" s="44"/>
      <c r="P269" s="44"/>
      <c r="Q269" s="44"/>
      <c r="R269" s="44"/>
      <c r="T269" s="44"/>
      <c r="U269" s="44"/>
      <c r="V269" s="44"/>
      <c r="Z269" s="44"/>
      <c r="AA269" s="44"/>
      <c r="AB269" s="44"/>
      <c r="AC269" s="44"/>
      <c r="AD269" s="44"/>
      <c r="AE269" s="44"/>
      <c r="AF269" s="44"/>
      <c r="AG269" s="102"/>
      <c r="AH269" s="44"/>
      <c r="AI269" s="44"/>
      <c r="AJ269" s="44"/>
      <c r="AK269" s="102"/>
      <c r="AL269" s="44"/>
      <c r="AM269" s="44"/>
      <c r="AN269" s="44"/>
    </row>
    <row r="270" spans="1:40">
      <c r="A270" s="44"/>
      <c r="C270" s="44"/>
      <c r="D270" s="44"/>
      <c r="E270" s="44"/>
      <c r="F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T270" s="44"/>
      <c r="U270" s="44"/>
      <c r="V270" s="44"/>
      <c r="Y270" s="44"/>
      <c r="Z270" s="44"/>
      <c r="AA270" s="44"/>
      <c r="AB270" s="44"/>
      <c r="AC270" s="44"/>
      <c r="AD270" s="44"/>
      <c r="AE270" s="44"/>
      <c r="AF270" s="44"/>
      <c r="AG270" s="102"/>
      <c r="AH270" s="44"/>
      <c r="AI270" s="44"/>
      <c r="AJ270" s="44"/>
      <c r="AK270" s="102"/>
      <c r="AL270" s="44"/>
      <c r="AM270" s="44"/>
      <c r="AN270" s="44"/>
    </row>
    <row r="271" spans="1:40">
      <c r="C271" s="44"/>
      <c r="D271" s="44"/>
      <c r="E271" s="44"/>
      <c r="F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T271" s="44"/>
      <c r="U271" s="44"/>
      <c r="V271" s="44"/>
      <c r="Y271" s="44"/>
      <c r="Z271" s="44"/>
      <c r="AA271" s="44"/>
      <c r="AB271" s="44"/>
      <c r="AC271" s="44"/>
      <c r="AD271" s="44"/>
      <c r="AE271" s="44"/>
      <c r="AF271" s="44"/>
      <c r="AG271" s="102"/>
      <c r="AH271" s="44"/>
      <c r="AI271" s="44"/>
      <c r="AJ271" s="44"/>
      <c r="AK271" s="102"/>
      <c r="AL271" s="44"/>
      <c r="AM271" s="44"/>
      <c r="AN271" s="44"/>
    </row>
    <row r="272" spans="1:40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107"/>
      <c r="AH272" s="49"/>
      <c r="AI272" s="49"/>
      <c r="AJ272" s="49"/>
      <c r="AK272" s="107"/>
      <c r="AL272" s="49"/>
      <c r="AM272" s="49"/>
      <c r="AN272" s="49"/>
    </row>
    <row r="273" spans="3:40"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Y273" s="44"/>
      <c r="Z273" s="44"/>
      <c r="AA273" s="44"/>
      <c r="AB273" s="44"/>
      <c r="AC273" s="44"/>
      <c r="AD273" s="44"/>
      <c r="AE273" s="44"/>
      <c r="AF273" s="44"/>
      <c r="AG273" s="102"/>
      <c r="AH273" s="44"/>
      <c r="AI273" s="44"/>
      <c r="AJ273" s="44"/>
      <c r="AK273" s="102"/>
      <c r="AL273" s="44"/>
      <c r="AM273" s="44"/>
      <c r="AN273" s="44"/>
    </row>
    <row r="274" spans="3:40">
      <c r="C274" s="42"/>
      <c r="D274" s="42"/>
      <c r="E274" s="42"/>
      <c r="T274" s="42"/>
      <c r="U274" s="42"/>
    </row>
    <row r="275" spans="3:40">
      <c r="D275" s="42"/>
      <c r="E275" s="42"/>
      <c r="U275" s="42"/>
    </row>
    <row r="277" spans="3:40">
      <c r="C277" s="42"/>
      <c r="F277" s="45"/>
      <c r="J277" s="53"/>
      <c r="K277" s="53"/>
      <c r="L277" s="45"/>
      <c r="M277" s="45"/>
      <c r="R277" s="45"/>
      <c r="T277" s="42"/>
      <c r="V277" s="45"/>
      <c r="Z277" s="53"/>
      <c r="AA277" s="45"/>
      <c r="AB277" s="45"/>
      <c r="AL277" s="45"/>
    </row>
    <row r="278" spans="3:40">
      <c r="F278" s="45"/>
      <c r="R278" s="45"/>
      <c r="V278" s="45"/>
      <c r="AL278" s="45"/>
    </row>
    <row r="279" spans="3:40">
      <c r="C279" s="42"/>
      <c r="F279" s="164"/>
      <c r="H279" s="164"/>
      <c r="I279" s="164"/>
      <c r="J279" s="316"/>
      <c r="K279" s="316"/>
      <c r="L279" s="45"/>
      <c r="M279" s="45"/>
      <c r="N279" s="46"/>
      <c r="O279" s="46"/>
      <c r="P279" s="45"/>
      <c r="Q279" s="45"/>
      <c r="R279" s="45"/>
      <c r="T279" s="42"/>
      <c r="V279" s="45"/>
      <c r="Y279" s="45"/>
      <c r="Z279" s="316"/>
      <c r="AA279" s="45"/>
      <c r="AB279" s="45"/>
      <c r="AC279" s="46"/>
      <c r="AD279" s="46"/>
      <c r="AE279" s="45"/>
      <c r="AF279" s="45"/>
      <c r="AH279" s="51"/>
      <c r="AI279" s="45"/>
      <c r="AJ279" s="45"/>
      <c r="AL279" s="45"/>
      <c r="AM279" s="46"/>
      <c r="AN279" s="46"/>
    </row>
    <row r="280" spans="3:40">
      <c r="C280" s="42"/>
      <c r="F280" s="164"/>
      <c r="H280" s="329"/>
      <c r="I280" s="329"/>
      <c r="J280" s="316"/>
      <c r="K280" s="316"/>
      <c r="L280" s="45"/>
      <c r="M280" s="45"/>
      <c r="N280" s="46"/>
      <c r="O280" s="46"/>
      <c r="P280" s="45"/>
      <c r="Q280" s="45"/>
      <c r="R280" s="45"/>
      <c r="T280" s="42"/>
      <c r="V280" s="45"/>
      <c r="Y280" s="45"/>
      <c r="Z280" s="316"/>
      <c r="AA280" s="45"/>
      <c r="AB280" s="45"/>
      <c r="AC280" s="46"/>
      <c r="AD280" s="46"/>
      <c r="AE280" s="45"/>
      <c r="AF280" s="45"/>
      <c r="AH280" s="51"/>
      <c r="AI280" s="45"/>
      <c r="AJ280" s="45"/>
      <c r="AL280" s="45"/>
      <c r="AM280" s="46"/>
      <c r="AN280" s="46"/>
    </row>
    <row r="281" spans="3:40">
      <c r="F281" s="50"/>
      <c r="H281" s="45"/>
      <c r="I281" s="45"/>
      <c r="J281" s="326"/>
      <c r="K281" s="326"/>
      <c r="L281" s="50"/>
      <c r="M281" s="50"/>
      <c r="N281" s="50"/>
      <c r="O281" s="50"/>
      <c r="P281" s="50"/>
      <c r="Q281" s="50"/>
      <c r="R281" s="50"/>
      <c r="V281" s="50"/>
      <c r="Y281" s="45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</row>
    <row r="282" spans="3:40">
      <c r="C282" s="42"/>
      <c r="F282" s="45"/>
      <c r="H282" s="45"/>
      <c r="I282" s="45"/>
      <c r="J282" s="47"/>
      <c r="K282" s="47"/>
      <c r="L282" s="45"/>
      <c r="M282" s="45"/>
      <c r="N282" s="46"/>
      <c r="O282" s="46"/>
      <c r="P282" s="45"/>
      <c r="Q282" s="45"/>
      <c r="R282" s="45"/>
      <c r="T282" s="42"/>
      <c r="V282" s="45"/>
      <c r="Y282" s="45"/>
      <c r="Z282" s="47"/>
      <c r="AA282" s="45"/>
      <c r="AB282" s="45"/>
      <c r="AC282" s="46"/>
      <c r="AD282" s="46"/>
      <c r="AE282" s="45"/>
      <c r="AF282" s="45"/>
      <c r="AH282" s="51"/>
      <c r="AI282" s="45"/>
      <c r="AJ282" s="45"/>
      <c r="AL282" s="45"/>
      <c r="AM282" s="46"/>
      <c r="AN282" s="46"/>
    </row>
    <row r="283" spans="3:40">
      <c r="F283" s="50"/>
      <c r="H283" s="45"/>
      <c r="I283" s="45"/>
      <c r="J283" s="326"/>
      <c r="K283" s="326"/>
      <c r="L283" s="50"/>
      <c r="M283" s="50"/>
      <c r="N283" s="50"/>
      <c r="O283" s="50"/>
      <c r="P283" s="50"/>
      <c r="Q283" s="50"/>
      <c r="R283" s="50"/>
      <c r="V283" s="50"/>
      <c r="Y283" s="45"/>
      <c r="Z283" s="326"/>
      <c r="AA283" s="50"/>
      <c r="AB283" s="50"/>
      <c r="AC283" s="50"/>
      <c r="AD283" s="50"/>
      <c r="AE283" s="50"/>
      <c r="AF283" s="50"/>
      <c r="AI283" s="50"/>
      <c r="AJ283" s="50"/>
      <c r="AK283" s="111"/>
      <c r="AL283" s="50"/>
    </row>
    <row r="284" spans="3:40">
      <c r="F284" s="45"/>
      <c r="R284" s="45"/>
      <c r="V284" s="45"/>
      <c r="AL284" s="45"/>
    </row>
    <row r="285" spans="3:40">
      <c r="C285" s="42"/>
      <c r="F285" s="45"/>
      <c r="R285" s="45"/>
      <c r="T285" s="42"/>
      <c r="V285" s="45"/>
      <c r="AL285" s="45"/>
    </row>
    <row r="286" spans="3:40">
      <c r="F286" s="45"/>
      <c r="R286" s="45"/>
      <c r="V286" s="45"/>
      <c r="AL286" s="45"/>
    </row>
    <row r="287" spans="3:40">
      <c r="C287" s="42"/>
      <c r="F287" s="45"/>
      <c r="H287" s="164"/>
      <c r="I287" s="164"/>
      <c r="J287" s="331"/>
      <c r="K287" s="331"/>
      <c r="L287" s="45"/>
      <c r="M287" s="45"/>
      <c r="N287" s="46"/>
      <c r="O287" s="46"/>
      <c r="P287" s="164"/>
      <c r="Q287" s="164"/>
      <c r="R287" s="45"/>
      <c r="T287" s="42"/>
      <c r="V287" s="45"/>
      <c r="Y287" s="45"/>
      <c r="Z287" s="325"/>
      <c r="AA287" s="45"/>
      <c r="AB287" s="45"/>
      <c r="AC287" s="46"/>
      <c r="AD287" s="46"/>
      <c r="AE287" s="45"/>
      <c r="AF287" s="45"/>
      <c r="AH287" s="51"/>
      <c r="AI287" s="164"/>
      <c r="AJ287" s="164"/>
      <c r="AL287" s="45"/>
      <c r="AM287" s="46"/>
      <c r="AN287" s="46"/>
    </row>
    <row r="288" spans="3:40">
      <c r="F288" s="50"/>
      <c r="H288" s="50"/>
      <c r="I288" s="50"/>
      <c r="J288" s="326"/>
      <c r="K288" s="326"/>
      <c r="L288" s="50"/>
      <c r="M288" s="50"/>
      <c r="N288" s="50"/>
      <c r="O288" s="50"/>
      <c r="P288" s="50"/>
      <c r="Q288" s="50"/>
      <c r="R288" s="50"/>
      <c r="V288" s="50"/>
      <c r="Y288" s="50"/>
      <c r="Z288" s="326"/>
      <c r="AA288" s="50"/>
      <c r="AB288" s="50"/>
      <c r="AC288" s="50"/>
      <c r="AD288" s="50"/>
      <c r="AE288" s="50"/>
      <c r="AF288" s="50"/>
      <c r="AI288" s="50"/>
      <c r="AJ288" s="50"/>
      <c r="AK288" s="111"/>
      <c r="AL288" s="50"/>
    </row>
    <row r="290" spans="1:40">
      <c r="C290" s="42"/>
      <c r="F290" s="45"/>
      <c r="H290" s="45"/>
      <c r="I290" s="45"/>
      <c r="J290" s="53"/>
      <c r="K290" s="53"/>
      <c r="L290" s="45"/>
      <c r="M290" s="45"/>
      <c r="N290" s="46"/>
      <c r="O290" s="46"/>
      <c r="P290" s="45"/>
      <c r="Q290" s="45"/>
      <c r="R290" s="45"/>
      <c r="T290" s="42"/>
      <c r="V290" s="45"/>
      <c r="Y290" s="45"/>
      <c r="Z290" s="53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1:40">
      <c r="F291" s="50"/>
      <c r="H291" s="50"/>
      <c r="I291" s="50"/>
      <c r="J291" s="326"/>
      <c r="K291" s="326"/>
      <c r="L291" s="50"/>
      <c r="M291" s="50"/>
      <c r="N291" s="50"/>
      <c r="O291" s="50"/>
      <c r="P291" s="50"/>
      <c r="Q291" s="50"/>
      <c r="R291" s="50"/>
      <c r="V291" s="50"/>
      <c r="Y291" s="50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</row>
    <row r="292" spans="1:40">
      <c r="R292" s="45"/>
      <c r="AH292" s="45"/>
    </row>
    <row r="293" spans="1:40">
      <c r="F293" s="45"/>
      <c r="H293" s="45"/>
      <c r="I293" s="45"/>
      <c r="J293" s="47"/>
      <c r="K293" s="47"/>
      <c r="L293" s="45"/>
      <c r="M293" s="45"/>
      <c r="N293" s="45"/>
      <c r="O293" s="45"/>
      <c r="P293" s="45"/>
      <c r="Q293" s="45"/>
      <c r="R293" s="45"/>
      <c r="V293" s="45"/>
      <c r="Y293" s="45"/>
      <c r="Z293" s="47"/>
      <c r="AA293" s="45"/>
      <c r="AB293" s="45"/>
      <c r="AC293" s="45"/>
      <c r="AD293" s="45"/>
      <c r="AE293" s="45"/>
      <c r="AF293" s="45"/>
      <c r="AH293" s="45"/>
    </row>
    <row r="294" spans="1:40">
      <c r="C294" s="42"/>
      <c r="F294" s="45"/>
      <c r="H294" s="45"/>
      <c r="I294" s="45"/>
      <c r="J294" s="47"/>
      <c r="K294" s="47"/>
      <c r="L294" s="45"/>
      <c r="M294" s="45"/>
      <c r="N294" s="45"/>
      <c r="O294" s="45"/>
      <c r="P294" s="45"/>
      <c r="Q294" s="45"/>
      <c r="R294" s="45"/>
      <c r="T294" s="42"/>
      <c r="V294" s="45"/>
      <c r="Y294" s="45"/>
      <c r="Z294" s="47"/>
      <c r="AA294" s="45"/>
      <c r="AB294" s="45"/>
      <c r="AC294" s="45"/>
      <c r="AD294" s="45"/>
      <c r="AE294" s="45"/>
      <c r="AF294" s="45"/>
      <c r="AH294" s="45"/>
    </row>
    <row r="295" spans="1:40">
      <c r="A295" s="42"/>
    </row>
    <row r="298" spans="1:40">
      <c r="H298" s="42"/>
      <c r="I298" s="42"/>
      <c r="Y298" s="42"/>
    </row>
    <row r="300" spans="1:40">
      <c r="L300" s="42"/>
      <c r="M300" s="42"/>
      <c r="AA300" s="42"/>
      <c r="AB300" s="42"/>
    </row>
    <row r="301" spans="1:40">
      <c r="R301" s="42"/>
      <c r="AK301" s="110"/>
      <c r="AL301" s="42"/>
    </row>
    <row r="302" spans="1:40">
      <c r="R302" s="42"/>
      <c r="AK302" s="110"/>
      <c r="AL302" s="42"/>
    </row>
    <row r="303" spans="1:40">
      <c r="A303" s="42"/>
      <c r="R303" s="42"/>
      <c r="AK303" s="110"/>
      <c r="AL303" s="42"/>
    </row>
    <row r="304" spans="1:40">
      <c r="L304" s="42"/>
      <c r="M304" s="42"/>
      <c r="AA304" s="42"/>
      <c r="AB304" s="42"/>
    </row>
    <row r="305" spans="1:40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107"/>
      <c r="AH305" s="49"/>
      <c r="AI305" s="49"/>
      <c r="AJ305" s="49"/>
      <c r="AK305" s="107"/>
      <c r="AL305" s="49"/>
      <c r="AM305" s="49"/>
      <c r="AN305" s="49"/>
    </row>
    <row r="306" spans="1:40">
      <c r="L306" s="44"/>
      <c r="M306" s="44"/>
      <c r="N306" s="44"/>
      <c r="O306" s="44"/>
      <c r="R306" s="44"/>
      <c r="AA306" s="44"/>
      <c r="AB306" s="44"/>
      <c r="AC306" s="44"/>
      <c r="AD306" s="44"/>
      <c r="AE306" s="44"/>
      <c r="AF306" s="44"/>
      <c r="AG306" s="102"/>
      <c r="AH306" s="44"/>
      <c r="AK306" s="102"/>
      <c r="AL306" s="44"/>
      <c r="AM306" s="44"/>
      <c r="AN306" s="44"/>
    </row>
    <row r="307" spans="1:40">
      <c r="L307" s="44"/>
      <c r="M307" s="44"/>
      <c r="N307" s="44"/>
      <c r="O307" s="44"/>
      <c r="R307" s="44"/>
      <c r="Z307" s="44"/>
      <c r="AA307" s="44"/>
      <c r="AB307" s="44"/>
      <c r="AC307" s="44"/>
      <c r="AD307" s="44"/>
      <c r="AE307" s="44"/>
      <c r="AF307" s="44"/>
      <c r="AG307" s="102"/>
      <c r="AH307" s="44"/>
      <c r="AK307" s="102"/>
      <c r="AL307" s="44"/>
      <c r="AM307" s="44"/>
      <c r="AN307" s="44"/>
    </row>
    <row r="308" spans="1:40">
      <c r="A308" s="44"/>
      <c r="C308" s="44"/>
      <c r="D308" s="44"/>
      <c r="E308" s="44"/>
      <c r="F308" s="44"/>
      <c r="J308" s="44"/>
      <c r="K308" s="44"/>
      <c r="L308" s="44"/>
      <c r="M308" s="44"/>
      <c r="N308" s="44"/>
      <c r="O308" s="44"/>
      <c r="P308" s="44"/>
      <c r="Q308" s="44"/>
      <c r="R308" s="44"/>
      <c r="T308" s="44"/>
      <c r="U308" s="44"/>
      <c r="V308" s="44"/>
      <c r="Z308" s="44"/>
      <c r="AA308" s="44"/>
      <c r="AB308" s="44"/>
      <c r="AC308" s="44"/>
      <c r="AD308" s="44"/>
      <c r="AE308" s="44"/>
      <c r="AF308" s="44"/>
      <c r="AG308" s="102"/>
      <c r="AH308" s="44"/>
      <c r="AI308" s="44"/>
      <c r="AJ308" s="44"/>
      <c r="AK308" s="102"/>
      <c r="AL308" s="44"/>
      <c r="AM308" s="44"/>
      <c r="AN308" s="44"/>
    </row>
    <row r="309" spans="1:40">
      <c r="A309" s="44"/>
      <c r="C309" s="44"/>
      <c r="D309" s="44"/>
      <c r="E309" s="44"/>
      <c r="F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T309" s="44"/>
      <c r="U309" s="44"/>
      <c r="V309" s="44"/>
      <c r="Y309" s="44"/>
      <c r="Z309" s="44"/>
      <c r="AA309" s="44"/>
      <c r="AB309" s="44"/>
      <c r="AC309" s="44"/>
      <c r="AD309" s="44"/>
      <c r="AE309" s="44"/>
      <c r="AF309" s="44"/>
      <c r="AG309" s="102"/>
      <c r="AH309" s="44"/>
      <c r="AI309" s="44"/>
      <c r="AJ309" s="44"/>
      <c r="AK309" s="102"/>
      <c r="AL309" s="44"/>
      <c r="AM309" s="44"/>
      <c r="AN309" s="44"/>
    </row>
    <row r="310" spans="1:40">
      <c r="C310" s="44"/>
      <c r="D310" s="44"/>
      <c r="E310" s="44"/>
      <c r="F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T310" s="44"/>
      <c r="U310" s="44"/>
      <c r="V310" s="44"/>
      <c r="Y310" s="44"/>
      <c r="Z310" s="44"/>
      <c r="AA310" s="44"/>
      <c r="AB310" s="44"/>
      <c r="AC310" s="44"/>
      <c r="AD310" s="44"/>
      <c r="AE310" s="44"/>
      <c r="AF310" s="44"/>
      <c r="AG310" s="102"/>
      <c r="AH310" s="44"/>
      <c r="AI310" s="44"/>
      <c r="AJ310" s="44"/>
      <c r="AK310" s="102"/>
      <c r="AL310" s="44"/>
      <c r="AM310" s="44"/>
      <c r="AN310" s="44"/>
    </row>
    <row r="311" spans="1:40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107"/>
      <c r="AH311" s="49"/>
      <c r="AI311" s="49"/>
      <c r="AJ311" s="49"/>
      <c r="AK311" s="107"/>
      <c r="AL311" s="49"/>
      <c r="AM311" s="49"/>
      <c r="AN311" s="49"/>
    </row>
    <row r="312" spans="1:40"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Y312" s="44"/>
      <c r="Z312" s="44"/>
      <c r="AA312" s="44"/>
      <c r="AB312" s="44"/>
      <c r="AC312" s="44"/>
      <c r="AD312" s="44"/>
      <c r="AE312" s="44"/>
      <c r="AF312" s="44"/>
      <c r="AG312" s="102"/>
      <c r="AH312" s="44"/>
      <c r="AI312" s="44"/>
      <c r="AJ312" s="44"/>
      <c r="AK312" s="102"/>
      <c r="AL312" s="44"/>
      <c r="AM312" s="44"/>
      <c r="AN312" s="44"/>
    </row>
    <row r="313" spans="1:40">
      <c r="C313" s="42"/>
      <c r="D313" s="42"/>
      <c r="E313" s="42"/>
      <c r="T313" s="42"/>
      <c r="U313" s="42"/>
    </row>
    <row r="314" spans="1:40">
      <c r="C314" s="42"/>
      <c r="T314" s="42"/>
    </row>
    <row r="316" spans="1:40">
      <c r="C316" s="42"/>
      <c r="F316" s="164"/>
      <c r="H316" s="164"/>
      <c r="I316" s="164"/>
      <c r="J316" s="316"/>
      <c r="K316" s="316"/>
      <c r="L316" s="45"/>
      <c r="M316" s="45"/>
      <c r="N316" s="46"/>
      <c r="O316" s="46"/>
      <c r="R316" s="45"/>
      <c r="T316" s="42"/>
      <c r="V316" s="45"/>
      <c r="Y316" s="164"/>
      <c r="Z316" s="316"/>
      <c r="AA316" s="45"/>
      <c r="AB316" s="45"/>
      <c r="AC316" s="46"/>
      <c r="AD316" s="46"/>
      <c r="AE316" s="45"/>
      <c r="AF316" s="45"/>
      <c r="AH316" s="51"/>
      <c r="AL316" s="45"/>
      <c r="AM316" s="46"/>
      <c r="AN316" s="46"/>
    </row>
    <row r="317" spans="1:40">
      <c r="F317" s="50"/>
      <c r="H317" s="45"/>
      <c r="I317" s="45"/>
      <c r="J317" s="326"/>
      <c r="K317" s="326"/>
      <c r="L317" s="50"/>
      <c r="M317" s="50"/>
      <c r="N317" s="50"/>
      <c r="O317" s="50"/>
      <c r="P317" s="50"/>
      <c r="Q317" s="50"/>
      <c r="R317" s="50"/>
      <c r="V317" s="50"/>
      <c r="Y317" s="45"/>
      <c r="Z317" s="326"/>
      <c r="AA317" s="50"/>
      <c r="AB317" s="50"/>
      <c r="AC317" s="50"/>
      <c r="AD317" s="50"/>
      <c r="AE317" s="50"/>
      <c r="AF317" s="50"/>
      <c r="AI317" s="50"/>
      <c r="AJ317" s="50"/>
      <c r="AK317" s="111"/>
      <c r="AL317" s="50"/>
      <c r="AM317" s="46"/>
      <c r="AN317" s="46"/>
    </row>
    <row r="318" spans="1:40">
      <c r="C318" s="42"/>
      <c r="F318" s="164"/>
      <c r="H318" s="164"/>
      <c r="I318" s="164"/>
      <c r="J318" s="336"/>
      <c r="K318" s="336"/>
      <c r="L318" s="45"/>
      <c r="M318" s="45"/>
      <c r="N318" s="46"/>
      <c r="O318" s="46"/>
      <c r="P318" s="45"/>
      <c r="Q318" s="45"/>
      <c r="R318" s="45"/>
      <c r="S318" s="45"/>
      <c r="T318" s="42"/>
      <c r="V318" s="164"/>
      <c r="Y318" s="164"/>
      <c r="Z318" s="336"/>
      <c r="AA318" s="45"/>
      <c r="AB318" s="45"/>
      <c r="AC318" s="46"/>
      <c r="AD318" s="46"/>
      <c r="AE318" s="45"/>
      <c r="AF318" s="45"/>
      <c r="AH318" s="46"/>
      <c r="AI318" s="45"/>
      <c r="AJ318" s="45"/>
      <c r="AL318" s="45"/>
      <c r="AM318" s="46"/>
      <c r="AN318" s="46"/>
    </row>
    <row r="319" spans="1:40">
      <c r="C319" s="42"/>
      <c r="F319" s="164"/>
      <c r="H319" s="164"/>
      <c r="I319" s="164"/>
      <c r="J319" s="316"/>
      <c r="K319" s="316"/>
      <c r="L319" s="45"/>
      <c r="M319" s="45"/>
      <c r="N319" s="46"/>
      <c r="O319" s="46"/>
      <c r="P319" s="45"/>
      <c r="Q319" s="45"/>
      <c r="R319" s="45"/>
      <c r="T319" s="42"/>
      <c r="V319" s="164"/>
      <c r="Y319" s="45"/>
      <c r="Z319" s="316"/>
      <c r="AA319" s="45"/>
      <c r="AB319" s="45"/>
      <c r="AC319" s="46"/>
      <c r="AD319" s="46"/>
      <c r="AE319" s="45"/>
      <c r="AF319" s="45"/>
      <c r="AH319" s="51"/>
      <c r="AI319" s="45"/>
      <c r="AJ319" s="45"/>
      <c r="AL319" s="45"/>
      <c r="AM319" s="46"/>
      <c r="AN319" s="46"/>
    </row>
    <row r="320" spans="1:40">
      <c r="C320" s="42"/>
      <c r="F320" s="164"/>
      <c r="H320" s="164"/>
      <c r="I320" s="164"/>
      <c r="J320" s="316"/>
      <c r="K320" s="316"/>
      <c r="L320" s="45"/>
      <c r="M320" s="45"/>
      <c r="N320" s="46"/>
      <c r="O320" s="46"/>
      <c r="P320" s="45"/>
      <c r="Q320" s="45"/>
      <c r="R320" s="45"/>
      <c r="T320" s="42"/>
      <c r="V320" s="164"/>
      <c r="Y320" s="45"/>
      <c r="Z320" s="316"/>
      <c r="AA320" s="45"/>
      <c r="AB320" s="45"/>
      <c r="AC320" s="46"/>
      <c r="AD320" s="46"/>
      <c r="AE320" s="45"/>
      <c r="AF320" s="45"/>
      <c r="AH320" s="51"/>
      <c r="AI320" s="45"/>
      <c r="AJ320" s="45"/>
      <c r="AL320" s="45"/>
      <c r="AM320" s="46"/>
      <c r="AN320" s="46"/>
    </row>
    <row r="321" spans="3:40">
      <c r="F321" s="50"/>
      <c r="H321" s="50"/>
      <c r="I321" s="50"/>
      <c r="J321" s="326"/>
      <c r="K321" s="326"/>
      <c r="L321" s="50"/>
      <c r="M321" s="50"/>
      <c r="N321" s="50"/>
      <c r="O321" s="50"/>
      <c r="P321" s="50"/>
      <c r="Q321" s="50"/>
      <c r="R321" s="50"/>
      <c r="V321" s="50"/>
      <c r="Y321" s="50"/>
      <c r="Z321" s="326"/>
      <c r="AA321" s="50"/>
      <c r="AB321" s="50"/>
      <c r="AC321" s="50"/>
      <c r="AD321" s="50"/>
      <c r="AE321" s="50"/>
      <c r="AF321" s="50"/>
      <c r="AI321" s="50"/>
      <c r="AJ321" s="50"/>
      <c r="AK321" s="111"/>
      <c r="AL321" s="50"/>
      <c r="AM321" s="46"/>
      <c r="AN321" s="46"/>
    </row>
    <row r="322" spans="3:40">
      <c r="C322" s="42"/>
      <c r="F322" s="45"/>
      <c r="H322" s="45"/>
      <c r="I322" s="45"/>
      <c r="J322" s="47"/>
      <c r="K322" s="47"/>
      <c r="L322" s="45"/>
      <c r="M322" s="45"/>
      <c r="N322" s="46"/>
      <c r="O322" s="46"/>
      <c r="P322" s="45"/>
      <c r="Q322" s="45"/>
      <c r="R322" s="45"/>
      <c r="T322" s="42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3:40">
      <c r="F323" s="50"/>
      <c r="H323" s="50"/>
      <c r="I323" s="50"/>
      <c r="J323" s="326"/>
      <c r="K323" s="326"/>
      <c r="L323" s="50"/>
      <c r="M323" s="50"/>
      <c r="N323" s="50"/>
      <c r="O323" s="50"/>
      <c r="P323" s="50"/>
      <c r="Q323" s="50"/>
      <c r="R323" s="50"/>
      <c r="V323" s="50"/>
      <c r="Y323" s="50"/>
      <c r="Z323" s="326"/>
      <c r="AA323" s="50"/>
      <c r="AB323" s="50"/>
      <c r="AC323" s="50"/>
      <c r="AD323" s="50"/>
      <c r="AE323" s="50"/>
      <c r="AF323" s="50"/>
      <c r="AI323" s="50"/>
      <c r="AJ323" s="50"/>
      <c r="AK323" s="111"/>
      <c r="AL323" s="50"/>
      <c r="AM323" s="46"/>
      <c r="AN323" s="46"/>
    </row>
    <row r="324" spans="3:40">
      <c r="C324" s="42"/>
      <c r="F324" s="45"/>
      <c r="H324" s="45"/>
      <c r="I324" s="45"/>
      <c r="J324" s="47"/>
      <c r="K324" s="47"/>
      <c r="L324" s="45"/>
      <c r="M324" s="45"/>
      <c r="N324" s="46"/>
      <c r="O324" s="46"/>
      <c r="P324" s="45"/>
      <c r="Q324" s="45"/>
      <c r="R324" s="45"/>
      <c r="T324" s="42"/>
      <c r="V324" s="45"/>
      <c r="Y324" s="45"/>
      <c r="Z324" s="47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3:40">
      <c r="C325" s="42"/>
      <c r="F325" s="45"/>
      <c r="H325" s="164"/>
      <c r="I325" s="164"/>
      <c r="J325" s="331"/>
      <c r="K325" s="331"/>
      <c r="L325" s="45"/>
      <c r="M325" s="45"/>
      <c r="N325" s="46"/>
      <c r="O325" s="46"/>
      <c r="P325" s="45"/>
      <c r="Q325" s="45"/>
      <c r="R325" s="45"/>
      <c r="T325" s="42"/>
      <c r="V325" s="45"/>
      <c r="Y325" s="45"/>
      <c r="Z325" s="325"/>
      <c r="AA325" s="45"/>
      <c r="AB325" s="45"/>
      <c r="AC325" s="46"/>
      <c r="AD325" s="46"/>
      <c r="AE325" s="45"/>
      <c r="AF325" s="45"/>
      <c r="AH325" s="51"/>
      <c r="AI325" s="45"/>
      <c r="AJ325" s="45"/>
      <c r="AL325" s="45"/>
      <c r="AM325" s="46"/>
      <c r="AN325" s="46"/>
    </row>
    <row r="326" spans="3:40">
      <c r="F326" s="50"/>
      <c r="H326" s="50"/>
      <c r="I326" s="50"/>
      <c r="J326" s="326"/>
      <c r="K326" s="326"/>
      <c r="L326" s="50"/>
      <c r="M326" s="50"/>
      <c r="N326" s="50"/>
      <c r="O326" s="50"/>
      <c r="P326" s="50"/>
      <c r="Q326" s="50"/>
      <c r="R326" s="50"/>
      <c r="V326" s="50"/>
      <c r="Y326" s="50"/>
      <c r="Z326" s="326"/>
      <c r="AA326" s="50"/>
      <c r="AB326" s="50"/>
      <c r="AC326" s="50"/>
      <c r="AD326" s="50"/>
      <c r="AE326" s="50"/>
      <c r="AF326" s="50"/>
      <c r="AI326" s="50"/>
      <c r="AJ326" s="50"/>
      <c r="AK326" s="111"/>
      <c r="AL326" s="50"/>
      <c r="AM326" s="46"/>
      <c r="AN326" s="46"/>
    </row>
    <row r="328" spans="3:40">
      <c r="C328" s="42"/>
      <c r="F328" s="45"/>
      <c r="H328" s="45"/>
      <c r="I328" s="45"/>
      <c r="J328" s="326"/>
      <c r="K328" s="326"/>
      <c r="L328" s="45"/>
      <c r="M328" s="45"/>
      <c r="N328" s="46"/>
      <c r="O328" s="46"/>
      <c r="P328" s="45"/>
      <c r="Q328" s="45"/>
      <c r="R328" s="45"/>
      <c r="S328" s="45"/>
      <c r="T328" s="42"/>
      <c r="V328" s="45"/>
      <c r="Y328" s="45"/>
      <c r="Z328" s="326"/>
      <c r="AA328" s="45"/>
      <c r="AB328" s="45"/>
      <c r="AC328" s="46"/>
      <c r="AD328" s="46"/>
      <c r="AE328" s="45"/>
      <c r="AF328" s="45"/>
      <c r="AH328" s="46"/>
      <c r="AI328" s="45"/>
      <c r="AJ328" s="45"/>
      <c r="AL328" s="45"/>
      <c r="AM328" s="46"/>
      <c r="AN328" s="46"/>
    </row>
    <row r="329" spans="3:40">
      <c r="F329" s="50"/>
      <c r="H329" s="50"/>
      <c r="I329" s="50"/>
      <c r="J329" s="326"/>
      <c r="K329" s="326"/>
      <c r="L329" s="50"/>
      <c r="M329" s="50"/>
      <c r="N329" s="50"/>
      <c r="O329" s="50"/>
      <c r="P329" s="50"/>
      <c r="Q329" s="50"/>
      <c r="R329" s="50"/>
      <c r="S329" s="45"/>
      <c r="V329" s="50"/>
      <c r="Y329" s="50"/>
      <c r="Z329" s="326"/>
      <c r="AA329" s="50"/>
      <c r="AB329" s="50"/>
      <c r="AC329" s="50"/>
      <c r="AD329" s="50"/>
      <c r="AE329" s="50"/>
      <c r="AF329" s="50"/>
      <c r="AI329" s="50"/>
      <c r="AJ329" s="50"/>
      <c r="AK329" s="111"/>
      <c r="AL329" s="50"/>
      <c r="AM329" s="46"/>
      <c r="AN329" s="46"/>
    </row>
    <row r="330" spans="3:40">
      <c r="C330" s="42"/>
      <c r="F330" s="164"/>
      <c r="H330" s="164"/>
      <c r="I330" s="164"/>
      <c r="J330" s="326"/>
      <c r="K330" s="326"/>
      <c r="L330" s="45"/>
      <c r="M330" s="45"/>
      <c r="N330" s="46"/>
      <c r="O330" s="46"/>
      <c r="P330" s="45"/>
      <c r="Q330" s="45"/>
      <c r="R330" s="45"/>
      <c r="S330" s="45"/>
      <c r="T330" s="42"/>
      <c r="V330" s="164"/>
      <c r="Y330" s="164"/>
      <c r="Z330" s="326"/>
      <c r="AA330" s="45"/>
      <c r="AB330" s="45"/>
      <c r="AC330" s="46"/>
      <c r="AD330" s="46"/>
      <c r="AE330" s="45"/>
      <c r="AF330" s="45"/>
      <c r="AI330" s="45"/>
      <c r="AJ330" s="45"/>
      <c r="AL330" s="45"/>
      <c r="AM330" s="46"/>
      <c r="AN330" s="46"/>
    </row>
    <row r="332" spans="3:40">
      <c r="C332" s="42"/>
      <c r="F332" s="164"/>
      <c r="H332" s="164"/>
      <c r="I332" s="164"/>
      <c r="J332" s="316"/>
      <c r="K332" s="316"/>
      <c r="L332" s="45"/>
      <c r="M332" s="45"/>
      <c r="N332" s="46"/>
      <c r="O332" s="46"/>
      <c r="R332" s="45"/>
      <c r="T332" s="42"/>
      <c r="V332" s="45"/>
      <c r="Y332" s="164"/>
      <c r="Z332" s="316"/>
      <c r="AA332" s="45"/>
      <c r="AB332" s="45"/>
      <c r="AC332" s="46"/>
      <c r="AD332" s="46"/>
      <c r="AE332" s="45"/>
      <c r="AF332" s="45"/>
      <c r="AH332" s="51"/>
      <c r="AL332" s="45"/>
      <c r="AM332" s="46"/>
      <c r="AN332" s="46"/>
    </row>
    <row r="333" spans="3:40">
      <c r="F333" s="50"/>
      <c r="H333" s="45"/>
      <c r="I333" s="45"/>
      <c r="J333" s="326"/>
      <c r="K333" s="326"/>
      <c r="L333" s="50"/>
      <c r="M333" s="50"/>
      <c r="N333" s="50"/>
      <c r="O333" s="50"/>
      <c r="P333" s="50"/>
      <c r="Q333" s="50"/>
      <c r="R333" s="50"/>
      <c r="V333" s="50"/>
      <c r="Y333" s="45"/>
      <c r="Z333" s="326"/>
      <c r="AA333" s="50"/>
      <c r="AB333" s="50"/>
      <c r="AC333" s="50"/>
      <c r="AD333" s="50"/>
      <c r="AE333" s="50"/>
      <c r="AF333" s="50"/>
      <c r="AI333" s="50"/>
      <c r="AJ333" s="50"/>
      <c r="AK333" s="111"/>
      <c r="AL333" s="50"/>
      <c r="AM333" s="46"/>
      <c r="AN333" s="46"/>
    </row>
    <row r="334" spans="3:40">
      <c r="C334" s="42"/>
      <c r="F334" s="164"/>
      <c r="H334" s="164"/>
      <c r="I334" s="164"/>
      <c r="J334" s="336"/>
      <c r="K334" s="336"/>
      <c r="L334" s="45"/>
      <c r="M334" s="45"/>
      <c r="N334" s="46"/>
      <c r="O334" s="46"/>
      <c r="P334" s="45"/>
      <c r="Q334" s="45"/>
      <c r="R334" s="45"/>
      <c r="S334" s="45"/>
      <c r="T334" s="42"/>
      <c r="V334" s="164"/>
      <c r="Y334" s="164"/>
      <c r="Z334" s="336"/>
      <c r="AA334" s="45"/>
      <c r="AB334" s="45"/>
      <c r="AC334" s="46"/>
      <c r="AD334" s="46"/>
      <c r="AE334" s="45"/>
      <c r="AF334" s="45"/>
      <c r="AH334" s="46"/>
      <c r="AI334" s="45"/>
      <c r="AJ334" s="45"/>
      <c r="AL334" s="45"/>
      <c r="AM334" s="46"/>
      <c r="AN334" s="46"/>
    </row>
    <row r="335" spans="3:40">
      <c r="C335" s="42"/>
      <c r="F335" s="164"/>
      <c r="H335" s="164"/>
      <c r="I335" s="164"/>
      <c r="J335" s="316"/>
      <c r="K335" s="316"/>
      <c r="L335" s="45"/>
      <c r="M335" s="45"/>
      <c r="N335" s="46"/>
      <c r="O335" s="46"/>
      <c r="P335" s="45"/>
      <c r="Q335" s="45"/>
      <c r="R335" s="45"/>
      <c r="T335" s="42"/>
      <c r="V335" s="164"/>
      <c r="Y335" s="45"/>
      <c r="Z335" s="316"/>
      <c r="AA335" s="45"/>
      <c r="AB335" s="45"/>
      <c r="AC335" s="46"/>
      <c r="AD335" s="46"/>
      <c r="AE335" s="45"/>
      <c r="AF335" s="45"/>
      <c r="AH335" s="51"/>
      <c r="AI335" s="45"/>
      <c r="AJ335" s="45"/>
      <c r="AL335" s="45"/>
      <c r="AM335" s="46"/>
      <c r="AN335" s="46"/>
    </row>
    <row r="336" spans="3:40">
      <c r="C336" s="42"/>
      <c r="F336" s="164"/>
      <c r="H336" s="164"/>
      <c r="I336" s="164"/>
      <c r="J336" s="316"/>
      <c r="K336" s="316"/>
      <c r="L336" s="45"/>
      <c r="M336" s="45"/>
      <c r="N336" s="46"/>
      <c r="O336" s="46"/>
      <c r="P336" s="45"/>
      <c r="Q336" s="45"/>
      <c r="R336" s="45"/>
      <c r="T336" s="42"/>
      <c r="V336" s="164"/>
      <c r="Y336" s="45"/>
      <c r="Z336" s="316"/>
      <c r="AA336" s="45"/>
      <c r="AB336" s="45"/>
      <c r="AC336" s="46"/>
      <c r="AD336" s="46"/>
      <c r="AE336" s="45"/>
      <c r="AF336" s="45"/>
      <c r="AH336" s="51"/>
      <c r="AI336" s="45"/>
      <c r="AJ336" s="45"/>
      <c r="AL336" s="45"/>
      <c r="AM336" s="46"/>
      <c r="AN336" s="46"/>
    </row>
    <row r="337" spans="1:40">
      <c r="F337" s="50"/>
      <c r="H337" s="50"/>
      <c r="I337" s="50"/>
      <c r="J337" s="326"/>
      <c r="K337" s="326"/>
      <c r="L337" s="50"/>
      <c r="M337" s="50"/>
      <c r="N337" s="50"/>
      <c r="O337" s="50"/>
      <c r="P337" s="50"/>
      <c r="Q337" s="50"/>
      <c r="R337" s="50"/>
      <c r="V337" s="50"/>
      <c r="Y337" s="50"/>
      <c r="Z337" s="326"/>
      <c r="AA337" s="50"/>
      <c r="AB337" s="50"/>
      <c r="AC337" s="50"/>
      <c r="AD337" s="50"/>
      <c r="AE337" s="50"/>
      <c r="AF337" s="50"/>
      <c r="AI337" s="50"/>
      <c r="AJ337" s="50"/>
      <c r="AK337" s="111"/>
      <c r="AL337" s="50"/>
      <c r="AM337" s="46"/>
      <c r="AN337" s="46"/>
    </row>
    <row r="338" spans="1:40">
      <c r="C338" s="42"/>
      <c r="F338" s="45"/>
      <c r="H338" s="45"/>
      <c r="I338" s="45"/>
      <c r="J338" s="47"/>
      <c r="K338" s="47"/>
      <c r="L338" s="45"/>
      <c r="M338" s="45"/>
      <c r="N338" s="46"/>
      <c r="O338" s="46"/>
      <c r="P338" s="45"/>
      <c r="Q338" s="45"/>
      <c r="R338" s="45"/>
      <c r="T338" s="42"/>
      <c r="V338" s="45"/>
      <c r="Y338" s="45"/>
      <c r="Z338" s="47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1:40">
      <c r="F339" s="50"/>
      <c r="H339" s="50"/>
      <c r="I339" s="50"/>
      <c r="J339" s="326"/>
      <c r="K339" s="326"/>
      <c r="L339" s="50"/>
      <c r="M339" s="50"/>
      <c r="N339" s="50"/>
      <c r="O339" s="50"/>
      <c r="P339" s="50"/>
      <c r="Q339" s="50"/>
      <c r="R339" s="50"/>
      <c r="V339" s="50"/>
      <c r="Y339" s="50"/>
      <c r="Z339" s="326"/>
      <c r="AA339" s="50"/>
      <c r="AB339" s="50"/>
      <c r="AC339" s="50"/>
      <c r="AD339" s="50"/>
      <c r="AE339" s="50"/>
      <c r="AF339" s="50"/>
      <c r="AI339" s="50"/>
      <c r="AJ339" s="50"/>
      <c r="AK339" s="111"/>
      <c r="AL339" s="50"/>
      <c r="AM339" s="46"/>
      <c r="AN339" s="46"/>
    </row>
    <row r="340" spans="1:40">
      <c r="C340" s="42"/>
      <c r="F340" s="45"/>
      <c r="H340" s="45"/>
      <c r="I340" s="45"/>
      <c r="J340" s="47"/>
      <c r="K340" s="47"/>
      <c r="L340" s="45"/>
      <c r="M340" s="45"/>
      <c r="N340" s="46"/>
      <c r="O340" s="46"/>
      <c r="P340" s="45"/>
      <c r="Q340" s="45"/>
      <c r="R340" s="45"/>
      <c r="T340" s="42"/>
      <c r="V340" s="45"/>
      <c r="Y340" s="45"/>
      <c r="Z340" s="47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1:40">
      <c r="C341" s="42"/>
      <c r="F341" s="45"/>
      <c r="H341" s="164"/>
      <c r="I341" s="164"/>
      <c r="J341" s="331"/>
      <c r="K341" s="331"/>
      <c r="L341" s="45"/>
      <c r="M341" s="45"/>
      <c r="N341" s="46"/>
      <c r="O341" s="46"/>
      <c r="P341" s="45"/>
      <c r="Q341" s="45"/>
      <c r="R341" s="45"/>
      <c r="T341" s="42"/>
      <c r="V341" s="45"/>
      <c r="Y341" s="45"/>
      <c r="Z341" s="325"/>
      <c r="AA341" s="45"/>
      <c r="AB341" s="45"/>
      <c r="AC341" s="46"/>
      <c r="AD341" s="46"/>
      <c r="AE341" s="45"/>
      <c r="AF341" s="45"/>
      <c r="AH341" s="51"/>
      <c r="AI341" s="45"/>
      <c r="AJ341" s="45"/>
      <c r="AL341" s="45"/>
      <c r="AM341" s="46"/>
      <c r="AN341" s="46"/>
    </row>
    <row r="342" spans="1:40">
      <c r="F342" s="50"/>
      <c r="H342" s="50"/>
      <c r="I342" s="50"/>
      <c r="J342" s="326"/>
      <c r="K342" s="326"/>
      <c r="L342" s="50"/>
      <c r="M342" s="50"/>
      <c r="N342" s="50"/>
      <c r="O342" s="50"/>
      <c r="P342" s="50"/>
      <c r="Q342" s="50"/>
      <c r="R342" s="50"/>
      <c r="V342" s="50"/>
      <c r="Y342" s="50"/>
      <c r="Z342" s="326"/>
      <c r="AA342" s="50"/>
      <c r="AB342" s="50"/>
      <c r="AC342" s="50"/>
      <c r="AD342" s="50"/>
      <c r="AE342" s="50"/>
      <c r="AF342" s="50"/>
      <c r="AI342" s="50"/>
      <c r="AJ342" s="50"/>
      <c r="AK342" s="111"/>
      <c r="AL342" s="50"/>
      <c r="AM342" s="46"/>
      <c r="AN342" s="46"/>
    </row>
    <row r="344" spans="1:40">
      <c r="C344" s="42"/>
      <c r="F344" s="45"/>
      <c r="H344" s="45"/>
      <c r="I344" s="45"/>
      <c r="J344" s="326"/>
      <c r="K344" s="326"/>
      <c r="L344" s="45"/>
      <c r="M344" s="45"/>
      <c r="N344" s="46"/>
      <c r="O344" s="46"/>
      <c r="P344" s="45"/>
      <c r="Q344" s="45"/>
      <c r="R344" s="45"/>
      <c r="S344" s="45"/>
      <c r="T344" s="42"/>
      <c r="V344" s="45"/>
      <c r="Y344" s="45"/>
      <c r="Z344" s="326"/>
      <c r="AA344" s="45"/>
      <c r="AB344" s="45"/>
      <c r="AC344" s="46"/>
      <c r="AD344" s="46"/>
      <c r="AE344" s="45"/>
      <c r="AF344" s="45"/>
      <c r="AH344" s="46"/>
      <c r="AI344" s="45"/>
      <c r="AJ344" s="45"/>
      <c r="AL344" s="45"/>
      <c r="AM344" s="46"/>
      <c r="AN344" s="46"/>
    </row>
    <row r="345" spans="1:40">
      <c r="F345" s="50"/>
      <c r="H345" s="50"/>
      <c r="I345" s="50"/>
      <c r="J345" s="326"/>
      <c r="K345" s="326"/>
      <c r="L345" s="50"/>
      <c r="M345" s="50"/>
      <c r="N345" s="50"/>
      <c r="O345" s="50"/>
      <c r="P345" s="50"/>
      <c r="Q345" s="50"/>
      <c r="R345" s="50"/>
      <c r="S345" s="45"/>
      <c r="V345" s="50"/>
      <c r="Y345" s="50"/>
      <c r="Z345" s="326"/>
      <c r="AA345" s="50"/>
      <c r="AB345" s="50"/>
      <c r="AC345" s="50"/>
      <c r="AD345" s="50"/>
      <c r="AE345" s="50"/>
      <c r="AF345" s="50"/>
      <c r="AI345" s="50"/>
      <c r="AJ345" s="50"/>
      <c r="AK345" s="111"/>
      <c r="AL345" s="50"/>
      <c r="AM345" s="46"/>
      <c r="AN345" s="46"/>
    </row>
    <row r="346" spans="1:40">
      <c r="C346" s="42"/>
      <c r="T346" s="42"/>
    </row>
    <row r="347" spans="1:40">
      <c r="C347" s="42"/>
      <c r="F347" s="45"/>
      <c r="H347" s="45"/>
      <c r="I347" s="45"/>
      <c r="L347" s="45"/>
      <c r="M347" s="45"/>
      <c r="N347" s="46"/>
      <c r="O347" s="46"/>
      <c r="P347" s="164"/>
      <c r="Q347" s="164"/>
      <c r="R347" s="45"/>
      <c r="T347" s="42"/>
      <c r="V347" s="45"/>
      <c r="Y347" s="45"/>
      <c r="AA347" s="45"/>
      <c r="AB347" s="45"/>
      <c r="AC347" s="46"/>
      <c r="AD347" s="46"/>
      <c r="AE347" s="45"/>
      <c r="AF347" s="45"/>
      <c r="AH347" s="46"/>
      <c r="AI347" s="164"/>
      <c r="AJ347" s="164"/>
      <c r="AL347" s="45"/>
      <c r="AM347" s="46"/>
      <c r="AN347" s="46"/>
    </row>
    <row r="348" spans="1:40">
      <c r="F348" s="50"/>
      <c r="H348" s="50"/>
      <c r="I348" s="50"/>
      <c r="J348" s="326"/>
      <c r="K348" s="326"/>
      <c r="L348" s="50"/>
      <c r="M348" s="50"/>
      <c r="N348" s="50"/>
      <c r="O348" s="50"/>
      <c r="P348" s="50"/>
      <c r="Q348" s="50"/>
      <c r="R348" s="50"/>
      <c r="V348" s="50"/>
      <c r="Y348" s="50"/>
      <c r="Z348" s="326"/>
      <c r="AA348" s="50"/>
      <c r="AB348" s="50"/>
      <c r="AC348" s="50"/>
      <c r="AD348" s="50"/>
      <c r="AE348" s="50"/>
      <c r="AF348" s="50"/>
      <c r="AI348" s="50"/>
      <c r="AJ348" s="50"/>
      <c r="AK348" s="111"/>
      <c r="AL348" s="50"/>
    </row>
    <row r="350" spans="1:40">
      <c r="C350" s="42"/>
      <c r="L350" s="45"/>
      <c r="M350" s="45"/>
      <c r="N350" s="45"/>
      <c r="O350" s="45"/>
      <c r="P350" s="45"/>
      <c r="Q350" s="45"/>
      <c r="R350" s="45"/>
      <c r="S350" s="45"/>
      <c r="T350" s="42"/>
      <c r="AA350" s="45"/>
      <c r="AB350" s="45"/>
      <c r="AC350" s="45"/>
      <c r="AD350" s="45"/>
      <c r="AI350" s="45"/>
      <c r="AJ350" s="45"/>
      <c r="AL350" s="45"/>
    </row>
    <row r="351" spans="1:40">
      <c r="A351" s="42"/>
    </row>
    <row r="353" spans="1:40">
      <c r="H353" s="42"/>
      <c r="I353" s="42"/>
      <c r="Y353" s="42"/>
    </row>
    <row r="355" spans="1:40">
      <c r="L355" s="42"/>
      <c r="M355" s="42"/>
      <c r="AA355" s="42"/>
      <c r="AB355" s="42"/>
    </row>
    <row r="356" spans="1:40">
      <c r="R356" s="42"/>
      <c r="AK356" s="110"/>
      <c r="AL356" s="42"/>
    </row>
    <row r="357" spans="1:40">
      <c r="R357" s="42"/>
      <c r="AK357" s="110"/>
      <c r="AL357" s="42"/>
    </row>
    <row r="358" spans="1:40">
      <c r="A358" s="42"/>
      <c r="R358" s="42"/>
      <c r="AK358" s="110"/>
      <c r="AL358" s="42"/>
    </row>
    <row r="359" spans="1:40">
      <c r="L359" s="42"/>
      <c r="M359" s="42"/>
      <c r="AA359" s="42"/>
      <c r="AB359" s="42"/>
    </row>
    <row r="360" spans="1:40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107"/>
      <c r="AH360" s="49"/>
      <c r="AI360" s="49"/>
      <c r="AJ360" s="49"/>
      <c r="AK360" s="107"/>
      <c r="AL360" s="49"/>
      <c r="AM360" s="49"/>
      <c r="AN360" s="49"/>
    </row>
    <row r="361" spans="1:40">
      <c r="L361" s="44"/>
      <c r="M361" s="44"/>
      <c r="N361" s="44"/>
      <c r="O361" s="44"/>
      <c r="R361" s="44"/>
      <c r="AA361" s="44"/>
      <c r="AB361" s="44"/>
      <c r="AC361" s="44"/>
      <c r="AD361" s="44"/>
      <c r="AE361" s="44"/>
      <c r="AF361" s="44"/>
      <c r="AG361" s="102"/>
      <c r="AH361" s="44"/>
      <c r="AK361" s="102"/>
      <c r="AL361" s="44"/>
      <c r="AM361" s="44"/>
      <c r="AN361" s="44"/>
    </row>
    <row r="362" spans="1:40">
      <c r="L362" s="44"/>
      <c r="M362" s="44"/>
      <c r="N362" s="44"/>
      <c r="O362" s="44"/>
      <c r="R362" s="44"/>
      <c r="Z362" s="44"/>
      <c r="AA362" s="44"/>
      <c r="AB362" s="44"/>
      <c r="AC362" s="44"/>
      <c r="AD362" s="44"/>
      <c r="AE362" s="44"/>
      <c r="AF362" s="44"/>
      <c r="AG362" s="102"/>
      <c r="AH362" s="44"/>
      <c r="AK362" s="102"/>
      <c r="AL362" s="44"/>
      <c r="AM362" s="44"/>
      <c r="AN362" s="44"/>
    </row>
    <row r="363" spans="1:40">
      <c r="A363" s="44"/>
      <c r="C363" s="44"/>
      <c r="D363" s="44"/>
      <c r="E363" s="44"/>
      <c r="F363" s="44"/>
      <c r="J363" s="44"/>
      <c r="K363" s="44"/>
      <c r="L363" s="44"/>
      <c r="M363" s="44"/>
      <c r="N363" s="44"/>
      <c r="O363" s="44"/>
      <c r="P363" s="44"/>
      <c r="Q363" s="44"/>
      <c r="R363" s="44"/>
      <c r="T363" s="44"/>
      <c r="U363" s="44"/>
      <c r="V363" s="44"/>
      <c r="Z363" s="44"/>
      <c r="AA363" s="44"/>
      <c r="AB363" s="44"/>
      <c r="AC363" s="44"/>
      <c r="AD363" s="44"/>
      <c r="AE363" s="44"/>
      <c r="AF363" s="44"/>
      <c r="AG363" s="102"/>
      <c r="AH363" s="44"/>
      <c r="AI363" s="44"/>
      <c r="AJ363" s="44"/>
      <c r="AK363" s="102"/>
      <c r="AL363" s="44"/>
      <c r="AM363" s="44"/>
      <c r="AN363" s="44"/>
    </row>
    <row r="364" spans="1:40">
      <c r="A364" s="44"/>
      <c r="C364" s="44"/>
      <c r="D364" s="44"/>
      <c r="E364" s="44"/>
      <c r="F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T364" s="44"/>
      <c r="U364" s="44"/>
      <c r="V364" s="44"/>
      <c r="Y364" s="44"/>
      <c r="Z364" s="44"/>
      <c r="AA364" s="44"/>
      <c r="AB364" s="44"/>
      <c r="AC364" s="44"/>
      <c r="AD364" s="44"/>
      <c r="AE364" s="44"/>
      <c r="AF364" s="44"/>
      <c r="AG364" s="102"/>
      <c r="AH364" s="44"/>
      <c r="AI364" s="44"/>
      <c r="AJ364" s="44"/>
      <c r="AK364" s="102"/>
      <c r="AL364" s="44"/>
      <c r="AM364" s="44"/>
      <c r="AN364" s="44"/>
    </row>
    <row r="365" spans="1:40">
      <c r="C365" s="44"/>
      <c r="D365" s="44"/>
      <c r="E365" s="44"/>
      <c r="F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T365" s="44"/>
      <c r="U365" s="44"/>
      <c r="V365" s="44"/>
      <c r="Y365" s="44"/>
      <c r="Z365" s="44"/>
      <c r="AA365" s="44"/>
      <c r="AB365" s="44"/>
      <c r="AC365" s="44"/>
      <c r="AD365" s="44"/>
      <c r="AE365" s="44"/>
      <c r="AF365" s="44"/>
      <c r="AG365" s="102"/>
      <c r="AH365" s="44"/>
      <c r="AI365" s="44"/>
      <c r="AJ365" s="44"/>
      <c r="AK365" s="102"/>
      <c r="AL365" s="44"/>
      <c r="AM365" s="44"/>
      <c r="AN365" s="44"/>
    </row>
    <row r="366" spans="1:40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107"/>
      <c r="AH366" s="49"/>
      <c r="AI366" s="49"/>
      <c r="AJ366" s="49"/>
      <c r="AK366" s="107"/>
      <c r="AL366" s="49"/>
      <c r="AM366" s="49"/>
      <c r="AN366" s="49"/>
    </row>
    <row r="367" spans="1:40"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Y367" s="44"/>
      <c r="Z367" s="44"/>
      <c r="AA367" s="44"/>
      <c r="AB367" s="44"/>
      <c r="AC367" s="44"/>
      <c r="AD367" s="44"/>
      <c r="AE367" s="44"/>
      <c r="AF367" s="44"/>
      <c r="AG367" s="102"/>
      <c r="AH367" s="44"/>
      <c r="AI367" s="44"/>
      <c r="AJ367" s="44"/>
      <c r="AK367" s="102"/>
      <c r="AL367" s="44"/>
      <c r="AM367" s="44"/>
      <c r="AN367" s="44"/>
    </row>
    <row r="368" spans="1:40">
      <c r="C368" s="42"/>
      <c r="D368" s="42"/>
      <c r="E368" s="42"/>
      <c r="T368" s="42"/>
      <c r="U368" s="42"/>
    </row>
    <row r="369" spans="3:40">
      <c r="D369" s="42"/>
      <c r="E369" s="42"/>
      <c r="U369" s="42"/>
    </row>
    <row r="371" spans="3:40">
      <c r="C371" s="42"/>
      <c r="T371" s="42"/>
    </row>
    <row r="372" spans="3:40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164"/>
      <c r="W372" s="45"/>
      <c r="X372" s="45"/>
      <c r="Y372" s="164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3:40">
      <c r="C373" s="42"/>
      <c r="F373" s="45"/>
      <c r="H373" s="45"/>
      <c r="I373" s="45"/>
      <c r="J373" s="326"/>
      <c r="K373" s="326"/>
      <c r="L373" s="45"/>
      <c r="M373" s="45"/>
      <c r="N373" s="46"/>
      <c r="O373" s="46"/>
      <c r="P373" s="45"/>
      <c r="Q373" s="45"/>
      <c r="R373" s="45"/>
      <c r="T373" s="42"/>
      <c r="V373" s="164"/>
      <c r="W373" s="45"/>
      <c r="X373" s="45"/>
      <c r="Y373" s="164"/>
      <c r="Z373" s="326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164"/>
      <c r="W374" s="45"/>
      <c r="X374" s="45"/>
      <c r="Y374" s="164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164"/>
      <c r="W375" s="45"/>
      <c r="X375" s="45"/>
      <c r="Y375" s="164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164"/>
      <c r="W376" s="45"/>
      <c r="X376" s="45"/>
      <c r="Y376" s="164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>
      <c r="C377" s="42"/>
      <c r="F377" s="45"/>
      <c r="H377" s="45"/>
      <c r="I377" s="45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164"/>
      <c r="W377" s="45"/>
      <c r="X377" s="45"/>
      <c r="Y377" s="164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>
      <c r="C378" s="42"/>
      <c r="F378" s="45"/>
      <c r="H378" s="45"/>
      <c r="I378" s="45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164"/>
      <c r="W378" s="45"/>
      <c r="X378" s="45"/>
      <c r="Y378" s="164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>
      <c r="F379" s="54"/>
      <c r="H379" s="338"/>
      <c r="I379" s="338"/>
      <c r="J379" s="132"/>
      <c r="K379" s="132"/>
      <c r="L379" s="54"/>
      <c r="M379" s="54"/>
      <c r="N379" s="50"/>
      <c r="O379" s="50"/>
      <c r="P379" s="54"/>
      <c r="Q379" s="54"/>
      <c r="R379" s="54"/>
      <c r="V379" s="54"/>
      <c r="W379" s="45"/>
      <c r="X379" s="45"/>
      <c r="Y379" s="54"/>
      <c r="Z379" s="132"/>
      <c r="AA379" s="54"/>
      <c r="AB379" s="54"/>
      <c r="AC379" s="55"/>
      <c r="AD379" s="55"/>
      <c r="AE379" s="54"/>
      <c r="AF379" s="54"/>
      <c r="AH379" s="51"/>
      <c r="AI379" s="54"/>
      <c r="AJ379" s="54"/>
      <c r="AK379" s="107"/>
      <c r="AL379" s="54"/>
      <c r="AM379" s="46"/>
      <c r="AN379" s="46"/>
    </row>
    <row r="380" spans="3:40">
      <c r="C380" s="42"/>
      <c r="F380" s="45"/>
      <c r="H380" s="45"/>
      <c r="I380" s="45"/>
      <c r="J380" s="132"/>
      <c r="K380" s="132"/>
      <c r="L380" s="45"/>
      <c r="M380" s="45"/>
      <c r="N380" s="51"/>
      <c r="O380" s="51"/>
      <c r="P380" s="45"/>
      <c r="Q380" s="45"/>
      <c r="R380" s="45"/>
      <c r="T380" s="44"/>
      <c r="V380" s="45"/>
      <c r="W380" s="45"/>
      <c r="X380" s="45"/>
      <c r="Y380" s="45"/>
      <c r="Z380" s="132"/>
      <c r="AA380" s="45"/>
      <c r="AB380" s="45"/>
      <c r="AC380" s="51"/>
      <c r="AD380" s="51"/>
      <c r="AE380" s="45"/>
      <c r="AF380" s="45"/>
      <c r="AH380" s="51"/>
      <c r="AI380" s="45"/>
      <c r="AJ380" s="45"/>
      <c r="AL380" s="45"/>
      <c r="AM380" s="46"/>
      <c r="AN380" s="46"/>
    </row>
    <row r="381" spans="3:40">
      <c r="F381" s="49"/>
      <c r="H381" s="49"/>
      <c r="I381" s="49"/>
      <c r="L381" s="49"/>
      <c r="M381" s="49"/>
      <c r="N381" s="55"/>
      <c r="O381" s="55"/>
      <c r="P381" s="54"/>
      <c r="Q381" s="54"/>
      <c r="R381" s="54"/>
      <c r="V381" s="54"/>
      <c r="Y381" s="54"/>
      <c r="Z381" s="326"/>
      <c r="AA381" s="54"/>
      <c r="AB381" s="54"/>
      <c r="AC381" s="54"/>
      <c r="AD381" s="54"/>
      <c r="AE381" s="54"/>
      <c r="AF381" s="54"/>
      <c r="AI381" s="54"/>
      <c r="AJ381" s="54"/>
      <c r="AK381" s="107"/>
      <c r="AL381" s="54"/>
      <c r="AM381" s="55"/>
      <c r="AN381" s="55"/>
    </row>
    <row r="386" spans="1:40">
      <c r="N386" s="45"/>
      <c r="O386" s="45"/>
      <c r="P386" s="45"/>
      <c r="Q386" s="45"/>
      <c r="R386" s="45"/>
      <c r="V386" s="45"/>
      <c r="Y386" s="45"/>
      <c r="Z386" s="47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1:40">
      <c r="C387" s="42"/>
      <c r="D387" s="42"/>
      <c r="E387" s="42"/>
      <c r="J387" s="56"/>
      <c r="K387" s="56"/>
      <c r="T387" s="42"/>
      <c r="U387" s="42"/>
      <c r="Z387" s="56"/>
      <c r="AE387" s="45"/>
      <c r="AF387" s="45"/>
      <c r="AI387" s="45"/>
      <c r="AJ387" s="45"/>
      <c r="AL387" s="45"/>
      <c r="AM387" s="46"/>
      <c r="AN387" s="46"/>
    </row>
    <row r="388" spans="1:40">
      <c r="D388" s="42"/>
      <c r="E388" s="42"/>
      <c r="F388" s="45"/>
      <c r="H388" s="45"/>
      <c r="I388" s="45"/>
      <c r="J388" s="132"/>
      <c r="K388" s="132"/>
      <c r="L388" s="45"/>
      <c r="M388" s="45"/>
      <c r="N388" s="46"/>
      <c r="O388" s="46"/>
      <c r="P388" s="45"/>
      <c r="Q388" s="45"/>
      <c r="R388" s="45"/>
      <c r="U388" s="42"/>
      <c r="V388" s="45"/>
      <c r="Y388" s="45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1:40">
      <c r="F389" s="45"/>
      <c r="H389" s="45"/>
      <c r="I389" s="45"/>
      <c r="J389" s="326"/>
      <c r="K389" s="326"/>
      <c r="L389" s="45"/>
      <c r="M389" s="45"/>
      <c r="N389" s="45"/>
      <c r="O389" s="45"/>
      <c r="P389" s="45"/>
      <c r="Q389" s="45"/>
      <c r="R389" s="45"/>
      <c r="V389" s="45"/>
      <c r="Y389" s="45"/>
      <c r="Z389" s="326"/>
      <c r="AA389" s="45"/>
      <c r="AB389" s="45"/>
      <c r="AC389" s="45"/>
      <c r="AD389" s="45"/>
      <c r="AE389" s="45"/>
      <c r="AF389" s="45"/>
      <c r="AH389" s="51"/>
      <c r="AI389" s="164"/>
      <c r="AJ389" s="164"/>
      <c r="AL389" s="45"/>
      <c r="AM389" s="46"/>
      <c r="AN389" s="46"/>
    </row>
    <row r="390" spans="1:40">
      <c r="C390" s="42"/>
      <c r="F390" s="164"/>
      <c r="H390" s="164"/>
      <c r="I390" s="164"/>
      <c r="J390" s="325"/>
      <c r="K390" s="325"/>
      <c r="L390" s="45"/>
      <c r="M390" s="45"/>
      <c r="N390" s="46"/>
      <c r="O390" s="46"/>
      <c r="P390" s="45"/>
      <c r="Q390" s="45"/>
      <c r="R390" s="45"/>
      <c r="T390" s="42"/>
      <c r="V390" s="164"/>
      <c r="Y390" s="164"/>
      <c r="Z390" s="325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1:40">
      <c r="F391" s="49"/>
      <c r="H391" s="49"/>
      <c r="I391" s="49"/>
      <c r="L391" s="49"/>
      <c r="M391" s="49"/>
      <c r="N391" s="49"/>
      <c r="O391" s="49"/>
      <c r="P391" s="49"/>
      <c r="Q391" s="49"/>
      <c r="R391" s="49"/>
      <c r="V391" s="49"/>
      <c r="Y391" s="49"/>
      <c r="AA391" s="49"/>
      <c r="AB391" s="49"/>
      <c r="AC391" s="49"/>
      <c r="AD391" s="49"/>
      <c r="AE391" s="49"/>
      <c r="AF391" s="49"/>
      <c r="AG391" s="107"/>
      <c r="AH391" s="49"/>
      <c r="AI391" s="49"/>
      <c r="AJ391" s="49"/>
      <c r="AK391" s="107"/>
      <c r="AL391" s="49"/>
      <c r="AM391" s="49"/>
      <c r="AN391" s="49"/>
    </row>
    <row r="392" spans="1:40">
      <c r="C392" s="44"/>
      <c r="F392" s="164"/>
      <c r="H392" s="164"/>
      <c r="I392" s="164"/>
      <c r="J392" s="316"/>
      <c r="K392" s="316"/>
      <c r="L392" s="164"/>
      <c r="M392" s="164"/>
      <c r="N392" s="46"/>
      <c r="O392" s="46"/>
      <c r="P392" s="164"/>
      <c r="Q392" s="164"/>
      <c r="R392" s="164"/>
      <c r="T392" s="44"/>
      <c r="V392" s="45"/>
      <c r="Y392" s="45"/>
      <c r="Z392" s="47"/>
      <c r="AA392" s="45"/>
      <c r="AB392" s="45"/>
      <c r="AC392" s="46"/>
      <c r="AD392" s="46"/>
      <c r="AH392" s="51"/>
      <c r="AI392" s="45"/>
      <c r="AJ392" s="45"/>
      <c r="AL392" s="45"/>
      <c r="AM392" s="46"/>
      <c r="AN392" s="46"/>
    </row>
    <row r="393" spans="1:40">
      <c r="F393" s="54"/>
      <c r="H393" s="54"/>
      <c r="I393" s="54"/>
      <c r="J393" s="326"/>
      <c r="K393" s="326"/>
      <c r="L393" s="54"/>
      <c r="M393" s="54"/>
      <c r="N393" s="54"/>
      <c r="O393" s="54"/>
      <c r="P393" s="54"/>
      <c r="Q393" s="54"/>
      <c r="R393" s="54"/>
      <c r="V393" s="49"/>
      <c r="Y393" s="49"/>
      <c r="AA393" s="49"/>
      <c r="AB393" s="49"/>
      <c r="AC393" s="49"/>
      <c r="AD393" s="49"/>
      <c r="AE393" s="49"/>
      <c r="AF393" s="49"/>
      <c r="AG393" s="107"/>
      <c r="AH393" s="49"/>
      <c r="AI393" s="49"/>
      <c r="AJ393" s="49"/>
      <c r="AK393" s="107"/>
      <c r="AL393" s="49"/>
      <c r="AM393" s="49"/>
      <c r="AN393" s="49"/>
    </row>
    <row r="394" spans="1:40">
      <c r="F394" s="164"/>
      <c r="H394" s="164"/>
      <c r="I394" s="164"/>
      <c r="J394" s="336"/>
      <c r="K394" s="336"/>
      <c r="L394" s="45"/>
      <c r="M394" s="45"/>
      <c r="N394" s="46"/>
      <c r="O394" s="46"/>
      <c r="P394" s="45"/>
      <c r="Q394" s="45"/>
      <c r="R394" s="45"/>
    </row>
    <row r="395" spans="1:40">
      <c r="A395" s="42"/>
      <c r="F395" s="164"/>
      <c r="H395" s="164"/>
      <c r="I395" s="164"/>
      <c r="J395" s="316"/>
      <c r="K395" s="316"/>
      <c r="L395" s="45"/>
      <c r="M395" s="45"/>
      <c r="N395" s="46"/>
      <c r="O395" s="46"/>
      <c r="P395" s="45"/>
      <c r="Q395" s="45"/>
      <c r="R395" s="45"/>
    </row>
    <row r="396" spans="1:40">
      <c r="F396" s="164"/>
      <c r="H396" s="164"/>
      <c r="I396" s="164"/>
      <c r="J396" s="316"/>
      <c r="K396" s="316"/>
      <c r="L396" s="45"/>
      <c r="M396" s="45"/>
      <c r="N396" s="46"/>
      <c r="O396" s="46"/>
      <c r="P396" s="45"/>
      <c r="Q396" s="45"/>
      <c r="R396" s="45"/>
    </row>
    <row r="397" spans="1:40">
      <c r="A397" s="42"/>
    </row>
    <row r="400" spans="1:40">
      <c r="H400" s="42"/>
      <c r="I400" s="42"/>
      <c r="Y400" s="42"/>
    </row>
    <row r="402" spans="1:40">
      <c r="L402" s="42"/>
      <c r="M402" s="42"/>
      <c r="AA402" s="42"/>
      <c r="AB402" s="42"/>
    </row>
    <row r="403" spans="1:40">
      <c r="R403" s="42"/>
      <c r="AK403" s="110"/>
      <c r="AL403" s="42"/>
    </row>
    <row r="404" spans="1:40">
      <c r="R404" s="42"/>
      <c r="AK404" s="110"/>
      <c r="AL404" s="42"/>
    </row>
    <row r="405" spans="1:40">
      <c r="A405" s="42"/>
      <c r="R405" s="42"/>
      <c r="AK405" s="110"/>
      <c r="AL405" s="42"/>
    </row>
    <row r="406" spans="1:40">
      <c r="L406" s="42"/>
      <c r="M406" s="42"/>
      <c r="AA406" s="42"/>
      <c r="AB406" s="42"/>
    </row>
    <row r="407" spans="1:40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107"/>
      <c r="AH407" s="49"/>
      <c r="AI407" s="49"/>
      <c r="AJ407" s="49"/>
      <c r="AK407" s="107"/>
      <c r="AL407" s="49"/>
      <c r="AM407" s="49"/>
      <c r="AN407" s="49"/>
    </row>
    <row r="408" spans="1:40">
      <c r="L408" s="44"/>
      <c r="M408" s="44"/>
      <c r="N408" s="44"/>
      <c r="O408" s="44"/>
      <c r="R408" s="44"/>
      <c r="AA408" s="44"/>
      <c r="AB408" s="44"/>
      <c r="AC408" s="44"/>
      <c r="AD408" s="44"/>
      <c r="AE408" s="44"/>
      <c r="AF408" s="44"/>
      <c r="AG408" s="102"/>
      <c r="AH408" s="44"/>
      <c r="AK408" s="102"/>
      <c r="AL408" s="44"/>
      <c r="AM408" s="44"/>
      <c r="AN408" s="44"/>
    </row>
    <row r="409" spans="1:40">
      <c r="L409" s="44"/>
      <c r="M409" s="44"/>
      <c r="N409" s="44"/>
      <c r="O409" s="44"/>
      <c r="R409" s="44"/>
      <c r="Z409" s="44"/>
      <c r="AA409" s="44"/>
      <c r="AB409" s="44"/>
      <c r="AC409" s="44"/>
      <c r="AD409" s="44"/>
      <c r="AE409" s="44"/>
      <c r="AF409" s="44"/>
      <c r="AG409" s="102"/>
      <c r="AH409" s="44"/>
      <c r="AK409" s="102"/>
      <c r="AL409" s="44"/>
      <c r="AM409" s="44"/>
      <c r="AN409" s="44"/>
    </row>
    <row r="410" spans="1:40">
      <c r="A410" s="44"/>
      <c r="C410" s="44"/>
      <c r="D410" s="44"/>
      <c r="E410" s="44"/>
      <c r="F410" s="44"/>
      <c r="J410" s="44"/>
      <c r="K410" s="44"/>
      <c r="L410" s="44"/>
      <c r="M410" s="44"/>
      <c r="N410" s="44"/>
      <c r="O410" s="44"/>
      <c r="P410" s="44"/>
      <c r="Q410" s="44"/>
      <c r="R410" s="44"/>
      <c r="T410" s="44"/>
      <c r="U410" s="44"/>
      <c r="V410" s="44"/>
      <c r="Z410" s="44"/>
      <c r="AA410" s="44"/>
      <c r="AB410" s="44"/>
      <c r="AC410" s="44"/>
      <c r="AD410" s="44"/>
      <c r="AE410" s="44"/>
      <c r="AF410" s="44"/>
      <c r="AG410" s="102"/>
      <c r="AH410" s="44"/>
      <c r="AI410" s="44"/>
      <c r="AJ410" s="44"/>
      <c r="AK410" s="102"/>
      <c r="AL410" s="44"/>
      <c r="AM410" s="44"/>
      <c r="AN410" s="44"/>
    </row>
    <row r="411" spans="1:40">
      <c r="A411" s="44"/>
      <c r="C411" s="44"/>
      <c r="D411" s="44"/>
      <c r="E411" s="44"/>
      <c r="F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T411" s="44"/>
      <c r="U411" s="44"/>
      <c r="V411" s="44"/>
      <c r="Y411" s="44"/>
      <c r="Z411" s="44"/>
      <c r="AA411" s="44"/>
      <c r="AB411" s="44"/>
      <c r="AC411" s="44"/>
      <c r="AD411" s="44"/>
      <c r="AE411" s="44"/>
      <c r="AF411" s="44"/>
      <c r="AG411" s="102"/>
      <c r="AH411" s="44"/>
      <c r="AI411" s="44"/>
      <c r="AJ411" s="44"/>
      <c r="AK411" s="102"/>
      <c r="AL411" s="44"/>
      <c r="AM411" s="44"/>
      <c r="AN411" s="44"/>
    </row>
    <row r="412" spans="1:40">
      <c r="C412" s="44"/>
      <c r="D412" s="44"/>
      <c r="E412" s="44"/>
      <c r="F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T412" s="44"/>
      <c r="U412" s="44"/>
      <c r="V412" s="44"/>
      <c r="Y412" s="44"/>
      <c r="Z412" s="44"/>
      <c r="AA412" s="44"/>
      <c r="AB412" s="44"/>
      <c r="AC412" s="44"/>
      <c r="AD412" s="44"/>
      <c r="AE412" s="44"/>
      <c r="AF412" s="44"/>
      <c r="AG412" s="102"/>
      <c r="AH412" s="44"/>
      <c r="AI412" s="44"/>
      <c r="AJ412" s="44"/>
      <c r="AK412" s="102"/>
      <c r="AL412" s="44"/>
      <c r="AM412" s="44"/>
      <c r="AN412" s="44"/>
    </row>
    <row r="413" spans="1:40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107"/>
      <c r="AH413" s="49"/>
      <c r="AI413" s="49"/>
      <c r="AJ413" s="49"/>
      <c r="AK413" s="107"/>
      <c r="AL413" s="49"/>
      <c r="AM413" s="49"/>
      <c r="AN413" s="49"/>
    </row>
    <row r="414" spans="1:40"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Y414" s="44"/>
      <c r="Z414" s="44"/>
      <c r="AA414" s="44"/>
      <c r="AB414" s="44"/>
      <c r="AC414" s="44"/>
      <c r="AD414" s="44"/>
      <c r="AE414" s="44"/>
      <c r="AF414" s="44"/>
      <c r="AG414" s="102"/>
      <c r="AH414" s="44"/>
      <c r="AI414" s="44"/>
      <c r="AJ414" s="44"/>
      <c r="AK414" s="102"/>
      <c r="AL414" s="44"/>
      <c r="AM414" s="44"/>
      <c r="AN414" s="44"/>
    </row>
    <row r="415" spans="1:40">
      <c r="C415" s="42"/>
      <c r="D415" s="42"/>
      <c r="E415" s="42"/>
      <c r="T415" s="42"/>
      <c r="U415" s="42"/>
    </row>
    <row r="417" spans="3:40">
      <c r="C417" s="42"/>
      <c r="T417" s="42"/>
    </row>
    <row r="418" spans="3:40">
      <c r="C418" s="42"/>
      <c r="F418" s="164"/>
      <c r="H418" s="164"/>
      <c r="I418" s="164"/>
      <c r="J418" s="326"/>
      <c r="K418" s="326"/>
      <c r="L418" s="45"/>
      <c r="M418" s="45"/>
      <c r="N418" s="46"/>
      <c r="O418" s="46"/>
      <c r="P418" s="45"/>
      <c r="Q418" s="45"/>
      <c r="R418" s="45"/>
      <c r="T418" s="42"/>
      <c r="V418" s="164"/>
      <c r="Y418" s="164"/>
      <c r="Z418" s="326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>
      <c r="C419" s="42"/>
      <c r="T419" s="42"/>
    </row>
    <row r="420" spans="3:40">
      <c r="C420" s="42"/>
      <c r="F420" s="164"/>
      <c r="H420" s="164"/>
      <c r="I420" s="164"/>
      <c r="J420" s="132"/>
      <c r="K420" s="132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132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>
      <c r="C421" s="42"/>
      <c r="F421" s="164"/>
      <c r="H421" s="164"/>
      <c r="I421" s="164"/>
      <c r="J421" s="132"/>
      <c r="K421" s="132"/>
      <c r="L421" s="45"/>
      <c r="M421" s="45"/>
      <c r="N421" s="46"/>
      <c r="O421" s="46"/>
      <c r="P421" s="45"/>
      <c r="Q421" s="45"/>
      <c r="R421" s="45"/>
      <c r="T421" s="42"/>
      <c r="V421" s="45"/>
      <c r="Y421" s="45"/>
      <c r="Z421" s="132"/>
      <c r="AA421" s="45"/>
      <c r="AB421" s="45"/>
      <c r="AC421" s="46"/>
      <c r="AD421" s="46"/>
      <c r="AE421" s="45"/>
      <c r="AF421" s="45"/>
      <c r="AH421" s="51"/>
      <c r="AI421" s="45"/>
      <c r="AJ421" s="45"/>
      <c r="AL421" s="45"/>
      <c r="AM421" s="46"/>
      <c r="AN421" s="46"/>
    </row>
    <row r="422" spans="3:40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>
      <c r="C424" s="42"/>
      <c r="J424" s="56"/>
      <c r="K424" s="56"/>
      <c r="T424" s="42"/>
      <c r="Z424" s="56"/>
    </row>
    <row r="425" spans="3:40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>
      <c r="C426" s="42"/>
      <c r="F426" s="164"/>
      <c r="H426" s="164"/>
      <c r="I426" s="164"/>
      <c r="J426" s="132"/>
      <c r="K426" s="132"/>
      <c r="L426" s="45"/>
      <c r="M426" s="45"/>
      <c r="N426" s="46"/>
      <c r="O426" s="46"/>
      <c r="P426" s="45"/>
      <c r="Q426" s="45"/>
      <c r="R426" s="45"/>
      <c r="T426" s="42"/>
      <c r="V426" s="45"/>
      <c r="Y426" s="45"/>
      <c r="Z426" s="132"/>
      <c r="AA426" s="45"/>
      <c r="AB426" s="45"/>
      <c r="AC426" s="46"/>
      <c r="AD426" s="46"/>
      <c r="AE426" s="45"/>
      <c r="AF426" s="45"/>
      <c r="AH426" s="51"/>
      <c r="AI426" s="45"/>
      <c r="AJ426" s="45"/>
      <c r="AL426" s="45"/>
      <c r="AM426" s="46"/>
      <c r="AN426" s="46"/>
    </row>
    <row r="427" spans="3:40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>
      <c r="C428" s="42"/>
      <c r="J428" s="56"/>
      <c r="K428" s="56"/>
      <c r="T428" s="42"/>
      <c r="Z428" s="56"/>
    </row>
    <row r="429" spans="3:40">
      <c r="C429" s="42"/>
      <c r="F429" s="164"/>
      <c r="H429" s="164"/>
      <c r="I429" s="164"/>
      <c r="J429" s="132"/>
      <c r="K429" s="132"/>
      <c r="L429" s="45"/>
      <c r="M429" s="45"/>
      <c r="N429" s="46"/>
      <c r="O429" s="46"/>
      <c r="P429" s="45"/>
      <c r="Q429" s="45"/>
      <c r="R429" s="45"/>
      <c r="T429" s="42"/>
      <c r="V429" s="45"/>
      <c r="Y429" s="45"/>
      <c r="Z429" s="132"/>
      <c r="AA429" s="45"/>
      <c r="AB429" s="45"/>
      <c r="AC429" s="46"/>
      <c r="AD429" s="46"/>
      <c r="AE429" s="45"/>
      <c r="AF429" s="45"/>
      <c r="AH429" s="51"/>
      <c r="AI429" s="45"/>
      <c r="AJ429" s="45"/>
      <c r="AL429" s="45"/>
      <c r="AM429" s="46"/>
      <c r="AN429" s="46"/>
    </row>
    <row r="430" spans="3:40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>
      <c r="C431" s="42"/>
      <c r="J431" s="56"/>
      <c r="K431" s="56"/>
      <c r="T431" s="42"/>
      <c r="Z431" s="56"/>
    </row>
    <row r="432" spans="3:40">
      <c r="C432" s="42"/>
      <c r="F432" s="164"/>
      <c r="H432" s="164"/>
      <c r="I432" s="164"/>
      <c r="J432" s="132"/>
      <c r="K432" s="132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132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3:40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>
      <c r="F435" s="50"/>
      <c r="H435" s="50"/>
      <c r="I435" s="50"/>
      <c r="J435" s="132"/>
      <c r="K435" s="132"/>
      <c r="L435" s="50"/>
      <c r="M435" s="50"/>
      <c r="N435" s="50"/>
      <c r="O435" s="50"/>
      <c r="P435" s="50"/>
      <c r="Q435" s="50"/>
      <c r="R435" s="50"/>
      <c r="V435" s="50"/>
      <c r="Y435" s="50"/>
      <c r="Z435" s="132"/>
      <c r="AA435" s="50"/>
      <c r="AB435" s="50"/>
      <c r="AC435" s="50"/>
      <c r="AD435" s="50"/>
      <c r="AE435" s="50"/>
      <c r="AF435" s="50"/>
      <c r="AI435" s="50"/>
      <c r="AJ435" s="50"/>
      <c r="AK435" s="111"/>
      <c r="AL435" s="50"/>
    </row>
    <row r="436" spans="3:40">
      <c r="C436" s="44"/>
      <c r="F436" s="45"/>
      <c r="H436" s="45"/>
      <c r="I436" s="45"/>
      <c r="J436" s="56"/>
      <c r="K436" s="56"/>
      <c r="L436" s="45"/>
      <c r="M436" s="45"/>
      <c r="N436" s="51"/>
      <c r="O436" s="51"/>
      <c r="P436" s="45"/>
      <c r="Q436" s="45"/>
      <c r="R436" s="45"/>
      <c r="T436" s="44"/>
      <c r="V436" s="45"/>
      <c r="Y436" s="45"/>
      <c r="Z436" s="56"/>
      <c r="AA436" s="45"/>
      <c r="AB436" s="45"/>
      <c r="AC436" s="45"/>
      <c r="AD436" s="45"/>
      <c r="AE436" s="45"/>
      <c r="AF436" s="45"/>
      <c r="AH436" s="51"/>
      <c r="AI436" s="45"/>
      <c r="AJ436" s="45"/>
      <c r="AL436" s="45"/>
      <c r="AM436" s="46"/>
      <c r="AN436" s="46"/>
    </row>
    <row r="437" spans="3:40">
      <c r="F437" s="50"/>
      <c r="H437" s="50"/>
      <c r="I437" s="50"/>
      <c r="J437" s="132"/>
      <c r="K437" s="132"/>
      <c r="L437" s="50"/>
      <c r="M437" s="50"/>
      <c r="N437" s="50"/>
      <c r="O437" s="50"/>
      <c r="P437" s="50"/>
      <c r="Q437" s="50"/>
      <c r="R437" s="50"/>
      <c r="V437" s="50"/>
      <c r="Y437" s="50"/>
      <c r="Z437" s="132"/>
      <c r="AA437" s="50"/>
      <c r="AB437" s="50"/>
      <c r="AC437" s="50"/>
      <c r="AD437" s="50"/>
      <c r="AE437" s="50"/>
      <c r="AF437" s="50"/>
      <c r="AI437" s="50"/>
      <c r="AJ437" s="50"/>
      <c r="AK437" s="111"/>
      <c r="AL437" s="50"/>
    </row>
    <row r="438" spans="3:40">
      <c r="C438" s="42"/>
      <c r="J438" s="56"/>
      <c r="K438" s="56"/>
      <c r="T438" s="42"/>
      <c r="Z438" s="56"/>
    </row>
    <row r="439" spans="3:40">
      <c r="C439" s="42"/>
      <c r="J439" s="56"/>
      <c r="K439" s="56"/>
      <c r="T439" s="42"/>
      <c r="Z439" s="56"/>
    </row>
    <row r="440" spans="3:40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>
      <c r="C441" s="42"/>
      <c r="F441" s="164"/>
      <c r="H441" s="164"/>
      <c r="I441" s="164"/>
      <c r="J441" s="132"/>
      <c r="K441" s="132"/>
      <c r="L441" s="45"/>
      <c r="M441" s="45"/>
      <c r="N441" s="46"/>
      <c r="O441" s="46"/>
      <c r="P441" s="45"/>
      <c r="Q441" s="45"/>
      <c r="R441" s="45"/>
      <c r="T441" s="42"/>
      <c r="V441" s="45"/>
      <c r="Y441" s="45"/>
      <c r="Z441" s="132"/>
      <c r="AA441" s="45"/>
      <c r="AB441" s="45"/>
      <c r="AC441" s="46"/>
      <c r="AD441" s="46"/>
      <c r="AE441" s="45"/>
      <c r="AF441" s="45"/>
      <c r="AH441" s="51"/>
      <c r="AI441" s="45"/>
      <c r="AJ441" s="45"/>
      <c r="AL441" s="45"/>
      <c r="AM441" s="46"/>
      <c r="AN441" s="46"/>
    </row>
    <row r="442" spans="3:40">
      <c r="C442" s="42"/>
      <c r="F442" s="164"/>
      <c r="H442" s="164"/>
      <c r="I442" s="164"/>
      <c r="J442" s="132"/>
      <c r="K442" s="132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132"/>
      <c r="AA442" s="45"/>
      <c r="AB442" s="45"/>
      <c r="AC442" s="46"/>
      <c r="AD442" s="46"/>
      <c r="AE442" s="45"/>
      <c r="AF442" s="45"/>
      <c r="AH442" s="51"/>
      <c r="AI442" s="45"/>
      <c r="AJ442" s="45"/>
      <c r="AL442" s="45"/>
      <c r="AM442" s="46"/>
      <c r="AN442" s="46"/>
    </row>
    <row r="443" spans="3:40">
      <c r="C443" s="42"/>
      <c r="F443" s="164"/>
      <c r="H443" s="164"/>
      <c r="I443" s="164"/>
      <c r="J443" s="132"/>
      <c r="K443" s="132"/>
      <c r="L443" s="45"/>
      <c r="M443" s="45"/>
      <c r="N443" s="46"/>
      <c r="O443" s="46"/>
      <c r="P443" s="45"/>
      <c r="Q443" s="45"/>
      <c r="R443" s="45"/>
      <c r="T443" s="42"/>
      <c r="V443" s="45"/>
      <c r="Y443" s="45"/>
      <c r="Z443" s="132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>
      <c r="C444" s="42"/>
      <c r="F444" s="164"/>
      <c r="H444" s="164"/>
      <c r="I444" s="164"/>
      <c r="J444" s="132"/>
      <c r="K444" s="132"/>
      <c r="L444" s="45"/>
      <c r="M444" s="45"/>
      <c r="N444" s="46"/>
      <c r="O444" s="46"/>
      <c r="P444" s="45"/>
      <c r="Q444" s="45"/>
      <c r="R444" s="45"/>
      <c r="T444" s="42"/>
      <c r="V444" s="45"/>
      <c r="Y444" s="45"/>
      <c r="Z444" s="132"/>
      <c r="AA444" s="45"/>
      <c r="AB444" s="45"/>
      <c r="AC444" s="46"/>
      <c r="AD444" s="46"/>
      <c r="AE444" s="45"/>
      <c r="AF444" s="45"/>
      <c r="AH444" s="51"/>
      <c r="AI444" s="45"/>
      <c r="AJ444" s="45"/>
      <c r="AL444" s="45"/>
      <c r="AM444" s="46"/>
      <c r="AN444" s="46"/>
    </row>
    <row r="445" spans="3:40">
      <c r="C445" s="42"/>
      <c r="F445" s="164"/>
      <c r="H445" s="164"/>
      <c r="I445" s="164"/>
      <c r="J445" s="132"/>
      <c r="K445" s="132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132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>
      <c r="C446" s="42"/>
      <c r="F446" s="164"/>
      <c r="H446" s="164"/>
      <c r="I446" s="164"/>
      <c r="J446" s="132"/>
      <c r="K446" s="132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132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>
      <c r="C447" s="42"/>
      <c r="J447" s="56"/>
      <c r="K447" s="56"/>
      <c r="T447" s="42"/>
      <c r="Z447" s="56"/>
    </row>
    <row r="448" spans="3:40">
      <c r="C448" s="42"/>
      <c r="F448" s="164"/>
      <c r="H448" s="164"/>
      <c r="I448" s="164"/>
      <c r="J448" s="132"/>
      <c r="K448" s="132"/>
      <c r="L448" s="45"/>
      <c r="M448" s="45"/>
      <c r="N448" s="46"/>
      <c r="O448" s="46"/>
      <c r="P448" s="45"/>
      <c r="Q448" s="45"/>
      <c r="R448" s="45"/>
      <c r="T448" s="42"/>
      <c r="V448" s="45"/>
      <c r="Y448" s="45"/>
      <c r="Z448" s="132"/>
      <c r="AA448" s="45"/>
      <c r="AB448" s="45"/>
      <c r="AC448" s="46"/>
      <c r="AD448" s="46"/>
      <c r="AE448" s="45"/>
      <c r="AF448" s="45"/>
      <c r="AH448" s="51"/>
      <c r="AI448" s="45"/>
      <c r="AJ448" s="45"/>
      <c r="AL448" s="45"/>
      <c r="AM448" s="46"/>
      <c r="AN448" s="46"/>
    </row>
    <row r="449" spans="3:40">
      <c r="C449" s="42"/>
      <c r="F449" s="164"/>
      <c r="H449" s="164"/>
      <c r="I449" s="164"/>
      <c r="J449" s="132"/>
      <c r="K449" s="132"/>
      <c r="L449" s="45"/>
      <c r="M449" s="45"/>
      <c r="N449" s="46"/>
      <c r="O449" s="46"/>
      <c r="P449" s="45"/>
      <c r="Q449" s="45"/>
      <c r="R449" s="45"/>
      <c r="T449" s="42"/>
      <c r="V449" s="45"/>
      <c r="Y449" s="45"/>
      <c r="Z449" s="132"/>
      <c r="AA449" s="45"/>
      <c r="AB449" s="45"/>
      <c r="AC449" s="46"/>
      <c r="AD449" s="46"/>
      <c r="AE449" s="45"/>
      <c r="AF449" s="45"/>
      <c r="AH449" s="51"/>
      <c r="AI449" s="45"/>
      <c r="AJ449" s="45"/>
      <c r="AL449" s="45"/>
      <c r="AM449" s="46"/>
      <c r="AN449" s="46"/>
    </row>
    <row r="450" spans="3:40">
      <c r="C450" s="42"/>
      <c r="F450" s="164"/>
      <c r="H450" s="164"/>
      <c r="I450" s="164"/>
      <c r="J450" s="132"/>
      <c r="K450" s="132"/>
      <c r="L450" s="45"/>
      <c r="M450" s="45"/>
      <c r="N450" s="46"/>
      <c r="O450" s="46"/>
      <c r="P450" s="45"/>
      <c r="Q450" s="45"/>
      <c r="R450" s="45"/>
      <c r="T450" s="42"/>
      <c r="V450" s="45"/>
      <c r="Y450" s="45"/>
      <c r="Z450" s="132"/>
      <c r="AA450" s="45"/>
      <c r="AB450" s="45"/>
      <c r="AC450" s="46"/>
      <c r="AD450" s="46"/>
      <c r="AE450" s="45"/>
      <c r="AF450" s="45"/>
      <c r="AH450" s="51"/>
      <c r="AI450" s="45"/>
      <c r="AJ450" s="45"/>
      <c r="AL450" s="45"/>
      <c r="AM450" s="46"/>
      <c r="AN450" s="46"/>
    </row>
    <row r="451" spans="3:40">
      <c r="C451" s="42"/>
      <c r="F451" s="164"/>
      <c r="H451" s="164"/>
      <c r="I451" s="164"/>
      <c r="J451" s="132"/>
      <c r="K451" s="132"/>
      <c r="L451" s="45"/>
      <c r="M451" s="45"/>
      <c r="N451" s="46"/>
      <c r="O451" s="46"/>
      <c r="P451" s="45"/>
      <c r="Q451" s="45"/>
      <c r="R451" s="45"/>
      <c r="T451" s="42"/>
      <c r="V451" s="45"/>
      <c r="Y451" s="45"/>
      <c r="Z451" s="132"/>
      <c r="AA451" s="45"/>
      <c r="AB451" s="45"/>
      <c r="AC451" s="46"/>
      <c r="AD451" s="46"/>
      <c r="AE451" s="45"/>
      <c r="AF451" s="45"/>
      <c r="AH451" s="51"/>
      <c r="AI451" s="45"/>
      <c r="AJ451" s="45"/>
      <c r="AL451" s="45"/>
      <c r="AM451" s="46"/>
      <c r="AN451" s="46"/>
    </row>
    <row r="452" spans="3:40">
      <c r="C452" s="42"/>
      <c r="J452" s="56"/>
      <c r="K452" s="56"/>
      <c r="T452" s="42"/>
      <c r="Z452" s="56"/>
    </row>
    <row r="453" spans="3:40">
      <c r="C453" s="42"/>
      <c r="F453" s="164"/>
      <c r="H453" s="164"/>
      <c r="I453" s="164"/>
      <c r="J453" s="132"/>
      <c r="K453" s="132"/>
      <c r="L453" s="45"/>
      <c r="M453" s="45"/>
      <c r="N453" s="46"/>
      <c r="O453" s="46"/>
      <c r="P453" s="45"/>
      <c r="Q453" s="45"/>
      <c r="R453" s="45"/>
      <c r="T453" s="42"/>
      <c r="V453" s="45"/>
      <c r="Y453" s="45"/>
      <c r="Z453" s="132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3:40">
      <c r="C454" s="42"/>
      <c r="F454" s="164"/>
      <c r="H454" s="164"/>
      <c r="I454" s="164"/>
      <c r="J454" s="132"/>
      <c r="K454" s="132"/>
      <c r="L454" s="45"/>
      <c r="M454" s="45"/>
      <c r="N454" s="46"/>
      <c r="O454" s="46"/>
      <c r="P454" s="45"/>
      <c r="Q454" s="45"/>
      <c r="R454" s="45"/>
      <c r="T454" s="42"/>
      <c r="V454" s="45"/>
      <c r="Y454" s="45"/>
      <c r="Z454" s="132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>
      <c r="C455" s="42"/>
      <c r="F455" s="164"/>
      <c r="H455" s="164"/>
      <c r="I455" s="164"/>
      <c r="J455" s="132"/>
      <c r="K455" s="132"/>
      <c r="L455" s="45"/>
      <c r="M455" s="45"/>
      <c r="N455" s="46"/>
      <c r="O455" s="46"/>
      <c r="P455" s="45"/>
      <c r="Q455" s="45"/>
      <c r="R455" s="45"/>
      <c r="T455" s="42"/>
      <c r="V455" s="45"/>
      <c r="Y455" s="45"/>
      <c r="Z455" s="132"/>
      <c r="AA455" s="45"/>
      <c r="AB455" s="45"/>
      <c r="AC455" s="46"/>
      <c r="AD455" s="46"/>
      <c r="AE455" s="45"/>
      <c r="AF455" s="45"/>
      <c r="AH455" s="51"/>
      <c r="AI455" s="45"/>
      <c r="AJ455" s="45"/>
      <c r="AL455" s="45"/>
      <c r="AM455" s="46"/>
      <c r="AN455" s="46"/>
    </row>
    <row r="456" spans="3:40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46"/>
      <c r="AN456" s="46"/>
    </row>
    <row r="457" spans="3:40">
      <c r="C457" s="42"/>
      <c r="F457" s="164"/>
      <c r="H457" s="164"/>
      <c r="I457" s="164"/>
      <c r="J457" s="132"/>
      <c r="K457" s="132"/>
      <c r="L457" s="45"/>
      <c r="M457" s="45"/>
      <c r="N457" s="46"/>
      <c r="O457" s="46"/>
      <c r="P457" s="45"/>
      <c r="Q457" s="45"/>
      <c r="R457" s="45"/>
      <c r="T457" s="42"/>
      <c r="V457" s="45"/>
      <c r="Y457" s="45"/>
      <c r="Z457" s="132"/>
      <c r="AA457" s="45"/>
      <c r="AB457" s="45"/>
      <c r="AC457" s="46"/>
      <c r="AD457" s="46"/>
      <c r="AE457" s="45"/>
      <c r="AF457" s="45"/>
      <c r="AH457" s="51"/>
      <c r="AI457" s="45"/>
      <c r="AJ457" s="45"/>
      <c r="AL457" s="45"/>
      <c r="AM457" s="46"/>
      <c r="AN457" s="46"/>
    </row>
    <row r="458" spans="3:40">
      <c r="F458" s="50"/>
      <c r="H458" s="50"/>
      <c r="I458" s="50"/>
      <c r="J458" s="326"/>
      <c r="K458" s="326"/>
      <c r="L458" s="50"/>
      <c r="M458" s="50"/>
      <c r="N458" s="50"/>
      <c r="O458" s="50"/>
      <c r="P458" s="50"/>
      <c r="Q458" s="50"/>
      <c r="R458" s="50"/>
      <c r="V458" s="50"/>
      <c r="Y458" s="50"/>
      <c r="Z458" s="132"/>
      <c r="AA458" s="50"/>
      <c r="AB458" s="50"/>
      <c r="AC458" s="50"/>
      <c r="AD458" s="50"/>
      <c r="AE458" s="50"/>
      <c r="AF458" s="50"/>
      <c r="AI458" s="50"/>
      <c r="AJ458" s="50"/>
      <c r="AK458" s="111"/>
      <c r="AL458" s="50"/>
    </row>
    <row r="459" spans="3:40">
      <c r="C459" s="42"/>
      <c r="F459" s="45"/>
      <c r="H459" s="45"/>
      <c r="I459" s="45"/>
      <c r="L459" s="45"/>
      <c r="M459" s="45"/>
      <c r="N459" s="51"/>
      <c r="O459" s="51"/>
      <c r="P459" s="45"/>
      <c r="Q459" s="45"/>
      <c r="R459" s="45"/>
      <c r="T459" s="42"/>
      <c r="V459" s="45"/>
      <c r="Y459" s="45"/>
      <c r="AA459" s="45"/>
      <c r="AB459" s="45"/>
      <c r="AC459" s="46"/>
      <c r="AD459" s="46"/>
      <c r="AE459" s="45"/>
      <c r="AF459" s="45"/>
      <c r="AH459" s="51"/>
      <c r="AI459" s="45"/>
      <c r="AJ459" s="45"/>
      <c r="AL459" s="45"/>
      <c r="AM459" s="46"/>
      <c r="AN459" s="46"/>
    </row>
    <row r="460" spans="3:40">
      <c r="F460" s="50"/>
      <c r="H460" s="50"/>
      <c r="I460" s="50"/>
      <c r="J460" s="326"/>
      <c r="K460" s="326"/>
      <c r="L460" s="50"/>
      <c r="M460" s="50"/>
      <c r="N460" s="50"/>
      <c r="O460" s="50"/>
      <c r="P460" s="50"/>
      <c r="Q460" s="50"/>
      <c r="R460" s="50"/>
      <c r="V460" s="50"/>
      <c r="Y460" s="50"/>
      <c r="Z460" s="326"/>
      <c r="AA460" s="50"/>
      <c r="AB460" s="50"/>
      <c r="AC460" s="50"/>
      <c r="AD460" s="50"/>
      <c r="AE460" s="50"/>
      <c r="AF460" s="50"/>
      <c r="AI460" s="50"/>
      <c r="AJ460" s="50"/>
      <c r="AK460" s="111"/>
      <c r="AL460" s="50"/>
    </row>
    <row r="461" spans="3:40">
      <c r="C461" s="42"/>
      <c r="T461" s="42"/>
    </row>
    <row r="462" spans="3:40">
      <c r="C462" s="42"/>
      <c r="F462" s="164"/>
      <c r="H462" s="164"/>
      <c r="I462" s="164"/>
      <c r="J462" s="316"/>
      <c r="K462" s="316"/>
      <c r="L462" s="45"/>
      <c r="M462" s="45"/>
      <c r="N462" s="46"/>
      <c r="O462" s="46"/>
      <c r="P462" s="45"/>
      <c r="Q462" s="45"/>
      <c r="R462" s="45"/>
      <c r="T462" s="42"/>
      <c r="V462" s="45"/>
      <c r="Y462" s="45"/>
      <c r="Z462" s="316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3:40">
      <c r="C463" s="42"/>
      <c r="F463" s="164"/>
      <c r="H463" s="164"/>
      <c r="I463" s="164"/>
      <c r="J463" s="316"/>
      <c r="K463" s="316"/>
      <c r="L463" s="45"/>
      <c r="M463" s="45"/>
      <c r="N463" s="46"/>
      <c r="O463" s="46"/>
      <c r="P463" s="45"/>
      <c r="Q463" s="45"/>
      <c r="R463" s="45"/>
      <c r="T463" s="42"/>
      <c r="V463" s="45"/>
      <c r="Y463" s="45"/>
      <c r="Z463" s="316"/>
      <c r="AA463" s="45"/>
      <c r="AB463" s="45"/>
      <c r="AC463" s="46"/>
      <c r="AD463" s="46"/>
      <c r="AE463" s="45"/>
      <c r="AF463" s="45"/>
      <c r="AH463" s="51"/>
      <c r="AI463" s="45"/>
      <c r="AJ463" s="45"/>
      <c r="AL463" s="45"/>
      <c r="AM463" s="46"/>
      <c r="AN463" s="46"/>
    </row>
    <row r="464" spans="3:40">
      <c r="F464" s="50"/>
      <c r="H464" s="45"/>
      <c r="I464" s="45"/>
      <c r="J464" s="326"/>
      <c r="K464" s="326"/>
      <c r="L464" s="50"/>
      <c r="M464" s="50"/>
      <c r="N464" s="50"/>
      <c r="O464" s="50"/>
      <c r="P464" s="50"/>
      <c r="Q464" s="50"/>
      <c r="R464" s="50"/>
      <c r="V464" s="50"/>
      <c r="Y464" s="45"/>
      <c r="Z464" s="326"/>
      <c r="AA464" s="50"/>
      <c r="AB464" s="50"/>
      <c r="AC464" s="50"/>
      <c r="AD464" s="50"/>
      <c r="AE464" s="50"/>
      <c r="AF464" s="50"/>
      <c r="AI464" s="50"/>
      <c r="AJ464" s="50"/>
      <c r="AK464" s="111"/>
      <c r="AL464" s="50"/>
    </row>
    <row r="465" spans="1:40">
      <c r="F465" s="45"/>
      <c r="H465" s="45"/>
      <c r="I465" s="45"/>
      <c r="J465" s="326"/>
      <c r="K465" s="326"/>
      <c r="L465" s="45"/>
      <c r="M465" s="45"/>
      <c r="N465" s="45"/>
      <c r="O465" s="45"/>
      <c r="P465" s="45"/>
      <c r="Q465" s="45"/>
      <c r="R465" s="45"/>
      <c r="V465" s="45"/>
      <c r="Y465" s="45"/>
      <c r="Z465" s="326"/>
      <c r="AA465" s="45"/>
      <c r="AB465" s="45"/>
      <c r="AC465" s="45"/>
      <c r="AD465" s="45"/>
      <c r="AE465" s="45"/>
      <c r="AF465" s="45"/>
      <c r="AI465" s="45"/>
      <c r="AJ465" s="45"/>
      <c r="AL465" s="45"/>
    </row>
    <row r="466" spans="1:40">
      <c r="C466" s="42"/>
      <c r="F466" s="45"/>
      <c r="H466" s="45"/>
      <c r="I466" s="45"/>
      <c r="L466" s="45"/>
      <c r="M466" s="45"/>
      <c r="N466" s="46"/>
      <c r="O466" s="46"/>
      <c r="P466" s="45"/>
      <c r="Q466" s="45"/>
      <c r="R466" s="45"/>
      <c r="T466" s="42"/>
      <c r="V466" s="45"/>
      <c r="Y466" s="45"/>
      <c r="AA466" s="45"/>
      <c r="AB466" s="45"/>
      <c r="AC466" s="46"/>
      <c r="AD466" s="46"/>
      <c r="AE466" s="45"/>
      <c r="AF466" s="45"/>
      <c r="AH466" s="51"/>
      <c r="AI466" s="164"/>
      <c r="AJ466" s="164"/>
      <c r="AL466" s="45"/>
      <c r="AM466" s="46"/>
      <c r="AN466" s="46"/>
    </row>
    <row r="467" spans="1:40">
      <c r="F467" s="50"/>
      <c r="H467" s="50"/>
      <c r="I467" s="50"/>
      <c r="J467" s="326"/>
      <c r="K467" s="326"/>
      <c r="L467" s="50"/>
      <c r="M467" s="50"/>
      <c r="N467" s="50"/>
      <c r="O467" s="50"/>
      <c r="P467" s="50"/>
      <c r="Q467" s="50"/>
      <c r="R467" s="50"/>
      <c r="V467" s="50"/>
      <c r="Y467" s="50"/>
      <c r="Z467" s="326"/>
      <c r="AA467" s="50"/>
      <c r="AB467" s="50"/>
      <c r="AC467" s="50"/>
      <c r="AD467" s="50"/>
      <c r="AE467" s="50"/>
      <c r="AF467" s="50"/>
      <c r="AI467" s="50"/>
      <c r="AJ467" s="50"/>
      <c r="AK467" s="111"/>
      <c r="AL467" s="50"/>
    </row>
    <row r="469" spans="1:40">
      <c r="A469" s="42"/>
      <c r="T469" s="42"/>
    </row>
    <row r="470" spans="1:40">
      <c r="A470" s="42"/>
      <c r="T470" s="42"/>
    </row>
    <row r="471" spans="1:40">
      <c r="A471" s="42"/>
      <c r="T471" s="42"/>
    </row>
    <row r="472" spans="1:40">
      <c r="A472" s="42"/>
      <c r="T472" s="42"/>
    </row>
    <row r="473" spans="1:40">
      <c r="A473" s="42"/>
      <c r="T473" s="42"/>
    </row>
    <row r="474" spans="1:40">
      <c r="A474" s="42"/>
      <c r="T474" s="42"/>
    </row>
    <row r="475" spans="1:40">
      <c r="A475" s="42"/>
      <c r="T475" s="42"/>
    </row>
    <row r="476" spans="1:40">
      <c r="A476" s="42"/>
      <c r="T476" s="42"/>
    </row>
    <row r="477" spans="1:40">
      <c r="A477" s="42"/>
      <c r="T477" s="42"/>
    </row>
    <row r="479" spans="1:40">
      <c r="A479" s="42"/>
    </row>
    <row r="481" spans="1:40">
      <c r="H481" s="42"/>
      <c r="I481" s="42"/>
      <c r="Y481" s="42"/>
    </row>
    <row r="483" spans="1:40">
      <c r="L483" s="42"/>
      <c r="M483" s="42"/>
      <c r="AA483" s="42"/>
      <c r="AB483" s="42"/>
    </row>
    <row r="484" spans="1:40">
      <c r="R484" s="42"/>
      <c r="AK484" s="110"/>
      <c r="AL484" s="42"/>
    </row>
    <row r="485" spans="1:40">
      <c r="R485" s="42"/>
      <c r="AK485" s="110"/>
      <c r="AL485" s="42"/>
    </row>
    <row r="486" spans="1:40">
      <c r="A486" s="42"/>
      <c r="R486" s="42"/>
      <c r="AK486" s="110"/>
      <c r="AL486" s="42"/>
    </row>
    <row r="487" spans="1:40">
      <c r="L487" s="42"/>
      <c r="M487" s="42"/>
      <c r="AA487" s="42"/>
      <c r="AB487" s="42"/>
    </row>
    <row r="488" spans="1:40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107"/>
      <c r="AH488" s="49"/>
      <c r="AI488" s="49"/>
      <c r="AJ488" s="49"/>
      <c r="AK488" s="107"/>
      <c r="AL488" s="49"/>
      <c r="AM488" s="49"/>
      <c r="AN488" s="49"/>
    </row>
    <row r="489" spans="1:40">
      <c r="L489" s="44"/>
      <c r="M489" s="44"/>
      <c r="N489" s="44"/>
      <c r="O489" s="44"/>
      <c r="R489" s="44"/>
      <c r="AA489" s="44"/>
      <c r="AB489" s="44"/>
      <c r="AC489" s="44"/>
      <c r="AD489" s="44"/>
      <c r="AE489" s="44"/>
      <c r="AF489" s="44"/>
      <c r="AG489" s="102"/>
      <c r="AH489" s="44"/>
      <c r="AK489" s="102"/>
      <c r="AL489" s="44"/>
      <c r="AM489" s="44"/>
      <c r="AN489" s="44"/>
    </row>
    <row r="490" spans="1:40">
      <c r="L490" s="44"/>
      <c r="M490" s="44"/>
      <c r="N490" s="44"/>
      <c r="O490" s="44"/>
      <c r="R490" s="44"/>
      <c r="Z490" s="44"/>
      <c r="AA490" s="44"/>
      <c r="AB490" s="44"/>
      <c r="AC490" s="44"/>
      <c r="AD490" s="44"/>
      <c r="AE490" s="44"/>
      <c r="AF490" s="44"/>
      <c r="AG490" s="102"/>
      <c r="AH490" s="44"/>
      <c r="AK490" s="102"/>
      <c r="AL490" s="44"/>
      <c r="AM490" s="44"/>
      <c r="AN490" s="44"/>
    </row>
    <row r="491" spans="1:40">
      <c r="A491" s="44"/>
      <c r="C491" s="44"/>
      <c r="D491" s="44"/>
      <c r="E491" s="44"/>
      <c r="F491" s="44"/>
      <c r="J491" s="44"/>
      <c r="K491" s="44"/>
      <c r="L491" s="44"/>
      <c r="M491" s="44"/>
      <c r="N491" s="44"/>
      <c r="O491" s="44"/>
      <c r="P491" s="44"/>
      <c r="Q491" s="44"/>
      <c r="R491" s="44"/>
      <c r="T491" s="44"/>
      <c r="U491" s="44"/>
      <c r="V491" s="44"/>
      <c r="Z491" s="44"/>
      <c r="AA491" s="44"/>
      <c r="AB491" s="44"/>
      <c r="AC491" s="44"/>
      <c r="AD491" s="44"/>
      <c r="AE491" s="44"/>
      <c r="AF491" s="44"/>
      <c r="AG491" s="102"/>
      <c r="AH491" s="44"/>
      <c r="AI491" s="44"/>
      <c r="AJ491" s="44"/>
      <c r="AK491" s="102"/>
      <c r="AL491" s="44"/>
      <c r="AM491" s="44"/>
      <c r="AN491" s="44"/>
    </row>
    <row r="492" spans="1:40">
      <c r="A492" s="44"/>
      <c r="C492" s="44"/>
      <c r="D492" s="44"/>
      <c r="E492" s="44"/>
      <c r="F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T492" s="44"/>
      <c r="U492" s="44"/>
      <c r="V492" s="44"/>
      <c r="Y492" s="44"/>
      <c r="Z492" s="44"/>
      <c r="AA492" s="44"/>
      <c r="AB492" s="44"/>
      <c r="AC492" s="44"/>
      <c r="AD492" s="44"/>
      <c r="AE492" s="44"/>
      <c r="AF492" s="44"/>
      <c r="AG492" s="102"/>
      <c r="AH492" s="44"/>
      <c r="AI492" s="44"/>
      <c r="AJ492" s="44"/>
      <c r="AK492" s="102"/>
      <c r="AL492" s="44"/>
      <c r="AM492" s="44"/>
      <c r="AN492" s="44"/>
    </row>
    <row r="493" spans="1:40">
      <c r="C493" s="44"/>
      <c r="D493" s="44"/>
      <c r="E493" s="44"/>
      <c r="F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T493" s="44"/>
      <c r="U493" s="44"/>
      <c r="V493" s="44"/>
      <c r="Y493" s="44"/>
      <c r="Z493" s="44"/>
      <c r="AA493" s="44"/>
      <c r="AB493" s="44"/>
      <c r="AC493" s="44"/>
      <c r="AD493" s="44"/>
      <c r="AE493" s="44"/>
      <c r="AF493" s="44"/>
      <c r="AG493" s="102"/>
      <c r="AH493" s="44"/>
      <c r="AI493" s="44"/>
      <c r="AJ493" s="44"/>
      <c r="AK493" s="102"/>
      <c r="AL493" s="44"/>
      <c r="AM493" s="44"/>
      <c r="AN493" s="44"/>
    </row>
    <row r="494" spans="1:40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107"/>
      <c r="AH494" s="49"/>
      <c r="AI494" s="49"/>
      <c r="AJ494" s="49"/>
      <c r="AK494" s="107"/>
      <c r="AL494" s="49"/>
      <c r="AM494" s="49"/>
      <c r="AN494" s="49"/>
    </row>
    <row r="495" spans="1:40"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Y495" s="44"/>
      <c r="Z495" s="44"/>
      <c r="AA495" s="44"/>
      <c r="AB495" s="44"/>
      <c r="AC495" s="44"/>
      <c r="AD495" s="44"/>
      <c r="AE495" s="44"/>
      <c r="AF495" s="44"/>
      <c r="AG495" s="102"/>
      <c r="AH495" s="44"/>
      <c r="AI495" s="44"/>
      <c r="AJ495" s="44"/>
      <c r="AK495" s="102"/>
      <c r="AL495" s="44"/>
      <c r="AM495" s="44"/>
      <c r="AN495" s="44"/>
    </row>
    <row r="496" spans="1:40">
      <c r="C496" s="42"/>
      <c r="D496" s="42"/>
      <c r="E496" s="42"/>
      <c r="T496" s="42"/>
      <c r="U496" s="42"/>
    </row>
    <row r="497" spans="3:40">
      <c r="D497" s="42"/>
      <c r="E497" s="42"/>
      <c r="U497" s="42"/>
    </row>
    <row r="499" spans="3:40">
      <c r="C499" s="42"/>
      <c r="F499" s="45"/>
      <c r="J499" s="53"/>
      <c r="K499" s="53"/>
      <c r="L499" s="45"/>
      <c r="M499" s="45"/>
      <c r="R499" s="45"/>
      <c r="T499" s="42"/>
      <c r="V499" s="45"/>
      <c r="Z499" s="53"/>
      <c r="AA499" s="45"/>
      <c r="AB499" s="45"/>
      <c r="AH499" s="45"/>
      <c r="AL499" s="45"/>
    </row>
    <row r="500" spans="3:40">
      <c r="C500" s="42"/>
      <c r="F500" s="45"/>
      <c r="R500" s="45"/>
      <c r="T500" s="42"/>
      <c r="V500" s="45"/>
      <c r="AH500" s="45"/>
      <c r="AL500" s="45"/>
    </row>
    <row r="501" spans="3:40">
      <c r="AI501" s="45"/>
      <c r="AJ501" s="45"/>
      <c r="AL501" s="45"/>
      <c r="AM501" s="46"/>
      <c r="AN501" s="46"/>
    </row>
    <row r="502" spans="3:40">
      <c r="C502" s="42"/>
      <c r="F502" s="164"/>
      <c r="H502" s="164"/>
      <c r="I502" s="164"/>
      <c r="J502" s="336"/>
      <c r="K502" s="336"/>
      <c r="L502" s="45"/>
      <c r="M502" s="45"/>
      <c r="N502" s="46"/>
      <c r="O502" s="46"/>
      <c r="P502" s="45"/>
      <c r="Q502" s="45"/>
      <c r="R502" s="45"/>
      <c r="T502" s="42"/>
      <c r="V502" s="45"/>
      <c r="Y502" s="45"/>
      <c r="Z502" s="336"/>
      <c r="AA502" s="45"/>
      <c r="AB502" s="45"/>
      <c r="AC502" s="46"/>
      <c r="AD502" s="46"/>
      <c r="AE502" s="45"/>
      <c r="AF502" s="45"/>
      <c r="AH502" s="51"/>
      <c r="AI502" s="45"/>
      <c r="AJ502" s="45"/>
      <c r="AL502" s="45"/>
      <c r="AM502" s="46"/>
      <c r="AN502" s="46"/>
    </row>
    <row r="503" spans="3:40">
      <c r="F503" s="45"/>
      <c r="H503" s="45"/>
      <c r="I503" s="45"/>
      <c r="J503" s="47"/>
      <c r="K503" s="47"/>
      <c r="L503" s="45"/>
      <c r="M503" s="45"/>
      <c r="P503" s="45"/>
      <c r="Q503" s="45"/>
      <c r="R503" s="45"/>
      <c r="V503" s="45"/>
      <c r="Y503" s="45"/>
      <c r="Z503" s="47"/>
      <c r="AA503" s="45"/>
      <c r="AB503" s="45"/>
      <c r="AI503" s="45"/>
      <c r="AJ503" s="45"/>
      <c r="AL503" s="45"/>
      <c r="AM503" s="46"/>
      <c r="AN503" s="46"/>
    </row>
    <row r="504" spans="3:40">
      <c r="F504" s="45"/>
      <c r="R504" s="45"/>
      <c r="V504" s="45"/>
      <c r="AL504" s="45"/>
      <c r="AM504" s="46"/>
      <c r="AN504" s="46"/>
    </row>
    <row r="505" spans="3:40">
      <c r="C505" s="42"/>
      <c r="F505" s="45"/>
      <c r="J505" s="53"/>
      <c r="K505" s="53"/>
      <c r="L505" s="45"/>
      <c r="M505" s="45"/>
      <c r="N505" s="46"/>
      <c r="O505" s="46"/>
      <c r="R505" s="45"/>
      <c r="T505" s="42"/>
      <c r="V505" s="45"/>
      <c r="Z505" s="53"/>
      <c r="AA505" s="45"/>
      <c r="AB505" s="45"/>
      <c r="AC505" s="46"/>
      <c r="AD505" s="46"/>
      <c r="AL505" s="45"/>
      <c r="AM505" s="46"/>
      <c r="AN505" s="46"/>
    </row>
    <row r="506" spans="3:40">
      <c r="C506" s="42"/>
      <c r="F506" s="45"/>
      <c r="H506" s="45"/>
      <c r="I506" s="45"/>
      <c r="J506" s="53"/>
      <c r="K506" s="53"/>
      <c r="L506" s="45"/>
      <c r="M506" s="45"/>
      <c r="N506" s="46"/>
      <c r="O506" s="46"/>
      <c r="P506" s="45"/>
      <c r="Q506" s="45"/>
      <c r="R506" s="45"/>
      <c r="T506" s="42"/>
      <c r="V506" s="45"/>
      <c r="Y506" s="45"/>
      <c r="Z506" s="53"/>
      <c r="AA506" s="45"/>
      <c r="AB506" s="45"/>
      <c r="AC506" s="46"/>
      <c r="AD506" s="46"/>
      <c r="AI506" s="45"/>
      <c r="AJ506" s="45"/>
      <c r="AL506" s="45"/>
      <c r="AM506" s="46"/>
      <c r="AN506" s="46"/>
    </row>
    <row r="507" spans="3:40">
      <c r="C507" s="42"/>
      <c r="T507" s="42"/>
      <c r="AM507" s="46"/>
      <c r="AN507" s="46"/>
    </row>
    <row r="508" spans="3:40">
      <c r="C508" s="42"/>
      <c r="T508" s="42"/>
      <c r="AM508" s="46"/>
      <c r="AN508" s="46"/>
    </row>
    <row r="509" spans="3:40">
      <c r="AM509" s="46"/>
      <c r="AN509" s="46"/>
    </row>
    <row r="510" spans="3:40">
      <c r="C510" s="42"/>
      <c r="F510" s="164"/>
      <c r="H510" s="164"/>
      <c r="I510" s="164"/>
      <c r="J510" s="336"/>
      <c r="K510" s="336"/>
      <c r="L510" s="45"/>
      <c r="M510" s="45"/>
      <c r="N510" s="46"/>
      <c r="O510" s="46"/>
      <c r="P510" s="45"/>
      <c r="Q510" s="45"/>
      <c r="R510" s="45"/>
      <c r="T510" s="42"/>
      <c r="V510" s="45"/>
      <c r="Y510" s="45"/>
      <c r="Z510" s="336"/>
      <c r="AA510" s="45"/>
      <c r="AB510" s="45"/>
      <c r="AC510" s="46"/>
      <c r="AD510" s="46"/>
      <c r="AE510" s="45"/>
      <c r="AF510" s="45"/>
      <c r="AH510" s="51"/>
      <c r="AI510" s="45"/>
      <c r="AJ510" s="45"/>
      <c r="AL510" s="45"/>
      <c r="AM510" s="46"/>
      <c r="AN510" s="46"/>
    </row>
    <row r="511" spans="3:40">
      <c r="F511" s="50"/>
      <c r="H511" s="50"/>
      <c r="I511" s="50"/>
      <c r="J511" s="326"/>
      <c r="K511" s="326"/>
      <c r="L511" s="50"/>
      <c r="M511" s="50"/>
      <c r="N511" s="50"/>
      <c r="O511" s="50"/>
      <c r="P511" s="50"/>
      <c r="Q511" s="50"/>
      <c r="R511" s="50"/>
      <c r="V511" s="50"/>
      <c r="Y511" s="50"/>
      <c r="Z511" s="326"/>
      <c r="AA511" s="50"/>
      <c r="AB511" s="50"/>
      <c r="AC511" s="50"/>
      <c r="AD511" s="50"/>
      <c r="AE511" s="50"/>
      <c r="AF511" s="50"/>
      <c r="AI511" s="50"/>
      <c r="AJ511" s="50"/>
      <c r="AK511" s="111"/>
      <c r="AL511" s="50"/>
      <c r="AM511" s="46"/>
      <c r="AN511" s="46"/>
    </row>
    <row r="512" spans="3:40">
      <c r="H512" s="45"/>
      <c r="I512" s="45"/>
      <c r="Y512" s="45"/>
      <c r="AM512" s="46"/>
      <c r="AN512" s="46"/>
    </row>
    <row r="513" spans="1:40">
      <c r="C513" s="42"/>
      <c r="F513" s="45"/>
      <c r="H513" s="45"/>
      <c r="I513" s="45"/>
      <c r="L513" s="45"/>
      <c r="M513" s="45"/>
      <c r="N513" s="46"/>
      <c r="O513" s="46"/>
      <c r="P513" s="164"/>
      <c r="Q513" s="164"/>
      <c r="R513" s="45"/>
      <c r="T513" s="42"/>
      <c r="V513" s="45"/>
      <c r="Y513" s="45"/>
      <c r="AA513" s="45"/>
      <c r="AB513" s="45"/>
      <c r="AC513" s="46"/>
      <c r="AD513" s="46"/>
      <c r="AE513" s="45"/>
      <c r="AF513" s="45"/>
      <c r="AH513" s="51"/>
      <c r="AI513" s="164"/>
      <c r="AJ513" s="164"/>
      <c r="AL513" s="45"/>
      <c r="AM513" s="46"/>
      <c r="AN513" s="46"/>
    </row>
    <row r="514" spans="1:40">
      <c r="F514" s="50"/>
      <c r="H514" s="50"/>
      <c r="I514" s="50"/>
      <c r="J514" s="326"/>
      <c r="K514" s="326"/>
      <c r="L514" s="50"/>
      <c r="M514" s="50"/>
      <c r="N514" s="50"/>
      <c r="O514" s="50"/>
      <c r="P514" s="50"/>
      <c r="Q514" s="50"/>
      <c r="R514" s="50"/>
      <c r="V514" s="50"/>
      <c r="Y514" s="50"/>
      <c r="Z514" s="326"/>
      <c r="AA514" s="50"/>
      <c r="AB514" s="50"/>
      <c r="AC514" s="50"/>
      <c r="AD514" s="50"/>
      <c r="AE514" s="50"/>
      <c r="AF514" s="50"/>
      <c r="AI514" s="50"/>
      <c r="AJ514" s="50"/>
      <c r="AK514" s="111"/>
      <c r="AL514" s="50"/>
      <c r="AM514" s="46"/>
      <c r="AN514" s="46"/>
    </row>
    <row r="516" spans="1:40">
      <c r="F516" s="45"/>
      <c r="H516" s="45"/>
      <c r="I516" s="45"/>
      <c r="J516" s="47"/>
      <c r="K516" s="47"/>
      <c r="L516" s="45"/>
      <c r="M516" s="45"/>
      <c r="N516" s="45"/>
      <c r="O516" s="45"/>
      <c r="P516" s="45"/>
      <c r="Q516" s="45"/>
      <c r="R516" s="45"/>
      <c r="V516" s="45"/>
      <c r="Y516" s="45"/>
      <c r="Z516" s="47"/>
      <c r="AA516" s="45"/>
      <c r="AB516" s="45"/>
      <c r="AC516" s="45"/>
      <c r="AD516" s="45"/>
      <c r="AE516" s="45"/>
      <c r="AF516" s="45"/>
      <c r="AH516" s="45"/>
      <c r="AI516" s="45"/>
      <c r="AJ516" s="45"/>
      <c r="AL516" s="45"/>
    </row>
    <row r="517" spans="1:40">
      <c r="A517" s="42"/>
    </row>
    <row r="519" spans="1:40">
      <c r="H519" s="42"/>
      <c r="I519" s="42"/>
      <c r="Y519" s="42"/>
    </row>
    <row r="521" spans="1:40">
      <c r="L521" s="42"/>
      <c r="M521" s="42"/>
      <c r="AA521" s="42"/>
      <c r="AB521" s="42"/>
    </row>
    <row r="522" spans="1:40">
      <c r="R522" s="42"/>
      <c r="AK522" s="110"/>
      <c r="AL522" s="42"/>
    </row>
    <row r="523" spans="1:40">
      <c r="R523" s="42"/>
      <c r="AK523" s="110"/>
      <c r="AL523" s="42"/>
    </row>
    <row r="524" spans="1:40">
      <c r="A524" s="42"/>
      <c r="R524" s="42"/>
      <c r="AK524" s="110"/>
      <c r="AL524" s="42"/>
    </row>
    <row r="525" spans="1:40">
      <c r="L525" s="42"/>
      <c r="M525" s="42"/>
      <c r="AA525" s="42"/>
      <c r="AB525" s="42"/>
    </row>
    <row r="526" spans="1:40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107"/>
      <c r="AH526" s="49"/>
      <c r="AI526" s="49"/>
      <c r="AJ526" s="49"/>
      <c r="AK526" s="107"/>
      <c r="AL526" s="49"/>
      <c r="AM526" s="49"/>
      <c r="AN526" s="49"/>
    </row>
    <row r="527" spans="1:40">
      <c r="L527" s="44"/>
      <c r="M527" s="44"/>
      <c r="N527" s="44"/>
      <c r="O527" s="44"/>
      <c r="R527" s="44"/>
      <c r="AA527" s="44"/>
      <c r="AB527" s="44"/>
      <c r="AC527" s="44"/>
      <c r="AD527" s="44"/>
      <c r="AE527" s="44"/>
      <c r="AF527" s="44"/>
      <c r="AG527" s="102"/>
      <c r="AH527" s="44"/>
      <c r="AK527" s="102"/>
      <c r="AL527" s="44"/>
      <c r="AM527" s="44"/>
      <c r="AN527" s="44"/>
    </row>
    <row r="528" spans="1:40">
      <c r="L528" s="44"/>
      <c r="M528" s="44"/>
      <c r="N528" s="44"/>
      <c r="O528" s="44"/>
      <c r="R528" s="44"/>
      <c r="Z528" s="44"/>
      <c r="AA528" s="44"/>
      <c r="AB528" s="44"/>
      <c r="AC528" s="44"/>
      <c r="AD528" s="44"/>
      <c r="AE528" s="44"/>
      <c r="AF528" s="44"/>
      <c r="AG528" s="102"/>
      <c r="AH528" s="44"/>
      <c r="AK528" s="102"/>
      <c r="AL528" s="44"/>
      <c r="AM528" s="44"/>
      <c r="AN528" s="44"/>
    </row>
    <row r="529" spans="1:40">
      <c r="A529" s="44"/>
      <c r="C529" s="44"/>
      <c r="D529" s="44"/>
      <c r="E529" s="44"/>
      <c r="F529" s="44"/>
      <c r="J529" s="44"/>
      <c r="K529" s="44"/>
      <c r="L529" s="44"/>
      <c r="M529" s="44"/>
      <c r="N529" s="44"/>
      <c r="O529" s="44"/>
      <c r="P529" s="44"/>
      <c r="Q529" s="44"/>
      <c r="R529" s="44"/>
      <c r="T529" s="44"/>
      <c r="U529" s="44"/>
      <c r="V529" s="44"/>
      <c r="Z529" s="44"/>
      <c r="AA529" s="44"/>
      <c r="AB529" s="44"/>
      <c r="AC529" s="44"/>
      <c r="AD529" s="44"/>
      <c r="AE529" s="44"/>
      <c r="AF529" s="44"/>
      <c r="AG529" s="102"/>
      <c r="AH529" s="44"/>
      <c r="AI529" s="44"/>
      <c r="AJ529" s="44"/>
      <c r="AK529" s="102"/>
      <c r="AL529" s="44"/>
      <c r="AM529" s="44"/>
      <c r="AN529" s="44"/>
    </row>
    <row r="530" spans="1:40">
      <c r="A530" s="44"/>
      <c r="C530" s="44"/>
      <c r="D530" s="44"/>
      <c r="E530" s="44"/>
      <c r="F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T530" s="44"/>
      <c r="U530" s="44"/>
      <c r="V530" s="44"/>
      <c r="Y530" s="44"/>
      <c r="Z530" s="44"/>
      <c r="AA530" s="44"/>
      <c r="AB530" s="44"/>
      <c r="AC530" s="44"/>
      <c r="AD530" s="44"/>
      <c r="AE530" s="44"/>
      <c r="AF530" s="44"/>
      <c r="AG530" s="102"/>
      <c r="AH530" s="44"/>
      <c r="AI530" s="44"/>
      <c r="AJ530" s="44"/>
      <c r="AK530" s="102"/>
      <c r="AL530" s="44"/>
      <c r="AM530" s="44"/>
      <c r="AN530" s="44"/>
    </row>
    <row r="531" spans="1:40">
      <c r="C531" s="44"/>
      <c r="D531" s="44"/>
      <c r="E531" s="44"/>
      <c r="F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T531" s="44"/>
      <c r="U531" s="44"/>
      <c r="V531" s="44"/>
      <c r="Y531" s="44"/>
      <c r="Z531" s="44"/>
      <c r="AA531" s="44"/>
      <c r="AB531" s="44"/>
      <c r="AC531" s="44"/>
      <c r="AD531" s="44"/>
      <c r="AE531" s="44"/>
      <c r="AF531" s="44"/>
      <c r="AG531" s="102"/>
      <c r="AH531" s="44"/>
      <c r="AI531" s="44"/>
      <c r="AJ531" s="44"/>
      <c r="AK531" s="102"/>
      <c r="AL531" s="44"/>
      <c r="AM531" s="44"/>
      <c r="AN531" s="44"/>
    </row>
    <row r="532" spans="1:40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107"/>
      <c r="AH532" s="49"/>
      <c r="AI532" s="49"/>
      <c r="AJ532" s="49"/>
      <c r="AK532" s="107"/>
      <c r="AL532" s="49"/>
      <c r="AM532" s="49"/>
      <c r="AN532" s="49"/>
    </row>
    <row r="533" spans="1:40"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Y533" s="44"/>
      <c r="Z533" s="44"/>
      <c r="AA533" s="44"/>
      <c r="AB533" s="44"/>
      <c r="AC533" s="44"/>
      <c r="AD533" s="44"/>
      <c r="AE533" s="44"/>
      <c r="AF533" s="44"/>
      <c r="AG533" s="102"/>
      <c r="AH533" s="44"/>
      <c r="AI533" s="44"/>
      <c r="AJ533" s="44"/>
      <c r="AK533" s="102"/>
      <c r="AL533" s="44"/>
      <c r="AM533" s="44"/>
      <c r="AN533" s="44"/>
    </row>
    <row r="534" spans="1:40">
      <c r="C534" s="42"/>
      <c r="D534" s="42"/>
      <c r="E534" s="42"/>
      <c r="T534" s="42"/>
      <c r="U534" s="42"/>
      <c r="V534" s="45"/>
      <c r="W534" s="45"/>
      <c r="X534" s="45"/>
      <c r="Y534" s="45"/>
      <c r="Z534" s="336"/>
    </row>
    <row r="536" spans="1:40">
      <c r="C536" s="42"/>
      <c r="T536" s="42"/>
      <c r="V536" s="45"/>
      <c r="W536" s="45"/>
      <c r="X536" s="45"/>
      <c r="Y536" s="45"/>
      <c r="Z536" s="336"/>
    </row>
    <row r="537" spans="1:40">
      <c r="C537" s="42"/>
      <c r="F537" s="164"/>
      <c r="H537" s="164"/>
      <c r="I537" s="164"/>
      <c r="J537" s="132"/>
      <c r="K537" s="132"/>
      <c r="L537" s="45"/>
      <c r="M537" s="45"/>
      <c r="N537" s="46"/>
      <c r="O537" s="46"/>
      <c r="P537" s="45"/>
      <c r="Q537" s="45"/>
      <c r="R537" s="45"/>
      <c r="T537" s="42"/>
      <c r="V537" s="45"/>
      <c r="W537" s="45"/>
      <c r="X537" s="45"/>
      <c r="Y537" s="45"/>
      <c r="Z537" s="132"/>
      <c r="AA537" s="45"/>
      <c r="AB537" s="45"/>
      <c r="AC537" s="46"/>
      <c r="AD537" s="46"/>
      <c r="AE537" s="45"/>
      <c r="AF537" s="45"/>
      <c r="AH537" s="51"/>
      <c r="AI537" s="45"/>
      <c r="AJ537" s="45"/>
      <c r="AL537" s="45"/>
      <c r="AM537" s="46"/>
      <c r="AN537" s="46"/>
    </row>
    <row r="538" spans="1:40">
      <c r="C538" s="42"/>
      <c r="F538" s="164"/>
      <c r="H538" s="164"/>
      <c r="I538" s="164"/>
      <c r="J538" s="132"/>
      <c r="K538" s="132"/>
      <c r="L538" s="45"/>
      <c r="M538" s="45"/>
      <c r="N538" s="46"/>
      <c r="O538" s="46"/>
      <c r="P538" s="45"/>
      <c r="Q538" s="45"/>
      <c r="R538" s="45"/>
      <c r="T538" s="42"/>
      <c r="V538" s="45"/>
      <c r="W538" s="45"/>
      <c r="X538" s="45"/>
      <c r="Y538" s="45"/>
      <c r="Z538" s="132"/>
      <c r="AA538" s="45"/>
      <c r="AB538" s="45"/>
      <c r="AC538" s="46"/>
      <c r="AD538" s="46"/>
      <c r="AE538" s="45"/>
      <c r="AF538" s="45"/>
      <c r="AH538" s="51"/>
      <c r="AI538" s="45"/>
      <c r="AJ538" s="45"/>
      <c r="AL538" s="45"/>
      <c r="AM538" s="46"/>
      <c r="AN538" s="46"/>
    </row>
    <row r="539" spans="1:40">
      <c r="C539" s="42"/>
      <c r="F539" s="164"/>
      <c r="H539" s="164"/>
      <c r="I539" s="164"/>
      <c r="J539" s="132"/>
      <c r="K539" s="132"/>
      <c r="L539" s="45"/>
      <c r="M539" s="45"/>
      <c r="N539" s="46"/>
      <c r="O539" s="46"/>
      <c r="P539" s="45"/>
      <c r="Q539" s="45"/>
      <c r="R539" s="45"/>
      <c r="T539" s="42"/>
      <c r="V539" s="45"/>
      <c r="W539" s="45"/>
      <c r="X539" s="45"/>
      <c r="Y539" s="45"/>
      <c r="Z539" s="132"/>
      <c r="AA539" s="45"/>
      <c r="AB539" s="45"/>
      <c r="AC539" s="46"/>
      <c r="AD539" s="46"/>
      <c r="AE539" s="45"/>
      <c r="AF539" s="45"/>
      <c r="AH539" s="51"/>
      <c r="AI539" s="45"/>
      <c r="AJ539" s="45"/>
      <c r="AL539" s="45"/>
      <c r="AM539" s="46"/>
      <c r="AN539" s="46"/>
    </row>
    <row r="540" spans="1:40">
      <c r="C540" s="42"/>
      <c r="F540" s="164"/>
      <c r="H540" s="164"/>
      <c r="I540" s="164"/>
      <c r="J540" s="132"/>
      <c r="K540" s="132"/>
      <c r="L540" s="45"/>
      <c r="M540" s="45"/>
      <c r="N540" s="46"/>
      <c r="O540" s="46"/>
      <c r="P540" s="45"/>
      <c r="Q540" s="45"/>
      <c r="R540" s="45"/>
      <c r="T540" s="42"/>
      <c r="V540" s="45"/>
      <c r="W540" s="45"/>
      <c r="X540" s="45"/>
      <c r="Y540" s="45"/>
      <c r="Z540" s="132"/>
      <c r="AA540" s="45"/>
      <c r="AB540" s="45"/>
      <c r="AC540" s="46"/>
      <c r="AD540" s="46"/>
      <c r="AE540" s="45"/>
      <c r="AF540" s="45"/>
      <c r="AH540" s="51"/>
      <c r="AI540" s="45"/>
      <c r="AJ540" s="45"/>
      <c r="AL540" s="45"/>
      <c r="AM540" s="46"/>
      <c r="AN540" s="46"/>
    </row>
    <row r="541" spans="1:40">
      <c r="J541" s="56"/>
      <c r="K541" s="56"/>
      <c r="V541" s="45"/>
      <c r="W541" s="45"/>
      <c r="X541" s="45"/>
      <c r="Y541" s="45"/>
      <c r="Z541" s="132"/>
    </row>
    <row r="542" spans="1:40">
      <c r="C542" s="42"/>
      <c r="F542" s="164"/>
      <c r="H542" s="164"/>
      <c r="I542" s="164"/>
      <c r="J542" s="132"/>
      <c r="K542" s="132"/>
      <c r="L542" s="45"/>
      <c r="M542" s="45"/>
      <c r="N542" s="46"/>
      <c r="O542" s="46"/>
      <c r="P542" s="45"/>
      <c r="Q542" s="45"/>
      <c r="R542" s="45"/>
      <c r="T542" s="42"/>
      <c r="V542" s="45"/>
      <c r="W542" s="45"/>
      <c r="X542" s="45"/>
      <c r="Y542" s="45"/>
      <c r="Z542" s="132"/>
      <c r="AA542" s="45"/>
      <c r="AB542" s="45"/>
      <c r="AC542" s="46"/>
      <c r="AD542" s="46"/>
      <c r="AE542" s="45"/>
      <c r="AF542" s="45"/>
      <c r="AH542" s="51"/>
      <c r="AI542" s="45"/>
      <c r="AJ542" s="45"/>
      <c r="AL542" s="45"/>
      <c r="AM542" s="51"/>
      <c r="AN542" s="51"/>
    </row>
    <row r="543" spans="1:40">
      <c r="C543" s="42"/>
      <c r="J543" s="56"/>
      <c r="K543" s="56"/>
      <c r="T543" s="42"/>
      <c r="V543" s="45"/>
      <c r="W543" s="45"/>
      <c r="X543" s="45"/>
      <c r="Y543" s="45"/>
      <c r="Z543" s="132"/>
    </row>
    <row r="544" spans="1:40">
      <c r="C544" s="42"/>
      <c r="F544" s="164"/>
      <c r="H544" s="164"/>
      <c r="I544" s="164"/>
      <c r="J544" s="132"/>
      <c r="K544" s="132"/>
      <c r="L544" s="45"/>
      <c r="M544" s="45"/>
      <c r="N544" s="46"/>
      <c r="O544" s="46"/>
      <c r="P544" s="45"/>
      <c r="Q544" s="45"/>
      <c r="R544" s="45"/>
      <c r="T544" s="42"/>
      <c r="V544" s="45"/>
      <c r="W544" s="45"/>
      <c r="X544" s="45"/>
      <c r="Y544" s="45"/>
      <c r="Z544" s="132"/>
      <c r="AA544" s="45"/>
      <c r="AB544" s="45"/>
      <c r="AC544" s="46"/>
      <c r="AD544" s="46"/>
      <c r="AE544" s="45"/>
      <c r="AF544" s="45"/>
      <c r="AH544" s="51"/>
      <c r="AI544" s="45"/>
      <c r="AJ544" s="45"/>
      <c r="AL544" s="45"/>
      <c r="AM544" s="51"/>
      <c r="AN544" s="51"/>
    </row>
    <row r="545" spans="1:40">
      <c r="J545" s="56"/>
      <c r="K545" s="56"/>
      <c r="Z545" s="56"/>
    </row>
    <row r="546" spans="1:40">
      <c r="C546" s="42"/>
      <c r="J546" s="56"/>
      <c r="K546" s="56"/>
      <c r="T546" s="42"/>
      <c r="V546" s="45"/>
      <c r="W546" s="45"/>
      <c r="X546" s="45"/>
      <c r="Y546" s="45"/>
      <c r="Z546" s="132"/>
    </row>
    <row r="547" spans="1:40">
      <c r="C547" s="42"/>
      <c r="F547" s="164"/>
      <c r="H547" s="164"/>
      <c r="I547" s="164"/>
      <c r="J547" s="132"/>
      <c r="K547" s="132"/>
      <c r="L547" s="45"/>
      <c r="M547" s="45"/>
      <c r="N547" s="46"/>
      <c r="O547" s="46"/>
      <c r="P547" s="45"/>
      <c r="Q547" s="45"/>
      <c r="R547" s="45"/>
      <c r="T547" s="42"/>
      <c r="V547" s="45"/>
      <c r="W547" s="45"/>
      <c r="X547" s="45"/>
      <c r="Y547" s="45"/>
      <c r="Z547" s="132"/>
      <c r="AA547" s="45"/>
      <c r="AB547" s="45"/>
      <c r="AC547" s="46"/>
      <c r="AD547" s="46"/>
      <c r="AE547" s="45"/>
      <c r="AF547" s="45"/>
      <c r="AH547" s="51"/>
      <c r="AI547" s="45"/>
      <c r="AJ547" s="45"/>
      <c r="AL547" s="45"/>
      <c r="AM547" s="51"/>
      <c r="AN547" s="51"/>
    </row>
    <row r="548" spans="1:40">
      <c r="C548" s="42"/>
      <c r="F548" s="164"/>
      <c r="H548" s="164"/>
      <c r="I548" s="164"/>
      <c r="J548" s="132"/>
      <c r="K548" s="132"/>
      <c r="L548" s="45"/>
      <c r="M548" s="45"/>
      <c r="N548" s="46"/>
      <c r="O548" s="46"/>
      <c r="P548" s="45"/>
      <c r="Q548" s="45"/>
      <c r="R548" s="45"/>
      <c r="T548" s="42"/>
      <c r="V548" s="45"/>
      <c r="W548" s="45"/>
      <c r="X548" s="45"/>
      <c r="Y548" s="45"/>
      <c r="Z548" s="132"/>
      <c r="AA548" s="45"/>
      <c r="AB548" s="45"/>
      <c r="AC548" s="46"/>
      <c r="AD548" s="46"/>
      <c r="AE548" s="45"/>
      <c r="AF548" s="45"/>
      <c r="AH548" s="51"/>
      <c r="AI548" s="45"/>
      <c r="AJ548" s="45"/>
      <c r="AL548" s="45"/>
      <c r="AM548" s="51"/>
      <c r="AN548" s="51"/>
    </row>
    <row r="549" spans="1:40">
      <c r="F549" s="50"/>
      <c r="H549" s="50"/>
      <c r="I549" s="50"/>
      <c r="J549" s="132"/>
      <c r="K549" s="132"/>
      <c r="L549" s="50"/>
      <c r="M549" s="50"/>
      <c r="N549" s="50"/>
      <c r="O549" s="50"/>
      <c r="P549" s="50"/>
      <c r="Q549" s="50"/>
      <c r="R549" s="50"/>
      <c r="V549" s="50"/>
      <c r="Y549" s="50"/>
      <c r="Z549" s="326"/>
      <c r="AA549" s="50"/>
      <c r="AB549" s="50"/>
      <c r="AC549" s="50"/>
      <c r="AD549" s="50"/>
      <c r="AE549" s="50"/>
      <c r="AF549" s="50"/>
      <c r="AI549" s="50"/>
      <c r="AJ549" s="50"/>
      <c r="AK549" s="111"/>
      <c r="AL549" s="50"/>
    </row>
    <row r="550" spans="1:40">
      <c r="C550" s="42"/>
      <c r="F550" s="45"/>
      <c r="H550" s="45"/>
      <c r="I550" s="45"/>
      <c r="L550" s="45"/>
      <c r="M550" s="45"/>
      <c r="N550" s="46"/>
      <c r="O550" s="46"/>
      <c r="P550" s="164"/>
      <c r="Q550" s="164"/>
      <c r="R550" s="45"/>
      <c r="T550" s="42"/>
      <c r="V550" s="45"/>
      <c r="W550" s="45"/>
      <c r="X550" s="45"/>
      <c r="Y550" s="45"/>
      <c r="Z550" s="336"/>
      <c r="AA550" s="45"/>
      <c r="AB550" s="45"/>
      <c r="AC550" s="46"/>
      <c r="AD550" s="46"/>
      <c r="AE550" s="45"/>
      <c r="AF550" s="45"/>
      <c r="AH550" s="51"/>
      <c r="AI550" s="164"/>
      <c r="AJ550" s="164"/>
      <c r="AL550" s="45"/>
      <c r="AM550" s="51"/>
      <c r="AN550" s="51"/>
    </row>
    <row r="551" spans="1:40">
      <c r="F551" s="50"/>
      <c r="H551" s="50"/>
      <c r="I551" s="50"/>
      <c r="J551" s="326"/>
      <c r="K551" s="326"/>
      <c r="L551" s="50"/>
      <c r="M551" s="50"/>
      <c r="N551" s="50"/>
      <c r="O551" s="50"/>
      <c r="P551" s="50"/>
      <c r="Q551" s="50"/>
      <c r="R551" s="50"/>
      <c r="V551" s="50"/>
      <c r="Y551" s="50"/>
      <c r="Z551" s="326"/>
      <c r="AA551" s="50"/>
      <c r="AB551" s="50"/>
      <c r="AC551" s="50"/>
      <c r="AD551" s="50"/>
      <c r="AE551" s="50"/>
      <c r="AF551" s="50"/>
      <c r="AI551" s="50"/>
      <c r="AJ551" s="50"/>
      <c r="AK551" s="111"/>
      <c r="AL551" s="50"/>
    </row>
    <row r="554" spans="1:40">
      <c r="A554" s="42"/>
    </row>
    <row r="556" spans="1:40">
      <c r="H556" s="42"/>
      <c r="I556" s="42"/>
      <c r="Y556" s="42"/>
    </row>
    <row r="558" spans="1:40">
      <c r="L558" s="42"/>
      <c r="M558" s="42"/>
      <c r="AA558" s="42"/>
      <c r="AB558" s="42"/>
    </row>
    <row r="559" spans="1:40">
      <c r="R559" s="42"/>
      <c r="AK559" s="110"/>
      <c r="AL559" s="42"/>
    </row>
    <row r="560" spans="1:40">
      <c r="R560" s="42"/>
      <c r="AK560" s="110"/>
      <c r="AL560" s="42"/>
    </row>
    <row r="561" spans="1:40">
      <c r="A561" s="42"/>
      <c r="R561" s="42"/>
      <c r="AK561" s="110"/>
      <c r="AL561" s="42"/>
    </row>
    <row r="562" spans="1:40">
      <c r="L562" s="42"/>
      <c r="M562" s="42"/>
      <c r="AA562" s="42"/>
      <c r="AB562" s="42"/>
    </row>
    <row r="563" spans="1:40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107"/>
      <c r="AH563" s="49"/>
      <c r="AI563" s="49"/>
      <c r="AJ563" s="49"/>
      <c r="AK563" s="107"/>
      <c r="AL563" s="49"/>
      <c r="AM563" s="49"/>
      <c r="AN563" s="49"/>
    </row>
    <row r="564" spans="1:40">
      <c r="L564" s="44"/>
      <c r="M564" s="44"/>
      <c r="N564" s="44"/>
      <c r="O564" s="44"/>
      <c r="R564" s="44"/>
      <c r="AA564" s="44"/>
      <c r="AB564" s="44"/>
      <c r="AC564" s="44"/>
      <c r="AD564" s="44"/>
      <c r="AE564" s="44"/>
      <c r="AF564" s="44"/>
      <c r="AG564" s="102"/>
      <c r="AH564" s="44"/>
      <c r="AK564" s="102"/>
      <c r="AL564" s="44"/>
      <c r="AM564" s="44"/>
      <c r="AN564" s="44"/>
    </row>
    <row r="565" spans="1:40">
      <c r="L565" s="44"/>
      <c r="M565" s="44"/>
      <c r="N565" s="44"/>
      <c r="O565" s="44"/>
      <c r="R565" s="44"/>
      <c r="Z565" s="44"/>
      <c r="AA565" s="44"/>
      <c r="AB565" s="44"/>
      <c r="AC565" s="44"/>
      <c r="AD565" s="44"/>
      <c r="AE565" s="44"/>
      <c r="AF565" s="44"/>
      <c r="AG565" s="102"/>
      <c r="AH565" s="44"/>
      <c r="AK565" s="102"/>
      <c r="AL565" s="44"/>
      <c r="AM565" s="44"/>
      <c r="AN565" s="44"/>
    </row>
    <row r="566" spans="1:40">
      <c r="A566" s="44"/>
      <c r="C566" s="44"/>
      <c r="D566" s="44"/>
      <c r="E566" s="44"/>
      <c r="F566" s="44"/>
      <c r="J566" s="44"/>
      <c r="K566" s="44"/>
      <c r="L566" s="44"/>
      <c r="M566" s="44"/>
      <c r="N566" s="44"/>
      <c r="O566" s="44"/>
      <c r="P566" s="44"/>
      <c r="Q566" s="44"/>
      <c r="R566" s="44"/>
      <c r="T566" s="44"/>
      <c r="U566" s="44"/>
      <c r="V566" s="44"/>
      <c r="Z566" s="44"/>
      <c r="AA566" s="44"/>
      <c r="AB566" s="44"/>
      <c r="AC566" s="44"/>
      <c r="AD566" s="44"/>
      <c r="AE566" s="44"/>
      <c r="AF566" s="44"/>
      <c r="AG566" s="102"/>
      <c r="AH566" s="44"/>
      <c r="AI566" s="44"/>
      <c r="AJ566" s="44"/>
      <c r="AK566" s="102"/>
      <c r="AL566" s="44"/>
      <c r="AM566" s="44"/>
      <c r="AN566" s="44"/>
    </row>
    <row r="567" spans="1:40">
      <c r="A567" s="44"/>
      <c r="C567" s="44"/>
      <c r="D567" s="44"/>
      <c r="E567" s="44"/>
      <c r="F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T567" s="44"/>
      <c r="U567" s="44"/>
      <c r="V567" s="44"/>
      <c r="Y567" s="44"/>
      <c r="Z567" s="44"/>
      <c r="AA567" s="44"/>
      <c r="AB567" s="44"/>
      <c r="AC567" s="44"/>
      <c r="AD567" s="44"/>
      <c r="AE567" s="44"/>
      <c r="AF567" s="44"/>
      <c r="AG567" s="102"/>
      <c r="AH567" s="44"/>
      <c r="AI567" s="44"/>
      <c r="AJ567" s="44"/>
      <c r="AK567" s="102"/>
      <c r="AL567" s="44"/>
      <c r="AM567" s="44"/>
      <c r="AN567" s="44"/>
    </row>
    <row r="568" spans="1:40">
      <c r="C568" s="44"/>
      <c r="D568" s="44"/>
      <c r="E568" s="44"/>
      <c r="F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T568" s="44"/>
      <c r="U568" s="44"/>
      <c r="V568" s="44"/>
      <c r="Y568" s="44"/>
      <c r="Z568" s="44"/>
      <c r="AA568" s="44"/>
      <c r="AB568" s="44"/>
      <c r="AC568" s="44"/>
      <c r="AD568" s="44"/>
      <c r="AE568" s="44"/>
      <c r="AF568" s="44"/>
      <c r="AG568" s="102"/>
      <c r="AH568" s="44"/>
      <c r="AI568" s="44"/>
      <c r="AJ568" s="44"/>
      <c r="AK568" s="102"/>
      <c r="AL568" s="44"/>
      <c r="AM568" s="44"/>
      <c r="AN568" s="44"/>
    </row>
    <row r="569" spans="1:40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107"/>
      <c r="AH569" s="49"/>
      <c r="AI569" s="49"/>
      <c r="AJ569" s="49"/>
      <c r="AK569" s="107"/>
      <c r="AL569" s="49"/>
      <c r="AM569" s="49"/>
      <c r="AN569" s="49"/>
    </row>
    <row r="570" spans="1:40"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Y570" s="44"/>
      <c r="Z570" s="44"/>
      <c r="AA570" s="44"/>
      <c r="AB570" s="44"/>
      <c r="AC570" s="44"/>
      <c r="AD570" s="44"/>
      <c r="AE570" s="44"/>
      <c r="AF570" s="44"/>
      <c r="AG570" s="102"/>
      <c r="AH570" s="44"/>
      <c r="AI570" s="44"/>
      <c r="AJ570" s="44"/>
      <c r="AK570" s="102"/>
      <c r="AL570" s="44"/>
      <c r="AM570" s="44"/>
      <c r="AN570" s="44"/>
    </row>
    <row r="571" spans="1:40">
      <c r="C571" s="42"/>
      <c r="D571" s="42"/>
      <c r="E571" s="42"/>
      <c r="T571" s="42"/>
      <c r="U571" s="42"/>
    </row>
    <row r="573" spans="1:40">
      <c r="C573" s="42"/>
      <c r="T573" s="42"/>
    </row>
    <row r="574" spans="1:40">
      <c r="C574" s="42"/>
      <c r="T574" s="42"/>
    </row>
    <row r="575" spans="1:40">
      <c r="C575" s="42"/>
      <c r="F575" s="164"/>
      <c r="H575" s="164"/>
      <c r="I575" s="164"/>
      <c r="J575" s="132"/>
      <c r="K575" s="132"/>
      <c r="L575" s="45"/>
      <c r="M575" s="45"/>
      <c r="N575" s="46"/>
      <c r="O575" s="46"/>
      <c r="P575" s="45"/>
      <c r="Q575" s="45"/>
      <c r="R575" s="45"/>
      <c r="T575" s="42"/>
      <c r="V575" s="45"/>
      <c r="W575" s="45"/>
      <c r="X575" s="45"/>
      <c r="Y575" s="45"/>
      <c r="Z575" s="132"/>
      <c r="AA575" s="45"/>
      <c r="AB575" s="45"/>
      <c r="AC575" s="46"/>
      <c r="AD575" s="46"/>
      <c r="AE575" s="45"/>
      <c r="AF575" s="45"/>
      <c r="AH575" s="51"/>
      <c r="AI575" s="45"/>
      <c r="AJ575" s="45"/>
      <c r="AL575" s="45"/>
      <c r="AM575" s="51"/>
      <c r="AN575" s="51"/>
    </row>
    <row r="576" spans="1:40">
      <c r="C576" s="42"/>
      <c r="F576" s="45"/>
      <c r="H576" s="45"/>
      <c r="I576" s="45"/>
      <c r="J576" s="56"/>
      <c r="K576" s="56"/>
      <c r="L576" s="45"/>
      <c r="M576" s="45"/>
      <c r="N576" s="46"/>
      <c r="O576" s="46"/>
      <c r="P576" s="45"/>
      <c r="Q576" s="45"/>
      <c r="R576" s="45"/>
      <c r="T576" s="42"/>
      <c r="V576" s="45"/>
      <c r="W576" s="45"/>
      <c r="X576" s="45"/>
      <c r="Y576" s="45"/>
      <c r="Z576" s="56"/>
      <c r="AA576" s="45"/>
      <c r="AB576" s="45"/>
      <c r="AC576" s="46"/>
      <c r="AD576" s="46"/>
      <c r="AE576" s="45"/>
      <c r="AF576" s="45"/>
      <c r="AH576" s="51"/>
      <c r="AI576" s="45"/>
      <c r="AJ576" s="45"/>
      <c r="AL576" s="45"/>
      <c r="AM576" s="51"/>
      <c r="AN576" s="51"/>
    </row>
    <row r="577" spans="3:40">
      <c r="C577" s="42"/>
      <c r="F577" s="45"/>
      <c r="H577" s="45"/>
      <c r="I577" s="45"/>
      <c r="J577" s="56"/>
      <c r="K577" s="56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Z577" s="56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51"/>
      <c r="AN577" s="51"/>
    </row>
    <row r="578" spans="3:40">
      <c r="C578" s="42"/>
      <c r="F578" s="45"/>
      <c r="H578" s="45"/>
      <c r="I578" s="45"/>
      <c r="J578" s="56"/>
      <c r="K578" s="56"/>
      <c r="T578" s="42"/>
      <c r="V578" s="45"/>
      <c r="Z578" s="56"/>
    </row>
    <row r="579" spans="3:40">
      <c r="C579" s="42"/>
      <c r="F579" s="164"/>
      <c r="H579" s="164"/>
      <c r="I579" s="164"/>
      <c r="J579" s="132"/>
      <c r="K579" s="132"/>
      <c r="L579" s="45"/>
      <c r="M579" s="45"/>
      <c r="N579" s="46"/>
      <c r="O579" s="46"/>
      <c r="P579" s="45"/>
      <c r="Q579" s="45"/>
      <c r="R579" s="45"/>
      <c r="T579" s="42"/>
      <c r="V579" s="45"/>
      <c r="W579" s="45"/>
      <c r="X579" s="45"/>
      <c r="Y579" s="45"/>
      <c r="Z579" s="132"/>
      <c r="AA579" s="45"/>
      <c r="AB579" s="45"/>
      <c r="AC579" s="46"/>
      <c r="AD579" s="46"/>
      <c r="AE579" s="45"/>
      <c r="AF579" s="45"/>
      <c r="AH579" s="51"/>
      <c r="AI579" s="45"/>
      <c r="AJ579" s="45"/>
      <c r="AL579" s="45"/>
      <c r="AM579" s="51"/>
      <c r="AN579" s="51"/>
    </row>
    <row r="580" spans="3:40">
      <c r="C580" s="42"/>
      <c r="F580" s="45"/>
      <c r="H580" s="45"/>
      <c r="I580" s="45"/>
      <c r="J580" s="56"/>
      <c r="K580" s="56"/>
      <c r="T580" s="42"/>
      <c r="V580" s="45"/>
      <c r="W580" s="45"/>
      <c r="X580" s="45"/>
      <c r="Y580" s="45"/>
      <c r="Z580" s="56"/>
      <c r="AC580" s="46"/>
      <c r="AD580" s="46"/>
      <c r="AE580" s="45"/>
      <c r="AF580" s="45"/>
      <c r="AH580" s="51"/>
      <c r="AI580" s="45"/>
      <c r="AJ580" s="45"/>
      <c r="AL580" s="45"/>
      <c r="AM580" s="51"/>
      <c r="AN580" s="51"/>
    </row>
    <row r="581" spans="3:40">
      <c r="C581" s="42"/>
      <c r="F581" s="164"/>
      <c r="H581" s="164"/>
      <c r="I581" s="164"/>
      <c r="J581" s="132"/>
      <c r="K581" s="132"/>
      <c r="L581" s="45"/>
      <c r="M581" s="45"/>
      <c r="N581" s="46"/>
      <c r="O581" s="46"/>
      <c r="P581" s="45"/>
      <c r="Q581" s="45"/>
      <c r="R581" s="45"/>
      <c r="T581" s="42"/>
      <c r="V581" s="45"/>
      <c r="W581" s="45"/>
      <c r="X581" s="45"/>
      <c r="Y581" s="45"/>
      <c r="Z581" s="132"/>
      <c r="AA581" s="45"/>
      <c r="AB581" s="45"/>
      <c r="AC581" s="46"/>
      <c r="AD581" s="46"/>
      <c r="AE581" s="45"/>
      <c r="AF581" s="45"/>
      <c r="AH581" s="51"/>
      <c r="AI581" s="45"/>
      <c r="AJ581" s="45"/>
      <c r="AL581" s="45"/>
      <c r="AM581" s="51"/>
      <c r="AN581" s="51"/>
    </row>
    <row r="582" spans="3:40">
      <c r="C582" s="42"/>
      <c r="F582" s="45"/>
      <c r="H582" s="45"/>
      <c r="I582" s="45"/>
      <c r="J582" s="56"/>
      <c r="K582" s="56"/>
      <c r="L582" s="45"/>
      <c r="M582" s="45"/>
      <c r="N582" s="46"/>
      <c r="O582" s="46"/>
      <c r="P582" s="45"/>
      <c r="Q582" s="45"/>
      <c r="R582" s="45"/>
      <c r="T582" s="42"/>
      <c r="V582" s="45"/>
      <c r="W582" s="45"/>
      <c r="X582" s="45"/>
      <c r="Y582" s="45"/>
      <c r="Z582" s="56"/>
      <c r="AA582" s="45"/>
      <c r="AB582" s="45"/>
      <c r="AC582" s="46"/>
      <c r="AD582" s="46"/>
      <c r="AE582" s="45"/>
      <c r="AF582" s="45"/>
      <c r="AH582" s="51"/>
      <c r="AI582" s="45"/>
      <c r="AJ582" s="45"/>
      <c r="AL582" s="45"/>
      <c r="AM582" s="51"/>
      <c r="AN582" s="51"/>
    </row>
    <row r="583" spans="3:40">
      <c r="F583" s="45"/>
      <c r="H583" s="45"/>
      <c r="I583" s="45"/>
      <c r="J583" s="56"/>
      <c r="K583" s="56"/>
      <c r="Z583" s="56"/>
    </row>
    <row r="584" spans="3:40">
      <c r="C584" s="42"/>
      <c r="F584" s="45"/>
      <c r="H584" s="164"/>
      <c r="I584" s="164"/>
      <c r="J584" s="132"/>
      <c r="K584" s="132"/>
      <c r="L584" s="45"/>
      <c r="M584" s="45"/>
      <c r="N584" s="46"/>
      <c r="O584" s="46"/>
      <c r="P584" s="45"/>
      <c r="Q584" s="45"/>
      <c r="R584" s="45"/>
      <c r="T584" s="42"/>
      <c r="V584" s="45"/>
      <c r="W584" s="45"/>
      <c r="X584" s="45"/>
      <c r="Y584" s="45"/>
      <c r="Z584" s="132"/>
      <c r="AA584" s="45"/>
      <c r="AB584" s="45"/>
      <c r="AC584" s="46"/>
      <c r="AD584" s="46"/>
      <c r="AE584" s="45"/>
      <c r="AF584" s="45"/>
      <c r="AH584" s="51"/>
      <c r="AI584" s="45"/>
      <c r="AJ584" s="45"/>
      <c r="AL584" s="45"/>
      <c r="AM584" s="51"/>
      <c r="AN584" s="51"/>
    </row>
    <row r="585" spans="3:40">
      <c r="F585" s="50"/>
      <c r="H585" s="50"/>
      <c r="I585" s="50"/>
      <c r="J585" s="132"/>
      <c r="K585" s="132"/>
      <c r="L585" s="50"/>
      <c r="M585" s="50"/>
      <c r="N585" s="50"/>
      <c r="O585" s="50"/>
      <c r="P585" s="50"/>
      <c r="Q585" s="50"/>
      <c r="R585" s="50"/>
      <c r="V585" s="50"/>
      <c r="Y585" s="50"/>
      <c r="Z585" s="132"/>
      <c r="AA585" s="50"/>
      <c r="AB585" s="50"/>
      <c r="AC585" s="50"/>
      <c r="AD585" s="50"/>
      <c r="AE585" s="50"/>
      <c r="AF585" s="50"/>
      <c r="AI585" s="50"/>
      <c r="AJ585" s="50"/>
      <c r="AK585" s="111"/>
      <c r="AL585" s="50"/>
    </row>
    <row r="586" spans="3:40">
      <c r="C586" s="42"/>
      <c r="F586" s="45"/>
      <c r="H586" s="45"/>
      <c r="I586" s="45"/>
      <c r="J586" s="56"/>
      <c r="K586" s="56"/>
      <c r="L586" s="45"/>
      <c r="M586" s="45"/>
      <c r="P586" s="45"/>
      <c r="Q586" s="45"/>
      <c r="R586" s="45"/>
      <c r="T586" s="42"/>
      <c r="V586" s="45"/>
      <c r="Y586" s="45"/>
      <c r="Z586" s="56"/>
      <c r="AA586" s="45"/>
      <c r="AB586" s="45"/>
      <c r="AC586" s="51"/>
      <c r="AD586" s="51"/>
      <c r="AE586" s="45"/>
      <c r="AF586" s="45"/>
      <c r="AH586" s="51"/>
      <c r="AI586" s="45"/>
      <c r="AJ586" s="45"/>
      <c r="AL586" s="45"/>
      <c r="AM586" s="51"/>
      <c r="AN586" s="51"/>
    </row>
    <row r="587" spans="3:40">
      <c r="F587" s="50"/>
      <c r="H587" s="50"/>
      <c r="I587" s="50"/>
      <c r="J587" s="132"/>
      <c r="K587" s="132"/>
      <c r="L587" s="50"/>
      <c r="M587" s="50"/>
      <c r="N587" s="50"/>
      <c r="O587" s="50"/>
      <c r="P587" s="50"/>
      <c r="Q587" s="50"/>
      <c r="R587" s="50"/>
      <c r="V587" s="50"/>
      <c r="Y587" s="50"/>
      <c r="Z587" s="132"/>
      <c r="AA587" s="50"/>
      <c r="AB587" s="50"/>
      <c r="AC587" s="50"/>
      <c r="AD587" s="50"/>
      <c r="AE587" s="50"/>
      <c r="AF587" s="50"/>
      <c r="AI587" s="50"/>
      <c r="AJ587" s="50"/>
      <c r="AK587" s="111"/>
      <c r="AL587" s="50"/>
    </row>
    <row r="588" spans="3:40">
      <c r="J588" s="56"/>
      <c r="K588" s="56"/>
      <c r="Z588" s="56"/>
    </row>
    <row r="589" spans="3:40">
      <c r="C589" s="42"/>
      <c r="J589" s="56"/>
      <c r="K589" s="56"/>
      <c r="T589" s="42"/>
      <c r="Z589" s="56"/>
    </row>
    <row r="590" spans="3:40">
      <c r="C590" s="42"/>
      <c r="J590" s="56"/>
      <c r="K590" s="56"/>
      <c r="T590" s="42"/>
      <c r="Z590" s="56"/>
    </row>
    <row r="591" spans="3:40">
      <c r="C591" s="42"/>
      <c r="F591" s="164"/>
      <c r="H591" s="164"/>
      <c r="I591" s="164"/>
      <c r="J591" s="132"/>
      <c r="K591" s="132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Z591" s="132"/>
      <c r="AA591" s="45"/>
      <c r="AB591" s="45"/>
      <c r="AC591" s="46"/>
      <c r="AD591" s="46"/>
      <c r="AE591" s="45"/>
      <c r="AF591" s="45"/>
      <c r="AH591" s="51"/>
      <c r="AI591" s="45"/>
      <c r="AJ591" s="45"/>
      <c r="AL591" s="45"/>
      <c r="AM591" s="51"/>
      <c r="AN591" s="51"/>
    </row>
    <row r="592" spans="3:40">
      <c r="C592" s="42"/>
      <c r="J592" s="56"/>
      <c r="K592" s="56"/>
      <c r="T592" s="42"/>
      <c r="Z592" s="56"/>
    </row>
    <row r="593" spans="1:40">
      <c r="C593" s="42"/>
      <c r="F593" s="164"/>
      <c r="H593" s="164"/>
      <c r="I593" s="164"/>
      <c r="J593" s="132"/>
      <c r="K593" s="132"/>
      <c r="L593" s="45"/>
      <c r="M593" s="45"/>
      <c r="N593" s="46"/>
      <c r="O593" s="46"/>
      <c r="P593" s="45"/>
      <c r="Q593" s="45"/>
      <c r="R593" s="45"/>
      <c r="T593" s="42"/>
      <c r="V593" s="45"/>
      <c r="W593" s="45"/>
      <c r="X593" s="45"/>
      <c r="Y593" s="45"/>
      <c r="Z593" s="132"/>
      <c r="AA593" s="45"/>
      <c r="AB593" s="45"/>
      <c r="AC593" s="46"/>
      <c r="AD593" s="46"/>
      <c r="AE593" s="45"/>
      <c r="AF593" s="45"/>
      <c r="AH593" s="51"/>
      <c r="AI593" s="45"/>
      <c r="AJ593" s="45"/>
      <c r="AL593" s="45"/>
      <c r="AM593" s="51"/>
      <c r="AN593" s="51"/>
    </row>
    <row r="594" spans="1:40">
      <c r="F594" s="50"/>
      <c r="H594" s="50"/>
      <c r="I594" s="50"/>
      <c r="J594" s="132"/>
      <c r="K594" s="132"/>
      <c r="L594" s="50"/>
      <c r="M594" s="50"/>
      <c r="N594" s="50"/>
      <c r="O594" s="50"/>
      <c r="P594" s="50"/>
      <c r="Q594" s="50"/>
      <c r="R594" s="50"/>
      <c r="V594" s="50"/>
      <c r="Y594" s="50"/>
      <c r="Z594" s="132"/>
      <c r="AA594" s="50"/>
      <c r="AB594" s="50"/>
      <c r="AC594" s="50"/>
      <c r="AD594" s="50"/>
      <c r="AE594" s="50"/>
      <c r="AF594" s="50"/>
      <c r="AI594" s="50"/>
      <c r="AJ594" s="50"/>
      <c r="AK594" s="111"/>
      <c r="AL594" s="50"/>
    </row>
    <row r="595" spans="1:40">
      <c r="C595" s="42"/>
      <c r="F595" s="45"/>
      <c r="H595" s="45"/>
      <c r="I595" s="45"/>
      <c r="J595" s="56"/>
      <c r="K595" s="56"/>
      <c r="L595" s="45"/>
      <c r="M595" s="45"/>
      <c r="N595" s="51"/>
      <c r="O595" s="51"/>
      <c r="P595" s="45"/>
      <c r="Q595" s="45"/>
      <c r="R595" s="45"/>
      <c r="T595" s="42"/>
      <c r="V595" s="45"/>
      <c r="Y595" s="45"/>
      <c r="Z595" s="56"/>
      <c r="AA595" s="45"/>
      <c r="AB595" s="45"/>
      <c r="AC595" s="51"/>
      <c r="AD595" s="51"/>
      <c r="AE595" s="45"/>
      <c r="AF595" s="45"/>
      <c r="AH595" s="51"/>
      <c r="AI595" s="45"/>
      <c r="AJ595" s="45"/>
      <c r="AL595" s="45"/>
      <c r="AM595" s="51"/>
      <c r="AN595" s="51"/>
    </row>
    <row r="596" spans="1:40">
      <c r="F596" s="50"/>
      <c r="H596" s="50"/>
      <c r="I596" s="50"/>
      <c r="J596" s="132"/>
      <c r="K596" s="132"/>
      <c r="L596" s="50"/>
      <c r="M596" s="50"/>
      <c r="N596" s="50"/>
      <c r="O596" s="50"/>
      <c r="P596" s="50"/>
      <c r="Q596" s="50"/>
      <c r="R596" s="50"/>
      <c r="V596" s="50"/>
      <c r="Y596" s="50"/>
      <c r="Z596" s="326"/>
      <c r="AA596" s="50"/>
      <c r="AB596" s="50"/>
      <c r="AC596" s="50"/>
      <c r="AD596" s="50"/>
      <c r="AE596" s="50"/>
      <c r="AF596" s="50"/>
      <c r="AI596" s="50"/>
      <c r="AJ596" s="50"/>
      <c r="AK596" s="111"/>
      <c r="AL596" s="50"/>
    </row>
    <row r="597" spans="1:40">
      <c r="J597" s="56"/>
      <c r="K597" s="56"/>
    </row>
    <row r="598" spans="1:40">
      <c r="C598" s="42"/>
      <c r="F598" s="45"/>
      <c r="H598" s="45"/>
      <c r="I598" s="45"/>
      <c r="J598" s="56"/>
      <c r="K598" s="56"/>
      <c r="L598" s="45"/>
      <c r="M598" s="45"/>
      <c r="N598" s="46"/>
      <c r="O598" s="46"/>
      <c r="P598" s="164"/>
      <c r="Q598" s="164"/>
      <c r="R598" s="45"/>
      <c r="T598" s="42"/>
      <c r="V598" s="45"/>
      <c r="Y598" s="45"/>
      <c r="AA598" s="45"/>
      <c r="AB598" s="45"/>
      <c r="AC598" s="51"/>
      <c r="AD598" s="51"/>
      <c r="AE598" s="45"/>
      <c r="AF598" s="45"/>
      <c r="AH598" s="51"/>
      <c r="AI598" s="164"/>
      <c r="AJ598" s="164"/>
      <c r="AL598" s="45"/>
      <c r="AM598" s="51"/>
      <c r="AN598" s="51"/>
    </row>
    <row r="599" spans="1:40">
      <c r="F599" s="50"/>
      <c r="H599" s="50"/>
      <c r="I599" s="50"/>
      <c r="J599" s="132"/>
      <c r="K599" s="132"/>
      <c r="L599" s="50"/>
      <c r="M599" s="50"/>
      <c r="N599" s="50"/>
      <c r="O599" s="50"/>
      <c r="P599" s="50"/>
      <c r="Q599" s="50"/>
      <c r="R599" s="50"/>
      <c r="V599" s="50"/>
      <c r="Y599" s="50"/>
      <c r="Z599" s="326"/>
      <c r="AA599" s="50"/>
      <c r="AB599" s="50"/>
      <c r="AC599" s="50"/>
      <c r="AD599" s="50"/>
      <c r="AE599" s="50"/>
      <c r="AF599" s="50"/>
      <c r="AI599" s="50"/>
      <c r="AJ599" s="50"/>
      <c r="AK599" s="111"/>
      <c r="AL599" s="50"/>
    </row>
    <row r="602" spans="1:40">
      <c r="A602" s="42"/>
    </row>
    <row r="604" spans="1:40">
      <c r="H604" s="42"/>
      <c r="I604" s="42"/>
      <c r="Y604" s="42"/>
    </row>
    <row r="606" spans="1:40">
      <c r="L606" s="42"/>
      <c r="M606" s="42"/>
      <c r="AA606" s="42"/>
      <c r="AB606" s="42"/>
    </row>
    <row r="607" spans="1:40">
      <c r="R607" s="42"/>
      <c r="AK607" s="110"/>
      <c r="AL607" s="42"/>
    </row>
    <row r="608" spans="1:40">
      <c r="R608" s="42"/>
      <c r="AK608" s="110"/>
      <c r="AL608" s="42"/>
    </row>
    <row r="609" spans="1:40">
      <c r="A609" s="42"/>
      <c r="R609" s="42"/>
      <c r="AK609" s="110"/>
      <c r="AL609" s="42"/>
    </row>
    <row r="610" spans="1:40">
      <c r="L610" s="42"/>
      <c r="M610" s="42"/>
      <c r="AA610" s="42"/>
      <c r="AB610" s="42"/>
    </row>
    <row r="611" spans="1:40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107"/>
      <c r="AH611" s="49"/>
      <c r="AI611" s="49"/>
      <c r="AJ611" s="49"/>
      <c r="AK611" s="107"/>
      <c r="AL611" s="49"/>
      <c r="AM611" s="49"/>
      <c r="AN611" s="49"/>
    </row>
    <row r="612" spans="1:40">
      <c r="L612" s="44"/>
      <c r="M612" s="44"/>
      <c r="N612" s="44"/>
      <c r="O612" s="44"/>
      <c r="R612" s="44"/>
      <c r="AA612" s="44"/>
      <c r="AB612" s="44"/>
      <c r="AC612" s="44"/>
      <c r="AD612" s="44"/>
      <c r="AE612" s="44"/>
      <c r="AF612" s="44"/>
      <c r="AG612" s="102"/>
      <c r="AH612" s="44"/>
      <c r="AK612" s="102"/>
      <c r="AL612" s="44"/>
      <c r="AM612" s="44"/>
      <c r="AN612" s="44"/>
    </row>
    <row r="613" spans="1:40">
      <c r="L613" s="44"/>
      <c r="M613" s="44"/>
      <c r="N613" s="44"/>
      <c r="O613" s="44"/>
      <c r="R613" s="44"/>
      <c r="Z613" s="44"/>
      <c r="AA613" s="44"/>
      <c r="AB613" s="44"/>
      <c r="AC613" s="44"/>
      <c r="AD613" s="44"/>
      <c r="AE613" s="44"/>
      <c r="AF613" s="44"/>
      <c r="AG613" s="102"/>
      <c r="AH613" s="44"/>
      <c r="AK613" s="102"/>
      <c r="AL613" s="44"/>
      <c r="AM613" s="44"/>
      <c r="AN613" s="44"/>
    </row>
    <row r="614" spans="1:40">
      <c r="A614" s="44"/>
      <c r="C614" s="44"/>
      <c r="D614" s="44"/>
      <c r="E614" s="44"/>
      <c r="F614" s="44"/>
      <c r="J614" s="44"/>
      <c r="K614" s="44"/>
      <c r="L614" s="44"/>
      <c r="M614" s="44"/>
      <c r="N614" s="44"/>
      <c r="O614" s="44"/>
      <c r="P614" s="44"/>
      <c r="Q614" s="44"/>
      <c r="R614" s="44"/>
      <c r="T614" s="44"/>
      <c r="U614" s="44"/>
      <c r="V614" s="44"/>
      <c r="Z614" s="44"/>
      <c r="AA614" s="44"/>
      <c r="AB614" s="44"/>
      <c r="AC614" s="44"/>
      <c r="AD614" s="44"/>
      <c r="AE614" s="44"/>
      <c r="AF614" s="44"/>
      <c r="AG614" s="102"/>
      <c r="AH614" s="44"/>
      <c r="AI614" s="44"/>
      <c r="AJ614" s="44"/>
      <c r="AK614" s="102"/>
      <c r="AL614" s="44"/>
      <c r="AM614" s="44"/>
      <c r="AN614" s="44"/>
    </row>
    <row r="615" spans="1:40">
      <c r="A615" s="44"/>
      <c r="C615" s="44"/>
      <c r="D615" s="44"/>
      <c r="E615" s="44"/>
      <c r="F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T615" s="44"/>
      <c r="U615" s="44"/>
      <c r="V615" s="44"/>
      <c r="Y615" s="44"/>
      <c r="Z615" s="44"/>
      <c r="AA615" s="44"/>
      <c r="AB615" s="44"/>
      <c r="AC615" s="44"/>
      <c r="AD615" s="44"/>
      <c r="AE615" s="44"/>
      <c r="AF615" s="44"/>
      <c r="AG615" s="102"/>
      <c r="AH615" s="44"/>
      <c r="AI615" s="44"/>
      <c r="AJ615" s="44"/>
      <c r="AK615" s="102"/>
      <c r="AL615" s="44"/>
      <c r="AM615" s="44"/>
      <c r="AN615" s="44"/>
    </row>
    <row r="616" spans="1:40">
      <c r="C616" s="44"/>
      <c r="D616" s="44"/>
      <c r="E616" s="44"/>
      <c r="F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T616" s="44"/>
      <c r="U616" s="44"/>
      <c r="V616" s="44"/>
      <c r="Y616" s="44"/>
      <c r="Z616" s="44"/>
      <c r="AA616" s="44"/>
      <c r="AB616" s="44"/>
      <c r="AC616" s="44"/>
      <c r="AD616" s="44"/>
      <c r="AE616" s="44"/>
      <c r="AF616" s="44"/>
      <c r="AG616" s="102"/>
      <c r="AH616" s="44"/>
      <c r="AI616" s="44"/>
      <c r="AJ616" s="44"/>
      <c r="AK616" s="102"/>
      <c r="AL616" s="44"/>
      <c r="AM616" s="44"/>
      <c r="AN616" s="44"/>
    </row>
    <row r="617" spans="1:40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107"/>
      <c r="AH617" s="49"/>
      <c r="AI617" s="49"/>
      <c r="AJ617" s="49"/>
      <c r="AK617" s="107"/>
      <c r="AL617" s="49"/>
      <c r="AM617" s="49"/>
      <c r="AN617" s="49"/>
    </row>
    <row r="618" spans="1:40"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Y618" s="44"/>
      <c r="Z618" s="44"/>
      <c r="AA618" s="44"/>
      <c r="AB618" s="44"/>
      <c r="AC618" s="44"/>
      <c r="AD618" s="44"/>
      <c r="AE618" s="44"/>
      <c r="AF618" s="44"/>
      <c r="AG618" s="102"/>
      <c r="AH618" s="44"/>
      <c r="AI618" s="44"/>
      <c r="AJ618" s="44"/>
      <c r="AK618" s="102"/>
      <c r="AL618" s="44"/>
      <c r="AM618" s="44"/>
      <c r="AN618" s="44"/>
    </row>
    <row r="619" spans="1:40">
      <c r="C619" s="42"/>
      <c r="D619" s="42"/>
      <c r="E619" s="42"/>
      <c r="T619" s="42"/>
      <c r="U619" s="42"/>
    </row>
    <row r="621" spans="1:40">
      <c r="C621" s="42"/>
      <c r="D621" s="42"/>
      <c r="E621" s="42"/>
      <c r="T621" s="42"/>
      <c r="U621" s="42"/>
    </row>
    <row r="622" spans="1:40">
      <c r="C622" s="42"/>
      <c r="T622" s="42"/>
    </row>
    <row r="623" spans="1:40">
      <c r="C623" s="42"/>
      <c r="T623" s="42"/>
    </row>
    <row r="624" spans="1:40">
      <c r="C624" s="42"/>
      <c r="F624" s="164"/>
      <c r="H624" s="164"/>
      <c r="I624" s="164"/>
      <c r="J624" s="132"/>
      <c r="K624" s="132"/>
      <c r="L624" s="45"/>
      <c r="M624" s="45"/>
      <c r="N624" s="46"/>
      <c r="O624" s="46"/>
      <c r="P624" s="45"/>
      <c r="Q624" s="45"/>
      <c r="R624" s="45"/>
      <c r="T624" s="42"/>
      <c r="V624" s="45"/>
      <c r="W624" s="45"/>
      <c r="X624" s="45"/>
      <c r="Y624" s="45"/>
      <c r="Z624" s="132"/>
      <c r="AA624" s="45"/>
      <c r="AB624" s="45"/>
      <c r="AC624" s="46"/>
      <c r="AD624" s="46"/>
      <c r="AE624" s="45"/>
      <c r="AF624" s="45"/>
      <c r="AH624" s="51"/>
      <c r="AI624" s="45"/>
      <c r="AJ624" s="45"/>
      <c r="AL624" s="45"/>
      <c r="AM624" s="46"/>
      <c r="AN624" s="46"/>
    </row>
    <row r="625" spans="3:40">
      <c r="C625" s="42"/>
      <c r="J625" s="56"/>
      <c r="K625" s="56"/>
      <c r="T625" s="42"/>
      <c r="V625" s="45"/>
      <c r="W625" s="45"/>
      <c r="X625" s="45"/>
      <c r="Y625" s="45"/>
      <c r="Z625" s="132"/>
    </row>
    <row r="626" spans="3:40">
      <c r="C626" s="42"/>
      <c r="F626" s="164"/>
      <c r="H626" s="164"/>
      <c r="I626" s="164"/>
      <c r="J626" s="132"/>
      <c r="K626" s="132"/>
      <c r="L626" s="45"/>
      <c r="M626" s="45"/>
      <c r="N626" s="46"/>
      <c r="O626" s="46"/>
      <c r="P626" s="45"/>
      <c r="Q626" s="45"/>
      <c r="R626" s="45"/>
      <c r="T626" s="42"/>
      <c r="V626" s="45"/>
      <c r="W626" s="45"/>
      <c r="X626" s="45"/>
      <c r="Y626" s="45"/>
      <c r="Z626" s="132"/>
      <c r="AA626" s="45"/>
      <c r="AB626" s="45"/>
      <c r="AC626" s="46"/>
      <c r="AD626" s="46"/>
      <c r="AE626" s="45"/>
      <c r="AF626" s="45"/>
      <c r="AH626" s="51"/>
      <c r="AI626" s="45"/>
      <c r="AJ626" s="45"/>
      <c r="AL626" s="45"/>
      <c r="AM626" s="46"/>
      <c r="AN626" s="46"/>
    </row>
    <row r="627" spans="3:40">
      <c r="C627" s="42"/>
      <c r="J627" s="56"/>
      <c r="K627" s="56"/>
      <c r="T627" s="42"/>
      <c r="V627" s="45"/>
      <c r="W627" s="45"/>
      <c r="X627" s="45"/>
      <c r="Y627" s="45"/>
      <c r="Z627" s="132"/>
    </row>
    <row r="628" spans="3:40">
      <c r="C628" s="42"/>
      <c r="F628" s="164"/>
      <c r="H628" s="164"/>
      <c r="I628" s="164"/>
      <c r="J628" s="132"/>
      <c r="K628" s="132"/>
      <c r="L628" s="45"/>
      <c r="M628" s="45"/>
      <c r="N628" s="46"/>
      <c r="O628" s="46"/>
      <c r="P628" s="45"/>
      <c r="Q628" s="45"/>
      <c r="R628" s="45"/>
      <c r="T628" s="42"/>
      <c r="V628" s="45"/>
      <c r="W628" s="45"/>
      <c r="X628" s="45"/>
      <c r="Y628" s="45"/>
      <c r="Z628" s="132"/>
      <c r="AA628" s="45"/>
      <c r="AB628" s="45"/>
      <c r="AC628" s="46"/>
      <c r="AD628" s="46"/>
      <c r="AE628" s="45"/>
      <c r="AF628" s="45"/>
      <c r="AH628" s="51"/>
      <c r="AI628" s="45"/>
      <c r="AJ628" s="45"/>
      <c r="AL628" s="45"/>
      <c r="AM628" s="46"/>
      <c r="AN628" s="46"/>
    </row>
    <row r="629" spans="3:40">
      <c r="C629" s="42"/>
      <c r="J629" s="56"/>
      <c r="K629" s="56"/>
      <c r="T629" s="42"/>
      <c r="V629" s="45"/>
      <c r="W629" s="45"/>
      <c r="X629" s="45"/>
      <c r="Y629" s="45"/>
      <c r="Z629" s="132"/>
    </row>
    <row r="630" spans="3:40">
      <c r="C630" s="42"/>
      <c r="F630" s="164"/>
      <c r="H630" s="164"/>
      <c r="I630" s="164"/>
      <c r="J630" s="132"/>
      <c r="K630" s="132"/>
      <c r="L630" s="45"/>
      <c r="M630" s="45"/>
      <c r="N630" s="46"/>
      <c r="O630" s="46"/>
      <c r="P630" s="45"/>
      <c r="Q630" s="45"/>
      <c r="R630" s="45"/>
      <c r="T630" s="42"/>
      <c r="V630" s="45"/>
      <c r="W630" s="45"/>
      <c r="X630" s="45"/>
      <c r="Y630" s="45"/>
      <c r="Z630" s="132"/>
      <c r="AA630" s="45"/>
      <c r="AB630" s="45"/>
      <c r="AC630" s="46"/>
      <c r="AD630" s="46"/>
      <c r="AE630" s="45"/>
      <c r="AF630" s="45"/>
      <c r="AH630" s="51"/>
      <c r="AI630" s="45"/>
      <c r="AJ630" s="45"/>
      <c r="AL630" s="45"/>
      <c r="AM630" s="46"/>
      <c r="AN630" s="46"/>
    </row>
    <row r="631" spans="3:40">
      <c r="C631" s="42"/>
      <c r="J631" s="56"/>
      <c r="K631" s="56"/>
      <c r="T631" s="42"/>
      <c r="V631" s="45"/>
      <c r="W631" s="45"/>
      <c r="X631" s="45"/>
      <c r="Y631" s="45"/>
      <c r="Z631" s="132"/>
    </row>
    <row r="632" spans="3:40">
      <c r="C632" s="42"/>
      <c r="F632" s="164"/>
      <c r="H632" s="164"/>
      <c r="I632" s="164"/>
      <c r="J632" s="132"/>
      <c r="K632" s="132"/>
      <c r="L632" s="45"/>
      <c r="M632" s="45"/>
      <c r="N632" s="46"/>
      <c r="O632" s="46"/>
      <c r="P632" s="45"/>
      <c r="Q632" s="45"/>
      <c r="R632" s="45"/>
      <c r="T632" s="42"/>
      <c r="V632" s="45"/>
      <c r="W632" s="45"/>
      <c r="X632" s="45"/>
      <c r="Y632" s="45"/>
      <c r="Z632" s="132"/>
      <c r="AA632" s="45"/>
      <c r="AB632" s="45"/>
      <c r="AC632" s="46"/>
      <c r="AD632" s="46"/>
      <c r="AE632" s="45"/>
      <c r="AF632" s="45"/>
      <c r="AH632" s="51"/>
      <c r="AI632" s="45"/>
      <c r="AJ632" s="45"/>
      <c r="AL632" s="45"/>
      <c r="AM632" s="46"/>
      <c r="AN632" s="46"/>
    </row>
    <row r="633" spans="3:40">
      <c r="C633" s="42"/>
      <c r="J633" s="56"/>
      <c r="K633" s="56"/>
      <c r="T633" s="42"/>
      <c r="V633" s="45"/>
      <c r="W633" s="45"/>
      <c r="X633" s="45"/>
      <c r="Y633" s="45"/>
      <c r="Z633" s="132"/>
    </row>
    <row r="634" spans="3:40">
      <c r="C634" s="42"/>
      <c r="F634" s="164"/>
      <c r="H634" s="164"/>
      <c r="I634" s="164"/>
      <c r="J634" s="132"/>
      <c r="K634" s="132"/>
      <c r="L634" s="45"/>
      <c r="M634" s="45"/>
      <c r="N634" s="46"/>
      <c r="O634" s="46"/>
      <c r="P634" s="45"/>
      <c r="Q634" s="45"/>
      <c r="R634" s="45"/>
      <c r="T634" s="42"/>
      <c r="V634" s="45"/>
      <c r="W634" s="45"/>
      <c r="X634" s="45"/>
      <c r="Y634" s="45"/>
      <c r="Z634" s="132"/>
      <c r="AA634" s="45"/>
      <c r="AB634" s="45"/>
      <c r="AC634" s="46"/>
      <c r="AD634" s="46"/>
      <c r="AE634" s="45"/>
      <c r="AF634" s="45"/>
      <c r="AH634" s="51"/>
      <c r="AI634" s="45"/>
      <c r="AJ634" s="45"/>
      <c r="AL634" s="45"/>
      <c r="AM634" s="46"/>
      <c r="AN634" s="46"/>
    </row>
    <row r="635" spans="3:40">
      <c r="F635" s="50"/>
      <c r="H635" s="50"/>
      <c r="I635" s="50"/>
      <c r="J635" s="132"/>
      <c r="K635" s="132"/>
      <c r="L635" s="50"/>
      <c r="M635" s="50"/>
      <c r="N635" s="50"/>
      <c r="O635" s="50"/>
      <c r="P635" s="50"/>
      <c r="Q635" s="50"/>
      <c r="R635" s="50"/>
      <c r="V635" s="50"/>
      <c r="Y635" s="50"/>
      <c r="Z635" s="132"/>
      <c r="AA635" s="50"/>
      <c r="AB635" s="50"/>
      <c r="AC635" s="50"/>
      <c r="AD635" s="50"/>
      <c r="AE635" s="50"/>
      <c r="AF635" s="50"/>
      <c r="AI635" s="50"/>
      <c r="AJ635" s="50"/>
      <c r="AK635" s="111"/>
      <c r="AL635" s="50"/>
      <c r="AM635" s="46"/>
      <c r="AN635" s="46"/>
    </row>
    <row r="636" spans="3:40">
      <c r="C636" s="42"/>
      <c r="F636" s="45"/>
      <c r="H636" s="45"/>
      <c r="I636" s="45"/>
      <c r="J636" s="56"/>
      <c r="K636" s="56"/>
      <c r="L636" s="45"/>
      <c r="M636" s="45"/>
      <c r="N636" s="46"/>
      <c r="O636" s="46"/>
      <c r="P636" s="164"/>
      <c r="Q636" s="164"/>
      <c r="R636" s="45"/>
      <c r="T636" s="42"/>
      <c r="V636" s="45"/>
      <c r="W636" s="45"/>
      <c r="X636" s="45"/>
      <c r="Y636" s="45"/>
      <c r="Z636" s="132"/>
      <c r="AA636" s="45"/>
      <c r="AB636" s="45"/>
      <c r="AC636" s="46"/>
      <c r="AD636" s="46"/>
      <c r="AE636" s="45"/>
      <c r="AF636" s="45"/>
      <c r="AH636" s="51"/>
      <c r="AI636" s="164"/>
      <c r="AJ636" s="164"/>
      <c r="AL636" s="45"/>
      <c r="AM636" s="46"/>
      <c r="AN636" s="46"/>
    </row>
    <row r="637" spans="3:40">
      <c r="F637" s="50"/>
      <c r="H637" s="50"/>
      <c r="I637" s="50"/>
      <c r="J637" s="132"/>
      <c r="K637" s="132"/>
      <c r="L637" s="50"/>
      <c r="M637" s="50"/>
      <c r="N637" s="50"/>
      <c r="O637" s="50"/>
      <c r="P637" s="50"/>
      <c r="Q637" s="50"/>
      <c r="R637" s="50"/>
      <c r="V637" s="50"/>
      <c r="Y637" s="50"/>
      <c r="Z637" s="132"/>
      <c r="AA637" s="50"/>
      <c r="AB637" s="50"/>
      <c r="AC637" s="50"/>
      <c r="AD637" s="50"/>
      <c r="AE637" s="50"/>
      <c r="AF637" s="50"/>
      <c r="AI637" s="50"/>
      <c r="AJ637" s="50"/>
      <c r="AK637" s="111"/>
      <c r="AL637" s="50"/>
    </row>
    <row r="638" spans="3:40">
      <c r="C638" s="42"/>
      <c r="D638" s="42"/>
      <c r="E638" s="42"/>
      <c r="J638" s="56"/>
      <c r="K638" s="56"/>
      <c r="T638" s="42"/>
      <c r="U638" s="42"/>
      <c r="V638" s="45"/>
      <c r="W638" s="45"/>
      <c r="X638" s="45"/>
      <c r="Y638" s="45"/>
      <c r="Z638" s="132"/>
    </row>
    <row r="639" spans="3:40">
      <c r="C639" s="42"/>
      <c r="J639" s="56"/>
      <c r="K639" s="56"/>
      <c r="T639" s="42"/>
      <c r="V639" s="45"/>
      <c r="W639" s="45"/>
      <c r="X639" s="45"/>
      <c r="Y639" s="45"/>
      <c r="Z639" s="132"/>
    </row>
    <row r="640" spans="3:40">
      <c r="C640" s="42"/>
      <c r="J640" s="56"/>
      <c r="K640" s="56"/>
      <c r="T640" s="42"/>
      <c r="V640" s="45"/>
      <c r="W640" s="45"/>
      <c r="X640" s="45"/>
      <c r="Y640" s="45"/>
      <c r="Z640" s="132"/>
    </row>
    <row r="641" spans="3:40">
      <c r="C641" s="42"/>
      <c r="F641" s="164"/>
      <c r="H641" s="164"/>
      <c r="I641" s="164"/>
      <c r="J641" s="132"/>
      <c r="K641" s="132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Z641" s="132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46"/>
      <c r="AN641" s="46"/>
    </row>
    <row r="642" spans="3:40">
      <c r="C642" s="42"/>
      <c r="J642" s="56"/>
      <c r="K642" s="56"/>
      <c r="T642" s="42"/>
      <c r="V642" s="45"/>
      <c r="W642" s="45"/>
      <c r="X642" s="45"/>
      <c r="Y642" s="45"/>
      <c r="Z642" s="132"/>
    </row>
    <row r="643" spans="3:40">
      <c r="C643" s="42"/>
      <c r="F643" s="164"/>
      <c r="H643" s="164"/>
      <c r="I643" s="164"/>
      <c r="J643" s="132"/>
      <c r="K643" s="132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Z643" s="132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46"/>
      <c r="AN643" s="46"/>
    </row>
    <row r="644" spans="3:40">
      <c r="F644" s="50"/>
      <c r="H644" s="50"/>
      <c r="I644" s="50"/>
      <c r="J644" s="132"/>
      <c r="K644" s="132"/>
      <c r="L644" s="50"/>
      <c r="M644" s="50"/>
      <c r="N644" s="50"/>
      <c r="O644" s="50"/>
      <c r="P644" s="50"/>
      <c r="Q644" s="50"/>
      <c r="R644" s="50"/>
      <c r="V644" s="50"/>
      <c r="Y644" s="50"/>
      <c r="Z644" s="326"/>
      <c r="AA644" s="50"/>
      <c r="AB644" s="50"/>
      <c r="AC644" s="50"/>
      <c r="AD644" s="50"/>
      <c r="AE644" s="50"/>
      <c r="AF644" s="50"/>
      <c r="AI644" s="50"/>
      <c r="AJ644" s="50"/>
      <c r="AK644" s="111"/>
      <c r="AL644" s="50"/>
    </row>
    <row r="645" spans="3:40">
      <c r="C645" s="42"/>
      <c r="F645" s="45"/>
      <c r="H645" s="45"/>
      <c r="I645" s="45"/>
      <c r="L645" s="45"/>
      <c r="M645" s="45"/>
      <c r="N645" s="46"/>
      <c r="O645" s="46"/>
      <c r="P645" s="164"/>
      <c r="Q645" s="164"/>
      <c r="R645" s="45"/>
      <c r="T645" s="42"/>
      <c r="V645" s="45"/>
      <c r="W645" s="45"/>
      <c r="X645" s="45"/>
      <c r="Y645" s="45"/>
      <c r="Z645" s="336"/>
      <c r="AA645" s="45"/>
      <c r="AB645" s="45"/>
      <c r="AC645" s="46"/>
      <c r="AD645" s="46"/>
      <c r="AE645" s="45"/>
      <c r="AF645" s="45"/>
      <c r="AH645" s="51"/>
      <c r="AI645" s="164"/>
      <c r="AJ645" s="164"/>
      <c r="AL645" s="45"/>
      <c r="AM645" s="46"/>
      <c r="AN645" s="46"/>
    </row>
    <row r="646" spans="3:40">
      <c r="F646" s="50"/>
      <c r="H646" s="50"/>
      <c r="I646" s="50"/>
      <c r="J646" s="326"/>
      <c r="K646" s="326"/>
      <c r="L646" s="50"/>
      <c r="M646" s="50"/>
      <c r="N646" s="50"/>
      <c r="O646" s="50"/>
      <c r="P646" s="50"/>
      <c r="Q646" s="50"/>
      <c r="R646" s="50"/>
      <c r="V646" s="50"/>
      <c r="Y646" s="50"/>
      <c r="Z646" s="326"/>
      <c r="AA646" s="50"/>
      <c r="AB646" s="50"/>
      <c r="AC646" s="50"/>
      <c r="AD646" s="50"/>
      <c r="AE646" s="50"/>
      <c r="AF646" s="50"/>
      <c r="AI646" s="50"/>
      <c r="AJ646" s="50"/>
      <c r="AK646" s="111"/>
      <c r="AL646" s="50"/>
    </row>
    <row r="647" spans="3:40">
      <c r="C647" s="42"/>
      <c r="D647" s="42"/>
      <c r="E647" s="42"/>
      <c r="T647" s="42"/>
      <c r="U647" s="42"/>
      <c r="V647" s="45"/>
      <c r="W647" s="45"/>
      <c r="X647" s="45"/>
      <c r="Y647" s="45"/>
      <c r="Z647" s="336"/>
    </row>
    <row r="648" spans="3:40">
      <c r="C648" s="42"/>
      <c r="T648" s="42"/>
      <c r="V648" s="45"/>
      <c r="W648" s="45"/>
      <c r="X648" s="45"/>
      <c r="Y648" s="45"/>
      <c r="Z648" s="336"/>
    </row>
    <row r="649" spans="3:40">
      <c r="C649" s="42"/>
      <c r="F649" s="164"/>
      <c r="H649" s="164"/>
      <c r="I649" s="164"/>
      <c r="J649" s="336"/>
      <c r="K649" s="336"/>
      <c r="L649" s="45"/>
      <c r="M649" s="45"/>
      <c r="N649" s="46"/>
      <c r="O649" s="46"/>
      <c r="P649" s="45"/>
      <c r="Q649" s="45"/>
      <c r="R649" s="45"/>
      <c r="T649" s="42"/>
      <c r="V649" s="45"/>
      <c r="W649" s="45"/>
      <c r="X649" s="45"/>
      <c r="Y649" s="45"/>
      <c r="Z649" s="336"/>
      <c r="AA649" s="45"/>
      <c r="AB649" s="45"/>
      <c r="AC649" s="46"/>
      <c r="AD649" s="46"/>
      <c r="AE649" s="45"/>
      <c r="AF649" s="45"/>
      <c r="AH649" s="51"/>
      <c r="AI649" s="45"/>
      <c r="AJ649" s="45"/>
      <c r="AL649" s="45"/>
      <c r="AM649" s="46"/>
      <c r="AN649" s="46"/>
    </row>
    <row r="650" spans="3:40">
      <c r="C650" s="42"/>
      <c r="T650" s="42"/>
      <c r="V650" s="45"/>
      <c r="W650" s="45"/>
      <c r="X650" s="45"/>
      <c r="Y650" s="45"/>
      <c r="Z650" s="336"/>
    </row>
    <row r="651" spans="3:40">
      <c r="C651" s="42"/>
      <c r="F651" s="164"/>
      <c r="H651" s="164"/>
      <c r="I651" s="164"/>
      <c r="J651" s="336"/>
      <c r="K651" s="336"/>
      <c r="L651" s="45"/>
      <c r="M651" s="45"/>
      <c r="N651" s="46"/>
      <c r="O651" s="46"/>
      <c r="P651" s="45"/>
      <c r="Q651" s="45"/>
      <c r="R651" s="45"/>
      <c r="T651" s="42"/>
      <c r="V651" s="45"/>
      <c r="W651" s="45"/>
      <c r="X651" s="45"/>
      <c r="Y651" s="45"/>
      <c r="Z651" s="336"/>
      <c r="AA651" s="45"/>
      <c r="AB651" s="45"/>
      <c r="AC651" s="46"/>
      <c r="AD651" s="46"/>
      <c r="AE651" s="45"/>
      <c r="AF651" s="45"/>
      <c r="AH651" s="51"/>
      <c r="AI651" s="45"/>
      <c r="AJ651" s="45"/>
      <c r="AL651" s="45"/>
      <c r="AM651" s="46"/>
      <c r="AN651" s="46"/>
    </row>
    <row r="652" spans="3:40">
      <c r="C652" s="42"/>
      <c r="T652" s="42"/>
      <c r="V652" s="45"/>
      <c r="W652" s="45"/>
      <c r="X652" s="45"/>
      <c r="Y652" s="45"/>
      <c r="Z652" s="336"/>
    </row>
    <row r="653" spans="3:40">
      <c r="C653" s="42"/>
      <c r="F653" s="164"/>
      <c r="H653" s="164"/>
      <c r="I653" s="164"/>
      <c r="J653" s="336"/>
      <c r="K653" s="336"/>
      <c r="L653" s="45"/>
      <c r="M653" s="45"/>
      <c r="N653" s="46"/>
      <c r="O653" s="46"/>
      <c r="P653" s="45"/>
      <c r="Q653" s="45"/>
      <c r="R653" s="45"/>
      <c r="T653" s="42"/>
      <c r="V653" s="45"/>
      <c r="W653" s="45"/>
      <c r="X653" s="45"/>
      <c r="Y653" s="45"/>
      <c r="Z653" s="336"/>
      <c r="AA653" s="45"/>
      <c r="AB653" s="45"/>
      <c r="AC653" s="46"/>
      <c r="AD653" s="46"/>
      <c r="AE653" s="45"/>
      <c r="AF653" s="45"/>
      <c r="AH653" s="51"/>
      <c r="AI653" s="45"/>
      <c r="AJ653" s="45"/>
      <c r="AL653" s="45"/>
      <c r="AM653" s="46"/>
      <c r="AN653" s="46"/>
    </row>
    <row r="654" spans="3:40">
      <c r="C654" s="42"/>
      <c r="T654" s="42"/>
      <c r="V654" s="45"/>
      <c r="W654" s="45"/>
      <c r="X654" s="45"/>
      <c r="Y654" s="45"/>
      <c r="Z654" s="336"/>
    </row>
    <row r="655" spans="3:40">
      <c r="C655" s="42"/>
      <c r="F655" s="164"/>
      <c r="H655" s="164"/>
      <c r="I655" s="164"/>
      <c r="J655" s="336"/>
      <c r="K655" s="336"/>
      <c r="L655" s="45"/>
      <c r="M655" s="45"/>
      <c r="N655" s="46"/>
      <c r="O655" s="46"/>
      <c r="P655" s="45"/>
      <c r="Q655" s="45"/>
      <c r="R655" s="45"/>
      <c r="T655" s="42"/>
      <c r="V655" s="45"/>
      <c r="W655" s="45"/>
      <c r="X655" s="45"/>
      <c r="Y655" s="45"/>
      <c r="Z655" s="336"/>
      <c r="AA655" s="45"/>
      <c r="AB655" s="45"/>
      <c r="AC655" s="46"/>
      <c r="AD655" s="46"/>
      <c r="AE655" s="45"/>
      <c r="AF655" s="45"/>
      <c r="AH655" s="51"/>
      <c r="AI655" s="45"/>
      <c r="AJ655" s="45"/>
      <c r="AL655" s="45"/>
      <c r="AM655" s="46"/>
      <c r="AN655" s="46"/>
    </row>
    <row r="656" spans="3:40">
      <c r="F656" s="50"/>
      <c r="H656" s="50"/>
      <c r="I656" s="50"/>
      <c r="J656" s="326"/>
      <c r="K656" s="326"/>
      <c r="L656" s="50"/>
      <c r="M656" s="50"/>
      <c r="N656" s="50"/>
      <c r="O656" s="50"/>
      <c r="P656" s="50"/>
      <c r="Q656" s="50"/>
      <c r="R656" s="50"/>
      <c r="V656" s="50"/>
      <c r="Y656" s="50"/>
      <c r="Z656" s="326"/>
      <c r="AA656" s="50"/>
      <c r="AB656" s="50"/>
      <c r="AC656" s="50"/>
      <c r="AD656" s="50"/>
      <c r="AE656" s="50"/>
      <c r="AF656" s="50"/>
      <c r="AI656" s="50"/>
      <c r="AJ656" s="50"/>
      <c r="AK656" s="111"/>
      <c r="AL656" s="50"/>
    </row>
    <row r="657" spans="1:40">
      <c r="C657" s="42"/>
      <c r="F657" s="45"/>
      <c r="H657" s="45"/>
      <c r="I657" s="45"/>
      <c r="L657" s="45"/>
      <c r="M657" s="45"/>
      <c r="N657" s="46"/>
      <c r="O657" s="46"/>
      <c r="P657" s="164"/>
      <c r="Q657" s="164"/>
      <c r="R657" s="45"/>
      <c r="T657" s="42"/>
      <c r="V657" s="45"/>
      <c r="W657" s="45"/>
      <c r="X657" s="45"/>
      <c r="Y657" s="45"/>
      <c r="Z657" s="336"/>
      <c r="AA657" s="45"/>
      <c r="AB657" s="45"/>
      <c r="AC657" s="46"/>
      <c r="AD657" s="46"/>
      <c r="AE657" s="45"/>
      <c r="AF657" s="45"/>
      <c r="AH657" s="51"/>
      <c r="AI657" s="164"/>
      <c r="AJ657" s="164"/>
      <c r="AL657" s="45"/>
      <c r="AM657" s="46"/>
      <c r="AN657" s="46"/>
    </row>
    <row r="658" spans="1:40">
      <c r="F658" s="50"/>
      <c r="H658" s="50"/>
      <c r="I658" s="50"/>
      <c r="J658" s="326"/>
      <c r="K658" s="326"/>
      <c r="L658" s="50"/>
      <c r="M658" s="50"/>
      <c r="N658" s="50"/>
      <c r="O658" s="50"/>
      <c r="P658" s="50"/>
      <c r="Q658" s="50"/>
      <c r="R658" s="50"/>
      <c r="V658" s="50"/>
      <c r="Y658" s="50"/>
      <c r="Z658" s="326"/>
      <c r="AA658" s="50"/>
      <c r="AB658" s="50"/>
      <c r="AC658" s="50"/>
      <c r="AD658" s="50"/>
      <c r="AE658" s="50"/>
      <c r="AF658" s="50"/>
      <c r="AI658" s="50"/>
      <c r="AJ658" s="50"/>
      <c r="AK658" s="111"/>
      <c r="AL658" s="50"/>
    </row>
    <row r="659" spans="1:40">
      <c r="C659" s="42"/>
      <c r="F659" s="45"/>
      <c r="H659" s="45"/>
      <c r="I659" s="45"/>
      <c r="L659" s="45"/>
      <c r="M659" s="45"/>
      <c r="N659" s="46"/>
      <c r="O659" s="46"/>
      <c r="P659" s="45"/>
      <c r="Q659" s="45"/>
      <c r="R659" s="45"/>
      <c r="T659" s="42"/>
      <c r="V659" s="45"/>
      <c r="W659" s="45"/>
      <c r="X659" s="45"/>
      <c r="Y659" s="45"/>
      <c r="AA659" s="45"/>
      <c r="AB659" s="45"/>
      <c r="AC659" s="46"/>
      <c r="AD659" s="46"/>
      <c r="AE659" s="45"/>
      <c r="AF659" s="45"/>
      <c r="AH659" s="51"/>
      <c r="AI659" s="45"/>
      <c r="AJ659" s="45"/>
      <c r="AL659" s="45"/>
      <c r="AM659" s="51"/>
      <c r="AN659" s="51"/>
    </row>
    <row r="660" spans="1:40">
      <c r="F660" s="50"/>
      <c r="H660" s="50"/>
      <c r="I660" s="50"/>
      <c r="J660" s="326"/>
      <c r="K660" s="326"/>
      <c r="L660" s="50"/>
      <c r="M660" s="50"/>
      <c r="N660" s="50"/>
      <c r="O660" s="50"/>
      <c r="P660" s="50"/>
      <c r="Q660" s="50"/>
      <c r="R660" s="50"/>
      <c r="V660" s="50"/>
      <c r="Y660" s="50"/>
      <c r="Z660" s="326"/>
      <c r="AA660" s="50"/>
      <c r="AB660" s="50"/>
      <c r="AC660" s="50"/>
      <c r="AD660" s="50"/>
      <c r="AE660" s="50"/>
      <c r="AF660" s="50"/>
      <c r="AI660" s="50"/>
      <c r="AJ660" s="50"/>
      <c r="AK660" s="111"/>
      <c r="AL660" s="50"/>
    </row>
    <row r="663" spans="1:40">
      <c r="A663" s="42"/>
    </row>
    <row r="665" spans="1:40">
      <c r="H665" s="42"/>
      <c r="I665" s="42"/>
      <c r="Y665" s="42"/>
    </row>
    <row r="667" spans="1:40">
      <c r="L667" s="42"/>
      <c r="M667" s="42"/>
      <c r="AA667" s="42"/>
      <c r="AB667" s="42"/>
    </row>
    <row r="668" spans="1:40">
      <c r="R668" s="42"/>
      <c r="AK668" s="110"/>
      <c r="AL668" s="42"/>
    </row>
    <row r="669" spans="1:40">
      <c r="R669" s="42"/>
      <c r="AK669" s="110"/>
      <c r="AL669" s="42"/>
    </row>
    <row r="670" spans="1:40">
      <c r="A670" s="42"/>
      <c r="R670" s="42"/>
      <c r="AK670" s="110"/>
      <c r="AL670" s="42"/>
    </row>
    <row r="671" spans="1:40">
      <c r="L671" s="42"/>
      <c r="M671" s="42"/>
      <c r="AA671" s="42"/>
      <c r="AB671" s="42"/>
    </row>
    <row r="672" spans="1:40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107"/>
      <c r="AH672" s="49"/>
      <c r="AI672" s="49"/>
      <c r="AJ672" s="49"/>
      <c r="AK672" s="107"/>
      <c r="AL672" s="49"/>
      <c r="AM672" s="49"/>
      <c r="AN672" s="49"/>
    </row>
    <row r="673" spans="1:40">
      <c r="L673" s="44"/>
      <c r="M673" s="44"/>
      <c r="N673" s="44"/>
      <c r="O673" s="44"/>
      <c r="R673" s="44"/>
      <c r="AA673" s="44"/>
      <c r="AB673" s="44"/>
      <c r="AC673" s="44"/>
      <c r="AD673" s="44"/>
      <c r="AE673" s="44"/>
      <c r="AF673" s="44"/>
      <c r="AG673" s="102"/>
      <c r="AH673" s="44"/>
      <c r="AK673" s="102"/>
      <c r="AL673" s="44"/>
      <c r="AM673" s="44"/>
      <c r="AN673" s="44"/>
    </row>
    <row r="674" spans="1:40">
      <c r="L674" s="44"/>
      <c r="M674" s="44"/>
      <c r="N674" s="44"/>
      <c r="O674" s="44"/>
      <c r="R674" s="44"/>
      <c r="Z674" s="44"/>
      <c r="AA674" s="44"/>
      <c r="AB674" s="44"/>
      <c r="AC674" s="44"/>
      <c r="AD674" s="44"/>
      <c r="AE674" s="44"/>
      <c r="AF674" s="44"/>
      <c r="AG674" s="102"/>
      <c r="AH674" s="44"/>
      <c r="AK674" s="102"/>
      <c r="AL674" s="44"/>
      <c r="AM674" s="44"/>
      <c r="AN674" s="44"/>
    </row>
    <row r="675" spans="1:40">
      <c r="A675" s="44"/>
      <c r="C675" s="44"/>
      <c r="D675" s="44"/>
      <c r="E675" s="44"/>
      <c r="F675" s="44"/>
      <c r="J675" s="44"/>
      <c r="K675" s="44"/>
      <c r="L675" s="44"/>
      <c r="M675" s="44"/>
      <c r="N675" s="44"/>
      <c r="O675" s="44"/>
      <c r="P675" s="44"/>
      <c r="Q675" s="44"/>
      <c r="R675" s="44"/>
      <c r="T675" s="44"/>
      <c r="U675" s="44"/>
      <c r="V675" s="44"/>
      <c r="Z675" s="44"/>
      <c r="AA675" s="44"/>
      <c r="AB675" s="44"/>
      <c r="AC675" s="44"/>
      <c r="AD675" s="44"/>
      <c r="AE675" s="44"/>
      <c r="AF675" s="44"/>
      <c r="AG675" s="102"/>
      <c r="AH675" s="44"/>
      <c r="AI675" s="44"/>
      <c r="AJ675" s="44"/>
      <c r="AK675" s="102"/>
      <c r="AL675" s="44"/>
      <c r="AM675" s="44"/>
      <c r="AN675" s="44"/>
    </row>
    <row r="676" spans="1:40">
      <c r="A676" s="44"/>
      <c r="C676" s="44"/>
      <c r="D676" s="44"/>
      <c r="E676" s="44"/>
      <c r="F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T676" s="44"/>
      <c r="U676" s="44"/>
      <c r="V676" s="44"/>
      <c r="Y676" s="44"/>
      <c r="Z676" s="44"/>
      <c r="AA676" s="44"/>
      <c r="AB676" s="44"/>
      <c r="AC676" s="44"/>
      <c r="AD676" s="44"/>
      <c r="AE676" s="44"/>
      <c r="AF676" s="44"/>
      <c r="AG676" s="102"/>
      <c r="AH676" s="44"/>
      <c r="AI676" s="44"/>
      <c r="AJ676" s="44"/>
      <c r="AK676" s="102"/>
      <c r="AL676" s="44"/>
      <c r="AM676" s="44"/>
      <c r="AN676" s="44"/>
    </row>
    <row r="677" spans="1:40">
      <c r="C677" s="44"/>
      <c r="D677" s="44"/>
      <c r="E677" s="44"/>
      <c r="F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T677" s="44"/>
      <c r="U677" s="44"/>
      <c r="V677" s="44"/>
      <c r="Y677" s="44"/>
      <c r="Z677" s="44"/>
      <c r="AA677" s="44"/>
      <c r="AB677" s="44"/>
      <c r="AC677" s="44"/>
      <c r="AD677" s="44"/>
      <c r="AE677" s="44"/>
      <c r="AF677" s="44"/>
      <c r="AG677" s="102"/>
      <c r="AH677" s="44"/>
      <c r="AI677" s="44"/>
      <c r="AJ677" s="44"/>
      <c r="AK677" s="102"/>
      <c r="AL677" s="44"/>
      <c r="AM677" s="44"/>
      <c r="AN677" s="44"/>
    </row>
    <row r="678" spans="1:40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107"/>
      <c r="AH678" s="49"/>
      <c r="AI678" s="49"/>
      <c r="AJ678" s="49"/>
      <c r="AK678" s="107"/>
      <c r="AL678" s="49"/>
      <c r="AM678" s="49"/>
      <c r="AN678" s="49"/>
    </row>
    <row r="679" spans="1:40"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Y679" s="44"/>
      <c r="Z679" s="44"/>
      <c r="AA679" s="44"/>
      <c r="AB679" s="44"/>
      <c r="AC679" s="44"/>
      <c r="AD679" s="44"/>
      <c r="AE679" s="44"/>
      <c r="AF679" s="44"/>
      <c r="AG679" s="102"/>
      <c r="AH679" s="44"/>
      <c r="AI679" s="44"/>
      <c r="AJ679" s="44"/>
      <c r="AK679" s="102"/>
      <c r="AL679" s="44"/>
      <c r="AM679" s="44"/>
      <c r="AN679" s="44"/>
    </row>
    <row r="680" spans="1:40">
      <c r="C680" s="42"/>
      <c r="D680" s="42"/>
      <c r="E680" s="42"/>
      <c r="F680" s="45"/>
      <c r="H680" s="45"/>
      <c r="I680" s="45"/>
      <c r="J680" s="47"/>
      <c r="K680" s="47"/>
      <c r="L680" s="45"/>
      <c r="M680" s="45"/>
      <c r="N680" s="47"/>
      <c r="O680" s="47"/>
      <c r="P680" s="45"/>
      <c r="Q680" s="45"/>
      <c r="R680" s="45"/>
      <c r="T680" s="42"/>
      <c r="U680" s="42"/>
      <c r="V680" s="45"/>
      <c r="Y680" s="45"/>
      <c r="Z680" s="47"/>
      <c r="AA680" s="45"/>
      <c r="AB680" s="45"/>
      <c r="AC680" s="47"/>
      <c r="AD680" s="47"/>
      <c r="AE680" s="45"/>
      <c r="AF680" s="45"/>
      <c r="AH680" s="51"/>
      <c r="AI680" s="45"/>
      <c r="AJ680" s="45"/>
      <c r="AL680" s="45"/>
      <c r="AM680" s="46"/>
      <c r="AN680" s="46"/>
    </row>
    <row r="681" spans="1:40">
      <c r="F681" s="50"/>
      <c r="H681" s="50"/>
      <c r="I681" s="50"/>
      <c r="J681" s="326"/>
      <c r="K681" s="326"/>
      <c r="L681" s="50"/>
      <c r="M681" s="50"/>
      <c r="N681" s="50"/>
      <c r="O681" s="50"/>
      <c r="P681" s="50"/>
      <c r="Q681" s="50"/>
      <c r="R681" s="50"/>
      <c r="V681" s="50"/>
      <c r="Y681" s="50"/>
      <c r="Z681" s="326"/>
      <c r="AA681" s="50"/>
      <c r="AB681" s="50"/>
      <c r="AC681" s="50"/>
      <c r="AD681" s="50"/>
      <c r="AE681" s="50"/>
      <c r="AF681" s="50"/>
      <c r="AI681" s="50"/>
      <c r="AJ681" s="50"/>
      <c r="AK681" s="111"/>
      <c r="AL681" s="50"/>
      <c r="AM681" s="46"/>
      <c r="AN681" s="46"/>
    </row>
    <row r="682" spans="1:40">
      <c r="C682" s="42"/>
      <c r="F682" s="45"/>
      <c r="H682" s="45"/>
      <c r="I682" s="45"/>
      <c r="J682" s="47"/>
      <c r="K682" s="47"/>
      <c r="L682" s="45"/>
      <c r="M682" s="45"/>
      <c r="N682" s="47"/>
      <c r="O682" s="47"/>
      <c r="P682" s="45"/>
      <c r="Q682" s="45"/>
      <c r="R682" s="45"/>
      <c r="T682" s="42"/>
      <c r="V682" s="45"/>
      <c r="Y682" s="45"/>
      <c r="Z682" s="47"/>
      <c r="AA682" s="45"/>
      <c r="AB682" s="45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1:40">
      <c r="F683" s="45"/>
      <c r="H683" s="45"/>
      <c r="I683" s="45"/>
      <c r="J683" s="47"/>
      <c r="K683" s="47"/>
      <c r="L683" s="45"/>
      <c r="M683" s="45"/>
      <c r="N683" s="47"/>
      <c r="O683" s="47"/>
      <c r="P683" s="45"/>
      <c r="Q683" s="45"/>
      <c r="R683" s="45"/>
      <c r="V683" s="45"/>
      <c r="Y683" s="45"/>
      <c r="Z683" s="47"/>
      <c r="AA683" s="45"/>
      <c r="AB683" s="45"/>
      <c r="AC683" s="47"/>
      <c r="AD683" s="47"/>
      <c r="AH683" s="51"/>
      <c r="AI683" s="45"/>
      <c r="AJ683" s="45"/>
      <c r="AL683" s="45"/>
      <c r="AM683" s="46"/>
      <c r="AN683" s="46"/>
    </row>
    <row r="684" spans="1:40">
      <c r="C684" s="42"/>
      <c r="D684" s="42"/>
      <c r="E684" s="42"/>
      <c r="F684" s="45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U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1:40">
      <c r="C685" s="42"/>
      <c r="D685" s="42"/>
      <c r="E685" s="42"/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T685" s="42"/>
      <c r="U685" s="42"/>
      <c r="V685" s="45"/>
      <c r="Y685" s="45"/>
      <c r="Z685" s="47"/>
      <c r="AA685" s="45"/>
      <c r="AB685" s="45"/>
      <c r="AC685" s="47"/>
      <c r="AD685" s="47"/>
      <c r="AE685" s="45"/>
      <c r="AF685" s="45"/>
      <c r="AH685" s="51"/>
      <c r="AI685" s="45"/>
      <c r="AJ685" s="45"/>
      <c r="AL685" s="45"/>
      <c r="AM685" s="46"/>
      <c r="AN685" s="46"/>
    </row>
    <row r="686" spans="1:40">
      <c r="C686" s="42"/>
      <c r="D686" s="42"/>
      <c r="E686" s="42"/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T686" s="42"/>
      <c r="U686" s="42"/>
      <c r="V686" s="45"/>
      <c r="Y686" s="45"/>
      <c r="Z686" s="47"/>
      <c r="AA686" s="45"/>
      <c r="AB686" s="45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1:40">
      <c r="C687" s="42"/>
      <c r="D687" s="42"/>
      <c r="E687" s="42"/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T687" s="42"/>
      <c r="U687" s="42"/>
      <c r="V687" s="45"/>
      <c r="Y687" s="45"/>
      <c r="Z687" s="47"/>
      <c r="AA687" s="45"/>
      <c r="AB687" s="45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1:40">
      <c r="C688" s="42"/>
      <c r="D688" s="42"/>
      <c r="E688" s="42"/>
      <c r="F688" s="45"/>
      <c r="H688" s="45"/>
      <c r="I688" s="45"/>
      <c r="J688" s="47"/>
      <c r="K688" s="47"/>
      <c r="L688" s="45"/>
      <c r="M688" s="45"/>
      <c r="N688" s="47"/>
      <c r="O688" s="47"/>
      <c r="P688" s="45"/>
      <c r="Q688" s="45"/>
      <c r="R688" s="45"/>
      <c r="T688" s="42"/>
      <c r="U688" s="42"/>
      <c r="V688" s="45"/>
      <c r="Y688" s="45"/>
      <c r="Z688" s="47"/>
      <c r="AA688" s="45"/>
      <c r="AB688" s="45"/>
      <c r="AC688" s="47"/>
      <c r="AD688" s="47"/>
      <c r="AE688" s="45"/>
      <c r="AF688" s="45"/>
      <c r="AH688" s="51"/>
      <c r="AI688" s="45"/>
      <c r="AJ688" s="45"/>
      <c r="AL688" s="45"/>
      <c r="AM688" s="46"/>
      <c r="AN688" s="46"/>
    </row>
    <row r="689" spans="3:40">
      <c r="C689" s="42"/>
      <c r="D689" s="42"/>
      <c r="E689" s="42"/>
      <c r="F689" s="45"/>
      <c r="H689" s="45"/>
      <c r="I689" s="45"/>
      <c r="J689" s="47"/>
      <c r="K689" s="47"/>
      <c r="L689" s="45"/>
      <c r="M689" s="45"/>
      <c r="N689" s="47"/>
      <c r="O689" s="47"/>
      <c r="P689" s="45"/>
      <c r="Q689" s="45"/>
      <c r="R689" s="45"/>
      <c r="T689" s="42"/>
      <c r="U689" s="42"/>
      <c r="V689" s="45"/>
      <c r="Y689" s="45"/>
      <c r="Z689" s="47"/>
      <c r="AA689" s="45"/>
      <c r="AB689" s="45"/>
      <c r="AC689" s="47"/>
      <c r="AD689" s="47"/>
      <c r="AE689" s="45"/>
      <c r="AF689" s="45"/>
      <c r="AH689" s="51"/>
      <c r="AI689" s="45"/>
      <c r="AJ689" s="45"/>
      <c r="AL689" s="45"/>
      <c r="AM689" s="46"/>
      <c r="AN689" s="46"/>
    </row>
    <row r="690" spans="3:40">
      <c r="F690" s="50"/>
      <c r="H690" s="50"/>
      <c r="I690" s="50"/>
      <c r="J690" s="326"/>
      <c r="K690" s="326"/>
      <c r="L690" s="50"/>
      <c r="M690" s="50"/>
      <c r="N690" s="50"/>
      <c r="O690" s="50"/>
      <c r="P690" s="50"/>
      <c r="Q690" s="50"/>
      <c r="R690" s="50"/>
      <c r="V690" s="50"/>
      <c r="Y690" s="50"/>
      <c r="Z690" s="326"/>
      <c r="AA690" s="50"/>
      <c r="AB690" s="50"/>
      <c r="AC690" s="50"/>
      <c r="AD690" s="50"/>
      <c r="AE690" s="50"/>
      <c r="AF690" s="50"/>
      <c r="AI690" s="50"/>
      <c r="AJ690" s="50"/>
      <c r="AK690" s="111"/>
      <c r="AL690" s="50"/>
      <c r="AM690" s="46"/>
      <c r="AN690" s="46"/>
    </row>
    <row r="691" spans="3:40">
      <c r="C691" s="42"/>
      <c r="F691" s="45"/>
      <c r="H691" s="45"/>
      <c r="I691" s="45"/>
      <c r="J691" s="47"/>
      <c r="K691" s="47"/>
      <c r="L691" s="45"/>
      <c r="M691" s="45"/>
      <c r="N691" s="47"/>
      <c r="O691" s="47"/>
      <c r="P691" s="45"/>
      <c r="Q691" s="45"/>
      <c r="R691" s="45"/>
      <c r="T691" s="42"/>
      <c r="V691" s="45"/>
      <c r="Y691" s="45"/>
      <c r="Z691" s="47"/>
      <c r="AA691" s="45"/>
      <c r="AB691" s="45"/>
      <c r="AC691" s="47"/>
      <c r="AD691" s="47"/>
      <c r="AE691" s="45"/>
      <c r="AF691" s="45"/>
      <c r="AH691" s="51"/>
      <c r="AI691" s="45"/>
      <c r="AJ691" s="45"/>
      <c r="AL691" s="45"/>
      <c r="AM691" s="46"/>
      <c r="AN691" s="46"/>
    </row>
    <row r="692" spans="3:40">
      <c r="F692" s="45"/>
      <c r="H692" s="45"/>
      <c r="I692" s="45"/>
      <c r="J692" s="47"/>
      <c r="K692" s="47"/>
      <c r="L692" s="45"/>
      <c r="M692" s="45"/>
      <c r="N692" s="47"/>
      <c r="O692" s="47"/>
      <c r="P692" s="45"/>
      <c r="Q692" s="45"/>
      <c r="R692" s="45"/>
      <c r="V692" s="45"/>
      <c r="Y692" s="45"/>
      <c r="Z692" s="47"/>
      <c r="AA692" s="45"/>
      <c r="AB692" s="45"/>
      <c r="AC692" s="47"/>
      <c r="AD692" s="47"/>
      <c r="AH692" s="51"/>
      <c r="AI692" s="45"/>
      <c r="AJ692" s="45"/>
      <c r="AL692" s="45"/>
      <c r="AM692" s="46"/>
      <c r="AN692" s="46"/>
    </row>
    <row r="693" spans="3:40">
      <c r="C693" s="42"/>
      <c r="D693" s="42"/>
      <c r="E693" s="42"/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T693" s="42"/>
      <c r="U693" s="42"/>
      <c r="V693" s="45"/>
      <c r="Y693" s="45"/>
      <c r="Z693" s="47"/>
      <c r="AA693" s="45"/>
      <c r="AB693" s="45"/>
      <c r="AC693" s="47"/>
      <c r="AD693" s="47"/>
      <c r="AE693" s="45"/>
      <c r="AF693" s="45"/>
      <c r="AH693" s="51"/>
      <c r="AI693" s="45"/>
      <c r="AJ693" s="45"/>
      <c r="AL693" s="45"/>
      <c r="AM693" s="46"/>
      <c r="AN693" s="46"/>
    </row>
    <row r="694" spans="3:40">
      <c r="F694" s="50"/>
      <c r="H694" s="50"/>
      <c r="I694" s="50"/>
      <c r="J694" s="326"/>
      <c r="K694" s="326"/>
      <c r="L694" s="50"/>
      <c r="M694" s="50"/>
      <c r="N694" s="50"/>
      <c r="O694" s="50"/>
      <c r="P694" s="50"/>
      <c r="Q694" s="50"/>
      <c r="R694" s="50"/>
      <c r="V694" s="50"/>
      <c r="Y694" s="50"/>
      <c r="Z694" s="326"/>
      <c r="AA694" s="50"/>
      <c r="AB694" s="50"/>
      <c r="AC694" s="50"/>
      <c r="AD694" s="50"/>
      <c r="AE694" s="50"/>
      <c r="AF694" s="50"/>
      <c r="AI694" s="50"/>
      <c r="AJ694" s="50"/>
      <c r="AK694" s="111"/>
      <c r="AL694" s="50"/>
      <c r="AM694" s="46"/>
      <c r="AN694" s="46"/>
    </row>
    <row r="695" spans="3:40">
      <c r="C695" s="42"/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T695" s="42"/>
      <c r="V695" s="45"/>
      <c r="Y695" s="45"/>
      <c r="Z695" s="47"/>
      <c r="AA695" s="45"/>
      <c r="AB695" s="45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3:40">
      <c r="F696" s="45"/>
      <c r="H696" s="45"/>
      <c r="I696" s="45"/>
      <c r="J696" s="47"/>
      <c r="K696" s="47"/>
      <c r="L696" s="45"/>
      <c r="M696" s="45"/>
      <c r="N696" s="47"/>
      <c r="O696" s="47"/>
      <c r="P696" s="45"/>
      <c r="Q696" s="45"/>
      <c r="R696" s="45"/>
      <c r="V696" s="45"/>
      <c r="Y696" s="45"/>
      <c r="Z696" s="47"/>
      <c r="AA696" s="45"/>
      <c r="AB696" s="45"/>
      <c r="AC696" s="47"/>
      <c r="AD696" s="47"/>
      <c r="AH696" s="51"/>
      <c r="AI696" s="45"/>
      <c r="AJ696" s="45"/>
      <c r="AL696" s="45"/>
      <c r="AM696" s="46"/>
      <c r="AN696" s="46"/>
    </row>
    <row r="697" spans="3:40">
      <c r="C697" s="42"/>
      <c r="D697" s="42"/>
      <c r="E697" s="42"/>
      <c r="F697" s="45"/>
      <c r="H697" s="45"/>
      <c r="I697" s="45"/>
      <c r="J697" s="47"/>
      <c r="K697" s="47"/>
      <c r="L697" s="45"/>
      <c r="M697" s="45"/>
      <c r="N697" s="47"/>
      <c r="O697" s="47"/>
      <c r="P697" s="45"/>
      <c r="Q697" s="45"/>
      <c r="R697" s="45"/>
      <c r="T697" s="42"/>
      <c r="U697" s="42"/>
      <c r="V697" s="45"/>
      <c r="Y697" s="45"/>
      <c r="Z697" s="47"/>
      <c r="AA697" s="45"/>
      <c r="AB697" s="45"/>
      <c r="AC697" s="47"/>
      <c r="AD697" s="47"/>
      <c r="AE697" s="45"/>
      <c r="AF697" s="45"/>
      <c r="AH697" s="51"/>
      <c r="AI697" s="45"/>
      <c r="AJ697" s="45"/>
      <c r="AL697" s="45"/>
      <c r="AM697" s="46"/>
      <c r="AN697" s="46"/>
    </row>
    <row r="698" spans="3:40">
      <c r="C698" s="42"/>
      <c r="D698" s="42"/>
      <c r="E698" s="42"/>
      <c r="F698" s="45"/>
      <c r="G698" s="45"/>
      <c r="H698" s="45"/>
      <c r="I698" s="45"/>
      <c r="J698" s="47"/>
      <c r="K698" s="47"/>
      <c r="L698" s="45"/>
      <c r="M698" s="45"/>
      <c r="N698" s="47"/>
      <c r="O698" s="47"/>
      <c r="P698" s="45"/>
      <c r="Q698" s="45"/>
      <c r="R698" s="45"/>
      <c r="T698" s="42"/>
      <c r="U698" s="42"/>
      <c r="V698" s="45"/>
      <c r="W698" s="45"/>
      <c r="X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3:40">
      <c r="C699" s="42"/>
      <c r="D699" s="42"/>
      <c r="E699" s="42"/>
      <c r="F699" s="45"/>
      <c r="G699" s="45"/>
      <c r="H699" s="45"/>
      <c r="I699" s="45"/>
      <c r="J699" s="47"/>
      <c r="K699" s="47"/>
      <c r="L699" s="45"/>
      <c r="M699" s="45"/>
      <c r="N699" s="47"/>
      <c r="O699" s="47"/>
      <c r="P699" s="45"/>
      <c r="Q699" s="45"/>
      <c r="R699" s="45"/>
      <c r="T699" s="42"/>
      <c r="U699" s="42"/>
      <c r="V699" s="45"/>
      <c r="W699" s="45"/>
      <c r="X699" s="45"/>
      <c r="Y699" s="45"/>
      <c r="Z699" s="47"/>
      <c r="AA699" s="45"/>
      <c r="AB699" s="45"/>
      <c r="AC699" s="47"/>
      <c r="AD699" s="47"/>
      <c r="AE699" s="45"/>
      <c r="AF699" s="45"/>
      <c r="AH699" s="51"/>
      <c r="AI699" s="45"/>
      <c r="AJ699" s="45"/>
      <c r="AL699" s="45"/>
      <c r="AM699" s="46"/>
      <c r="AN699" s="46"/>
    </row>
    <row r="700" spans="3:40">
      <c r="C700" s="42"/>
      <c r="D700" s="42"/>
      <c r="E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U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3:40">
      <c r="C701" s="42"/>
      <c r="D701" s="42"/>
      <c r="E701" s="42"/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T701" s="42"/>
      <c r="U701" s="42"/>
      <c r="V701" s="45"/>
      <c r="Y701" s="45"/>
      <c r="Z701" s="47"/>
      <c r="AA701" s="45"/>
      <c r="AB701" s="45"/>
      <c r="AC701" s="47"/>
      <c r="AD701" s="47"/>
      <c r="AE701" s="45"/>
      <c r="AF701" s="45"/>
      <c r="AH701" s="51"/>
      <c r="AI701" s="45"/>
      <c r="AJ701" s="45"/>
      <c r="AL701" s="45"/>
      <c r="AM701" s="46"/>
      <c r="AN701" s="46"/>
    </row>
    <row r="702" spans="3:40">
      <c r="C702" s="42"/>
      <c r="D702" s="42"/>
      <c r="E702" s="42"/>
      <c r="F702" s="45"/>
      <c r="H702" s="45"/>
      <c r="I702" s="45"/>
      <c r="J702" s="47"/>
      <c r="K702" s="47"/>
      <c r="L702" s="45"/>
      <c r="M702" s="45"/>
      <c r="N702" s="47"/>
      <c r="O702" s="47"/>
      <c r="P702" s="45"/>
      <c r="Q702" s="45"/>
      <c r="R702" s="45"/>
      <c r="T702" s="42"/>
      <c r="U702" s="42"/>
      <c r="V702" s="45"/>
      <c r="Y702" s="45"/>
      <c r="Z702" s="47"/>
      <c r="AA702" s="45"/>
      <c r="AB702" s="45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3:40">
      <c r="C703" s="42"/>
      <c r="D703" s="42"/>
      <c r="E703" s="42"/>
      <c r="F703" s="45"/>
      <c r="H703" s="45"/>
      <c r="I703" s="45"/>
      <c r="J703" s="47"/>
      <c r="K703" s="47"/>
      <c r="L703" s="45"/>
      <c r="M703" s="45"/>
      <c r="N703" s="47"/>
      <c r="O703" s="47"/>
      <c r="P703" s="45"/>
      <c r="Q703" s="45"/>
      <c r="R703" s="45"/>
      <c r="T703" s="42"/>
      <c r="U703" s="42"/>
      <c r="V703" s="45"/>
      <c r="Y703" s="45"/>
      <c r="Z703" s="47"/>
      <c r="AA703" s="45"/>
      <c r="AB703" s="45"/>
      <c r="AC703" s="47"/>
      <c r="AD703" s="47"/>
      <c r="AE703" s="45"/>
      <c r="AF703" s="45"/>
      <c r="AH703" s="51"/>
      <c r="AI703" s="45"/>
      <c r="AJ703" s="45"/>
      <c r="AL703" s="45"/>
      <c r="AM703" s="46"/>
      <c r="AN703" s="46"/>
    </row>
    <row r="704" spans="3:40">
      <c r="F704" s="50"/>
      <c r="H704" s="50"/>
      <c r="I704" s="50"/>
      <c r="J704" s="326"/>
      <c r="K704" s="326"/>
      <c r="L704" s="50"/>
      <c r="M704" s="50"/>
      <c r="N704" s="50"/>
      <c r="O704" s="50"/>
      <c r="P704" s="50"/>
      <c r="Q704" s="50"/>
      <c r="R704" s="50"/>
      <c r="V704" s="50"/>
      <c r="Y704" s="50"/>
      <c r="Z704" s="326"/>
      <c r="AA704" s="50"/>
      <c r="AB704" s="50"/>
      <c r="AC704" s="50"/>
      <c r="AD704" s="50"/>
      <c r="AE704" s="50"/>
      <c r="AF704" s="50"/>
      <c r="AI704" s="50"/>
      <c r="AJ704" s="50"/>
      <c r="AK704" s="111"/>
      <c r="AL704" s="50"/>
      <c r="AM704" s="46"/>
      <c r="AN704" s="46"/>
    </row>
    <row r="705" spans="3:40">
      <c r="C705" s="42"/>
      <c r="F705" s="45"/>
      <c r="H705" s="45"/>
      <c r="I705" s="45"/>
      <c r="J705" s="47"/>
      <c r="K705" s="47"/>
      <c r="L705" s="45"/>
      <c r="M705" s="45"/>
      <c r="N705" s="47"/>
      <c r="O705" s="47"/>
      <c r="P705" s="45"/>
      <c r="Q705" s="45"/>
      <c r="R705" s="45"/>
      <c r="T705" s="42"/>
      <c r="V705" s="45"/>
      <c r="Y705" s="45"/>
      <c r="Z705" s="47"/>
      <c r="AA705" s="45"/>
      <c r="AB705" s="45"/>
      <c r="AC705" s="47"/>
      <c r="AD705" s="47"/>
      <c r="AE705" s="45"/>
      <c r="AF705" s="45"/>
      <c r="AH705" s="51"/>
      <c r="AI705" s="45"/>
      <c r="AJ705" s="45"/>
      <c r="AL705" s="45"/>
      <c r="AM705" s="46"/>
      <c r="AN705" s="46"/>
    </row>
    <row r="706" spans="3:40">
      <c r="V706" s="45"/>
      <c r="Y706" s="45"/>
      <c r="Z706" s="326"/>
      <c r="AA706" s="45"/>
      <c r="AB706" s="45"/>
      <c r="AC706" s="45"/>
      <c r="AD706" s="45"/>
      <c r="AE706" s="45"/>
      <c r="AF706" s="45"/>
      <c r="AI706" s="45"/>
      <c r="AJ706" s="45"/>
      <c r="AL706" s="45"/>
      <c r="AM706" s="46"/>
      <c r="AN706" s="46"/>
    </row>
    <row r="707" spans="3:40">
      <c r="C707" s="42"/>
      <c r="D707" s="42"/>
      <c r="E707" s="42"/>
      <c r="L707" s="45"/>
      <c r="M707" s="45"/>
      <c r="N707" s="47"/>
      <c r="O707" s="47"/>
      <c r="R707" s="45"/>
      <c r="T707" s="42"/>
      <c r="U707" s="42"/>
      <c r="AA707" s="45"/>
      <c r="AB707" s="45"/>
      <c r="AC707" s="47"/>
      <c r="AD707" s="47"/>
      <c r="AE707" s="45"/>
      <c r="AF707" s="45"/>
      <c r="AH707" s="51"/>
      <c r="AL707" s="45"/>
      <c r="AM707" s="46"/>
      <c r="AN707" s="46"/>
    </row>
    <row r="708" spans="3:40">
      <c r="D708" s="42"/>
      <c r="E708" s="42"/>
      <c r="F708" s="164"/>
      <c r="H708" s="164"/>
      <c r="I708" s="164"/>
      <c r="J708" s="47"/>
      <c r="K708" s="47"/>
      <c r="L708" s="45"/>
      <c r="M708" s="45"/>
      <c r="N708" s="47"/>
      <c r="O708" s="47"/>
      <c r="P708" s="164"/>
      <c r="Q708" s="164"/>
      <c r="R708" s="45"/>
      <c r="U708" s="42"/>
      <c r="V708" s="45"/>
      <c r="Y708" s="45"/>
      <c r="Z708" s="47"/>
      <c r="AA708" s="45"/>
      <c r="AB708" s="45"/>
      <c r="AC708" s="47"/>
      <c r="AD708" s="47"/>
      <c r="AE708" s="45"/>
      <c r="AF708" s="45"/>
      <c r="AH708" s="51"/>
      <c r="AI708" s="45"/>
      <c r="AJ708" s="45"/>
      <c r="AL708" s="45"/>
      <c r="AM708" s="46"/>
      <c r="AN708" s="46"/>
    </row>
    <row r="709" spans="3:40">
      <c r="F709" s="50"/>
      <c r="H709" s="50"/>
      <c r="I709" s="50"/>
      <c r="J709" s="326"/>
      <c r="K709" s="326"/>
      <c r="L709" s="50"/>
      <c r="M709" s="50"/>
      <c r="N709" s="50"/>
      <c r="O709" s="50"/>
      <c r="P709" s="50"/>
      <c r="Q709" s="50"/>
      <c r="R709" s="50"/>
      <c r="V709" s="50"/>
      <c r="Y709" s="50"/>
      <c r="Z709" s="326"/>
      <c r="AA709" s="50"/>
      <c r="AB709" s="50"/>
      <c r="AC709" s="50"/>
      <c r="AD709" s="50"/>
      <c r="AE709" s="50"/>
      <c r="AF709" s="50"/>
      <c r="AI709" s="50"/>
      <c r="AJ709" s="50"/>
      <c r="AK709" s="111"/>
      <c r="AL709" s="50"/>
      <c r="AM709" s="46"/>
      <c r="AN709" s="46"/>
    </row>
    <row r="710" spans="3:40">
      <c r="C710" s="42"/>
      <c r="F710" s="45"/>
      <c r="H710" s="45"/>
      <c r="I710" s="45"/>
      <c r="J710" s="47"/>
      <c r="K710" s="47"/>
      <c r="L710" s="45"/>
      <c r="M710" s="45"/>
      <c r="N710" s="47"/>
      <c r="O710" s="47"/>
      <c r="P710" s="45"/>
      <c r="Q710" s="45"/>
      <c r="R710" s="45"/>
      <c r="T710" s="42"/>
      <c r="V710" s="45"/>
      <c r="Y710" s="45"/>
      <c r="Z710" s="47"/>
      <c r="AA710" s="45"/>
      <c r="AB710" s="45"/>
      <c r="AC710" s="47"/>
      <c r="AD710" s="47"/>
      <c r="AE710" s="45"/>
      <c r="AF710" s="45"/>
      <c r="AH710" s="51"/>
      <c r="AI710" s="45"/>
      <c r="AJ710" s="45"/>
      <c r="AL710" s="45"/>
      <c r="AM710" s="46"/>
      <c r="AN710" s="46"/>
    </row>
    <row r="711" spans="3:40">
      <c r="F711" s="45"/>
      <c r="H711" s="45"/>
      <c r="I711" s="45"/>
      <c r="J711" s="47"/>
      <c r="K711" s="47"/>
      <c r="L711" s="45"/>
      <c r="M711" s="45"/>
      <c r="N711" s="47"/>
      <c r="O711" s="47"/>
      <c r="P711" s="45"/>
      <c r="Q711" s="45"/>
      <c r="R711" s="45"/>
      <c r="V711" s="45"/>
      <c r="Y711" s="45"/>
      <c r="Z711" s="47"/>
      <c r="AA711" s="45"/>
      <c r="AB711" s="45"/>
      <c r="AC711" s="47"/>
      <c r="AD711" s="47"/>
      <c r="AH711" s="51"/>
      <c r="AI711" s="45"/>
      <c r="AJ711" s="45"/>
      <c r="AL711" s="45"/>
      <c r="AM711" s="46"/>
      <c r="AN711" s="46"/>
    </row>
    <row r="712" spans="3:40">
      <c r="D712" s="42"/>
      <c r="E712" s="42"/>
      <c r="F712" s="45"/>
      <c r="H712" s="45"/>
      <c r="I712" s="45"/>
      <c r="J712" s="47"/>
      <c r="K712" s="47"/>
      <c r="L712" s="164"/>
      <c r="M712" s="164"/>
      <c r="N712" s="47"/>
      <c r="O712" s="47"/>
      <c r="P712" s="45"/>
      <c r="Q712" s="45"/>
      <c r="R712" s="45"/>
      <c r="U712" s="42"/>
      <c r="V712" s="45"/>
      <c r="Y712" s="45"/>
      <c r="Z712" s="47"/>
      <c r="AA712" s="164"/>
      <c r="AB712" s="164"/>
      <c r="AC712" s="47"/>
      <c r="AD712" s="47"/>
      <c r="AE712" s="45"/>
      <c r="AF712" s="45"/>
      <c r="AH712" s="51"/>
      <c r="AI712" s="45"/>
      <c r="AJ712" s="45"/>
      <c r="AL712" s="45"/>
      <c r="AM712" s="46"/>
      <c r="AN712" s="46"/>
    </row>
    <row r="713" spans="3:40">
      <c r="D713" s="42"/>
      <c r="E713" s="42"/>
      <c r="F713" s="45"/>
      <c r="H713" s="45"/>
      <c r="I713" s="45"/>
      <c r="J713" s="47"/>
      <c r="K713" s="47"/>
      <c r="L713" s="164"/>
      <c r="M713" s="164"/>
      <c r="N713" s="47"/>
      <c r="O713" s="47"/>
      <c r="P713" s="45"/>
      <c r="Q713" s="45"/>
      <c r="R713" s="45"/>
      <c r="U713" s="42"/>
      <c r="V713" s="45"/>
      <c r="Y713" s="45"/>
      <c r="Z713" s="47"/>
      <c r="AA713" s="164"/>
      <c r="AB713" s="164"/>
      <c r="AC713" s="47"/>
      <c r="AD713" s="47"/>
      <c r="AE713" s="45"/>
      <c r="AF713" s="45"/>
      <c r="AH713" s="51"/>
      <c r="AI713" s="45"/>
      <c r="AJ713" s="45"/>
      <c r="AL713" s="45"/>
      <c r="AM713" s="46"/>
      <c r="AN713" s="46"/>
    </row>
    <row r="714" spans="3:40">
      <c r="D714" s="42"/>
      <c r="E714" s="42"/>
      <c r="F714" s="45"/>
      <c r="H714" s="45"/>
      <c r="I714" s="45"/>
      <c r="J714" s="47"/>
      <c r="K714" s="47"/>
      <c r="L714" s="164"/>
      <c r="M714" s="164"/>
      <c r="N714" s="47"/>
      <c r="O714" s="47"/>
      <c r="P714" s="45"/>
      <c r="Q714" s="45"/>
      <c r="R714" s="45"/>
      <c r="U714" s="42"/>
      <c r="V714" s="45"/>
      <c r="Y714" s="45"/>
      <c r="Z714" s="47"/>
      <c r="AA714" s="164"/>
      <c r="AB714" s="164"/>
      <c r="AC714" s="47"/>
      <c r="AD714" s="47"/>
      <c r="AE714" s="45"/>
      <c r="AF714" s="45"/>
      <c r="AH714" s="51"/>
      <c r="AI714" s="45"/>
      <c r="AJ714" s="45"/>
      <c r="AL714" s="45"/>
      <c r="AM714" s="46"/>
      <c r="AN714" s="46"/>
    </row>
    <row r="715" spans="3:40">
      <c r="F715" s="50"/>
      <c r="H715" s="50"/>
      <c r="I715" s="50"/>
      <c r="J715" s="326"/>
      <c r="K715" s="326"/>
      <c r="L715" s="50"/>
      <c r="M715" s="50"/>
      <c r="N715" s="50"/>
      <c r="O715" s="50"/>
      <c r="P715" s="50"/>
      <c r="Q715" s="50"/>
      <c r="R715" s="50"/>
      <c r="V715" s="50"/>
      <c r="Y715" s="50"/>
      <c r="Z715" s="326"/>
      <c r="AA715" s="50"/>
      <c r="AB715" s="50"/>
      <c r="AC715" s="50"/>
      <c r="AD715" s="50"/>
      <c r="AE715" s="50"/>
      <c r="AF715" s="50"/>
      <c r="AI715" s="50"/>
      <c r="AJ715" s="50"/>
      <c r="AK715" s="111"/>
      <c r="AL715" s="50"/>
      <c r="AM715" s="46"/>
      <c r="AN715" s="46"/>
    </row>
    <row r="716" spans="3:40">
      <c r="C716" s="42"/>
      <c r="F716" s="45"/>
      <c r="H716" s="45"/>
      <c r="I716" s="45"/>
      <c r="J716" s="47"/>
      <c r="K716" s="47"/>
      <c r="L716" s="45"/>
      <c r="M716" s="45"/>
      <c r="N716" s="47"/>
      <c r="O716" s="47"/>
      <c r="P716" s="45"/>
      <c r="Q716" s="45"/>
      <c r="R716" s="45"/>
      <c r="T716" s="42"/>
      <c r="V716" s="45"/>
      <c r="Y716" s="45"/>
      <c r="Z716" s="47"/>
      <c r="AA716" s="45"/>
      <c r="AB716" s="45"/>
      <c r="AC716" s="47"/>
      <c r="AD716" s="47"/>
      <c r="AE716" s="45"/>
      <c r="AF716" s="45"/>
      <c r="AH716" s="51"/>
      <c r="AI716" s="45"/>
      <c r="AJ716" s="45"/>
      <c r="AL716" s="45"/>
      <c r="AM716" s="46"/>
      <c r="AN716" s="46"/>
    </row>
    <row r="717" spans="3:40">
      <c r="F717" s="45"/>
      <c r="H717" s="45"/>
      <c r="I717" s="45"/>
      <c r="J717" s="47"/>
      <c r="K717" s="47"/>
      <c r="L717" s="45"/>
      <c r="M717" s="45"/>
      <c r="N717" s="47"/>
      <c r="O717" s="47"/>
      <c r="P717" s="45"/>
      <c r="Q717" s="45"/>
      <c r="R717" s="45"/>
      <c r="V717" s="45"/>
      <c r="Y717" s="45"/>
      <c r="Z717" s="47"/>
      <c r="AA717" s="45"/>
      <c r="AB717" s="45"/>
      <c r="AC717" s="47"/>
      <c r="AD717" s="47"/>
      <c r="AH717" s="51"/>
      <c r="AI717" s="45"/>
      <c r="AJ717" s="45"/>
      <c r="AL717" s="45"/>
      <c r="AM717" s="46"/>
      <c r="AN717" s="46"/>
    </row>
    <row r="718" spans="3:40">
      <c r="C718" s="42"/>
      <c r="F718" s="45"/>
      <c r="H718" s="45"/>
      <c r="I718" s="45"/>
      <c r="J718" s="47"/>
      <c r="K718" s="47"/>
      <c r="L718" s="45"/>
      <c r="M718" s="45"/>
      <c r="N718" s="47"/>
      <c r="O718" s="47"/>
      <c r="P718" s="45"/>
      <c r="Q718" s="45"/>
      <c r="R718" s="45"/>
      <c r="T718" s="42"/>
      <c r="V718" s="45"/>
      <c r="Y718" s="45"/>
      <c r="Z718" s="47"/>
      <c r="AA718" s="45"/>
      <c r="AB718" s="45"/>
      <c r="AC718" s="47"/>
      <c r="AD718" s="47"/>
      <c r="AE718" s="45"/>
      <c r="AF718" s="45"/>
      <c r="AH718" s="51"/>
      <c r="AI718" s="45"/>
      <c r="AJ718" s="45"/>
      <c r="AL718" s="45"/>
      <c r="AM718" s="46"/>
      <c r="AN718" s="46"/>
    </row>
    <row r="719" spans="3:40">
      <c r="F719" s="50"/>
      <c r="H719" s="50"/>
      <c r="I719" s="50"/>
      <c r="J719" s="326"/>
      <c r="K719" s="326"/>
      <c r="L719" s="50"/>
      <c r="M719" s="50"/>
      <c r="N719" s="50"/>
      <c r="O719" s="50"/>
      <c r="P719" s="50"/>
      <c r="Q719" s="50"/>
      <c r="R719" s="50"/>
      <c r="V719" s="50"/>
      <c r="Y719" s="50"/>
      <c r="Z719" s="326"/>
      <c r="AA719" s="50"/>
      <c r="AB719" s="50"/>
      <c r="AC719" s="50"/>
      <c r="AD719" s="50"/>
      <c r="AE719" s="50"/>
      <c r="AF719" s="50"/>
      <c r="AI719" s="50"/>
      <c r="AJ719" s="50"/>
      <c r="AK719" s="111"/>
      <c r="AL719" s="50"/>
    </row>
    <row r="721" spans="1:20">
      <c r="C721" s="42"/>
      <c r="L721" s="45"/>
      <c r="M721" s="45"/>
      <c r="P721" s="45"/>
      <c r="Q721" s="45"/>
      <c r="R721" s="45"/>
      <c r="T721" s="42"/>
    </row>
    <row r="722" spans="1:20">
      <c r="A722" s="42"/>
      <c r="L722" s="45"/>
      <c r="M722" s="45"/>
      <c r="P722" s="45"/>
      <c r="Q722" s="45"/>
      <c r="R722" s="45"/>
    </row>
    <row r="723" spans="1:20">
      <c r="L723" s="45"/>
      <c r="M723" s="45"/>
      <c r="P723" s="45"/>
      <c r="Q723" s="45"/>
      <c r="R723" s="45"/>
    </row>
    <row r="724" spans="1:20">
      <c r="L724" s="45"/>
      <c r="M724" s="45"/>
      <c r="P724" s="45"/>
      <c r="Q724" s="45"/>
      <c r="R724" s="45"/>
    </row>
    <row r="725" spans="1:20">
      <c r="L725" s="45"/>
      <c r="M725" s="45"/>
      <c r="P725" s="45"/>
      <c r="Q725" s="45"/>
      <c r="R725" s="45"/>
    </row>
    <row r="726" spans="1:20">
      <c r="L726" s="45"/>
      <c r="M726" s="45"/>
      <c r="P726" s="45"/>
      <c r="Q726" s="45"/>
      <c r="R726" s="45"/>
    </row>
    <row r="727" spans="1:20">
      <c r="L727" s="45"/>
      <c r="M727" s="45"/>
      <c r="P727" s="45"/>
      <c r="Q727" s="45"/>
      <c r="R727" s="45"/>
    </row>
    <row r="760" spans="49:49">
      <c r="AW760" s="45"/>
    </row>
    <row r="761" spans="49:49">
      <c r="AW761" s="45"/>
    </row>
    <row r="762" spans="49:49">
      <c r="AW762" s="45"/>
    </row>
    <row r="763" spans="49:49">
      <c r="AW763" s="45"/>
    </row>
    <row r="764" spans="49:49">
      <c r="AW764" s="45"/>
    </row>
    <row r="765" spans="49:49">
      <c r="AW765" s="45"/>
    </row>
    <row r="768" spans="49:49">
      <c r="AW768" s="45"/>
    </row>
    <row r="769" spans="49:49">
      <c r="AW769" s="45"/>
    </row>
    <row r="770" spans="49:49">
      <c r="AW770" s="45"/>
    </row>
    <row r="771" spans="49:49">
      <c r="AW771" s="45"/>
    </row>
    <row r="772" spans="49:49">
      <c r="AW772" s="45"/>
    </row>
    <row r="773" spans="49:49">
      <c r="AW773" s="45"/>
    </row>
    <row r="774" spans="49:49">
      <c r="AW774" s="45"/>
    </row>
    <row r="775" spans="49:49">
      <c r="AW775" s="45"/>
    </row>
    <row r="778" spans="49:49">
      <c r="AW778" s="45"/>
    </row>
    <row r="779" spans="49:49">
      <c r="AW779" s="45"/>
    </row>
    <row r="782" spans="49:49">
      <c r="AW782" s="45"/>
    </row>
    <row r="783" spans="49:49">
      <c r="AW783" s="45"/>
    </row>
    <row r="784" spans="49:49">
      <c r="AW784" s="45"/>
    </row>
    <row r="785" spans="45:57">
      <c r="AW785" s="45"/>
    </row>
    <row r="793" spans="45:57">
      <c r="AY793" s="42"/>
    </row>
    <row r="794" spans="45:57">
      <c r="AY794" s="42"/>
    </row>
    <row r="795" spans="45:57">
      <c r="BD795" s="42"/>
    </row>
    <row r="796" spans="45:57">
      <c r="BD796" s="42"/>
    </row>
    <row r="797" spans="45:57">
      <c r="AS797" s="42"/>
      <c r="BD797" s="42"/>
    </row>
    <row r="799" spans="45:57"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</row>
    <row r="800" spans="45:57">
      <c r="AX800" s="42"/>
    </row>
    <row r="801" spans="45:69">
      <c r="AX801" s="49"/>
      <c r="AY801" s="49"/>
      <c r="AZ801" s="49"/>
      <c r="BA801" s="49"/>
      <c r="BC801" s="44"/>
      <c r="BD801" s="44"/>
    </row>
    <row r="802" spans="45:69">
      <c r="AV802" s="44"/>
      <c r="AW802" s="44"/>
      <c r="AZ802" s="44"/>
      <c r="BA802" s="44"/>
      <c r="BC802" s="44"/>
      <c r="BD802" s="44"/>
      <c r="BE802" s="44"/>
      <c r="BG802" s="49"/>
      <c r="BH802" s="42"/>
      <c r="BK802" s="49"/>
      <c r="BM802" s="49"/>
      <c r="BN802" s="42"/>
      <c r="BQ802" s="49"/>
    </row>
    <row r="803" spans="45:69"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H803" s="44"/>
      <c r="BI803" s="44"/>
      <c r="BJ803" s="44"/>
      <c r="BN803" s="44"/>
      <c r="BO803" s="44"/>
      <c r="BP803" s="44"/>
    </row>
    <row r="804" spans="45:69">
      <c r="AS804" s="44"/>
      <c r="AU804" s="42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G804" s="44"/>
      <c r="BH804" s="44"/>
      <c r="BI804" s="44"/>
      <c r="BJ804" s="44"/>
      <c r="BK804" s="44"/>
      <c r="BM804" s="44"/>
      <c r="BN804" s="44"/>
      <c r="BO804" s="44"/>
      <c r="BP804" s="44"/>
      <c r="BQ804" s="44"/>
    </row>
    <row r="805" spans="45:69">
      <c r="AS805" s="44"/>
      <c r="AU805" s="42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G805" s="44"/>
      <c r="BH805" s="44"/>
      <c r="BI805" s="44"/>
      <c r="BJ805" s="44"/>
      <c r="BK805" s="44"/>
      <c r="BM805" s="44"/>
      <c r="BN805" s="44"/>
      <c r="BO805" s="44"/>
      <c r="BP805" s="44"/>
      <c r="BQ805" s="44"/>
    </row>
    <row r="806" spans="45:69"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G806" s="49"/>
      <c r="BH806" s="49"/>
      <c r="BI806" s="49"/>
      <c r="BJ806" s="49"/>
      <c r="BK806" s="49"/>
      <c r="BM806" s="49"/>
      <c r="BN806" s="49"/>
      <c r="BO806" s="49"/>
      <c r="BP806" s="49"/>
      <c r="BQ806" s="49"/>
    </row>
    <row r="807" spans="45:69"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</row>
    <row r="808" spans="45:69">
      <c r="AU808" s="42"/>
      <c r="AV808" s="44"/>
      <c r="AY808" s="47"/>
    </row>
    <row r="809" spans="45:69">
      <c r="AV809" s="44"/>
      <c r="AW809" s="45"/>
      <c r="AX809" s="56"/>
      <c r="AY809" s="56"/>
      <c r="AZ809" s="56"/>
      <c r="BA809" s="46"/>
      <c r="BB809" s="56"/>
      <c r="BC809" s="47"/>
      <c r="BD809" s="47"/>
      <c r="BE809" s="46"/>
      <c r="BG809" s="56"/>
      <c r="BH809" s="56"/>
      <c r="BI809" s="56"/>
      <c r="BJ809" s="56"/>
      <c r="BK809" s="56"/>
      <c r="BM809" s="56"/>
      <c r="BN809" s="56"/>
      <c r="BO809" s="56"/>
      <c r="BP809" s="56"/>
      <c r="BQ809" s="56"/>
    </row>
    <row r="810" spans="45:69">
      <c r="AV810" s="44"/>
      <c r="AW810" s="45"/>
      <c r="AX810" s="56"/>
      <c r="AY810" s="56"/>
      <c r="AZ810" s="56"/>
      <c r="BA810" s="46"/>
      <c r="BB810" s="56"/>
      <c r="BC810" s="47"/>
      <c r="BD810" s="47"/>
      <c r="BE810" s="46"/>
      <c r="BG810" s="56"/>
      <c r="BH810" s="56"/>
      <c r="BI810" s="56"/>
      <c r="BJ810" s="56"/>
      <c r="BK810" s="56"/>
      <c r="BM810" s="56"/>
      <c r="BN810" s="56"/>
      <c r="BO810" s="56"/>
      <c r="BP810" s="56"/>
      <c r="BQ810" s="56"/>
    </row>
    <row r="811" spans="45:69">
      <c r="AV811" s="44"/>
      <c r="AW811" s="45"/>
      <c r="AX811" s="56"/>
      <c r="AY811" s="56"/>
      <c r="AZ811" s="56"/>
      <c r="BA811" s="46"/>
      <c r="BB811" s="56"/>
      <c r="BC811" s="47"/>
      <c r="BD811" s="47"/>
      <c r="BE811" s="46"/>
      <c r="BG811" s="56"/>
      <c r="BH811" s="56"/>
      <c r="BI811" s="56"/>
      <c r="BJ811" s="56"/>
      <c r="BK811" s="56"/>
      <c r="BM811" s="56"/>
      <c r="BN811" s="56"/>
      <c r="BO811" s="56"/>
      <c r="BP811" s="56"/>
      <c r="BQ811" s="56"/>
    </row>
    <row r="812" spans="45:69">
      <c r="AV812" s="44"/>
      <c r="AW812" s="45"/>
      <c r="AX812" s="56"/>
      <c r="AY812" s="56"/>
      <c r="AZ812" s="56"/>
      <c r="BA812" s="46"/>
      <c r="BB812" s="56"/>
      <c r="BC812" s="47"/>
      <c r="BD812" s="47"/>
      <c r="BE812" s="46"/>
      <c r="BG812" s="56"/>
      <c r="BH812" s="56"/>
      <c r="BI812" s="56"/>
      <c r="BJ812" s="56"/>
      <c r="BK812" s="56"/>
      <c r="BM812" s="56"/>
      <c r="BN812" s="56"/>
      <c r="BO812" s="56"/>
      <c r="BP812" s="56"/>
      <c r="BQ812" s="56"/>
    </row>
    <row r="813" spans="45:69">
      <c r="AV813" s="44"/>
      <c r="AW813" s="45"/>
      <c r="AX813" s="56"/>
      <c r="AY813" s="56"/>
      <c r="AZ813" s="56"/>
      <c r="BA813" s="46"/>
      <c r="BB813" s="56"/>
      <c r="BC813" s="47"/>
      <c r="BD813" s="47"/>
      <c r="BE813" s="46"/>
      <c r="BG813" s="56"/>
      <c r="BH813" s="56"/>
      <c r="BI813" s="56"/>
      <c r="BJ813" s="56"/>
      <c r="BK813" s="56"/>
      <c r="BM813" s="56"/>
      <c r="BN813" s="56"/>
      <c r="BO813" s="56"/>
      <c r="BP813" s="56"/>
      <c r="BQ813" s="56"/>
    </row>
    <row r="814" spans="45:69">
      <c r="AV814" s="44"/>
      <c r="AW814" s="45"/>
      <c r="AX814" s="56"/>
      <c r="AY814" s="56"/>
      <c r="AZ814" s="56"/>
      <c r="BA814" s="46"/>
      <c r="BB814" s="56"/>
      <c r="BC814" s="47"/>
      <c r="BD814" s="47"/>
      <c r="BE814" s="46"/>
      <c r="BG814" s="56"/>
      <c r="BH814" s="56"/>
      <c r="BI814" s="56"/>
      <c r="BJ814" s="56"/>
      <c r="BK814" s="56"/>
      <c r="BM814" s="56"/>
      <c r="BN814" s="56"/>
      <c r="BO814" s="56"/>
      <c r="BP814" s="56"/>
      <c r="BQ814" s="56"/>
    </row>
    <row r="815" spans="45:69">
      <c r="AV815" s="44"/>
      <c r="AW815" s="45"/>
      <c r="AX815" s="56"/>
      <c r="AY815" s="56"/>
      <c r="AZ815" s="56"/>
      <c r="BA815" s="46"/>
      <c r="BB815" s="56"/>
      <c r="BC815" s="47"/>
      <c r="BD815" s="47"/>
      <c r="BE815" s="46"/>
      <c r="BG815" s="56"/>
      <c r="BH815" s="56"/>
      <c r="BI815" s="56"/>
      <c r="BJ815" s="56"/>
      <c r="BK815" s="56"/>
      <c r="BM815" s="56"/>
      <c r="BN815" s="56"/>
      <c r="BO815" s="56"/>
      <c r="BP815" s="56"/>
      <c r="BQ815" s="56"/>
    </row>
    <row r="816" spans="45:69">
      <c r="AY816" s="47"/>
      <c r="AZ816" s="56"/>
      <c r="BA816" s="46"/>
      <c r="BB816" s="56"/>
      <c r="BC816" s="47"/>
      <c r="BD816" s="47"/>
      <c r="BE816" s="46"/>
      <c r="BK816" s="56"/>
      <c r="BQ816" s="56"/>
    </row>
    <row r="817" spans="45:69">
      <c r="AV817" s="44"/>
      <c r="AY817" s="47"/>
      <c r="AZ817" s="56"/>
      <c r="BA817" s="46"/>
      <c r="BB817" s="56"/>
      <c r="BC817" s="47"/>
      <c r="BD817" s="47"/>
      <c r="BE817" s="46"/>
      <c r="BK817" s="56"/>
      <c r="BQ817" s="56"/>
    </row>
    <row r="818" spans="45:69">
      <c r="AV818" s="44"/>
      <c r="AW818" s="45"/>
      <c r="AX818" s="56"/>
      <c r="AY818" s="56"/>
      <c r="AZ818" s="56"/>
      <c r="BA818" s="46"/>
      <c r="BB818" s="56"/>
      <c r="BC818" s="47"/>
      <c r="BD818" s="47"/>
      <c r="BE818" s="46"/>
      <c r="BG818" s="56"/>
      <c r="BH818" s="56"/>
      <c r="BI818" s="56"/>
      <c r="BJ818" s="56"/>
      <c r="BK818" s="56"/>
      <c r="BM818" s="56"/>
      <c r="BN818" s="56"/>
      <c r="BO818" s="56"/>
      <c r="BP818" s="56"/>
      <c r="BQ818" s="56"/>
    </row>
    <row r="819" spans="45:69">
      <c r="AV819" s="44"/>
      <c r="AW819" s="45"/>
      <c r="AX819" s="56"/>
      <c r="AY819" s="56"/>
      <c r="AZ819" s="56"/>
      <c r="BA819" s="46"/>
      <c r="BB819" s="56"/>
      <c r="BC819" s="47"/>
      <c r="BD819" s="47"/>
      <c r="BE819" s="46"/>
      <c r="BG819" s="56"/>
      <c r="BH819" s="56"/>
      <c r="BI819" s="56"/>
      <c r="BJ819" s="56"/>
      <c r="BK819" s="56"/>
      <c r="BM819" s="56"/>
      <c r="BN819" s="56"/>
      <c r="BO819" s="56"/>
      <c r="BP819" s="56"/>
      <c r="BQ819" s="56"/>
    </row>
    <row r="820" spans="45:69">
      <c r="AV820" s="44"/>
      <c r="AW820" s="45"/>
      <c r="AX820" s="56"/>
      <c r="AY820" s="56"/>
      <c r="AZ820" s="56"/>
      <c r="BA820" s="46"/>
      <c r="BB820" s="56"/>
      <c r="BC820" s="47"/>
      <c r="BD820" s="47"/>
      <c r="BE820" s="46"/>
      <c r="BG820" s="56"/>
      <c r="BH820" s="56"/>
      <c r="BI820" s="56"/>
      <c r="BJ820" s="56"/>
      <c r="BK820" s="56"/>
      <c r="BM820" s="56"/>
      <c r="BN820" s="56"/>
      <c r="BO820" s="56"/>
      <c r="BP820" s="56"/>
      <c r="BQ820" s="56"/>
    </row>
    <row r="821" spans="45:69">
      <c r="AV821" s="44"/>
      <c r="AW821" s="45"/>
      <c r="AX821" s="56"/>
      <c r="AY821" s="56"/>
      <c r="AZ821" s="56"/>
      <c r="BA821" s="46"/>
      <c r="BB821" s="56"/>
      <c r="BC821" s="47"/>
      <c r="BD821" s="47"/>
      <c r="BE821" s="46"/>
      <c r="BG821" s="56"/>
      <c r="BH821" s="56"/>
      <c r="BI821" s="56"/>
      <c r="BJ821" s="56"/>
      <c r="BK821" s="56"/>
      <c r="BM821" s="56"/>
      <c r="BN821" s="56"/>
      <c r="BO821" s="56"/>
      <c r="BP821" s="56"/>
      <c r="BQ821" s="56"/>
    </row>
    <row r="822" spans="45:69">
      <c r="AV822" s="44"/>
      <c r="AW822" s="45"/>
      <c r="AX822" s="56"/>
      <c r="AY822" s="56"/>
      <c r="AZ822" s="56"/>
      <c r="BA822" s="46"/>
      <c r="BB822" s="56"/>
      <c r="BC822" s="47"/>
      <c r="BD822" s="47"/>
      <c r="BE822" s="46"/>
      <c r="BG822" s="56"/>
      <c r="BH822" s="56"/>
      <c r="BI822" s="56"/>
      <c r="BJ822" s="56"/>
      <c r="BK822" s="56"/>
      <c r="BM822" s="56"/>
      <c r="BN822" s="56"/>
      <c r="BO822" s="56"/>
      <c r="BP822" s="56"/>
      <c r="BQ822" s="56"/>
    </row>
    <row r="823" spans="45:69">
      <c r="AV823" s="44"/>
      <c r="AW823" s="45"/>
      <c r="AX823" s="56"/>
      <c r="AY823" s="56"/>
      <c r="AZ823" s="56"/>
      <c r="BA823" s="46"/>
      <c r="BB823" s="56"/>
      <c r="BC823" s="47"/>
      <c r="BD823" s="47"/>
      <c r="BE823" s="46"/>
      <c r="BG823" s="56"/>
      <c r="BH823" s="56"/>
      <c r="BI823" s="56"/>
      <c r="BJ823" s="56"/>
      <c r="BK823" s="56"/>
      <c r="BM823" s="56"/>
      <c r="BN823" s="56"/>
      <c r="BO823" s="56"/>
      <c r="BP823" s="56"/>
      <c r="BQ823" s="56"/>
    </row>
    <row r="824" spans="45:69">
      <c r="AV824" s="44"/>
      <c r="AW824" s="45"/>
      <c r="AX824" s="56"/>
      <c r="AY824" s="56"/>
      <c r="AZ824" s="56"/>
      <c r="BA824" s="46"/>
      <c r="BB824" s="56"/>
      <c r="BC824" s="47"/>
      <c r="BD824" s="47"/>
      <c r="BE824" s="46"/>
      <c r="BG824" s="56"/>
      <c r="BH824" s="56"/>
      <c r="BI824" s="56"/>
      <c r="BJ824" s="56"/>
      <c r="BK824" s="56"/>
      <c r="BM824" s="56"/>
      <c r="BN824" s="56"/>
      <c r="BO824" s="56"/>
      <c r="BP824" s="56"/>
      <c r="BQ824" s="56"/>
    </row>
    <row r="825" spans="45:69">
      <c r="AV825" s="44"/>
      <c r="AW825" s="45"/>
      <c r="AX825" s="56"/>
      <c r="AY825" s="56"/>
      <c r="AZ825" s="56"/>
      <c r="BA825" s="46"/>
      <c r="BB825" s="56"/>
      <c r="BC825" s="47"/>
      <c r="BD825" s="47"/>
      <c r="BE825" s="46"/>
      <c r="BG825" s="56"/>
      <c r="BH825" s="56"/>
      <c r="BI825" s="56"/>
      <c r="BJ825" s="56"/>
      <c r="BK825" s="56"/>
      <c r="BM825" s="56"/>
      <c r="BN825" s="56"/>
      <c r="BO825" s="56"/>
      <c r="BP825" s="56"/>
      <c r="BQ825" s="56"/>
    </row>
    <row r="826" spans="45:69">
      <c r="AY826" s="47"/>
      <c r="AZ826" s="56"/>
      <c r="BA826" s="46"/>
      <c r="BB826" s="56"/>
      <c r="BC826" s="47"/>
      <c r="BD826" s="47"/>
      <c r="BE826" s="46"/>
      <c r="BK826" s="56"/>
      <c r="BQ826" s="56"/>
    </row>
    <row r="827" spans="45:69">
      <c r="AU827" s="42"/>
      <c r="AZ827" s="56"/>
      <c r="BB827" s="56"/>
      <c r="BG827" s="56"/>
      <c r="BH827" s="56"/>
      <c r="BJ827" s="56"/>
      <c r="BK827" s="56"/>
    </row>
    <row r="828" spans="45:69">
      <c r="AZ828" s="56"/>
      <c r="BB828" s="56"/>
    </row>
    <row r="829" spans="45:69">
      <c r="AS829" s="42"/>
      <c r="AZ829" s="56"/>
      <c r="BB829" s="56"/>
      <c r="BI829" s="56"/>
    </row>
    <row r="830" spans="45:69">
      <c r="AZ830" s="56"/>
      <c r="BB830" s="56"/>
    </row>
    <row r="831" spans="45:69">
      <c r="AY831" s="56"/>
      <c r="BB831" s="56"/>
    </row>
    <row r="832" spans="45:69">
      <c r="AY832" s="42"/>
      <c r="AZ832" s="56"/>
      <c r="BB832" s="56"/>
    </row>
    <row r="833" spans="45:75">
      <c r="AY833" s="42"/>
      <c r="AZ833" s="56"/>
      <c r="BB833" s="56"/>
    </row>
    <row r="834" spans="45:75">
      <c r="AZ834" s="56"/>
      <c r="BB834" s="56"/>
      <c r="BD834" s="42"/>
    </row>
    <row r="835" spans="45:75">
      <c r="AZ835" s="56"/>
      <c r="BB835" s="56"/>
      <c r="BD835" s="42"/>
    </row>
    <row r="836" spans="45:75">
      <c r="AS836" s="42"/>
      <c r="AZ836" s="56"/>
      <c r="BB836" s="56"/>
      <c r="BD836" s="42"/>
    </row>
    <row r="837" spans="45:75">
      <c r="AZ837" s="56"/>
      <c r="BB837" s="56"/>
    </row>
    <row r="838" spans="45:75">
      <c r="AS838" s="49"/>
      <c r="AT838" s="49"/>
      <c r="AU838" s="49"/>
      <c r="AV838" s="49"/>
      <c r="AW838" s="49"/>
      <c r="AX838" s="49"/>
      <c r="AY838" s="49"/>
      <c r="AZ838" s="57"/>
      <c r="BA838" s="49"/>
      <c r="BB838" s="57"/>
      <c r="BC838" s="49"/>
      <c r="BD838" s="49"/>
      <c r="BE838" s="49"/>
    </row>
    <row r="839" spans="45:75">
      <c r="AX839" s="42"/>
      <c r="AZ839" s="56"/>
      <c r="BB839" s="56"/>
    </row>
    <row r="840" spans="45:75">
      <c r="AX840" s="49"/>
      <c r="AY840" s="49"/>
      <c r="AZ840" s="57"/>
      <c r="BA840" s="49"/>
      <c r="BB840" s="56"/>
      <c r="BC840" s="44"/>
      <c r="BD840" s="44"/>
    </row>
    <row r="841" spans="45:75">
      <c r="AV841" s="44"/>
      <c r="AW841" s="44"/>
      <c r="AZ841" s="58"/>
      <c r="BA841" s="44"/>
      <c r="BB841" s="56"/>
      <c r="BC841" s="44"/>
      <c r="BD841" s="44"/>
      <c r="BE841" s="44"/>
      <c r="BG841" s="49"/>
      <c r="BH841" s="49"/>
      <c r="BI841" s="42"/>
      <c r="BM841" s="49"/>
      <c r="BN841" s="49"/>
      <c r="BP841" s="49"/>
      <c r="BQ841" s="49"/>
      <c r="BR841" s="42"/>
      <c r="BV841" s="49"/>
      <c r="BW841" s="49"/>
    </row>
    <row r="842" spans="45:75">
      <c r="AV842" s="44"/>
      <c r="AW842" s="44"/>
      <c r="AX842" s="44"/>
      <c r="AY842" s="44"/>
      <c r="AZ842" s="58"/>
      <c r="BA842" s="44"/>
      <c r="BB842" s="58"/>
      <c r="BC842" s="44"/>
      <c r="BD842" s="44"/>
      <c r="BE842" s="44"/>
      <c r="BH842" s="44"/>
      <c r="BI842" s="44"/>
      <c r="BJ842" s="44"/>
      <c r="BK842" s="44"/>
      <c r="BL842" s="44"/>
      <c r="BM842" s="44"/>
      <c r="BQ842" s="44"/>
      <c r="BR842" s="44"/>
      <c r="BS842" s="44"/>
      <c r="BT842" s="44"/>
      <c r="BU842" s="44"/>
      <c r="BV842" s="44"/>
    </row>
    <row r="843" spans="45:75">
      <c r="AS843" s="44"/>
      <c r="AU843" s="42"/>
      <c r="AV843" s="44"/>
      <c r="AW843" s="44"/>
      <c r="AX843" s="44"/>
      <c r="AY843" s="44"/>
      <c r="AZ843" s="58"/>
      <c r="BA843" s="44"/>
      <c r="BB843" s="58"/>
      <c r="BC843" s="44"/>
      <c r="BD843" s="44"/>
      <c r="BE843" s="44"/>
      <c r="BG843" s="44"/>
      <c r="BH843" s="44"/>
      <c r="BI843" s="44"/>
      <c r="BJ843" s="44"/>
      <c r="BK843" s="44"/>
      <c r="BL843" s="44"/>
      <c r="BM843" s="44"/>
      <c r="BN843" s="44"/>
      <c r="BP843" s="44"/>
      <c r="BQ843" s="44"/>
      <c r="BR843" s="44"/>
      <c r="BS843" s="44"/>
      <c r="BT843" s="44"/>
      <c r="BU843" s="44"/>
      <c r="BV843" s="44"/>
      <c r="BW843" s="44"/>
    </row>
    <row r="844" spans="45:75">
      <c r="AS844" s="44"/>
      <c r="AU844" s="42"/>
      <c r="AV844" s="44"/>
      <c r="AW844" s="44"/>
      <c r="AX844" s="44"/>
      <c r="AY844" s="44"/>
      <c r="AZ844" s="58"/>
      <c r="BA844" s="44"/>
      <c r="BB844" s="58"/>
      <c r="BC844" s="44"/>
      <c r="BD844" s="44"/>
      <c r="BE844" s="44"/>
      <c r="BG844" s="44"/>
      <c r="BH844" s="44"/>
      <c r="BI844" s="44"/>
      <c r="BJ844" s="44"/>
      <c r="BK844" s="44"/>
      <c r="BL844" s="44"/>
      <c r="BM844" s="44"/>
      <c r="BN844" s="44"/>
      <c r="BP844" s="44"/>
      <c r="BQ844" s="44"/>
      <c r="BR844" s="44"/>
      <c r="BS844" s="44"/>
      <c r="BT844" s="44"/>
      <c r="BU844" s="44"/>
      <c r="BV844" s="44"/>
      <c r="BW844" s="44"/>
    </row>
    <row r="845" spans="45:75">
      <c r="AS845" s="49"/>
      <c r="AT845" s="49"/>
      <c r="AU845" s="49"/>
      <c r="AV845" s="49"/>
      <c r="AW845" s="49"/>
      <c r="AX845" s="49"/>
      <c r="AY845" s="49"/>
      <c r="AZ845" s="57"/>
      <c r="BA845" s="49"/>
      <c r="BB845" s="57"/>
      <c r="BC845" s="49"/>
      <c r="BD845" s="49"/>
      <c r="BE845" s="49"/>
      <c r="BG845" s="49"/>
      <c r="BH845" s="49"/>
      <c r="BI845" s="49"/>
      <c r="BJ845" s="49"/>
      <c r="BK845" s="49"/>
      <c r="BL845" s="49"/>
      <c r="BM845" s="49"/>
      <c r="BN845" s="49"/>
      <c r="BP845" s="49"/>
      <c r="BQ845" s="49"/>
      <c r="BR845" s="49"/>
      <c r="BS845" s="49"/>
      <c r="BT845" s="49"/>
      <c r="BU845" s="49"/>
      <c r="BV845" s="49"/>
      <c r="BW845" s="49"/>
    </row>
    <row r="846" spans="45:75">
      <c r="AV846" s="44"/>
      <c r="AW846" s="44"/>
      <c r="AX846" s="44"/>
      <c r="AY846" s="44"/>
      <c r="AZ846" s="58"/>
      <c r="BA846" s="44"/>
      <c r="BB846" s="58"/>
      <c r="BC846" s="44"/>
      <c r="BD846" s="44"/>
      <c r="BE846" s="44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</row>
    <row r="847" spans="45:75">
      <c r="AU847" s="42"/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</row>
    <row r="848" spans="45:75"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</row>
    <row r="849" spans="49:75"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</row>
    <row r="850" spans="49:75">
      <c r="AW850" s="45"/>
      <c r="AX850" s="56"/>
      <c r="AY850" s="56"/>
      <c r="AZ850" s="56"/>
      <c r="BA850" s="51"/>
      <c r="BB850" s="56"/>
      <c r="BC850" s="56"/>
      <c r="BD850" s="56"/>
      <c r="BE850" s="51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</row>
    <row r="851" spans="49:75">
      <c r="AW851" s="45"/>
      <c r="AX851" s="56"/>
      <c r="AY851" s="56"/>
      <c r="AZ851" s="56"/>
      <c r="BA851" s="51"/>
      <c r="BB851" s="56"/>
      <c r="BC851" s="56"/>
      <c r="BD851" s="56"/>
      <c r="BE851" s="51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</row>
    <row r="852" spans="49:75">
      <c r="AW852" s="45"/>
      <c r="AX852" s="56"/>
      <c r="AY852" s="56"/>
      <c r="AZ852" s="56"/>
      <c r="BA852" s="51"/>
      <c r="BB852" s="56"/>
      <c r="BC852" s="56"/>
      <c r="BD852" s="56"/>
      <c r="BE852" s="51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</row>
    <row r="853" spans="49:75">
      <c r="AW853" s="45"/>
      <c r="AX853" s="56"/>
      <c r="AY853" s="56"/>
      <c r="AZ853" s="56"/>
      <c r="BA853" s="51"/>
      <c r="BB853" s="56"/>
      <c r="BC853" s="56"/>
      <c r="BD853" s="56"/>
      <c r="BE853" s="51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</row>
    <row r="854" spans="49:75"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</row>
    <row r="855" spans="49:75">
      <c r="AW855" s="45"/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</row>
    <row r="856" spans="49:75">
      <c r="AW856" s="45"/>
      <c r="AX856" s="56"/>
      <c r="AY856" s="56"/>
      <c r="AZ856" s="56"/>
      <c r="BA856" s="51"/>
      <c r="BB856" s="56"/>
      <c r="BC856" s="56"/>
      <c r="BD856" s="56"/>
      <c r="BE856" s="51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</row>
    <row r="857" spans="49:75">
      <c r="AW857" s="45"/>
      <c r="AX857" s="56"/>
      <c r="AY857" s="56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</row>
    <row r="858" spans="49:75">
      <c r="AW858" s="45"/>
      <c r="AX858" s="56"/>
      <c r="AY858" s="56"/>
      <c r="AZ858" s="56"/>
      <c r="BA858" s="51"/>
      <c r="BB858" s="56"/>
      <c r="BC858" s="56"/>
      <c r="BD858" s="56"/>
      <c r="BE858" s="51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</row>
    <row r="859" spans="49:75">
      <c r="AW859" s="45"/>
      <c r="AX859" s="56"/>
      <c r="AY859" s="56"/>
      <c r="AZ859" s="56"/>
      <c r="BA859" s="51"/>
      <c r="BB859" s="56"/>
      <c r="BC859" s="56"/>
      <c r="BD859" s="56"/>
      <c r="BE859" s="51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</row>
    <row r="860" spans="49:75"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</row>
    <row r="861" spans="49:75"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</row>
    <row r="862" spans="49:75"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</row>
    <row r="863" spans="49:75"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</row>
    <row r="864" spans="49:75"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</row>
    <row r="865" spans="45:75"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</row>
    <row r="866" spans="45:75"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</row>
    <row r="867" spans="45:75"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</row>
    <row r="868" spans="45:75">
      <c r="AW868" s="45"/>
      <c r="AX868" s="56"/>
      <c r="AY868" s="56"/>
      <c r="AZ868" s="56"/>
      <c r="BA868" s="51"/>
      <c r="BB868" s="56"/>
      <c r="BC868" s="56"/>
      <c r="BD868" s="56"/>
      <c r="BE868" s="51"/>
      <c r="BG868" s="49"/>
      <c r="BH868" s="49"/>
      <c r="BI868" s="42"/>
      <c r="BM868" s="49"/>
      <c r="BN868" s="49"/>
      <c r="BO868" s="56"/>
      <c r="BP868" s="49"/>
      <c r="BQ868" s="49"/>
      <c r="BR868" s="42"/>
      <c r="BV868" s="49"/>
      <c r="BW868" s="49"/>
    </row>
    <row r="869" spans="45:75">
      <c r="AU869" s="42"/>
      <c r="AV869" s="44"/>
      <c r="AW869" s="45"/>
      <c r="AX869" s="56"/>
      <c r="AY869" s="56"/>
      <c r="AZ869" s="56"/>
      <c r="BA869" s="51"/>
      <c r="BB869" s="56"/>
      <c r="BC869" s="56"/>
      <c r="BD869" s="56"/>
      <c r="BE869" s="51"/>
      <c r="BG869" s="58"/>
      <c r="BH869" s="56"/>
      <c r="BI869" s="56"/>
      <c r="BJ869" s="56"/>
      <c r="BK869" s="58"/>
      <c r="BL869" s="59"/>
      <c r="BM869" s="56"/>
      <c r="BN869" s="58"/>
      <c r="BO869" s="56"/>
      <c r="BP869" s="58"/>
      <c r="BQ869" s="56"/>
      <c r="BR869" s="56"/>
      <c r="BS869" s="56"/>
      <c r="BT869" s="58"/>
      <c r="BU869" s="59"/>
      <c r="BV869" s="56"/>
      <c r="BW869" s="58"/>
    </row>
    <row r="870" spans="45:75">
      <c r="AV870" s="44"/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9"/>
      <c r="BM870" s="56"/>
      <c r="BN870" s="56"/>
      <c r="BO870" s="56"/>
      <c r="BP870" s="56"/>
      <c r="BQ870" s="56"/>
      <c r="BR870" s="56"/>
      <c r="BS870" s="56"/>
      <c r="BT870" s="56"/>
      <c r="BU870" s="59"/>
      <c r="BV870" s="56"/>
      <c r="BW870" s="56"/>
    </row>
    <row r="871" spans="45:75">
      <c r="AV871" s="44"/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9"/>
      <c r="BM871" s="56"/>
      <c r="BN871" s="56"/>
      <c r="BO871" s="56"/>
      <c r="BP871" s="56"/>
      <c r="BQ871" s="56"/>
      <c r="BR871" s="56"/>
      <c r="BS871" s="56"/>
      <c r="BT871" s="56"/>
      <c r="BU871" s="59"/>
      <c r="BV871" s="56"/>
      <c r="BW871" s="56"/>
    </row>
    <row r="872" spans="45:75">
      <c r="AV872" s="44"/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9"/>
      <c r="BM872" s="56"/>
      <c r="BN872" s="56"/>
      <c r="BO872" s="56"/>
      <c r="BP872" s="56"/>
      <c r="BQ872" s="56"/>
      <c r="BR872" s="56"/>
      <c r="BS872" s="56"/>
      <c r="BT872" s="56"/>
      <c r="BU872" s="59"/>
      <c r="BV872" s="56"/>
      <c r="BW872" s="56"/>
    </row>
    <row r="873" spans="45:75"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</row>
    <row r="874" spans="45:75">
      <c r="AU874" s="42"/>
    </row>
    <row r="875" spans="45:75">
      <c r="AU875" s="42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</row>
    <row r="876" spans="45:75">
      <c r="AS876" s="42"/>
      <c r="AZ876" s="56"/>
      <c r="BB876" s="56"/>
    </row>
    <row r="877" spans="45:75">
      <c r="AZ877" s="56"/>
      <c r="BB877" s="56"/>
      <c r="BO877" s="56"/>
      <c r="BP877" s="56"/>
      <c r="BQ877" s="56"/>
      <c r="BR877" s="56"/>
      <c r="BS877" s="56"/>
      <c r="BT877" s="56"/>
      <c r="BU877" s="56"/>
      <c r="BV877" s="56"/>
    </row>
    <row r="878" spans="45:75">
      <c r="AY878" s="56"/>
      <c r="AZ878" s="56"/>
      <c r="BB878" s="56"/>
      <c r="BO878" s="56"/>
      <c r="BP878" s="56"/>
      <c r="BQ878" s="56"/>
      <c r="BR878" s="56"/>
      <c r="BS878" s="56"/>
      <c r="BT878" s="56"/>
      <c r="BU878" s="56"/>
      <c r="BV878" s="56"/>
    </row>
    <row r="879" spans="45:75">
      <c r="AY879" s="42"/>
      <c r="AZ879" s="56"/>
      <c r="BB879" s="56"/>
      <c r="BO879" s="56"/>
      <c r="BP879" s="56"/>
      <c r="BQ879" s="56"/>
      <c r="BR879" s="56"/>
      <c r="BS879" s="56"/>
      <c r="BT879" s="56"/>
      <c r="BU879" s="56"/>
      <c r="BV879" s="56"/>
    </row>
    <row r="880" spans="45:75">
      <c r="AY880" s="42"/>
      <c r="AZ880" s="56"/>
      <c r="BB880" s="56"/>
      <c r="BO880" s="56"/>
      <c r="BP880" s="56"/>
      <c r="BQ880" s="56"/>
      <c r="BR880" s="56"/>
      <c r="BS880" s="56"/>
      <c r="BT880" s="56"/>
      <c r="BU880" s="56"/>
      <c r="BV880" s="56"/>
    </row>
    <row r="881" spans="45:74">
      <c r="AZ881" s="56"/>
      <c r="BB881" s="56"/>
      <c r="BD881" s="42"/>
      <c r="BO881" s="56"/>
      <c r="BP881" s="56"/>
      <c r="BQ881" s="56"/>
      <c r="BR881" s="56"/>
      <c r="BS881" s="56"/>
      <c r="BT881" s="56"/>
      <c r="BU881" s="56"/>
      <c r="BV881" s="56"/>
    </row>
    <row r="882" spans="45:74">
      <c r="AZ882" s="56"/>
      <c r="BB882" s="56"/>
      <c r="BD882" s="42"/>
      <c r="BO882" s="56"/>
      <c r="BP882" s="56"/>
      <c r="BQ882" s="56"/>
      <c r="BR882" s="56"/>
      <c r="BS882" s="56"/>
      <c r="BT882" s="56"/>
      <c r="BU882" s="56"/>
      <c r="BV882" s="56"/>
    </row>
    <row r="883" spans="45:74">
      <c r="AS883" s="42"/>
      <c r="AZ883" s="56"/>
      <c r="BB883" s="56"/>
      <c r="BD883" s="42"/>
      <c r="BO883" s="56"/>
      <c r="BP883" s="56"/>
      <c r="BQ883" s="56"/>
      <c r="BR883" s="56"/>
      <c r="BS883" s="56"/>
      <c r="BT883" s="56"/>
      <c r="BU883" s="56"/>
      <c r="BV883" s="56"/>
    </row>
    <row r="884" spans="45:74">
      <c r="AZ884" s="56"/>
      <c r="BB884" s="56"/>
      <c r="BO884" s="56"/>
      <c r="BP884" s="56"/>
      <c r="BQ884" s="56"/>
      <c r="BR884" s="56"/>
      <c r="BS884" s="56"/>
      <c r="BT884" s="56"/>
      <c r="BU884" s="56"/>
      <c r="BV884" s="56"/>
    </row>
    <row r="885" spans="45:74">
      <c r="AS885" s="49"/>
      <c r="AT885" s="49"/>
      <c r="AU885" s="49"/>
      <c r="AV885" s="49"/>
      <c r="AW885" s="49"/>
      <c r="AX885" s="49"/>
      <c r="AY885" s="49"/>
      <c r="AZ885" s="57"/>
      <c r="BA885" s="49"/>
      <c r="BB885" s="57"/>
      <c r="BC885" s="49"/>
      <c r="BD885" s="49"/>
      <c r="BE885" s="49"/>
      <c r="BO885" s="56"/>
      <c r="BP885" s="56"/>
      <c r="BQ885" s="56"/>
      <c r="BR885" s="56"/>
      <c r="BS885" s="56"/>
      <c r="BT885" s="56"/>
      <c r="BU885" s="56"/>
      <c r="BV885" s="56"/>
    </row>
    <row r="886" spans="45:74">
      <c r="AX886" s="42"/>
      <c r="AZ886" s="56"/>
      <c r="BB886" s="56"/>
      <c r="BO886" s="56"/>
      <c r="BP886" s="56"/>
      <c r="BQ886" s="56"/>
      <c r="BR886" s="56"/>
      <c r="BS886" s="56"/>
      <c r="BT886" s="56"/>
      <c r="BU886" s="56"/>
      <c r="BV886" s="56"/>
    </row>
    <row r="887" spans="45:74">
      <c r="AX887" s="49"/>
      <c r="AY887" s="49"/>
      <c r="AZ887" s="57"/>
      <c r="BA887" s="49"/>
      <c r="BB887" s="56"/>
      <c r="BC887" s="44"/>
      <c r="BD887" s="44"/>
      <c r="BO887" s="56"/>
      <c r="BP887" s="56"/>
      <c r="BQ887" s="56"/>
      <c r="BR887" s="56"/>
      <c r="BS887" s="56"/>
      <c r="BT887" s="56"/>
      <c r="BU887" s="56"/>
      <c r="BV887" s="56"/>
    </row>
    <row r="888" spans="45:74">
      <c r="AV888" s="44"/>
      <c r="AW888" s="44"/>
      <c r="AZ888" s="58"/>
      <c r="BA888" s="44"/>
      <c r="BB888" s="56"/>
      <c r="BC888" s="44"/>
      <c r="BD888" s="44"/>
      <c r="BE888" s="44"/>
      <c r="BG888" s="49"/>
      <c r="BH888" s="42"/>
      <c r="BK888" s="49"/>
      <c r="BM888" s="49"/>
      <c r="BN888" s="42"/>
      <c r="BQ888" s="49"/>
    </row>
    <row r="889" spans="45:74">
      <c r="AV889" s="44"/>
      <c r="AW889" s="44"/>
      <c r="AX889" s="44"/>
      <c r="AY889" s="44"/>
      <c r="AZ889" s="58"/>
      <c r="BA889" s="44"/>
      <c r="BB889" s="58"/>
      <c r="BC889" s="44"/>
      <c r="BD889" s="44"/>
      <c r="BE889" s="44"/>
      <c r="BH889" s="44"/>
      <c r="BI889" s="44"/>
      <c r="BN889" s="44"/>
      <c r="BO889" s="44"/>
    </row>
    <row r="890" spans="45:74">
      <c r="AS890" s="44"/>
      <c r="AU890" s="42"/>
      <c r="AV890" s="44"/>
      <c r="AW890" s="44"/>
      <c r="AX890" s="44"/>
      <c r="AY890" s="44"/>
      <c r="AZ890" s="58"/>
      <c r="BA890" s="44"/>
      <c r="BB890" s="58"/>
      <c r="BC890" s="44"/>
      <c r="BD890" s="44"/>
      <c r="BE890" s="44"/>
      <c r="BG890" s="44"/>
      <c r="BH890" s="44"/>
      <c r="BI890" s="44"/>
      <c r="BJ890" s="44"/>
      <c r="BK890" s="44"/>
      <c r="BM890" s="44"/>
      <c r="BN890" s="44"/>
      <c r="BO890" s="44"/>
      <c r="BP890" s="44"/>
      <c r="BQ890" s="44"/>
    </row>
    <row r="891" spans="45:74">
      <c r="AS891" s="44"/>
      <c r="AU891" s="42"/>
      <c r="AV891" s="44"/>
      <c r="AW891" s="44"/>
      <c r="AX891" s="44"/>
      <c r="AY891" s="44"/>
      <c r="AZ891" s="58"/>
      <c r="BA891" s="44"/>
      <c r="BB891" s="58"/>
      <c r="BC891" s="44"/>
      <c r="BD891" s="44"/>
      <c r="BE891" s="44"/>
      <c r="BG891" s="44"/>
      <c r="BH891" s="44"/>
      <c r="BI891" s="44"/>
      <c r="BJ891" s="44"/>
      <c r="BK891" s="44"/>
      <c r="BM891" s="44"/>
      <c r="BN891" s="44"/>
      <c r="BO891" s="44"/>
      <c r="BP891" s="44"/>
      <c r="BQ891" s="44"/>
    </row>
    <row r="892" spans="45:74">
      <c r="AS892" s="49"/>
      <c r="AT892" s="49"/>
      <c r="AU892" s="49"/>
      <c r="AV892" s="49"/>
      <c r="AW892" s="49"/>
      <c r="AX892" s="49"/>
      <c r="AY892" s="49"/>
      <c r="AZ892" s="57"/>
      <c r="BA892" s="49"/>
      <c r="BB892" s="57"/>
      <c r="BC892" s="49"/>
      <c r="BD892" s="49"/>
      <c r="BE892" s="49"/>
      <c r="BG892" s="49"/>
      <c r="BH892" s="49"/>
      <c r="BI892" s="49"/>
      <c r="BJ892" s="49"/>
      <c r="BK892" s="49"/>
      <c r="BM892" s="49"/>
      <c r="BN892" s="49"/>
      <c r="BO892" s="49"/>
      <c r="BP892" s="49"/>
      <c r="BQ892" s="49"/>
    </row>
    <row r="893" spans="45:74">
      <c r="AV893" s="44"/>
      <c r="AW893" s="44"/>
      <c r="AX893" s="44"/>
      <c r="AY893" s="44"/>
      <c r="AZ893" s="58"/>
      <c r="BA893" s="44"/>
      <c r="BB893" s="58"/>
      <c r="BC893" s="44"/>
      <c r="BD893" s="44"/>
      <c r="BE893" s="44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</row>
    <row r="894" spans="45:74">
      <c r="AT894" s="42"/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</row>
    <row r="895" spans="45:74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</row>
    <row r="896" spans="45:74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</row>
    <row r="897" spans="48:71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</row>
    <row r="898" spans="48:71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</row>
    <row r="899" spans="48:71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</row>
    <row r="900" spans="48:71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</row>
    <row r="901" spans="48:71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</row>
    <row r="902" spans="48:71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</row>
    <row r="903" spans="48:71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</row>
    <row r="904" spans="48:71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</row>
    <row r="905" spans="48:71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</row>
    <row r="906" spans="48:71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</row>
    <row r="907" spans="48:71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</row>
    <row r="908" spans="48:71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</row>
    <row r="909" spans="48:71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</row>
    <row r="910" spans="48:71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</row>
    <row r="911" spans="48:71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</row>
    <row r="912" spans="48:71">
      <c r="AZ912" s="56"/>
      <c r="BB912" s="56"/>
      <c r="BC912" s="56"/>
      <c r="BD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</row>
    <row r="913" spans="46:57">
      <c r="AT913" s="42"/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</row>
    <row r="914" spans="46:57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</row>
    <row r="915" spans="46:57">
      <c r="AV915" s="45"/>
      <c r="AW915" s="45"/>
      <c r="AX915" s="56"/>
      <c r="AY915" s="56"/>
      <c r="AZ915" s="56"/>
      <c r="BA915" s="51"/>
      <c r="BB915" s="56"/>
      <c r="BC915" s="56"/>
      <c r="BD915" s="56"/>
      <c r="BE915" s="51"/>
    </row>
    <row r="916" spans="46:57"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</row>
    <row r="917" spans="46:57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</row>
    <row r="918" spans="46:57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</row>
    <row r="919" spans="46:57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</row>
    <row r="920" spans="46:57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</row>
    <row r="921" spans="46:57"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</row>
    <row r="922" spans="46:57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</row>
    <row r="923" spans="46:57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</row>
    <row r="924" spans="46:57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</row>
    <row r="925" spans="46:57">
      <c r="AV925" s="45"/>
      <c r="AW925" s="45"/>
      <c r="AX925" s="56"/>
      <c r="AY925" s="56"/>
      <c r="AZ925" s="56"/>
      <c r="BA925" s="51"/>
      <c r="BB925" s="56"/>
      <c r="BC925" s="56"/>
      <c r="BD925" s="56"/>
      <c r="BE925" s="51"/>
    </row>
    <row r="926" spans="46:57"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6:57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6:57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5:57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5:57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5:57">
      <c r="BB931" s="56"/>
    </row>
    <row r="932" spans="45:57">
      <c r="AU932" s="42"/>
      <c r="BB932" s="56"/>
    </row>
    <row r="933" spans="45:57">
      <c r="AU933" s="42"/>
    </row>
    <row r="934" spans="45:57">
      <c r="AU934" s="42"/>
      <c r="BB934" s="56"/>
    </row>
    <row r="935" spans="45:57">
      <c r="AS935" s="42"/>
      <c r="AZ935" s="56"/>
      <c r="BB935" s="56"/>
    </row>
    <row r="936" spans="45:57">
      <c r="AZ936" s="56"/>
      <c r="BB936" s="56"/>
    </row>
    <row r="937" spans="45:57">
      <c r="AY937" s="56"/>
      <c r="AZ937" s="56"/>
      <c r="BB937" s="56"/>
    </row>
    <row r="938" spans="45:57">
      <c r="AY938" s="42"/>
      <c r="AZ938" s="56"/>
      <c r="BB938" s="56"/>
    </row>
    <row r="939" spans="45:57">
      <c r="AY939" s="42"/>
      <c r="AZ939" s="56"/>
      <c r="BB939" s="56"/>
    </row>
    <row r="940" spans="45:57">
      <c r="AZ940" s="56"/>
      <c r="BB940" s="56"/>
      <c r="BD940" s="42"/>
    </row>
    <row r="941" spans="45:57">
      <c r="AZ941" s="56"/>
      <c r="BB941" s="56"/>
      <c r="BD941" s="42"/>
    </row>
    <row r="942" spans="45:57">
      <c r="AS942" s="42"/>
      <c r="AZ942" s="56"/>
      <c r="BB942" s="56"/>
      <c r="BD942" s="42"/>
    </row>
    <row r="943" spans="45:57">
      <c r="AZ943" s="56"/>
      <c r="BB943" s="56"/>
    </row>
    <row r="944" spans="45:57">
      <c r="AS944" s="49"/>
      <c r="AT944" s="49"/>
      <c r="AU944" s="49"/>
      <c r="AV944" s="49"/>
      <c r="AW944" s="49"/>
      <c r="AX944" s="49"/>
      <c r="AY944" s="49"/>
      <c r="AZ944" s="57"/>
      <c r="BA944" s="49"/>
      <c r="BB944" s="57"/>
      <c r="BC944" s="49"/>
      <c r="BD944" s="49"/>
      <c r="BE944" s="49"/>
    </row>
    <row r="945" spans="45:57">
      <c r="AX945" s="42"/>
      <c r="AZ945" s="56"/>
      <c r="BB945" s="56"/>
    </row>
    <row r="946" spans="45:57">
      <c r="AX946" s="49"/>
      <c r="AY946" s="49"/>
      <c r="AZ946" s="57"/>
      <c r="BA946" s="49"/>
      <c r="BB946" s="56"/>
      <c r="BC946" s="44"/>
      <c r="BD946" s="44"/>
    </row>
    <row r="947" spans="45:57">
      <c r="AV947" s="44"/>
      <c r="AW947" s="44"/>
      <c r="AZ947" s="58"/>
      <c r="BA947" s="44"/>
      <c r="BB947" s="56"/>
      <c r="BC947" s="44"/>
      <c r="BD947" s="44"/>
      <c r="BE947" s="44"/>
    </row>
    <row r="948" spans="45:57">
      <c r="AV948" s="44"/>
      <c r="AW948" s="44"/>
      <c r="AX948" s="44"/>
      <c r="AY948" s="44"/>
      <c r="AZ948" s="58"/>
      <c r="BA948" s="44"/>
      <c r="BB948" s="58"/>
      <c r="BC948" s="44"/>
      <c r="BD948" s="44"/>
      <c r="BE948" s="44"/>
    </row>
    <row r="949" spans="45:57">
      <c r="AS949" s="44"/>
      <c r="AU949" s="42"/>
      <c r="AV949" s="44"/>
      <c r="AW949" s="44"/>
      <c r="AX949" s="44"/>
      <c r="AY949" s="44"/>
      <c r="AZ949" s="58"/>
      <c r="BA949" s="44"/>
      <c r="BB949" s="58"/>
      <c r="BC949" s="44"/>
      <c r="BD949" s="44"/>
      <c r="BE949" s="44"/>
    </row>
    <row r="950" spans="45:57">
      <c r="AS950" s="44"/>
      <c r="AU950" s="42"/>
      <c r="AV950" s="44"/>
      <c r="AW950" s="44"/>
      <c r="AX950" s="44"/>
      <c r="AY950" s="44"/>
      <c r="AZ950" s="58"/>
      <c r="BA950" s="44"/>
      <c r="BB950" s="58"/>
      <c r="BC950" s="44"/>
      <c r="BD950" s="44"/>
      <c r="BE950" s="44"/>
    </row>
    <row r="951" spans="45:57">
      <c r="AS951" s="49"/>
      <c r="AT951" s="49"/>
      <c r="AU951" s="49"/>
      <c r="AV951" s="49"/>
      <c r="AW951" s="49"/>
      <c r="AX951" s="49"/>
      <c r="AY951" s="49"/>
      <c r="AZ951" s="57"/>
      <c r="BA951" s="49"/>
      <c r="BB951" s="57"/>
      <c r="BC951" s="49"/>
      <c r="BD951" s="49"/>
      <c r="BE951" s="49"/>
    </row>
    <row r="952" spans="45:57">
      <c r="AV952" s="44"/>
      <c r="AW952" s="44"/>
      <c r="AX952" s="44"/>
      <c r="AY952" s="44"/>
      <c r="AZ952" s="58"/>
      <c r="BA952" s="44"/>
      <c r="BB952" s="58"/>
      <c r="BC952" s="44"/>
      <c r="BD952" s="44"/>
      <c r="BE952" s="44"/>
    </row>
    <row r="953" spans="45:57">
      <c r="AT953" s="42"/>
      <c r="AV953" s="45"/>
      <c r="AW953" s="45"/>
      <c r="AX953" s="56"/>
      <c r="AY953" s="56"/>
      <c r="AZ953" s="56"/>
      <c r="BA953" s="51"/>
      <c r="BB953" s="56"/>
      <c r="BC953" s="56"/>
      <c r="BD953" s="56"/>
      <c r="BE953" s="51"/>
    </row>
    <row r="954" spans="45:57">
      <c r="AV954" s="45"/>
      <c r="AW954" s="45"/>
      <c r="AX954" s="56"/>
      <c r="AY954" s="56"/>
      <c r="AZ954" s="56"/>
      <c r="BA954" s="51"/>
      <c r="BB954" s="56"/>
      <c r="BC954" s="56"/>
      <c r="BD954" s="56"/>
      <c r="BE954" s="51"/>
    </row>
    <row r="955" spans="45:57">
      <c r="AV955" s="45"/>
      <c r="AW955" s="45"/>
      <c r="AX955" s="56"/>
      <c r="AY955" s="56"/>
      <c r="AZ955" s="56"/>
      <c r="BA955" s="51"/>
      <c r="BB955" s="56"/>
      <c r="BC955" s="56"/>
      <c r="BD955" s="56"/>
      <c r="BE955" s="51"/>
    </row>
    <row r="956" spans="45:57">
      <c r="AV956" s="45"/>
      <c r="AW956" s="45"/>
      <c r="AX956" s="56"/>
      <c r="AY956" s="56"/>
      <c r="AZ956" s="56"/>
      <c r="BA956" s="51"/>
      <c r="BB956" s="56"/>
      <c r="BC956" s="56"/>
      <c r="BD956" s="56"/>
      <c r="BE956" s="51"/>
    </row>
    <row r="957" spans="45:57">
      <c r="AV957" s="45"/>
      <c r="AW957" s="45"/>
      <c r="AX957" s="56"/>
      <c r="AY957" s="56"/>
      <c r="AZ957" s="56"/>
      <c r="BA957" s="51"/>
      <c r="BB957" s="56"/>
      <c r="BC957" s="56"/>
      <c r="BD957" s="56"/>
      <c r="BE957" s="51"/>
    </row>
    <row r="958" spans="45:57">
      <c r="AV958" s="45"/>
      <c r="AW958" s="45"/>
      <c r="AX958" s="56"/>
      <c r="AY958" s="56"/>
      <c r="AZ958" s="56"/>
      <c r="BA958" s="51"/>
      <c r="BB958" s="56"/>
      <c r="BC958" s="56"/>
      <c r="BD958" s="56"/>
      <c r="BE958" s="51"/>
    </row>
    <row r="959" spans="45:57">
      <c r="AV959" s="45"/>
      <c r="AW959" s="45"/>
      <c r="AX959" s="56"/>
      <c r="AY959" s="56"/>
      <c r="AZ959" s="56"/>
      <c r="BA959" s="51"/>
      <c r="BB959" s="56"/>
      <c r="BC959" s="56"/>
      <c r="BD959" s="56"/>
      <c r="BE959" s="51"/>
    </row>
    <row r="960" spans="45:57">
      <c r="AV960" s="45"/>
      <c r="AW960" s="45"/>
      <c r="AX960" s="56"/>
      <c r="AY960" s="56"/>
      <c r="AZ960" s="56"/>
      <c r="BA960" s="51"/>
      <c r="BB960" s="56"/>
      <c r="BC960" s="56"/>
      <c r="BD960" s="56"/>
      <c r="BE960" s="51"/>
    </row>
    <row r="961" spans="46:57">
      <c r="AV961" s="45"/>
      <c r="AW961" s="45"/>
      <c r="AX961" s="56"/>
      <c r="AY961" s="56"/>
      <c r="AZ961" s="56"/>
      <c r="BA961" s="51"/>
      <c r="BB961" s="56"/>
      <c r="BC961" s="56"/>
      <c r="BD961" s="56"/>
      <c r="BE961" s="51"/>
    </row>
    <row r="962" spans="46:57">
      <c r="AV962" s="45"/>
      <c r="AW962" s="45"/>
      <c r="AX962" s="56"/>
      <c r="AY962" s="56"/>
      <c r="AZ962" s="56"/>
      <c r="BA962" s="51"/>
      <c r="BB962" s="56"/>
      <c r="BC962" s="56"/>
      <c r="BD962" s="56"/>
      <c r="BE962" s="51"/>
    </row>
    <row r="963" spans="46:57">
      <c r="AV963" s="45"/>
      <c r="AW963" s="45"/>
      <c r="BB963" s="56"/>
    </row>
    <row r="964" spans="46:57">
      <c r="AT964" s="42"/>
      <c r="AV964" s="45"/>
      <c r="AW964" s="45"/>
      <c r="AX964" s="56"/>
      <c r="AY964" s="56"/>
      <c r="AZ964" s="56"/>
      <c r="BA964" s="51"/>
      <c r="BB964" s="56"/>
      <c r="BC964" s="56"/>
      <c r="BD964" s="56"/>
      <c r="BE964" s="51"/>
    </row>
    <row r="965" spans="46:57">
      <c r="AV965" s="45"/>
      <c r="AW965" s="45"/>
      <c r="AX965" s="56"/>
      <c r="AY965" s="56"/>
      <c r="AZ965" s="56"/>
      <c r="BA965" s="51"/>
      <c r="BB965" s="56"/>
      <c r="BC965" s="56"/>
      <c r="BD965" s="56"/>
      <c r="BE965" s="51"/>
    </row>
    <row r="966" spans="46:57">
      <c r="AV966" s="45"/>
      <c r="AW966" s="45"/>
      <c r="AX966" s="56"/>
      <c r="AY966" s="56"/>
      <c r="AZ966" s="56"/>
      <c r="BA966" s="51"/>
      <c r="BB966" s="56"/>
      <c r="BC966" s="56"/>
      <c r="BD966" s="56"/>
      <c r="BE966" s="51"/>
    </row>
    <row r="967" spans="46:57">
      <c r="AV967" s="45"/>
      <c r="AW967" s="45"/>
      <c r="AX967" s="56"/>
      <c r="AY967" s="56"/>
      <c r="AZ967" s="56"/>
      <c r="BA967" s="51"/>
      <c r="BB967" s="56"/>
      <c r="BC967" s="56"/>
      <c r="BD967" s="56"/>
      <c r="BE967" s="51"/>
    </row>
    <row r="968" spans="46:57">
      <c r="AV968" s="45"/>
      <c r="AW968" s="45"/>
      <c r="AX968" s="56"/>
      <c r="AY968" s="56"/>
      <c r="AZ968" s="56"/>
      <c r="BA968" s="51"/>
      <c r="BB968" s="56"/>
      <c r="BC968" s="56"/>
      <c r="BD968" s="56"/>
      <c r="BE968" s="51"/>
    </row>
    <row r="969" spans="46:57">
      <c r="AV969" s="45"/>
      <c r="AW969" s="45"/>
      <c r="AX969" s="56"/>
      <c r="AY969" s="56"/>
      <c r="AZ969" s="56"/>
      <c r="BA969" s="51"/>
      <c r="BB969" s="56"/>
      <c r="BC969" s="56"/>
      <c r="BD969" s="56"/>
      <c r="BE969" s="51"/>
    </row>
    <row r="970" spans="46:57">
      <c r="AV970" s="45"/>
      <c r="AW970" s="45"/>
      <c r="AX970" s="56"/>
      <c r="AY970" s="56"/>
      <c r="AZ970" s="56"/>
      <c r="BA970" s="51"/>
      <c r="BB970" s="56"/>
      <c r="BC970" s="56"/>
      <c r="BD970" s="56"/>
      <c r="BE970" s="51"/>
    </row>
    <row r="971" spans="46:57">
      <c r="AV971" s="45"/>
      <c r="AW971" s="45"/>
      <c r="AX971" s="56"/>
      <c r="AY971" s="56"/>
      <c r="AZ971" s="56"/>
      <c r="BA971" s="51"/>
      <c r="BB971" s="56"/>
      <c r="BC971" s="56"/>
      <c r="BD971" s="56"/>
      <c r="BE971" s="51"/>
    </row>
    <row r="972" spans="46:57">
      <c r="AV972" s="45"/>
      <c r="AW972" s="45"/>
      <c r="AX972" s="56"/>
      <c r="AY972" s="56"/>
      <c r="AZ972" s="56"/>
      <c r="BA972" s="51"/>
      <c r="BB972" s="56"/>
      <c r="BC972" s="56"/>
      <c r="BD972" s="56"/>
      <c r="BE972" s="51"/>
    </row>
    <row r="973" spans="46:57">
      <c r="AV973" s="45"/>
      <c r="AW973" s="45"/>
      <c r="AX973" s="56"/>
      <c r="AY973" s="56"/>
      <c r="AZ973" s="56"/>
      <c r="BA973" s="51"/>
      <c r="BB973" s="56"/>
      <c r="BC973" s="56"/>
      <c r="BD973" s="56"/>
      <c r="BE973" s="51"/>
    </row>
    <row r="975" spans="46:57">
      <c r="AU975" s="42"/>
    </row>
    <row r="976" spans="46:57">
      <c r="AU976" s="42"/>
    </row>
    <row r="977" spans="45:47">
      <c r="AU977" s="42"/>
    </row>
    <row r="978" spans="45:47">
      <c r="AS978" s="42"/>
    </row>
    <row r="999" spans="52:71">
      <c r="AZ999" s="56"/>
      <c r="BB999" s="56"/>
      <c r="BC999" s="56"/>
      <c r="BD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</row>
    <row r="1000" spans="52:71">
      <c r="AZ1000" s="56"/>
      <c r="BB1000" s="56"/>
      <c r="BC1000" s="56"/>
      <c r="BD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</row>
    <row r="1001" spans="52:71">
      <c r="AZ1001" s="56"/>
      <c r="BB1001" s="56"/>
      <c r="BC1001" s="56"/>
      <c r="BD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</row>
    <row r="1002" spans="52:71">
      <c r="AZ1002" s="56"/>
      <c r="BB1002" s="56"/>
      <c r="BC1002" s="56"/>
      <c r="BD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</row>
    <row r="1003" spans="52:71">
      <c r="AZ1003" s="56"/>
      <c r="BB1003" s="56"/>
      <c r="BC1003" s="56"/>
      <c r="BD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</row>
    <row r="1004" spans="52:71">
      <c r="AZ1004" s="56"/>
      <c r="BB1004" s="56"/>
      <c r="BC1004" s="56"/>
      <c r="BD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</row>
    <row r="1005" spans="52:71">
      <c r="AZ1005" s="56"/>
      <c r="BB1005" s="56"/>
      <c r="BC1005" s="56"/>
      <c r="BD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</row>
    <row r="1006" spans="52:71">
      <c r="AZ1006" s="56"/>
      <c r="BB1006" s="56"/>
      <c r="BC1006" s="56"/>
      <c r="BD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</row>
    <row r="1007" spans="52:71">
      <c r="AZ1007" s="56"/>
      <c r="BB1007" s="56"/>
      <c r="BC1007" s="56"/>
      <c r="BD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</row>
    <row r="1008" spans="52:71">
      <c r="AZ1008" s="56"/>
      <c r="BB1008" s="56"/>
      <c r="BC1008" s="56"/>
      <c r="BD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</row>
    <row r="1009" spans="52:71">
      <c r="AZ1009" s="56"/>
      <c r="BB1009" s="56"/>
      <c r="BC1009" s="56"/>
      <c r="BD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</row>
    <row r="1010" spans="52:71">
      <c r="AZ1010" s="56"/>
      <c r="BB1010" s="56"/>
      <c r="BC1010" s="56"/>
      <c r="BD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</row>
    <row r="1011" spans="52:71">
      <c r="AZ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</row>
    <row r="1012" spans="52:71">
      <c r="AZ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</row>
    <row r="1013" spans="52:71">
      <c r="AZ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</row>
    <row r="1014" spans="52:71">
      <c r="AZ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</row>
    <row r="1015" spans="52:71">
      <c r="AZ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</row>
    <row r="1016" spans="52:71">
      <c r="AZ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</row>
    <row r="1017" spans="52:71">
      <c r="AZ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</row>
    <row r="1018" spans="52:71">
      <c r="AZ1018" s="56"/>
    </row>
    <row r="1019" spans="52:71">
      <c r="AZ1019" s="56"/>
    </row>
    <row r="1033" spans="1:28">
      <c r="A1033" s="42"/>
    </row>
    <row r="1036" spans="1:28">
      <c r="Y1036" s="42"/>
    </row>
    <row r="1037" spans="1:28">
      <c r="A1037" s="42"/>
      <c r="H1037" s="42"/>
      <c r="I1037" s="42"/>
    </row>
    <row r="1038" spans="1:28">
      <c r="A1038" s="42"/>
      <c r="V1038" s="44"/>
      <c r="AA1038" s="44"/>
      <c r="AB1038" s="44"/>
    </row>
    <row r="1039" spans="1:28">
      <c r="A1039" s="42"/>
      <c r="V1039" s="49"/>
      <c r="AA1039" s="49"/>
      <c r="AB1039" s="49"/>
    </row>
    <row r="1040" spans="1:28">
      <c r="A1040" s="42"/>
      <c r="U1040" s="42"/>
      <c r="AA1040" s="44"/>
      <c r="AB1040" s="44"/>
    </row>
    <row r="1041" spans="1:28">
      <c r="A1041" s="42"/>
    </row>
    <row r="1042" spans="1:28">
      <c r="A1042" s="42"/>
      <c r="U1042" s="42"/>
      <c r="AA1042" s="44"/>
      <c r="AB1042" s="44"/>
    </row>
    <row r="1043" spans="1:28">
      <c r="A1043" s="42"/>
    </row>
    <row r="1044" spans="1:28">
      <c r="A1044" s="42"/>
      <c r="U1044" s="42"/>
      <c r="V1044" s="339"/>
      <c r="AA1044" s="44"/>
      <c r="AB1044" s="44"/>
    </row>
    <row r="1045" spans="1:28">
      <c r="A1045" s="42"/>
    </row>
    <row r="1046" spans="1:28">
      <c r="A1046" s="42"/>
      <c r="U1046" s="42"/>
      <c r="AA1046" s="44"/>
      <c r="AB1046" s="44"/>
    </row>
    <row r="1047" spans="1:28">
      <c r="A1047" s="42"/>
    </row>
    <row r="1048" spans="1:28">
      <c r="A1048" s="42"/>
      <c r="U1048" s="42"/>
      <c r="AA1048" s="44"/>
      <c r="AB1048" s="44"/>
    </row>
    <row r="1049" spans="1:28">
      <c r="A1049" s="42"/>
    </row>
    <row r="1050" spans="1:28">
      <c r="A1050" s="42"/>
    </row>
    <row r="1051" spans="1:28">
      <c r="A1051" s="42"/>
    </row>
    <row r="1052" spans="1:28">
      <c r="A1052" s="42"/>
    </row>
    <row r="1053" spans="1:28">
      <c r="A1053" s="42"/>
    </row>
    <row r="1054" spans="1:28">
      <c r="A1054" s="42"/>
    </row>
    <row r="1055" spans="1:28">
      <c r="A1055" s="42"/>
    </row>
    <row r="1056" spans="1:28">
      <c r="A1056" s="42"/>
    </row>
    <row r="1057" spans="1:9">
      <c r="A1057" s="42"/>
    </row>
    <row r="1058" spans="1:9">
      <c r="A1058" s="42"/>
    </row>
    <row r="1059" spans="1:9">
      <c r="A1059" s="42"/>
      <c r="H1059" s="42"/>
      <c r="I1059" s="42"/>
    </row>
    <row r="1062" spans="1:9">
      <c r="A1062" s="42"/>
    </row>
    <row r="1065" spans="1:9">
      <c r="A1065" s="42"/>
    </row>
    <row r="1068" spans="1:9">
      <c r="A1068" s="42"/>
    </row>
    <row r="1069" spans="1:9">
      <c r="A1069" s="42"/>
    </row>
    <row r="1070" spans="1:9">
      <c r="A1070" s="42"/>
    </row>
    <row r="1071" spans="1:9">
      <c r="A1071" s="42"/>
    </row>
    <row r="1072" spans="1:9">
      <c r="A1072" s="42"/>
    </row>
    <row r="1073" spans="1:1">
      <c r="A1073" s="42"/>
    </row>
    <row r="1074" spans="1:1">
      <c r="A1074" s="42"/>
    </row>
    <row r="1075" spans="1:1">
      <c r="A1075" s="42"/>
    </row>
    <row r="1076" spans="1:1">
      <c r="A1076" s="42"/>
    </row>
    <row r="1077" spans="1:1">
      <c r="A1077" s="42"/>
    </row>
    <row r="1078" spans="1:1">
      <c r="A1078" s="42"/>
    </row>
    <row r="1079" spans="1:1">
      <c r="A1079" s="42"/>
    </row>
    <row r="1080" spans="1:1">
      <c r="A1080" s="42"/>
    </row>
    <row r="1081" spans="1:1">
      <c r="A1081" s="42"/>
    </row>
    <row r="1082" spans="1:1">
      <c r="A1082" s="42"/>
    </row>
    <row r="1083" spans="1:1">
      <c r="A1083" s="42"/>
    </row>
    <row r="1084" spans="1:1">
      <c r="A1084" s="42"/>
    </row>
    <row r="1085" spans="1:1">
      <c r="A1085" s="42"/>
    </row>
    <row r="1086" spans="1:1">
      <c r="A1086" s="42"/>
    </row>
    <row r="1087" spans="1:1">
      <c r="A1087" s="42"/>
    </row>
    <row r="1088" spans="1:1">
      <c r="A1088" s="42"/>
    </row>
    <row r="1089" spans="1:1">
      <c r="A1089" s="42"/>
    </row>
    <row r="1090" spans="1:1">
      <c r="A1090" s="42"/>
    </row>
    <row r="1091" spans="1:1">
      <c r="A1091" s="42"/>
    </row>
    <row r="1092" spans="1:1">
      <c r="A1092" s="42"/>
    </row>
    <row r="1093" spans="1:1">
      <c r="A1093" s="42"/>
    </row>
    <row r="1094" spans="1:1">
      <c r="A1094" s="42"/>
    </row>
    <row r="1095" spans="1:1">
      <c r="A1095" s="42"/>
    </row>
    <row r="1096" spans="1:1">
      <c r="A1096" s="42"/>
    </row>
    <row r="1097" spans="1:1">
      <c r="A1097" s="42"/>
    </row>
    <row r="1098" spans="1:1">
      <c r="A1098" s="42"/>
    </row>
    <row r="1099" spans="1:1">
      <c r="A1099" s="42"/>
    </row>
    <row r="1100" spans="1:1">
      <c r="A1100" s="42"/>
    </row>
    <row r="1101" spans="1:1">
      <c r="A1101" s="42"/>
    </row>
    <row r="1102" spans="1:1">
      <c r="A1102" s="42"/>
    </row>
    <row r="1107" spans="1:1">
      <c r="A1107" s="42"/>
    </row>
    <row r="1108" spans="1:1">
      <c r="A1108" s="42"/>
    </row>
    <row r="1111" spans="1:1">
      <c r="A1111" s="42"/>
    </row>
    <row r="1113" spans="1:1">
      <c r="A1113" s="42"/>
    </row>
    <row r="1115" spans="1:1">
      <c r="A1115" s="42"/>
    </row>
    <row r="1117" spans="1:1">
      <c r="A1117" s="42"/>
    </row>
    <row r="1120" spans="1:1">
      <c r="A1120" s="42"/>
    </row>
    <row r="1121" spans="1:1">
      <c r="A1121" s="42"/>
    </row>
    <row r="1122" spans="1:1">
      <c r="A1122" s="42"/>
    </row>
    <row r="1123" spans="1:1">
      <c r="A1123" s="42"/>
    </row>
    <row r="1124" spans="1:1">
      <c r="A1124" s="42"/>
    </row>
    <row r="1125" spans="1:1">
      <c r="A1125" s="42"/>
    </row>
    <row r="1126" spans="1:1">
      <c r="A1126" s="42"/>
    </row>
    <row r="1127" spans="1:1">
      <c r="A1127" s="42"/>
    </row>
  </sheetData>
  <customSheetViews>
    <customSheetView guid="{F562D92E-120C-4AE9-9663-89E64D41DC53}" scale="75" fitToPage="1" topLeftCell="P70">
      <selection activeCell="P37" sqref="P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"/>
      <headerFooter alignWithMargins="0"/>
    </customSheetView>
    <customSheetView guid="{35F19056-2E6F-4935-B863-78836FE990BF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2"/>
      <headerFooter alignWithMargins="0"/>
    </customSheetView>
    <customSheetView guid="{18BDED73-BFA0-442E-87EC-CED86EE4CF94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9"/>
      <headerFooter alignWithMargins="0"/>
    </customSheetView>
    <customSheetView guid="{4BC93440-BA85-4935-A8C9-66DC6AE5DE5E}" scale="75" fitToPage="1" showRuler="0" topLeftCell="Y55">
      <selection activeCell="R8" sqref="R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10"/>
      <headerFooter alignWithMargins="0"/>
    </customSheetView>
    <customSheetView guid="{0C49E549-011E-46F4-A82E-2CC8951A9C1E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2" type="noConversion"/>
  <pageMargins left="0.5" right="0.5" top="1" bottom="0" header="0" footer="0"/>
  <pageSetup scale="62" orientation="landscape" r:id="rId13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" transitionEvaluation="1" transitionEntry="1" codeName="Sheet12">
    <pageSetUpPr fitToPage="1"/>
  </sheetPr>
  <dimension ref="A1:BX1095"/>
  <sheetViews>
    <sheetView workbookViewId="0"/>
  </sheetViews>
  <sheetFormatPr defaultColWidth="9.69921875" defaultRowHeight="15.75"/>
  <cols>
    <col min="1" max="1" width="5.09765625" style="41" customWidth="1"/>
    <col min="2" max="2" width="0.3984375" style="41" customWidth="1"/>
    <col min="3" max="3" width="6.69921875" style="41" customWidth="1"/>
    <col min="4" max="4" width="36.69921875" style="41" customWidth="1"/>
    <col min="5" max="5" width="0.69921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0.6992187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8.6992187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4.59765625" style="41" customWidth="1"/>
    <col min="23" max="23" width="40.09765625" style="41" customWidth="1"/>
    <col min="24" max="24" width="0.6992187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0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9 OF "&amp;TEXT(Page_Num_2.3,"00")</f>
        <v>PAGE 9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0" t="str">
        <f>TIME</f>
        <v>12 Months Projected with Riders</v>
      </c>
      <c r="M9" s="42"/>
      <c r="R9" s="41" t="str">
        <f>WIT</f>
        <v>B. L. Sailers</v>
      </c>
      <c r="AK9" s="110"/>
      <c r="AL9" s="42"/>
    </row>
    <row r="10" spans="1:40">
      <c r="A10" s="130" t="str">
        <f>INPUT!B5</f>
        <v xml:space="preserve"> </v>
      </c>
      <c r="M10" s="42"/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K11" s="110"/>
      <c r="AL11" s="42"/>
    </row>
    <row r="12" spans="1:40">
      <c r="A12" s="49"/>
      <c r="B12" s="49"/>
      <c r="C12" s="49"/>
      <c r="D12" s="49"/>
      <c r="E12" s="49"/>
      <c r="G12" s="49"/>
      <c r="H12" s="49"/>
      <c r="I12" s="49"/>
      <c r="J12" s="49"/>
      <c r="K12" s="43"/>
      <c r="L12" s="43"/>
      <c r="M12" s="43"/>
      <c r="N12" s="43"/>
      <c r="O12" s="43"/>
      <c r="P12" s="43"/>
      <c r="Q12" s="43"/>
      <c r="R12" s="43"/>
      <c r="AA12" s="42"/>
      <c r="AB12" s="42"/>
    </row>
    <row r="13" spans="1:40" ht="18" customHeight="1">
      <c r="A13" s="62"/>
      <c r="B13" s="62"/>
      <c r="C13" s="62"/>
      <c r="D13" s="62"/>
      <c r="E13" s="62"/>
      <c r="F13" s="62"/>
      <c r="G13" s="62"/>
      <c r="H13" s="62"/>
      <c r="I13" s="62"/>
      <c r="J13" s="62"/>
      <c r="L13" s="44" t="s">
        <v>6</v>
      </c>
      <c r="M13" s="44"/>
      <c r="N13" s="44" t="s">
        <v>7</v>
      </c>
      <c r="O13" s="44"/>
      <c r="R13" s="44" t="s">
        <v>6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107"/>
      <c r="AH13" s="49"/>
      <c r="AI13" s="49"/>
      <c r="AJ13" s="49"/>
      <c r="AK13" s="107"/>
      <c r="AL13" s="49"/>
      <c r="AM13" s="49"/>
      <c r="AN13" s="49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Z15" s="44"/>
      <c r="AA15" s="44"/>
      <c r="AB15" s="44"/>
      <c r="AC15" s="44"/>
      <c r="AD15" s="44"/>
      <c r="AE15" s="44"/>
      <c r="AF15" s="44"/>
      <c r="AG15" s="102"/>
      <c r="AH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ht="17.100000000000001" customHeight="1">
      <c r="A18" s="62"/>
      <c r="B18" s="62"/>
      <c r="C18" s="62"/>
      <c r="D18" s="62"/>
      <c r="E18" s="62"/>
      <c r="F18" s="62"/>
      <c r="G18" s="62"/>
      <c r="H18" s="344" t="s">
        <v>196</v>
      </c>
      <c r="I18" s="345"/>
      <c r="J18" s="344" t="s">
        <v>331</v>
      </c>
      <c r="K18" s="345"/>
      <c r="L18" s="345" t="s">
        <v>50</v>
      </c>
      <c r="M18" s="345"/>
      <c r="N18" s="345" t="s">
        <v>51</v>
      </c>
      <c r="O18" s="345"/>
      <c r="P18" s="345" t="s">
        <v>50</v>
      </c>
      <c r="Q18" s="345"/>
      <c r="R18" s="345" t="s">
        <v>50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>
      <c r="A19" s="41">
        <v>1</v>
      </c>
      <c r="C19" s="133" t="s">
        <v>60</v>
      </c>
      <c r="D19" s="133" t="s">
        <v>61</v>
      </c>
      <c r="E19" s="42"/>
      <c r="F19" s="1"/>
      <c r="G19" s="1"/>
      <c r="H19" s="324"/>
      <c r="I19" s="324"/>
      <c r="J19" s="309" t="s">
        <v>328</v>
      </c>
      <c r="K19" s="324"/>
      <c r="L19" s="324"/>
      <c r="M19" s="324"/>
      <c r="N19" s="324"/>
      <c r="O19" s="324"/>
      <c r="P19" s="324"/>
      <c r="Q19" s="324"/>
      <c r="R19" s="324"/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A20" s="41">
        <v>2</v>
      </c>
      <c r="C20" s="133" t="s">
        <v>54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>
      <c r="A21" s="41">
        <v>3</v>
      </c>
      <c r="C21" s="133" t="s">
        <v>62</v>
      </c>
      <c r="F21" s="164">
        <f>'[16]Forecast BILLS'!$B$71</f>
        <v>52</v>
      </c>
      <c r="G21" s="1"/>
      <c r="H21" s="68"/>
      <c r="I21" s="68"/>
      <c r="J21" s="316">
        <f>INPUT!D123</f>
        <v>500</v>
      </c>
      <c r="K21" s="76"/>
      <c r="L21" s="66">
        <f>ROUND(F21*J21,0)</f>
        <v>26000</v>
      </c>
      <c r="M21" s="3"/>
      <c r="N21" s="70">
        <f>ROUND((L21/$L$56)*100,1)</f>
        <v>0.2</v>
      </c>
      <c r="O21" s="4"/>
      <c r="P21" s="66"/>
      <c r="Q21" s="1"/>
      <c r="R21" s="66">
        <f>L21+P21</f>
        <v>26000</v>
      </c>
    </row>
    <row r="22" spans="1:40">
      <c r="C22" s="42"/>
      <c r="F22" s="68"/>
      <c r="G22" s="1"/>
      <c r="H22" s="68"/>
      <c r="I22" s="68"/>
      <c r="J22" s="316"/>
      <c r="K22" s="76"/>
      <c r="L22" s="3"/>
      <c r="M22" s="3"/>
      <c r="N22" s="4"/>
      <c r="O22" s="4"/>
      <c r="P22" s="3"/>
      <c r="Q22" s="1"/>
      <c r="R22" s="3"/>
    </row>
    <row r="23" spans="1:40">
      <c r="A23" s="41">
        <v>4</v>
      </c>
      <c r="C23" s="133" t="s">
        <v>63</v>
      </c>
      <c r="F23" s="68"/>
      <c r="G23" s="1"/>
      <c r="H23" s="68"/>
      <c r="I23" s="68"/>
      <c r="J23" s="336"/>
      <c r="K23" s="340"/>
      <c r="L23" s="3"/>
      <c r="M23" s="3"/>
      <c r="N23" s="4"/>
      <c r="O23" s="4"/>
      <c r="P23" s="3"/>
      <c r="Q23" s="3"/>
      <c r="R23" s="3"/>
      <c r="S23" s="45"/>
      <c r="V23" s="50"/>
      <c r="Y23" s="45"/>
      <c r="Z23" s="164"/>
      <c r="AA23" s="45"/>
      <c r="AB23" s="45"/>
      <c r="AC23" s="46"/>
      <c r="AD23" s="46"/>
      <c r="AE23" s="45"/>
      <c r="AF23" s="45"/>
      <c r="AI23" s="45"/>
      <c r="AJ23" s="45"/>
      <c r="AL23" s="45"/>
    </row>
    <row r="24" spans="1:40">
      <c r="A24" s="41">
        <v>5</v>
      </c>
      <c r="C24" s="42" t="s">
        <v>64</v>
      </c>
      <c r="F24" s="68"/>
      <c r="G24" s="1"/>
      <c r="H24" s="164">
        <f>'[16]Forecast KW'!$C$72</f>
        <v>127467</v>
      </c>
      <c r="I24" s="68"/>
      <c r="J24" s="316">
        <f>INPUT!D129</f>
        <v>10.23</v>
      </c>
      <c r="K24" s="76"/>
      <c r="L24" s="3">
        <f>ROUND(H24*J24,0)</f>
        <v>1303987</v>
      </c>
      <c r="M24" s="3"/>
      <c r="N24" s="4">
        <f>ROUND((L24/$L$56)*100,1)</f>
        <v>8.1</v>
      </c>
      <c r="O24" s="4"/>
      <c r="P24" s="3"/>
      <c r="Q24" s="3"/>
      <c r="R24" s="3">
        <f>L24+P24</f>
        <v>1303987</v>
      </c>
      <c r="S24" s="45"/>
      <c r="V24" s="50"/>
      <c r="Y24" s="50"/>
      <c r="Z24" s="326"/>
      <c r="AA24" s="50"/>
      <c r="AB24" s="50"/>
      <c r="AC24" s="50"/>
      <c r="AD24" s="50"/>
      <c r="AE24" s="50"/>
      <c r="AF24" s="50"/>
      <c r="AI24" s="50"/>
      <c r="AJ24" s="50"/>
      <c r="AK24" s="111"/>
      <c r="AL24" s="50"/>
      <c r="AM24" s="46"/>
      <c r="AN24" s="46"/>
    </row>
    <row r="25" spans="1:40">
      <c r="A25" s="41">
        <v>6</v>
      </c>
      <c r="C25" s="42" t="s">
        <v>65</v>
      </c>
      <c r="F25" s="68"/>
      <c r="G25" s="1"/>
      <c r="H25" s="318">
        <f>'[16]Forecast KW'!$B$72</f>
        <v>5347</v>
      </c>
      <c r="I25" s="68"/>
      <c r="J25" s="316">
        <f>INPUT!D130</f>
        <v>1.55</v>
      </c>
      <c r="K25" s="76"/>
      <c r="L25" s="66">
        <f>ROUND(H25*J25,0)</f>
        <v>8288</v>
      </c>
      <c r="M25" s="3"/>
      <c r="N25" s="70">
        <f>ROUND((L25/$L$56)*100,1)</f>
        <v>0.1</v>
      </c>
      <c r="O25" s="4"/>
      <c r="P25" s="66"/>
      <c r="Q25" s="3"/>
      <c r="R25" s="66">
        <f>L25+P25</f>
        <v>8288</v>
      </c>
      <c r="S25" s="45"/>
      <c r="V25" s="164"/>
      <c r="Y25" s="164"/>
      <c r="Z25" s="326"/>
      <c r="AA25" s="45"/>
      <c r="AB25" s="45"/>
      <c r="AC25" s="46"/>
      <c r="AD25" s="46"/>
      <c r="AE25" s="45"/>
      <c r="AF25" s="45"/>
      <c r="AI25" s="45"/>
      <c r="AJ25" s="45"/>
      <c r="AL25" s="45"/>
      <c r="AM25" s="46"/>
      <c r="AN25" s="46"/>
    </row>
    <row r="26" spans="1:40" ht="20.100000000000001" customHeight="1">
      <c r="A26" s="41">
        <v>7</v>
      </c>
      <c r="C26" s="133" t="s">
        <v>66</v>
      </c>
      <c r="F26" s="3"/>
      <c r="G26" s="1"/>
      <c r="H26" s="66">
        <f>SUM(H24:H25)</f>
        <v>132814</v>
      </c>
      <c r="I26" s="3"/>
      <c r="J26" s="7"/>
      <c r="K26" s="7"/>
      <c r="L26" s="66">
        <f>SUM(L24:L25)</f>
        <v>1312275</v>
      </c>
      <c r="M26" s="3"/>
      <c r="N26" s="70">
        <f>ROUND((L26/$L$56)*100,1)+0.1</f>
        <v>8.1999999999999993</v>
      </c>
      <c r="O26" s="4"/>
      <c r="P26" s="66"/>
      <c r="Q26" s="3"/>
      <c r="R26" s="66">
        <f>SUM(R24:R25)</f>
        <v>1312275</v>
      </c>
      <c r="S26" s="45"/>
      <c r="V26" s="50"/>
      <c r="Y26" s="50"/>
      <c r="Z26" s="326"/>
      <c r="AA26" s="50"/>
      <c r="AB26" s="50"/>
      <c r="AC26" s="50"/>
      <c r="AD26" s="50"/>
      <c r="AE26" s="50"/>
      <c r="AF26" s="50"/>
      <c r="AI26" s="50"/>
      <c r="AJ26" s="50"/>
      <c r="AK26" s="111"/>
      <c r="AL26" s="50"/>
      <c r="AM26" s="46"/>
      <c r="AN26" s="46"/>
    </row>
    <row r="27" spans="1:40">
      <c r="C27" s="42"/>
      <c r="F27" s="3"/>
      <c r="G27" s="1"/>
      <c r="H27" s="3"/>
      <c r="I27" s="3"/>
      <c r="J27" s="7"/>
      <c r="K27" s="7"/>
      <c r="L27" s="3"/>
      <c r="M27" s="3"/>
      <c r="N27" s="4"/>
      <c r="O27" s="4"/>
      <c r="P27" s="3"/>
      <c r="Q27" s="3"/>
      <c r="R27" s="3"/>
      <c r="S27" s="45"/>
      <c r="V27" s="50"/>
      <c r="Y27" s="50"/>
      <c r="Z27" s="326"/>
      <c r="AA27" s="50"/>
      <c r="AB27" s="50"/>
      <c r="AC27" s="50"/>
      <c r="AD27" s="50"/>
      <c r="AE27" s="50"/>
      <c r="AF27" s="50"/>
      <c r="AI27" s="50"/>
      <c r="AJ27" s="50"/>
      <c r="AK27" s="111"/>
      <c r="AL27" s="50"/>
      <c r="AM27" s="46"/>
      <c r="AN27" s="46"/>
    </row>
    <row r="28" spans="1:40">
      <c r="A28" s="41">
        <v>8</v>
      </c>
      <c r="C28" s="133" t="s">
        <v>371</v>
      </c>
      <c r="F28" s="3"/>
      <c r="G28" s="1"/>
      <c r="H28" s="3"/>
      <c r="I28" s="3"/>
      <c r="J28" s="7"/>
      <c r="K28" s="7"/>
      <c r="L28" s="3"/>
      <c r="M28" s="3"/>
      <c r="N28" s="4"/>
      <c r="O28" s="4"/>
      <c r="P28" s="3"/>
      <c r="Q28" s="3"/>
      <c r="R28" s="3"/>
      <c r="S28" s="45"/>
      <c r="T28" s="42"/>
      <c r="AA28" s="45"/>
      <c r="AB28" s="45"/>
      <c r="AC28" s="45"/>
      <c r="AD28" s="45"/>
      <c r="AI28" s="45"/>
      <c r="AJ28" s="45"/>
      <c r="AL28" s="45"/>
    </row>
    <row r="29" spans="1:40">
      <c r="A29" s="41">
        <v>9</v>
      </c>
      <c r="C29" s="42" t="s">
        <v>383</v>
      </c>
      <c r="F29" s="3"/>
      <c r="G29" s="1"/>
      <c r="H29" s="164">
        <f>'[16]Forecast KWH'!$C$70</f>
        <v>16346458</v>
      </c>
      <c r="I29" s="3"/>
      <c r="J29" s="134">
        <f>PRO_SUM_TT_ON_KWH</f>
        <v>7.3557999999999998E-2</v>
      </c>
      <c r="K29" s="319"/>
      <c r="L29" s="3">
        <f>ROUND((H29*J29),0)</f>
        <v>1202413</v>
      </c>
      <c r="M29" s="3"/>
      <c r="N29" s="4">
        <f>ROUND((L29/$L$56)*100,1)</f>
        <v>7.4</v>
      </c>
      <c r="O29" s="4"/>
      <c r="P29" s="3"/>
      <c r="Q29" s="3"/>
      <c r="R29" s="3">
        <f>L29+P29</f>
        <v>1202413</v>
      </c>
      <c r="S29" s="45"/>
      <c r="T29" s="42"/>
      <c r="AA29" s="45"/>
      <c r="AB29" s="45"/>
      <c r="AC29" s="45"/>
      <c r="AD29" s="45"/>
      <c r="AI29" s="45"/>
      <c r="AJ29" s="45"/>
      <c r="AL29" s="45"/>
    </row>
    <row r="30" spans="1:40">
      <c r="A30" s="41">
        <v>10</v>
      </c>
      <c r="C30" s="42" t="s">
        <v>384</v>
      </c>
      <c r="F30" s="66"/>
      <c r="G30" s="1"/>
      <c r="H30" s="318">
        <f>'[16]Forecast KWH'!$H$70</f>
        <v>45720250</v>
      </c>
      <c r="I30" s="68"/>
      <c r="J30" s="134">
        <f>PRO_TT_OFF</f>
        <v>6.2296999999999998E-2</v>
      </c>
      <c r="K30" s="319"/>
      <c r="L30" s="66">
        <f>ROUND((H30*J30),0)</f>
        <v>2848234</v>
      </c>
      <c r="M30" s="3"/>
      <c r="N30" s="70">
        <f>ROUND((L30/$L$56)*100,1)</f>
        <v>17.600000000000001</v>
      </c>
      <c r="O30" s="4"/>
      <c r="P30" s="66"/>
      <c r="Q30" s="3"/>
      <c r="R30" s="66">
        <f>L30+P30</f>
        <v>2848234</v>
      </c>
    </row>
    <row r="31" spans="1:40">
      <c r="A31" s="41">
        <v>11</v>
      </c>
      <c r="C31" s="133" t="s">
        <v>142</v>
      </c>
      <c r="F31" s="3"/>
      <c r="G31" s="1"/>
      <c r="H31" s="66">
        <f>SUM(H29:H30)</f>
        <v>62066708</v>
      </c>
      <c r="I31" s="3"/>
      <c r="J31" s="7"/>
      <c r="K31" s="7"/>
      <c r="L31" s="66">
        <f>SUM(L29:L30)</f>
        <v>4050647</v>
      </c>
      <c r="M31" s="3"/>
      <c r="N31" s="70">
        <f>ROUND((L31/$L$56)*100,1)+0.1</f>
        <v>25.1</v>
      </c>
      <c r="O31" s="4"/>
      <c r="P31" s="66"/>
      <c r="Q31" s="3"/>
      <c r="R31" s="66">
        <f>SUM(R29:R30)</f>
        <v>4050647</v>
      </c>
    </row>
    <row r="32" spans="1:40" ht="20.100000000000001" customHeight="1">
      <c r="A32" s="41">
        <v>12</v>
      </c>
      <c r="C32" s="133" t="s">
        <v>56</v>
      </c>
      <c r="F32" s="72">
        <f>F21</f>
        <v>52</v>
      </c>
      <c r="G32" s="1"/>
      <c r="H32" s="72">
        <f>H31</f>
        <v>62066708</v>
      </c>
      <c r="I32" s="3"/>
      <c r="J32" s="314"/>
      <c r="K32" s="314"/>
      <c r="L32" s="72">
        <f>L21+L26+L31</f>
        <v>5388922</v>
      </c>
      <c r="M32" s="3"/>
      <c r="N32" s="70">
        <f>ROUND((L32/$L$56)*100,1)-0.1</f>
        <v>33.199999999999996</v>
      </c>
      <c r="O32" s="4"/>
      <c r="P32" s="72"/>
      <c r="Q32" s="3"/>
      <c r="R32" s="72">
        <f>R21+R26+R31</f>
        <v>5388922</v>
      </c>
    </row>
    <row r="33" spans="1:43">
      <c r="F33" s="68"/>
      <c r="G33" s="1"/>
      <c r="H33" s="68"/>
      <c r="I33" s="68"/>
      <c r="J33" s="314"/>
      <c r="K33" s="314"/>
      <c r="L33" s="3"/>
      <c r="M33" s="3"/>
      <c r="N33" s="4"/>
      <c r="O33" s="4"/>
      <c r="P33" s="3"/>
      <c r="Q33" s="3"/>
      <c r="R33" s="3"/>
    </row>
    <row r="34" spans="1:43">
      <c r="A34" s="41">
        <v>13</v>
      </c>
      <c r="C34" s="133" t="s">
        <v>57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43">
      <c r="A35" s="41">
        <v>14</v>
      </c>
      <c r="C35" s="133" t="s">
        <v>62</v>
      </c>
      <c r="F35" s="164">
        <f>'[16]Forecast BILLS'!$C$71</f>
        <v>104</v>
      </c>
      <c r="G35" s="1"/>
      <c r="H35" s="68"/>
      <c r="I35" s="68"/>
      <c r="J35" s="76">
        <f>J21</f>
        <v>500</v>
      </c>
      <c r="K35" s="76"/>
      <c r="L35" s="66">
        <f>ROUND(F35*J35,0)</f>
        <v>52000</v>
      </c>
      <c r="M35" s="3"/>
      <c r="N35" s="70">
        <f>ROUND((L35/L$56)*100,1)</f>
        <v>0.3</v>
      </c>
      <c r="O35" s="4"/>
      <c r="P35" s="8"/>
      <c r="Q35" s="1"/>
      <c r="R35" s="66">
        <f>L35+P35</f>
        <v>52000</v>
      </c>
    </row>
    <row r="36" spans="1:43">
      <c r="C36" s="42"/>
      <c r="F36" s="68"/>
      <c r="G36" s="1"/>
      <c r="H36" s="68"/>
      <c r="I36" s="68"/>
      <c r="J36" s="316"/>
      <c r="K36" s="76"/>
      <c r="L36" s="3"/>
      <c r="M36" s="3"/>
      <c r="N36" s="4"/>
      <c r="O36" s="4"/>
      <c r="P36" s="1"/>
      <c r="Q36" s="1"/>
      <c r="R36" s="3"/>
    </row>
    <row r="37" spans="1:43">
      <c r="A37" s="41">
        <v>15</v>
      </c>
      <c r="C37" s="133" t="s">
        <v>63</v>
      </c>
      <c r="F37" s="68"/>
      <c r="G37" s="1"/>
      <c r="H37" s="68"/>
      <c r="I37" s="68"/>
      <c r="J37" s="336"/>
      <c r="K37" s="340"/>
      <c r="L37" s="3"/>
      <c r="M37" s="3"/>
      <c r="N37" s="4"/>
      <c r="O37" s="4"/>
      <c r="P37" s="3"/>
      <c r="Q37" s="3"/>
      <c r="R37" s="3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40"/>
      <c r="AP37" s="40"/>
      <c r="AQ37" s="100"/>
    </row>
    <row r="38" spans="1:43">
      <c r="A38" s="41">
        <v>16</v>
      </c>
      <c r="C38" s="42" t="s">
        <v>64</v>
      </c>
      <c r="F38" s="68"/>
      <c r="G38" s="1"/>
      <c r="H38" s="164">
        <f>'[16]Forecast KW'!$E$72</f>
        <v>256942</v>
      </c>
      <c r="I38" s="68"/>
      <c r="J38" s="316">
        <f>INPUT!D131</f>
        <v>8.39</v>
      </c>
      <c r="K38" s="76"/>
      <c r="L38" s="3">
        <f>ROUND(H38*J38,0)</f>
        <v>2155743</v>
      </c>
      <c r="M38" s="3"/>
      <c r="N38" s="4">
        <f>ROUND((L38/$L$56)*100,1)</f>
        <v>13.3</v>
      </c>
      <c r="O38" s="4"/>
      <c r="P38" s="3"/>
      <c r="Q38" s="3"/>
      <c r="R38" s="3">
        <f>L38+P38</f>
        <v>2155743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00"/>
      <c r="AH38" s="40"/>
      <c r="AI38" s="40"/>
      <c r="AJ38" s="40"/>
      <c r="AK38" s="100"/>
      <c r="AL38" s="40"/>
      <c r="AM38" s="40"/>
      <c r="AN38" s="40"/>
      <c r="AO38" s="40"/>
      <c r="AP38" s="40"/>
      <c r="AQ38" s="100"/>
    </row>
    <row r="39" spans="1:43">
      <c r="A39" s="41">
        <v>17</v>
      </c>
      <c r="C39" s="42" t="s">
        <v>65</v>
      </c>
      <c r="F39" s="68"/>
      <c r="G39" s="1"/>
      <c r="H39" s="318">
        <f>'[16]Forecast KW'!$D$72</f>
        <v>8487</v>
      </c>
      <c r="I39" s="68"/>
      <c r="J39" s="316">
        <f>INPUT!D132</f>
        <v>1.55</v>
      </c>
      <c r="K39" s="76"/>
      <c r="L39" s="66">
        <f>ROUND(H39*J39,0)</f>
        <v>13155</v>
      </c>
      <c r="M39" s="3"/>
      <c r="N39" s="70">
        <f>ROUND((L39/$L$56)*100,1)</f>
        <v>0.1</v>
      </c>
      <c r="O39" s="4"/>
      <c r="P39" s="66"/>
      <c r="Q39" s="3"/>
      <c r="R39" s="66">
        <f>L39+P39</f>
        <v>13155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40"/>
      <c r="AP39" s="40"/>
      <c r="AQ39" s="100"/>
    </row>
    <row r="40" spans="1:43" ht="20.100000000000001" customHeight="1">
      <c r="A40" s="41">
        <v>18</v>
      </c>
      <c r="C40" s="133" t="s">
        <v>66</v>
      </c>
      <c r="F40" s="3"/>
      <c r="G40" s="1"/>
      <c r="H40" s="66">
        <f>SUM(H38:H39)</f>
        <v>265429</v>
      </c>
      <c r="I40" s="3"/>
      <c r="J40" s="47"/>
      <c r="K40" s="7"/>
      <c r="L40" s="66">
        <f>L38+L39</f>
        <v>2168898</v>
      </c>
      <c r="M40" s="3"/>
      <c r="N40" s="70">
        <f>ROUND((L40/$L$56)*100,1)</f>
        <v>13.4</v>
      </c>
      <c r="O40" s="4"/>
      <c r="P40" s="66"/>
      <c r="Q40" s="3"/>
      <c r="R40" s="66">
        <f>L40+P40</f>
        <v>2168898</v>
      </c>
      <c r="AO40" s="42"/>
      <c r="AP40" s="42"/>
    </row>
    <row r="41" spans="1:43">
      <c r="C41" s="42"/>
      <c r="F41" s="3"/>
      <c r="G41" s="1"/>
      <c r="H41" s="3"/>
      <c r="I41" s="3"/>
      <c r="J41" s="47"/>
      <c r="K41" s="7"/>
      <c r="L41" s="3"/>
      <c r="M41" s="3"/>
      <c r="N41" s="4"/>
      <c r="O41" s="4"/>
      <c r="P41" s="3"/>
      <c r="Q41" s="3"/>
      <c r="R41" s="3"/>
      <c r="AO41" s="42"/>
      <c r="AP41" s="42"/>
    </row>
    <row r="42" spans="1:43">
      <c r="A42" s="41">
        <v>19</v>
      </c>
      <c r="C42" s="133" t="s">
        <v>371</v>
      </c>
      <c r="F42" s="3"/>
      <c r="G42" s="1"/>
      <c r="H42" s="3"/>
      <c r="I42" s="3"/>
      <c r="J42" s="47"/>
      <c r="K42" s="7"/>
      <c r="L42" s="3"/>
      <c r="M42" s="3"/>
      <c r="N42" s="4"/>
      <c r="O42" s="4"/>
      <c r="P42" s="3"/>
      <c r="Q42" s="3"/>
      <c r="R42" s="3"/>
      <c r="T42" s="42"/>
    </row>
    <row r="43" spans="1:43">
      <c r="A43" s="41">
        <v>20</v>
      </c>
      <c r="C43" s="42" t="s">
        <v>383</v>
      </c>
      <c r="F43" s="3"/>
      <c r="G43" s="1"/>
      <c r="H43" s="164">
        <f>'[16]Forecast KWH'!$E$70</f>
        <v>32710232</v>
      </c>
      <c r="I43" s="3"/>
      <c r="J43" s="134">
        <f>PRO_WIN_TT_ON_KWH</f>
        <v>7.0735999999999993E-2</v>
      </c>
      <c r="K43" s="7"/>
      <c r="L43" s="3">
        <f>ROUND((H43*J43),0)</f>
        <v>2313791</v>
      </c>
      <c r="M43" s="3"/>
      <c r="N43" s="4">
        <f>ROUND((L43/$L$56)*100,1)</f>
        <v>14.3</v>
      </c>
      <c r="O43" s="4"/>
      <c r="P43" s="3"/>
      <c r="Q43" s="3"/>
      <c r="R43" s="3">
        <f>L43+P43</f>
        <v>2313791</v>
      </c>
      <c r="T43" s="42"/>
    </row>
    <row r="44" spans="1:43">
      <c r="A44" s="41">
        <v>21</v>
      </c>
      <c r="C44" s="42" t="s">
        <v>384</v>
      </c>
      <c r="F44" s="66"/>
      <c r="G44" s="1"/>
      <c r="H44" s="318">
        <f>'[16]Forecast KWH'!$I$70</f>
        <v>90686117</v>
      </c>
      <c r="I44" s="68"/>
      <c r="J44" s="134">
        <f>PRO_TT_OFF</f>
        <v>6.2296999999999998E-2</v>
      </c>
      <c r="K44" s="319"/>
      <c r="L44" s="66">
        <f>ROUND((H44*J44),0)</f>
        <v>5649473</v>
      </c>
      <c r="M44" s="3"/>
      <c r="N44" s="70">
        <f>ROUND((L44/$L$56)*100,1)</f>
        <v>34.9</v>
      </c>
      <c r="O44" s="4"/>
      <c r="P44" s="66"/>
      <c r="Q44" s="3"/>
      <c r="R44" s="66">
        <f>L44+P44</f>
        <v>5649473</v>
      </c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100"/>
      <c r="AH44" s="40"/>
      <c r="AI44" s="40"/>
      <c r="AJ44" s="40"/>
      <c r="AK44" s="100"/>
      <c r="AL44" s="40"/>
      <c r="AM44" s="40"/>
      <c r="AN44" s="40"/>
      <c r="AO44" s="40"/>
      <c r="AP44" s="40"/>
      <c r="AQ44" s="100"/>
    </row>
    <row r="45" spans="1:43">
      <c r="A45" s="41">
        <v>22</v>
      </c>
      <c r="C45" s="133" t="s">
        <v>142</v>
      </c>
      <c r="F45" s="3"/>
      <c r="G45" s="1"/>
      <c r="H45" s="66">
        <f>SUM(H43:H44)</f>
        <v>123396349</v>
      </c>
      <c r="I45" s="3"/>
      <c r="J45" s="7"/>
      <c r="K45" s="7"/>
      <c r="L45" s="66">
        <f>SUM(L43:L44)</f>
        <v>7963264</v>
      </c>
      <c r="M45" s="3"/>
      <c r="N45" s="70">
        <f>ROUND((L45/$L$56)*100,1)</f>
        <v>49.2</v>
      </c>
      <c r="O45" s="4"/>
      <c r="P45" s="66"/>
      <c r="Q45" s="3"/>
      <c r="R45" s="66">
        <f>SUM(R43:R44)</f>
        <v>7963264</v>
      </c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</row>
    <row r="46" spans="1:43" ht="20.100000000000001" customHeight="1">
      <c r="A46" s="41">
        <v>23</v>
      </c>
      <c r="C46" s="133" t="s">
        <v>58</v>
      </c>
      <c r="F46" s="72">
        <f>F35</f>
        <v>104</v>
      </c>
      <c r="G46" s="1"/>
      <c r="H46" s="72">
        <f>H45</f>
        <v>123396349</v>
      </c>
      <c r="I46" s="3"/>
      <c r="J46" s="314"/>
      <c r="K46" s="314"/>
      <c r="L46" s="72">
        <f>L35+L40+L45</f>
        <v>10184162</v>
      </c>
      <c r="M46" s="3"/>
      <c r="N46" s="70">
        <f>ROUND((L46/$L$56)*100,1)</f>
        <v>62.9</v>
      </c>
      <c r="O46" s="4"/>
      <c r="P46" s="72"/>
      <c r="Q46" s="3"/>
      <c r="R46" s="72">
        <f>R35+R40+R45</f>
        <v>10184162</v>
      </c>
      <c r="AC46" s="44"/>
      <c r="AD46" s="44"/>
      <c r="AE46" s="44"/>
      <c r="AF46" s="44"/>
      <c r="AG46" s="102"/>
      <c r="AH46" s="44"/>
      <c r="AI46" s="44"/>
      <c r="AJ46" s="44"/>
      <c r="AK46" s="102"/>
      <c r="AL46" s="44"/>
      <c r="AO46" s="44"/>
      <c r="AP46" s="44"/>
      <c r="AQ46" s="102"/>
    </row>
    <row r="47" spans="1:43" ht="20.100000000000001" customHeight="1">
      <c r="A47" s="41">
        <v>24</v>
      </c>
      <c r="C47" s="310" t="s">
        <v>452</v>
      </c>
      <c r="F47" s="72">
        <f>F32+F46</f>
        <v>156</v>
      </c>
      <c r="G47" s="1"/>
      <c r="H47" s="72">
        <f>H46+H32</f>
        <v>185463057</v>
      </c>
      <c r="I47" s="3"/>
      <c r="J47" s="314"/>
      <c r="K47" s="314"/>
      <c r="L47" s="72">
        <f>L46+L32</f>
        <v>15573084</v>
      </c>
      <c r="M47" s="3"/>
      <c r="N47" s="74">
        <f>ROUND((L47/L$56)*100,1)</f>
        <v>96.2</v>
      </c>
      <c r="O47" s="4"/>
      <c r="P47" s="72"/>
      <c r="Q47" s="3"/>
      <c r="R47" s="72">
        <f>R46+R32</f>
        <v>15573084</v>
      </c>
      <c r="AC47" s="44"/>
      <c r="AD47" s="44"/>
      <c r="AE47" s="44"/>
      <c r="AF47" s="44"/>
      <c r="AG47" s="102"/>
      <c r="AH47" s="44"/>
      <c r="AI47" s="44"/>
      <c r="AJ47" s="44"/>
      <c r="AK47" s="102"/>
      <c r="AL47" s="44"/>
      <c r="AO47" s="44"/>
      <c r="AP47" s="44"/>
      <c r="AQ47" s="102"/>
    </row>
    <row r="48" spans="1:43" ht="15.75" customHeight="1">
      <c r="C48" s="42"/>
      <c r="F48" s="3"/>
      <c r="G48" s="1"/>
      <c r="H48" s="3"/>
      <c r="I48" s="3"/>
      <c r="J48" s="314"/>
      <c r="K48" s="314"/>
      <c r="L48" s="3"/>
      <c r="M48" s="3"/>
      <c r="N48" s="4"/>
      <c r="O48" s="4"/>
      <c r="P48" s="3"/>
      <c r="Q48" s="3"/>
      <c r="R48" s="3"/>
      <c r="AC48" s="44"/>
      <c r="AD48" s="44"/>
      <c r="AE48" s="44"/>
      <c r="AF48" s="44"/>
      <c r="AG48" s="102"/>
      <c r="AH48" s="44"/>
      <c r="AI48" s="44"/>
      <c r="AJ48" s="44"/>
      <c r="AK48" s="102"/>
      <c r="AL48" s="44"/>
      <c r="AO48" s="44"/>
      <c r="AP48" s="44"/>
      <c r="AQ48" s="102"/>
    </row>
    <row r="49" spans="1:76" ht="15.75" customHeight="1">
      <c r="A49" s="41">
        <v>25</v>
      </c>
      <c r="C49" s="133" t="s">
        <v>430</v>
      </c>
      <c r="F49" s="3"/>
      <c r="G49" s="1"/>
      <c r="H49" s="3"/>
      <c r="I49" s="3"/>
      <c r="J49" s="314"/>
      <c r="K49" s="314"/>
      <c r="L49" s="3"/>
      <c r="M49" s="3"/>
      <c r="N49" s="4"/>
      <c r="O49" s="4"/>
      <c r="P49" s="3"/>
      <c r="Q49" s="3"/>
      <c r="R49" s="3"/>
      <c r="AC49" s="44"/>
      <c r="AD49" s="44"/>
      <c r="AE49" s="44"/>
      <c r="AF49" s="44"/>
      <c r="AG49" s="102"/>
      <c r="AH49" s="44"/>
      <c r="AI49" s="44"/>
      <c r="AJ49" s="44"/>
      <c r="AK49" s="102"/>
      <c r="AL49" s="44"/>
      <c r="AO49" s="44"/>
      <c r="AP49" s="44"/>
      <c r="AQ49" s="102"/>
    </row>
    <row r="50" spans="1:76" ht="15.75" customHeight="1">
      <c r="A50" s="41">
        <v>26</v>
      </c>
      <c r="C50" s="128" t="str">
        <f>DSMR_Name</f>
        <v>DEMAND SIDE MANAGEMENT RIDER (DSMR)</v>
      </c>
      <c r="F50" s="3"/>
      <c r="G50" s="1"/>
      <c r="H50" s="3"/>
      <c r="I50" s="3"/>
      <c r="J50" s="323">
        <f>PRO_DSM_TRANS</f>
        <v>5.1400000000000003E-4</v>
      </c>
      <c r="K50" s="314"/>
      <c r="L50" s="3">
        <f>ROUND($H$47*J50,0)</f>
        <v>95328</v>
      </c>
      <c r="M50" s="3"/>
      <c r="N50" s="103">
        <f>ROUND((L50/L$56)*100,1)</f>
        <v>0.6</v>
      </c>
      <c r="O50" s="4"/>
      <c r="P50" s="3"/>
      <c r="Q50" s="3"/>
      <c r="R50" s="3">
        <f>L50+P50</f>
        <v>95328</v>
      </c>
      <c r="AC50" s="44"/>
      <c r="AD50" s="44"/>
      <c r="AE50" s="44"/>
      <c r="AF50" s="44"/>
      <c r="AG50" s="102"/>
      <c r="AH50" s="44"/>
      <c r="AI50" s="44"/>
      <c r="AJ50" s="44"/>
      <c r="AK50" s="102"/>
      <c r="AL50" s="44"/>
      <c r="AO50" s="44"/>
      <c r="AP50" s="44"/>
      <c r="AQ50" s="102"/>
    </row>
    <row r="51" spans="1:76" ht="15.75" customHeight="1">
      <c r="A51" s="41">
        <v>27</v>
      </c>
      <c r="C51" s="128" t="str">
        <f>ESM_Name</f>
        <v>ENVIRONMENTAL SURCHARGE MECHANISM RIDER (ESM)</v>
      </c>
      <c r="F51" s="3"/>
      <c r="G51" s="1"/>
      <c r="H51" s="3"/>
      <c r="I51" s="3"/>
      <c r="J51" s="134">
        <f>PRO_ESM_NONRES</f>
        <v>5.4606095773317587E-3</v>
      </c>
      <c r="K51" s="314"/>
      <c r="L51" s="3">
        <f>ROUND((R47-(PRO_BASE_FUEL*H47)+R50+R53)*J51,0)</f>
        <v>53855</v>
      </c>
      <c r="M51" s="3"/>
      <c r="N51" s="103">
        <f>ROUND((L51/L$56)*100,1)</f>
        <v>0.3</v>
      </c>
      <c r="O51" s="4"/>
      <c r="P51" s="3"/>
      <c r="Q51" s="3"/>
      <c r="R51" s="3">
        <f>L51+P51</f>
        <v>53855</v>
      </c>
      <c r="AC51" s="44"/>
      <c r="AD51" s="44"/>
      <c r="AE51" s="44"/>
      <c r="AF51" s="44"/>
      <c r="AG51" s="102"/>
      <c r="AH51" s="44"/>
      <c r="AI51" s="44"/>
      <c r="AJ51" s="44"/>
      <c r="AK51" s="102"/>
      <c r="AL51" s="44"/>
      <c r="AO51" s="44"/>
      <c r="AP51" s="44"/>
      <c r="AQ51" s="102"/>
    </row>
    <row r="52" spans="1:76" ht="15.75" customHeight="1">
      <c r="A52" s="41">
        <v>28</v>
      </c>
      <c r="C52" s="128" t="str">
        <f>FAC_Name</f>
        <v>FUEL ADJUSTMENT CLAUSE (FAC)</v>
      </c>
      <c r="F52" s="3"/>
      <c r="G52" s="1"/>
      <c r="H52" s="3"/>
      <c r="I52" s="3"/>
      <c r="J52" s="323">
        <f>PRO_FAC</f>
        <v>3.4872127999999998E-3</v>
      </c>
      <c r="K52" s="314"/>
      <c r="L52" s="3"/>
      <c r="M52" s="3"/>
      <c r="N52" s="103"/>
      <c r="O52" s="4"/>
      <c r="P52" s="3">
        <f>ROUND(H47*PRO_FAC,0)</f>
        <v>646749</v>
      </c>
      <c r="Q52" s="3"/>
      <c r="R52" s="3">
        <f>L52+P52</f>
        <v>646749</v>
      </c>
      <c r="AC52" s="44"/>
      <c r="AD52" s="44"/>
      <c r="AE52" s="44"/>
      <c r="AF52" s="44"/>
      <c r="AG52" s="102"/>
      <c r="AH52" s="44"/>
      <c r="AI52" s="44"/>
      <c r="AJ52" s="44"/>
      <c r="AK52" s="102"/>
      <c r="AL52" s="44"/>
      <c r="AO52" s="44"/>
      <c r="AP52" s="44"/>
      <c r="AQ52" s="102"/>
    </row>
    <row r="53" spans="1:76" ht="15.75" customHeight="1">
      <c r="A53" s="41">
        <v>29</v>
      </c>
      <c r="C53" s="128" t="str">
        <f>PSM_Name</f>
        <v>PROFIT SHARING MECHANISM (PSM)</v>
      </c>
      <c r="F53" s="3"/>
      <c r="G53" s="1"/>
      <c r="H53" s="3"/>
      <c r="I53" s="3"/>
      <c r="J53" s="323">
        <f>PRO_PSM</f>
        <v>2.4750000000000002E-3</v>
      </c>
      <c r="K53" s="314"/>
      <c r="L53" s="66">
        <f>ROUND(H47*PRO_PSM,0)</f>
        <v>459021</v>
      </c>
      <c r="M53" s="3"/>
      <c r="N53" s="104">
        <f>ROUND((L53/L$56)*100,1)</f>
        <v>2.8</v>
      </c>
      <c r="O53" s="4"/>
      <c r="P53" s="66"/>
      <c r="Q53" s="3"/>
      <c r="R53" s="66">
        <f>L53+P53</f>
        <v>459021</v>
      </c>
      <c r="AC53" s="44"/>
      <c r="AD53" s="44"/>
      <c r="AE53" s="44"/>
      <c r="AF53" s="44"/>
      <c r="AG53" s="102"/>
      <c r="AH53" s="44"/>
      <c r="AI53" s="44"/>
      <c r="AJ53" s="44"/>
      <c r="AK53" s="102"/>
      <c r="AL53" s="44"/>
      <c r="AO53" s="44"/>
      <c r="AP53" s="44"/>
      <c r="AQ53" s="102"/>
    </row>
    <row r="54" spans="1:76" ht="20.100000000000001" customHeight="1">
      <c r="A54" s="41">
        <v>30</v>
      </c>
      <c r="C54" s="133" t="s">
        <v>435</v>
      </c>
      <c r="F54" s="66"/>
      <c r="G54" s="1"/>
      <c r="H54" s="66"/>
      <c r="I54" s="3"/>
      <c r="J54" s="314"/>
      <c r="K54" s="314"/>
      <c r="L54" s="72">
        <f>SUM(L50:L53)</f>
        <v>608204</v>
      </c>
      <c r="M54" s="3"/>
      <c r="N54" s="105">
        <f>ROUND((L54/L$56)*100,1)</f>
        <v>3.8</v>
      </c>
      <c r="O54" s="4"/>
      <c r="P54" s="72">
        <f>SUM(P50:P53)</f>
        <v>646749</v>
      </c>
      <c r="Q54" s="3"/>
      <c r="R54" s="72">
        <f>SUM(R50:R53)</f>
        <v>1254953</v>
      </c>
      <c r="AC54" s="44"/>
      <c r="AD54" s="44"/>
      <c r="AE54" s="44"/>
      <c r="AF54" s="44"/>
      <c r="AG54" s="102"/>
      <c r="AH54" s="44"/>
      <c r="AI54" s="44"/>
      <c r="AJ54" s="44"/>
      <c r="AK54" s="102"/>
      <c r="AL54" s="44"/>
      <c r="AO54" s="44"/>
      <c r="AP54" s="44"/>
      <c r="AQ54" s="102"/>
    </row>
    <row r="55" spans="1:76">
      <c r="C55" s="4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T55" s="44"/>
      <c r="V55" s="44"/>
      <c r="W55" s="44"/>
      <c r="X55" s="44"/>
      <c r="Y55" s="44"/>
      <c r="AA55" s="44"/>
      <c r="AB55" s="44"/>
      <c r="AC55" s="44"/>
      <c r="AD55" s="44"/>
      <c r="AE55" s="44"/>
      <c r="AF55" s="44"/>
      <c r="AG55" s="102"/>
      <c r="AH55" s="44"/>
      <c r="AI55" s="44"/>
      <c r="AJ55" s="44"/>
      <c r="AK55" s="102"/>
      <c r="AL55" s="44"/>
      <c r="AM55" s="44"/>
      <c r="AN55" s="44"/>
      <c r="AO55" s="44"/>
      <c r="AP55" s="44"/>
      <c r="AQ55" s="102"/>
      <c r="AS55" s="45"/>
      <c r="AT55" s="45"/>
      <c r="AU55" s="46"/>
      <c r="BX55" s="329"/>
    </row>
    <row r="56" spans="1:76" ht="20.100000000000001" customHeight="1" thickBot="1">
      <c r="A56" s="41">
        <v>31</v>
      </c>
      <c r="C56" s="310" t="s">
        <v>453</v>
      </c>
      <c r="F56" s="67">
        <f>F32+F46</f>
        <v>156</v>
      </c>
      <c r="G56" s="1"/>
      <c r="H56" s="67">
        <f>H32+H46</f>
        <v>185463057</v>
      </c>
      <c r="I56" s="3"/>
      <c r="J56" s="1"/>
      <c r="K56" s="1"/>
      <c r="L56" s="67">
        <f>L54+L47</f>
        <v>16181288</v>
      </c>
      <c r="M56" s="3"/>
      <c r="N56" s="73">
        <v>100</v>
      </c>
      <c r="O56" s="4"/>
      <c r="P56" s="67">
        <f>P54+P47</f>
        <v>646749</v>
      </c>
      <c r="Q56" s="68"/>
      <c r="R56" s="67">
        <f>R54+R47</f>
        <v>16828037</v>
      </c>
      <c r="V56" s="44"/>
      <c r="W56" s="44"/>
      <c r="X56" s="44"/>
      <c r="Y56" s="44"/>
      <c r="AA56" s="44"/>
      <c r="AB56" s="44"/>
      <c r="AC56" s="44"/>
      <c r="AD56" s="44"/>
      <c r="AE56" s="44"/>
      <c r="AF56" s="44"/>
      <c r="AG56" s="102"/>
      <c r="AH56" s="44"/>
      <c r="AI56" s="44"/>
      <c r="AJ56" s="44"/>
      <c r="AK56" s="102"/>
      <c r="AL56" s="44"/>
      <c r="AM56" s="44"/>
      <c r="AN56" s="44"/>
      <c r="AO56" s="44"/>
      <c r="AP56" s="44"/>
      <c r="AQ56" s="102"/>
      <c r="AS56" s="45"/>
      <c r="AT56" s="45"/>
      <c r="AU56" s="46"/>
    </row>
    <row r="57" spans="1:76" ht="16.5" thickTop="1"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AA57" s="44"/>
      <c r="AB57" s="44"/>
      <c r="AC57" s="44"/>
      <c r="AD57" s="44"/>
      <c r="AE57" s="44"/>
      <c r="AF57" s="44"/>
      <c r="AG57" s="102"/>
      <c r="AH57" s="44"/>
      <c r="AI57" s="44"/>
      <c r="AJ57" s="44"/>
      <c r="AK57" s="102"/>
      <c r="AL57" s="44"/>
      <c r="AM57" s="44"/>
      <c r="AN57" s="44"/>
      <c r="AO57" s="44"/>
      <c r="AP57" s="44"/>
      <c r="AQ57" s="102"/>
      <c r="AS57" s="45"/>
      <c r="AT57" s="45"/>
      <c r="AU57" s="335"/>
    </row>
    <row r="58" spans="1:76">
      <c r="C58" s="133" t="s">
        <v>59</v>
      </c>
      <c r="F58" s="1"/>
      <c r="G58" s="1"/>
      <c r="H58" s="1"/>
      <c r="I58" s="1"/>
      <c r="J58" s="1"/>
      <c r="K58" s="1"/>
      <c r="L58" s="3"/>
      <c r="M58" s="3"/>
      <c r="N58" s="3"/>
      <c r="O58" s="3"/>
      <c r="P58" s="3"/>
      <c r="Q58" s="3"/>
      <c r="R58" s="3"/>
      <c r="V58" s="42"/>
      <c r="W58" s="42"/>
      <c r="X58" s="42"/>
      <c r="AS58" s="45"/>
      <c r="AT58" s="45"/>
      <c r="AU58" s="46"/>
    </row>
    <row r="59" spans="1:76">
      <c r="C59" s="133" t="str">
        <f>"(2) REFLECTS FUEL COMPONENT OF "&amp;TEXT(PRO_FAC,"$0.000000;($0.000000)")&amp;"  PER KWH."</f>
        <v>(2) REFLECTS FUEL COMPONENT OF $0.003487  PER KWH.</v>
      </c>
      <c r="F59" s="1"/>
      <c r="G59" s="1"/>
      <c r="H59" s="1"/>
      <c r="I59" s="1"/>
      <c r="J59" s="1"/>
      <c r="K59" s="1"/>
      <c r="L59" s="3"/>
      <c r="M59" s="3"/>
      <c r="N59" s="3"/>
      <c r="O59" s="3"/>
      <c r="P59" s="3"/>
      <c r="Q59" s="3"/>
      <c r="R59" s="3"/>
      <c r="V59" s="42"/>
      <c r="W59" s="42"/>
      <c r="X59" s="42"/>
      <c r="AS59" s="45"/>
      <c r="AT59" s="45"/>
      <c r="AU59" s="46"/>
    </row>
    <row r="60" spans="1:76">
      <c r="A60" s="42"/>
      <c r="C60" s="133" t="str">
        <f>"(3) REFLECTS FUEL COST RECOVERY INCLUDED IN BASE RATES OF "&amp;TEXT(PRO_BASE_FUEL,"$0.000000;($0.000000)")&amp;"  PER KWH."</f>
        <v>(3) REFLECTS FUEL COST RECOVERY INCLUDED IN BASE RATES OF $0.033780  PER KWH.</v>
      </c>
      <c r="W60" s="42"/>
      <c r="X60" s="42"/>
      <c r="AS60" s="45"/>
      <c r="AT60" s="45"/>
      <c r="AU60" s="46"/>
    </row>
    <row r="61" spans="1:76">
      <c r="C61" s="42"/>
      <c r="F61" s="45"/>
      <c r="H61" s="45"/>
      <c r="I61" s="45"/>
      <c r="J61" s="47"/>
      <c r="K61" s="47"/>
      <c r="L61" s="45"/>
      <c r="M61" s="45"/>
      <c r="N61" s="46"/>
      <c r="O61" s="46"/>
      <c r="P61" s="45"/>
      <c r="Q61" s="45"/>
      <c r="R61" s="45"/>
      <c r="AS61" s="45"/>
      <c r="AT61" s="45"/>
      <c r="AU61" s="46"/>
    </row>
    <row r="62" spans="1:76">
      <c r="F62" s="50"/>
      <c r="H62" s="50"/>
      <c r="I62" s="50"/>
      <c r="J62" s="326"/>
      <c r="K62" s="326"/>
      <c r="L62" s="50"/>
      <c r="M62" s="50"/>
      <c r="N62" s="50"/>
      <c r="O62" s="50"/>
      <c r="P62" s="50"/>
      <c r="Q62" s="50"/>
      <c r="R62" s="50"/>
      <c r="V62" s="42"/>
      <c r="Y62" s="45"/>
      <c r="AC62" s="53"/>
      <c r="AD62" s="53"/>
      <c r="AE62" s="45"/>
      <c r="AF62" s="45"/>
      <c r="AO62" s="45"/>
      <c r="AP62" s="45"/>
      <c r="AS62" s="45"/>
      <c r="AT62" s="45"/>
      <c r="AU62" s="46"/>
    </row>
    <row r="63" spans="1:76">
      <c r="C63" s="42"/>
      <c r="F63" s="45"/>
      <c r="H63" s="45"/>
      <c r="I63" s="45"/>
      <c r="J63" s="47"/>
      <c r="K63" s="47"/>
      <c r="L63" s="45"/>
      <c r="M63" s="45"/>
      <c r="N63" s="46"/>
      <c r="O63" s="46"/>
      <c r="P63" s="45"/>
      <c r="Q63" s="45"/>
      <c r="R63" s="45"/>
      <c r="Y63" s="45"/>
      <c r="AO63" s="45"/>
      <c r="AP63" s="45"/>
      <c r="AS63" s="45"/>
      <c r="AT63" s="45"/>
      <c r="AU63" s="46"/>
    </row>
    <row r="64" spans="1:76">
      <c r="A64" s="42"/>
      <c r="F64" s="45"/>
      <c r="H64" s="45"/>
      <c r="I64" s="45"/>
      <c r="K64" s="47"/>
      <c r="L64" s="45"/>
      <c r="M64" s="45"/>
      <c r="N64" s="45"/>
      <c r="O64" s="45"/>
      <c r="P64" s="45"/>
      <c r="Q64" s="45"/>
      <c r="R64" s="45"/>
      <c r="V64" s="42"/>
      <c r="Y64" s="45"/>
      <c r="AA64" s="45"/>
      <c r="AB64" s="45"/>
      <c r="AC64" s="316"/>
      <c r="AD64" s="316"/>
      <c r="AE64" s="45"/>
      <c r="AF64" s="45"/>
      <c r="AH64" s="46"/>
      <c r="AI64" s="45"/>
      <c r="AJ64" s="45"/>
      <c r="AL64" s="51"/>
      <c r="AM64" s="45"/>
      <c r="AN64" s="45"/>
      <c r="AO64" s="45"/>
      <c r="AP64" s="45"/>
      <c r="AR64" s="45"/>
      <c r="AS64" s="45"/>
      <c r="AT64" s="45"/>
      <c r="AU64" s="46"/>
    </row>
    <row r="65" spans="1:47">
      <c r="L65" s="45"/>
      <c r="M65" s="45"/>
      <c r="N65" s="45"/>
      <c r="O65" s="45"/>
      <c r="P65" s="45"/>
      <c r="Q65" s="45"/>
      <c r="R65" s="45"/>
      <c r="T65" s="40" t="str">
        <f>NAME</f>
        <v>DUKE ENERGY KENTUCKY, INC.</v>
      </c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100"/>
      <c r="AH65" s="40"/>
      <c r="AI65" s="40"/>
      <c r="AJ65" s="40"/>
      <c r="AK65" s="100"/>
      <c r="AL65" s="40"/>
      <c r="AM65" s="40"/>
      <c r="AN65" s="40"/>
      <c r="AO65" s="40"/>
      <c r="AP65" s="40"/>
      <c r="AQ65" s="100"/>
      <c r="AR65" s="45"/>
      <c r="AS65" s="45"/>
      <c r="AT65" s="45"/>
      <c r="AU65" s="46"/>
    </row>
    <row r="66" spans="1:47">
      <c r="L66" s="45"/>
      <c r="M66" s="45"/>
      <c r="N66" s="45"/>
      <c r="O66" s="45"/>
      <c r="P66" s="45"/>
      <c r="Q66" s="45"/>
      <c r="R66" s="45"/>
      <c r="T66" s="40" t="str">
        <f>CASE_NO</f>
        <v>CASE NO.   2024-00354</v>
      </c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100"/>
      <c r="AH66" s="40"/>
      <c r="AI66" s="40"/>
      <c r="AJ66" s="40"/>
      <c r="AK66" s="100"/>
      <c r="AL66" s="40"/>
      <c r="AM66" s="40"/>
      <c r="AN66" s="40"/>
      <c r="AO66" s="40"/>
      <c r="AP66" s="40"/>
      <c r="AQ66" s="100"/>
      <c r="AR66" s="45"/>
      <c r="AS66" s="45"/>
      <c r="AT66" s="45"/>
      <c r="AU66" s="46"/>
    </row>
    <row r="67" spans="1:47">
      <c r="H67" s="42"/>
      <c r="I67" s="42"/>
      <c r="T67" s="40" t="str">
        <f>TITLE</f>
        <v>ANNUALIZED TEST YEAR REVENUES AT PROPOSED VS. MOST CURRENT RATES</v>
      </c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100"/>
      <c r="AH67" s="40"/>
      <c r="AI67" s="40"/>
      <c r="AJ67" s="40"/>
      <c r="AK67" s="100"/>
      <c r="AL67" s="40"/>
      <c r="AM67" s="40"/>
      <c r="AN67" s="40"/>
      <c r="AO67" s="40"/>
      <c r="AP67" s="40"/>
      <c r="AQ67" s="100"/>
      <c r="AR67" s="45"/>
    </row>
    <row r="68" spans="1:47">
      <c r="L68" s="42"/>
      <c r="M68" s="42"/>
      <c r="T68" s="40" t="str">
        <f>DATE</f>
        <v>FOR THE TWELVE MONTHS ENDED June 30, 2026</v>
      </c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100"/>
      <c r="AH68" s="40"/>
      <c r="AI68" s="40"/>
      <c r="AJ68" s="40"/>
      <c r="AK68" s="100"/>
      <c r="AL68" s="40"/>
      <c r="AM68" s="40"/>
      <c r="AN68" s="40"/>
      <c r="AO68" s="40"/>
      <c r="AP68" s="40"/>
      <c r="AQ68" s="100"/>
      <c r="AR68" s="164"/>
    </row>
    <row r="69" spans="1:47">
      <c r="R69" s="42"/>
      <c r="T69" s="40" t="str">
        <f>SERVICE</f>
        <v>(ELECTRIC SERVICE)</v>
      </c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100"/>
      <c r="AH69" s="40"/>
      <c r="AI69" s="40"/>
      <c r="AJ69" s="40"/>
      <c r="AK69" s="100"/>
      <c r="AL69" s="40"/>
      <c r="AM69" s="40"/>
      <c r="AN69" s="40"/>
      <c r="AO69" s="40"/>
      <c r="AP69" s="40"/>
      <c r="AQ69" s="100"/>
      <c r="AR69" s="164"/>
    </row>
    <row r="70" spans="1:47">
      <c r="R70" s="42"/>
      <c r="T70" s="41" t="str">
        <f>DATA_PERIOD</f>
        <v>DATA: ____ BASE PERIOD   __X__FORECASTED PERIOD</v>
      </c>
      <c r="AO70" s="42" t="s">
        <v>157</v>
      </c>
      <c r="AP70" s="42"/>
      <c r="AR70" s="45"/>
    </row>
    <row r="71" spans="1:47">
      <c r="A71" s="42"/>
      <c r="R71" s="42"/>
      <c r="T71" s="41" t="str">
        <f>TYPE</f>
        <v>TYPE OF FILING: _X_ ORIGINAL   ___UPDATED  ___ REVISED</v>
      </c>
      <c r="AO71" s="48" t="str">
        <f>"PAGE 9 OF "&amp;TEXT(Page_Num_2.2,"00")</f>
        <v>PAGE 9 OF 24</v>
      </c>
      <c r="AP71" s="42"/>
      <c r="AR71" s="45"/>
    </row>
    <row r="72" spans="1:47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T72" s="42" t="s">
        <v>170</v>
      </c>
      <c r="AO72" s="42" t="s">
        <v>3</v>
      </c>
      <c r="AP72" s="42"/>
    </row>
    <row r="73" spans="1:47">
      <c r="L73" s="44"/>
      <c r="M73" s="44"/>
      <c r="N73" s="44"/>
      <c r="O73" s="44"/>
      <c r="R73" s="44"/>
      <c r="T73" s="130" t="str">
        <f>TIME</f>
        <v>12 Months Projected with Riders</v>
      </c>
      <c r="AF73" s="42"/>
      <c r="AO73" s="41" t="str">
        <f>WIT</f>
        <v>B. L. Sailers</v>
      </c>
    </row>
    <row r="74" spans="1:47">
      <c r="L74" s="44"/>
      <c r="M74" s="44"/>
      <c r="N74" s="44"/>
      <c r="O74" s="44"/>
      <c r="R74" s="44"/>
      <c r="T74" s="130" t="str">
        <f>INPUT!B5</f>
        <v xml:space="preserve"> </v>
      </c>
      <c r="AF74" s="42"/>
    </row>
    <row r="75" spans="1:47">
      <c r="L75" s="44"/>
      <c r="M75" s="44"/>
      <c r="N75" s="44"/>
      <c r="O75" s="44"/>
      <c r="R75" s="44"/>
      <c r="T75" s="40" t="s">
        <v>130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47">
      <c r="C76" s="44"/>
      <c r="D76" s="44"/>
      <c r="E76" s="44"/>
      <c r="F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3"/>
      <c r="AF76" s="43"/>
      <c r="AG76" s="101"/>
      <c r="AH76" s="43"/>
      <c r="AI76" s="43"/>
      <c r="AJ76" s="43"/>
      <c r="AK76" s="101"/>
      <c r="AL76" s="43"/>
      <c r="AM76" s="43"/>
      <c r="AN76" s="43"/>
      <c r="AO76" s="49"/>
      <c r="AP76" s="49"/>
      <c r="AQ76" s="107"/>
    </row>
    <row r="77" spans="1:47" ht="18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44" t="s">
        <v>8</v>
      </c>
      <c r="AF77" s="44"/>
      <c r="AG77" s="102" t="s">
        <v>7</v>
      </c>
      <c r="AH77" s="44"/>
      <c r="AI77" s="44" t="s">
        <v>9</v>
      </c>
      <c r="AJ77" s="44"/>
      <c r="AK77" s="102" t="s">
        <v>10</v>
      </c>
      <c r="AL77" s="44"/>
      <c r="AO77" s="63" t="s">
        <v>8</v>
      </c>
      <c r="AP77" s="63"/>
      <c r="AQ77" s="109" t="s">
        <v>11</v>
      </c>
    </row>
    <row r="78" spans="1:47"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AC78" s="44" t="s">
        <v>14</v>
      </c>
      <c r="AD78" s="44"/>
      <c r="AE78" s="44" t="s">
        <v>12</v>
      </c>
      <c r="AF78" s="44"/>
      <c r="AG78" s="102" t="s">
        <v>13</v>
      </c>
      <c r="AH78" s="44"/>
      <c r="AI78" s="44" t="s">
        <v>15</v>
      </c>
      <c r="AJ78" s="44"/>
      <c r="AK78" s="102" t="s">
        <v>16</v>
      </c>
      <c r="AL78" s="44"/>
      <c r="AO78" s="44" t="s">
        <v>11</v>
      </c>
      <c r="AP78" s="44"/>
      <c r="AQ78" s="102" t="s">
        <v>9</v>
      </c>
    </row>
    <row r="79" spans="1:47">
      <c r="C79" s="42"/>
      <c r="D79" s="42"/>
      <c r="E79" s="42"/>
      <c r="T79" s="44" t="s">
        <v>17</v>
      </c>
      <c r="V79" s="44" t="s">
        <v>18</v>
      </c>
      <c r="W79" s="44" t="s">
        <v>19</v>
      </c>
      <c r="X79" s="44"/>
      <c r="Y79" s="44" t="s">
        <v>20</v>
      </c>
      <c r="AC79" s="44" t="s">
        <v>8</v>
      </c>
      <c r="AD79" s="44"/>
      <c r="AE79" s="44" t="s">
        <v>841</v>
      </c>
      <c r="AF79" s="44"/>
      <c r="AG79" s="102" t="s">
        <v>841</v>
      </c>
      <c r="AH79" s="44"/>
      <c r="AI79" s="60" t="s">
        <v>964</v>
      </c>
      <c r="AJ79" s="44"/>
      <c r="AK79" s="277" t="s">
        <v>964</v>
      </c>
      <c r="AL79" s="44"/>
      <c r="AM79" s="44" t="s">
        <v>841</v>
      </c>
      <c r="AN79" s="44"/>
      <c r="AO79" s="44" t="s">
        <v>9</v>
      </c>
      <c r="AP79" s="44"/>
      <c r="AQ79" s="102" t="s">
        <v>21</v>
      </c>
    </row>
    <row r="80" spans="1:47">
      <c r="C80" s="42"/>
      <c r="T80" s="44" t="s">
        <v>22</v>
      </c>
      <c r="V80" s="44" t="s">
        <v>23</v>
      </c>
      <c r="W80" s="44" t="s">
        <v>24</v>
      </c>
      <c r="X80" s="44"/>
      <c r="Y80" s="44" t="s">
        <v>25</v>
      </c>
      <c r="AA80" s="44" t="s">
        <v>26</v>
      </c>
      <c r="AB80" s="44"/>
      <c r="AC80" s="44" t="s">
        <v>27</v>
      </c>
      <c r="AD80" s="44"/>
      <c r="AE80" s="44" t="s">
        <v>9</v>
      </c>
      <c r="AF80" s="44"/>
      <c r="AG80" s="102" t="s">
        <v>9</v>
      </c>
      <c r="AH80" s="44"/>
      <c r="AI80" s="304" t="s">
        <v>29</v>
      </c>
      <c r="AJ80" s="304"/>
      <c r="AK80" s="311" t="s">
        <v>30</v>
      </c>
      <c r="AL80" s="44"/>
      <c r="AM80" s="44" t="s">
        <v>323</v>
      </c>
      <c r="AN80" s="44"/>
      <c r="AO80" s="304" t="s">
        <v>31</v>
      </c>
      <c r="AP80" s="304"/>
      <c r="AQ80" s="311" t="s">
        <v>32</v>
      </c>
    </row>
    <row r="81" spans="3:43">
      <c r="V81" s="304" t="s">
        <v>33</v>
      </c>
      <c r="W81" s="304" t="s">
        <v>34</v>
      </c>
      <c r="X81" s="304"/>
      <c r="Y81" s="304" t="s">
        <v>35</v>
      </c>
      <c r="Z81" s="130"/>
      <c r="AA81" s="304" t="s">
        <v>36</v>
      </c>
      <c r="AB81" s="304"/>
      <c r="AC81" s="304" t="s">
        <v>42</v>
      </c>
      <c r="AD81" s="304"/>
      <c r="AE81" s="304" t="s">
        <v>43</v>
      </c>
      <c r="AF81" s="304"/>
      <c r="AG81" s="311" t="s">
        <v>44</v>
      </c>
      <c r="AH81" s="304"/>
      <c r="AI81" s="304" t="s">
        <v>45</v>
      </c>
      <c r="AJ81" s="304"/>
      <c r="AK81" s="311" t="s">
        <v>46</v>
      </c>
      <c r="AL81" s="304"/>
      <c r="AM81" s="304" t="s">
        <v>40</v>
      </c>
      <c r="AN81" s="304"/>
      <c r="AO81" s="304" t="s">
        <v>47</v>
      </c>
      <c r="AP81" s="304"/>
      <c r="AQ81" s="311" t="s">
        <v>48</v>
      </c>
    </row>
    <row r="82" spans="3:43" ht="17.100000000000001" customHeight="1">
      <c r="C82" s="42"/>
      <c r="F82" s="164"/>
      <c r="H82" s="164"/>
      <c r="I82" s="164"/>
      <c r="J82" s="316"/>
      <c r="K82" s="316"/>
      <c r="L82" s="45"/>
      <c r="M82" s="45"/>
      <c r="N82" s="46"/>
      <c r="O82" s="46"/>
      <c r="R82" s="45"/>
      <c r="T82" s="62"/>
      <c r="U82" s="62"/>
      <c r="V82" s="62"/>
      <c r="W82" s="62"/>
      <c r="X82" s="62"/>
      <c r="Y82" s="62"/>
      <c r="Z82" s="62"/>
      <c r="AA82" s="344" t="s">
        <v>196</v>
      </c>
      <c r="AB82" s="345"/>
      <c r="AC82" s="344" t="s">
        <v>331</v>
      </c>
      <c r="AD82" s="345"/>
      <c r="AE82" s="345" t="s">
        <v>50</v>
      </c>
      <c r="AF82" s="345"/>
      <c r="AG82" s="346" t="s">
        <v>51</v>
      </c>
      <c r="AH82" s="345"/>
      <c r="AI82" s="345" t="s">
        <v>50</v>
      </c>
      <c r="AJ82" s="345"/>
      <c r="AK82" s="346" t="s">
        <v>51</v>
      </c>
      <c r="AL82" s="345"/>
      <c r="AM82" s="345" t="s">
        <v>50</v>
      </c>
      <c r="AN82" s="345"/>
      <c r="AO82" s="345" t="s">
        <v>50</v>
      </c>
      <c r="AP82" s="345"/>
      <c r="AQ82" s="346" t="s">
        <v>51</v>
      </c>
    </row>
    <row r="83" spans="3:43">
      <c r="C83" s="42"/>
      <c r="F83" s="164"/>
      <c r="H83" s="164"/>
      <c r="I83" s="164"/>
      <c r="J83" s="316"/>
      <c r="K83" s="316"/>
      <c r="L83" s="45"/>
      <c r="M83" s="45"/>
      <c r="N83" s="46"/>
      <c r="O83" s="46"/>
      <c r="R83" s="45"/>
      <c r="T83" s="41">
        <f>A19</f>
        <v>1</v>
      </c>
      <c r="V83" s="133" t="s">
        <v>60</v>
      </c>
      <c r="W83" s="133" t="s">
        <v>61</v>
      </c>
      <c r="X83" s="42"/>
      <c r="Y83" s="1"/>
      <c r="Z83" s="1"/>
      <c r="AA83" s="324"/>
      <c r="AB83" s="324"/>
      <c r="AC83" s="309" t="s">
        <v>328</v>
      </c>
      <c r="AD83" s="324"/>
      <c r="AE83" s="324"/>
      <c r="AF83" s="324"/>
      <c r="AG83" s="328"/>
      <c r="AH83" s="324"/>
      <c r="AI83" s="324"/>
      <c r="AJ83" s="324"/>
      <c r="AK83" s="328"/>
      <c r="AL83" s="324"/>
      <c r="AM83" s="324"/>
      <c r="AN83" s="324"/>
      <c r="AO83" s="324"/>
      <c r="AP83" s="324"/>
      <c r="AQ83" s="328"/>
    </row>
    <row r="84" spans="3:43">
      <c r="C84" s="42"/>
      <c r="F84" s="164"/>
      <c r="H84" s="164"/>
      <c r="I84" s="164"/>
      <c r="J84" s="316"/>
      <c r="K84" s="316"/>
      <c r="L84" s="45"/>
      <c r="M84" s="45"/>
      <c r="N84" s="46"/>
      <c r="O84" s="46"/>
      <c r="R84" s="45"/>
      <c r="T84" s="41">
        <f>A20</f>
        <v>2</v>
      </c>
      <c r="V84" s="133" t="s">
        <v>54</v>
      </c>
      <c r="W84" s="130"/>
      <c r="Y84" s="1"/>
      <c r="Z84" s="1"/>
      <c r="AA84" s="1"/>
      <c r="AB84" s="1"/>
      <c r="AC84" s="1"/>
      <c r="AD84" s="1"/>
      <c r="AE84" s="1"/>
      <c r="AF84" s="1"/>
      <c r="AG84" s="103"/>
      <c r="AH84" s="1"/>
      <c r="AI84" s="1"/>
      <c r="AJ84" s="1"/>
      <c r="AK84" s="103"/>
      <c r="AL84" s="1"/>
      <c r="AM84" s="1"/>
      <c r="AN84" s="1"/>
      <c r="AO84" s="1"/>
      <c r="AP84" s="1"/>
      <c r="AQ84" s="103"/>
    </row>
    <row r="85" spans="3:43">
      <c r="C85" s="42"/>
      <c r="F85" s="45"/>
      <c r="H85" s="45"/>
      <c r="I85" s="45"/>
      <c r="J85" s="326"/>
      <c r="K85" s="326"/>
      <c r="L85" s="45"/>
      <c r="M85" s="45"/>
      <c r="N85" s="46"/>
      <c r="O85" s="46"/>
      <c r="P85" s="45"/>
      <c r="Q85" s="45"/>
      <c r="R85" s="45"/>
      <c r="T85" s="41">
        <f>A21</f>
        <v>3</v>
      </c>
      <c r="V85" s="133" t="s">
        <v>62</v>
      </c>
      <c r="Y85" s="3">
        <f>F21</f>
        <v>52</v>
      </c>
      <c r="Z85" s="1"/>
      <c r="AA85" s="68"/>
      <c r="AB85" s="68"/>
      <c r="AC85" s="316">
        <f>INPUT!C123</f>
        <v>500</v>
      </c>
      <c r="AD85" s="76"/>
      <c r="AE85" s="66">
        <f>ROUND(Y85*AC85,0)</f>
        <v>26000</v>
      </c>
      <c r="AF85" s="3"/>
      <c r="AG85" s="104">
        <f>ROUND((AE85/AE$120)*100,1)</f>
        <v>0.2</v>
      </c>
      <c r="AH85" s="4"/>
      <c r="AI85" s="66">
        <f>L21-AE85</f>
        <v>0</v>
      </c>
      <c r="AJ85" s="3"/>
      <c r="AK85" s="112">
        <f>IF(AE85=0,"0.0 ",ROUND((AI85/AE85)*100,1))</f>
        <v>0</v>
      </c>
      <c r="AL85" s="6"/>
      <c r="AM85" s="8"/>
      <c r="AN85" s="1"/>
      <c r="AO85" s="66">
        <f>AE85+AM85</f>
        <v>26000</v>
      </c>
      <c r="AP85" s="3"/>
      <c r="AQ85" s="112">
        <f>IF(AO85=0,"0.0 ",ROUND((AI85/AO85)*100,1))</f>
        <v>0</v>
      </c>
    </row>
    <row r="86" spans="3:43">
      <c r="C86" s="42"/>
      <c r="F86" s="45"/>
      <c r="H86" s="45"/>
      <c r="I86" s="45"/>
      <c r="J86" s="326"/>
      <c r="K86" s="326"/>
      <c r="L86" s="45"/>
      <c r="M86" s="45"/>
      <c r="N86" s="46"/>
      <c r="O86" s="46"/>
      <c r="P86" s="45"/>
      <c r="Q86" s="45"/>
      <c r="R86" s="45"/>
      <c r="V86" s="42"/>
      <c r="Y86" s="3"/>
      <c r="Z86" s="1"/>
      <c r="AA86" s="68"/>
      <c r="AB86" s="68"/>
      <c r="AC86" s="316"/>
      <c r="AD86" s="76"/>
      <c r="AE86" s="3"/>
      <c r="AF86" s="3"/>
      <c r="AG86" s="103"/>
      <c r="AH86" s="4"/>
      <c r="AI86" s="3"/>
      <c r="AJ86" s="3"/>
      <c r="AK86" s="103"/>
      <c r="AL86" s="6"/>
      <c r="AM86" s="1"/>
      <c r="AN86" s="1"/>
      <c r="AO86" s="3"/>
      <c r="AP86" s="3"/>
      <c r="AQ86" s="103"/>
    </row>
    <row r="87" spans="3:43">
      <c r="C87" s="42"/>
      <c r="F87" s="164"/>
      <c r="H87" s="164"/>
      <c r="I87" s="164"/>
      <c r="J87" s="336"/>
      <c r="K87" s="336"/>
      <c r="L87" s="45"/>
      <c r="M87" s="45"/>
      <c r="N87" s="46"/>
      <c r="O87" s="46"/>
      <c r="P87" s="45"/>
      <c r="Q87" s="45"/>
      <c r="R87" s="45"/>
      <c r="S87" s="45"/>
      <c r="T87" s="41">
        <f>A23</f>
        <v>4</v>
      </c>
      <c r="V87" s="133" t="s">
        <v>63</v>
      </c>
      <c r="Y87" s="68"/>
      <c r="Z87" s="1"/>
      <c r="AA87" s="68"/>
      <c r="AB87" s="68"/>
      <c r="AC87" s="336"/>
      <c r="AD87" s="340"/>
      <c r="AE87" s="3"/>
      <c r="AF87" s="3"/>
      <c r="AG87" s="103"/>
      <c r="AH87" s="4"/>
      <c r="AI87" s="3"/>
      <c r="AJ87" s="3"/>
      <c r="AK87" s="103"/>
      <c r="AL87" s="4"/>
      <c r="AM87" s="3"/>
      <c r="AN87" s="3"/>
      <c r="AO87" s="3"/>
      <c r="AP87" s="3"/>
      <c r="AQ87" s="103"/>
    </row>
    <row r="88" spans="3:43">
      <c r="C88" s="42"/>
      <c r="F88" s="164"/>
      <c r="H88" s="164"/>
      <c r="I88" s="164"/>
      <c r="J88" s="316"/>
      <c r="K88" s="316"/>
      <c r="L88" s="45"/>
      <c r="M88" s="45"/>
      <c r="N88" s="46"/>
      <c r="O88" s="46"/>
      <c r="P88" s="45"/>
      <c r="Q88" s="45"/>
      <c r="R88" s="45"/>
      <c r="T88" s="41">
        <f>A24</f>
        <v>5</v>
      </c>
      <c r="V88" s="42" t="s">
        <v>64</v>
      </c>
      <c r="Y88" s="68"/>
      <c r="Z88" s="1"/>
      <c r="AA88" s="3">
        <f>H24</f>
        <v>127467</v>
      </c>
      <c r="AB88" s="3"/>
      <c r="AC88" s="316">
        <f>INPUT!C129</f>
        <v>9.41</v>
      </c>
      <c r="AD88" s="76"/>
      <c r="AE88" s="3">
        <f>ROUND(AA88*AC88,0)</f>
        <v>1199464</v>
      </c>
      <c r="AF88" s="3"/>
      <c r="AG88" s="103">
        <f>ROUND((AE88/AE$120)*100,1)</f>
        <v>8</v>
      </c>
      <c r="AH88" s="4"/>
      <c r="AI88" s="3">
        <f>L24-AE88</f>
        <v>104523</v>
      </c>
      <c r="AJ88" s="3"/>
      <c r="AK88" s="113">
        <f>IF(AE88=0,"0.0 ",ROUND((AI88/AE88)*100,1))</f>
        <v>8.6999999999999993</v>
      </c>
      <c r="AL88" s="6"/>
      <c r="AM88" s="3"/>
      <c r="AN88" s="3"/>
      <c r="AO88" s="3">
        <f>AE88+AM88</f>
        <v>1199464</v>
      </c>
      <c r="AP88" s="3"/>
      <c r="AQ88" s="113">
        <f>IF(AO88=0,"0.0 ",ROUND((AI88/AO88)*100,1))</f>
        <v>8.6999999999999993</v>
      </c>
    </row>
    <row r="89" spans="3:43">
      <c r="C89" s="42"/>
      <c r="F89" s="164"/>
      <c r="H89" s="164"/>
      <c r="I89" s="164"/>
      <c r="J89" s="316"/>
      <c r="K89" s="316"/>
      <c r="L89" s="45"/>
      <c r="M89" s="45"/>
      <c r="N89" s="46"/>
      <c r="O89" s="46"/>
      <c r="P89" s="45"/>
      <c r="Q89" s="45"/>
      <c r="R89" s="45"/>
      <c r="T89" s="41">
        <f>A25</f>
        <v>6</v>
      </c>
      <c r="V89" s="42" t="s">
        <v>65</v>
      </c>
      <c r="Y89" s="68"/>
      <c r="Z89" s="1"/>
      <c r="AA89" s="66">
        <f>H25</f>
        <v>5347</v>
      </c>
      <c r="AB89" s="3"/>
      <c r="AC89" s="316">
        <f>INPUT!C130</f>
        <v>1.43</v>
      </c>
      <c r="AD89" s="76"/>
      <c r="AE89" s="66">
        <f>ROUND(AA89*AC89,0)</f>
        <v>7646</v>
      </c>
      <c r="AF89" s="3"/>
      <c r="AG89" s="104">
        <f>ROUND((AE89/AE$120)*100,1)</f>
        <v>0.1</v>
      </c>
      <c r="AH89" s="4"/>
      <c r="AI89" s="66">
        <f>L25-AE89</f>
        <v>642</v>
      </c>
      <c r="AJ89" s="3"/>
      <c r="AK89" s="112">
        <f>IF(AE89=0,"0.0 ",ROUND((AI89/AE89)*100,1))</f>
        <v>8.4</v>
      </c>
      <c r="AL89" s="6"/>
      <c r="AM89" s="66"/>
      <c r="AN89" s="3"/>
      <c r="AO89" s="66">
        <f>AE89+AM89</f>
        <v>7646</v>
      </c>
      <c r="AP89" s="3"/>
      <c r="AQ89" s="112">
        <f>IF(AO89=0,"0.0 ",ROUND((AI89/AO89)*100,1))</f>
        <v>8.4</v>
      </c>
    </row>
    <row r="90" spans="3:43" ht="20.100000000000001" customHeight="1">
      <c r="C90" s="42"/>
      <c r="F90" s="45"/>
      <c r="H90" s="45"/>
      <c r="I90" s="45"/>
      <c r="J90" s="326"/>
      <c r="K90" s="326"/>
      <c r="L90" s="45"/>
      <c r="M90" s="45"/>
      <c r="N90" s="46"/>
      <c r="O90" s="46"/>
      <c r="P90" s="45"/>
      <c r="Q90" s="45"/>
      <c r="R90" s="45"/>
      <c r="T90" s="41">
        <f>A26</f>
        <v>7</v>
      </c>
      <c r="V90" s="133" t="s">
        <v>66</v>
      </c>
      <c r="Y90" s="3"/>
      <c r="Z90" s="1"/>
      <c r="AA90" s="66">
        <f>H26</f>
        <v>132814</v>
      </c>
      <c r="AB90" s="3"/>
      <c r="AC90" s="47"/>
      <c r="AD90" s="7"/>
      <c r="AE90" s="66">
        <f>AE88+AE89</f>
        <v>1207110</v>
      </c>
      <c r="AF90" s="3"/>
      <c r="AG90" s="104">
        <f>ROUND((AE90/AE$120)*100,1)+0.1</f>
        <v>8.1999999999999993</v>
      </c>
      <c r="AH90" s="4"/>
      <c r="AI90" s="66">
        <f>SUM(AI88:AI89)</f>
        <v>105165</v>
      </c>
      <c r="AJ90" s="3"/>
      <c r="AK90" s="114">
        <f>IF(AE90=0,"0.0 ",ROUND((AI90/AE90)*100,1))</f>
        <v>8.6999999999999993</v>
      </c>
      <c r="AL90" s="6"/>
      <c r="AM90" s="66"/>
      <c r="AN90" s="3"/>
      <c r="AO90" s="66">
        <f>AO88+AO89</f>
        <v>1207110</v>
      </c>
      <c r="AP90" s="3"/>
      <c r="AQ90" s="114">
        <f>IF(AO90=0,"0.0 ",ROUND((AI90/AO90)*100,1))</f>
        <v>8.6999999999999993</v>
      </c>
    </row>
    <row r="91" spans="3:43">
      <c r="C91" s="42"/>
      <c r="F91" s="45"/>
      <c r="H91" s="45"/>
      <c r="I91" s="45"/>
      <c r="J91" s="326"/>
      <c r="K91" s="326"/>
      <c r="L91" s="45"/>
      <c r="M91" s="45"/>
      <c r="N91" s="46"/>
      <c r="O91" s="46"/>
      <c r="P91" s="45"/>
      <c r="Q91" s="45"/>
      <c r="R91" s="45"/>
      <c r="V91" s="42"/>
      <c r="Y91" s="3"/>
      <c r="Z91" s="1"/>
      <c r="AA91" s="3"/>
      <c r="AB91" s="3"/>
      <c r="AC91" s="47"/>
      <c r="AD91" s="7"/>
      <c r="AE91" s="3"/>
      <c r="AF91" s="3"/>
      <c r="AG91" s="103"/>
      <c r="AH91" s="4"/>
      <c r="AI91" s="3"/>
      <c r="AJ91" s="3"/>
      <c r="AK91" s="113"/>
      <c r="AL91" s="6"/>
      <c r="AM91" s="3"/>
      <c r="AN91" s="3"/>
      <c r="AO91" s="3"/>
      <c r="AP91" s="3"/>
      <c r="AQ91" s="113"/>
    </row>
    <row r="92" spans="3:43">
      <c r="C92" s="42"/>
      <c r="F92" s="45"/>
      <c r="H92" s="45"/>
      <c r="I92" s="45"/>
      <c r="J92" s="326"/>
      <c r="K92" s="326"/>
      <c r="L92" s="45"/>
      <c r="M92" s="45"/>
      <c r="N92" s="45"/>
      <c r="O92" s="45"/>
      <c r="P92" s="45"/>
      <c r="Q92" s="45"/>
      <c r="R92" s="45"/>
      <c r="T92" s="41">
        <f>A28</f>
        <v>8</v>
      </c>
      <c r="V92" s="133" t="s">
        <v>371</v>
      </c>
      <c r="Y92" s="3"/>
      <c r="Z92" s="1"/>
      <c r="AA92" s="3"/>
      <c r="AB92" s="3"/>
      <c r="AC92" s="47"/>
      <c r="AD92" s="7"/>
      <c r="AE92" s="3"/>
      <c r="AF92" s="3"/>
      <c r="AG92" s="103"/>
      <c r="AH92" s="4"/>
      <c r="AI92" s="3"/>
      <c r="AJ92" s="3"/>
      <c r="AK92" s="103"/>
      <c r="AL92" s="6"/>
      <c r="AM92" s="3"/>
      <c r="AN92" s="3"/>
      <c r="AO92" s="3"/>
      <c r="AP92" s="3"/>
      <c r="AQ92" s="103"/>
    </row>
    <row r="93" spans="3:43">
      <c r="C93" s="42"/>
      <c r="F93" s="45"/>
      <c r="H93" s="45"/>
      <c r="I93" s="45"/>
      <c r="J93" s="326"/>
      <c r="K93" s="326"/>
      <c r="L93" s="45"/>
      <c r="M93" s="45"/>
      <c r="N93" s="45"/>
      <c r="O93" s="45"/>
      <c r="P93" s="45"/>
      <c r="Q93" s="45"/>
      <c r="R93" s="45"/>
      <c r="T93" s="41">
        <f>A29</f>
        <v>9</v>
      </c>
      <c r="V93" s="42" t="s">
        <v>383</v>
      </c>
      <c r="Y93" s="3"/>
      <c r="Z93" s="1"/>
      <c r="AA93" s="3">
        <f>H29</f>
        <v>16346458</v>
      </c>
      <c r="AB93" s="3"/>
      <c r="AC93" s="120">
        <f>CUR_SUM_TT_ON_KWH</f>
        <v>6.7652000000000004E-2</v>
      </c>
      <c r="AD93" s="7"/>
      <c r="AE93" s="3">
        <f>ROUND((AA93*AC93),0)</f>
        <v>1105871</v>
      </c>
      <c r="AF93" s="3"/>
      <c r="AG93" s="103">
        <f>ROUND((AE93/AE$120)*100,1)</f>
        <v>7.4</v>
      </c>
      <c r="AH93" s="4"/>
      <c r="AI93" s="3">
        <f>L29-AE93</f>
        <v>96542</v>
      </c>
      <c r="AJ93" s="3"/>
      <c r="AK93" s="113">
        <f>IF(AE93=0,"0.0 ",ROUND((AI93/AE93)*100,1))</f>
        <v>8.6999999999999993</v>
      </c>
      <c r="AL93" s="6"/>
      <c r="AM93" s="3"/>
      <c r="AN93" s="3"/>
      <c r="AO93" s="3">
        <f>AE93+AM93</f>
        <v>1105871</v>
      </c>
      <c r="AP93" s="3"/>
      <c r="AQ93" s="113">
        <f>IF(AO93=0,"0.0 ",ROUND((AI93/AO93)*100,1))</f>
        <v>8.6999999999999993</v>
      </c>
    </row>
    <row r="94" spans="3:43">
      <c r="C94" s="42"/>
      <c r="F94" s="45"/>
      <c r="H94" s="164"/>
      <c r="I94" s="164"/>
      <c r="J94" s="132"/>
      <c r="K94" s="132"/>
      <c r="L94" s="45"/>
      <c r="M94" s="45"/>
      <c r="N94" s="46"/>
      <c r="O94" s="46"/>
      <c r="P94" s="45"/>
      <c r="Q94" s="45"/>
      <c r="R94" s="45"/>
      <c r="T94" s="41">
        <f>A30</f>
        <v>10</v>
      </c>
      <c r="V94" s="42" t="s">
        <v>384</v>
      </c>
      <c r="Y94" s="66"/>
      <c r="Z94" s="1"/>
      <c r="AA94" s="66">
        <f>H30</f>
        <v>45720250</v>
      </c>
      <c r="AB94" s="3"/>
      <c r="AC94" s="120">
        <f>CUR_TT_OFF</f>
        <v>5.7296E-2</v>
      </c>
      <c r="AD94" s="322"/>
      <c r="AE94" s="66">
        <f>ROUND((AA94*AC94),0)</f>
        <v>2619587</v>
      </c>
      <c r="AF94" s="3"/>
      <c r="AG94" s="104">
        <f>ROUND((AE94/AE$120)*100,1)</f>
        <v>17.5</v>
      </c>
      <c r="AH94" s="4"/>
      <c r="AI94" s="66">
        <f>L30-AE94</f>
        <v>228647</v>
      </c>
      <c r="AJ94" s="3"/>
      <c r="AK94" s="112">
        <f>IF(AE94=0,"0.0 ",ROUND((AI94/AE94)*100,1))</f>
        <v>8.6999999999999993</v>
      </c>
      <c r="AL94" s="6"/>
      <c r="AM94" s="66"/>
      <c r="AN94" s="3"/>
      <c r="AO94" s="66">
        <f>AE94+AM94</f>
        <v>2619587</v>
      </c>
      <c r="AP94" s="3"/>
      <c r="AQ94" s="112">
        <f>IF(AO94=0,"0.0 ",ROUND((AI94/AO94)*100,1))</f>
        <v>8.6999999999999993</v>
      </c>
    </row>
    <row r="95" spans="3:43">
      <c r="C95" s="42"/>
      <c r="F95" s="45"/>
      <c r="H95" s="164"/>
      <c r="I95" s="164"/>
      <c r="J95" s="132"/>
      <c r="K95" s="132"/>
      <c r="L95" s="45"/>
      <c r="M95" s="45"/>
      <c r="N95" s="46"/>
      <c r="O95" s="46"/>
      <c r="P95" s="45"/>
      <c r="Q95" s="45"/>
      <c r="R95" s="45"/>
      <c r="T95" s="41">
        <f>A31</f>
        <v>11</v>
      </c>
      <c r="V95" s="133" t="s">
        <v>142</v>
      </c>
      <c r="Y95" s="3"/>
      <c r="Z95" s="1"/>
      <c r="AA95" s="66">
        <f>H31</f>
        <v>62066708</v>
      </c>
      <c r="AB95" s="3"/>
      <c r="AC95" s="47"/>
      <c r="AD95" s="7"/>
      <c r="AE95" s="66">
        <f>AE93+AE94</f>
        <v>3725458</v>
      </c>
      <c r="AF95" s="3"/>
      <c r="AG95" s="104">
        <f>ROUND((AE95/AE$120)*100,1)</f>
        <v>24.9</v>
      </c>
      <c r="AH95" s="4"/>
      <c r="AI95" s="66">
        <f>SUM(AI93:AI94)</f>
        <v>325189</v>
      </c>
      <c r="AJ95" s="3"/>
      <c r="AK95" s="114">
        <f>IF(AE95=0,"0.0 ",ROUND((AI95/AE95)*100,1))</f>
        <v>8.6999999999999993</v>
      </c>
      <c r="AL95" s="6"/>
      <c r="AM95" s="66"/>
      <c r="AN95" s="3"/>
      <c r="AO95" s="66">
        <f>AO93+AO94</f>
        <v>3725458</v>
      </c>
      <c r="AP95" s="3"/>
      <c r="AQ95" s="114">
        <f>IF(AO95=0,"0.0 ",ROUND((AI95/AO95)*100,1))</f>
        <v>8.6999999999999993</v>
      </c>
    </row>
    <row r="96" spans="3:43" ht="20.100000000000001" customHeight="1">
      <c r="C96" s="42"/>
      <c r="F96" s="45"/>
      <c r="H96" s="45"/>
      <c r="I96" s="45"/>
      <c r="J96" s="47"/>
      <c r="K96" s="47"/>
      <c r="L96" s="45"/>
      <c r="M96" s="45"/>
      <c r="N96" s="46"/>
      <c r="O96" s="46"/>
      <c r="P96" s="45"/>
      <c r="Q96" s="45"/>
      <c r="R96" s="45"/>
      <c r="T96" s="41">
        <f>A32</f>
        <v>12</v>
      </c>
      <c r="V96" s="133" t="s">
        <v>56</v>
      </c>
      <c r="Y96" s="72">
        <f>F32</f>
        <v>52</v>
      </c>
      <c r="Z96" s="1"/>
      <c r="AA96" s="72">
        <f>H32</f>
        <v>62066708</v>
      </c>
      <c r="AB96" s="3"/>
      <c r="AC96" s="314"/>
      <c r="AD96" s="314"/>
      <c r="AE96" s="72">
        <f>AE85+AE90+AE95</f>
        <v>4958568</v>
      </c>
      <c r="AF96" s="3"/>
      <c r="AG96" s="104">
        <f>ROUND((AE96/AE$120)*100,1)</f>
        <v>33.200000000000003</v>
      </c>
      <c r="AH96" s="4"/>
      <c r="AI96" s="72">
        <f>AI85+AI90+AI95</f>
        <v>430354</v>
      </c>
      <c r="AJ96" s="3"/>
      <c r="AK96" s="114">
        <f>IF(AE96=0,"0.0 ",ROUND((AI96/AE96)*100,1))</f>
        <v>8.6999999999999993</v>
      </c>
      <c r="AL96" s="4"/>
      <c r="AM96" s="279"/>
      <c r="AN96" s="3"/>
      <c r="AO96" s="72">
        <f>AO85+AO90+AO95</f>
        <v>4958568</v>
      </c>
      <c r="AP96" s="3"/>
      <c r="AQ96" s="114">
        <f>IF(AO96=0,"0.0 ",ROUND((AI96/AO96)*100,1))</f>
        <v>8.6999999999999993</v>
      </c>
    </row>
    <row r="97" spans="3:43">
      <c r="C97" s="42"/>
      <c r="F97" s="45"/>
      <c r="H97" s="45"/>
      <c r="I97" s="45"/>
      <c r="J97" s="47"/>
      <c r="K97" s="47"/>
      <c r="L97" s="45"/>
      <c r="M97" s="45"/>
      <c r="N97" s="46"/>
      <c r="O97" s="46"/>
      <c r="P97" s="45"/>
      <c r="Q97" s="45"/>
      <c r="R97" s="45"/>
      <c r="Y97" s="68"/>
      <c r="Z97" s="1"/>
      <c r="AA97" s="68"/>
      <c r="AB97" s="68"/>
      <c r="AC97" s="314"/>
      <c r="AD97" s="314"/>
      <c r="AE97" s="3"/>
      <c r="AF97" s="3"/>
      <c r="AG97" s="103"/>
      <c r="AH97" s="4"/>
      <c r="AI97" s="3"/>
      <c r="AJ97" s="3"/>
      <c r="AK97" s="103"/>
      <c r="AL97" s="1"/>
      <c r="AM97" s="3"/>
      <c r="AN97" s="3"/>
      <c r="AO97" s="3"/>
      <c r="AP97" s="3"/>
      <c r="AQ97" s="103"/>
    </row>
    <row r="98" spans="3:43">
      <c r="C98" s="42"/>
      <c r="F98" s="45"/>
      <c r="H98" s="164"/>
      <c r="I98" s="164"/>
      <c r="J98" s="331"/>
      <c r="K98" s="331"/>
      <c r="L98" s="45"/>
      <c r="M98" s="45"/>
      <c r="N98" s="46"/>
      <c r="O98" s="46"/>
      <c r="P98" s="45"/>
      <c r="Q98" s="45"/>
      <c r="R98" s="45"/>
      <c r="T98" s="41">
        <f>A34</f>
        <v>13</v>
      </c>
      <c r="V98" s="133" t="s">
        <v>57</v>
      </c>
      <c r="Y98" s="1"/>
      <c r="Z98" s="1"/>
      <c r="AA98" s="1"/>
      <c r="AB98" s="1"/>
      <c r="AC98" s="1"/>
      <c r="AD98" s="1"/>
      <c r="AE98" s="1"/>
      <c r="AF98" s="1"/>
      <c r="AG98" s="103"/>
      <c r="AH98" s="1"/>
      <c r="AI98" s="1"/>
      <c r="AJ98" s="1"/>
      <c r="AK98" s="103"/>
      <c r="AL98" s="1"/>
      <c r="AM98" s="1"/>
      <c r="AN98" s="1"/>
      <c r="AO98" s="1"/>
      <c r="AP98" s="1"/>
      <c r="AQ98" s="103"/>
    </row>
    <row r="99" spans="3:43">
      <c r="F99" s="50"/>
      <c r="H99" s="50"/>
      <c r="I99" s="50"/>
      <c r="J99" s="326"/>
      <c r="K99" s="326"/>
      <c r="L99" s="50"/>
      <c r="M99" s="50"/>
      <c r="N99" s="50"/>
      <c r="O99" s="50"/>
      <c r="P99" s="50"/>
      <c r="Q99" s="50"/>
      <c r="R99" s="50"/>
      <c r="T99" s="41">
        <f>A35</f>
        <v>14</v>
      </c>
      <c r="V99" s="133" t="s">
        <v>62</v>
      </c>
      <c r="Y99" s="3">
        <f>F35</f>
        <v>104</v>
      </c>
      <c r="Z99" s="1"/>
      <c r="AA99" s="68"/>
      <c r="AB99" s="68"/>
      <c r="AC99" s="76">
        <f>AC85</f>
        <v>500</v>
      </c>
      <c r="AD99" s="76"/>
      <c r="AE99" s="66">
        <f>ROUND(Y99*AC99,0)</f>
        <v>52000</v>
      </c>
      <c r="AF99" s="3"/>
      <c r="AG99" s="104">
        <f>ROUND((AE99/AE$120)*100,1)</f>
        <v>0.3</v>
      </c>
      <c r="AH99" s="4"/>
      <c r="AI99" s="66">
        <f>L35-AE99</f>
        <v>0</v>
      </c>
      <c r="AJ99" s="3"/>
      <c r="AK99" s="112">
        <f>IF(AE99=0,"0.0 ",ROUND((AI99/AE99)*100,1))</f>
        <v>0</v>
      </c>
      <c r="AL99" s="6"/>
      <c r="AM99" s="8"/>
      <c r="AN99" s="1"/>
      <c r="AO99" s="66">
        <f>AE99+AM99</f>
        <v>52000</v>
      </c>
      <c r="AP99" s="3"/>
      <c r="AQ99" s="112">
        <f>IF(AO99=0,"0.0 ",ROUND((AI99/AO99)*100,1))</f>
        <v>0</v>
      </c>
    </row>
    <row r="100" spans="3:43">
      <c r="F100" s="50"/>
      <c r="H100" s="50"/>
      <c r="I100" s="50"/>
      <c r="J100" s="326"/>
      <c r="K100" s="326"/>
      <c r="L100" s="50"/>
      <c r="M100" s="50"/>
      <c r="N100" s="50"/>
      <c r="O100" s="50"/>
      <c r="P100" s="50"/>
      <c r="Q100" s="50"/>
      <c r="R100" s="50"/>
      <c r="V100" s="42"/>
      <c r="Y100" s="3"/>
      <c r="Z100" s="1"/>
      <c r="AA100" s="68"/>
      <c r="AB100" s="68"/>
      <c r="AC100" s="76"/>
      <c r="AD100" s="76"/>
      <c r="AE100" s="3"/>
      <c r="AF100" s="3"/>
      <c r="AG100" s="103"/>
      <c r="AH100" s="4"/>
      <c r="AI100" s="3"/>
      <c r="AJ100" s="3"/>
      <c r="AK100" s="103"/>
      <c r="AL100" s="6"/>
      <c r="AM100" s="1"/>
      <c r="AN100" s="1"/>
      <c r="AO100" s="3"/>
      <c r="AP100" s="3"/>
      <c r="AQ100" s="103"/>
    </row>
    <row r="101" spans="3:43">
      <c r="F101" s="50"/>
      <c r="H101" s="50"/>
      <c r="I101" s="50"/>
      <c r="J101" s="326"/>
      <c r="K101" s="326"/>
      <c r="L101" s="50"/>
      <c r="M101" s="50"/>
      <c r="N101" s="50"/>
      <c r="O101" s="50"/>
      <c r="P101" s="50"/>
      <c r="Q101" s="50"/>
      <c r="R101" s="50"/>
      <c r="S101" s="45"/>
      <c r="T101" s="41">
        <f>A37</f>
        <v>15</v>
      </c>
      <c r="V101" s="133" t="s">
        <v>63</v>
      </c>
      <c r="Y101" s="68"/>
      <c r="Z101" s="1"/>
      <c r="AA101" s="68"/>
      <c r="AB101" s="68"/>
      <c r="AC101" s="340"/>
      <c r="AD101" s="340"/>
      <c r="AE101" s="3"/>
      <c r="AF101" s="3"/>
      <c r="AG101" s="103"/>
      <c r="AH101" s="4"/>
      <c r="AI101" s="3"/>
      <c r="AJ101" s="3"/>
      <c r="AK101" s="103"/>
      <c r="AL101" s="4"/>
      <c r="AM101" s="3"/>
      <c r="AN101" s="3"/>
      <c r="AO101" s="3"/>
      <c r="AP101" s="3"/>
      <c r="AQ101" s="103"/>
    </row>
    <row r="102" spans="3:43">
      <c r="C102" s="42"/>
      <c r="F102" s="164"/>
      <c r="H102" s="337"/>
      <c r="I102" s="337"/>
      <c r="J102" s="326"/>
      <c r="K102" s="326"/>
      <c r="L102" s="45"/>
      <c r="M102" s="45"/>
      <c r="N102" s="46"/>
      <c r="O102" s="46"/>
      <c r="P102" s="45"/>
      <c r="Q102" s="45"/>
      <c r="R102" s="45"/>
      <c r="S102" s="45"/>
      <c r="T102" s="41">
        <f>A38</f>
        <v>16</v>
      </c>
      <c r="V102" s="42" t="s">
        <v>64</v>
      </c>
      <c r="Y102" s="68"/>
      <c r="Z102" s="1"/>
      <c r="AA102" s="3">
        <f>H38</f>
        <v>256942</v>
      </c>
      <c r="AB102" s="3"/>
      <c r="AC102" s="316">
        <f>INPUT!C131</f>
        <v>7.72</v>
      </c>
      <c r="AD102" s="76"/>
      <c r="AE102" s="3">
        <f>ROUND(AA102*AC102,0)</f>
        <v>1983592</v>
      </c>
      <c r="AF102" s="3"/>
      <c r="AG102" s="103">
        <f>ROUND((AE102/AE$120)*100,1)</f>
        <v>13.3</v>
      </c>
      <c r="AH102" s="4"/>
      <c r="AI102" s="3">
        <f>L38-AE102</f>
        <v>172151</v>
      </c>
      <c r="AJ102" s="3"/>
      <c r="AK102" s="113">
        <f>IF(AE102=0,"0.0 ",ROUND((AI102/AE102)*100,1))</f>
        <v>8.6999999999999993</v>
      </c>
      <c r="AL102" s="6"/>
      <c r="AM102" s="3"/>
      <c r="AN102" s="3"/>
      <c r="AO102" s="3">
        <f>AE102+AM102</f>
        <v>1983592</v>
      </c>
      <c r="AP102" s="3"/>
      <c r="AQ102" s="113">
        <f>IF(AO102=0,"0.0 ",ROUND((AI102/AO102)*100,1))</f>
        <v>8.6999999999999993</v>
      </c>
    </row>
    <row r="103" spans="3:43">
      <c r="T103" s="41">
        <f>A39</f>
        <v>17</v>
      </c>
      <c r="V103" s="42" t="s">
        <v>65</v>
      </c>
      <c r="Y103" s="68"/>
      <c r="Z103" s="1"/>
      <c r="AA103" s="66">
        <f>H39</f>
        <v>8487</v>
      </c>
      <c r="AB103" s="3"/>
      <c r="AC103" s="316">
        <f>INPUT!C132</f>
        <v>1.43</v>
      </c>
      <c r="AD103" s="76"/>
      <c r="AE103" s="66">
        <f>ROUND(AA103*AC103,0)</f>
        <v>12136</v>
      </c>
      <c r="AF103" s="3"/>
      <c r="AG103" s="104">
        <f>ROUND((AE103/AE$120)*100,1)</f>
        <v>0.1</v>
      </c>
      <c r="AH103" s="4"/>
      <c r="AI103" s="66">
        <f>L39-AE103</f>
        <v>1019</v>
      </c>
      <c r="AJ103" s="3"/>
      <c r="AK103" s="112">
        <f>IF(AE103=0,"0.0 ",ROUND((AI103/AE103)*100,1))</f>
        <v>8.4</v>
      </c>
      <c r="AL103" s="6"/>
      <c r="AM103" s="66"/>
      <c r="AN103" s="3"/>
      <c r="AO103" s="66">
        <f>AE103+AM103</f>
        <v>12136</v>
      </c>
      <c r="AP103" s="3"/>
      <c r="AQ103" s="112">
        <f>IF(AO103=0,"0.0 ",ROUND((AI103/AO103)*100,1))</f>
        <v>8.4</v>
      </c>
    </row>
    <row r="104" spans="3:43" ht="20.100000000000001" customHeight="1">
      <c r="C104" s="42"/>
      <c r="F104" s="164"/>
      <c r="H104" s="164"/>
      <c r="I104" s="164"/>
      <c r="J104" s="316"/>
      <c r="K104" s="316"/>
      <c r="L104" s="45"/>
      <c r="M104" s="45"/>
      <c r="N104" s="46"/>
      <c r="O104" s="46"/>
      <c r="R104" s="45"/>
      <c r="T104" s="41">
        <f>A40</f>
        <v>18</v>
      </c>
      <c r="V104" s="133" t="s">
        <v>66</v>
      </c>
      <c r="Y104" s="3"/>
      <c r="Z104" s="1"/>
      <c r="AA104" s="66">
        <f>H40</f>
        <v>265429</v>
      </c>
      <c r="AB104" s="3"/>
      <c r="AC104" s="7"/>
      <c r="AD104" s="7"/>
      <c r="AE104" s="66">
        <f>AE102+AE103</f>
        <v>1995728</v>
      </c>
      <c r="AF104" s="3"/>
      <c r="AG104" s="104">
        <f>ROUND((AE104/AE$120)*100,1)</f>
        <v>13.4</v>
      </c>
      <c r="AH104" s="4"/>
      <c r="AI104" s="66">
        <f>SUM(AI102:AI103)</f>
        <v>173170</v>
      </c>
      <c r="AJ104" s="3"/>
      <c r="AK104" s="112">
        <f>IF(AE104=0,"0.0 ",ROUND((AI104/AE104)*100,1))</f>
        <v>8.6999999999999993</v>
      </c>
      <c r="AL104" s="6"/>
      <c r="AM104" s="66"/>
      <c r="AN104" s="3"/>
      <c r="AO104" s="66">
        <f>AO102+AO103</f>
        <v>1995728</v>
      </c>
      <c r="AP104" s="3"/>
      <c r="AQ104" s="114">
        <f>IF(AO104=0,"0.0 ",ROUND((AI104/AO104)*100,1))</f>
        <v>8.6999999999999993</v>
      </c>
    </row>
    <row r="105" spans="3:43">
      <c r="C105" s="42"/>
      <c r="F105" s="164"/>
      <c r="H105" s="164"/>
      <c r="I105" s="164"/>
      <c r="J105" s="316"/>
      <c r="K105" s="316"/>
      <c r="L105" s="45"/>
      <c r="M105" s="45"/>
      <c r="N105" s="46"/>
      <c r="O105" s="46"/>
      <c r="R105" s="45"/>
      <c r="V105" s="42"/>
      <c r="Y105" s="3"/>
      <c r="Z105" s="1"/>
      <c r="AA105" s="3"/>
      <c r="AB105" s="3"/>
      <c r="AC105" s="7"/>
      <c r="AD105" s="7"/>
      <c r="AE105" s="3"/>
      <c r="AF105" s="3"/>
      <c r="AG105" s="103"/>
      <c r="AH105" s="4"/>
      <c r="AI105" s="3"/>
      <c r="AJ105" s="3"/>
      <c r="AK105" s="113"/>
      <c r="AL105" s="6"/>
      <c r="AM105" s="3"/>
      <c r="AN105" s="3"/>
      <c r="AO105" s="3"/>
      <c r="AP105" s="3"/>
      <c r="AQ105" s="113"/>
    </row>
    <row r="106" spans="3:43">
      <c r="C106" s="42"/>
      <c r="F106" s="164"/>
      <c r="H106" s="164"/>
      <c r="I106" s="164"/>
      <c r="J106" s="316"/>
      <c r="K106" s="316"/>
      <c r="L106" s="45"/>
      <c r="M106" s="45"/>
      <c r="N106" s="46"/>
      <c r="O106" s="46"/>
      <c r="R106" s="45"/>
      <c r="T106" s="41">
        <f t="shared" ref="T106:T111" si="0">A42</f>
        <v>19</v>
      </c>
      <c r="V106" s="133" t="s">
        <v>371</v>
      </c>
      <c r="Y106" s="3"/>
      <c r="Z106" s="1"/>
      <c r="AA106" s="3"/>
      <c r="AB106" s="3"/>
      <c r="AC106" s="7"/>
      <c r="AD106" s="7"/>
      <c r="AE106" s="3"/>
      <c r="AF106" s="3"/>
      <c r="AG106" s="103"/>
      <c r="AH106" s="4"/>
      <c r="AI106" s="3"/>
      <c r="AJ106" s="3"/>
      <c r="AK106" s="103"/>
      <c r="AL106" s="6"/>
      <c r="AM106" s="3"/>
      <c r="AN106" s="3"/>
      <c r="AO106" s="3"/>
      <c r="AP106" s="3"/>
      <c r="AQ106" s="103"/>
    </row>
    <row r="107" spans="3:43">
      <c r="C107" s="42"/>
      <c r="F107" s="164"/>
      <c r="H107" s="164"/>
      <c r="I107" s="164"/>
      <c r="J107" s="316"/>
      <c r="K107" s="316"/>
      <c r="L107" s="45"/>
      <c r="M107" s="45"/>
      <c r="N107" s="46"/>
      <c r="O107" s="46"/>
      <c r="R107" s="45"/>
      <c r="T107" s="41">
        <f t="shared" si="0"/>
        <v>20</v>
      </c>
      <c r="V107" s="42" t="s">
        <v>383</v>
      </c>
      <c r="Y107" s="3"/>
      <c r="Z107" s="1"/>
      <c r="AA107" s="3">
        <f>H43</f>
        <v>32710232</v>
      </c>
      <c r="AB107" s="3"/>
      <c r="AC107" s="120">
        <f>CUR_WIN_TT_ON_KWH</f>
        <v>6.5057000000000004E-2</v>
      </c>
      <c r="AD107" s="322"/>
      <c r="AE107" s="3">
        <f>ROUND((AA107*AC107),0)</f>
        <v>2128030</v>
      </c>
      <c r="AF107" s="3"/>
      <c r="AG107" s="103">
        <f>ROUND((AE107/AE$120)*100,1)</f>
        <v>14.2</v>
      </c>
      <c r="AH107" s="4"/>
      <c r="AI107" s="3">
        <f>L43-AE107</f>
        <v>185761</v>
      </c>
      <c r="AJ107" s="3"/>
      <c r="AK107" s="113">
        <f>IF(AE107=0,"0.0 ",ROUND((AI107/AE107)*100,1))</f>
        <v>8.6999999999999993</v>
      </c>
      <c r="AL107" s="6"/>
      <c r="AM107" s="3"/>
      <c r="AN107" s="3"/>
      <c r="AO107" s="3">
        <f>AE107+AM107</f>
        <v>2128030</v>
      </c>
      <c r="AP107" s="3"/>
      <c r="AQ107" s="113">
        <f>IF(AO107=0,"0.0 ",ROUND((AI107/AO107)*100,1))</f>
        <v>8.6999999999999993</v>
      </c>
    </row>
    <row r="108" spans="3:43">
      <c r="F108" s="50"/>
      <c r="H108" s="45"/>
      <c r="I108" s="45"/>
      <c r="J108" s="326"/>
      <c r="K108" s="326"/>
      <c r="L108" s="50"/>
      <c r="M108" s="50"/>
      <c r="N108" s="50"/>
      <c r="O108" s="50"/>
      <c r="P108" s="50"/>
      <c r="Q108" s="50"/>
      <c r="R108" s="50"/>
      <c r="T108" s="41">
        <f t="shared" si="0"/>
        <v>21</v>
      </c>
      <c r="V108" s="42" t="s">
        <v>384</v>
      </c>
      <c r="Y108" s="66"/>
      <c r="Z108" s="1"/>
      <c r="AA108" s="66">
        <f>H44</f>
        <v>90686117</v>
      </c>
      <c r="AB108" s="3"/>
      <c r="AC108" s="120">
        <f>CUR_TT_OFF</f>
        <v>5.7296E-2</v>
      </c>
      <c r="AD108" s="322"/>
      <c r="AE108" s="66">
        <f>ROUND((AA108*AC108),0)</f>
        <v>5195952</v>
      </c>
      <c r="AF108" s="3"/>
      <c r="AG108" s="104">
        <f>ROUND((AE108/AE$120)*100,1)-0.1</f>
        <v>34.699999999999996</v>
      </c>
      <c r="AH108" s="4"/>
      <c r="AI108" s="66">
        <f>L44-AE108</f>
        <v>453521</v>
      </c>
      <c r="AJ108" s="3"/>
      <c r="AK108" s="112">
        <f>IF(AE108=0,"0.0 ",ROUND((AI108/AE108)*100,1))</f>
        <v>8.6999999999999993</v>
      </c>
      <c r="AL108" s="6"/>
      <c r="AM108" s="66"/>
      <c r="AN108" s="3"/>
      <c r="AO108" s="66">
        <f>AE108+AM108</f>
        <v>5195952</v>
      </c>
      <c r="AP108" s="3"/>
      <c r="AQ108" s="112">
        <f>IF(AO108=0,"0.0 ",ROUND((AI108/AO108)*100,1))</f>
        <v>8.6999999999999993</v>
      </c>
    </row>
    <row r="109" spans="3:43">
      <c r="F109" s="50"/>
      <c r="H109" s="45"/>
      <c r="I109" s="45"/>
      <c r="J109" s="326"/>
      <c r="K109" s="326"/>
      <c r="L109" s="50"/>
      <c r="M109" s="50"/>
      <c r="N109" s="50"/>
      <c r="O109" s="50"/>
      <c r="P109" s="50"/>
      <c r="Q109" s="50"/>
      <c r="R109" s="50"/>
      <c r="T109" s="41">
        <f t="shared" si="0"/>
        <v>22</v>
      </c>
      <c r="V109" s="133" t="s">
        <v>142</v>
      </c>
      <c r="Y109" s="3"/>
      <c r="Z109" s="1"/>
      <c r="AA109" s="66">
        <f>H45</f>
        <v>123396349</v>
      </c>
      <c r="AB109" s="3"/>
      <c r="AC109" s="47"/>
      <c r="AD109" s="7"/>
      <c r="AE109" s="66">
        <f>AE107+AE108</f>
        <v>7323982</v>
      </c>
      <c r="AF109" s="3"/>
      <c r="AG109" s="104">
        <f>ROUND((AE109/AE$120)*100,1)</f>
        <v>49</v>
      </c>
      <c r="AH109" s="4"/>
      <c r="AI109" s="66">
        <f>SUM(AI107:AI108)</f>
        <v>639282</v>
      </c>
      <c r="AJ109" s="3"/>
      <c r="AK109" s="114">
        <f>IF(AE109=0,"0.0 ",ROUND((AI109/AE109)*100,1))</f>
        <v>8.6999999999999993</v>
      </c>
      <c r="AL109" s="6"/>
      <c r="AM109" s="66"/>
      <c r="AN109" s="3"/>
      <c r="AO109" s="66">
        <f>AO107+AO108</f>
        <v>7323982</v>
      </c>
      <c r="AP109" s="3"/>
      <c r="AQ109" s="114">
        <f>IF(AO109=0,"0.0 ",ROUND((AI109/AO109)*100,1))</f>
        <v>8.6999999999999993</v>
      </c>
    </row>
    <row r="110" spans="3:43" ht="20.100000000000001" customHeight="1">
      <c r="C110" s="42"/>
      <c r="F110" s="164"/>
      <c r="H110" s="164"/>
      <c r="I110" s="164"/>
      <c r="J110" s="336"/>
      <c r="K110" s="336"/>
      <c r="L110" s="45"/>
      <c r="M110" s="45"/>
      <c r="N110" s="46"/>
      <c r="O110" s="46"/>
      <c r="P110" s="45"/>
      <c r="Q110" s="45"/>
      <c r="R110" s="45"/>
      <c r="S110" s="45"/>
      <c r="T110" s="41">
        <f t="shared" si="0"/>
        <v>23</v>
      </c>
      <c r="V110" s="133" t="s">
        <v>58</v>
      </c>
      <c r="Y110" s="72">
        <f>F46</f>
        <v>104</v>
      </c>
      <c r="Z110" s="1"/>
      <c r="AA110" s="72">
        <f>H46</f>
        <v>123396349</v>
      </c>
      <c r="AB110" s="3"/>
      <c r="AC110" s="155"/>
      <c r="AD110" s="314"/>
      <c r="AE110" s="72">
        <f>AE99+AE104+AE109</f>
        <v>9371710</v>
      </c>
      <c r="AF110" s="3"/>
      <c r="AG110" s="104">
        <f>ROUND((AE110/AE$120)*100,1)</f>
        <v>62.7</v>
      </c>
      <c r="AH110" s="4"/>
      <c r="AI110" s="72">
        <f>AI99+AI104+AI109</f>
        <v>812452</v>
      </c>
      <c r="AJ110" s="3"/>
      <c r="AK110" s="114">
        <f>IF(AE110=0,"0.0 ",ROUND((AI110/AE110)*100,1))</f>
        <v>8.6999999999999993</v>
      </c>
      <c r="AL110" s="4"/>
      <c r="AM110" s="279"/>
      <c r="AN110" s="3"/>
      <c r="AO110" s="72">
        <f>AO99+AO104+AO109</f>
        <v>9371710</v>
      </c>
      <c r="AP110" s="3"/>
      <c r="AQ110" s="114">
        <f>IF(AO110=0,"0.0 ",ROUND((AI110/AO110)*100,1))</f>
        <v>8.6999999999999993</v>
      </c>
    </row>
    <row r="111" spans="3:43" ht="20.100000000000001" customHeight="1">
      <c r="C111" s="42"/>
      <c r="F111" s="164"/>
      <c r="H111" s="164"/>
      <c r="I111" s="164"/>
      <c r="J111" s="316"/>
      <c r="K111" s="316"/>
      <c r="L111" s="45"/>
      <c r="M111" s="45"/>
      <c r="N111" s="46"/>
      <c r="O111" s="46"/>
      <c r="P111" s="45"/>
      <c r="Q111" s="45"/>
      <c r="R111" s="45"/>
      <c r="T111" s="41">
        <f t="shared" si="0"/>
        <v>24</v>
      </c>
      <c r="V111" s="310" t="s">
        <v>452</v>
      </c>
      <c r="Y111" s="72">
        <f>Y96+Y110</f>
        <v>156</v>
      </c>
      <c r="Z111" s="1"/>
      <c r="AA111" s="72">
        <f>AA96+AA110</f>
        <v>185463057</v>
      </c>
      <c r="AB111" s="1"/>
      <c r="AC111" s="154"/>
      <c r="AD111" s="1"/>
      <c r="AE111" s="72">
        <f>AE96+AE110</f>
        <v>14330278</v>
      </c>
      <c r="AF111" s="1"/>
      <c r="AG111" s="104">
        <f>ROUND((AE111/AE$120)*100,1)</f>
        <v>95.9</v>
      </c>
      <c r="AH111" s="1"/>
      <c r="AI111" s="72">
        <f>AI110+AI96</f>
        <v>1242806</v>
      </c>
      <c r="AJ111" s="1"/>
      <c r="AK111" s="114">
        <f>IF(AE111=0,"0.0 ",ROUND((AI111/AE111)*100,1))</f>
        <v>8.6999999999999993</v>
      </c>
      <c r="AL111" s="1"/>
      <c r="AM111" s="84"/>
      <c r="AN111" s="1"/>
      <c r="AO111" s="72">
        <f>AO110+AO96</f>
        <v>14330278</v>
      </c>
      <c r="AP111" s="1"/>
      <c r="AQ111" s="114">
        <f>IF(AO111=0,"0.0 ",ROUND((AI111/AO111)*100,1))</f>
        <v>8.6999999999999993</v>
      </c>
    </row>
    <row r="112" spans="3:43">
      <c r="C112" s="42"/>
      <c r="F112" s="164"/>
      <c r="H112" s="164"/>
      <c r="I112" s="164"/>
      <c r="J112" s="316"/>
      <c r="K112" s="316"/>
      <c r="L112" s="45"/>
      <c r="M112" s="45"/>
      <c r="N112" s="46"/>
      <c r="O112" s="46"/>
      <c r="P112" s="45"/>
      <c r="Q112" s="45"/>
      <c r="R112" s="45"/>
      <c r="V112" s="42"/>
      <c r="Y112" s="1"/>
      <c r="Z112" s="1"/>
      <c r="AA112" s="1"/>
      <c r="AB112" s="1"/>
      <c r="AC112" s="154"/>
      <c r="AD112" s="1"/>
      <c r="AE112" s="1"/>
      <c r="AF112" s="1"/>
      <c r="AG112" s="103"/>
      <c r="AH112" s="1"/>
      <c r="AI112" s="1"/>
      <c r="AJ112" s="1"/>
      <c r="AK112" s="103"/>
      <c r="AL112" s="1"/>
      <c r="AM112" s="1"/>
      <c r="AN112" s="1"/>
      <c r="AO112" s="1"/>
      <c r="AP112" s="1"/>
      <c r="AQ112" s="103"/>
    </row>
    <row r="113" spans="3:43">
      <c r="C113" s="42"/>
      <c r="F113" s="164"/>
      <c r="H113" s="164"/>
      <c r="I113" s="164"/>
      <c r="J113" s="316"/>
      <c r="K113" s="316"/>
      <c r="L113" s="45"/>
      <c r="M113" s="45"/>
      <c r="N113" s="46"/>
      <c r="O113" s="46"/>
      <c r="P113" s="45"/>
      <c r="Q113" s="45"/>
      <c r="R113" s="45"/>
      <c r="T113" s="41">
        <f t="shared" ref="T113:T118" si="1">A49</f>
        <v>25</v>
      </c>
      <c r="V113" s="133" t="s">
        <v>430</v>
      </c>
      <c r="Y113" s="1"/>
      <c r="Z113" s="1"/>
      <c r="AA113" s="1"/>
      <c r="AB113" s="1"/>
      <c r="AC113" s="154"/>
      <c r="AD113" s="1"/>
      <c r="AE113" s="1"/>
      <c r="AF113" s="1"/>
      <c r="AG113" s="103"/>
      <c r="AH113" s="1"/>
      <c r="AI113" s="1"/>
      <c r="AJ113" s="1"/>
      <c r="AK113" s="103"/>
      <c r="AL113" s="1"/>
      <c r="AM113" s="1"/>
      <c r="AN113" s="1"/>
      <c r="AO113" s="1"/>
      <c r="AP113" s="1"/>
      <c r="AQ113" s="103"/>
    </row>
    <row r="114" spans="3:43">
      <c r="C114" s="42"/>
      <c r="F114" s="164"/>
      <c r="H114" s="164"/>
      <c r="I114" s="164"/>
      <c r="J114" s="316"/>
      <c r="K114" s="316"/>
      <c r="L114" s="45"/>
      <c r="M114" s="45"/>
      <c r="N114" s="46"/>
      <c r="O114" s="46"/>
      <c r="P114" s="45"/>
      <c r="Q114" s="45"/>
      <c r="R114" s="45"/>
      <c r="T114" s="41">
        <f t="shared" si="1"/>
        <v>26</v>
      </c>
      <c r="V114" s="128" t="str">
        <f>C50</f>
        <v>DEMAND SIDE MANAGEMENT RIDER (DSMR)</v>
      </c>
      <c r="Y114" s="1"/>
      <c r="Z114" s="1"/>
      <c r="AA114" s="1"/>
      <c r="AB114" s="1"/>
      <c r="AC114" s="327">
        <f>DSM_TRANS</f>
        <v>5.1400000000000003E-4</v>
      </c>
      <c r="AD114" s="1"/>
      <c r="AE114" s="3">
        <f>ROUND($AA$111*AC114,0)</f>
        <v>95328</v>
      </c>
      <c r="AF114" s="1"/>
      <c r="AG114" s="103">
        <f>ROUND((AE114/AE$120)*100,1)</f>
        <v>0.6</v>
      </c>
      <c r="AH114" s="1"/>
      <c r="AI114" s="3">
        <f>L50-AE114</f>
        <v>0</v>
      </c>
      <c r="AJ114" s="1"/>
      <c r="AK114" s="113">
        <f>IF(AE114=0,"0.0 ",ROUND((AI114/AE114)*100,1))</f>
        <v>0</v>
      </c>
      <c r="AL114" s="1"/>
      <c r="AM114" s="3"/>
      <c r="AN114" s="3"/>
      <c r="AO114" s="3">
        <f>AE114+AM114</f>
        <v>95328</v>
      </c>
      <c r="AP114" s="1"/>
      <c r="AQ114" s="113">
        <f>IF(AO114=0,"0.0 ",ROUND((AI114/AO114)*100,1))</f>
        <v>0</v>
      </c>
    </row>
    <row r="115" spans="3:43">
      <c r="C115" s="42"/>
      <c r="F115" s="164"/>
      <c r="H115" s="164"/>
      <c r="I115" s="164"/>
      <c r="J115" s="316"/>
      <c r="K115" s="316"/>
      <c r="L115" s="45"/>
      <c r="M115" s="45"/>
      <c r="N115" s="46"/>
      <c r="O115" s="46"/>
      <c r="P115" s="45"/>
      <c r="Q115" s="45"/>
      <c r="R115" s="45"/>
      <c r="T115" s="41">
        <f t="shared" si="1"/>
        <v>27</v>
      </c>
      <c r="V115" s="128" t="str">
        <f>C51</f>
        <v>ENVIRONMENTAL SURCHARGE MECHANISM RIDER (ESM)</v>
      </c>
      <c r="Y115" s="1"/>
      <c r="Z115" s="1"/>
      <c r="AA115" s="1"/>
      <c r="AB115" s="1"/>
      <c r="AC115" s="332">
        <f>CUR_ESM_NonRes</f>
        <v>6.4941608437496566E-3</v>
      </c>
      <c r="AD115" s="1"/>
      <c r="AE115" s="3">
        <f>ROUND((AO111-(CUR_BASE_FUEL*AA111)+AO114+AO117)*AC115,0)</f>
        <v>55978</v>
      </c>
      <c r="AF115" s="1"/>
      <c r="AG115" s="103">
        <f>ROUND((AE115/AE$120)*100,1)</f>
        <v>0.4</v>
      </c>
      <c r="AH115" s="1"/>
      <c r="AI115" s="3">
        <f>L51-AE115</f>
        <v>-2123</v>
      </c>
      <c r="AJ115" s="1"/>
      <c r="AK115" s="113">
        <f>IF(AE115=0,"0.0 ",ROUND((AI115/AE115)*100,1))</f>
        <v>-3.8</v>
      </c>
      <c r="AL115" s="1"/>
      <c r="AM115" s="3"/>
      <c r="AN115" s="3"/>
      <c r="AO115" s="3">
        <f>AE115+AM115</f>
        <v>55978</v>
      </c>
      <c r="AP115" s="1"/>
      <c r="AQ115" s="113">
        <f>IF(AO115=0,"0.0 ",ROUND((AI115/AO115)*100,1))</f>
        <v>-3.8</v>
      </c>
    </row>
    <row r="116" spans="3:43">
      <c r="C116" s="42"/>
      <c r="F116" s="164"/>
      <c r="H116" s="164"/>
      <c r="I116" s="164"/>
      <c r="J116" s="316"/>
      <c r="K116" s="316"/>
      <c r="L116" s="45"/>
      <c r="M116" s="45"/>
      <c r="N116" s="46"/>
      <c r="O116" s="46"/>
      <c r="P116" s="45"/>
      <c r="Q116" s="45"/>
      <c r="R116" s="45"/>
      <c r="T116" s="41">
        <f t="shared" si="1"/>
        <v>28</v>
      </c>
      <c r="V116" s="128" t="str">
        <f>C52</f>
        <v>FUEL ADJUSTMENT CLAUSE (FAC)</v>
      </c>
      <c r="Y116" s="1"/>
      <c r="Z116" s="1"/>
      <c r="AA116" s="1"/>
      <c r="AB116" s="1"/>
      <c r="AC116" s="327">
        <f>CUR_FAC</f>
        <v>3.4872127999999998E-3</v>
      </c>
      <c r="AD116" s="1"/>
      <c r="AE116" s="3"/>
      <c r="AF116" s="1"/>
      <c r="AG116" s="103"/>
      <c r="AH116" s="1"/>
      <c r="AI116" s="3"/>
      <c r="AJ116" s="1"/>
      <c r="AK116" s="113"/>
      <c r="AL116" s="1"/>
      <c r="AM116" s="3">
        <f>ROUND(AA111*CUR_FAC,0)</f>
        <v>646749</v>
      </c>
      <c r="AN116" s="3"/>
      <c r="AO116" s="3">
        <f>AE116+AM116</f>
        <v>646749</v>
      </c>
      <c r="AP116" s="1"/>
      <c r="AQ116" s="113">
        <f>IF(AO116=0,"0.0 ",ROUND(((R52-AO116)/AO116)*100,1))</f>
        <v>0</v>
      </c>
    </row>
    <row r="117" spans="3:43">
      <c r="C117" s="42"/>
      <c r="F117" s="164"/>
      <c r="H117" s="164"/>
      <c r="I117" s="164"/>
      <c r="J117" s="316"/>
      <c r="K117" s="316"/>
      <c r="L117" s="45"/>
      <c r="M117" s="45"/>
      <c r="N117" s="46"/>
      <c r="O117" s="46"/>
      <c r="P117" s="45"/>
      <c r="Q117" s="45"/>
      <c r="R117" s="45"/>
      <c r="T117" s="41">
        <f t="shared" si="1"/>
        <v>29</v>
      </c>
      <c r="V117" s="128" t="str">
        <f>C53</f>
        <v>PROFIT SHARING MECHANISM (PSM)</v>
      </c>
      <c r="Y117" s="1"/>
      <c r="Z117" s="1"/>
      <c r="AA117" s="1"/>
      <c r="AB117" s="1"/>
      <c r="AC117" s="327">
        <f>RS_PSM</f>
        <v>2.4750000000000002E-3</v>
      </c>
      <c r="AD117" s="1"/>
      <c r="AE117" s="66">
        <f>ROUND(AA111*RS_PSM,0)</f>
        <v>459021</v>
      </c>
      <c r="AF117" s="1"/>
      <c r="AG117" s="104">
        <f>ROUND((AE117/AE$120)*100,1)</f>
        <v>3.1</v>
      </c>
      <c r="AH117" s="1"/>
      <c r="AI117" s="66">
        <f>L53-AE117</f>
        <v>0</v>
      </c>
      <c r="AJ117" s="1"/>
      <c r="AK117" s="112">
        <f>IF(AE117=0,"0.0 ",ROUND((AI117/AE117)*100,1))</f>
        <v>0</v>
      </c>
      <c r="AL117" s="1"/>
      <c r="AM117" s="66"/>
      <c r="AN117" s="3"/>
      <c r="AO117" s="66">
        <f>AE117+AM117</f>
        <v>459021</v>
      </c>
      <c r="AP117" s="1"/>
      <c r="AQ117" s="112">
        <f>IF(AO117=0,"0.0 ",ROUND((AI117/AO117)*100,1))</f>
        <v>0</v>
      </c>
    </row>
    <row r="118" spans="3:43">
      <c r="C118" s="42"/>
      <c r="F118" s="164"/>
      <c r="H118" s="164"/>
      <c r="I118" s="164"/>
      <c r="J118" s="316"/>
      <c r="K118" s="316"/>
      <c r="L118" s="45"/>
      <c r="M118" s="45"/>
      <c r="N118" s="46"/>
      <c r="O118" s="46"/>
      <c r="P118" s="45"/>
      <c r="Q118" s="45"/>
      <c r="R118" s="45"/>
      <c r="T118" s="41">
        <f t="shared" si="1"/>
        <v>30</v>
      </c>
      <c r="V118" s="133" t="s">
        <v>435</v>
      </c>
      <c r="Y118" s="8"/>
      <c r="Z118" s="1"/>
      <c r="AA118" s="8"/>
      <c r="AB118" s="1"/>
      <c r="AC118" s="327"/>
      <c r="AD118" s="1"/>
      <c r="AE118" s="72">
        <f>SUM(AE114:AE117)</f>
        <v>610327</v>
      </c>
      <c r="AF118" s="1"/>
      <c r="AG118" s="105">
        <f>ROUND((AE118/AE$120)*100,1)</f>
        <v>4.0999999999999996</v>
      </c>
      <c r="AH118" s="1"/>
      <c r="AI118" s="72">
        <f>SUM(AI114:AI117)</f>
        <v>-2123</v>
      </c>
      <c r="AJ118" s="1"/>
      <c r="AK118" s="114">
        <f>IF(AE118=0,"0.0 ",ROUND((AI118/AE118)*100,1))</f>
        <v>-0.3</v>
      </c>
      <c r="AL118" s="1"/>
      <c r="AM118" s="72">
        <f>SUM(AM114:AM117)</f>
        <v>646749</v>
      </c>
      <c r="AN118" s="3"/>
      <c r="AO118" s="72">
        <f>SUM(AO114:AO117)</f>
        <v>1257076</v>
      </c>
      <c r="AP118" s="1"/>
      <c r="AQ118" s="114">
        <f>IF(AO118=0,"0.0 ",ROUND((AI118/AO118)*100,1))</f>
        <v>-0.2</v>
      </c>
    </row>
    <row r="119" spans="3:43">
      <c r="C119" s="42"/>
      <c r="F119" s="164"/>
      <c r="H119" s="164"/>
      <c r="I119" s="164"/>
      <c r="J119" s="316"/>
      <c r="K119" s="316"/>
      <c r="L119" s="45"/>
      <c r="M119" s="45"/>
      <c r="N119" s="46"/>
      <c r="O119" s="46"/>
      <c r="P119" s="45"/>
      <c r="Q119" s="45"/>
      <c r="R119" s="45"/>
      <c r="V119" s="42"/>
      <c r="Y119" s="1"/>
      <c r="Z119" s="1"/>
      <c r="AA119" s="1"/>
      <c r="AB119" s="1"/>
      <c r="AC119" s="1"/>
      <c r="AD119" s="1"/>
      <c r="AE119" s="1"/>
      <c r="AF119" s="1"/>
      <c r="AG119" s="103"/>
      <c r="AH119" s="1"/>
      <c r="AI119" s="1"/>
      <c r="AJ119" s="1"/>
      <c r="AK119" s="103"/>
      <c r="AL119" s="1"/>
      <c r="AM119" s="1"/>
      <c r="AN119" s="1"/>
      <c r="AO119" s="1"/>
      <c r="AP119" s="1"/>
      <c r="AQ119" s="103"/>
    </row>
    <row r="120" spans="3:43" ht="20.100000000000001" customHeight="1" thickBot="1">
      <c r="F120" s="45"/>
      <c r="H120" s="50"/>
      <c r="I120" s="50"/>
      <c r="J120" s="326"/>
      <c r="K120" s="326"/>
      <c r="L120" s="50"/>
      <c r="M120" s="50"/>
      <c r="N120" s="50"/>
      <c r="O120" s="50"/>
      <c r="P120" s="50"/>
      <c r="Q120" s="50"/>
      <c r="R120" s="50"/>
      <c r="T120" s="41">
        <f>A56</f>
        <v>31</v>
      </c>
      <c r="V120" s="310" t="s">
        <v>453</v>
      </c>
      <c r="Y120" s="67">
        <f>Y111</f>
        <v>156</v>
      </c>
      <c r="Z120" s="1"/>
      <c r="AA120" s="67">
        <f>AA111</f>
        <v>185463057</v>
      </c>
      <c r="AB120" s="3"/>
      <c r="AC120" s="1"/>
      <c r="AD120" s="1"/>
      <c r="AE120" s="67">
        <f>AE111+AE118</f>
        <v>14940605</v>
      </c>
      <c r="AF120" s="3"/>
      <c r="AG120" s="106">
        <v>100</v>
      </c>
      <c r="AH120" s="4"/>
      <c r="AI120" s="67">
        <f>AI111+AI118</f>
        <v>1240683</v>
      </c>
      <c r="AJ120" s="3"/>
      <c r="AK120" s="115">
        <f>IF(AE120=0,"0.0 ",ROUND((AI120/AE120)*100,1))</f>
        <v>8.3000000000000007</v>
      </c>
      <c r="AL120" s="4"/>
      <c r="AM120" s="67">
        <f>AM111+AM118</f>
        <v>646749</v>
      </c>
      <c r="AN120" s="68"/>
      <c r="AO120" s="67">
        <f>AO111+AO118</f>
        <v>15587354</v>
      </c>
      <c r="AP120" s="3"/>
      <c r="AQ120" s="115">
        <f>IF(AO120=0,"0.0 ",ROUND((AI120/AO120)*100,1))</f>
        <v>8</v>
      </c>
    </row>
    <row r="121" spans="3:43" ht="16.5" thickTop="1">
      <c r="F121" s="45"/>
      <c r="H121" s="50"/>
      <c r="I121" s="50"/>
      <c r="J121" s="326"/>
      <c r="K121" s="326"/>
      <c r="L121" s="50"/>
      <c r="M121" s="50"/>
      <c r="N121" s="50"/>
      <c r="O121" s="50"/>
      <c r="P121" s="50"/>
      <c r="Q121" s="50"/>
      <c r="R121" s="50"/>
      <c r="Y121" s="1"/>
      <c r="Z121" s="1"/>
      <c r="AA121" s="1"/>
      <c r="AB121" s="1"/>
      <c r="AC121" s="1"/>
      <c r="AD121" s="1"/>
      <c r="AE121" s="1"/>
      <c r="AF121" s="1"/>
      <c r="AG121" s="103"/>
      <c r="AH121" s="1"/>
      <c r="AI121" s="1"/>
      <c r="AJ121" s="1"/>
      <c r="AK121" s="103"/>
      <c r="AL121" s="1"/>
      <c r="AM121" s="1"/>
      <c r="AN121" s="1"/>
      <c r="AO121" s="1"/>
      <c r="AP121" s="1"/>
      <c r="AQ121" s="103"/>
    </row>
    <row r="122" spans="3:43">
      <c r="C122" s="42"/>
      <c r="F122" s="45"/>
      <c r="H122" s="45"/>
      <c r="I122" s="45"/>
      <c r="J122" s="326"/>
      <c r="K122" s="326"/>
      <c r="L122" s="45"/>
      <c r="M122" s="45"/>
      <c r="N122" s="45"/>
      <c r="O122" s="45"/>
      <c r="P122" s="45"/>
      <c r="Q122" s="45"/>
      <c r="R122" s="45"/>
      <c r="V122" s="140" t="s">
        <v>59</v>
      </c>
      <c r="AE122" s="45"/>
      <c r="AF122" s="45"/>
      <c r="AH122" s="45"/>
      <c r="AM122" s="45"/>
      <c r="AN122" s="45"/>
      <c r="AO122" s="45"/>
      <c r="AP122" s="45"/>
    </row>
    <row r="123" spans="3:43">
      <c r="C123" s="42"/>
      <c r="F123" s="45"/>
      <c r="H123" s="45"/>
      <c r="I123" s="45"/>
      <c r="J123" s="326"/>
      <c r="K123" s="326"/>
      <c r="L123" s="45"/>
      <c r="M123" s="45"/>
      <c r="N123" s="45"/>
      <c r="O123" s="45"/>
      <c r="P123" s="45"/>
      <c r="Q123" s="45"/>
      <c r="R123" s="45"/>
      <c r="V123" s="140" t="str">
        <f>"(2) REFLECTS FUEL COMPONENT OF "&amp;TEXT(CUR_FAC,"$0.000000;($0.000000)")&amp;"  PER KWH."</f>
        <v>(2) REFLECTS FUEL COMPONENT OF $0.003487  PER KWH.</v>
      </c>
      <c r="AE123" s="45"/>
      <c r="AF123" s="45"/>
      <c r="AH123" s="45"/>
      <c r="AM123" s="45"/>
      <c r="AN123" s="45"/>
      <c r="AO123" s="45"/>
      <c r="AP123" s="45"/>
    </row>
    <row r="124" spans="3:43">
      <c r="C124" s="42"/>
      <c r="F124" s="45"/>
      <c r="H124" s="164"/>
      <c r="I124" s="164"/>
      <c r="J124" s="132"/>
      <c r="K124" s="132"/>
      <c r="L124" s="45"/>
      <c r="M124" s="45"/>
      <c r="N124" s="46"/>
      <c r="O124" s="46"/>
      <c r="P124" s="45"/>
      <c r="Q124" s="45"/>
      <c r="R124" s="45"/>
      <c r="T124" s="42"/>
      <c r="V124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25" spans="3:43">
      <c r="C125" s="42"/>
      <c r="H125" s="164"/>
      <c r="I125" s="164"/>
      <c r="J125" s="132"/>
      <c r="K125" s="132"/>
      <c r="L125" s="45"/>
      <c r="M125" s="45"/>
      <c r="N125" s="46"/>
      <c r="O125" s="46"/>
      <c r="P125" s="45"/>
      <c r="Q125" s="45"/>
      <c r="R125" s="45"/>
      <c r="T125" s="42"/>
      <c r="V125" s="164"/>
      <c r="Y125" s="164"/>
      <c r="Z125" s="336"/>
      <c r="AA125" s="45"/>
      <c r="AB125" s="45"/>
      <c r="AC125" s="46"/>
      <c r="AD125" s="46"/>
      <c r="AE125" s="45"/>
      <c r="AF125" s="45"/>
      <c r="AH125" s="46"/>
      <c r="AI125" s="45"/>
      <c r="AJ125" s="45"/>
      <c r="AL125" s="45"/>
      <c r="AM125" s="46"/>
      <c r="AN125" s="46"/>
    </row>
    <row r="126" spans="3:43">
      <c r="F126" s="45"/>
      <c r="H126" s="45"/>
      <c r="I126" s="45"/>
      <c r="J126" s="326"/>
      <c r="K126" s="326"/>
      <c r="L126" s="50"/>
      <c r="M126" s="50"/>
      <c r="N126" s="50"/>
      <c r="O126" s="50"/>
      <c r="P126" s="50"/>
      <c r="Q126" s="50"/>
      <c r="R126" s="50"/>
      <c r="T126" s="42"/>
      <c r="V126" s="164"/>
      <c r="Y126" s="45"/>
      <c r="Z126" s="316"/>
      <c r="AA126" s="45"/>
      <c r="AB126" s="45"/>
      <c r="AC126" s="46"/>
      <c r="AD126" s="46"/>
      <c r="AE126" s="45"/>
      <c r="AF126" s="45"/>
      <c r="AH126" s="51"/>
      <c r="AI126" s="45"/>
      <c r="AJ126" s="45"/>
      <c r="AL126" s="45"/>
      <c r="AM126" s="46"/>
      <c r="AN126" s="46"/>
    </row>
    <row r="127" spans="3:43">
      <c r="C127" s="42"/>
      <c r="F127" s="45"/>
      <c r="H127" s="45"/>
      <c r="I127" s="45"/>
      <c r="J127" s="47"/>
      <c r="K127" s="47"/>
      <c r="L127" s="45"/>
      <c r="M127" s="45"/>
      <c r="N127" s="46"/>
      <c r="O127" s="46"/>
      <c r="P127" s="45"/>
      <c r="Q127" s="45"/>
      <c r="R127" s="45"/>
      <c r="T127" s="42"/>
      <c r="V127" s="164"/>
      <c r="Y127" s="45"/>
      <c r="Z127" s="316"/>
      <c r="AA127" s="45"/>
      <c r="AB127" s="45"/>
      <c r="AC127" s="46"/>
      <c r="AD127" s="46"/>
      <c r="AE127" s="45"/>
      <c r="AF127" s="45"/>
      <c r="AH127" s="51"/>
      <c r="AI127" s="45"/>
      <c r="AJ127" s="45"/>
      <c r="AL127" s="45"/>
      <c r="AM127" s="46"/>
      <c r="AN127" s="46"/>
    </row>
    <row r="128" spans="3:43">
      <c r="F128" s="45"/>
      <c r="H128" s="45"/>
      <c r="I128" s="45"/>
      <c r="J128" s="326"/>
      <c r="K128" s="326"/>
      <c r="L128" s="50"/>
      <c r="M128" s="50"/>
      <c r="N128" s="50"/>
      <c r="O128" s="50"/>
      <c r="P128" s="50"/>
      <c r="Q128" s="50"/>
      <c r="R128" s="50"/>
      <c r="V128" s="45"/>
      <c r="Y128" s="50"/>
      <c r="Z128" s="326"/>
      <c r="AA128" s="50"/>
      <c r="AB128" s="50"/>
      <c r="AC128" s="50"/>
      <c r="AD128" s="50"/>
      <c r="AE128" s="50"/>
      <c r="AF128" s="50"/>
      <c r="AI128" s="50"/>
      <c r="AJ128" s="50"/>
      <c r="AK128" s="111"/>
      <c r="AL128" s="50"/>
      <c r="AM128" s="46"/>
      <c r="AN128" s="46"/>
    </row>
    <row r="129" spans="1:40">
      <c r="C129" s="42"/>
      <c r="F129" s="45"/>
      <c r="H129" s="45"/>
      <c r="I129" s="45"/>
      <c r="J129" s="47"/>
      <c r="K129" s="47"/>
      <c r="L129" s="45"/>
      <c r="M129" s="45"/>
      <c r="N129" s="46"/>
      <c r="O129" s="46"/>
      <c r="P129" s="45"/>
      <c r="Q129" s="45"/>
      <c r="R129" s="45"/>
      <c r="T129" s="42"/>
      <c r="V129" s="45"/>
      <c r="Y129" s="45"/>
      <c r="Z129" s="326"/>
      <c r="AA129" s="45"/>
      <c r="AB129" s="45"/>
      <c r="AC129" s="46"/>
      <c r="AD129" s="46"/>
      <c r="AE129" s="45"/>
      <c r="AF129" s="45"/>
      <c r="AH129" s="51"/>
      <c r="AI129" s="45"/>
      <c r="AJ129" s="45"/>
      <c r="AL129" s="45"/>
      <c r="AM129" s="46"/>
      <c r="AN129" s="46"/>
    </row>
    <row r="130" spans="1:40">
      <c r="C130" s="42"/>
      <c r="F130" s="164"/>
      <c r="H130" s="164"/>
      <c r="I130" s="164"/>
      <c r="J130" s="331"/>
      <c r="K130" s="331"/>
      <c r="L130" s="45"/>
      <c r="M130" s="45"/>
      <c r="N130" s="46"/>
      <c r="O130" s="46"/>
      <c r="P130" s="45"/>
      <c r="Q130" s="45"/>
      <c r="R130" s="45"/>
      <c r="V130" s="45"/>
      <c r="Y130" s="50"/>
      <c r="Z130" s="326"/>
      <c r="AA130" s="50"/>
      <c r="AB130" s="50"/>
      <c r="AC130" s="50"/>
      <c r="AD130" s="50"/>
      <c r="AE130" s="50"/>
      <c r="AF130" s="50"/>
      <c r="AI130" s="50"/>
      <c r="AJ130" s="50"/>
      <c r="AK130" s="111"/>
      <c r="AL130" s="50"/>
      <c r="AM130" s="46"/>
      <c r="AN130" s="46"/>
    </row>
    <row r="131" spans="1:40">
      <c r="F131" s="50"/>
      <c r="H131" s="50"/>
      <c r="I131" s="50"/>
      <c r="J131" s="326"/>
      <c r="K131" s="326"/>
      <c r="L131" s="50"/>
      <c r="M131" s="50"/>
      <c r="N131" s="50"/>
      <c r="O131" s="50"/>
      <c r="P131" s="50"/>
      <c r="Q131" s="50"/>
      <c r="R131" s="50"/>
      <c r="T131" s="42"/>
      <c r="V131" s="45"/>
      <c r="Y131" s="45"/>
      <c r="Z131" s="326"/>
      <c r="AA131" s="45"/>
      <c r="AB131" s="45"/>
      <c r="AC131" s="45"/>
      <c r="AD131" s="45"/>
      <c r="AE131" s="45"/>
      <c r="AF131" s="45"/>
      <c r="AH131" s="51"/>
      <c r="AI131" s="45"/>
      <c r="AJ131" s="45"/>
      <c r="AL131" s="45"/>
      <c r="AM131" s="46"/>
      <c r="AN131" s="46"/>
    </row>
    <row r="132" spans="1:40">
      <c r="C132" s="42"/>
      <c r="F132" s="45"/>
      <c r="H132" s="45"/>
      <c r="I132" s="45"/>
      <c r="J132" s="326"/>
      <c r="K132" s="326"/>
      <c r="L132" s="45"/>
      <c r="M132" s="45"/>
      <c r="N132" s="46"/>
      <c r="O132" s="46"/>
      <c r="P132" s="45"/>
      <c r="Q132" s="45"/>
      <c r="R132" s="45"/>
      <c r="S132" s="45"/>
      <c r="T132" s="42"/>
      <c r="V132" s="45"/>
      <c r="Y132" s="45"/>
      <c r="Z132" s="132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1:40">
      <c r="F133" s="50"/>
      <c r="H133" s="50"/>
      <c r="I133" s="50"/>
      <c r="J133" s="326"/>
      <c r="K133" s="326"/>
      <c r="L133" s="50"/>
      <c r="M133" s="50"/>
      <c r="N133" s="50"/>
      <c r="O133" s="50"/>
      <c r="P133" s="50"/>
      <c r="Q133" s="50"/>
      <c r="R133" s="50"/>
      <c r="S133" s="45"/>
      <c r="T133" s="42"/>
      <c r="Y133" s="45"/>
      <c r="Z133" s="132"/>
      <c r="AA133" s="45"/>
      <c r="AB133" s="45"/>
      <c r="AC133" s="46"/>
      <c r="AD133" s="46"/>
      <c r="AE133" s="45"/>
      <c r="AF133" s="45"/>
      <c r="AH133" s="51"/>
      <c r="AI133" s="45"/>
      <c r="AJ133" s="45"/>
      <c r="AL133" s="45"/>
      <c r="AM133" s="46"/>
      <c r="AN133" s="46"/>
    </row>
    <row r="134" spans="1:40">
      <c r="C134" s="42"/>
      <c r="V134" s="45"/>
      <c r="Y134" s="45"/>
      <c r="Z134" s="326"/>
      <c r="AA134" s="50"/>
      <c r="AB134" s="50"/>
      <c r="AC134" s="50"/>
      <c r="AD134" s="50"/>
      <c r="AE134" s="50"/>
      <c r="AF134" s="50"/>
      <c r="AI134" s="50"/>
      <c r="AJ134" s="50"/>
      <c r="AK134" s="111"/>
      <c r="AL134" s="50"/>
      <c r="AM134" s="46"/>
      <c r="AN134" s="46"/>
    </row>
    <row r="135" spans="1:40">
      <c r="C135" s="42"/>
      <c r="F135" s="45"/>
      <c r="H135" s="45"/>
      <c r="I135" s="45"/>
      <c r="L135" s="45"/>
      <c r="M135" s="45"/>
      <c r="N135" s="46"/>
      <c r="O135" s="46"/>
      <c r="P135" s="164"/>
      <c r="Q135" s="164"/>
      <c r="R135" s="45"/>
      <c r="T135" s="42"/>
      <c r="V135" s="45"/>
      <c r="Y135" s="45"/>
      <c r="Z135" s="47"/>
      <c r="AA135" s="45"/>
      <c r="AB135" s="45"/>
      <c r="AC135" s="46"/>
      <c r="AD135" s="46"/>
      <c r="AE135" s="45"/>
      <c r="AF135" s="45"/>
      <c r="AH135" s="51"/>
      <c r="AI135" s="45"/>
      <c r="AJ135" s="45"/>
      <c r="AL135" s="45"/>
      <c r="AM135" s="46"/>
      <c r="AN135" s="46"/>
    </row>
    <row r="136" spans="1:40">
      <c r="F136" s="50"/>
      <c r="H136" s="50"/>
      <c r="I136" s="50"/>
      <c r="J136" s="326"/>
      <c r="K136" s="326"/>
      <c r="L136" s="50"/>
      <c r="M136" s="50"/>
      <c r="N136" s="50"/>
      <c r="O136" s="50"/>
      <c r="P136" s="50"/>
      <c r="Q136" s="50"/>
      <c r="R136" s="50"/>
      <c r="V136" s="45"/>
      <c r="Y136" s="45"/>
      <c r="Z136" s="326"/>
      <c r="AA136" s="50"/>
      <c r="AB136" s="50"/>
      <c r="AC136" s="50"/>
      <c r="AD136" s="50"/>
      <c r="AE136" s="50"/>
      <c r="AF136" s="50"/>
      <c r="AI136" s="50"/>
      <c r="AJ136" s="50"/>
      <c r="AK136" s="111"/>
      <c r="AL136" s="50"/>
      <c r="AM136" s="46"/>
      <c r="AN136" s="46"/>
    </row>
    <row r="137" spans="1:40">
      <c r="T137" s="42"/>
      <c r="V137" s="45"/>
      <c r="Y137" s="45"/>
      <c r="Z137" s="47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1:40">
      <c r="C138" s="42"/>
      <c r="L138" s="45"/>
      <c r="M138" s="45"/>
      <c r="N138" s="45"/>
      <c r="O138" s="45"/>
      <c r="P138" s="45"/>
      <c r="Q138" s="45"/>
      <c r="R138" s="45"/>
      <c r="S138" s="45"/>
      <c r="T138" s="42"/>
      <c r="V138" s="164"/>
      <c r="Y138" s="45"/>
      <c r="Z138" s="331"/>
      <c r="AA138" s="45"/>
      <c r="AB138" s="45"/>
      <c r="AC138" s="46"/>
      <c r="AD138" s="46"/>
      <c r="AE138" s="45"/>
      <c r="AF138" s="45"/>
      <c r="AH138" s="51"/>
      <c r="AI138" s="45"/>
      <c r="AJ138" s="45"/>
      <c r="AL138" s="45"/>
      <c r="AM138" s="46"/>
      <c r="AN138" s="46"/>
    </row>
    <row r="139" spans="1:40">
      <c r="A139" s="42"/>
      <c r="V139" s="50"/>
      <c r="Y139" s="50"/>
      <c r="Z139" s="326"/>
      <c r="AA139" s="50"/>
      <c r="AB139" s="50"/>
      <c r="AC139" s="50"/>
      <c r="AD139" s="50"/>
      <c r="AE139" s="50"/>
      <c r="AF139" s="50"/>
      <c r="AI139" s="50"/>
      <c r="AJ139" s="50"/>
      <c r="AK139" s="111"/>
      <c r="AL139" s="50"/>
      <c r="AM139" s="46"/>
      <c r="AN139" s="46"/>
    </row>
    <row r="140" spans="1:40">
      <c r="T140" s="42"/>
      <c r="V140" s="45"/>
      <c r="Y140" s="45"/>
      <c r="Z140" s="326"/>
      <c r="AA140" s="45"/>
      <c r="AB140" s="45"/>
      <c r="AC140" s="46"/>
      <c r="AD140" s="46"/>
      <c r="AE140" s="45"/>
      <c r="AF140" s="45"/>
      <c r="AH140" s="46"/>
      <c r="AI140" s="45"/>
      <c r="AJ140" s="45"/>
      <c r="AL140" s="45"/>
      <c r="AM140" s="46"/>
      <c r="AN140" s="46"/>
    </row>
    <row r="141" spans="1:40">
      <c r="H141" s="42"/>
      <c r="I141" s="42"/>
      <c r="V141" s="50"/>
      <c r="Y141" s="50"/>
      <c r="Z141" s="326"/>
      <c r="AA141" s="50"/>
      <c r="AB141" s="50"/>
      <c r="AC141" s="50"/>
      <c r="AD141" s="50"/>
      <c r="AE141" s="50"/>
      <c r="AF141" s="50"/>
      <c r="AI141" s="50"/>
      <c r="AJ141" s="50"/>
      <c r="AK141" s="111"/>
      <c r="AL141" s="50"/>
      <c r="AM141" s="46"/>
      <c r="AN141" s="46"/>
    </row>
    <row r="142" spans="1:40">
      <c r="T142" s="42"/>
    </row>
    <row r="143" spans="1:40">
      <c r="L143" s="42"/>
      <c r="M143" s="42"/>
      <c r="AA143" s="42"/>
      <c r="AB143" s="42"/>
    </row>
    <row r="144" spans="1:40">
      <c r="R144" s="42"/>
      <c r="AK144" s="110"/>
      <c r="AL144" s="42"/>
    </row>
    <row r="145" spans="1:40">
      <c r="R145" s="42"/>
      <c r="AK145" s="110"/>
      <c r="AL145" s="42"/>
    </row>
    <row r="146" spans="1:40">
      <c r="A146" s="42"/>
      <c r="R146" s="42"/>
      <c r="AK146" s="110"/>
      <c r="AL146" s="42"/>
    </row>
    <row r="147" spans="1:40">
      <c r="L147" s="42"/>
      <c r="M147" s="42"/>
      <c r="AA147" s="42"/>
      <c r="AB147" s="42"/>
    </row>
    <row r="148" spans="1:40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107"/>
      <c r="AH148" s="49"/>
      <c r="AI148" s="49"/>
      <c r="AJ148" s="49"/>
      <c r="AK148" s="107"/>
      <c r="AL148" s="49"/>
      <c r="AM148" s="49"/>
      <c r="AN148" s="49"/>
    </row>
    <row r="149" spans="1:40">
      <c r="L149" s="44"/>
      <c r="M149" s="44"/>
      <c r="N149" s="44"/>
      <c r="O149" s="44"/>
      <c r="R149" s="44"/>
      <c r="AA149" s="44"/>
      <c r="AB149" s="44"/>
      <c r="AC149" s="44"/>
      <c r="AD149" s="44"/>
      <c r="AE149" s="44"/>
      <c r="AF149" s="44"/>
      <c r="AG149" s="102"/>
      <c r="AH149" s="44"/>
      <c r="AK149" s="102"/>
      <c r="AL149" s="44"/>
      <c r="AM149" s="44"/>
      <c r="AN149" s="44"/>
    </row>
    <row r="150" spans="1:40">
      <c r="L150" s="44"/>
      <c r="M150" s="44"/>
      <c r="N150" s="44"/>
      <c r="O150" s="44"/>
      <c r="R150" s="44"/>
      <c r="Z150" s="44"/>
      <c r="AA150" s="44"/>
      <c r="AB150" s="44"/>
      <c r="AC150" s="44"/>
      <c r="AD150" s="44"/>
      <c r="AE150" s="44"/>
      <c r="AF150" s="44"/>
      <c r="AG150" s="102"/>
      <c r="AH150" s="44"/>
      <c r="AK150" s="102"/>
      <c r="AL150" s="44"/>
      <c r="AM150" s="44"/>
      <c r="AN150" s="44"/>
    </row>
    <row r="151" spans="1:40">
      <c r="A151" s="44"/>
      <c r="C151" s="44"/>
      <c r="D151" s="44"/>
      <c r="E151" s="44"/>
      <c r="F151" s="44"/>
      <c r="J151" s="44"/>
      <c r="K151" s="44"/>
      <c r="L151" s="44"/>
      <c r="M151" s="44"/>
      <c r="N151" s="44"/>
      <c r="O151" s="44"/>
      <c r="P151" s="44"/>
      <c r="Q151" s="44"/>
      <c r="R151" s="44"/>
      <c r="T151" s="44"/>
      <c r="U151" s="44"/>
      <c r="V151" s="44"/>
      <c r="Z151" s="44"/>
      <c r="AA151" s="44"/>
      <c r="AB151" s="44"/>
      <c r="AC151" s="44"/>
      <c r="AD151" s="44"/>
      <c r="AE151" s="44"/>
      <c r="AF151" s="44"/>
      <c r="AG151" s="102"/>
      <c r="AH151" s="44"/>
      <c r="AI151" s="44"/>
      <c r="AJ151" s="44"/>
      <c r="AK151" s="102"/>
      <c r="AL151" s="44"/>
      <c r="AM151" s="44"/>
      <c r="AN151" s="44"/>
    </row>
    <row r="152" spans="1:40">
      <c r="A152" s="44"/>
      <c r="C152" s="44"/>
      <c r="D152" s="44"/>
      <c r="E152" s="44"/>
      <c r="F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T152" s="44"/>
      <c r="U152" s="44"/>
      <c r="V152" s="44"/>
      <c r="Y152" s="44"/>
      <c r="Z152" s="44"/>
      <c r="AA152" s="44"/>
      <c r="AB152" s="44"/>
      <c r="AC152" s="44"/>
      <c r="AD152" s="44"/>
      <c r="AE152" s="44"/>
      <c r="AF152" s="44"/>
      <c r="AG152" s="102"/>
      <c r="AH152" s="44"/>
      <c r="AI152" s="44"/>
      <c r="AJ152" s="44"/>
      <c r="AK152" s="102"/>
      <c r="AL152" s="44"/>
      <c r="AM152" s="44"/>
      <c r="AN152" s="44"/>
    </row>
    <row r="153" spans="1:40">
      <c r="C153" s="44"/>
      <c r="D153" s="44"/>
      <c r="E153" s="44"/>
      <c r="F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T153" s="44"/>
      <c r="U153" s="44"/>
      <c r="V153" s="44"/>
      <c r="Y153" s="44"/>
      <c r="Z153" s="44"/>
      <c r="AA153" s="44"/>
      <c r="AB153" s="44"/>
      <c r="AC153" s="44"/>
      <c r="AD153" s="44"/>
      <c r="AE153" s="44"/>
      <c r="AF153" s="44"/>
      <c r="AG153" s="102"/>
      <c r="AH153" s="44"/>
      <c r="AI153" s="44"/>
      <c r="AJ153" s="44"/>
      <c r="AK153" s="102"/>
      <c r="AL153" s="44"/>
      <c r="AM153" s="44"/>
      <c r="AN153" s="44"/>
    </row>
    <row r="154" spans="1:40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107"/>
      <c r="AH154" s="49"/>
      <c r="AI154" s="49"/>
      <c r="AJ154" s="49"/>
      <c r="AK154" s="107"/>
      <c r="AL154" s="49"/>
      <c r="AM154" s="49"/>
      <c r="AN154" s="49"/>
    </row>
    <row r="155" spans="1:40"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Y155" s="44"/>
      <c r="Z155" s="44"/>
      <c r="AA155" s="44"/>
      <c r="AB155" s="44"/>
      <c r="AC155" s="44"/>
      <c r="AD155" s="44"/>
      <c r="AE155" s="44"/>
      <c r="AF155" s="44"/>
      <c r="AG155" s="102"/>
      <c r="AH155" s="44"/>
      <c r="AI155" s="44"/>
      <c r="AJ155" s="44"/>
      <c r="AK155" s="102"/>
      <c r="AL155" s="44"/>
      <c r="AM155" s="44"/>
      <c r="AN155" s="44"/>
    </row>
    <row r="156" spans="1:40">
      <c r="C156" s="42"/>
      <c r="D156" s="42"/>
      <c r="E156" s="42"/>
      <c r="T156" s="42"/>
      <c r="U156" s="42"/>
    </row>
    <row r="157" spans="1:40">
      <c r="D157" s="42"/>
      <c r="E157" s="42"/>
      <c r="U157" s="42"/>
    </row>
    <row r="159" spans="1:40">
      <c r="C159" s="42"/>
      <c r="F159" s="164"/>
      <c r="H159" s="164"/>
      <c r="I159" s="164"/>
      <c r="J159" s="316"/>
      <c r="K159" s="316"/>
      <c r="L159" s="45"/>
      <c r="M159" s="45"/>
      <c r="N159" s="46"/>
      <c r="O159" s="46"/>
      <c r="R159" s="45"/>
      <c r="T159" s="42"/>
      <c r="V159" s="45"/>
      <c r="Y159" s="164"/>
      <c r="Z159" s="316"/>
      <c r="AA159" s="45"/>
      <c r="AB159" s="45"/>
      <c r="AC159" s="46"/>
      <c r="AD159" s="46"/>
      <c r="AE159" s="45"/>
      <c r="AF159" s="45"/>
      <c r="AG159" s="333"/>
      <c r="AH159" s="334"/>
      <c r="AL159" s="45"/>
      <c r="AM159" s="335"/>
      <c r="AN159" s="335"/>
    </row>
    <row r="160" spans="1:40">
      <c r="C160" s="42"/>
      <c r="F160" s="164"/>
      <c r="H160" s="164"/>
      <c r="I160" s="164"/>
      <c r="J160" s="316"/>
      <c r="K160" s="316"/>
      <c r="L160" s="45"/>
      <c r="M160" s="45"/>
      <c r="N160" s="46"/>
      <c r="O160" s="46"/>
      <c r="R160" s="45"/>
      <c r="T160" s="42"/>
      <c r="V160" s="45"/>
      <c r="Y160" s="164"/>
      <c r="Z160" s="316"/>
      <c r="AA160" s="45"/>
      <c r="AB160" s="45"/>
      <c r="AC160" s="46"/>
      <c r="AD160" s="46"/>
      <c r="AE160" s="45"/>
      <c r="AF160" s="45"/>
      <c r="AH160" s="51"/>
      <c r="AL160" s="45"/>
      <c r="AM160" s="46"/>
      <c r="AN160" s="46"/>
    </row>
    <row r="161" spans="3:40">
      <c r="F161" s="50"/>
      <c r="H161" s="45"/>
      <c r="I161" s="45"/>
      <c r="J161" s="326"/>
      <c r="K161" s="326"/>
      <c r="L161" s="50"/>
      <c r="M161" s="50"/>
      <c r="N161" s="50"/>
      <c r="O161" s="50"/>
      <c r="P161" s="50"/>
      <c r="Q161" s="50"/>
      <c r="R161" s="50"/>
      <c r="V161" s="50"/>
      <c r="Y161" s="45"/>
      <c r="Z161" s="326"/>
      <c r="AA161" s="50"/>
      <c r="AB161" s="50"/>
      <c r="AC161" s="50"/>
      <c r="AD161" s="50"/>
      <c r="AE161" s="50"/>
      <c r="AF161" s="50"/>
      <c r="AI161" s="50"/>
      <c r="AJ161" s="50"/>
      <c r="AK161" s="111"/>
      <c r="AL161" s="50"/>
      <c r="AM161" s="46"/>
      <c r="AN161" s="46"/>
    </row>
    <row r="162" spans="3:40">
      <c r="C162" s="42"/>
      <c r="F162" s="45"/>
      <c r="H162" s="45"/>
      <c r="I162" s="45"/>
      <c r="J162" s="326"/>
      <c r="K162" s="326"/>
      <c r="L162" s="45"/>
      <c r="M162" s="45"/>
      <c r="N162" s="46"/>
      <c r="O162" s="46"/>
      <c r="P162" s="45"/>
      <c r="Q162" s="45"/>
      <c r="R162" s="45"/>
      <c r="T162" s="42"/>
      <c r="V162" s="45"/>
      <c r="Y162" s="45"/>
      <c r="Z162" s="47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3:40">
      <c r="F163" s="50"/>
      <c r="H163" s="45"/>
      <c r="I163" s="45"/>
      <c r="J163" s="326"/>
      <c r="K163" s="326"/>
      <c r="L163" s="50"/>
      <c r="M163" s="50"/>
      <c r="N163" s="50"/>
      <c r="O163" s="50"/>
      <c r="P163" s="50"/>
      <c r="Q163" s="50"/>
      <c r="R163" s="50"/>
      <c r="V163" s="50"/>
      <c r="Y163" s="45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  <c r="AM163" s="46"/>
      <c r="AN163" s="46"/>
    </row>
    <row r="164" spans="3:40">
      <c r="F164" s="45"/>
      <c r="H164" s="45"/>
      <c r="I164" s="45"/>
      <c r="J164" s="326"/>
      <c r="K164" s="326"/>
      <c r="L164" s="45"/>
      <c r="M164" s="45"/>
      <c r="N164" s="46"/>
      <c r="O164" s="46"/>
      <c r="P164" s="45"/>
      <c r="Q164" s="45"/>
      <c r="R164" s="45"/>
      <c r="V164" s="45"/>
      <c r="Y164" s="45"/>
      <c r="Z164" s="47"/>
      <c r="AA164" s="45"/>
      <c r="AB164" s="45"/>
      <c r="AC164" s="46"/>
      <c r="AD164" s="46"/>
      <c r="AE164" s="45"/>
      <c r="AF164" s="45"/>
      <c r="AH164" s="51"/>
      <c r="AI164" s="45"/>
      <c r="AJ164" s="45"/>
      <c r="AL164" s="45"/>
      <c r="AM164" s="46"/>
      <c r="AN164" s="46"/>
    </row>
    <row r="165" spans="3:40">
      <c r="C165" s="42"/>
      <c r="F165" s="164"/>
      <c r="H165" s="164"/>
      <c r="I165" s="164"/>
      <c r="J165" s="316"/>
      <c r="K165" s="316"/>
      <c r="L165" s="45"/>
      <c r="M165" s="45"/>
      <c r="N165" s="46"/>
      <c r="O165" s="46"/>
      <c r="P165" s="45"/>
      <c r="Q165" s="45"/>
      <c r="R165" s="45"/>
      <c r="T165" s="42"/>
      <c r="V165" s="164"/>
      <c r="Y165" s="45"/>
      <c r="Z165" s="316"/>
      <c r="AA165" s="45"/>
      <c r="AB165" s="45"/>
      <c r="AC165" s="46"/>
      <c r="AD165" s="46"/>
      <c r="AE165" s="45"/>
      <c r="AF165" s="45"/>
      <c r="AG165" s="333"/>
      <c r="AH165" s="334"/>
      <c r="AI165" s="45"/>
      <c r="AJ165" s="45"/>
      <c r="AL165" s="45"/>
      <c r="AM165" s="335"/>
      <c r="AN165" s="335"/>
    </row>
    <row r="166" spans="3:40">
      <c r="C166" s="42"/>
      <c r="F166" s="164"/>
      <c r="H166" s="164"/>
      <c r="I166" s="164"/>
      <c r="J166" s="316"/>
      <c r="K166" s="316"/>
      <c r="L166" s="45"/>
      <c r="M166" s="45"/>
      <c r="N166" s="46"/>
      <c r="O166" s="46"/>
      <c r="P166" s="45"/>
      <c r="Q166" s="45"/>
      <c r="R166" s="45"/>
      <c r="T166" s="42"/>
      <c r="V166" s="164"/>
      <c r="Y166" s="45"/>
      <c r="Z166" s="316"/>
      <c r="AA166" s="45"/>
      <c r="AB166" s="45"/>
      <c r="AC166" s="46"/>
      <c r="AD166" s="46"/>
      <c r="AE166" s="45"/>
      <c r="AF166" s="45"/>
      <c r="AH166" s="51"/>
      <c r="AI166" s="45"/>
      <c r="AJ166" s="45"/>
      <c r="AL166" s="45"/>
      <c r="AM166" s="46"/>
      <c r="AN166" s="46"/>
    </row>
    <row r="167" spans="3:40">
      <c r="F167" s="45"/>
      <c r="H167" s="50"/>
      <c r="I167" s="50"/>
      <c r="J167" s="326"/>
      <c r="K167" s="326"/>
      <c r="L167" s="50"/>
      <c r="M167" s="50"/>
      <c r="N167" s="50"/>
      <c r="O167" s="50"/>
      <c r="P167" s="50"/>
      <c r="Q167" s="50"/>
      <c r="R167" s="50"/>
      <c r="V167" s="45"/>
      <c r="Y167" s="50"/>
      <c r="Z167" s="326"/>
      <c r="AA167" s="50"/>
      <c r="AB167" s="50"/>
      <c r="AC167" s="50"/>
      <c r="AD167" s="50"/>
      <c r="AE167" s="50"/>
      <c r="AF167" s="50"/>
      <c r="AI167" s="50"/>
      <c r="AJ167" s="50"/>
      <c r="AK167" s="111"/>
      <c r="AL167" s="50"/>
      <c r="AM167" s="46"/>
      <c r="AN167" s="46"/>
    </row>
    <row r="168" spans="3:40">
      <c r="C168" s="42"/>
      <c r="F168" s="45"/>
      <c r="H168" s="45"/>
      <c r="I168" s="45"/>
      <c r="J168" s="326"/>
      <c r="K168" s="326"/>
      <c r="L168" s="45"/>
      <c r="M168" s="45"/>
      <c r="N168" s="46"/>
      <c r="O168" s="46"/>
      <c r="P168" s="45"/>
      <c r="Q168" s="45"/>
      <c r="R168" s="45"/>
      <c r="T168" s="42"/>
      <c r="V168" s="45"/>
      <c r="Y168" s="45"/>
      <c r="Z168" s="326"/>
      <c r="AA168" s="45"/>
      <c r="AB168" s="45"/>
      <c r="AC168" s="46"/>
      <c r="AD168" s="46"/>
      <c r="AE168" s="45"/>
      <c r="AF168" s="45"/>
      <c r="AH168" s="51"/>
      <c r="AI168" s="45"/>
      <c r="AJ168" s="45"/>
      <c r="AL168" s="45"/>
      <c r="AM168" s="46"/>
      <c r="AN168" s="46"/>
    </row>
    <row r="169" spans="3:40">
      <c r="F169" s="45"/>
      <c r="H169" s="50"/>
      <c r="I169" s="50"/>
      <c r="J169" s="326"/>
      <c r="K169" s="326"/>
      <c r="L169" s="50"/>
      <c r="M169" s="50"/>
      <c r="N169" s="50"/>
      <c r="O169" s="50"/>
      <c r="P169" s="50"/>
      <c r="Q169" s="50"/>
      <c r="R169" s="50"/>
      <c r="V169" s="45"/>
      <c r="Y169" s="50"/>
      <c r="Z169" s="326"/>
      <c r="AA169" s="50"/>
      <c r="AB169" s="50"/>
      <c r="AC169" s="50"/>
      <c r="AD169" s="50"/>
      <c r="AE169" s="50"/>
      <c r="AF169" s="50"/>
      <c r="AI169" s="50"/>
      <c r="AJ169" s="50"/>
      <c r="AK169" s="111"/>
      <c r="AL169" s="50"/>
      <c r="AM169" s="46"/>
      <c r="AN169" s="46"/>
    </row>
    <row r="170" spans="3:40">
      <c r="F170" s="45"/>
      <c r="H170" s="45"/>
      <c r="I170" s="45"/>
      <c r="J170" s="326"/>
      <c r="K170" s="326"/>
      <c r="L170" s="45"/>
      <c r="M170" s="45"/>
      <c r="N170" s="45"/>
      <c r="O170" s="45"/>
      <c r="P170" s="45"/>
      <c r="Q170" s="45"/>
      <c r="R170" s="45"/>
      <c r="V170" s="45"/>
      <c r="Y170" s="45"/>
      <c r="Z170" s="326"/>
      <c r="AA170" s="45"/>
      <c r="AB170" s="45"/>
      <c r="AC170" s="45"/>
      <c r="AD170" s="45"/>
      <c r="AE170" s="45"/>
      <c r="AF170" s="45"/>
      <c r="AH170" s="51"/>
      <c r="AI170" s="45"/>
      <c r="AJ170" s="45"/>
      <c r="AL170" s="45"/>
      <c r="AM170" s="46"/>
      <c r="AN170" s="46"/>
    </row>
    <row r="171" spans="3:40">
      <c r="C171" s="42"/>
      <c r="F171" s="164"/>
      <c r="H171" s="164"/>
      <c r="I171" s="164"/>
      <c r="J171" s="331"/>
      <c r="K171" s="331"/>
      <c r="L171" s="45"/>
      <c r="M171" s="45"/>
      <c r="N171" s="46"/>
      <c r="O171" s="46"/>
      <c r="P171" s="164"/>
      <c r="Q171" s="164"/>
      <c r="R171" s="45"/>
      <c r="T171" s="42"/>
      <c r="V171" s="164"/>
      <c r="Y171" s="164"/>
      <c r="Z171" s="336"/>
      <c r="AA171" s="45"/>
      <c r="AB171" s="45"/>
      <c r="AC171" s="46"/>
      <c r="AD171" s="46"/>
      <c r="AE171" s="45"/>
      <c r="AF171" s="45"/>
      <c r="AH171" s="51"/>
      <c r="AI171" s="164"/>
      <c r="AJ171" s="164"/>
      <c r="AL171" s="45"/>
      <c r="AM171" s="46"/>
      <c r="AN171" s="46"/>
    </row>
    <row r="172" spans="3:40">
      <c r="C172" s="42"/>
      <c r="F172" s="164"/>
      <c r="H172" s="164"/>
      <c r="I172" s="164"/>
      <c r="J172" s="331"/>
      <c r="K172" s="331"/>
      <c r="L172" s="45"/>
      <c r="M172" s="45"/>
      <c r="N172" s="46"/>
      <c r="O172" s="46"/>
      <c r="P172" s="164"/>
      <c r="Q172" s="164"/>
      <c r="R172" s="45"/>
      <c r="T172" s="42"/>
      <c r="V172" s="164"/>
      <c r="Y172" s="45"/>
      <c r="Z172" s="325"/>
      <c r="AA172" s="45"/>
      <c r="AB172" s="45"/>
      <c r="AC172" s="46"/>
      <c r="AD172" s="46"/>
      <c r="AE172" s="45"/>
      <c r="AF172" s="45"/>
      <c r="AH172" s="51"/>
      <c r="AI172" s="164"/>
      <c r="AJ172" s="164"/>
      <c r="AL172" s="45"/>
      <c r="AM172" s="46"/>
      <c r="AN172" s="46"/>
    </row>
    <row r="173" spans="3:40">
      <c r="C173" s="42"/>
      <c r="F173" s="164"/>
      <c r="H173" s="164"/>
      <c r="I173" s="164"/>
      <c r="J173" s="331"/>
      <c r="K173" s="331"/>
      <c r="L173" s="45"/>
      <c r="M173" s="45"/>
      <c r="N173" s="46"/>
      <c r="O173" s="46"/>
      <c r="P173" s="164"/>
      <c r="Q173" s="164"/>
      <c r="R173" s="45"/>
      <c r="T173" s="42"/>
      <c r="V173" s="164"/>
      <c r="Y173" s="45"/>
      <c r="Z173" s="325"/>
      <c r="AA173" s="45"/>
      <c r="AB173" s="45"/>
      <c r="AC173" s="46"/>
      <c r="AD173" s="46"/>
      <c r="AE173" s="45"/>
      <c r="AF173" s="45"/>
      <c r="AH173" s="51"/>
      <c r="AI173" s="164"/>
      <c r="AJ173" s="164"/>
      <c r="AL173" s="45"/>
      <c r="AM173" s="46"/>
      <c r="AN173" s="46"/>
    </row>
    <row r="174" spans="3:40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V174" s="50"/>
      <c r="Y174" s="50"/>
      <c r="Z174" s="326"/>
      <c r="AA174" s="50"/>
      <c r="AB174" s="50"/>
      <c r="AC174" s="50"/>
      <c r="AD174" s="50"/>
      <c r="AE174" s="50"/>
      <c r="AF174" s="50"/>
      <c r="AI174" s="50"/>
      <c r="AJ174" s="50"/>
      <c r="AK174" s="111"/>
      <c r="AL174" s="50"/>
      <c r="AM174" s="46"/>
      <c r="AN174" s="46"/>
    </row>
    <row r="175" spans="3:40">
      <c r="C175" s="42"/>
      <c r="F175" s="45"/>
      <c r="H175" s="45"/>
      <c r="I175" s="45"/>
      <c r="J175" s="47"/>
      <c r="K175" s="47"/>
      <c r="L175" s="45"/>
      <c r="M175" s="45"/>
      <c r="N175" s="46"/>
      <c r="O175" s="46"/>
      <c r="P175" s="45"/>
      <c r="Q175" s="45"/>
      <c r="R175" s="45"/>
      <c r="T175" s="42"/>
      <c r="V175" s="45"/>
      <c r="Y175" s="45"/>
      <c r="Z175" s="47"/>
      <c r="AA175" s="45"/>
      <c r="AB175" s="45"/>
      <c r="AC175" s="46"/>
      <c r="AD175" s="46"/>
      <c r="AE175" s="45"/>
      <c r="AF175" s="45"/>
      <c r="AH175" s="51"/>
      <c r="AI175" s="45"/>
      <c r="AJ175" s="45"/>
      <c r="AL175" s="45"/>
      <c r="AM175" s="46"/>
      <c r="AN175" s="46"/>
    </row>
    <row r="176" spans="3:40">
      <c r="F176" s="50"/>
      <c r="H176" s="50"/>
      <c r="I176" s="50"/>
      <c r="J176" s="326"/>
      <c r="K176" s="326"/>
      <c r="L176" s="50"/>
      <c r="M176" s="50"/>
      <c r="N176" s="50"/>
      <c r="O176" s="50"/>
      <c r="P176" s="50"/>
      <c r="Q176" s="50"/>
      <c r="R176" s="50"/>
      <c r="V176" s="50"/>
      <c r="Y176" s="50"/>
      <c r="Z176" s="326"/>
      <c r="AA176" s="50"/>
      <c r="AB176" s="50"/>
      <c r="AC176" s="50"/>
      <c r="AD176" s="50"/>
      <c r="AE176" s="50"/>
      <c r="AF176" s="50"/>
      <c r="AI176" s="50"/>
      <c r="AJ176" s="50"/>
      <c r="AK176" s="111"/>
      <c r="AL176" s="50"/>
      <c r="AM176" s="46"/>
      <c r="AN176" s="46"/>
    </row>
    <row r="177" spans="1:40">
      <c r="C177" s="42"/>
      <c r="F177" s="45"/>
      <c r="H177" s="45"/>
      <c r="I177" s="45"/>
      <c r="J177" s="47"/>
      <c r="K177" s="47"/>
      <c r="L177" s="45"/>
      <c r="M177" s="45"/>
      <c r="N177" s="46"/>
      <c r="O177" s="46"/>
      <c r="P177" s="45"/>
      <c r="Q177" s="45"/>
      <c r="R177" s="45"/>
      <c r="T177" s="42"/>
      <c r="V177" s="45"/>
      <c r="Y177" s="45"/>
      <c r="Z177" s="47"/>
      <c r="AA177" s="45"/>
      <c r="AB177" s="45"/>
      <c r="AC177" s="46"/>
      <c r="AD177" s="46"/>
      <c r="AE177" s="45"/>
      <c r="AF177" s="45"/>
      <c r="AH177" s="51"/>
      <c r="AI177" s="45"/>
      <c r="AJ177" s="45"/>
      <c r="AL177" s="45"/>
      <c r="AM177" s="46"/>
      <c r="AN177" s="46"/>
    </row>
    <row r="178" spans="1:40">
      <c r="C178" s="42"/>
      <c r="F178" s="45"/>
      <c r="H178" s="45"/>
      <c r="I178" s="45"/>
      <c r="J178" s="47"/>
      <c r="K178" s="47"/>
      <c r="L178" s="45"/>
      <c r="M178" s="45"/>
      <c r="N178" s="46"/>
      <c r="O178" s="46"/>
      <c r="P178" s="45"/>
      <c r="Q178" s="45"/>
      <c r="R178" s="45"/>
      <c r="T178" s="42"/>
      <c r="V178" s="45"/>
      <c r="Y178" s="45"/>
      <c r="Z178" s="47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1:40">
      <c r="F179" s="50"/>
      <c r="H179" s="50"/>
      <c r="I179" s="50"/>
      <c r="J179" s="326"/>
      <c r="K179" s="326"/>
      <c r="L179" s="50"/>
      <c r="M179" s="50"/>
      <c r="N179" s="50"/>
      <c r="O179" s="50"/>
      <c r="P179" s="50"/>
      <c r="Q179" s="50"/>
      <c r="R179" s="50"/>
      <c r="V179" s="50"/>
      <c r="Y179" s="50"/>
      <c r="Z179" s="326"/>
      <c r="AA179" s="50"/>
      <c r="AB179" s="50"/>
      <c r="AC179" s="50"/>
      <c r="AD179" s="50"/>
      <c r="AE179" s="50"/>
      <c r="AF179" s="50"/>
      <c r="AI179" s="50"/>
      <c r="AJ179" s="50"/>
      <c r="AK179" s="111"/>
      <c r="AL179" s="50"/>
      <c r="AM179" s="45"/>
      <c r="AN179" s="45"/>
    </row>
    <row r="180" spans="1:40">
      <c r="F180" s="45"/>
      <c r="H180" s="45"/>
      <c r="I180" s="45"/>
      <c r="J180" s="47"/>
      <c r="K180" s="47"/>
      <c r="L180" s="45"/>
      <c r="M180" s="45"/>
      <c r="N180" s="45"/>
      <c r="O180" s="45"/>
      <c r="P180" s="45"/>
      <c r="Q180" s="45"/>
      <c r="R180" s="45"/>
      <c r="V180" s="45"/>
      <c r="Y180" s="45"/>
      <c r="Z180" s="47"/>
      <c r="AA180" s="45"/>
      <c r="AB180" s="45"/>
      <c r="AC180" s="45"/>
      <c r="AD180" s="45"/>
    </row>
    <row r="181" spans="1:40">
      <c r="C181" s="42"/>
      <c r="F181" s="45"/>
      <c r="H181" s="45"/>
      <c r="I181" s="45"/>
      <c r="J181" s="47"/>
      <c r="K181" s="47"/>
      <c r="L181" s="45"/>
      <c r="M181" s="45"/>
      <c r="N181" s="45"/>
      <c r="O181" s="45"/>
      <c r="P181" s="45"/>
      <c r="Q181" s="45"/>
      <c r="R181" s="45"/>
      <c r="T181" s="42"/>
      <c r="V181" s="45"/>
      <c r="Y181" s="45"/>
      <c r="Z181" s="47"/>
      <c r="AA181" s="45"/>
      <c r="AB181" s="45"/>
      <c r="AC181" s="45"/>
      <c r="AD181" s="45"/>
    </row>
    <row r="182" spans="1:40">
      <c r="A182" s="42"/>
    </row>
    <row r="184" spans="1:40">
      <c r="H184" s="42"/>
      <c r="I184" s="42"/>
      <c r="Y184" s="42"/>
    </row>
    <row r="186" spans="1:40">
      <c r="L186" s="42"/>
      <c r="M186" s="42"/>
      <c r="AA186" s="42"/>
      <c r="AB186" s="42"/>
    </row>
    <row r="187" spans="1:40">
      <c r="R187" s="42"/>
      <c r="AK187" s="110"/>
      <c r="AL187" s="42"/>
    </row>
    <row r="188" spans="1:40">
      <c r="R188" s="42"/>
      <c r="AK188" s="110"/>
      <c r="AL188" s="42"/>
    </row>
    <row r="189" spans="1:40">
      <c r="A189" s="42"/>
      <c r="R189" s="42"/>
      <c r="AK189" s="110"/>
      <c r="AL189" s="42"/>
    </row>
    <row r="190" spans="1:40">
      <c r="L190" s="42"/>
      <c r="M190" s="42"/>
      <c r="AA190" s="42"/>
      <c r="AB190" s="42"/>
    </row>
    <row r="191" spans="1:40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107"/>
      <c r="AH191" s="49"/>
      <c r="AI191" s="49"/>
      <c r="AJ191" s="49"/>
      <c r="AK191" s="107"/>
      <c r="AL191" s="49"/>
      <c r="AM191" s="49"/>
      <c r="AN191" s="49"/>
    </row>
    <row r="192" spans="1:40">
      <c r="L192" s="44"/>
      <c r="M192" s="44"/>
      <c r="N192" s="44"/>
      <c r="O192" s="44"/>
      <c r="R192" s="44"/>
      <c r="AA192" s="44"/>
      <c r="AB192" s="44"/>
      <c r="AC192" s="44"/>
      <c r="AD192" s="44"/>
      <c r="AE192" s="44"/>
      <c r="AF192" s="44"/>
      <c r="AG192" s="102"/>
      <c r="AH192" s="44"/>
      <c r="AK192" s="102"/>
      <c r="AL192" s="44"/>
      <c r="AM192" s="44"/>
      <c r="AN192" s="44"/>
    </row>
    <row r="193" spans="1:40">
      <c r="L193" s="44"/>
      <c r="M193" s="44"/>
      <c r="N193" s="44"/>
      <c r="O193" s="44"/>
      <c r="R193" s="44"/>
      <c r="Z193" s="44"/>
      <c r="AA193" s="44"/>
      <c r="AB193" s="44"/>
      <c r="AC193" s="44"/>
      <c r="AD193" s="44"/>
      <c r="AE193" s="44"/>
      <c r="AF193" s="44"/>
      <c r="AG193" s="102"/>
      <c r="AH193" s="44"/>
      <c r="AK193" s="102"/>
      <c r="AL193" s="44"/>
      <c r="AM193" s="44"/>
      <c r="AN193" s="44"/>
    </row>
    <row r="194" spans="1:40">
      <c r="A194" s="44"/>
      <c r="C194" s="44"/>
      <c r="D194" s="44"/>
      <c r="E194" s="44"/>
      <c r="F194" s="44"/>
      <c r="J194" s="44"/>
      <c r="K194" s="44"/>
      <c r="L194" s="44"/>
      <c r="M194" s="44"/>
      <c r="N194" s="44"/>
      <c r="O194" s="44"/>
      <c r="P194" s="44"/>
      <c r="Q194" s="44"/>
      <c r="R194" s="44"/>
      <c r="T194" s="44"/>
      <c r="U194" s="44"/>
      <c r="V194" s="44"/>
      <c r="Z194" s="44"/>
      <c r="AA194" s="44"/>
      <c r="AB194" s="44"/>
      <c r="AC194" s="44"/>
      <c r="AD194" s="44"/>
      <c r="AE194" s="44"/>
      <c r="AF194" s="44"/>
      <c r="AG194" s="102"/>
      <c r="AH194" s="44"/>
      <c r="AI194" s="44"/>
      <c r="AJ194" s="44"/>
      <c r="AK194" s="102"/>
      <c r="AL194" s="44"/>
      <c r="AM194" s="44"/>
      <c r="AN194" s="44"/>
    </row>
    <row r="195" spans="1:40">
      <c r="A195" s="44"/>
      <c r="C195" s="44"/>
      <c r="D195" s="44"/>
      <c r="E195" s="44"/>
      <c r="F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T195" s="44"/>
      <c r="U195" s="44"/>
      <c r="V195" s="44"/>
      <c r="Y195" s="44"/>
      <c r="Z195" s="44"/>
      <c r="AA195" s="44"/>
      <c r="AB195" s="44"/>
      <c r="AC195" s="44"/>
      <c r="AD195" s="44"/>
      <c r="AE195" s="44"/>
      <c r="AF195" s="44"/>
      <c r="AG195" s="102"/>
      <c r="AH195" s="44"/>
      <c r="AI195" s="44"/>
      <c r="AJ195" s="44"/>
      <c r="AK195" s="102"/>
      <c r="AL195" s="44"/>
      <c r="AM195" s="44"/>
      <c r="AN195" s="44"/>
    </row>
    <row r="196" spans="1:40">
      <c r="C196" s="44"/>
      <c r="D196" s="44"/>
      <c r="E196" s="44"/>
      <c r="F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Y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107"/>
      <c r="AH197" s="49"/>
      <c r="AI197" s="49"/>
      <c r="AJ197" s="49"/>
      <c r="AK197" s="107"/>
      <c r="AL197" s="49"/>
      <c r="AM197" s="49"/>
      <c r="AN197" s="49"/>
    </row>
    <row r="198" spans="1:40"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>
      <c r="C199" s="42"/>
      <c r="D199" s="42"/>
      <c r="E199" s="42"/>
      <c r="T199" s="42"/>
      <c r="U199" s="42"/>
    </row>
    <row r="201" spans="1:40">
      <c r="C201" s="42"/>
      <c r="F201" s="164"/>
      <c r="H201" s="329"/>
      <c r="I201" s="329"/>
      <c r="J201" s="316"/>
      <c r="K201" s="316"/>
      <c r="L201" s="45"/>
      <c r="M201" s="45"/>
      <c r="R201" s="45"/>
      <c r="T201" s="42"/>
      <c r="V201" s="45"/>
      <c r="Z201" s="316"/>
      <c r="AA201" s="45"/>
      <c r="AB201" s="45"/>
      <c r="AE201" s="45"/>
      <c r="AF201" s="45"/>
      <c r="AG201" s="333"/>
      <c r="AH201" s="334"/>
      <c r="AI201" s="45"/>
      <c r="AJ201" s="45"/>
      <c r="AL201" s="45"/>
      <c r="AM201" s="335"/>
      <c r="AN201" s="335"/>
    </row>
    <row r="202" spans="1:40">
      <c r="F202" s="164"/>
      <c r="H202" s="329"/>
      <c r="I202" s="329"/>
      <c r="J202" s="329"/>
      <c r="K202" s="329"/>
      <c r="R202" s="45"/>
      <c r="V202" s="45"/>
      <c r="Z202" s="329"/>
    </row>
    <row r="203" spans="1:40">
      <c r="C203" s="42"/>
      <c r="F203" s="164"/>
      <c r="H203" s="164"/>
      <c r="I203" s="164"/>
      <c r="J203" s="331"/>
      <c r="K203" s="331"/>
      <c r="L203" s="45"/>
      <c r="M203" s="45"/>
      <c r="N203" s="46"/>
      <c r="O203" s="46"/>
      <c r="P203" s="164"/>
      <c r="Q203" s="164"/>
      <c r="R203" s="45"/>
      <c r="T203" s="42"/>
      <c r="V203" s="45"/>
      <c r="Y203" s="45"/>
      <c r="Z203" s="325"/>
      <c r="AA203" s="45"/>
      <c r="AB203" s="45"/>
      <c r="AC203" s="46"/>
      <c r="AD203" s="46"/>
      <c r="AE203" s="45"/>
      <c r="AF203" s="45"/>
      <c r="AH203" s="51"/>
      <c r="AI203" s="164"/>
      <c r="AJ203" s="164"/>
      <c r="AL203" s="45"/>
      <c r="AM203" s="46"/>
      <c r="AN203" s="46"/>
    </row>
    <row r="204" spans="1:40">
      <c r="F204" s="50"/>
      <c r="H204" s="50"/>
      <c r="I204" s="50"/>
      <c r="J204" s="326"/>
      <c r="K204" s="326"/>
      <c r="L204" s="50"/>
      <c r="M204" s="50"/>
      <c r="N204" s="50"/>
      <c r="O204" s="50"/>
      <c r="P204" s="50"/>
      <c r="Q204" s="50"/>
      <c r="R204" s="50"/>
      <c r="V204" s="50"/>
      <c r="Y204" s="50"/>
      <c r="Z204" s="326"/>
      <c r="AA204" s="50"/>
      <c r="AB204" s="50"/>
      <c r="AC204" s="50"/>
      <c r="AD204" s="50"/>
      <c r="AE204" s="50"/>
      <c r="AF204" s="50"/>
      <c r="AI204" s="50"/>
      <c r="AJ204" s="50"/>
      <c r="AK204" s="111"/>
      <c r="AL204" s="50"/>
    </row>
    <row r="205" spans="1:40">
      <c r="D205" s="42"/>
      <c r="E205" s="42"/>
      <c r="F205" s="45"/>
      <c r="H205" s="45"/>
      <c r="I205" s="45"/>
      <c r="J205" s="47"/>
      <c r="K205" s="47"/>
      <c r="L205" s="45"/>
      <c r="M205" s="45"/>
      <c r="N205" s="46"/>
      <c r="O205" s="46"/>
      <c r="P205" s="45"/>
      <c r="Q205" s="45"/>
      <c r="R205" s="45"/>
      <c r="U205" s="42"/>
      <c r="V205" s="45"/>
      <c r="Y205" s="45"/>
      <c r="Z205" s="47"/>
      <c r="AA205" s="45"/>
      <c r="AB205" s="45"/>
      <c r="AC205" s="46"/>
      <c r="AD205" s="46"/>
      <c r="AE205" s="45"/>
      <c r="AF205" s="45"/>
      <c r="AH205" s="51"/>
      <c r="AI205" s="45"/>
      <c r="AJ205" s="45"/>
      <c r="AL205" s="45"/>
      <c r="AM205" s="46"/>
      <c r="AN205" s="46"/>
    </row>
    <row r="206" spans="1:40">
      <c r="F206" s="50"/>
      <c r="H206" s="50"/>
      <c r="I206" s="50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50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</row>
    <row r="207" spans="1:40">
      <c r="R207" s="45"/>
    </row>
    <row r="208" spans="1:40">
      <c r="R208" s="45"/>
    </row>
    <row r="209" spans="1:40">
      <c r="R209" s="45"/>
    </row>
    <row r="210" spans="1:40">
      <c r="C210" s="42"/>
      <c r="D210" s="42"/>
      <c r="E210" s="42"/>
      <c r="H210" s="45"/>
      <c r="I210" s="45"/>
      <c r="J210" s="47"/>
      <c r="K210" s="47"/>
      <c r="L210" s="45"/>
      <c r="M210" s="45"/>
      <c r="N210" s="46"/>
      <c r="O210" s="46"/>
      <c r="P210" s="45"/>
      <c r="Q210" s="45"/>
      <c r="R210" s="45"/>
      <c r="T210" s="42"/>
      <c r="U210" s="42"/>
      <c r="Y210" s="45"/>
      <c r="Z210" s="47"/>
      <c r="AA210" s="45"/>
      <c r="AB210" s="45"/>
      <c r="AC210" s="46"/>
      <c r="AD210" s="46"/>
    </row>
    <row r="211" spans="1:40">
      <c r="H211" s="45"/>
      <c r="I211" s="45"/>
      <c r="J211" s="47"/>
      <c r="K211" s="47"/>
      <c r="L211" s="45"/>
      <c r="M211" s="45"/>
      <c r="N211" s="46"/>
      <c r="O211" s="46"/>
      <c r="P211" s="45"/>
      <c r="Q211" s="45"/>
      <c r="R211" s="45"/>
      <c r="Y211" s="45"/>
      <c r="Z211" s="47"/>
      <c r="AA211" s="45"/>
      <c r="AB211" s="45"/>
      <c r="AC211" s="46"/>
      <c r="AD211" s="46"/>
    </row>
    <row r="212" spans="1:40">
      <c r="C212" s="42"/>
      <c r="F212" s="164"/>
      <c r="H212" s="164"/>
      <c r="I212" s="164"/>
      <c r="J212" s="52"/>
      <c r="K212" s="52"/>
      <c r="L212" s="164"/>
      <c r="M212" s="164"/>
      <c r="N212" s="46"/>
      <c r="O212" s="46"/>
      <c r="P212" s="45"/>
      <c r="Q212" s="45"/>
      <c r="R212" s="45"/>
      <c r="T212" s="42"/>
      <c r="V212" s="45"/>
      <c r="Y212" s="45"/>
      <c r="Z212" s="52"/>
      <c r="AA212" s="45"/>
      <c r="AB212" s="45"/>
      <c r="AC212" s="46"/>
      <c r="AD212" s="46"/>
      <c r="AE212" s="45"/>
      <c r="AF212" s="45"/>
      <c r="AH212" s="51"/>
      <c r="AI212" s="45"/>
      <c r="AJ212" s="45"/>
      <c r="AL212" s="45"/>
      <c r="AM212" s="46"/>
      <c r="AN212" s="46"/>
    </row>
    <row r="213" spans="1:40">
      <c r="F213" s="164"/>
      <c r="H213" s="329"/>
      <c r="I213" s="329"/>
      <c r="J213" s="329"/>
      <c r="K213" s="329"/>
      <c r="R213" s="45"/>
      <c r="V213" s="45"/>
      <c r="Z213" s="329"/>
    </row>
    <row r="214" spans="1:40">
      <c r="C214" s="42"/>
      <c r="F214" s="164"/>
      <c r="H214" s="164"/>
      <c r="I214" s="164"/>
      <c r="J214" s="316"/>
      <c r="K214" s="316"/>
      <c r="L214" s="45"/>
      <c r="M214" s="45"/>
      <c r="N214" s="46"/>
      <c r="O214" s="46"/>
      <c r="P214" s="45"/>
      <c r="Q214" s="45"/>
      <c r="R214" s="45"/>
      <c r="T214" s="42"/>
      <c r="V214" s="45"/>
      <c r="Y214" s="45"/>
      <c r="Z214" s="316"/>
      <c r="AA214" s="45"/>
      <c r="AB214" s="45"/>
      <c r="AC214" s="46"/>
      <c r="AD214" s="46"/>
      <c r="AE214" s="45"/>
      <c r="AF214" s="45"/>
      <c r="AH214" s="51"/>
      <c r="AI214" s="45"/>
      <c r="AJ214" s="45"/>
      <c r="AL214" s="45"/>
      <c r="AM214" s="46"/>
      <c r="AN214" s="46"/>
    </row>
    <row r="215" spans="1:40">
      <c r="F215" s="164"/>
      <c r="H215" s="329"/>
      <c r="I215" s="329"/>
      <c r="J215" s="329"/>
      <c r="K215" s="329"/>
      <c r="R215" s="45"/>
      <c r="V215" s="45"/>
      <c r="Z215" s="329"/>
    </row>
    <row r="216" spans="1:40">
      <c r="C216" s="42"/>
      <c r="F216" s="164"/>
      <c r="H216" s="164"/>
      <c r="I216" s="164"/>
      <c r="J216" s="331"/>
      <c r="K216" s="331"/>
      <c r="L216" s="45"/>
      <c r="M216" s="45"/>
      <c r="N216" s="46"/>
      <c r="O216" s="46"/>
      <c r="P216" s="45"/>
      <c r="Q216" s="45"/>
      <c r="R216" s="45"/>
      <c r="T216" s="42"/>
      <c r="V216" s="45"/>
      <c r="Y216" s="45"/>
      <c r="Z216" s="325"/>
      <c r="AA216" s="45"/>
      <c r="AB216" s="45"/>
      <c r="AC216" s="46"/>
      <c r="AD216" s="46"/>
      <c r="AE216" s="45"/>
      <c r="AF216" s="45"/>
      <c r="AH216" s="51"/>
      <c r="AI216" s="45"/>
      <c r="AJ216" s="45"/>
      <c r="AL216" s="45"/>
      <c r="AM216" s="46"/>
      <c r="AN216" s="46"/>
    </row>
    <row r="217" spans="1:40">
      <c r="F217" s="50"/>
      <c r="H217" s="50"/>
      <c r="I217" s="50"/>
      <c r="J217" s="326"/>
      <c r="K217" s="326"/>
      <c r="L217" s="50"/>
      <c r="M217" s="50"/>
      <c r="N217" s="50"/>
      <c r="O217" s="50"/>
      <c r="P217" s="50"/>
      <c r="Q217" s="50"/>
      <c r="R217" s="50"/>
      <c r="S217" s="45"/>
      <c r="V217" s="50"/>
      <c r="Y217" s="50"/>
      <c r="Z217" s="326"/>
      <c r="AA217" s="50"/>
      <c r="AB217" s="50"/>
      <c r="AC217" s="50"/>
      <c r="AD217" s="50"/>
      <c r="AE217" s="50"/>
      <c r="AF217" s="50"/>
      <c r="AI217" s="50"/>
      <c r="AJ217" s="50"/>
      <c r="AK217" s="111"/>
      <c r="AL217" s="50"/>
    </row>
    <row r="218" spans="1:40">
      <c r="D218" s="42"/>
      <c r="E218" s="42"/>
      <c r="F218" s="45"/>
      <c r="H218" s="45"/>
      <c r="I218" s="45"/>
      <c r="J218" s="47"/>
      <c r="K218" s="47"/>
      <c r="L218" s="45"/>
      <c r="M218" s="45"/>
      <c r="N218" s="46"/>
      <c r="O218" s="46"/>
      <c r="P218" s="164"/>
      <c r="Q218" s="164"/>
      <c r="R218" s="45"/>
      <c r="S218" s="45"/>
      <c r="U218" s="42"/>
      <c r="V218" s="45"/>
      <c r="Y218" s="45"/>
      <c r="Z218" s="47"/>
      <c r="AA218" s="45"/>
      <c r="AB218" s="45"/>
      <c r="AC218" s="46"/>
      <c r="AD218" s="46"/>
      <c r="AE218" s="45"/>
      <c r="AF218" s="45"/>
      <c r="AH218" s="51"/>
      <c r="AI218" s="164"/>
      <c r="AJ218" s="164"/>
      <c r="AL218" s="45"/>
      <c r="AM218" s="46"/>
      <c r="AN218" s="46"/>
    </row>
    <row r="219" spans="1:40">
      <c r="F219" s="50"/>
      <c r="H219" s="50"/>
      <c r="I219" s="50"/>
      <c r="J219" s="326"/>
      <c r="K219" s="326"/>
      <c r="L219" s="50"/>
      <c r="M219" s="50"/>
      <c r="N219" s="50"/>
      <c r="O219" s="50"/>
      <c r="P219" s="50"/>
      <c r="Q219" s="50"/>
      <c r="R219" s="50"/>
      <c r="S219" s="45"/>
      <c r="V219" s="50"/>
      <c r="Y219" s="50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</row>
    <row r="220" spans="1:40">
      <c r="R220" s="45"/>
    </row>
    <row r="221" spans="1:40">
      <c r="F221" s="45"/>
      <c r="H221" s="45"/>
      <c r="I221" s="45"/>
      <c r="J221" s="47"/>
      <c r="K221" s="47"/>
      <c r="L221" s="45"/>
      <c r="M221" s="45"/>
      <c r="N221" s="45"/>
      <c r="O221" s="45"/>
      <c r="P221" s="45"/>
      <c r="Q221" s="45"/>
      <c r="R221" s="45"/>
      <c r="V221" s="45"/>
      <c r="Y221" s="45"/>
      <c r="Z221" s="47"/>
      <c r="AA221" s="45"/>
      <c r="AB221" s="45"/>
      <c r="AC221" s="45"/>
      <c r="AD221" s="45"/>
    </row>
    <row r="222" spans="1:40">
      <c r="C222" s="42"/>
      <c r="F222" s="45"/>
      <c r="H222" s="45"/>
      <c r="I222" s="45"/>
      <c r="J222" s="47"/>
      <c r="K222" s="47"/>
      <c r="L222" s="45"/>
      <c r="M222" s="45"/>
      <c r="N222" s="45"/>
      <c r="O222" s="45"/>
      <c r="P222" s="45"/>
      <c r="Q222" s="45"/>
      <c r="R222" s="45"/>
      <c r="T222" s="42"/>
      <c r="V222" s="45"/>
      <c r="Y222" s="45"/>
      <c r="Z222" s="47"/>
      <c r="AA222" s="45"/>
      <c r="AB222" s="45"/>
      <c r="AC222" s="45"/>
      <c r="AD222" s="45"/>
    </row>
    <row r="223" spans="1:40">
      <c r="C223" s="42"/>
      <c r="T223" s="42"/>
    </row>
    <row r="224" spans="1:40">
      <c r="A224" s="42"/>
    </row>
    <row r="227" spans="1:40">
      <c r="H227" s="42"/>
      <c r="I227" s="42"/>
      <c r="Y227" s="42"/>
    </row>
    <row r="229" spans="1:40">
      <c r="L229" s="42"/>
      <c r="M229" s="42"/>
      <c r="AA229" s="42"/>
      <c r="AB229" s="42"/>
    </row>
    <row r="230" spans="1:40">
      <c r="R230" s="42"/>
      <c r="AK230" s="110"/>
      <c r="AL230" s="42"/>
    </row>
    <row r="231" spans="1:40">
      <c r="R231" s="42"/>
      <c r="AK231" s="110"/>
      <c r="AL231" s="42"/>
    </row>
    <row r="232" spans="1:40">
      <c r="A232" s="42"/>
      <c r="R232" s="42"/>
      <c r="AK232" s="110"/>
      <c r="AL232" s="42"/>
    </row>
    <row r="233" spans="1:40">
      <c r="L233" s="42"/>
      <c r="M233" s="42"/>
      <c r="AA233" s="42"/>
      <c r="AB233" s="42"/>
    </row>
    <row r="234" spans="1:40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107"/>
      <c r="AH234" s="49"/>
      <c r="AI234" s="49"/>
      <c r="AJ234" s="49"/>
      <c r="AK234" s="107"/>
      <c r="AL234" s="49"/>
      <c r="AM234" s="49"/>
      <c r="AN234" s="49"/>
    </row>
    <row r="235" spans="1:40">
      <c r="L235" s="44"/>
      <c r="M235" s="44"/>
      <c r="N235" s="44"/>
      <c r="O235" s="44"/>
      <c r="R235" s="44"/>
      <c r="AA235" s="44"/>
      <c r="AB235" s="44"/>
      <c r="AC235" s="44"/>
      <c r="AD235" s="44"/>
      <c r="AE235" s="44"/>
      <c r="AF235" s="44"/>
      <c r="AG235" s="102"/>
      <c r="AH235" s="44"/>
      <c r="AK235" s="102"/>
      <c r="AL235" s="44"/>
      <c r="AM235" s="44"/>
      <c r="AN235" s="44"/>
    </row>
    <row r="236" spans="1:40">
      <c r="L236" s="44"/>
      <c r="M236" s="44"/>
      <c r="N236" s="44"/>
      <c r="O236" s="44"/>
      <c r="R236" s="44"/>
      <c r="Z236" s="44"/>
      <c r="AA236" s="44"/>
      <c r="AB236" s="44"/>
      <c r="AC236" s="44"/>
      <c r="AD236" s="44"/>
      <c r="AE236" s="44"/>
      <c r="AF236" s="44"/>
      <c r="AG236" s="102"/>
      <c r="AH236" s="44"/>
      <c r="AK236" s="102"/>
      <c r="AL236" s="44"/>
      <c r="AM236" s="44"/>
      <c r="AN236" s="44"/>
    </row>
    <row r="237" spans="1:40">
      <c r="A237" s="44"/>
      <c r="C237" s="44"/>
      <c r="D237" s="44"/>
      <c r="E237" s="44"/>
      <c r="F237" s="44"/>
      <c r="J237" s="44"/>
      <c r="K237" s="44"/>
      <c r="L237" s="44"/>
      <c r="M237" s="44"/>
      <c r="N237" s="44"/>
      <c r="O237" s="44"/>
      <c r="P237" s="44"/>
      <c r="Q237" s="44"/>
      <c r="R237" s="44"/>
      <c r="T237" s="44"/>
      <c r="U237" s="44"/>
      <c r="V237" s="44"/>
      <c r="Z237" s="44"/>
      <c r="AA237" s="44"/>
      <c r="AB237" s="44"/>
      <c r="AC237" s="44"/>
      <c r="AD237" s="44"/>
      <c r="AE237" s="44"/>
      <c r="AF237" s="44"/>
      <c r="AG237" s="102"/>
      <c r="AH237" s="44"/>
      <c r="AI237" s="44"/>
      <c r="AJ237" s="44"/>
      <c r="AK237" s="102"/>
      <c r="AL237" s="44"/>
      <c r="AM237" s="44"/>
      <c r="AN237" s="44"/>
    </row>
    <row r="238" spans="1:40">
      <c r="A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T238" s="44"/>
      <c r="U238" s="44"/>
      <c r="V238" s="44"/>
      <c r="Y238" s="44"/>
      <c r="Z238" s="44"/>
      <c r="AA238" s="44"/>
      <c r="AB238" s="44"/>
      <c r="AC238" s="44"/>
      <c r="AD238" s="44"/>
      <c r="AE238" s="44"/>
      <c r="AF238" s="44"/>
      <c r="AG238" s="102"/>
      <c r="AH238" s="44"/>
      <c r="AI238" s="44"/>
      <c r="AJ238" s="44"/>
      <c r="AK238" s="102"/>
      <c r="AL238" s="44"/>
      <c r="AM238" s="44"/>
      <c r="AN238" s="44"/>
    </row>
    <row r="239" spans="1:40"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Y239" s="44"/>
      <c r="Z239" s="44"/>
      <c r="AA239" s="44"/>
      <c r="AB239" s="44"/>
      <c r="AC239" s="44"/>
      <c r="AD239" s="44"/>
      <c r="AE239" s="44"/>
      <c r="AF239" s="44"/>
      <c r="AG239" s="102"/>
      <c r="AH239" s="44"/>
      <c r="AI239" s="44"/>
      <c r="AJ239" s="44"/>
      <c r="AK239" s="102"/>
      <c r="AL239" s="44"/>
      <c r="AM239" s="44"/>
      <c r="AN239" s="44"/>
    </row>
    <row r="240" spans="1:40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107"/>
      <c r="AH240" s="49"/>
      <c r="AI240" s="49"/>
      <c r="AJ240" s="49"/>
      <c r="AK240" s="107"/>
      <c r="AL240" s="49"/>
      <c r="AM240" s="49"/>
      <c r="AN240" s="49"/>
    </row>
    <row r="241" spans="3:40"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3:40">
      <c r="C242" s="42"/>
      <c r="D242" s="42"/>
      <c r="E242" s="42"/>
      <c r="T242" s="42"/>
      <c r="U242" s="42"/>
    </row>
    <row r="243" spans="3:40">
      <c r="D243" s="42"/>
      <c r="E243" s="42"/>
      <c r="U243" s="42"/>
    </row>
    <row r="245" spans="3:40">
      <c r="C245" s="42"/>
      <c r="F245" s="45"/>
      <c r="J245" s="53"/>
      <c r="K245" s="53"/>
      <c r="L245" s="45"/>
      <c r="M245" s="45"/>
      <c r="R245" s="45"/>
      <c r="T245" s="42"/>
      <c r="V245" s="45"/>
      <c r="Z245" s="53"/>
      <c r="AA245" s="45"/>
      <c r="AB245" s="45"/>
      <c r="AL245" s="45"/>
    </row>
    <row r="246" spans="3:40">
      <c r="F246" s="45"/>
      <c r="R246" s="45"/>
      <c r="V246" s="45"/>
      <c r="AL246" s="45"/>
    </row>
    <row r="247" spans="3:40">
      <c r="C247" s="42"/>
      <c r="F247" s="164"/>
      <c r="H247" s="164"/>
      <c r="I247" s="164"/>
      <c r="J247" s="316"/>
      <c r="K247" s="316"/>
      <c r="L247" s="45"/>
      <c r="M247" s="45"/>
      <c r="N247" s="46"/>
      <c r="O247" s="46"/>
      <c r="P247" s="45"/>
      <c r="Q247" s="45"/>
      <c r="R247" s="45"/>
      <c r="T247" s="42"/>
      <c r="V247" s="45"/>
      <c r="Y247" s="45"/>
      <c r="Z247" s="316"/>
      <c r="AA247" s="45"/>
      <c r="AB247" s="45"/>
      <c r="AC247" s="46"/>
      <c r="AD247" s="46"/>
      <c r="AE247" s="45"/>
      <c r="AF247" s="45"/>
      <c r="AH247" s="51"/>
      <c r="AI247" s="45"/>
      <c r="AJ247" s="45"/>
      <c r="AL247" s="45"/>
      <c r="AM247" s="46"/>
      <c r="AN247" s="46"/>
    </row>
    <row r="248" spans="3:40">
      <c r="C248" s="42"/>
      <c r="F248" s="164"/>
      <c r="H248" s="329"/>
      <c r="I248" s="329"/>
      <c r="J248" s="316"/>
      <c r="K248" s="316"/>
      <c r="L248" s="45"/>
      <c r="M248" s="45"/>
      <c r="N248" s="46"/>
      <c r="O248" s="46"/>
      <c r="P248" s="45"/>
      <c r="Q248" s="45"/>
      <c r="R248" s="45"/>
      <c r="T248" s="42"/>
      <c r="V248" s="45"/>
      <c r="Y248" s="45"/>
      <c r="Z248" s="316"/>
      <c r="AA248" s="45"/>
      <c r="AB248" s="45"/>
      <c r="AC248" s="46"/>
      <c r="AD248" s="46"/>
      <c r="AE248" s="45"/>
      <c r="AF248" s="45"/>
      <c r="AH248" s="51"/>
      <c r="AI248" s="45"/>
      <c r="AJ248" s="45"/>
      <c r="AL248" s="45"/>
      <c r="AM248" s="46"/>
      <c r="AN248" s="46"/>
    </row>
    <row r="249" spans="3:40">
      <c r="F249" s="50"/>
      <c r="H249" s="45"/>
      <c r="I249" s="45"/>
      <c r="J249" s="326"/>
      <c r="K249" s="326"/>
      <c r="L249" s="50"/>
      <c r="M249" s="50"/>
      <c r="N249" s="50"/>
      <c r="O249" s="50"/>
      <c r="P249" s="50"/>
      <c r="Q249" s="50"/>
      <c r="R249" s="50"/>
      <c r="V249" s="50"/>
      <c r="Y249" s="45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</row>
    <row r="250" spans="3:40">
      <c r="C250" s="42"/>
      <c r="F250" s="45"/>
      <c r="H250" s="45"/>
      <c r="I250" s="45"/>
      <c r="J250" s="47"/>
      <c r="K250" s="47"/>
      <c r="L250" s="45"/>
      <c r="M250" s="45"/>
      <c r="N250" s="46"/>
      <c r="O250" s="46"/>
      <c r="P250" s="45"/>
      <c r="Q250" s="45"/>
      <c r="R250" s="45"/>
      <c r="T250" s="42"/>
      <c r="V250" s="45"/>
      <c r="Y250" s="45"/>
      <c r="Z250" s="47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3:40">
      <c r="F251" s="50"/>
      <c r="H251" s="45"/>
      <c r="I251" s="45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45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3:40">
      <c r="F252" s="45"/>
      <c r="R252" s="45"/>
      <c r="V252" s="45"/>
      <c r="AL252" s="45"/>
    </row>
    <row r="253" spans="3:40">
      <c r="C253" s="42"/>
      <c r="F253" s="45"/>
      <c r="R253" s="45"/>
      <c r="T253" s="42"/>
      <c r="V253" s="45"/>
      <c r="AL253" s="45"/>
    </row>
    <row r="254" spans="3:40">
      <c r="F254" s="45"/>
      <c r="R254" s="45"/>
      <c r="V254" s="45"/>
      <c r="AL254" s="45"/>
    </row>
    <row r="255" spans="3:40">
      <c r="C255" s="42"/>
      <c r="F255" s="45"/>
      <c r="H255" s="164"/>
      <c r="I255" s="164"/>
      <c r="J255" s="331"/>
      <c r="K255" s="331"/>
      <c r="L255" s="45"/>
      <c r="M255" s="45"/>
      <c r="N255" s="46"/>
      <c r="O255" s="46"/>
      <c r="P255" s="164"/>
      <c r="Q255" s="164"/>
      <c r="R255" s="45"/>
      <c r="T255" s="42"/>
      <c r="V255" s="45"/>
      <c r="Y255" s="45"/>
      <c r="Z255" s="325"/>
      <c r="AA255" s="45"/>
      <c r="AB255" s="45"/>
      <c r="AC255" s="46"/>
      <c r="AD255" s="46"/>
      <c r="AE255" s="45"/>
      <c r="AF255" s="45"/>
      <c r="AH255" s="51"/>
      <c r="AI255" s="164"/>
      <c r="AJ255" s="164"/>
      <c r="AL255" s="45"/>
      <c r="AM255" s="46"/>
      <c r="AN255" s="46"/>
    </row>
    <row r="256" spans="3:40">
      <c r="H256" s="50"/>
      <c r="I256" s="50"/>
      <c r="J256" s="326"/>
      <c r="K256" s="326"/>
      <c r="L256" s="50"/>
      <c r="M256" s="50"/>
      <c r="N256" s="50"/>
      <c r="O256" s="50"/>
      <c r="P256" s="50"/>
      <c r="Q256" s="50"/>
      <c r="R256" s="50"/>
      <c r="V256" s="50"/>
      <c r="Y256" s="50"/>
      <c r="Z256" s="326"/>
      <c r="AA256" s="50"/>
      <c r="AB256" s="50"/>
      <c r="AC256" s="50"/>
      <c r="AD256" s="50"/>
      <c r="AE256" s="50"/>
      <c r="AF256" s="50"/>
      <c r="AI256" s="50"/>
      <c r="AJ256" s="50"/>
      <c r="AK256" s="111"/>
      <c r="AL256" s="50"/>
    </row>
    <row r="257" spans="1:40">
      <c r="F257" s="50"/>
    </row>
    <row r="258" spans="1:40">
      <c r="C258" s="42"/>
      <c r="F258" s="45"/>
      <c r="H258" s="45"/>
      <c r="I258" s="45"/>
      <c r="J258" s="53"/>
      <c r="K258" s="53"/>
      <c r="L258" s="45"/>
      <c r="M258" s="45"/>
      <c r="N258" s="46"/>
      <c r="O258" s="46"/>
      <c r="P258" s="45"/>
      <c r="Q258" s="45"/>
      <c r="R258" s="45"/>
      <c r="T258" s="42"/>
      <c r="V258" s="45"/>
      <c r="Y258" s="45"/>
      <c r="Z258" s="53"/>
      <c r="AA258" s="45"/>
      <c r="AB258" s="45"/>
      <c r="AC258" s="46"/>
      <c r="AD258" s="46"/>
      <c r="AE258" s="45"/>
      <c r="AF258" s="45"/>
      <c r="AH258" s="51"/>
      <c r="AI258" s="45"/>
      <c r="AJ258" s="45"/>
      <c r="AL258" s="45"/>
      <c r="AM258" s="46"/>
      <c r="AN258" s="46"/>
    </row>
    <row r="259" spans="1:40">
      <c r="F259" s="50"/>
      <c r="H259" s="50"/>
      <c r="I259" s="50"/>
      <c r="J259" s="326"/>
      <c r="K259" s="326"/>
      <c r="L259" s="50"/>
      <c r="M259" s="50"/>
      <c r="N259" s="50"/>
      <c r="O259" s="50"/>
      <c r="P259" s="50"/>
      <c r="Q259" s="50"/>
      <c r="R259" s="50"/>
      <c r="V259" s="50"/>
      <c r="Y259" s="50"/>
      <c r="Z259" s="326"/>
      <c r="AA259" s="50"/>
      <c r="AB259" s="50"/>
      <c r="AC259" s="50"/>
      <c r="AD259" s="50"/>
      <c r="AE259" s="50"/>
      <c r="AF259" s="50"/>
      <c r="AI259" s="50"/>
      <c r="AJ259" s="50"/>
      <c r="AK259" s="111"/>
      <c r="AL259" s="50"/>
    </row>
    <row r="260" spans="1:40">
      <c r="R260" s="45"/>
      <c r="AH260" s="45"/>
    </row>
    <row r="261" spans="1:40">
      <c r="F261" s="45"/>
      <c r="H261" s="45"/>
      <c r="I261" s="45"/>
      <c r="J261" s="47"/>
      <c r="K261" s="47"/>
      <c r="L261" s="45"/>
      <c r="M261" s="45"/>
      <c r="N261" s="45"/>
      <c r="O261" s="45"/>
      <c r="P261" s="45"/>
      <c r="Q261" s="45"/>
      <c r="R261" s="45"/>
      <c r="V261" s="45"/>
      <c r="Y261" s="45"/>
      <c r="Z261" s="47"/>
      <c r="AA261" s="45"/>
      <c r="AB261" s="45"/>
      <c r="AC261" s="45"/>
      <c r="AD261" s="45"/>
      <c r="AE261" s="45"/>
      <c r="AF261" s="45"/>
      <c r="AH261" s="45"/>
    </row>
    <row r="262" spans="1:40">
      <c r="C262" s="42"/>
      <c r="F262" s="45"/>
      <c r="H262" s="45"/>
      <c r="I262" s="45"/>
      <c r="J262" s="47"/>
      <c r="K262" s="47"/>
      <c r="L262" s="45"/>
      <c r="M262" s="45"/>
      <c r="N262" s="45"/>
      <c r="O262" s="45"/>
      <c r="P262" s="45"/>
      <c r="Q262" s="45"/>
      <c r="R262" s="45"/>
      <c r="T262" s="42"/>
      <c r="V262" s="45"/>
      <c r="Y262" s="45"/>
      <c r="Z262" s="47"/>
      <c r="AA262" s="45"/>
      <c r="AB262" s="45"/>
      <c r="AC262" s="45"/>
      <c r="AD262" s="45"/>
      <c r="AE262" s="45"/>
      <c r="AF262" s="45"/>
      <c r="AH262" s="45"/>
    </row>
    <row r="263" spans="1:40">
      <c r="A263" s="42"/>
    </row>
    <row r="266" spans="1:40">
      <c r="H266" s="42"/>
      <c r="I266" s="42"/>
      <c r="Y266" s="42"/>
    </row>
    <row r="268" spans="1:40">
      <c r="L268" s="42"/>
      <c r="M268" s="42"/>
      <c r="AA268" s="42"/>
      <c r="AB268" s="42"/>
    </row>
    <row r="269" spans="1:40">
      <c r="R269" s="42"/>
      <c r="AK269" s="110"/>
      <c r="AL269" s="42"/>
    </row>
    <row r="270" spans="1:40">
      <c r="R270" s="42"/>
      <c r="AK270" s="110"/>
      <c r="AL270" s="42"/>
    </row>
    <row r="271" spans="1:40">
      <c r="A271" s="42"/>
      <c r="R271" s="42"/>
      <c r="AK271" s="110"/>
      <c r="AL271" s="42"/>
    </row>
    <row r="272" spans="1:40">
      <c r="L272" s="42"/>
      <c r="M272" s="42"/>
      <c r="AA272" s="42"/>
      <c r="AB272" s="42"/>
    </row>
    <row r="273" spans="1:40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107"/>
      <c r="AH273" s="49"/>
      <c r="AI273" s="49"/>
      <c r="AJ273" s="49"/>
      <c r="AK273" s="107"/>
      <c r="AL273" s="49"/>
      <c r="AM273" s="49"/>
      <c r="AN273" s="49"/>
    </row>
    <row r="274" spans="1:40">
      <c r="L274" s="44"/>
      <c r="M274" s="44"/>
      <c r="N274" s="44"/>
      <c r="O274" s="44"/>
      <c r="R274" s="44"/>
      <c r="AA274" s="44"/>
      <c r="AB274" s="44"/>
      <c r="AC274" s="44"/>
      <c r="AD274" s="44"/>
      <c r="AE274" s="44"/>
      <c r="AF274" s="44"/>
      <c r="AG274" s="102"/>
      <c r="AH274" s="44"/>
      <c r="AK274" s="102"/>
      <c r="AL274" s="44"/>
      <c r="AM274" s="44"/>
      <c r="AN274" s="44"/>
    </row>
    <row r="275" spans="1:40">
      <c r="L275" s="44"/>
      <c r="M275" s="44"/>
      <c r="N275" s="44"/>
      <c r="O275" s="44"/>
      <c r="R275" s="44"/>
      <c r="Z275" s="44"/>
      <c r="AA275" s="44"/>
      <c r="AB275" s="44"/>
      <c r="AC275" s="44"/>
      <c r="AD275" s="44"/>
      <c r="AE275" s="44"/>
      <c r="AF275" s="44"/>
      <c r="AG275" s="102"/>
      <c r="AH275" s="44"/>
      <c r="AK275" s="102"/>
      <c r="AL275" s="44"/>
      <c r="AM275" s="44"/>
      <c r="AN275" s="44"/>
    </row>
    <row r="276" spans="1:40">
      <c r="A276" s="44"/>
      <c r="C276" s="44"/>
      <c r="D276" s="44"/>
      <c r="E276" s="44"/>
      <c r="F276" s="44"/>
      <c r="J276" s="44"/>
      <c r="K276" s="44"/>
      <c r="L276" s="44"/>
      <c r="M276" s="44"/>
      <c r="N276" s="44"/>
      <c r="O276" s="44"/>
      <c r="P276" s="44"/>
      <c r="Q276" s="44"/>
      <c r="R276" s="44"/>
      <c r="T276" s="44"/>
      <c r="U276" s="44"/>
      <c r="V276" s="44"/>
      <c r="Z276" s="44"/>
      <c r="AA276" s="44"/>
      <c r="AB276" s="44"/>
      <c r="AC276" s="44"/>
      <c r="AD276" s="44"/>
      <c r="AE276" s="44"/>
      <c r="AF276" s="44"/>
      <c r="AG276" s="102"/>
      <c r="AH276" s="44"/>
      <c r="AI276" s="44"/>
      <c r="AJ276" s="44"/>
      <c r="AK276" s="102"/>
      <c r="AL276" s="44"/>
      <c r="AM276" s="44"/>
      <c r="AN276" s="44"/>
    </row>
    <row r="277" spans="1:40">
      <c r="A277" s="44"/>
      <c r="C277" s="44"/>
      <c r="D277" s="44"/>
      <c r="E277" s="44"/>
      <c r="F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T277" s="44"/>
      <c r="U277" s="44"/>
      <c r="V277" s="44"/>
      <c r="Y277" s="44"/>
      <c r="Z277" s="44"/>
      <c r="AA277" s="44"/>
      <c r="AB277" s="44"/>
      <c r="AC277" s="44"/>
      <c r="AD277" s="44"/>
      <c r="AE277" s="44"/>
      <c r="AF277" s="44"/>
      <c r="AG277" s="102"/>
      <c r="AH277" s="44"/>
      <c r="AI277" s="44"/>
      <c r="AJ277" s="44"/>
      <c r="AK277" s="102"/>
      <c r="AL277" s="44"/>
      <c r="AM277" s="44"/>
      <c r="AN277" s="44"/>
    </row>
    <row r="278" spans="1:40">
      <c r="C278" s="44"/>
      <c r="D278" s="44"/>
      <c r="E278" s="44"/>
      <c r="F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T278" s="44"/>
      <c r="U278" s="44"/>
      <c r="V278" s="44"/>
      <c r="Y278" s="44"/>
      <c r="Z278" s="44"/>
      <c r="AA278" s="44"/>
      <c r="AB278" s="44"/>
      <c r="AC278" s="44"/>
      <c r="AD278" s="44"/>
      <c r="AE278" s="44"/>
      <c r="AF278" s="44"/>
      <c r="AG278" s="102"/>
      <c r="AH278" s="44"/>
      <c r="AI278" s="44"/>
      <c r="AJ278" s="44"/>
      <c r="AK278" s="102"/>
      <c r="AL278" s="44"/>
      <c r="AM278" s="44"/>
      <c r="AN278" s="44"/>
    </row>
    <row r="279" spans="1:40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107"/>
      <c r="AH279" s="49"/>
      <c r="AI279" s="49"/>
      <c r="AJ279" s="49"/>
      <c r="AK279" s="107"/>
      <c r="AL279" s="49"/>
      <c r="AM279" s="49"/>
      <c r="AN279" s="49"/>
    </row>
    <row r="280" spans="1:40"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Y280" s="44"/>
      <c r="Z280" s="44"/>
      <c r="AA280" s="44"/>
      <c r="AB280" s="44"/>
      <c r="AC280" s="44"/>
      <c r="AD280" s="44"/>
      <c r="AE280" s="44"/>
      <c r="AF280" s="44"/>
      <c r="AG280" s="102"/>
      <c r="AH280" s="44"/>
      <c r="AI280" s="44"/>
      <c r="AJ280" s="44"/>
      <c r="AK280" s="102"/>
      <c r="AL280" s="44"/>
      <c r="AM280" s="44"/>
      <c r="AN280" s="44"/>
    </row>
    <row r="281" spans="1:40">
      <c r="C281" s="42"/>
      <c r="D281" s="42"/>
      <c r="E281" s="42"/>
      <c r="T281" s="42"/>
      <c r="U281" s="42"/>
    </row>
    <row r="282" spans="1:40">
      <c r="C282" s="42"/>
      <c r="T282" s="42"/>
    </row>
    <row r="284" spans="1:40">
      <c r="C284" s="42"/>
      <c r="F284" s="164"/>
      <c r="H284" s="164"/>
      <c r="I284" s="164"/>
      <c r="J284" s="316"/>
      <c r="K284" s="316"/>
      <c r="L284" s="45"/>
      <c r="M284" s="45"/>
      <c r="N284" s="46"/>
      <c r="O284" s="46"/>
      <c r="R284" s="45"/>
      <c r="T284" s="42"/>
      <c r="V284" s="45"/>
      <c r="Y284" s="164"/>
      <c r="Z284" s="316"/>
      <c r="AA284" s="45"/>
      <c r="AB284" s="45"/>
      <c r="AC284" s="46"/>
      <c r="AD284" s="46"/>
      <c r="AE284" s="45"/>
      <c r="AF284" s="45"/>
      <c r="AH284" s="51"/>
      <c r="AL284" s="45"/>
      <c r="AM284" s="46"/>
      <c r="AN284" s="46"/>
    </row>
    <row r="285" spans="1:40">
      <c r="F285" s="50"/>
      <c r="H285" s="45"/>
      <c r="I285" s="45"/>
      <c r="J285" s="326"/>
      <c r="K285" s="326"/>
      <c r="L285" s="50"/>
      <c r="M285" s="50"/>
      <c r="N285" s="50"/>
      <c r="O285" s="50"/>
      <c r="P285" s="50"/>
      <c r="Q285" s="50"/>
      <c r="R285" s="50"/>
      <c r="V285" s="50"/>
      <c r="Y285" s="45"/>
      <c r="Z285" s="326"/>
      <c r="AA285" s="50"/>
      <c r="AB285" s="50"/>
      <c r="AC285" s="50"/>
      <c r="AD285" s="50"/>
      <c r="AE285" s="50"/>
      <c r="AF285" s="50"/>
      <c r="AI285" s="50"/>
      <c r="AJ285" s="50"/>
      <c r="AK285" s="111"/>
      <c r="AL285" s="50"/>
      <c r="AM285" s="46"/>
      <c r="AN285" s="46"/>
    </row>
    <row r="286" spans="1:40">
      <c r="C286" s="42"/>
      <c r="F286" s="164"/>
      <c r="H286" s="164"/>
      <c r="I286" s="164"/>
      <c r="J286" s="336"/>
      <c r="K286" s="336"/>
      <c r="L286" s="45"/>
      <c r="M286" s="45"/>
      <c r="N286" s="46"/>
      <c r="O286" s="46"/>
      <c r="P286" s="45"/>
      <c r="Q286" s="45"/>
      <c r="R286" s="45"/>
      <c r="S286" s="45"/>
      <c r="T286" s="42"/>
      <c r="V286" s="164"/>
      <c r="Y286" s="164"/>
      <c r="Z286" s="336"/>
      <c r="AA286" s="45"/>
      <c r="AB286" s="45"/>
      <c r="AC286" s="46"/>
      <c r="AD286" s="46"/>
      <c r="AE286" s="45"/>
      <c r="AF286" s="45"/>
      <c r="AH286" s="46"/>
      <c r="AI286" s="45"/>
      <c r="AJ286" s="45"/>
      <c r="AL286" s="45"/>
      <c r="AM286" s="46"/>
      <c r="AN286" s="46"/>
    </row>
    <row r="287" spans="1:40">
      <c r="C287" s="42"/>
      <c r="F287" s="164"/>
      <c r="H287" s="164"/>
      <c r="I287" s="164"/>
      <c r="J287" s="316"/>
      <c r="K287" s="316"/>
      <c r="L287" s="45"/>
      <c r="M287" s="45"/>
      <c r="N287" s="46"/>
      <c r="O287" s="46"/>
      <c r="P287" s="45"/>
      <c r="Q287" s="45"/>
      <c r="R287" s="45"/>
      <c r="T287" s="42"/>
      <c r="V287" s="164"/>
      <c r="Y287" s="45"/>
      <c r="Z287" s="316"/>
      <c r="AA287" s="45"/>
      <c r="AB287" s="45"/>
      <c r="AC287" s="46"/>
      <c r="AD287" s="46"/>
      <c r="AE287" s="45"/>
      <c r="AF287" s="45"/>
      <c r="AH287" s="51"/>
      <c r="AI287" s="45"/>
      <c r="AJ287" s="45"/>
      <c r="AL287" s="45"/>
      <c r="AM287" s="46"/>
      <c r="AN287" s="46"/>
    </row>
    <row r="288" spans="1:40">
      <c r="C288" s="42"/>
      <c r="F288" s="164"/>
      <c r="H288" s="164"/>
      <c r="I288" s="164"/>
      <c r="J288" s="316"/>
      <c r="K288" s="316"/>
      <c r="L288" s="45"/>
      <c r="M288" s="45"/>
      <c r="N288" s="46"/>
      <c r="O288" s="46"/>
      <c r="P288" s="45"/>
      <c r="Q288" s="45"/>
      <c r="R288" s="45"/>
      <c r="T288" s="42"/>
      <c r="V288" s="164"/>
      <c r="Y288" s="45"/>
      <c r="Z288" s="316"/>
      <c r="AA288" s="45"/>
      <c r="AB288" s="45"/>
      <c r="AC288" s="46"/>
      <c r="AD288" s="46"/>
      <c r="AE288" s="45"/>
      <c r="AF288" s="45"/>
      <c r="AH288" s="51"/>
      <c r="AI288" s="45"/>
      <c r="AJ288" s="45"/>
      <c r="AL288" s="45"/>
      <c r="AM288" s="46"/>
      <c r="AN288" s="46"/>
    </row>
    <row r="289" spans="3:40">
      <c r="F289" s="50"/>
      <c r="H289" s="50"/>
      <c r="I289" s="50"/>
      <c r="J289" s="326"/>
      <c r="K289" s="326"/>
      <c r="L289" s="50"/>
      <c r="M289" s="50"/>
      <c r="N289" s="50"/>
      <c r="O289" s="50"/>
      <c r="P289" s="50"/>
      <c r="Q289" s="50"/>
      <c r="R289" s="50"/>
      <c r="V289" s="50"/>
      <c r="Y289" s="50"/>
      <c r="Z289" s="326"/>
      <c r="AA289" s="50"/>
      <c r="AB289" s="50"/>
      <c r="AC289" s="50"/>
      <c r="AD289" s="50"/>
      <c r="AE289" s="50"/>
      <c r="AF289" s="50"/>
      <c r="AI289" s="50"/>
      <c r="AJ289" s="50"/>
      <c r="AK289" s="111"/>
      <c r="AL289" s="50"/>
      <c r="AM289" s="46"/>
      <c r="AN289" s="46"/>
    </row>
    <row r="290" spans="3:40">
      <c r="C290" s="42"/>
      <c r="F290" s="45"/>
      <c r="H290" s="45"/>
      <c r="I290" s="45"/>
      <c r="J290" s="47"/>
      <c r="K290" s="47"/>
      <c r="L290" s="45"/>
      <c r="M290" s="45"/>
      <c r="N290" s="46"/>
      <c r="O290" s="46"/>
      <c r="P290" s="45"/>
      <c r="Q290" s="45"/>
      <c r="R290" s="45"/>
      <c r="T290" s="42"/>
      <c r="V290" s="45"/>
      <c r="Y290" s="45"/>
      <c r="Z290" s="47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3:40">
      <c r="F291" s="50"/>
      <c r="H291" s="50"/>
      <c r="I291" s="50"/>
      <c r="J291" s="326"/>
      <c r="K291" s="326"/>
      <c r="L291" s="50"/>
      <c r="M291" s="50"/>
      <c r="N291" s="50"/>
      <c r="O291" s="50"/>
      <c r="P291" s="50"/>
      <c r="Q291" s="50"/>
      <c r="R291" s="50"/>
      <c r="V291" s="50"/>
      <c r="Y291" s="50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  <c r="AM291" s="46"/>
      <c r="AN291" s="46"/>
    </row>
    <row r="292" spans="3:40">
      <c r="C292" s="42"/>
      <c r="F292" s="45"/>
      <c r="H292" s="45"/>
      <c r="I292" s="45"/>
      <c r="J292" s="47"/>
      <c r="K292" s="47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47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>
      <c r="C293" s="42"/>
      <c r="F293" s="45"/>
      <c r="H293" s="164"/>
      <c r="I293" s="164"/>
      <c r="J293" s="331"/>
      <c r="K293" s="331"/>
      <c r="L293" s="45"/>
      <c r="M293" s="45"/>
      <c r="N293" s="46"/>
      <c r="O293" s="46"/>
      <c r="P293" s="45"/>
      <c r="Q293" s="45"/>
      <c r="R293" s="45"/>
      <c r="T293" s="42"/>
      <c r="V293" s="45"/>
      <c r="Y293" s="45"/>
      <c r="Z293" s="325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>
      <c r="H294" s="50"/>
      <c r="I294" s="50"/>
      <c r="J294" s="326"/>
      <c r="K294" s="326"/>
      <c r="L294" s="50"/>
      <c r="M294" s="50"/>
      <c r="N294" s="50"/>
      <c r="O294" s="50"/>
      <c r="P294" s="50"/>
      <c r="Q294" s="50"/>
      <c r="R294" s="50"/>
      <c r="V294" s="50"/>
      <c r="Y294" s="50"/>
      <c r="Z294" s="326"/>
      <c r="AA294" s="50"/>
      <c r="AB294" s="50"/>
      <c r="AC294" s="50"/>
      <c r="AD294" s="50"/>
      <c r="AE294" s="50"/>
      <c r="AF294" s="50"/>
      <c r="AI294" s="50"/>
      <c r="AJ294" s="50"/>
      <c r="AK294" s="111"/>
      <c r="AL294" s="50"/>
      <c r="AM294" s="46"/>
      <c r="AN294" s="46"/>
    </row>
    <row r="295" spans="3:40">
      <c r="F295" s="50"/>
    </row>
    <row r="296" spans="3:40">
      <c r="C296" s="42"/>
      <c r="F296" s="45"/>
      <c r="H296" s="45"/>
      <c r="I296" s="45"/>
      <c r="J296" s="326"/>
      <c r="K296" s="326"/>
      <c r="L296" s="45"/>
      <c r="M296" s="45"/>
      <c r="N296" s="46"/>
      <c r="O296" s="46"/>
      <c r="P296" s="45"/>
      <c r="Q296" s="45"/>
      <c r="R296" s="45"/>
      <c r="S296" s="45"/>
      <c r="T296" s="42"/>
      <c r="V296" s="45"/>
      <c r="Y296" s="45"/>
      <c r="Z296" s="326"/>
      <c r="AA296" s="45"/>
      <c r="AB296" s="45"/>
      <c r="AC296" s="46"/>
      <c r="AD296" s="46"/>
      <c r="AE296" s="45"/>
      <c r="AF296" s="45"/>
      <c r="AH296" s="46"/>
      <c r="AI296" s="45"/>
      <c r="AJ296" s="45"/>
      <c r="AL296" s="45"/>
      <c r="AM296" s="46"/>
      <c r="AN296" s="46"/>
    </row>
    <row r="297" spans="3:40">
      <c r="F297" s="50"/>
      <c r="H297" s="50"/>
      <c r="I297" s="50"/>
      <c r="J297" s="326"/>
      <c r="K297" s="326"/>
      <c r="L297" s="50"/>
      <c r="M297" s="50"/>
      <c r="N297" s="50"/>
      <c r="O297" s="50"/>
      <c r="P297" s="50"/>
      <c r="Q297" s="50"/>
      <c r="R297" s="50"/>
      <c r="S297" s="45"/>
      <c r="V297" s="50"/>
      <c r="Y297" s="50"/>
      <c r="Z297" s="326"/>
      <c r="AA297" s="50"/>
      <c r="AB297" s="50"/>
      <c r="AC297" s="50"/>
      <c r="AD297" s="50"/>
      <c r="AE297" s="50"/>
      <c r="AF297" s="50"/>
      <c r="AI297" s="50"/>
      <c r="AJ297" s="50"/>
      <c r="AK297" s="111"/>
      <c r="AL297" s="50"/>
      <c r="AM297" s="46"/>
      <c r="AN297" s="46"/>
    </row>
    <row r="298" spans="3:40">
      <c r="C298" s="42"/>
      <c r="H298" s="164"/>
      <c r="I298" s="164"/>
      <c r="J298" s="326"/>
      <c r="K298" s="326"/>
      <c r="L298" s="45"/>
      <c r="M298" s="45"/>
      <c r="N298" s="46"/>
      <c r="O298" s="46"/>
      <c r="P298" s="45"/>
      <c r="Q298" s="45"/>
      <c r="R298" s="45"/>
      <c r="S298" s="45"/>
      <c r="T298" s="42"/>
      <c r="V298" s="164"/>
      <c r="Y298" s="164"/>
      <c r="Z298" s="326"/>
      <c r="AA298" s="45"/>
      <c r="AB298" s="45"/>
      <c r="AC298" s="46"/>
      <c r="AD298" s="46"/>
      <c r="AE298" s="45"/>
      <c r="AF298" s="45"/>
      <c r="AI298" s="45"/>
      <c r="AJ298" s="45"/>
      <c r="AL298" s="45"/>
      <c r="AM298" s="46"/>
      <c r="AN298" s="46"/>
    </row>
    <row r="299" spans="3:40">
      <c r="F299" s="164"/>
    </row>
    <row r="300" spans="3:40">
      <c r="C300" s="42"/>
      <c r="F300" s="164"/>
      <c r="H300" s="164"/>
      <c r="I300" s="164"/>
      <c r="J300" s="316"/>
      <c r="K300" s="316"/>
      <c r="L300" s="45"/>
      <c r="M300" s="45"/>
      <c r="N300" s="46"/>
      <c r="O300" s="46"/>
      <c r="R300" s="45"/>
      <c r="T300" s="42"/>
      <c r="V300" s="45"/>
      <c r="Y300" s="164"/>
      <c r="Z300" s="316"/>
      <c r="AA300" s="45"/>
      <c r="AB300" s="45"/>
      <c r="AC300" s="46"/>
      <c r="AD300" s="46"/>
      <c r="AE300" s="45"/>
      <c r="AF300" s="45"/>
      <c r="AH300" s="51"/>
      <c r="AL300" s="45"/>
      <c r="AM300" s="46"/>
      <c r="AN300" s="46"/>
    </row>
    <row r="301" spans="3:40">
      <c r="F301" s="50"/>
      <c r="H301" s="45"/>
      <c r="I301" s="45"/>
      <c r="J301" s="326"/>
      <c r="K301" s="326"/>
      <c r="L301" s="50"/>
      <c r="M301" s="50"/>
      <c r="N301" s="50"/>
      <c r="O301" s="50"/>
      <c r="P301" s="50"/>
      <c r="Q301" s="50"/>
      <c r="R301" s="50"/>
      <c r="V301" s="50"/>
      <c r="Y301" s="45"/>
      <c r="Z301" s="326"/>
      <c r="AA301" s="50"/>
      <c r="AB301" s="50"/>
      <c r="AC301" s="50"/>
      <c r="AD301" s="50"/>
      <c r="AE301" s="50"/>
      <c r="AF301" s="50"/>
      <c r="AI301" s="50"/>
      <c r="AJ301" s="50"/>
      <c r="AK301" s="111"/>
      <c r="AL301" s="50"/>
      <c r="AM301" s="46"/>
      <c r="AN301" s="46"/>
    </row>
    <row r="302" spans="3:40">
      <c r="C302" s="42"/>
      <c r="F302" s="164"/>
      <c r="H302" s="164"/>
      <c r="I302" s="164"/>
      <c r="J302" s="336"/>
      <c r="K302" s="336"/>
      <c r="L302" s="45"/>
      <c r="M302" s="45"/>
      <c r="N302" s="46"/>
      <c r="O302" s="46"/>
      <c r="P302" s="45"/>
      <c r="Q302" s="45"/>
      <c r="R302" s="45"/>
      <c r="S302" s="45"/>
      <c r="T302" s="42"/>
      <c r="V302" s="164"/>
      <c r="Y302" s="164"/>
      <c r="Z302" s="336"/>
      <c r="AA302" s="45"/>
      <c r="AB302" s="45"/>
      <c r="AC302" s="46"/>
      <c r="AD302" s="46"/>
      <c r="AE302" s="45"/>
      <c r="AF302" s="45"/>
      <c r="AH302" s="46"/>
      <c r="AI302" s="45"/>
      <c r="AJ302" s="45"/>
      <c r="AL302" s="45"/>
      <c r="AM302" s="46"/>
      <c r="AN302" s="46"/>
    </row>
    <row r="303" spans="3:40">
      <c r="C303" s="42"/>
      <c r="F303" s="164"/>
      <c r="H303" s="164"/>
      <c r="I303" s="164"/>
      <c r="J303" s="316"/>
      <c r="K303" s="316"/>
      <c r="L303" s="45"/>
      <c r="M303" s="45"/>
      <c r="N303" s="46"/>
      <c r="O303" s="46"/>
      <c r="P303" s="45"/>
      <c r="Q303" s="45"/>
      <c r="R303" s="45"/>
      <c r="T303" s="42"/>
      <c r="V303" s="164"/>
      <c r="Y303" s="45"/>
      <c r="Z303" s="316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3:40">
      <c r="C304" s="42"/>
      <c r="F304" s="164"/>
      <c r="H304" s="164"/>
      <c r="I304" s="164"/>
      <c r="J304" s="316"/>
      <c r="K304" s="316"/>
      <c r="L304" s="45"/>
      <c r="M304" s="45"/>
      <c r="N304" s="46"/>
      <c r="O304" s="46"/>
      <c r="P304" s="45"/>
      <c r="Q304" s="45"/>
      <c r="R304" s="45"/>
      <c r="T304" s="42"/>
      <c r="V304" s="164"/>
      <c r="Y304" s="45"/>
      <c r="Z304" s="316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1:40">
      <c r="F305" s="50"/>
      <c r="H305" s="50"/>
      <c r="I305" s="50"/>
      <c r="J305" s="326"/>
      <c r="K305" s="326"/>
      <c r="L305" s="50"/>
      <c r="M305" s="50"/>
      <c r="N305" s="50"/>
      <c r="O305" s="50"/>
      <c r="P305" s="50"/>
      <c r="Q305" s="50"/>
      <c r="R305" s="50"/>
      <c r="V305" s="50"/>
      <c r="Y305" s="50"/>
      <c r="Z305" s="326"/>
      <c r="AA305" s="50"/>
      <c r="AB305" s="50"/>
      <c r="AC305" s="50"/>
      <c r="AD305" s="50"/>
      <c r="AE305" s="50"/>
      <c r="AF305" s="50"/>
      <c r="AI305" s="50"/>
      <c r="AJ305" s="50"/>
      <c r="AK305" s="111"/>
      <c r="AL305" s="50"/>
      <c r="AM305" s="46"/>
      <c r="AN305" s="46"/>
    </row>
    <row r="306" spans="1:40">
      <c r="C306" s="42"/>
      <c r="F306" s="45"/>
      <c r="H306" s="45"/>
      <c r="I306" s="45"/>
      <c r="J306" s="47"/>
      <c r="K306" s="47"/>
      <c r="L306" s="45"/>
      <c r="M306" s="45"/>
      <c r="N306" s="46"/>
      <c r="O306" s="46"/>
      <c r="P306" s="45"/>
      <c r="Q306" s="45"/>
      <c r="R306" s="45"/>
      <c r="T306" s="42"/>
      <c r="V306" s="45"/>
      <c r="Y306" s="45"/>
      <c r="Z306" s="47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1:40">
      <c r="F307" s="50"/>
      <c r="H307" s="50"/>
      <c r="I307" s="50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50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1:40">
      <c r="C308" s="42"/>
      <c r="F308" s="45"/>
      <c r="H308" s="45"/>
      <c r="I308" s="45"/>
      <c r="J308" s="47"/>
      <c r="K308" s="47"/>
      <c r="L308" s="45"/>
      <c r="M308" s="45"/>
      <c r="N308" s="46"/>
      <c r="O308" s="46"/>
      <c r="P308" s="45"/>
      <c r="Q308" s="45"/>
      <c r="R308" s="45"/>
      <c r="T308" s="42"/>
      <c r="V308" s="45"/>
      <c r="Y308" s="45"/>
      <c r="Z308" s="47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1:40">
      <c r="C309" s="42"/>
      <c r="F309" s="45"/>
      <c r="H309" s="164"/>
      <c r="I309" s="164"/>
      <c r="J309" s="331"/>
      <c r="K309" s="331"/>
      <c r="L309" s="45"/>
      <c r="M309" s="45"/>
      <c r="N309" s="46"/>
      <c r="O309" s="46"/>
      <c r="P309" s="45"/>
      <c r="Q309" s="45"/>
      <c r="R309" s="45"/>
      <c r="T309" s="42"/>
      <c r="V309" s="45"/>
      <c r="Y309" s="45"/>
      <c r="Z309" s="325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1:40">
      <c r="H310" s="50"/>
      <c r="I310" s="50"/>
      <c r="J310" s="326"/>
      <c r="K310" s="326"/>
      <c r="L310" s="50"/>
      <c r="M310" s="50"/>
      <c r="N310" s="50"/>
      <c r="O310" s="50"/>
      <c r="P310" s="50"/>
      <c r="Q310" s="50"/>
      <c r="R310" s="50"/>
      <c r="V310" s="50"/>
      <c r="Y310" s="50"/>
      <c r="Z310" s="326"/>
      <c r="AA310" s="50"/>
      <c r="AB310" s="50"/>
      <c r="AC310" s="50"/>
      <c r="AD310" s="50"/>
      <c r="AE310" s="50"/>
      <c r="AF310" s="50"/>
      <c r="AI310" s="50"/>
      <c r="AJ310" s="50"/>
      <c r="AK310" s="111"/>
      <c r="AL310" s="50"/>
      <c r="AM310" s="46"/>
      <c r="AN310" s="46"/>
    </row>
    <row r="311" spans="1:40">
      <c r="F311" s="50"/>
    </row>
    <row r="312" spans="1:40">
      <c r="C312" s="42"/>
      <c r="F312" s="45"/>
      <c r="H312" s="45"/>
      <c r="I312" s="45"/>
      <c r="J312" s="326"/>
      <c r="K312" s="326"/>
      <c r="L312" s="45"/>
      <c r="M312" s="45"/>
      <c r="N312" s="46"/>
      <c r="O312" s="46"/>
      <c r="P312" s="45"/>
      <c r="Q312" s="45"/>
      <c r="R312" s="45"/>
      <c r="S312" s="45"/>
      <c r="T312" s="42"/>
      <c r="V312" s="45"/>
      <c r="Y312" s="45"/>
      <c r="Z312" s="326"/>
      <c r="AA312" s="45"/>
      <c r="AB312" s="45"/>
      <c r="AC312" s="46"/>
      <c r="AD312" s="46"/>
      <c r="AE312" s="45"/>
      <c r="AF312" s="45"/>
      <c r="AH312" s="46"/>
      <c r="AI312" s="45"/>
      <c r="AJ312" s="45"/>
      <c r="AL312" s="45"/>
      <c r="AM312" s="46"/>
      <c r="AN312" s="46"/>
    </row>
    <row r="313" spans="1:40">
      <c r="F313" s="50"/>
      <c r="H313" s="50"/>
      <c r="I313" s="50"/>
      <c r="J313" s="326"/>
      <c r="K313" s="326"/>
      <c r="L313" s="50"/>
      <c r="M313" s="50"/>
      <c r="N313" s="50"/>
      <c r="O313" s="50"/>
      <c r="P313" s="50"/>
      <c r="Q313" s="50"/>
      <c r="R313" s="50"/>
      <c r="S313" s="45"/>
      <c r="V313" s="50"/>
      <c r="Y313" s="50"/>
      <c r="Z313" s="326"/>
      <c r="AA313" s="50"/>
      <c r="AB313" s="50"/>
      <c r="AC313" s="50"/>
      <c r="AD313" s="50"/>
      <c r="AE313" s="50"/>
      <c r="AF313" s="50"/>
      <c r="AI313" s="50"/>
      <c r="AJ313" s="50"/>
      <c r="AK313" s="111"/>
      <c r="AL313" s="50"/>
      <c r="AM313" s="46"/>
      <c r="AN313" s="46"/>
    </row>
    <row r="314" spans="1:40">
      <c r="C314" s="42"/>
      <c r="T314" s="42"/>
    </row>
    <row r="315" spans="1:40">
      <c r="C315" s="42"/>
      <c r="F315" s="45"/>
      <c r="H315" s="45"/>
      <c r="I315" s="45"/>
      <c r="L315" s="45"/>
      <c r="M315" s="45"/>
      <c r="N315" s="46"/>
      <c r="O315" s="46"/>
      <c r="P315" s="164"/>
      <c r="Q315" s="164"/>
      <c r="R315" s="45"/>
      <c r="T315" s="42"/>
      <c r="V315" s="45"/>
      <c r="Y315" s="45"/>
      <c r="AA315" s="45"/>
      <c r="AB315" s="45"/>
      <c r="AC315" s="46"/>
      <c r="AD315" s="46"/>
      <c r="AE315" s="45"/>
      <c r="AF315" s="45"/>
      <c r="AH315" s="46"/>
      <c r="AI315" s="164"/>
      <c r="AJ315" s="164"/>
      <c r="AL315" s="45"/>
      <c r="AM315" s="46"/>
      <c r="AN315" s="46"/>
    </row>
    <row r="316" spans="1:40">
      <c r="H316" s="50"/>
      <c r="I316" s="50"/>
      <c r="J316" s="326"/>
      <c r="K316" s="326"/>
      <c r="L316" s="50"/>
      <c r="M316" s="50"/>
      <c r="N316" s="50"/>
      <c r="O316" s="50"/>
      <c r="P316" s="50"/>
      <c r="Q316" s="50"/>
      <c r="R316" s="50"/>
      <c r="V316" s="50"/>
      <c r="Y316" s="50"/>
      <c r="Z316" s="326"/>
      <c r="AA316" s="50"/>
      <c r="AB316" s="50"/>
      <c r="AC316" s="50"/>
      <c r="AD316" s="50"/>
      <c r="AE316" s="50"/>
      <c r="AF316" s="50"/>
      <c r="AI316" s="50"/>
      <c r="AJ316" s="50"/>
      <c r="AK316" s="111"/>
      <c r="AL316" s="50"/>
    </row>
    <row r="317" spans="1:40">
      <c r="F317" s="50"/>
    </row>
    <row r="318" spans="1:40">
      <c r="C318" s="42"/>
      <c r="L318" s="45"/>
      <c r="M318" s="45"/>
      <c r="N318" s="45"/>
      <c r="O318" s="45"/>
      <c r="P318" s="45"/>
      <c r="Q318" s="45"/>
      <c r="R318" s="45"/>
      <c r="S318" s="45"/>
      <c r="T318" s="42"/>
      <c r="AA318" s="45"/>
      <c r="AB318" s="45"/>
      <c r="AC318" s="45"/>
      <c r="AD318" s="45"/>
      <c r="AI318" s="45"/>
      <c r="AJ318" s="45"/>
      <c r="AL318" s="45"/>
    </row>
    <row r="319" spans="1:40">
      <c r="A319" s="42"/>
    </row>
    <row r="321" spans="1:40">
      <c r="H321" s="42"/>
      <c r="I321" s="42"/>
      <c r="Y321" s="42"/>
    </row>
    <row r="323" spans="1:40">
      <c r="L323" s="42"/>
      <c r="M323" s="42"/>
      <c r="AA323" s="42"/>
      <c r="AB323" s="42"/>
    </row>
    <row r="324" spans="1:40">
      <c r="R324" s="42"/>
      <c r="AK324" s="110"/>
      <c r="AL324" s="42"/>
    </row>
    <row r="325" spans="1:40">
      <c r="R325" s="42"/>
      <c r="AK325" s="110"/>
      <c r="AL325" s="42"/>
    </row>
    <row r="326" spans="1:40">
      <c r="A326" s="42"/>
      <c r="R326" s="42"/>
      <c r="AK326" s="110"/>
      <c r="AL326" s="42"/>
    </row>
    <row r="327" spans="1:40">
      <c r="L327" s="42"/>
      <c r="M327" s="42"/>
      <c r="AA327" s="42"/>
      <c r="AB327" s="42"/>
    </row>
    <row r="328" spans="1:40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107"/>
      <c r="AH328" s="49"/>
      <c r="AI328" s="49"/>
      <c r="AJ328" s="49"/>
      <c r="AK328" s="107"/>
      <c r="AL328" s="49"/>
      <c r="AM328" s="49"/>
      <c r="AN328" s="49"/>
    </row>
    <row r="329" spans="1:40">
      <c r="L329" s="44"/>
      <c r="M329" s="44"/>
      <c r="N329" s="44"/>
      <c r="O329" s="44"/>
      <c r="R329" s="44"/>
      <c r="AA329" s="44"/>
      <c r="AB329" s="44"/>
      <c r="AC329" s="44"/>
      <c r="AD329" s="44"/>
      <c r="AE329" s="44"/>
      <c r="AF329" s="44"/>
      <c r="AG329" s="102"/>
      <c r="AH329" s="44"/>
      <c r="AK329" s="102"/>
      <c r="AL329" s="44"/>
      <c r="AM329" s="44"/>
      <c r="AN329" s="44"/>
    </row>
    <row r="330" spans="1:40">
      <c r="L330" s="44"/>
      <c r="M330" s="44"/>
      <c r="N330" s="44"/>
      <c r="O330" s="44"/>
      <c r="R330" s="44"/>
      <c r="Z330" s="44"/>
      <c r="AA330" s="44"/>
      <c r="AB330" s="44"/>
      <c r="AC330" s="44"/>
      <c r="AD330" s="44"/>
      <c r="AE330" s="44"/>
      <c r="AF330" s="44"/>
      <c r="AG330" s="102"/>
      <c r="AH330" s="44"/>
      <c r="AK330" s="102"/>
      <c r="AL330" s="44"/>
      <c r="AM330" s="44"/>
      <c r="AN330" s="44"/>
    </row>
    <row r="331" spans="1:40">
      <c r="A331" s="44"/>
      <c r="C331" s="44"/>
      <c r="D331" s="44"/>
      <c r="E331" s="44"/>
      <c r="F331" s="44"/>
      <c r="J331" s="44"/>
      <c r="K331" s="44"/>
      <c r="L331" s="44"/>
      <c r="M331" s="44"/>
      <c r="N331" s="44"/>
      <c r="O331" s="44"/>
      <c r="P331" s="44"/>
      <c r="Q331" s="44"/>
      <c r="R331" s="44"/>
      <c r="T331" s="44"/>
      <c r="U331" s="44"/>
      <c r="V331" s="44"/>
      <c r="Z331" s="44"/>
      <c r="AA331" s="44"/>
      <c r="AB331" s="44"/>
      <c r="AC331" s="44"/>
      <c r="AD331" s="44"/>
      <c r="AE331" s="44"/>
      <c r="AF331" s="44"/>
      <c r="AG331" s="102"/>
      <c r="AH331" s="44"/>
      <c r="AI331" s="44"/>
      <c r="AJ331" s="44"/>
      <c r="AK331" s="102"/>
      <c r="AL331" s="44"/>
      <c r="AM331" s="44"/>
      <c r="AN331" s="44"/>
    </row>
    <row r="332" spans="1:40">
      <c r="A332" s="44"/>
      <c r="C332" s="44"/>
      <c r="D332" s="44"/>
      <c r="E332" s="44"/>
      <c r="F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T332" s="44"/>
      <c r="U332" s="44"/>
      <c r="V332" s="44"/>
      <c r="Y332" s="44"/>
      <c r="Z332" s="44"/>
      <c r="AA332" s="44"/>
      <c r="AB332" s="44"/>
      <c r="AC332" s="44"/>
      <c r="AD332" s="44"/>
      <c r="AE332" s="44"/>
      <c r="AF332" s="44"/>
      <c r="AG332" s="102"/>
      <c r="AH332" s="44"/>
      <c r="AI332" s="44"/>
      <c r="AJ332" s="44"/>
      <c r="AK332" s="102"/>
      <c r="AL332" s="44"/>
      <c r="AM332" s="44"/>
      <c r="AN332" s="44"/>
    </row>
    <row r="333" spans="1:40">
      <c r="C333" s="44"/>
      <c r="D333" s="44"/>
      <c r="E333" s="44"/>
      <c r="F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T333" s="44"/>
      <c r="U333" s="44"/>
      <c r="V333" s="44"/>
      <c r="Y333" s="44"/>
      <c r="Z333" s="44"/>
      <c r="AA333" s="44"/>
      <c r="AB333" s="44"/>
      <c r="AC333" s="44"/>
      <c r="AD333" s="44"/>
      <c r="AE333" s="44"/>
      <c r="AF333" s="44"/>
      <c r="AG333" s="102"/>
      <c r="AH333" s="44"/>
      <c r="AI333" s="44"/>
      <c r="AJ333" s="44"/>
      <c r="AK333" s="102"/>
      <c r="AL333" s="44"/>
      <c r="AM333" s="44"/>
      <c r="AN333" s="44"/>
    </row>
    <row r="334" spans="1:40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107"/>
      <c r="AH334" s="49"/>
      <c r="AI334" s="49"/>
      <c r="AJ334" s="49"/>
      <c r="AK334" s="107"/>
      <c r="AL334" s="49"/>
      <c r="AM334" s="49"/>
      <c r="AN334" s="49"/>
    </row>
    <row r="335" spans="1:40"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Y335" s="44"/>
      <c r="Z335" s="44"/>
      <c r="AA335" s="44"/>
      <c r="AB335" s="44"/>
      <c r="AC335" s="44"/>
      <c r="AD335" s="44"/>
      <c r="AE335" s="44"/>
      <c r="AF335" s="44"/>
      <c r="AG335" s="102"/>
      <c r="AH335" s="44"/>
      <c r="AI335" s="44"/>
      <c r="AJ335" s="44"/>
      <c r="AK335" s="102"/>
      <c r="AL335" s="44"/>
      <c r="AM335" s="44"/>
      <c r="AN335" s="44"/>
    </row>
    <row r="336" spans="1:40">
      <c r="C336" s="42"/>
      <c r="D336" s="42"/>
      <c r="E336" s="42"/>
      <c r="T336" s="42"/>
      <c r="U336" s="42"/>
    </row>
    <row r="337" spans="3:40">
      <c r="D337" s="42"/>
      <c r="E337" s="42"/>
      <c r="U337" s="42"/>
    </row>
    <row r="339" spans="3:40">
      <c r="C339" s="42"/>
      <c r="T339" s="42"/>
    </row>
    <row r="340" spans="3:40">
      <c r="C340" s="42"/>
      <c r="F340" s="164"/>
      <c r="H340" s="164"/>
      <c r="I340" s="164"/>
      <c r="J340" s="132"/>
      <c r="K340" s="132"/>
      <c r="L340" s="45"/>
      <c r="M340" s="45"/>
      <c r="N340" s="46"/>
      <c r="O340" s="46"/>
      <c r="P340" s="45"/>
      <c r="Q340" s="45"/>
      <c r="R340" s="45"/>
      <c r="T340" s="42"/>
      <c r="V340" s="164"/>
      <c r="W340" s="45"/>
      <c r="X340" s="45"/>
      <c r="Y340" s="164"/>
      <c r="Z340" s="132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3:40">
      <c r="C341" s="42"/>
      <c r="F341" s="45"/>
      <c r="H341" s="45"/>
      <c r="I341" s="45"/>
      <c r="J341" s="326"/>
      <c r="K341" s="326"/>
      <c r="L341" s="45"/>
      <c r="M341" s="45"/>
      <c r="N341" s="46"/>
      <c r="O341" s="46"/>
      <c r="P341" s="45"/>
      <c r="Q341" s="45"/>
      <c r="R341" s="45"/>
      <c r="T341" s="42"/>
      <c r="V341" s="164"/>
      <c r="W341" s="45"/>
      <c r="X341" s="45"/>
      <c r="Y341" s="164"/>
      <c r="Z341" s="326"/>
      <c r="AA341" s="45"/>
      <c r="AB341" s="45"/>
      <c r="AC341" s="46"/>
      <c r="AD341" s="46"/>
      <c r="AE341" s="45"/>
      <c r="AF341" s="45"/>
      <c r="AH341" s="51"/>
      <c r="AI341" s="45"/>
      <c r="AJ341" s="45"/>
      <c r="AL341" s="45"/>
      <c r="AM341" s="46"/>
      <c r="AN341" s="46"/>
    </row>
    <row r="342" spans="3:40">
      <c r="C342" s="42"/>
      <c r="F342" s="164"/>
      <c r="H342" s="164"/>
      <c r="I342" s="164"/>
      <c r="J342" s="132"/>
      <c r="K342" s="132"/>
      <c r="L342" s="45"/>
      <c r="M342" s="45"/>
      <c r="N342" s="46"/>
      <c r="O342" s="46"/>
      <c r="P342" s="45"/>
      <c r="Q342" s="45"/>
      <c r="R342" s="45"/>
      <c r="T342" s="42"/>
      <c r="V342" s="164"/>
      <c r="W342" s="45"/>
      <c r="X342" s="45"/>
      <c r="Y342" s="164"/>
      <c r="Z342" s="132"/>
      <c r="AA342" s="45"/>
      <c r="AB342" s="45"/>
      <c r="AC342" s="46"/>
      <c r="AD342" s="46"/>
      <c r="AE342" s="45"/>
      <c r="AF342" s="45"/>
      <c r="AH342" s="51"/>
      <c r="AI342" s="45"/>
      <c r="AJ342" s="45"/>
      <c r="AL342" s="45"/>
      <c r="AM342" s="46"/>
      <c r="AN342" s="46"/>
    </row>
    <row r="343" spans="3:40">
      <c r="C343" s="42"/>
      <c r="F343" s="164"/>
      <c r="H343" s="164"/>
      <c r="I343" s="164"/>
      <c r="J343" s="132"/>
      <c r="K343" s="132"/>
      <c r="L343" s="45"/>
      <c r="M343" s="45"/>
      <c r="N343" s="46"/>
      <c r="O343" s="46"/>
      <c r="P343" s="45"/>
      <c r="Q343" s="45"/>
      <c r="R343" s="45"/>
      <c r="T343" s="42"/>
      <c r="V343" s="164"/>
      <c r="W343" s="45"/>
      <c r="X343" s="45"/>
      <c r="Y343" s="164"/>
      <c r="Z343" s="132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3:40">
      <c r="C344" s="42"/>
      <c r="F344" s="164"/>
      <c r="H344" s="164"/>
      <c r="I344" s="164"/>
      <c r="J344" s="132"/>
      <c r="K344" s="132"/>
      <c r="L344" s="45"/>
      <c r="M344" s="45"/>
      <c r="N344" s="46"/>
      <c r="O344" s="46"/>
      <c r="P344" s="45"/>
      <c r="Q344" s="45"/>
      <c r="R344" s="45"/>
      <c r="T344" s="42"/>
      <c r="V344" s="164"/>
      <c r="W344" s="45"/>
      <c r="X344" s="45"/>
      <c r="Y344" s="164"/>
      <c r="Z344" s="132"/>
      <c r="AA344" s="45"/>
      <c r="AB344" s="45"/>
      <c r="AC344" s="46"/>
      <c r="AD344" s="46"/>
      <c r="AE344" s="45"/>
      <c r="AF344" s="45"/>
      <c r="AH344" s="51"/>
      <c r="AI344" s="45"/>
      <c r="AJ344" s="45"/>
      <c r="AL344" s="45"/>
      <c r="AM344" s="46"/>
      <c r="AN344" s="46"/>
    </row>
    <row r="345" spans="3:40">
      <c r="C345" s="42"/>
      <c r="F345" s="45"/>
      <c r="H345" s="45"/>
      <c r="I345" s="45"/>
      <c r="J345" s="132"/>
      <c r="K345" s="132"/>
      <c r="L345" s="45"/>
      <c r="M345" s="45"/>
      <c r="N345" s="46"/>
      <c r="O345" s="46"/>
      <c r="P345" s="45"/>
      <c r="Q345" s="45"/>
      <c r="R345" s="45"/>
      <c r="T345" s="42"/>
      <c r="V345" s="164"/>
      <c r="W345" s="45"/>
      <c r="X345" s="45"/>
      <c r="Y345" s="164"/>
      <c r="Z345" s="132"/>
      <c r="AA345" s="45"/>
      <c r="AB345" s="45"/>
      <c r="AC345" s="46"/>
      <c r="AD345" s="46"/>
      <c r="AE345" s="45"/>
      <c r="AF345" s="45"/>
      <c r="AH345" s="51"/>
      <c r="AI345" s="45"/>
      <c r="AJ345" s="45"/>
      <c r="AL345" s="45"/>
      <c r="AM345" s="46"/>
      <c r="AN345" s="46"/>
    </row>
    <row r="346" spans="3:40">
      <c r="C346" s="42"/>
      <c r="F346" s="45"/>
      <c r="H346" s="45"/>
      <c r="I346" s="45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164"/>
      <c r="W346" s="45"/>
      <c r="X346" s="45"/>
      <c r="Y346" s="164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3:40">
      <c r="F347" s="54"/>
      <c r="H347" s="338"/>
      <c r="I347" s="338"/>
      <c r="J347" s="132"/>
      <c r="K347" s="132"/>
      <c r="L347" s="54"/>
      <c r="M347" s="54"/>
      <c r="N347" s="50"/>
      <c r="O347" s="50"/>
      <c r="P347" s="54"/>
      <c r="Q347" s="54"/>
      <c r="R347" s="54"/>
      <c r="V347" s="54"/>
      <c r="W347" s="45"/>
      <c r="X347" s="45"/>
      <c r="Y347" s="54"/>
      <c r="Z347" s="132"/>
      <c r="AA347" s="54"/>
      <c r="AB347" s="54"/>
      <c r="AC347" s="55"/>
      <c r="AD347" s="55"/>
      <c r="AE347" s="54"/>
      <c r="AF347" s="54"/>
      <c r="AH347" s="51"/>
      <c r="AI347" s="54"/>
      <c r="AJ347" s="54"/>
      <c r="AK347" s="107"/>
      <c r="AL347" s="54"/>
      <c r="AM347" s="46"/>
      <c r="AN347" s="46"/>
    </row>
    <row r="348" spans="3:40">
      <c r="C348" s="42"/>
      <c r="F348" s="45"/>
      <c r="H348" s="45"/>
      <c r="I348" s="45"/>
      <c r="J348" s="132"/>
      <c r="K348" s="132"/>
      <c r="L348" s="45"/>
      <c r="M348" s="45"/>
      <c r="N348" s="51"/>
      <c r="O348" s="51"/>
      <c r="P348" s="45"/>
      <c r="Q348" s="45"/>
      <c r="R348" s="45"/>
      <c r="T348" s="44"/>
      <c r="V348" s="45"/>
      <c r="W348" s="45"/>
      <c r="X348" s="45"/>
      <c r="Y348" s="45"/>
      <c r="Z348" s="132"/>
      <c r="AA348" s="45"/>
      <c r="AB348" s="45"/>
      <c r="AC348" s="51"/>
      <c r="AD348" s="51"/>
      <c r="AE348" s="45"/>
      <c r="AF348" s="45"/>
      <c r="AH348" s="51"/>
      <c r="AI348" s="45"/>
      <c r="AJ348" s="45"/>
      <c r="AL348" s="45"/>
      <c r="AM348" s="46"/>
      <c r="AN348" s="46"/>
    </row>
    <row r="349" spans="3:40">
      <c r="F349" s="49"/>
      <c r="H349" s="49"/>
      <c r="I349" s="49"/>
      <c r="L349" s="49"/>
      <c r="M349" s="49"/>
      <c r="N349" s="55"/>
      <c r="O349" s="55"/>
      <c r="P349" s="54"/>
      <c r="Q349" s="54"/>
      <c r="R349" s="54"/>
      <c r="V349" s="54"/>
      <c r="Y349" s="54"/>
      <c r="Z349" s="326"/>
      <c r="AA349" s="54"/>
      <c r="AB349" s="54"/>
      <c r="AC349" s="54"/>
      <c r="AD349" s="54"/>
      <c r="AE349" s="54"/>
      <c r="AF349" s="54"/>
      <c r="AI349" s="54"/>
      <c r="AJ349" s="54"/>
      <c r="AK349" s="107"/>
      <c r="AL349" s="54"/>
      <c r="AM349" s="55"/>
      <c r="AN349" s="55"/>
    </row>
    <row r="354" spans="1:40">
      <c r="N354" s="45"/>
      <c r="O354" s="45"/>
      <c r="P354" s="45"/>
      <c r="Q354" s="45"/>
      <c r="R354" s="45"/>
      <c r="V354" s="45"/>
      <c r="Y354" s="45"/>
      <c r="Z354" s="47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1:40">
      <c r="C355" s="42"/>
      <c r="D355" s="42"/>
      <c r="E355" s="42"/>
      <c r="J355" s="56"/>
      <c r="K355" s="56"/>
      <c r="T355" s="42"/>
      <c r="U355" s="42"/>
      <c r="Z355" s="56"/>
      <c r="AE355" s="45"/>
      <c r="AF355" s="45"/>
      <c r="AI355" s="45"/>
      <c r="AJ355" s="45"/>
      <c r="AL355" s="45"/>
      <c r="AM355" s="46"/>
      <c r="AN355" s="46"/>
    </row>
    <row r="356" spans="1:40">
      <c r="D356" s="42"/>
      <c r="E356" s="42"/>
      <c r="F356" s="45"/>
      <c r="H356" s="45"/>
      <c r="I356" s="45"/>
      <c r="J356" s="132"/>
      <c r="K356" s="132"/>
      <c r="L356" s="45"/>
      <c r="M356" s="45"/>
      <c r="N356" s="46"/>
      <c r="O356" s="46"/>
      <c r="P356" s="45"/>
      <c r="Q356" s="45"/>
      <c r="R356" s="45"/>
      <c r="U356" s="42"/>
      <c r="V356" s="45"/>
      <c r="Y356" s="45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1:40">
      <c r="F357" s="45"/>
      <c r="H357" s="45"/>
      <c r="I357" s="45"/>
      <c r="J357" s="326"/>
      <c r="K357" s="326"/>
      <c r="L357" s="45"/>
      <c r="M357" s="45"/>
      <c r="N357" s="45"/>
      <c r="O357" s="45"/>
      <c r="P357" s="45"/>
      <c r="Q357" s="45"/>
      <c r="R357" s="45"/>
      <c r="V357" s="45"/>
      <c r="Y357" s="45"/>
      <c r="Z357" s="326"/>
      <c r="AA357" s="45"/>
      <c r="AB357" s="45"/>
      <c r="AC357" s="45"/>
      <c r="AD357" s="45"/>
      <c r="AE357" s="45"/>
      <c r="AF357" s="45"/>
      <c r="AH357" s="51"/>
      <c r="AI357" s="164"/>
      <c r="AJ357" s="164"/>
      <c r="AL357" s="45"/>
      <c r="AM357" s="46"/>
      <c r="AN357" s="46"/>
    </row>
    <row r="358" spans="1:40">
      <c r="C358" s="42"/>
      <c r="F358" s="164"/>
      <c r="H358" s="164"/>
      <c r="I358" s="164"/>
      <c r="J358" s="325"/>
      <c r="K358" s="325"/>
      <c r="L358" s="45"/>
      <c r="M358" s="45"/>
      <c r="N358" s="46"/>
      <c r="O358" s="46"/>
      <c r="P358" s="45"/>
      <c r="Q358" s="45"/>
      <c r="R358" s="45"/>
      <c r="T358" s="42"/>
      <c r="V358" s="164"/>
      <c r="Y358" s="164"/>
      <c r="Z358" s="325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1:40">
      <c r="F359" s="49"/>
      <c r="H359" s="49"/>
      <c r="I359" s="49"/>
      <c r="L359" s="49"/>
      <c r="M359" s="49"/>
      <c r="N359" s="49"/>
      <c r="O359" s="49"/>
      <c r="P359" s="49"/>
      <c r="Q359" s="49"/>
      <c r="R359" s="49"/>
      <c r="V359" s="49"/>
      <c r="Y359" s="49"/>
      <c r="AA359" s="49"/>
      <c r="AB359" s="49"/>
      <c r="AC359" s="49"/>
      <c r="AD359" s="49"/>
      <c r="AE359" s="49"/>
      <c r="AF359" s="49"/>
      <c r="AG359" s="107"/>
      <c r="AH359" s="49"/>
      <c r="AI359" s="49"/>
      <c r="AJ359" s="49"/>
      <c r="AK359" s="107"/>
      <c r="AL359" s="49"/>
      <c r="AM359" s="49"/>
      <c r="AN359" s="49"/>
    </row>
    <row r="360" spans="1:40">
      <c r="C360" s="44"/>
      <c r="F360" s="164"/>
      <c r="H360" s="164"/>
      <c r="I360" s="164"/>
      <c r="J360" s="316"/>
      <c r="K360" s="316"/>
      <c r="L360" s="164"/>
      <c r="M360" s="164"/>
      <c r="N360" s="46"/>
      <c r="O360" s="46"/>
      <c r="P360" s="164"/>
      <c r="Q360" s="164"/>
      <c r="R360" s="164"/>
      <c r="T360" s="44"/>
      <c r="V360" s="45"/>
      <c r="Y360" s="45"/>
      <c r="Z360" s="47"/>
      <c r="AA360" s="45"/>
      <c r="AB360" s="45"/>
      <c r="AC360" s="46"/>
      <c r="AD360" s="46"/>
      <c r="AH360" s="51"/>
      <c r="AI360" s="45"/>
      <c r="AJ360" s="45"/>
      <c r="AL360" s="45"/>
      <c r="AM360" s="46"/>
      <c r="AN360" s="46"/>
    </row>
    <row r="361" spans="1:40">
      <c r="F361" s="54"/>
      <c r="H361" s="54"/>
      <c r="I361" s="54"/>
      <c r="J361" s="326"/>
      <c r="K361" s="326"/>
      <c r="L361" s="54"/>
      <c r="M361" s="54"/>
      <c r="N361" s="54"/>
      <c r="O361" s="54"/>
      <c r="P361" s="54"/>
      <c r="Q361" s="54"/>
      <c r="R361" s="54"/>
      <c r="V361" s="49"/>
      <c r="Y361" s="49"/>
      <c r="AA361" s="49"/>
      <c r="AB361" s="49"/>
      <c r="AC361" s="49"/>
      <c r="AD361" s="49"/>
      <c r="AE361" s="49"/>
      <c r="AF361" s="49"/>
      <c r="AG361" s="107"/>
      <c r="AH361" s="49"/>
      <c r="AI361" s="49"/>
      <c r="AJ361" s="49"/>
      <c r="AK361" s="107"/>
      <c r="AL361" s="49"/>
      <c r="AM361" s="49"/>
      <c r="AN361" s="49"/>
    </row>
    <row r="362" spans="1:40">
      <c r="F362" s="164"/>
      <c r="H362" s="164"/>
      <c r="I362" s="164"/>
      <c r="J362" s="336"/>
      <c r="K362" s="336"/>
      <c r="L362" s="45"/>
      <c r="M362" s="45"/>
      <c r="N362" s="46"/>
      <c r="O362" s="46"/>
      <c r="P362" s="45"/>
      <c r="Q362" s="45"/>
      <c r="R362" s="45"/>
    </row>
    <row r="363" spans="1:40">
      <c r="A363" s="42"/>
      <c r="F363" s="164"/>
      <c r="H363" s="164"/>
      <c r="I363" s="164"/>
      <c r="J363" s="316"/>
      <c r="K363" s="316"/>
      <c r="L363" s="45"/>
      <c r="M363" s="45"/>
      <c r="N363" s="46"/>
      <c r="O363" s="46"/>
      <c r="P363" s="45"/>
      <c r="Q363" s="45"/>
      <c r="R363" s="45"/>
    </row>
    <row r="364" spans="1:40">
      <c r="F364" s="164"/>
      <c r="H364" s="164"/>
      <c r="I364" s="164"/>
      <c r="J364" s="316"/>
      <c r="K364" s="316"/>
      <c r="L364" s="45"/>
      <c r="M364" s="45"/>
      <c r="N364" s="46"/>
      <c r="O364" s="46"/>
      <c r="P364" s="45"/>
      <c r="Q364" s="45"/>
      <c r="R364" s="45"/>
    </row>
    <row r="365" spans="1:40">
      <c r="A365" s="42"/>
    </row>
    <row r="368" spans="1:40">
      <c r="H368" s="42"/>
      <c r="I368" s="42"/>
      <c r="Y368" s="42"/>
    </row>
    <row r="370" spans="1:40">
      <c r="L370" s="42"/>
      <c r="M370" s="42"/>
      <c r="AA370" s="42"/>
      <c r="AB370" s="42"/>
    </row>
    <row r="371" spans="1:40">
      <c r="R371" s="42"/>
      <c r="AK371" s="110"/>
      <c r="AL371" s="42"/>
    </row>
    <row r="372" spans="1:40">
      <c r="R372" s="42"/>
      <c r="AK372" s="110"/>
      <c r="AL372" s="42"/>
    </row>
    <row r="373" spans="1:40">
      <c r="A373" s="42"/>
      <c r="R373" s="42"/>
      <c r="AK373" s="110"/>
      <c r="AL373" s="42"/>
    </row>
    <row r="374" spans="1:40">
      <c r="L374" s="42"/>
      <c r="M374" s="42"/>
      <c r="AA374" s="42"/>
      <c r="AB374" s="42"/>
    </row>
    <row r="375" spans="1:40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107"/>
      <c r="AH375" s="49"/>
      <c r="AI375" s="49"/>
      <c r="AJ375" s="49"/>
      <c r="AK375" s="107"/>
      <c r="AL375" s="49"/>
      <c r="AM375" s="49"/>
      <c r="AN375" s="49"/>
    </row>
    <row r="376" spans="1:40">
      <c r="L376" s="44"/>
      <c r="M376" s="44"/>
      <c r="N376" s="44"/>
      <c r="O376" s="44"/>
      <c r="R376" s="44"/>
      <c r="AA376" s="44"/>
      <c r="AB376" s="44"/>
      <c r="AC376" s="44"/>
      <c r="AD376" s="44"/>
      <c r="AE376" s="44"/>
      <c r="AF376" s="44"/>
      <c r="AG376" s="102"/>
      <c r="AH376" s="44"/>
      <c r="AK376" s="102"/>
      <c r="AL376" s="44"/>
      <c r="AM376" s="44"/>
      <c r="AN376" s="44"/>
    </row>
    <row r="377" spans="1:40">
      <c r="L377" s="44"/>
      <c r="M377" s="44"/>
      <c r="N377" s="44"/>
      <c r="O377" s="44"/>
      <c r="R377" s="44"/>
      <c r="Z377" s="44"/>
      <c r="AA377" s="44"/>
      <c r="AB377" s="44"/>
      <c r="AC377" s="44"/>
      <c r="AD377" s="44"/>
      <c r="AE377" s="44"/>
      <c r="AF377" s="44"/>
      <c r="AG377" s="102"/>
      <c r="AH377" s="44"/>
      <c r="AK377" s="102"/>
      <c r="AL377" s="44"/>
      <c r="AM377" s="44"/>
      <c r="AN377" s="44"/>
    </row>
    <row r="378" spans="1:40">
      <c r="A378" s="44"/>
      <c r="C378" s="44"/>
      <c r="D378" s="44"/>
      <c r="E378" s="44"/>
      <c r="F378" s="44"/>
      <c r="J378" s="44"/>
      <c r="K378" s="44"/>
      <c r="L378" s="44"/>
      <c r="M378" s="44"/>
      <c r="N378" s="44"/>
      <c r="O378" s="44"/>
      <c r="P378" s="44"/>
      <c r="Q378" s="44"/>
      <c r="R378" s="44"/>
      <c r="T378" s="44"/>
      <c r="U378" s="44"/>
      <c r="V378" s="44"/>
      <c r="Z378" s="44"/>
      <c r="AA378" s="44"/>
      <c r="AB378" s="44"/>
      <c r="AC378" s="44"/>
      <c r="AD378" s="44"/>
      <c r="AE378" s="44"/>
      <c r="AF378" s="44"/>
      <c r="AG378" s="102"/>
      <c r="AH378" s="44"/>
      <c r="AI378" s="44"/>
      <c r="AJ378" s="44"/>
      <c r="AK378" s="102"/>
      <c r="AL378" s="44"/>
      <c r="AM378" s="44"/>
      <c r="AN378" s="44"/>
    </row>
    <row r="379" spans="1:40">
      <c r="A379" s="44"/>
      <c r="C379" s="44"/>
      <c r="D379" s="44"/>
      <c r="E379" s="44"/>
      <c r="F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T379" s="44"/>
      <c r="U379" s="44"/>
      <c r="V379" s="44"/>
      <c r="Y379" s="44"/>
      <c r="Z379" s="44"/>
      <c r="AA379" s="44"/>
      <c r="AB379" s="44"/>
      <c r="AC379" s="44"/>
      <c r="AD379" s="44"/>
      <c r="AE379" s="44"/>
      <c r="AF379" s="44"/>
      <c r="AG379" s="102"/>
      <c r="AH379" s="44"/>
      <c r="AI379" s="44"/>
      <c r="AJ379" s="44"/>
      <c r="AK379" s="102"/>
      <c r="AL379" s="44"/>
      <c r="AM379" s="44"/>
      <c r="AN379" s="44"/>
    </row>
    <row r="380" spans="1:40">
      <c r="C380" s="44"/>
      <c r="D380" s="44"/>
      <c r="E380" s="44"/>
      <c r="F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T380" s="44"/>
      <c r="U380" s="44"/>
      <c r="V380" s="44"/>
      <c r="Y380" s="44"/>
      <c r="Z380" s="44"/>
      <c r="AA380" s="44"/>
      <c r="AB380" s="44"/>
      <c r="AC380" s="44"/>
      <c r="AD380" s="44"/>
      <c r="AE380" s="44"/>
      <c r="AF380" s="44"/>
      <c r="AG380" s="102"/>
      <c r="AH380" s="44"/>
      <c r="AI380" s="44"/>
      <c r="AJ380" s="44"/>
      <c r="AK380" s="102"/>
      <c r="AL380" s="44"/>
      <c r="AM380" s="44"/>
      <c r="AN380" s="44"/>
    </row>
    <row r="381" spans="1:40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107"/>
      <c r="AH381" s="49"/>
      <c r="AI381" s="49"/>
      <c r="AJ381" s="49"/>
      <c r="AK381" s="107"/>
      <c r="AL381" s="49"/>
      <c r="AM381" s="49"/>
      <c r="AN381" s="49"/>
    </row>
    <row r="382" spans="1:40"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Y382" s="44"/>
      <c r="Z382" s="44"/>
      <c r="AA382" s="44"/>
      <c r="AB382" s="44"/>
      <c r="AC382" s="44"/>
      <c r="AD382" s="44"/>
      <c r="AE382" s="44"/>
      <c r="AF382" s="44"/>
      <c r="AG382" s="102"/>
      <c r="AH382" s="44"/>
      <c r="AI382" s="44"/>
      <c r="AJ382" s="44"/>
      <c r="AK382" s="102"/>
      <c r="AL382" s="44"/>
      <c r="AM382" s="44"/>
      <c r="AN382" s="44"/>
    </row>
    <row r="383" spans="1:40">
      <c r="C383" s="42"/>
      <c r="D383" s="42"/>
      <c r="E383" s="42"/>
      <c r="T383" s="42"/>
      <c r="U383" s="42"/>
    </row>
    <row r="385" spans="3:40">
      <c r="C385" s="42"/>
      <c r="T385" s="42"/>
    </row>
    <row r="386" spans="3:40">
      <c r="C386" s="42"/>
      <c r="F386" s="164"/>
      <c r="H386" s="164"/>
      <c r="I386" s="164"/>
      <c r="J386" s="326"/>
      <c r="K386" s="326"/>
      <c r="L386" s="45"/>
      <c r="M386" s="45"/>
      <c r="N386" s="46"/>
      <c r="O386" s="46"/>
      <c r="P386" s="45"/>
      <c r="Q386" s="45"/>
      <c r="R386" s="45"/>
      <c r="T386" s="42"/>
      <c r="V386" s="164"/>
      <c r="Y386" s="164"/>
      <c r="Z386" s="326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>
      <c r="C387" s="42"/>
      <c r="T387" s="42"/>
    </row>
    <row r="388" spans="3:40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45"/>
      <c r="Y388" s="45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Y389" s="45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Y390" s="45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>
      <c r="C392" s="42"/>
      <c r="J392" s="56"/>
      <c r="K392" s="56"/>
      <c r="T392" s="42"/>
      <c r="Z392" s="56"/>
    </row>
    <row r="393" spans="3:40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>
      <c r="C394" s="42"/>
      <c r="F394" s="164"/>
      <c r="H394" s="164"/>
      <c r="I394" s="164"/>
      <c r="J394" s="132"/>
      <c r="K394" s="132"/>
      <c r="L394" s="45"/>
      <c r="M394" s="45"/>
      <c r="N394" s="46"/>
      <c r="O394" s="46"/>
      <c r="P394" s="45"/>
      <c r="Q394" s="45"/>
      <c r="R394" s="45"/>
      <c r="T394" s="42"/>
      <c r="V394" s="45"/>
      <c r="Y394" s="45"/>
      <c r="Z394" s="132"/>
      <c r="AA394" s="45"/>
      <c r="AB394" s="45"/>
      <c r="AC394" s="46"/>
      <c r="AD394" s="46"/>
      <c r="AE394" s="45"/>
      <c r="AF394" s="45"/>
      <c r="AH394" s="51"/>
      <c r="AI394" s="45"/>
      <c r="AJ394" s="45"/>
      <c r="AL394" s="45"/>
      <c r="AM394" s="46"/>
      <c r="AN394" s="46"/>
    </row>
    <row r="395" spans="3:40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132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>
      <c r="C396" s="42"/>
      <c r="J396" s="56"/>
      <c r="K396" s="56"/>
      <c r="T396" s="42"/>
      <c r="Z396" s="56"/>
    </row>
    <row r="397" spans="3:40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Y397" s="45"/>
      <c r="Z397" s="132"/>
      <c r="AA397" s="45"/>
      <c r="AB397" s="45"/>
      <c r="AC397" s="46"/>
      <c r="AD397" s="46"/>
      <c r="AE397" s="45"/>
      <c r="AF397" s="45"/>
      <c r="AH397" s="51"/>
      <c r="AI397" s="45"/>
      <c r="AJ397" s="45"/>
      <c r="AL397" s="45"/>
      <c r="AM397" s="46"/>
      <c r="AN397" s="46"/>
    </row>
    <row r="398" spans="3:40">
      <c r="C398" s="42"/>
      <c r="F398" s="164"/>
      <c r="H398" s="164"/>
      <c r="I398" s="164"/>
      <c r="J398" s="132"/>
      <c r="K398" s="132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Z398" s="132"/>
      <c r="AA398" s="45"/>
      <c r="AB398" s="45"/>
      <c r="AC398" s="46"/>
      <c r="AD398" s="46"/>
      <c r="AE398" s="45"/>
      <c r="AF398" s="45"/>
      <c r="AH398" s="51"/>
      <c r="AI398" s="45"/>
      <c r="AJ398" s="45"/>
      <c r="AL398" s="45"/>
      <c r="AM398" s="46"/>
      <c r="AN398" s="46"/>
    </row>
    <row r="399" spans="3:40">
      <c r="C399" s="42"/>
      <c r="J399" s="56"/>
      <c r="K399" s="56"/>
      <c r="T399" s="42"/>
      <c r="Z399" s="56"/>
    </row>
    <row r="400" spans="3:40">
      <c r="C400" s="42"/>
      <c r="F400" s="164"/>
      <c r="H400" s="164"/>
      <c r="I400" s="164"/>
      <c r="J400" s="132"/>
      <c r="K400" s="132"/>
      <c r="L400" s="45"/>
      <c r="M400" s="45"/>
      <c r="N400" s="46"/>
      <c r="O400" s="46"/>
      <c r="P400" s="45"/>
      <c r="Q400" s="45"/>
      <c r="R400" s="45"/>
      <c r="T400" s="42"/>
      <c r="V400" s="45"/>
      <c r="Y400" s="45"/>
      <c r="Z400" s="132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>
      <c r="C401" s="42"/>
      <c r="F401" s="164"/>
      <c r="H401" s="164"/>
      <c r="I401" s="164"/>
      <c r="J401" s="132"/>
      <c r="K401" s="132"/>
      <c r="L401" s="45"/>
      <c r="M401" s="45"/>
      <c r="N401" s="46"/>
      <c r="O401" s="46"/>
      <c r="P401" s="45"/>
      <c r="Q401" s="45"/>
      <c r="R401" s="45"/>
      <c r="T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3:40">
      <c r="C402" s="42"/>
      <c r="F402" s="164"/>
      <c r="H402" s="164"/>
      <c r="I402" s="164"/>
      <c r="J402" s="132"/>
      <c r="K402" s="132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Z402" s="132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>
      <c r="F403" s="50"/>
      <c r="H403" s="50"/>
      <c r="I403" s="50"/>
      <c r="J403" s="132"/>
      <c r="K403" s="132"/>
      <c r="L403" s="50"/>
      <c r="M403" s="50"/>
      <c r="N403" s="50"/>
      <c r="O403" s="50"/>
      <c r="P403" s="50"/>
      <c r="Q403" s="50"/>
      <c r="R403" s="50"/>
      <c r="V403" s="50"/>
      <c r="Y403" s="50"/>
      <c r="Z403" s="132"/>
      <c r="AA403" s="50"/>
      <c r="AB403" s="50"/>
      <c r="AC403" s="50"/>
      <c r="AD403" s="50"/>
      <c r="AE403" s="50"/>
      <c r="AF403" s="50"/>
      <c r="AI403" s="50"/>
      <c r="AJ403" s="50"/>
      <c r="AK403" s="111"/>
      <c r="AL403" s="50"/>
    </row>
    <row r="404" spans="3:40">
      <c r="C404" s="44"/>
      <c r="F404" s="45"/>
      <c r="H404" s="45"/>
      <c r="I404" s="45"/>
      <c r="J404" s="56"/>
      <c r="K404" s="56"/>
      <c r="L404" s="45"/>
      <c r="M404" s="45"/>
      <c r="N404" s="51"/>
      <c r="O404" s="51"/>
      <c r="P404" s="45"/>
      <c r="Q404" s="45"/>
      <c r="R404" s="45"/>
      <c r="T404" s="44"/>
      <c r="V404" s="45"/>
      <c r="Y404" s="45"/>
      <c r="Z404" s="56"/>
      <c r="AA404" s="45"/>
      <c r="AB404" s="45"/>
      <c r="AC404" s="45"/>
      <c r="AD404" s="45"/>
      <c r="AE404" s="45"/>
      <c r="AF404" s="45"/>
      <c r="AH404" s="51"/>
      <c r="AI404" s="45"/>
      <c r="AJ404" s="45"/>
      <c r="AL404" s="45"/>
      <c r="AM404" s="46"/>
      <c r="AN404" s="46"/>
    </row>
    <row r="405" spans="3:40">
      <c r="F405" s="50"/>
      <c r="H405" s="50"/>
      <c r="I405" s="50"/>
      <c r="J405" s="132"/>
      <c r="K405" s="132"/>
      <c r="L405" s="50"/>
      <c r="M405" s="50"/>
      <c r="N405" s="50"/>
      <c r="O405" s="50"/>
      <c r="P405" s="50"/>
      <c r="Q405" s="50"/>
      <c r="R405" s="50"/>
      <c r="V405" s="50"/>
      <c r="Y405" s="50"/>
      <c r="Z405" s="132"/>
      <c r="AA405" s="50"/>
      <c r="AB405" s="50"/>
      <c r="AC405" s="50"/>
      <c r="AD405" s="50"/>
      <c r="AE405" s="50"/>
      <c r="AF405" s="50"/>
      <c r="AI405" s="50"/>
      <c r="AJ405" s="50"/>
      <c r="AK405" s="111"/>
      <c r="AL405" s="50"/>
    </row>
    <row r="406" spans="3:40">
      <c r="C406" s="42"/>
      <c r="J406" s="56"/>
      <c r="K406" s="56"/>
      <c r="T406" s="42"/>
      <c r="Z406" s="56"/>
    </row>
    <row r="407" spans="3:40">
      <c r="C407" s="42"/>
      <c r="J407" s="56"/>
      <c r="K407" s="56"/>
      <c r="T407" s="42"/>
      <c r="Z407" s="56"/>
    </row>
    <row r="408" spans="3:40">
      <c r="C408" s="42"/>
      <c r="F408" s="164"/>
      <c r="H408" s="164"/>
      <c r="I408" s="164"/>
      <c r="J408" s="132"/>
      <c r="K408" s="132"/>
      <c r="L408" s="45"/>
      <c r="M408" s="45"/>
      <c r="N408" s="46"/>
      <c r="O408" s="46"/>
      <c r="P408" s="45"/>
      <c r="Q408" s="45"/>
      <c r="R408" s="45"/>
      <c r="T408" s="42"/>
      <c r="V408" s="45"/>
      <c r="Y408" s="45"/>
      <c r="Z408" s="132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3:40">
      <c r="C409" s="42"/>
      <c r="F409" s="164"/>
      <c r="H409" s="164"/>
      <c r="I409" s="164"/>
      <c r="J409" s="132"/>
      <c r="K409" s="132"/>
      <c r="L409" s="45"/>
      <c r="M409" s="45"/>
      <c r="N409" s="46"/>
      <c r="O409" s="46"/>
      <c r="P409" s="45"/>
      <c r="Q409" s="45"/>
      <c r="R409" s="45"/>
      <c r="T409" s="42"/>
      <c r="V409" s="45"/>
      <c r="Y409" s="45"/>
      <c r="Z409" s="132"/>
      <c r="AA409" s="45"/>
      <c r="AB409" s="45"/>
      <c r="AC409" s="46"/>
      <c r="AD409" s="46"/>
      <c r="AE409" s="45"/>
      <c r="AF409" s="45"/>
      <c r="AH409" s="51"/>
      <c r="AI409" s="45"/>
      <c r="AJ409" s="45"/>
      <c r="AL409" s="45"/>
      <c r="AM409" s="46"/>
      <c r="AN409" s="46"/>
    </row>
    <row r="410" spans="3:40">
      <c r="C410" s="42"/>
      <c r="F410" s="164"/>
      <c r="H410" s="164"/>
      <c r="I410" s="164"/>
      <c r="J410" s="132"/>
      <c r="K410" s="132"/>
      <c r="L410" s="45"/>
      <c r="M410" s="45"/>
      <c r="N410" s="46"/>
      <c r="O410" s="46"/>
      <c r="P410" s="45"/>
      <c r="Q410" s="45"/>
      <c r="R410" s="45"/>
      <c r="T410" s="42"/>
      <c r="V410" s="45"/>
      <c r="Y410" s="45"/>
      <c r="Z410" s="132"/>
      <c r="AA410" s="45"/>
      <c r="AB410" s="45"/>
      <c r="AC410" s="46"/>
      <c r="AD410" s="46"/>
      <c r="AE410" s="45"/>
      <c r="AF410" s="45"/>
      <c r="AH410" s="51"/>
      <c r="AI410" s="45"/>
      <c r="AJ410" s="45"/>
      <c r="AL410" s="45"/>
      <c r="AM410" s="46"/>
      <c r="AN410" s="46"/>
    </row>
    <row r="411" spans="3:40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>
      <c r="C412" s="42"/>
      <c r="F412" s="164"/>
      <c r="H412" s="164"/>
      <c r="I412" s="164"/>
      <c r="J412" s="132"/>
      <c r="K412" s="132"/>
      <c r="L412" s="45"/>
      <c r="M412" s="45"/>
      <c r="N412" s="46"/>
      <c r="O412" s="46"/>
      <c r="P412" s="45"/>
      <c r="Q412" s="45"/>
      <c r="R412" s="45"/>
      <c r="T412" s="42"/>
      <c r="V412" s="45"/>
      <c r="Y412" s="45"/>
      <c r="Z412" s="132"/>
      <c r="AA412" s="45"/>
      <c r="AB412" s="45"/>
      <c r="AC412" s="46"/>
      <c r="AD412" s="46"/>
      <c r="AE412" s="45"/>
      <c r="AF412" s="45"/>
      <c r="AH412" s="51"/>
      <c r="AI412" s="45"/>
      <c r="AJ412" s="45"/>
      <c r="AL412" s="45"/>
      <c r="AM412" s="46"/>
      <c r="AN412" s="46"/>
    </row>
    <row r="413" spans="3:40">
      <c r="C413" s="42"/>
      <c r="F413" s="164"/>
      <c r="H413" s="164"/>
      <c r="I413" s="164"/>
      <c r="J413" s="132"/>
      <c r="K413" s="132"/>
      <c r="L413" s="45"/>
      <c r="M413" s="45"/>
      <c r="N413" s="46"/>
      <c r="O413" s="46"/>
      <c r="P413" s="45"/>
      <c r="Q413" s="45"/>
      <c r="R413" s="45"/>
      <c r="T413" s="42"/>
      <c r="V413" s="45"/>
      <c r="Y413" s="45"/>
      <c r="Z413" s="132"/>
      <c r="AA413" s="45"/>
      <c r="AB413" s="45"/>
      <c r="AC413" s="46"/>
      <c r="AD413" s="46"/>
      <c r="AE413" s="45"/>
      <c r="AF413" s="45"/>
      <c r="AH413" s="51"/>
      <c r="AI413" s="45"/>
      <c r="AJ413" s="45"/>
      <c r="AL413" s="45"/>
      <c r="AM413" s="46"/>
      <c r="AN413" s="46"/>
    </row>
    <row r="414" spans="3:40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>
      <c r="C415" s="42"/>
      <c r="J415" s="56"/>
      <c r="K415" s="56"/>
      <c r="T415" s="42"/>
      <c r="Z415" s="56"/>
    </row>
    <row r="416" spans="3:40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>
      <c r="C417" s="42"/>
      <c r="F417" s="164"/>
      <c r="H417" s="164"/>
      <c r="I417" s="164"/>
      <c r="J417" s="132"/>
      <c r="K417" s="132"/>
      <c r="L417" s="45"/>
      <c r="M417" s="45"/>
      <c r="N417" s="46"/>
      <c r="O417" s="46"/>
      <c r="P417" s="45"/>
      <c r="Q417" s="45"/>
      <c r="R417" s="45"/>
      <c r="T417" s="42"/>
      <c r="V417" s="45"/>
      <c r="Y417" s="45"/>
      <c r="Z417" s="132"/>
      <c r="AA417" s="45"/>
      <c r="AB417" s="45"/>
      <c r="AC417" s="46"/>
      <c r="AD417" s="46"/>
      <c r="AE417" s="45"/>
      <c r="AF417" s="45"/>
      <c r="AH417" s="51"/>
      <c r="AI417" s="45"/>
      <c r="AJ417" s="45"/>
      <c r="AL417" s="45"/>
      <c r="AM417" s="46"/>
      <c r="AN417" s="46"/>
    </row>
    <row r="418" spans="3:40">
      <c r="C418" s="42"/>
      <c r="F418" s="164"/>
      <c r="H418" s="164"/>
      <c r="I418" s="164"/>
      <c r="J418" s="132"/>
      <c r="K418" s="132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Z418" s="132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>
      <c r="C419" s="42"/>
      <c r="F419" s="164"/>
      <c r="H419" s="164"/>
      <c r="I419" s="164"/>
      <c r="J419" s="132"/>
      <c r="K419" s="132"/>
      <c r="L419" s="45"/>
      <c r="M419" s="45"/>
      <c r="N419" s="46"/>
      <c r="O419" s="46"/>
      <c r="P419" s="45"/>
      <c r="Q419" s="45"/>
      <c r="R419" s="45"/>
      <c r="T419" s="42"/>
      <c r="V419" s="45"/>
      <c r="Y419" s="45"/>
      <c r="Z419" s="132"/>
      <c r="AA419" s="45"/>
      <c r="AB419" s="45"/>
      <c r="AC419" s="46"/>
      <c r="AD419" s="46"/>
      <c r="AE419" s="45"/>
      <c r="AF419" s="45"/>
      <c r="AH419" s="51"/>
      <c r="AI419" s="45"/>
      <c r="AJ419" s="45"/>
      <c r="AL419" s="45"/>
      <c r="AM419" s="46"/>
      <c r="AN419" s="46"/>
    </row>
    <row r="420" spans="3:40">
      <c r="C420" s="42"/>
      <c r="J420" s="56"/>
      <c r="K420" s="56"/>
      <c r="T420" s="42"/>
      <c r="Z420" s="56"/>
    </row>
    <row r="421" spans="3:40">
      <c r="C421" s="42"/>
      <c r="F421" s="164"/>
      <c r="H421" s="164"/>
      <c r="I421" s="164"/>
      <c r="J421" s="132"/>
      <c r="K421" s="132"/>
      <c r="L421" s="45"/>
      <c r="M421" s="45"/>
      <c r="N421" s="46"/>
      <c r="O421" s="46"/>
      <c r="P421" s="45"/>
      <c r="Q421" s="45"/>
      <c r="R421" s="45"/>
      <c r="T421" s="42"/>
      <c r="V421" s="45"/>
      <c r="Y421" s="45"/>
      <c r="Z421" s="132"/>
      <c r="AA421" s="45"/>
      <c r="AB421" s="45"/>
      <c r="AC421" s="46"/>
      <c r="AD421" s="46"/>
      <c r="AE421" s="45"/>
      <c r="AF421" s="45"/>
      <c r="AH421" s="51"/>
      <c r="AI421" s="45"/>
      <c r="AJ421" s="45"/>
      <c r="AL421" s="45"/>
      <c r="AM421" s="46"/>
      <c r="AN421" s="46"/>
    </row>
    <row r="422" spans="3:40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>
      <c r="F426" s="50"/>
      <c r="H426" s="50"/>
      <c r="I426" s="50"/>
      <c r="J426" s="326"/>
      <c r="K426" s="326"/>
      <c r="L426" s="50"/>
      <c r="M426" s="50"/>
      <c r="N426" s="50"/>
      <c r="O426" s="50"/>
      <c r="P426" s="50"/>
      <c r="Q426" s="50"/>
      <c r="R426" s="50"/>
      <c r="V426" s="50"/>
      <c r="Y426" s="50"/>
      <c r="Z426" s="132"/>
      <c r="AA426" s="50"/>
      <c r="AB426" s="50"/>
      <c r="AC426" s="50"/>
      <c r="AD426" s="50"/>
      <c r="AE426" s="50"/>
      <c r="AF426" s="50"/>
      <c r="AI426" s="50"/>
      <c r="AJ426" s="50"/>
      <c r="AK426" s="111"/>
      <c r="AL426" s="50"/>
    </row>
    <row r="427" spans="3:40">
      <c r="C427" s="42"/>
      <c r="F427" s="45"/>
      <c r="H427" s="45"/>
      <c r="I427" s="45"/>
      <c r="L427" s="45"/>
      <c r="M427" s="45"/>
      <c r="N427" s="51"/>
      <c r="O427" s="51"/>
      <c r="P427" s="45"/>
      <c r="Q427" s="45"/>
      <c r="R427" s="45"/>
      <c r="T427" s="42"/>
      <c r="V427" s="45"/>
      <c r="Y427" s="45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>
      <c r="F428" s="50"/>
      <c r="H428" s="50"/>
      <c r="I428" s="50"/>
      <c r="J428" s="326"/>
      <c r="K428" s="326"/>
      <c r="L428" s="50"/>
      <c r="M428" s="50"/>
      <c r="N428" s="50"/>
      <c r="O428" s="50"/>
      <c r="P428" s="50"/>
      <c r="Q428" s="50"/>
      <c r="R428" s="50"/>
      <c r="V428" s="50"/>
      <c r="Y428" s="50"/>
      <c r="Z428" s="326"/>
      <c r="AA428" s="50"/>
      <c r="AB428" s="50"/>
      <c r="AC428" s="50"/>
      <c r="AD428" s="50"/>
      <c r="AE428" s="50"/>
      <c r="AF428" s="50"/>
      <c r="AI428" s="50"/>
      <c r="AJ428" s="50"/>
      <c r="AK428" s="111"/>
      <c r="AL428" s="50"/>
    </row>
    <row r="429" spans="3:40">
      <c r="C429" s="42"/>
      <c r="T429" s="42"/>
    </row>
    <row r="430" spans="3:40">
      <c r="C430" s="42"/>
      <c r="F430" s="164"/>
      <c r="H430" s="164"/>
      <c r="I430" s="164"/>
      <c r="J430" s="316"/>
      <c r="K430" s="316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316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>
      <c r="C431" s="42"/>
      <c r="F431" s="164"/>
      <c r="H431" s="164"/>
      <c r="I431" s="164"/>
      <c r="J431" s="316"/>
      <c r="K431" s="316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316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3:40">
      <c r="F432" s="50"/>
      <c r="H432" s="45"/>
      <c r="I432" s="45"/>
      <c r="J432" s="326"/>
      <c r="K432" s="326"/>
      <c r="L432" s="50"/>
      <c r="M432" s="50"/>
      <c r="N432" s="50"/>
      <c r="O432" s="50"/>
      <c r="P432" s="50"/>
      <c r="Q432" s="50"/>
      <c r="R432" s="50"/>
      <c r="V432" s="50"/>
      <c r="Y432" s="45"/>
      <c r="Z432" s="326"/>
      <c r="AA432" s="50"/>
      <c r="AB432" s="50"/>
      <c r="AC432" s="50"/>
      <c r="AD432" s="50"/>
      <c r="AE432" s="50"/>
      <c r="AF432" s="50"/>
      <c r="AI432" s="50"/>
      <c r="AJ432" s="50"/>
      <c r="AK432" s="111"/>
      <c r="AL432" s="50"/>
    </row>
    <row r="433" spans="1:40">
      <c r="F433" s="45"/>
      <c r="H433" s="45"/>
      <c r="I433" s="45"/>
      <c r="J433" s="326"/>
      <c r="K433" s="326"/>
      <c r="L433" s="45"/>
      <c r="M433" s="45"/>
      <c r="N433" s="45"/>
      <c r="O433" s="45"/>
      <c r="P433" s="45"/>
      <c r="Q433" s="45"/>
      <c r="R433" s="45"/>
      <c r="V433" s="45"/>
      <c r="Y433" s="45"/>
      <c r="Z433" s="326"/>
      <c r="AA433" s="45"/>
      <c r="AB433" s="45"/>
      <c r="AC433" s="45"/>
      <c r="AD433" s="45"/>
      <c r="AE433" s="45"/>
      <c r="AF433" s="45"/>
      <c r="AI433" s="45"/>
      <c r="AJ433" s="45"/>
      <c r="AL433" s="45"/>
    </row>
    <row r="434" spans="1:40">
      <c r="C434" s="42"/>
      <c r="F434" s="45"/>
      <c r="H434" s="45"/>
      <c r="I434" s="45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AA434" s="45"/>
      <c r="AB434" s="45"/>
      <c r="AC434" s="46"/>
      <c r="AD434" s="46"/>
      <c r="AE434" s="45"/>
      <c r="AF434" s="45"/>
      <c r="AH434" s="51"/>
      <c r="AI434" s="164"/>
      <c r="AJ434" s="164"/>
      <c r="AL434" s="45"/>
      <c r="AM434" s="46"/>
      <c r="AN434" s="46"/>
    </row>
    <row r="435" spans="1:40">
      <c r="H435" s="50"/>
      <c r="I435" s="50"/>
      <c r="J435" s="326"/>
      <c r="K435" s="326"/>
      <c r="L435" s="50"/>
      <c r="M435" s="50"/>
      <c r="N435" s="50"/>
      <c r="O435" s="50"/>
      <c r="P435" s="50"/>
      <c r="Q435" s="50"/>
      <c r="R435" s="50"/>
      <c r="V435" s="50"/>
      <c r="Y435" s="50"/>
      <c r="Z435" s="326"/>
      <c r="AA435" s="50"/>
      <c r="AB435" s="50"/>
      <c r="AC435" s="50"/>
      <c r="AD435" s="50"/>
      <c r="AE435" s="50"/>
      <c r="AF435" s="50"/>
      <c r="AI435" s="50"/>
      <c r="AJ435" s="50"/>
      <c r="AK435" s="111"/>
      <c r="AL435" s="50"/>
    </row>
    <row r="436" spans="1:40">
      <c r="F436" s="50"/>
    </row>
    <row r="437" spans="1:40">
      <c r="A437" s="42"/>
      <c r="T437" s="42"/>
    </row>
    <row r="438" spans="1:40">
      <c r="A438" s="42"/>
      <c r="T438" s="42"/>
    </row>
    <row r="439" spans="1:40">
      <c r="A439" s="42"/>
      <c r="T439" s="42"/>
    </row>
    <row r="440" spans="1:40">
      <c r="A440" s="42"/>
      <c r="T440" s="42"/>
    </row>
    <row r="441" spans="1:40">
      <c r="A441" s="42"/>
      <c r="T441" s="42"/>
    </row>
    <row r="442" spans="1:40">
      <c r="A442" s="42"/>
      <c r="T442" s="42"/>
    </row>
    <row r="443" spans="1:40">
      <c r="A443" s="42"/>
      <c r="T443" s="42"/>
    </row>
    <row r="444" spans="1:40">
      <c r="A444" s="42"/>
      <c r="T444" s="42"/>
    </row>
    <row r="445" spans="1:40">
      <c r="A445" s="42"/>
      <c r="T445" s="42"/>
    </row>
    <row r="447" spans="1:40">
      <c r="A447" s="42"/>
    </row>
    <row r="449" spans="1:40">
      <c r="H449" s="42"/>
      <c r="I449" s="42"/>
      <c r="Y449" s="42"/>
    </row>
    <row r="451" spans="1:40">
      <c r="L451" s="42"/>
      <c r="M451" s="42"/>
      <c r="AA451" s="42"/>
      <c r="AB451" s="42"/>
    </row>
    <row r="452" spans="1:40">
      <c r="R452" s="42"/>
      <c r="AK452" s="110"/>
      <c r="AL452" s="42"/>
    </row>
    <row r="453" spans="1:40">
      <c r="R453" s="42"/>
      <c r="AK453" s="110"/>
      <c r="AL453" s="42"/>
    </row>
    <row r="454" spans="1:40">
      <c r="A454" s="42"/>
      <c r="R454" s="42"/>
      <c r="AK454" s="110"/>
      <c r="AL454" s="42"/>
    </row>
    <row r="455" spans="1:40">
      <c r="L455" s="42"/>
      <c r="M455" s="42"/>
      <c r="AA455" s="42"/>
      <c r="AB455" s="42"/>
    </row>
    <row r="456" spans="1:40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107"/>
      <c r="AH456" s="49"/>
      <c r="AI456" s="49"/>
      <c r="AJ456" s="49"/>
      <c r="AK456" s="107"/>
      <c r="AL456" s="49"/>
      <c r="AM456" s="49"/>
      <c r="AN456" s="49"/>
    </row>
    <row r="457" spans="1:40">
      <c r="L457" s="44"/>
      <c r="M457" s="44"/>
      <c r="N457" s="44"/>
      <c r="O457" s="44"/>
      <c r="R457" s="44"/>
      <c r="AA457" s="44"/>
      <c r="AB457" s="44"/>
      <c r="AC457" s="44"/>
      <c r="AD457" s="44"/>
      <c r="AE457" s="44"/>
      <c r="AF457" s="44"/>
      <c r="AG457" s="102"/>
      <c r="AH457" s="44"/>
      <c r="AK457" s="102"/>
      <c r="AL457" s="44"/>
      <c r="AM457" s="44"/>
      <c r="AN457" s="44"/>
    </row>
    <row r="458" spans="1:40">
      <c r="L458" s="44"/>
      <c r="M458" s="44"/>
      <c r="N458" s="44"/>
      <c r="O458" s="44"/>
      <c r="R458" s="44"/>
      <c r="Z458" s="44"/>
      <c r="AA458" s="44"/>
      <c r="AB458" s="44"/>
      <c r="AC458" s="44"/>
      <c r="AD458" s="44"/>
      <c r="AE458" s="44"/>
      <c r="AF458" s="44"/>
      <c r="AG458" s="102"/>
      <c r="AH458" s="44"/>
      <c r="AK458" s="102"/>
      <c r="AL458" s="44"/>
      <c r="AM458" s="44"/>
      <c r="AN458" s="44"/>
    </row>
    <row r="459" spans="1:40">
      <c r="A459" s="44"/>
      <c r="C459" s="44"/>
      <c r="D459" s="44"/>
      <c r="E459" s="44"/>
      <c r="F459" s="44"/>
      <c r="J459" s="44"/>
      <c r="K459" s="44"/>
      <c r="L459" s="44"/>
      <c r="M459" s="44"/>
      <c r="N459" s="44"/>
      <c r="O459" s="44"/>
      <c r="P459" s="44"/>
      <c r="Q459" s="44"/>
      <c r="R459" s="44"/>
      <c r="T459" s="44"/>
      <c r="U459" s="44"/>
      <c r="V459" s="44"/>
      <c r="Z459" s="44"/>
      <c r="AA459" s="44"/>
      <c r="AB459" s="44"/>
      <c r="AC459" s="44"/>
      <c r="AD459" s="44"/>
      <c r="AE459" s="44"/>
      <c r="AF459" s="44"/>
      <c r="AG459" s="102"/>
      <c r="AH459" s="44"/>
      <c r="AI459" s="44"/>
      <c r="AJ459" s="44"/>
      <c r="AK459" s="102"/>
      <c r="AL459" s="44"/>
      <c r="AM459" s="44"/>
      <c r="AN459" s="44"/>
    </row>
    <row r="460" spans="1:40">
      <c r="A460" s="44"/>
      <c r="C460" s="44"/>
      <c r="D460" s="44"/>
      <c r="E460" s="44"/>
      <c r="F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T460" s="44"/>
      <c r="U460" s="44"/>
      <c r="V460" s="44"/>
      <c r="Y460" s="44"/>
      <c r="Z460" s="44"/>
      <c r="AA460" s="44"/>
      <c r="AB460" s="44"/>
      <c r="AC460" s="44"/>
      <c r="AD460" s="44"/>
      <c r="AE460" s="44"/>
      <c r="AF460" s="44"/>
      <c r="AG460" s="102"/>
      <c r="AH460" s="44"/>
      <c r="AI460" s="44"/>
      <c r="AJ460" s="44"/>
      <c r="AK460" s="102"/>
      <c r="AL460" s="44"/>
      <c r="AM460" s="44"/>
      <c r="AN460" s="44"/>
    </row>
    <row r="461" spans="1:40">
      <c r="C461" s="44"/>
      <c r="D461" s="44"/>
      <c r="E461" s="44"/>
      <c r="F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T461" s="44"/>
      <c r="U461" s="44"/>
      <c r="V461" s="44"/>
      <c r="Y461" s="44"/>
      <c r="Z461" s="44"/>
      <c r="AA461" s="44"/>
      <c r="AB461" s="44"/>
      <c r="AC461" s="44"/>
      <c r="AD461" s="44"/>
      <c r="AE461" s="44"/>
      <c r="AF461" s="44"/>
      <c r="AG461" s="102"/>
      <c r="AH461" s="44"/>
      <c r="AI461" s="44"/>
      <c r="AJ461" s="44"/>
      <c r="AK461" s="102"/>
      <c r="AL461" s="44"/>
      <c r="AM461" s="44"/>
      <c r="AN461" s="44"/>
    </row>
    <row r="462" spans="1:40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107"/>
      <c r="AH462" s="49"/>
      <c r="AI462" s="49"/>
      <c r="AJ462" s="49"/>
      <c r="AK462" s="107"/>
      <c r="AL462" s="49"/>
      <c r="AM462" s="49"/>
      <c r="AN462" s="49"/>
    </row>
    <row r="463" spans="1:40"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Y463" s="44"/>
      <c r="Z463" s="44"/>
      <c r="AA463" s="44"/>
      <c r="AB463" s="44"/>
      <c r="AC463" s="44"/>
      <c r="AD463" s="44"/>
      <c r="AE463" s="44"/>
      <c r="AF463" s="44"/>
      <c r="AG463" s="102"/>
      <c r="AH463" s="44"/>
      <c r="AI463" s="44"/>
      <c r="AJ463" s="44"/>
      <c r="AK463" s="102"/>
      <c r="AL463" s="44"/>
      <c r="AM463" s="44"/>
      <c r="AN463" s="44"/>
    </row>
    <row r="464" spans="1:40">
      <c r="C464" s="42"/>
      <c r="D464" s="42"/>
      <c r="E464" s="42"/>
      <c r="T464" s="42"/>
      <c r="U464" s="42"/>
    </row>
    <row r="465" spans="3:40">
      <c r="D465" s="42"/>
      <c r="E465" s="42"/>
      <c r="U465" s="42"/>
    </row>
    <row r="467" spans="3:40">
      <c r="C467" s="42"/>
      <c r="F467" s="45"/>
      <c r="J467" s="53"/>
      <c r="K467" s="53"/>
      <c r="L467" s="45"/>
      <c r="M467" s="45"/>
      <c r="R467" s="45"/>
      <c r="T467" s="42"/>
      <c r="V467" s="45"/>
      <c r="Z467" s="53"/>
      <c r="AA467" s="45"/>
      <c r="AB467" s="45"/>
      <c r="AH467" s="45"/>
      <c r="AL467" s="45"/>
    </row>
    <row r="468" spans="3:40">
      <c r="C468" s="42"/>
      <c r="F468" s="45"/>
      <c r="R468" s="45"/>
      <c r="T468" s="42"/>
      <c r="V468" s="45"/>
      <c r="AH468" s="45"/>
      <c r="AL468" s="45"/>
    </row>
    <row r="469" spans="3:40">
      <c r="AI469" s="45"/>
      <c r="AJ469" s="45"/>
      <c r="AL469" s="45"/>
      <c r="AM469" s="46"/>
      <c r="AN469" s="46"/>
    </row>
    <row r="470" spans="3:40">
      <c r="C470" s="42"/>
      <c r="F470" s="164"/>
      <c r="H470" s="164"/>
      <c r="I470" s="164"/>
      <c r="J470" s="336"/>
      <c r="K470" s="336"/>
      <c r="L470" s="45"/>
      <c r="M470" s="45"/>
      <c r="N470" s="46"/>
      <c r="O470" s="46"/>
      <c r="P470" s="45"/>
      <c r="Q470" s="45"/>
      <c r="R470" s="45"/>
      <c r="T470" s="42"/>
      <c r="V470" s="45"/>
      <c r="Y470" s="45"/>
      <c r="Z470" s="336"/>
      <c r="AA470" s="45"/>
      <c r="AB470" s="45"/>
      <c r="AC470" s="46"/>
      <c r="AD470" s="46"/>
      <c r="AE470" s="45"/>
      <c r="AF470" s="45"/>
      <c r="AH470" s="51"/>
      <c r="AI470" s="45"/>
      <c r="AJ470" s="45"/>
      <c r="AL470" s="45"/>
      <c r="AM470" s="46"/>
      <c r="AN470" s="46"/>
    </row>
    <row r="471" spans="3:40">
      <c r="F471" s="45"/>
      <c r="H471" s="45"/>
      <c r="I471" s="45"/>
      <c r="J471" s="47"/>
      <c r="K471" s="47"/>
      <c r="L471" s="45"/>
      <c r="M471" s="45"/>
      <c r="P471" s="45"/>
      <c r="Q471" s="45"/>
      <c r="R471" s="45"/>
      <c r="V471" s="45"/>
      <c r="Y471" s="45"/>
      <c r="Z471" s="47"/>
      <c r="AA471" s="45"/>
      <c r="AB471" s="45"/>
      <c r="AI471" s="45"/>
      <c r="AJ471" s="45"/>
      <c r="AL471" s="45"/>
      <c r="AM471" s="46"/>
      <c r="AN471" s="46"/>
    </row>
    <row r="472" spans="3:40">
      <c r="F472" s="45"/>
      <c r="R472" s="45"/>
      <c r="V472" s="45"/>
      <c r="AL472" s="45"/>
      <c r="AM472" s="46"/>
      <c r="AN472" s="46"/>
    </row>
    <row r="473" spans="3:40">
      <c r="C473" s="42"/>
      <c r="F473" s="45"/>
      <c r="J473" s="53"/>
      <c r="K473" s="53"/>
      <c r="L473" s="45"/>
      <c r="M473" s="45"/>
      <c r="N473" s="46"/>
      <c r="O473" s="46"/>
      <c r="R473" s="45"/>
      <c r="T473" s="42"/>
      <c r="V473" s="45"/>
      <c r="Z473" s="53"/>
      <c r="AA473" s="45"/>
      <c r="AB473" s="45"/>
      <c r="AC473" s="46"/>
      <c r="AD473" s="46"/>
      <c r="AL473" s="45"/>
      <c r="AM473" s="46"/>
      <c r="AN473" s="46"/>
    </row>
    <row r="474" spans="3:40">
      <c r="C474" s="42"/>
      <c r="F474" s="45"/>
      <c r="H474" s="45"/>
      <c r="I474" s="45"/>
      <c r="J474" s="53"/>
      <c r="K474" s="53"/>
      <c r="L474" s="45"/>
      <c r="M474" s="45"/>
      <c r="N474" s="46"/>
      <c r="O474" s="46"/>
      <c r="P474" s="45"/>
      <c r="Q474" s="45"/>
      <c r="R474" s="45"/>
      <c r="T474" s="42"/>
      <c r="V474" s="45"/>
      <c r="Y474" s="45"/>
      <c r="Z474" s="53"/>
      <c r="AA474" s="45"/>
      <c r="AB474" s="45"/>
      <c r="AC474" s="46"/>
      <c r="AD474" s="46"/>
      <c r="AI474" s="45"/>
      <c r="AJ474" s="45"/>
      <c r="AL474" s="45"/>
      <c r="AM474" s="46"/>
      <c r="AN474" s="46"/>
    </row>
    <row r="475" spans="3:40">
      <c r="C475" s="42"/>
      <c r="T475" s="42"/>
      <c r="AM475" s="46"/>
      <c r="AN475" s="46"/>
    </row>
    <row r="476" spans="3:40">
      <c r="C476" s="42"/>
      <c r="T476" s="42"/>
      <c r="AM476" s="46"/>
      <c r="AN476" s="46"/>
    </row>
    <row r="477" spans="3:40">
      <c r="AM477" s="46"/>
      <c r="AN477" s="46"/>
    </row>
    <row r="478" spans="3:40">
      <c r="C478" s="42"/>
      <c r="F478" s="164"/>
      <c r="H478" s="164"/>
      <c r="I478" s="164"/>
      <c r="J478" s="336"/>
      <c r="K478" s="336"/>
      <c r="L478" s="45"/>
      <c r="M478" s="45"/>
      <c r="N478" s="46"/>
      <c r="O478" s="46"/>
      <c r="P478" s="45"/>
      <c r="Q478" s="45"/>
      <c r="R478" s="45"/>
      <c r="T478" s="42"/>
      <c r="V478" s="45"/>
      <c r="Y478" s="45"/>
      <c r="Z478" s="336"/>
      <c r="AA478" s="45"/>
      <c r="AB478" s="45"/>
      <c r="AC478" s="46"/>
      <c r="AD478" s="46"/>
      <c r="AE478" s="45"/>
      <c r="AF478" s="45"/>
      <c r="AH478" s="51"/>
      <c r="AI478" s="45"/>
      <c r="AJ478" s="45"/>
      <c r="AL478" s="45"/>
      <c r="AM478" s="46"/>
      <c r="AN478" s="46"/>
    </row>
    <row r="479" spans="3:40">
      <c r="F479" s="50"/>
      <c r="H479" s="50"/>
      <c r="I479" s="50"/>
      <c r="J479" s="326"/>
      <c r="K479" s="326"/>
      <c r="L479" s="50"/>
      <c r="M479" s="50"/>
      <c r="N479" s="50"/>
      <c r="O479" s="50"/>
      <c r="P479" s="50"/>
      <c r="Q479" s="50"/>
      <c r="R479" s="50"/>
      <c r="V479" s="50"/>
      <c r="Y479" s="50"/>
      <c r="Z479" s="326"/>
      <c r="AA479" s="50"/>
      <c r="AB479" s="50"/>
      <c r="AC479" s="50"/>
      <c r="AD479" s="50"/>
      <c r="AE479" s="50"/>
      <c r="AF479" s="50"/>
      <c r="AI479" s="50"/>
      <c r="AJ479" s="50"/>
      <c r="AK479" s="111"/>
      <c r="AL479" s="50"/>
      <c r="AM479" s="46"/>
      <c r="AN479" s="46"/>
    </row>
    <row r="480" spans="3:40">
      <c r="H480" s="45"/>
      <c r="I480" s="45"/>
      <c r="Y480" s="45"/>
      <c r="AM480" s="46"/>
      <c r="AN480" s="46"/>
    </row>
    <row r="481" spans="1:40">
      <c r="C481" s="42"/>
      <c r="F481" s="45"/>
      <c r="H481" s="45"/>
      <c r="I481" s="45"/>
      <c r="L481" s="45"/>
      <c r="M481" s="45"/>
      <c r="N481" s="46"/>
      <c r="O481" s="46"/>
      <c r="P481" s="164"/>
      <c r="Q481" s="164"/>
      <c r="R481" s="45"/>
      <c r="T481" s="42"/>
      <c r="V481" s="45"/>
      <c r="Y481" s="45"/>
      <c r="AA481" s="45"/>
      <c r="AB481" s="45"/>
      <c r="AC481" s="46"/>
      <c r="AD481" s="46"/>
      <c r="AE481" s="45"/>
      <c r="AF481" s="45"/>
      <c r="AH481" s="51"/>
      <c r="AI481" s="164"/>
      <c r="AJ481" s="164"/>
      <c r="AL481" s="45"/>
      <c r="AM481" s="46"/>
      <c r="AN481" s="46"/>
    </row>
    <row r="482" spans="1:40">
      <c r="H482" s="50"/>
      <c r="I482" s="50"/>
      <c r="J482" s="326"/>
      <c r="K482" s="326"/>
      <c r="L482" s="50"/>
      <c r="M482" s="50"/>
      <c r="N482" s="50"/>
      <c r="O482" s="50"/>
      <c r="P482" s="50"/>
      <c r="Q482" s="50"/>
      <c r="R482" s="50"/>
      <c r="V482" s="50"/>
      <c r="Y482" s="50"/>
      <c r="Z482" s="326"/>
      <c r="AA482" s="50"/>
      <c r="AB482" s="50"/>
      <c r="AC482" s="50"/>
      <c r="AD482" s="50"/>
      <c r="AE482" s="50"/>
      <c r="AF482" s="50"/>
      <c r="AI482" s="50"/>
      <c r="AJ482" s="50"/>
      <c r="AK482" s="111"/>
      <c r="AL482" s="50"/>
      <c r="AM482" s="46"/>
      <c r="AN482" s="46"/>
    </row>
    <row r="483" spans="1:40">
      <c r="F483" s="50"/>
    </row>
    <row r="484" spans="1:40">
      <c r="F484" s="45"/>
      <c r="H484" s="45"/>
      <c r="I484" s="45"/>
      <c r="J484" s="47"/>
      <c r="K484" s="47"/>
      <c r="L484" s="45"/>
      <c r="M484" s="45"/>
      <c r="N484" s="45"/>
      <c r="O484" s="45"/>
      <c r="P484" s="45"/>
      <c r="Q484" s="45"/>
      <c r="R484" s="45"/>
      <c r="V484" s="45"/>
      <c r="Y484" s="45"/>
      <c r="Z484" s="47"/>
      <c r="AA484" s="45"/>
      <c r="AB484" s="45"/>
      <c r="AC484" s="45"/>
      <c r="AD484" s="45"/>
      <c r="AE484" s="45"/>
      <c r="AF484" s="45"/>
      <c r="AH484" s="45"/>
      <c r="AI484" s="45"/>
      <c r="AJ484" s="45"/>
      <c r="AL484" s="45"/>
    </row>
    <row r="485" spans="1:40">
      <c r="A485" s="42"/>
    </row>
    <row r="487" spans="1:40">
      <c r="H487" s="42"/>
      <c r="I487" s="42"/>
      <c r="Y487" s="42"/>
    </row>
    <row r="489" spans="1:40">
      <c r="L489" s="42"/>
      <c r="M489" s="42"/>
      <c r="AA489" s="42"/>
      <c r="AB489" s="42"/>
    </row>
    <row r="490" spans="1:40">
      <c r="R490" s="42"/>
      <c r="AK490" s="110"/>
      <c r="AL490" s="42"/>
    </row>
    <row r="491" spans="1:40">
      <c r="R491" s="42"/>
      <c r="AK491" s="110"/>
      <c r="AL491" s="42"/>
    </row>
    <row r="492" spans="1:40">
      <c r="A492" s="42"/>
      <c r="R492" s="42"/>
      <c r="AK492" s="110"/>
      <c r="AL492" s="42"/>
    </row>
    <row r="493" spans="1:40">
      <c r="L493" s="42"/>
      <c r="M493" s="42"/>
      <c r="AA493" s="42"/>
      <c r="AB493" s="42"/>
    </row>
    <row r="494" spans="1:40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107"/>
      <c r="AH494" s="49"/>
      <c r="AI494" s="49"/>
      <c r="AJ494" s="49"/>
      <c r="AK494" s="107"/>
      <c r="AL494" s="49"/>
      <c r="AM494" s="49"/>
      <c r="AN494" s="49"/>
    </row>
    <row r="495" spans="1:40">
      <c r="L495" s="44"/>
      <c r="M495" s="44"/>
      <c r="N495" s="44"/>
      <c r="O495" s="44"/>
      <c r="R495" s="44"/>
      <c r="AA495" s="44"/>
      <c r="AB495" s="44"/>
      <c r="AC495" s="44"/>
      <c r="AD495" s="44"/>
      <c r="AE495" s="44"/>
      <c r="AF495" s="44"/>
      <c r="AG495" s="102"/>
      <c r="AH495" s="44"/>
      <c r="AK495" s="102"/>
      <c r="AL495" s="44"/>
      <c r="AM495" s="44"/>
      <c r="AN495" s="44"/>
    </row>
    <row r="496" spans="1:40">
      <c r="L496" s="44"/>
      <c r="M496" s="44"/>
      <c r="N496" s="44"/>
      <c r="O496" s="44"/>
      <c r="R496" s="44"/>
      <c r="Z496" s="44"/>
      <c r="AA496" s="44"/>
      <c r="AB496" s="44"/>
      <c r="AC496" s="44"/>
      <c r="AD496" s="44"/>
      <c r="AE496" s="44"/>
      <c r="AF496" s="44"/>
      <c r="AG496" s="102"/>
      <c r="AH496" s="44"/>
      <c r="AK496" s="102"/>
      <c r="AL496" s="44"/>
      <c r="AM496" s="44"/>
      <c r="AN496" s="44"/>
    </row>
    <row r="497" spans="1:40">
      <c r="A497" s="44"/>
      <c r="C497" s="44"/>
      <c r="D497" s="44"/>
      <c r="E497" s="44"/>
      <c r="F497" s="44"/>
      <c r="J497" s="44"/>
      <c r="K497" s="44"/>
      <c r="L497" s="44"/>
      <c r="M497" s="44"/>
      <c r="N497" s="44"/>
      <c r="O497" s="44"/>
      <c r="P497" s="44"/>
      <c r="Q497" s="44"/>
      <c r="R497" s="44"/>
      <c r="T497" s="44"/>
      <c r="U497" s="44"/>
      <c r="V497" s="44"/>
      <c r="Z497" s="44"/>
      <c r="AA497" s="44"/>
      <c r="AB497" s="44"/>
      <c r="AC497" s="44"/>
      <c r="AD497" s="44"/>
      <c r="AE497" s="44"/>
      <c r="AF497" s="44"/>
      <c r="AG497" s="102"/>
      <c r="AH497" s="44"/>
      <c r="AI497" s="44"/>
      <c r="AJ497" s="44"/>
      <c r="AK497" s="102"/>
      <c r="AL497" s="44"/>
      <c r="AM497" s="44"/>
      <c r="AN497" s="44"/>
    </row>
    <row r="498" spans="1:40">
      <c r="A498" s="44"/>
      <c r="C498" s="44"/>
      <c r="D498" s="44"/>
      <c r="E498" s="44"/>
      <c r="F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T498" s="44"/>
      <c r="U498" s="44"/>
      <c r="V498" s="44"/>
      <c r="Y498" s="44"/>
      <c r="Z498" s="44"/>
      <c r="AA498" s="44"/>
      <c r="AB498" s="44"/>
      <c r="AC498" s="44"/>
      <c r="AD498" s="44"/>
      <c r="AE498" s="44"/>
      <c r="AF498" s="44"/>
      <c r="AG498" s="102"/>
      <c r="AH498" s="44"/>
      <c r="AI498" s="44"/>
      <c r="AJ498" s="44"/>
      <c r="AK498" s="102"/>
      <c r="AL498" s="44"/>
      <c r="AM498" s="44"/>
      <c r="AN498" s="44"/>
    </row>
    <row r="499" spans="1:40">
      <c r="C499" s="44"/>
      <c r="D499" s="44"/>
      <c r="E499" s="44"/>
      <c r="F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T499" s="44"/>
      <c r="U499" s="44"/>
      <c r="V499" s="44"/>
      <c r="Y499" s="44"/>
      <c r="Z499" s="44"/>
      <c r="AA499" s="44"/>
      <c r="AB499" s="44"/>
      <c r="AC499" s="44"/>
      <c r="AD499" s="44"/>
      <c r="AE499" s="44"/>
      <c r="AF499" s="44"/>
      <c r="AG499" s="102"/>
      <c r="AH499" s="44"/>
      <c r="AI499" s="44"/>
      <c r="AJ499" s="44"/>
      <c r="AK499" s="102"/>
      <c r="AL499" s="44"/>
      <c r="AM499" s="44"/>
      <c r="AN499" s="44"/>
    </row>
    <row r="500" spans="1:40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107"/>
      <c r="AH500" s="49"/>
      <c r="AI500" s="49"/>
      <c r="AJ500" s="49"/>
      <c r="AK500" s="107"/>
      <c r="AL500" s="49"/>
      <c r="AM500" s="49"/>
      <c r="AN500" s="49"/>
    </row>
    <row r="501" spans="1:40"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Y501" s="44"/>
      <c r="Z501" s="44"/>
      <c r="AA501" s="44"/>
      <c r="AB501" s="44"/>
      <c r="AC501" s="44"/>
      <c r="AD501" s="44"/>
      <c r="AE501" s="44"/>
      <c r="AF501" s="44"/>
      <c r="AG501" s="102"/>
      <c r="AH501" s="44"/>
      <c r="AI501" s="44"/>
      <c r="AJ501" s="44"/>
      <c r="AK501" s="102"/>
      <c r="AL501" s="44"/>
      <c r="AM501" s="44"/>
      <c r="AN501" s="44"/>
    </row>
    <row r="502" spans="1:40">
      <c r="C502" s="42"/>
      <c r="D502" s="42"/>
      <c r="E502" s="42"/>
      <c r="T502" s="42"/>
      <c r="U502" s="42"/>
      <c r="V502" s="45"/>
      <c r="W502" s="45"/>
      <c r="X502" s="45"/>
      <c r="Y502" s="45"/>
      <c r="Z502" s="336"/>
    </row>
    <row r="504" spans="1:40">
      <c r="C504" s="42"/>
      <c r="T504" s="42"/>
      <c r="V504" s="45"/>
      <c r="W504" s="45"/>
      <c r="X504" s="45"/>
      <c r="Y504" s="45"/>
      <c r="Z504" s="336"/>
    </row>
    <row r="505" spans="1:40">
      <c r="C505" s="42"/>
      <c r="F505" s="164"/>
      <c r="H505" s="164"/>
      <c r="I505" s="164"/>
      <c r="J505" s="132"/>
      <c r="K505" s="132"/>
      <c r="L505" s="45"/>
      <c r="M505" s="45"/>
      <c r="N505" s="46"/>
      <c r="O505" s="46"/>
      <c r="P505" s="45"/>
      <c r="Q505" s="45"/>
      <c r="R505" s="45"/>
      <c r="T505" s="42"/>
      <c r="V505" s="45"/>
      <c r="W505" s="45"/>
      <c r="X505" s="45"/>
      <c r="Y505" s="45"/>
      <c r="Z505" s="132"/>
      <c r="AA505" s="45"/>
      <c r="AB505" s="45"/>
      <c r="AC505" s="46"/>
      <c r="AD505" s="46"/>
      <c r="AE505" s="45"/>
      <c r="AF505" s="45"/>
      <c r="AH505" s="51"/>
      <c r="AI505" s="45"/>
      <c r="AJ505" s="45"/>
      <c r="AL505" s="45"/>
      <c r="AM505" s="46"/>
      <c r="AN505" s="46"/>
    </row>
    <row r="506" spans="1:40">
      <c r="C506" s="42"/>
      <c r="F506" s="164"/>
      <c r="H506" s="164"/>
      <c r="I506" s="164"/>
      <c r="J506" s="132"/>
      <c r="K506" s="132"/>
      <c r="L506" s="45"/>
      <c r="M506" s="45"/>
      <c r="N506" s="46"/>
      <c r="O506" s="46"/>
      <c r="P506" s="45"/>
      <c r="Q506" s="45"/>
      <c r="R506" s="45"/>
      <c r="T506" s="42"/>
      <c r="V506" s="45"/>
      <c r="W506" s="45"/>
      <c r="X506" s="45"/>
      <c r="Y506" s="45"/>
      <c r="Z506" s="132"/>
      <c r="AA506" s="45"/>
      <c r="AB506" s="45"/>
      <c r="AC506" s="46"/>
      <c r="AD506" s="46"/>
      <c r="AE506" s="45"/>
      <c r="AF506" s="45"/>
      <c r="AH506" s="51"/>
      <c r="AI506" s="45"/>
      <c r="AJ506" s="45"/>
      <c r="AL506" s="45"/>
      <c r="AM506" s="46"/>
      <c r="AN506" s="46"/>
    </row>
    <row r="507" spans="1:40">
      <c r="C507" s="42"/>
      <c r="F507" s="164"/>
      <c r="H507" s="164"/>
      <c r="I507" s="164"/>
      <c r="J507" s="132"/>
      <c r="K507" s="132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132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46"/>
      <c r="AN507" s="46"/>
    </row>
    <row r="508" spans="1:40">
      <c r="C508" s="42"/>
      <c r="F508" s="164"/>
      <c r="H508" s="164"/>
      <c r="I508" s="164"/>
      <c r="J508" s="132"/>
      <c r="K508" s="132"/>
      <c r="L508" s="45"/>
      <c r="M508" s="45"/>
      <c r="N508" s="46"/>
      <c r="O508" s="46"/>
      <c r="P508" s="45"/>
      <c r="Q508" s="45"/>
      <c r="R508" s="45"/>
      <c r="T508" s="42"/>
      <c r="V508" s="45"/>
      <c r="W508" s="45"/>
      <c r="X508" s="45"/>
      <c r="Y508" s="45"/>
      <c r="Z508" s="132"/>
      <c r="AA508" s="45"/>
      <c r="AB508" s="45"/>
      <c r="AC508" s="46"/>
      <c r="AD508" s="46"/>
      <c r="AE508" s="45"/>
      <c r="AF508" s="45"/>
      <c r="AH508" s="51"/>
      <c r="AI508" s="45"/>
      <c r="AJ508" s="45"/>
      <c r="AL508" s="45"/>
      <c r="AM508" s="46"/>
      <c r="AN508" s="46"/>
    </row>
    <row r="509" spans="1:40">
      <c r="J509" s="56"/>
      <c r="K509" s="56"/>
      <c r="V509" s="45"/>
      <c r="W509" s="45"/>
      <c r="X509" s="45"/>
      <c r="Y509" s="45"/>
      <c r="Z509" s="132"/>
    </row>
    <row r="510" spans="1:40">
      <c r="C510" s="42"/>
      <c r="F510" s="164"/>
      <c r="H510" s="164"/>
      <c r="I510" s="164"/>
      <c r="J510" s="132"/>
      <c r="K510" s="132"/>
      <c r="L510" s="45"/>
      <c r="M510" s="45"/>
      <c r="N510" s="46"/>
      <c r="O510" s="46"/>
      <c r="P510" s="45"/>
      <c r="Q510" s="45"/>
      <c r="R510" s="45"/>
      <c r="T510" s="42"/>
      <c r="V510" s="45"/>
      <c r="W510" s="45"/>
      <c r="X510" s="45"/>
      <c r="Y510" s="45"/>
      <c r="Z510" s="132"/>
      <c r="AA510" s="45"/>
      <c r="AB510" s="45"/>
      <c r="AC510" s="46"/>
      <c r="AD510" s="46"/>
      <c r="AE510" s="45"/>
      <c r="AF510" s="45"/>
      <c r="AH510" s="51"/>
      <c r="AI510" s="45"/>
      <c r="AJ510" s="45"/>
      <c r="AL510" s="45"/>
      <c r="AM510" s="51"/>
      <c r="AN510" s="51"/>
    </row>
    <row r="511" spans="1:40">
      <c r="C511" s="42"/>
      <c r="J511" s="56"/>
      <c r="K511" s="56"/>
      <c r="T511" s="42"/>
      <c r="V511" s="45"/>
      <c r="W511" s="45"/>
      <c r="X511" s="45"/>
      <c r="Y511" s="45"/>
      <c r="Z511" s="132"/>
    </row>
    <row r="512" spans="1:40">
      <c r="C512" s="42"/>
      <c r="F512" s="164"/>
      <c r="H512" s="164"/>
      <c r="I512" s="164"/>
      <c r="J512" s="132"/>
      <c r="K512" s="132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132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1:40">
      <c r="J513" s="56"/>
      <c r="K513" s="56"/>
      <c r="Z513" s="56"/>
    </row>
    <row r="514" spans="1:40">
      <c r="C514" s="42"/>
      <c r="J514" s="56"/>
      <c r="K514" s="56"/>
      <c r="T514" s="42"/>
      <c r="V514" s="45"/>
      <c r="W514" s="45"/>
      <c r="X514" s="45"/>
      <c r="Y514" s="45"/>
      <c r="Z514" s="132"/>
    </row>
    <row r="515" spans="1:40">
      <c r="C515" s="42"/>
      <c r="F515" s="164"/>
      <c r="H515" s="164"/>
      <c r="I515" s="164"/>
      <c r="J515" s="132"/>
      <c r="K515" s="132"/>
      <c r="L515" s="45"/>
      <c r="M515" s="45"/>
      <c r="N515" s="46"/>
      <c r="O515" s="46"/>
      <c r="P515" s="45"/>
      <c r="Q515" s="45"/>
      <c r="R515" s="45"/>
      <c r="T515" s="42"/>
      <c r="V515" s="45"/>
      <c r="W515" s="45"/>
      <c r="X515" s="45"/>
      <c r="Y515" s="45"/>
      <c r="Z515" s="132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51"/>
      <c r="AN515" s="51"/>
    </row>
    <row r="516" spans="1:40">
      <c r="C516" s="42"/>
      <c r="F516" s="164"/>
      <c r="H516" s="164"/>
      <c r="I516" s="164"/>
      <c r="J516" s="132"/>
      <c r="K516" s="132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132"/>
      <c r="AA516" s="45"/>
      <c r="AB516" s="45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1:40">
      <c r="F517" s="50"/>
      <c r="H517" s="50"/>
      <c r="I517" s="50"/>
      <c r="J517" s="132"/>
      <c r="K517" s="132"/>
      <c r="L517" s="50"/>
      <c r="M517" s="50"/>
      <c r="N517" s="50"/>
      <c r="O517" s="50"/>
      <c r="P517" s="50"/>
      <c r="Q517" s="50"/>
      <c r="R517" s="50"/>
      <c r="V517" s="50"/>
      <c r="Y517" s="50"/>
      <c r="Z517" s="326"/>
      <c r="AA517" s="50"/>
      <c r="AB517" s="50"/>
      <c r="AC517" s="50"/>
      <c r="AD517" s="50"/>
      <c r="AE517" s="50"/>
      <c r="AF517" s="50"/>
      <c r="AI517" s="50"/>
      <c r="AJ517" s="50"/>
      <c r="AK517" s="111"/>
      <c r="AL517" s="50"/>
    </row>
    <row r="518" spans="1:40">
      <c r="C518" s="42"/>
      <c r="F518" s="45"/>
      <c r="H518" s="45"/>
      <c r="I518" s="45"/>
      <c r="L518" s="45"/>
      <c r="M518" s="45"/>
      <c r="N518" s="46"/>
      <c r="O518" s="46"/>
      <c r="P518" s="164"/>
      <c r="Q518" s="164"/>
      <c r="R518" s="45"/>
      <c r="T518" s="42"/>
      <c r="V518" s="45"/>
      <c r="W518" s="45"/>
      <c r="X518" s="45"/>
      <c r="Y518" s="45"/>
      <c r="Z518" s="336"/>
      <c r="AA518" s="45"/>
      <c r="AB518" s="45"/>
      <c r="AC518" s="46"/>
      <c r="AD518" s="46"/>
      <c r="AE518" s="45"/>
      <c r="AF518" s="45"/>
      <c r="AH518" s="51"/>
      <c r="AI518" s="164"/>
      <c r="AJ518" s="164"/>
      <c r="AL518" s="45"/>
      <c r="AM518" s="51"/>
      <c r="AN518" s="51"/>
    </row>
    <row r="519" spans="1:40">
      <c r="H519" s="50"/>
      <c r="I519" s="50"/>
      <c r="J519" s="326"/>
      <c r="K519" s="326"/>
      <c r="L519" s="50"/>
      <c r="M519" s="50"/>
      <c r="N519" s="50"/>
      <c r="O519" s="50"/>
      <c r="P519" s="50"/>
      <c r="Q519" s="50"/>
      <c r="R519" s="50"/>
      <c r="V519" s="50"/>
      <c r="Y519" s="50"/>
      <c r="Z519" s="326"/>
      <c r="AA519" s="50"/>
      <c r="AB519" s="50"/>
      <c r="AC519" s="50"/>
      <c r="AD519" s="50"/>
      <c r="AE519" s="50"/>
      <c r="AF519" s="50"/>
      <c r="AI519" s="50"/>
      <c r="AJ519" s="50"/>
      <c r="AK519" s="111"/>
      <c r="AL519" s="50"/>
    </row>
    <row r="520" spans="1:40">
      <c r="F520" s="50"/>
    </row>
    <row r="522" spans="1:40">
      <c r="A522" s="42"/>
    </row>
    <row r="524" spans="1:40">
      <c r="H524" s="42"/>
      <c r="I524" s="42"/>
      <c r="Y524" s="42"/>
    </row>
    <row r="526" spans="1:40">
      <c r="L526" s="42"/>
      <c r="M526" s="42"/>
      <c r="AA526" s="42"/>
      <c r="AB526" s="42"/>
    </row>
    <row r="527" spans="1:40">
      <c r="R527" s="42"/>
      <c r="AK527" s="110"/>
      <c r="AL527" s="42"/>
    </row>
    <row r="528" spans="1:40">
      <c r="R528" s="42"/>
      <c r="AK528" s="110"/>
      <c r="AL528" s="42"/>
    </row>
    <row r="529" spans="1:40">
      <c r="A529" s="42"/>
      <c r="R529" s="42"/>
      <c r="AK529" s="110"/>
      <c r="AL529" s="42"/>
    </row>
    <row r="530" spans="1:40">
      <c r="L530" s="42"/>
      <c r="M530" s="42"/>
      <c r="AA530" s="42"/>
      <c r="AB530" s="42"/>
    </row>
    <row r="531" spans="1:40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107"/>
      <c r="AH531" s="49"/>
      <c r="AI531" s="49"/>
      <c r="AJ531" s="49"/>
      <c r="AK531" s="107"/>
      <c r="AL531" s="49"/>
      <c r="AM531" s="49"/>
      <c r="AN531" s="49"/>
    </row>
    <row r="532" spans="1:40">
      <c r="L532" s="44"/>
      <c r="M532" s="44"/>
      <c r="N532" s="44"/>
      <c r="O532" s="44"/>
      <c r="R532" s="44"/>
      <c r="AA532" s="44"/>
      <c r="AB532" s="44"/>
      <c r="AC532" s="44"/>
      <c r="AD532" s="44"/>
      <c r="AE532" s="44"/>
      <c r="AF532" s="44"/>
      <c r="AG532" s="102"/>
      <c r="AH532" s="44"/>
      <c r="AK532" s="102"/>
      <c r="AL532" s="44"/>
      <c r="AM532" s="44"/>
      <c r="AN532" s="44"/>
    </row>
    <row r="533" spans="1:40">
      <c r="L533" s="44"/>
      <c r="M533" s="44"/>
      <c r="N533" s="44"/>
      <c r="O533" s="44"/>
      <c r="R533" s="44"/>
      <c r="Z533" s="44"/>
      <c r="AA533" s="44"/>
      <c r="AB533" s="44"/>
      <c r="AC533" s="44"/>
      <c r="AD533" s="44"/>
      <c r="AE533" s="44"/>
      <c r="AF533" s="44"/>
      <c r="AG533" s="102"/>
      <c r="AH533" s="44"/>
      <c r="AK533" s="102"/>
      <c r="AL533" s="44"/>
      <c r="AM533" s="44"/>
      <c r="AN533" s="44"/>
    </row>
    <row r="534" spans="1:40">
      <c r="A534" s="44"/>
      <c r="C534" s="44"/>
      <c r="D534" s="44"/>
      <c r="E534" s="44"/>
      <c r="F534" s="44"/>
      <c r="J534" s="44"/>
      <c r="K534" s="44"/>
      <c r="L534" s="44"/>
      <c r="M534" s="44"/>
      <c r="N534" s="44"/>
      <c r="O534" s="44"/>
      <c r="P534" s="44"/>
      <c r="Q534" s="44"/>
      <c r="R534" s="44"/>
      <c r="T534" s="44"/>
      <c r="U534" s="44"/>
      <c r="V534" s="44"/>
      <c r="Z534" s="44"/>
      <c r="AA534" s="44"/>
      <c r="AB534" s="44"/>
      <c r="AC534" s="44"/>
      <c r="AD534" s="44"/>
      <c r="AE534" s="44"/>
      <c r="AF534" s="44"/>
      <c r="AG534" s="102"/>
      <c r="AH534" s="44"/>
      <c r="AI534" s="44"/>
      <c r="AJ534" s="44"/>
      <c r="AK534" s="102"/>
      <c r="AL534" s="44"/>
      <c r="AM534" s="44"/>
      <c r="AN534" s="44"/>
    </row>
    <row r="535" spans="1:40">
      <c r="A535" s="44"/>
      <c r="C535" s="44"/>
      <c r="D535" s="44"/>
      <c r="E535" s="44"/>
      <c r="F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T535" s="44"/>
      <c r="U535" s="44"/>
      <c r="V535" s="44"/>
      <c r="Y535" s="44"/>
      <c r="Z535" s="44"/>
      <c r="AA535" s="44"/>
      <c r="AB535" s="44"/>
      <c r="AC535" s="44"/>
      <c r="AD535" s="44"/>
      <c r="AE535" s="44"/>
      <c r="AF535" s="44"/>
      <c r="AG535" s="102"/>
      <c r="AH535" s="44"/>
      <c r="AI535" s="44"/>
      <c r="AJ535" s="44"/>
      <c r="AK535" s="102"/>
      <c r="AL535" s="44"/>
      <c r="AM535" s="44"/>
      <c r="AN535" s="44"/>
    </row>
    <row r="536" spans="1:40">
      <c r="C536" s="44"/>
      <c r="D536" s="44"/>
      <c r="E536" s="44"/>
      <c r="F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T536" s="44"/>
      <c r="U536" s="44"/>
      <c r="V536" s="44"/>
      <c r="Y536" s="44"/>
      <c r="Z536" s="44"/>
      <c r="AA536" s="44"/>
      <c r="AB536" s="44"/>
      <c r="AC536" s="44"/>
      <c r="AD536" s="44"/>
      <c r="AE536" s="44"/>
      <c r="AF536" s="44"/>
      <c r="AG536" s="102"/>
      <c r="AH536" s="44"/>
      <c r="AI536" s="44"/>
      <c r="AJ536" s="44"/>
      <c r="AK536" s="102"/>
      <c r="AL536" s="44"/>
      <c r="AM536" s="44"/>
      <c r="AN536" s="44"/>
    </row>
    <row r="537" spans="1:40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107"/>
      <c r="AH537" s="49"/>
      <c r="AI537" s="49"/>
      <c r="AJ537" s="49"/>
      <c r="AK537" s="107"/>
      <c r="AL537" s="49"/>
      <c r="AM537" s="49"/>
      <c r="AN537" s="49"/>
    </row>
    <row r="538" spans="1:40"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Y538" s="44"/>
      <c r="Z538" s="44"/>
      <c r="AA538" s="44"/>
      <c r="AB538" s="44"/>
      <c r="AC538" s="44"/>
      <c r="AD538" s="44"/>
      <c r="AE538" s="44"/>
      <c r="AF538" s="44"/>
      <c r="AG538" s="102"/>
      <c r="AH538" s="44"/>
      <c r="AI538" s="44"/>
      <c r="AJ538" s="44"/>
      <c r="AK538" s="102"/>
      <c r="AL538" s="44"/>
      <c r="AM538" s="44"/>
      <c r="AN538" s="44"/>
    </row>
    <row r="539" spans="1:40">
      <c r="C539" s="42"/>
      <c r="D539" s="42"/>
      <c r="E539" s="42"/>
      <c r="T539" s="42"/>
      <c r="U539" s="42"/>
    </row>
    <row r="541" spans="1:40">
      <c r="C541" s="42"/>
      <c r="T541" s="42"/>
    </row>
    <row r="542" spans="1:40">
      <c r="C542" s="42"/>
      <c r="T542" s="42"/>
    </row>
    <row r="543" spans="1:40">
      <c r="C543" s="42"/>
      <c r="F543" s="164"/>
      <c r="H543" s="164"/>
      <c r="I543" s="164"/>
      <c r="J543" s="132"/>
      <c r="K543" s="132"/>
      <c r="L543" s="45"/>
      <c r="M543" s="45"/>
      <c r="N543" s="46"/>
      <c r="O543" s="46"/>
      <c r="P543" s="45"/>
      <c r="Q543" s="45"/>
      <c r="R543" s="45"/>
      <c r="T543" s="42"/>
      <c r="V543" s="45"/>
      <c r="W543" s="45"/>
      <c r="X543" s="45"/>
      <c r="Y543" s="45"/>
      <c r="Z543" s="132"/>
      <c r="AA543" s="45"/>
      <c r="AB543" s="45"/>
      <c r="AC543" s="46"/>
      <c r="AD543" s="46"/>
      <c r="AE543" s="45"/>
      <c r="AF543" s="45"/>
      <c r="AH543" s="51"/>
      <c r="AI543" s="45"/>
      <c r="AJ543" s="45"/>
      <c r="AL543" s="45"/>
      <c r="AM543" s="51"/>
      <c r="AN543" s="51"/>
    </row>
    <row r="544" spans="1:40">
      <c r="C544" s="42"/>
      <c r="F544" s="45"/>
      <c r="H544" s="45"/>
      <c r="I544" s="45"/>
      <c r="J544" s="56"/>
      <c r="K544" s="56"/>
      <c r="L544" s="45"/>
      <c r="M544" s="45"/>
      <c r="N544" s="46"/>
      <c r="O544" s="46"/>
      <c r="P544" s="45"/>
      <c r="Q544" s="45"/>
      <c r="R544" s="45"/>
      <c r="T544" s="42"/>
      <c r="V544" s="45"/>
      <c r="W544" s="45"/>
      <c r="X544" s="45"/>
      <c r="Y544" s="45"/>
      <c r="Z544" s="56"/>
      <c r="AA544" s="45"/>
      <c r="AB544" s="45"/>
      <c r="AC544" s="46"/>
      <c r="AD544" s="46"/>
      <c r="AE544" s="45"/>
      <c r="AF544" s="45"/>
      <c r="AH544" s="51"/>
      <c r="AI544" s="45"/>
      <c r="AJ544" s="45"/>
      <c r="AL544" s="45"/>
      <c r="AM544" s="51"/>
      <c r="AN544" s="51"/>
    </row>
    <row r="545" spans="3:40">
      <c r="C545" s="42"/>
      <c r="F545" s="45"/>
      <c r="H545" s="45"/>
      <c r="I545" s="45"/>
      <c r="J545" s="56"/>
      <c r="K545" s="56"/>
      <c r="L545" s="45"/>
      <c r="M545" s="45"/>
      <c r="N545" s="46"/>
      <c r="O545" s="46"/>
      <c r="P545" s="45"/>
      <c r="Q545" s="45"/>
      <c r="R545" s="45"/>
      <c r="T545" s="42"/>
      <c r="V545" s="45"/>
      <c r="W545" s="45"/>
      <c r="X545" s="45"/>
      <c r="Y545" s="45"/>
      <c r="Z545" s="56"/>
      <c r="AA545" s="45"/>
      <c r="AB545" s="45"/>
      <c r="AC545" s="46"/>
      <c r="AD545" s="46"/>
      <c r="AE545" s="45"/>
      <c r="AF545" s="45"/>
      <c r="AH545" s="51"/>
      <c r="AI545" s="45"/>
      <c r="AJ545" s="45"/>
      <c r="AL545" s="45"/>
      <c r="AM545" s="51"/>
      <c r="AN545" s="51"/>
    </row>
    <row r="546" spans="3:40">
      <c r="C546" s="42"/>
      <c r="F546" s="45"/>
      <c r="H546" s="45"/>
      <c r="I546" s="45"/>
      <c r="J546" s="56"/>
      <c r="K546" s="56"/>
      <c r="T546" s="42"/>
      <c r="V546" s="45"/>
      <c r="Z546" s="56"/>
    </row>
    <row r="547" spans="3:40">
      <c r="C547" s="42"/>
      <c r="F547" s="164"/>
      <c r="H547" s="164"/>
      <c r="I547" s="164"/>
      <c r="J547" s="132"/>
      <c r="K547" s="132"/>
      <c r="L547" s="45"/>
      <c r="M547" s="45"/>
      <c r="N547" s="46"/>
      <c r="O547" s="46"/>
      <c r="P547" s="45"/>
      <c r="Q547" s="45"/>
      <c r="R547" s="45"/>
      <c r="T547" s="42"/>
      <c r="V547" s="45"/>
      <c r="W547" s="45"/>
      <c r="X547" s="45"/>
      <c r="Y547" s="45"/>
      <c r="Z547" s="132"/>
      <c r="AA547" s="45"/>
      <c r="AB547" s="45"/>
      <c r="AC547" s="46"/>
      <c r="AD547" s="46"/>
      <c r="AE547" s="45"/>
      <c r="AF547" s="45"/>
      <c r="AH547" s="51"/>
      <c r="AI547" s="45"/>
      <c r="AJ547" s="45"/>
      <c r="AL547" s="45"/>
      <c r="AM547" s="51"/>
      <c r="AN547" s="51"/>
    </row>
    <row r="548" spans="3:40">
      <c r="C548" s="42"/>
      <c r="F548" s="45"/>
      <c r="H548" s="45"/>
      <c r="I548" s="45"/>
      <c r="J548" s="56"/>
      <c r="K548" s="56"/>
      <c r="T548" s="42"/>
      <c r="V548" s="45"/>
      <c r="W548" s="45"/>
      <c r="X548" s="45"/>
      <c r="Y548" s="45"/>
      <c r="Z548" s="56"/>
      <c r="AC548" s="46"/>
      <c r="AD548" s="46"/>
      <c r="AE548" s="45"/>
      <c r="AF548" s="45"/>
      <c r="AH548" s="51"/>
      <c r="AI548" s="45"/>
      <c r="AJ548" s="45"/>
      <c r="AL548" s="45"/>
      <c r="AM548" s="51"/>
      <c r="AN548" s="51"/>
    </row>
    <row r="549" spans="3:40">
      <c r="C549" s="42"/>
      <c r="F549" s="164"/>
      <c r="H549" s="164"/>
      <c r="I549" s="164"/>
      <c r="J549" s="132"/>
      <c r="K549" s="132"/>
      <c r="L549" s="45"/>
      <c r="M549" s="45"/>
      <c r="N549" s="46"/>
      <c r="O549" s="46"/>
      <c r="P549" s="45"/>
      <c r="Q549" s="45"/>
      <c r="R549" s="45"/>
      <c r="T549" s="42"/>
      <c r="V549" s="45"/>
      <c r="W549" s="45"/>
      <c r="X549" s="45"/>
      <c r="Y549" s="45"/>
      <c r="Z549" s="132"/>
      <c r="AA549" s="45"/>
      <c r="AB549" s="45"/>
      <c r="AC549" s="46"/>
      <c r="AD549" s="46"/>
      <c r="AE549" s="45"/>
      <c r="AF549" s="45"/>
      <c r="AH549" s="51"/>
      <c r="AI549" s="45"/>
      <c r="AJ549" s="45"/>
      <c r="AL549" s="45"/>
      <c r="AM549" s="51"/>
      <c r="AN549" s="51"/>
    </row>
    <row r="550" spans="3:40">
      <c r="C550" s="42"/>
      <c r="F550" s="45"/>
      <c r="H550" s="45"/>
      <c r="I550" s="45"/>
      <c r="J550" s="56"/>
      <c r="K550" s="56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56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51"/>
      <c r="AN550" s="51"/>
    </row>
    <row r="551" spans="3:40">
      <c r="F551" s="45"/>
      <c r="H551" s="45"/>
      <c r="I551" s="45"/>
      <c r="J551" s="56"/>
      <c r="K551" s="56"/>
      <c r="Z551" s="56"/>
    </row>
    <row r="552" spans="3:40">
      <c r="C552" s="42"/>
      <c r="F552" s="45"/>
      <c r="H552" s="164"/>
      <c r="I552" s="164"/>
      <c r="J552" s="132"/>
      <c r="K552" s="132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132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51"/>
      <c r="AN552" s="51"/>
    </row>
    <row r="553" spans="3:40">
      <c r="F553" s="50"/>
      <c r="H553" s="50"/>
      <c r="I553" s="50"/>
      <c r="J553" s="132"/>
      <c r="K553" s="132"/>
      <c r="L553" s="50"/>
      <c r="M553" s="50"/>
      <c r="N553" s="50"/>
      <c r="O553" s="50"/>
      <c r="P553" s="50"/>
      <c r="Q553" s="50"/>
      <c r="R553" s="50"/>
      <c r="V553" s="50"/>
      <c r="Y553" s="50"/>
      <c r="Z553" s="132"/>
      <c r="AA553" s="50"/>
      <c r="AB553" s="50"/>
      <c r="AC553" s="50"/>
      <c r="AD553" s="50"/>
      <c r="AE553" s="50"/>
      <c r="AF553" s="50"/>
      <c r="AI553" s="50"/>
      <c r="AJ553" s="50"/>
      <c r="AK553" s="111"/>
      <c r="AL553" s="50"/>
    </row>
    <row r="554" spans="3:40">
      <c r="C554" s="42"/>
      <c r="F554" s="45"/>
      <c r="H554" s="45"/>
      <c r="I554" s="45"/>
      <c r="J554" s="56"/>
      <c r="K554" s="56"/>
      <c r="L554" s="45"/>
      <c r="M554" s="45"/>
      <c r="P554" s="45"/>
      <c r="Q554" s="45"/>
      <c r="R554" s="45"/>
      <c r="T554" s="42"/>
      <c r="V554" s="45"/>
      <c r="Y554" s="45"/>
      <c r="Z554" s="56"/>
      <c r="AA554" s="45"/>
      <c r="AB554" s="45"/>
      <c r="AC554" s="51"/>
      <c r="AD554" s="51"/>
      <c r="AE554" s="45"/>
      <c r="AF554" s="45"/>
      <c r="AH554" s="51"/>
      <c r="AI554" s="45"/>
      <c r="AJ554" s="45"/>
      <c r="AL554" s="45"/>
      <c r="AM554" s="51"/>
      <c r="AN554" s="51"/>
    </row>
    <row r="555" spans="3:40">
      <c r="F555" s="50"/>
      <c r="H555" s="50"/>
      <c r="I555" s="50"/>
      <c r="J555" s="132"/>
      <c r="K555" s="132"/>
      <c r="L555" s="50"/>
      <c r="M555" s="50"/>
      <c r="N555" s="50"/>
      <c r="O555" s="50"/>
      <c r="P555" s="50"/>
      <c r="Q555" s="50"/>
      <c r="R555" s="50"/>
      <c r="V555" s="50"/>
      <c r="Y555" s="50"/>
      <c r="Z555" s="132"/>
      <c r="AA555" s="50"/>
      <c r="AB555" s="50"/>
      <c r="AC555" s="50"/>
      <c r="AD555" s="50"/>
      <c r="AE555" s="50"/>
      <c r="AF555" s="50"/>
      <c r="AI555" s="50"/>
      <c r="AJ555" s="50"/>
      <c r="AK555" s="111"/>
      <c r="AL555" s="50"/>
    </row>
    <row r="556" spans="3:40">
      <c r="J556" s="56"/>
      <c r="K556" s="56"/>
      <c r="Z556" s="56"/>
    </row>
    <row r="557" spans="3:40">
      <c r="C557" s="42"/>
      <c r="J557" s="56"/>
      <c r="K557" s="56"/>
      <c r="T557" s="42"/>
      <c r="Z557" s="56"/>
    </row>
    <row r="558" spans="3:40">
      <c r="C558" s="42"/>
      <c r="J558" s="56"/>
      <c r="K558" s="56"/>
      <c r="T558" s="42"/>
      <c r="Z558" s="56"/>
    </row>
    <row r="559" spans="3:40">
      <c r="C559" s="42"/>
      <c r="F559" s="164"/>
      <c r="H559" s="164"/>
      <c r="I559" s="164"/>
      <c r="J559" s="132"/>
      <c r="K559" s="132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132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51"/>
      <c r="AN559" s="51"/>
    </row>
    <row r="560" spans="3:40">
      <c r="C560" s="42"/>
      <c r="J560" s="56"/>
      <c r="K560" s="56"/>
      <c r="T560" s="42"/>
      <c r="Z560" s="56"/>
    </row>
    <row r="561" spans="1:40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1:40">
      <c r="F562" s="50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132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1:40">
      <c r="C563" s="42"/>
      <c r="F563" s="45"/>
      <c r="H563" s="45"/>
      <c r="I563" s="45"/>
      <c r="J563" s="56"/>
      <c r="K563" s="56"/>
      <c r="L563" s="45"/>
      <c r="M563" s="45"/>
      <c r="N563" s="51"/>
      <c r="O563" s="51"/>
      <c r="P563" s="45"/>
      <c r="Q563" s="45"/>
      <c r="R563" s="45"/>
      <c r="T563" s="42"/>
      <c r="V563" s="45"/>
      <c r="Y563" s="45"/>
      <c r="Z563" s="56"/>
      <c r="AA563" s="45"/>
      <c r="AB563" s="45"/>
      <c r="AC563" s="51"/>
      <c r="AD563" s="51"/>
      <c r="AE563" s="45"/>
      <c r="AF563" s="45"/>
      <c r="AH563" s="51"/>
      <c r="AI563" s="45"/>
      <c r="AJ563" s="45"/>
      <c r="AL563" s="45"/>
      <c r="AM563" s="51"/>
      <c r="AN563" s="51"/>
    </row>
    <row r="564" spans="1:40">
      <c r="F564" s="50"/>
      <c r="H564" s="50"/>
      <c r="I564" s="50"/>
      <c r="J564" s="132"/>
      <c r="K564" s="132"/>
      <c r="L564" s="50"/>
      <c r="M564" s="50"/>
      <c r="N564" s="50"/>
      <c r="O564" s="50"/>
      <c r="P564" s="50"/>
      <c r="Q564" s="50"/>
      <c r="R564" s="50"/>
      <c r="V564" s="50"/>
      <c r="Y564" s="50"/>
      <c r="Z564" s="326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5" spans="1:40">
      <c r="J565" s="56"/>
      <c r="K565" s="56"/>
    </row>
    <row r="566" spans="1:40">
      <c r="C566" s="42"/>
      <c r="F566" s="45"/>
      <c r="H566" s="45"/>
      <c r="I566" s="45"/>
      <c r="J566" s="56"/>
      <c r="K566" s="56"/>
      <c r="L566" s="45"/>
      <c r="M566" s="45"/>
      <c r="N566" s="46"/>
      <c r="O566" s="46"/>
      <c r="P566" s="164"/>
      <c r="Q566" s="164"/>
      <c r="R566" s="45"/>
      <c r="T566" s="42"/>
      <c r="V566" s="45"/>
      <c r="Y566" s="45"/>
      <c r="AA566" s="45"/>
      <c r="AB566" s="45"/>
      <c r="AC566" s="51"/>
      <c r="AD566" s="51"/>
      <c r="AE566" s="45"/>
      <c r="AF566" s="45"/>
      <c r="AH566" s="51"/>
      <c r="AI566" s="164"/>
      <c r="AJ566" s="164"/>
      <c r="AL566" s="45"/>
      <c r="AM566" s="51"/>
      <c r="AN566" s="51"/>
    </row>
    <row r="567" spans="1:40">
      <c r="H567" s="50"/>
      <c r="I567" s="50"/>
      <c r="J567" s="132"/>
      <c r="K567" s="132"/>
      <c r="L567" s="50"/>
      <c r="M567" s="50"/>
      <c r="N567" s="50"/>
      <c r="O567" s="50"/>
      <c r="P567" s="50"/>
      <c r="Q567" s="50"/>
      <c r="R567" s="50"/>
      <c r="V567" s="50"/>
      <c r="Y567" s="50"/>
      <c r="Z567" s="326"/>
      <c r="AA567" s="50"/>
      <c r="AB567" s="50"/>
      <c r="AC567" s="50"/>
      <c r="AD567" s="50"/>
      <c r="AE567" s="50"/>
      <c r="AF567" s="50"/>
      <c r="AI567" s="50"/>
      <c r="AJ567" s="50"/>
      <c r="AK567" s="111"/>
      <c r="AL567" s="50"/>
    </row>
    <row r="568" spans="1:40">
      <c r="F568" s="50"/>
    </row>
    <row r="570" spans="1:40">
      <c r="A570" s="42"/>
    </row>
    <row r="572" spans="1:40">
      <c r="H572" s="42"/>
      <c r="I572" s="42"/>
      <c r="Y572" s="42"/>
    </row>
    <row r="574" spans="1:40">
      <c r="L574" s="42"/>
      <c r="M574" s="42"/>
      <c r="AA574" s="42"/>
      <c r="AB574" s="42"/>
    </row>
    <row r="575" spans="1:40">
      <c r="R575" s="42"/>
      <c r="AK575" s="110"/>
      <c r="AL575" s="42"/>
    </row>
    <row r="576" spans="1:40">
      <c r="R576" s="42"/>
      <c r="AK576" s="110"/>
      <c r="AL576" s="42"/>
    </row>
    <row r="577" spans="1:40">
      <c r="A577" s="42"/>
      <c r="R577" s="42"/>
      <c r="AK577" s="110"/>
      <c r="AL577" s="42"/>
    </row>
    <row r="578" spans="1:40">
      <c r="L578" s="42"/>
      <c r="M578" s="42"/>
      <c r="AA578" s="42"/>
      <c r="AB578" s="42"/>
    </row>
    <row r="579" spans="1:40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107"/>
      <c r="AH579" s="49"/>
      <c r="AI579" s="49"/>
      <c r="AJ579" s="49"/>
      <c r="AK579" s="107"/>
      <c r="AL579" s="49"/>
      <c r="AM579" s="49"/>
      <c r="AN579" s="49"/>
    </row>
    <row r="580" spans="1:40">
      <c r="L580" s="44"/>
      <c r="M580" s="44"/>
      <c r="N580" s="44"/>
      <c r="O580" s="44"/>
      <c r="R580" s="44"/>
      <c r="AA580" s="44"/>
      <c r="AB580" s="44"/>
      <c r="AC580" s="44"/>
      <c r="AD580" s="44"/>
      <c r="AE580" s="44"/>
      <c r="AF580" s="44"/>
      <c r="AG580" s="102"/>
      <c r="AH580" s="44"/>
      <c r="AK580" s="102"/>
      <c r="AL580" s="44"/>
      <c r="AM580" s="44"/>
      <c r="AN580" s="44"/>
    </row>
    <row r="581" spans="1:40">
      <c r="L581" s="44"/>
      <c r="M581" s="44"/>
      <c r="N581" s="44"/>
      <c r="O581" s="44"/>
      <c r="R581" s="44"/>
      <c r="Z581" s="44"/>
      <c r="AA581" s="44"/>
      <c r="AB581" s="44"/>
      <c r="AC581" s="44"/>
      <c r="AD581" s="44"/>
      <c r="AE581" s="44"/>
      <c r="AF581" s="44"/>
      <c r="AG581" s="102"/>
      <c r="AH581" s="44"/>
      <c r="AK581" s="102"/>
      <c r="AL581" s="44"/>
      <c r="AM581" s="44"/>
      <c r="AN581" s="44"/>
    </row>
    <row r="582" spans="1:40">
      <c r="A582" s="44"/>
      <c r="C582" s="44"/>
      <c r="D582" s="44"/>
      <c r="E582" s="44"/>
      <c r="F582" s="44"/>
      <c r="J582" s="44"/>
      <c r="K582" s="44"/>
      <c r="L582" s="44"/>
      <c r="M582" s="44"/>
      <c r="N582" s="44"/>
      <c r="O582" s="44"/>
      <c r="P582" s="44"/>
      <c r="Q582" s="44"/>
      <c r="R582" s="44"/>
      <c r="T582" s="44"/>
      <c r="U582" s="44"/>
      <c r="V582" s="44"/>
      <c r="Z582" s="44"/>
      <c r="AA582" s="44"/>
      <c r="AB582" s="44"/>
      <c r="AC582" s="44"/>
      <c r="AD582" s="44"/>
      <c r="AE582" s="44"/>
      <c r="AF582" s="44"/>
      <c r="AG582" s="102"/>
      <c r="AH582" s="44"/>
      <c r="AI582" s="44"/>
      <c r="AJ582" s="44"/>
      <c r="AK582" s="102"/>
      <c r="AL582" s="44"/>
      <c r="AM582" s="44"/>
      <c r="AN582" s="44"/>
    </row>
    <row r="583" spans="1:40">
      <c r="A583" s="44"/>
      <c r="C583" s="44"/>
      <c r="D583" s="44"/>
      <c r="E583" s="44"/>
      <c r="F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T583" s="44"/>
      <c r="U583" s="44"/>
      <c r="V583" s="44"/>
      <c r="Y583" s="44"/>
      <c r="Z583" s="44"/>
      <c r="AA583" s="44"/>
      <c r="AB583" s="44"/>
      <c r="AC583" s="44"/>
      <c r="AD583" s="44"/>
      <c r="AE583" s="44"/>
      <c r="AF583" s="44"/>
      <c r="AG583" s="102"/>
      <c r="AH583" s="44"/>
      <c r="AI583" s="44"/>
      <c r="AJ583" s="44"/>
      <c r="AK583" s="102"/>
      <c r="AL583" s="44"/>
      <c r="AM583" s="44"/>
      <c r="AN583" s="44"/>
    </row>
    <row r="584" spans="1:40">
      <c r="C584" s="44"/>
      <c r="D584" s="44"/>
      <c r="E584" s="44"/>
      <c r="F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T584" s="44"/>
      <c r="U584" s="44"/>
      <c r="V584" s="44"/>
      <c r="Y584" s="44"/>
      <c r="Z584" s="44"/>
      <c r="AA584" s="44"/>
      <c r="AB584" s="44"/>
      <c r="AC584" s="44"/>
      <c r="AD584" s="44"/>
      <c r="AE584" s="44"/>
      <c r="AF584" s="44"/>
      <c r="AG584" s="102"/>
      <c r="AH584" s="44"/>
      <c r="AI584" s="44"/>
      <c r="AJ584" s="44"/>
      <c r="AK584" s="102"/>
      <c r="AL584" s="44"/>
      <c r="AM584" s="44"/>
      <c r="AN584" s="44"/>
    </row>
    <row r="585" spans="1:40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107"/>
      <c r="AH585" s="49"/>
      <c r="AI585" s="49"/>
      <c r="AJ585" s="49"/>
      <c r="AK585" s="107"/>
      <c r="AL585" s="49"/>
      <c r="AM585" s="49"/>
      <c r="AN585" s="49"/>
    </row>
    <row r="586" spans="1:40"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Y586" s="44"/>
      <c r="Z586" s="44"/>
      <c r="AA586" s="44"/>
      <c r="AB586" s="44"/>
      <c r="AC586" s="44"/>
      <c r="AD586" s="44"/>
      <c r="AE586" s="44"/>
      <c r="AF586" s="44"/>
      <c r="AG586" s="102"/>
      <c r="AH586" s="44"/>
      <c r="AI586" s="44"/>
      <c r="AJ586" s="44"/>
      <c r="AK586" s="102"/>
      <c r="AL586" s="44"/>
      <c r="AM586" s="44"/>
      <c r="AN586" s="44"/>
    </row>
    <row r="587" spans="1:40">
      <c r="C587" s="42"/>
      <c r="D587" s="42"/>
      <c r="E587" s="42"/>
      <c r="T587" s="42"/>
      <c r="U587" s="42"/>
    </row>
    <row r="589" spans="1:40">
      <c r="C589" s="42"/>
      <c r="D589" s="42"/>
      <c r="E589" s="42"/>
      <c r="T589" s="42"/>
      <c r="U589" s="42"/>
    </row>
    <row r="590" spans="1:40">
      <c r="C590" s="42"/>
      <c r="T590" s="42"/>
    </row>
    <row r="591" spans="1:40">
      <c r="C591" s="42"/>
      <c r="T591" s="42"/>
    </row>
    <row r="592" spans="1:40">
      <c r="C592" s="42"/>
      <c r="H592" s="164"/>
      <c r="I592" s="164"/>
      <c r="J592" s="132"/>
      <c r="K592" s="132"/>
      <c r="L592" s="45"/>
      <c r="M592" s="45"/>
      <c r="N592" s="46"/>
      <c r="O592" s="46"/>
      <c r="P592" s="45"/>
      <c r="Q592" s="45"/>
      <c r="R592" s="45"/>
      <c r="T592" s="42"/>
      <c r="V592" s="45"/>
      <c r="W592" s="45"/>
      <c r="X592" s="45"/>
      <c r="Y592" s="45"/>
      <c r="Z592" s="132"/>
      <c r="AA592" s="45"/>
      <c r="AB592" s="45"/>
      <c r="AC592" s="46"/>
      <c r="AD592" s="46"/>
      <c r="AE592" s="45"/>
      <c r="AF592" s="45"/>
      <c r="AH592" s="51"/>
      <c r="AI592" s="45"/>
      <c r="AJ592" s="45"/>
      <c r="AL592" s="45"/>
      <c r="AM592" s="46"/>
      <c r="AN592" s="46"/>
    </row>
    <row r="593" spans="3:40">
      <c r="C593" s="42"/>
      <c r="F593" s="164"/>
      <c r="J593" s="56"/>
      <c r="K593" s="56"/>
      <c r="T593" s="42"/>
      <c r="V593" s="45"/>
      <c r="W593" s="45"/>
      <c r="X593" s="45"/>
      <c r="Y593" s="45"/>
      <c r="Z593" s="132"/>
    </row>
    <row r="594" spans="3:40">
      <c r="C594" s="42"/>
      <c r="H594" s="164"/>
      <c r="I594" s="164"/>
      <c r="J594" s="132"/>
      <c r="K594" s="132"/>
      <c r="L594" s="45"/>
      <c r="M594" s="45"/>
      <c r="N594" s="46"/>
      <c r="O594" s="46"/>
      <c r="P594" s="45"/>
      <c r="Q594" s="45"/>
      <c r="R594" s="45"/>
      <c r="T594" s="42"/>
      <c r="V594" s="45"/>
      <c r="W594" s="45"/>
      <c r="X594" s="45"/>
      <c r="Y594" s="45"/>
      <c r="Z594" s="132"/>
      <c r="AA594" s="45"/>
      <c r="AB594" s="45"/>
      <c r="AC594" s="46"/>
      <c r="AD594" s="46"/>
      <c r="AE594" s="45"/>
      <c r="AF594" s="45"/>
      <c r="AH594" s="51"/>
      <c r="AI594" s="45"/>
      <c r="AJ594" s="45"/>
      <c r="AL594" s="45"/>
      <c r="AM594" s="46"/>
      <c r="AN594" s="46"/>
    </row>
    <row r="595" spans="3:40">
      <c r="C595" s="42"/>
      <c r="F595" s="164"/>
      <c r="J595" s="56"/>
      <c r="K595" s="56"/>
      <c r="T595" s="42"/>
      <c r="V595" s="45"/>
      <c r="W595" s="45"/>
      <c r="X595" s="45"/>
      <c r="Y595" s="45"/>
      <c r="Z595" s="132"/>
    </row>
    <row r="596" spans="3:40">
      <c r="C596" s="42"/>
      <c r="H596" s="164"/>
      <c r="I596" s="164"/>
      <c r="J596" s="132"/>
      <c r="K596" s="132"/>
      <c r="L596" s="45"/>
      <c r="M596" s="45"/>
      <c r="N596" s="46"/>
      <c r="O596" s="46"/>
      <c r="P596" s="45"/>
      <c r="Q596" s="45"/>
      <c r="R596" s="45"/>
      <c r="T596" s="42"/>
      <c r="V596" s="45"/>
      <c r="W596" s="45"/>
      <c r="X596" s="45"/>
      <c r="Y596" s="45"/>
      <c r="Z596" s="132"/>
      <c r="AA596" s="45"/>
      <c r="AB596" s="45"/>
      <c r="AC596" s="46"/>
      <c r="AD596" s="46"/>
      <c r="AE596" s="45"/>
      <c r="AF596" s="45"/>
      <c r="AH596" s="51"/>
      <c r="AI596" s="45"/>
      <c r="AJ596" s="45"/>
      <c r="AL596" s="45"/>
      <c r="AM596" s="46"/>
      <c r="AN596" s="46"/>
    </row>
    <row r="597" spans="3:40">
      <c r="C597" s="42"/>
      <c r="F597" s="164"/>
      <c r="J597" s="56"/>
      <c r="K597" s="56"/>
      <c r="T597" s="42"/>
      <c r="V597" s="45"/>
      <c r="W597" s="45"/>
      <c r="X597" s="45"/>
      <c r="Y597" s="45"/>
      <c r="Z597" s="132"/>
    </row>
    <row r="598" spans="3:40">
      <c r="C598" s="42"/>
      <c r="H598" s="164"/>
      <c r="I598" s="164"/>
      <c r="J598" s="132"/>
      <c r="K598" s="132"/>
      <c r="L598" s="45"/>
      <c r="M598" s="45"/>
      <c r="N598" s="46"/>
      <c r="O598" s="46"/>
      <c r="P598" s="45"/>
      <c r="Q598" s="45"/>
      <c r="R598" s="45"/>
      <c r="T598" s="42"/>
      <c r="V598" s="45"/>
      <c r="W598" s="45"/>
      <c r="X598" s="45"/>
      <c r="Y598" s="45"/>
      <c r="Z598" s="132"/>
      <c r="AA598" s="45"/>
      <c r="AB598" s="45"/>
      <c r="AC598" s="46"/>
      <c r="AD598" s="46"/>
      <c r="AE598" s="45"/>
      <c r="AF598" s="45"/>
      <c r="AH598" s="51"/>
      <c r="AI598" s="45"/>
      <c r="AJ598" s="45"/>
      <c r="AL598" s="45"/>
      <c r="AM598" s="46"/>
      <c r="AN598" s="46"/>
    </row>
    <row r="599" spans="3:40">
      <c r="C599" s="42"/>
      <c r="F599" s="164"/>
      <c r="J599" s="56"/>
      <c r="K599" s="56"/>
      <c r="T599" s="42"/>
      <c r="V599" s="45"/>
      <c r="W599" s="45"/>
      <c r="X599" s="45"/>
      <c r="Y599" s="45"/>
      <c r="Z599" s="132"/>
    </row>
    <row r="600" spans="3:40">
      <c r="C600" s="42"/>
      <c r="H600" s="164"/>
      <c r="I600" s="164"/>
      <c r="J600" s="132"/>
      <c r="K600" s="132"/>
      <c r="L600" s="45"/>
      <c r="M600" s="45"/>
      <c r="N600" s="46"/>
      <c r="O600" s="46"/>
      <c r="P600" s="45"/>
      <c r="Q600" s="45"/>
      <c r="R600" s="45"/>
      <c r="T600" s="42"/>
      <c r="V600" s="45"/>
      <c r="W600" s="45"/>
      <c r="X600" s="45"/>
      <c r="Y600" s="45"/>
      <c r="Z600" s="132"/>
      <c r="AA600" s="45"/>
      <c r="AB600" s="45"/>
      <c r="AC600" s="46"/>
      <c r="AD600" s="46"/>
      <c r="AE600" s="45"/>
      <c r="AF600" s="45"/>
      <c r="AH600" s="51"/>
      <c r="AI600" s="45"/>
      <c r="AJ600" s="45"/>
      <c r="AL600" s="45"/>
      <c r="AM600" s="46"/>
      <c r="AN600" s="46"/>
    </row>
    <row r="601" spans="3:40">
      <c r="C601" s="42"/>
      <c r="F601" s="164"/>
      <c r="J601" s="56"/>
      <c r="K601" s="56"/>
      <c r="T601" s="42"/>
      <c r="V601" s="45"/>
      <c r="W601" s="45"/>
      <c r="X601" s="45"/>
      <c r="Y601" s="45"/>
      <c r="Z601" s="132"/>
    </row>
    <row r="602" spans="3:40">
      <c r="C602" s="42"/>
      <c r="H602" s="164"/>
      <c r="I602" s="164"/>
      <c r="J602" s="132"/>
      <c r="K602" s="132"/>
      <c r="L602" s="45"/>
      <c r="M602" s="45"/>
      <c r="N602" s="46"/>
      <c r="O602" s="46"/>
      <c r="P602" s="45"/>
      <c r="Q602" s="45"/>
      <c r="R602" s="45"/>
      <c r="T602" s="42"/>
      <c r="V602" s="45"/>
      <c r="W602" s="45"/>
      <c r="X602" s="45"/>
      <c r="Y602" s="45"/>
      <c r="Z602" s="132"/>
      <c r="AA602" s="45"/>
      <c r="AB602" s="45"/>
      <c r="AC602" s="46"/>
      <c r="AD602" s="46"/>
      <c r="AE602" s="45"/>
      <c r="AF602" s="45"/>
      <c r="AH602" s="51"/>
      <c r="AI602" s="45"/>
      <c r="AJ602" s="45"/>
      <c r="AL602" s="45"/>
      <c r="AM602" s="46"/>
      <c r="AN602" s="46"/>
    </row>
    <row r="603" spans="3:40">
      <c r="F603" s="164"/>
      <c r="H603" s="50"/>
      <c r="I603" s="50"/>
      <c r="J603" s="132"/>
      <c r="K603" s="132"/>
      <c r="L603" s="50"/>
      <c r="M603" s="50"/>
      <c r="N603" s="50"/>
      <c r="O603" s="50"/>
      <c r="P603" s="50"/>
      <c r="Q603" s="50"/>
      <c r="R603" s="50"/>
      <c r="V603" s="50"/>
      <c r="Y603" s="50"/>
      <c r="Z603" s="132"/>
      <c r="AA603" s="50"/>
      <c r="AB603" s="50"/>
      <c r="AC603" s="50"/>
      <c r="AD603" s="50"/>
      <c r="AE603" s="50"/>
      <c r="AF603" s="50"/>
      <c r="AI603" s="50"/>
      <c r="AJ603" s="50"/>
      <c r="AK603" s="111"/>
      <c r="AL603" s="50"/>
      <c r="AM603" s="46"/>
      <c r="AN603" s="46"/>
    </row>
    <row r="604" spans="3:40">
      <c r="C604" s="42"/>
      <c r="F604" s="50"/>
      <c r="H604" s="45"/>
      <c r="I604" s="45"/>
      <c r="J604" s="56"/>
      <c r="K604" s="56"/>
      <c r="L604" s="45"/>
      <c r="M604" s="45"/>
      <c r="N604" s="46"/>
      <c r="O604" s="46"/>
      <c r="P604" s="164"/>
      <c r="Q604" s="164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164"/>
      <c r="AJ604" s="164"/>
      <c r="AL604" s="45"/>
      <c r="AM604" s="46"/>
      <c r="AN604" s="46"/>
    </row>
    <row r="605" spans="3:40">
      <c r="F605" s="45"/>
      <c r="H605" s="50"/>
      <c r="I605" s="50"/>
      <c r="J605" s="132"/>
      <c r="K605" s="132"/>
      <c r="L605" s="50"/>
      <c r="M605" s="50"/>
      <c r="N605" s="50"/>
      <c r="O605" s="50"/>
      <c r="P605" s="50"/>
      <c r="Q605" s="50"/>
      <c r="R605" s="50"/>
      <c r="V605" s="50"/>
      <c r="Y605" s="50"/>
      <c r="Z605" s="132"/>
      <c r="AA605" s="50"/>
      <c r="AB605" s="50"/>
      <c r="AC605" s="50"/>
      <c r="AD605" s="50"/>
      <c r="AE605" s="50"/>
      <c r="AF605" s="50"/>
      <c r="AI605" s="50"/>
      <c r="AJ605" s="50"/>
      <c r="AK605" s="111"/>
      <c r="AL605" s="50"/>
    </row>
    <row r="606" spans="3:40">
      <c r="C606" s="42"/>
      <c r="D606" s="42"/>
      <c r="E606" s="42"/>
      <c r="F606" s="50"/>
      <c r="J606" s="56"/>
      <c r="K606" s="56"/>
      <c r="T606" s="42"/>
      <c r="U606" s="42"/>
      <c r="V606" s="45"/>
      <c r="W606" s="45"/>
      <c r="X606" s="45"/>
      <c r="Y606" s="45"/>
      <c r="Z606" s="132"/>
    </row>
    <row r="607" spans="3:40">
      <c r="C607" s="42"/>
      <c r="J607" s="56"/>
      <c r="K607" s="56"/>
      <c r="T607" s="42"/>
      <c r="V607" s="45"/>
      <c r="W607" s="45"/>
      <c r="X607" s="45"/>
      <c r="Y607" s="45"/>
      <c r="Z607" s="132"/>
    </row>
    <row r="608" spans="3:40">
      <c r="C608" s="42"/>
      <c r="J608" s="56"/>
      <c r="K608" s="56"/>
      <c r="T608" s="42"/>
      <c r="V608" s="45"/>
      <c r="W608" s="45"/>
      <c r="X608" s="45"/>
      <c r="Y608" s="45"/>
      <c r="Z608" s="132"/>
    </row>
    <row r="609" spans="3:40">
      <c r="C609" s="42"/>
      <c r="H609" s="164"/>
      <c r="I609" s="164"/>
      <c r="J609" s="132"/>
      <c r="K609" s="132"/>
      <c r="L609" s="45"/>
      <c r="M609" s="45"/>
      <c r="N609" s="46"/>
      <c r="O609" s="46"/>
      <c r="P609" s="45"/>
      <c r="Q609" s="45"/>
      <c r="R609" s="45"/>
      <c r="T609" s="42"/>
      <c r="V609" s="45"/>
      <c r="W609" s="45"/>
      <c r="X609" s="45"/>
      <c r="Y609" s="45"/>
      <c r="Z609" s="132"/>
      <c r="AA609" s="45"/>
      <c r="AB609" s="45"/>
      <c r="AC609" s="46"/>
      <c r="AD609" s="46"/>
      <c r="AE609" s="45"/>
      <c r="AF609" s="45"/>
      <c r="AH609" s="51"/>
      <c r="AI609" s="45"/>
      <c r="AJ609" s="45"/>
      <c r="AL609" s="45"/>
      <c r="AM609" s="46"/>
      <c r="AN609" s="46"/>
    </row>
    <row r="610" spans="3:40">
      <c r="C610" s="42"/>
      <c r="F610" s="164"/>
      <c r="J610" s="56"/>
      <c r="K610" s="56"/>
      <c r="T610" s="42"/>
      <c r="V610" s="45"/>
      <c r="W610" s="45"/>
      <c r="X610" s="45"/>
      <c r="Y610" s="45"/>
      <c r="Z610" s="132"/>
    </row>
    <row r="611" spans="3:40">
      <c r="C611" s="42"/>
      <c r="H611" s="164"/>
      <c r="I611" s="164"/>
      <c r="J611" s="132"/>
      <c r="K611" s="132"/>
      <c r="L611" s="45"/>
      <c r="M611" s="45"/>
      <c r="N611" s="46"/>
      <c r="O611" s="46"/>
      <c r="P611" s="45"/>
      <c r="Q611" s="45"/>
      <c r="R611" s="45"/>
      <c r="T611" s="42"/>
      <c r="V611" s="45"/>
      <c r="W611" s="45"/>
      <c r="X611" s="45"/>
      <c r="Y611" s="45"/>
      <c r="Z611" s="132"/>
      <c r="AA611" s="45"/>
      <c r="AB611" s="45"/>
      <c r="AC611" s="46"/>
      <c r="AD611" s="46"/>
      <c r="AE611" s="45"/>
      <c r="AF611" s="45"/>
      <c r="AH611" s="51"/>
      <c r="AI611" s="45"/>
      <c r="AJ611" s="45"/>
      <c r="AL611" s="45"/>
      <c r="AM611" s="46"/>
      <c r="AN611" s="46"/>
    </row>
    <row r="612" spans="3:40">
      <c r="F612" s="164"/>
      <c r="H612" s="50"/>
      <c r="I612" s="50"/>
      <c r="J612" s="132"/>
      <c r="K612" s="132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</row>
    <row r="613" spans="3:40">
      <c r="C613" s="42"/>
      <c r="F613" s="50"/>
      <c r="H613" s="45"/>
      <c r="I613" s="45"/>
      <c r="L613" s="45"/>
      <c r="M613" s="45"/>
      <c r="N613" s="46"/>
      <c r="O613" s="46"/>
      <c r="P613" s="164"/>
      <c r="Q613" s="164"/>
      <c r="R613" s="45"/>
      <c r="T613" s="42"/>
      <c r="V613" s="45"/>
      <c r="W613" s="45"/>
      <c r="X613" s="45"/>
      <c r="Y613" s="45"/>
      <c r="Z613" s="336"/>
      <c r="AA613" s="45"/>
      <c r="AB613" s="45"/>
      <c r="AC613" s="46"/>
      <c r="AD613" s="46"/>
      <c r="AE613" s="45"/>
      <c r="AF613" s="45"/>
      <c r="AH613" s="51"/>
      <c r="AI613" s="164"/>
      <c r="AJ613" s="164"/>
      <c r="AL613" s="45"/>
      <c r="AM613" s="46"/>
      <c r="AN613" s="46"/>
    </row>
    <row r="614" spans="3:40">
      <c r="F614" s="45"/>
      <c r="H614" s="50"/>
      <c r="I614" s="50"/>
      <c r="J614" s="326"/>
      <c r="K614" s="326"/>
      <c r="L614" s="50"/>
      <c r="M614" s="50"/>
      <c r="N614" s="50"/>
      <c r="O614" s="50"/>
      <c r="P614" s="50"/>
      <c r="Q614" s="50"/>
      <c r="R614" s="50"/>
      <c r="V614" s="50"/>
      <c r="Y614" s="50"/>
      <c r="Z614" s="326"/>
      <c r="AA614" s="50"/>
      <c r="AB614" s="50"/>
      <c r="AC614" s="50"/>
      <c r="AD614" s="50"/>
      <c r="AE614" s="50"/>
      <c r="AF614" s="50"/>
      <c r="AI614" s="50"/>
      <c r="AJ614" s="50"/>
      <c r="AK614" s="111"/>
      <c r="AL614" s="50"/>
    </row>
    <row r="615" spans="3:40">
      <c r="C615" s="42"/>
      <c r="D615" s="42"/>
      <c r="E615" s="42"/>
      <c r="F615" s="50"/>
      <c r="T615" s="42"/>
      <c r="U615" s="42"/>
      <c r="V615" s="45"/>
      <c r="W615" s="45"/>
      <c r="X615" s="45"/>
      <c r="Y615" s="45"/>
      <c r="Z615" s="336"/>
    </row>
    <row r="616" spans="3:40">
      <c r="C616" s="42"/>
      <c r="T616" s="42"/>
      <c r="V616" s="45"/>
      <c r="W616" s="45"/>
      <c r="X616" s="45"/>
      <c r="Y616" s="45"/>
      <c r="Z616" s="336"/>
    </row>
    <row r="617" spans="3:40">
      <c r="C617" s="42"/>
      <c r="H617" s="164"/>
      <c r="I617" s="164"/>
      <c r="J617" s="336"/>
      <c r="K617" s="336"/>
      <c r="L617" s="45"/>
      <c r="M617" s="45"/>
      <c r="N617" s="46"/>
      <c r="O617" s="46"/>
      <c r="P617" s="45"/>
      <c r="Q617" s="45"/>
      <c r="R617" s="45"/>
      <c r="T617" s="42"/>
      <c r="V617" s="45"/>
      <c r="W617" s="45"/>
      <c r="X617" s="45"/>
      <c r="Y617" s="45"/>
      <c r="Z617" s="336"/>
      <c r="AA617" s="45"/>
      <c r="AB617" s="45"/>
      <c r="AC617" s="46"/>
      <c r="AD617" s="46"/>
      <c r="AE617" s="45"/>
      <c r="AF617" s="45"/>
      <c r="AH617" s="51"/>
      <c r="AI617" s="45"/>
      <c r="AJ617" s="45"/>
      <c r="AL617" s="45"/>
      <c r="AM617" s="46"/>
      <c r="AN617" s="46"/>
    </row>
    <row r="618" spans="3:40">
      <c r="C618" s="42"/>
      <c r="F618" s="164"/>
      <c r="T618" s="42"/>
      <c r="V618" s="45"/>
      <c r="W618" s="45"/>
      <c r="X618" s="45"/>
      <c r="Y618" s="45"/>
      <c r="Z618" s="336"/>
    </row>
    <row r="619" spans="3:40">
      <c r="C619" s="42"/>
      <c r="H619" s="164"/>
      <c r="I619" s="164"/>
      <c r="J619" s="336"/>
      <c r="K619" s="336"/>
      <c r="L619" s="45"/>
      <c r="M619" s="45"/>
      <c r="N619" s="46"/>
      <c r="O619" s="46"/>
      <c r="P619" s="45"/>
      <c r="Q619" s="45"/>
      <c r="R619" s="45"/>
      <c r="T619" s="42"/>
      <c r="V619" s="45"/>
      <c r="W619" s="45"/>
      <c r="X619" s="45"/>
      <c r="Y619" s="45"/>
      <c r="Z619" s="336"/>
      <c r="AA619" s="45"/>
      <c r="AB619" s="45"/>
      <c r="AC619" s="46"/>
      <c r="AD619" s="46"/>
      <c r="AE619" s="45"/>
      <c r="AF619" s="45"/>
      <c r="AH619" s="51"/>
      <c r="AI619" s="45"/>
      <c r="AJ619" s="45"/>
      <c r="AL619" s="45"/>
      <c r="AM619" s="46"/>
      <c r="AN619" s="46"/>
    </row>
    <row r="620" spans="3:40">
      <c r="C620" s="42"/>
      <c r="F620" s="164"/>
      <c r="T620" s="42"/>
      <c r="V620" s="45"/>
      <c r="W620" s="45"/>
      <c r="X620" s="45"/>
      <c r="Y620" s="45"/>
      <c r="Z620" s="336"/>
    </row>
    <row r="621" spans="3:40">
      <c r="C621" s="42"/>
      <c r="H621" s="164"/>
      <c r="I621" s="164"/>
      <c r="J621" s="336"/>
      <c r="K621" s="336"/>
      <c r="L621" s="45"/>
      <c r="M621" s="45"/>
      <c r="N621" s="46"/>
      <c r="O621" s="46"/>
      <c r="P621" s="45"/>
      <c r="Q621" s="45"/>
      <c r="R621" s="45"/>
      <c r="T621" s="42"/>
      <c r="V621" s="45"/>
      <c r="W621" s="45"/>
      <c r="X621" s="45"/>
      <c r="Y621" s="45"/>
      <c r="Z621" s="336"/>
      <c r="AA621" s="45"/>
      <c r="AB621" s="45"/>
      <c r="AC621" s="46"/>
      <c r="AD621" s="46"/>
      <c r="AE621" s="45"/>
      <c r="AF621" s="45"/>
      <c r="AH621" s="51"/>
      <c r="AI621" s="45"/>
      <c r="AJ621" s="45"/>
      <c r="AL621" s="45"/>
      <c r="AM621" s="46"/>
      <c r="AN621" s="46"/>
    </row>
    <row r="622" spans="3:40">
      <c r="C622" s="42"/>
      <c r="F622" s="164"/>
      <c r="T622" s="42"/>
      <c r="V622" s="45"/>
      <c r="W622" s="45"/>
      <c r="X622" s="45"/>
      <c r="Y622" s="45"/>
      <c r="Z622" s="336"/>
    </row>
    <row r="623" spans="3:40">
      <c r="C623" s="42"/>
      <c r="H623" s="164"/>
      <c r="I623" s="164"/>
      <c r="J623" s="336"/>
      <c r="K623" s="336"/>
      <c r="L623" s="45"/>
      <c r="M623" s="45"/>
      <c r="N623" s="46"/>
      <c r="O623" s="46"/>
      <c r="P623" s="45"/>
      <c r="Q623" s="45"/>
      <c r="R623" s="45"/>
      <c r="T623" s="42"/>
      <c r="V623" s="45"/>
      <c r="W623" s="45"/>
      <c r="X623" s="45"/>
      <c r="Y623" s="45"/>
      <c r="Z623" s="336"/>
      <c r="AA623" s="45"/>
      <c r="AB623" s="45"/>
      <c r="AC623" s="46"/>
      <c r="AD623" s="46"/>
      <c r="AE623" s="45"/>
      <c r="AF623" s="45"/>
      <c r="AH623" s="51"/>
      <c r="AI623" s="45"/>
      <c r="AJ623" s="45"/>
      <c r="AL623" s="45"/>
      <c r="AM623" s="46"/>
      <c r="AN623" s="46"/>
    </row>
    <row r="624" spans="3:40">
      <c r="F624" s="164"/>
      <c r="H624" s="50"/>
      <c r="I624" s="50"/>
      <c r="J624" s="326"/>
      <c r="K624" s="326"/>
      <c r="L624" s="50"/>
      <c r="M624" s="50"/>
      <c r="N624" s="50"/>
      <c r="O624" s="50"/>
      <c r="P624" s="50"/>
      <c r="Q624" s="50"/>
      <c r="R624" s="50"/>
      <c r="V624" s="50"/>
      <c r="Y624" s="50"/>
      <c r="Z624" s="326"/>
      <c r="AA624" s="50"/>
      <c r="AB624" s="50"/>
      <c r="AC624" s="50"/>
      <c r="AD624" s="50"/>
      <c r="AE624" s="50"/>
      <c r="AF624" s="50"/>
      <c r="AI624" s="50"/>
      <c r="AJ624" s="50"/>
      <c r="AK624" s="111"/>
      <c r="AL624" s="50"/>
    </row>
    <row r="625" spans="1:40">
      <c r="C625" s="42"/>
      <c r="F625" s="50"/>
      <c r="H625" s="45"/>
      <c r="I625" s="45"/>
      <c r="L625" s="45"/>
      <c r="M625" s="45"/>
      <c r="N625" s="46"/>
      <c r="O625" s="46"/>
      <c r="P625" s="164"/>
      <c r="Q625" s="164"/>
      <c r="R625" s="45"/>
      <c r="T625" s="42"/>
      <c r="V625" s="45"/>
      <c r="W625" s="45"/>
      <c r="X625" s="45"/>
      <c r="Y625" s="45"/>
      <c r="Z625" s="336"/>
      <c r="AA625" s="45"/>
      <c r="AB625" s="45"/>
      <c r="AC625" s="46"/>
      <c r="AD625" s="46"/>
      <c r="AE625" s="45"/>
      <c r="AF625" s="45"/>
      <c r="AH625" s="51"/>
      <c r="AI625" s="164"/>
      <c r="AJ625" s="164"/>
      <c r="AL625" s="45"/>
      <c r="AM625" s="46"/>
      <c r="AN625" s="46"/>
    </row>
    <row r="626" spans="1:40">
      <c r="F626" s="45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</row>
    <row r="627" spans="1:40">
      <c r="C627" s="42"/>
      <c r="F627" s="50"/>
      <c r="H627" s="45"/>
      <c r="I627" s="45"/>
      <c r="L627" s="45"/>
      <c r="M627" s="45"/>
      <c r="N627" s="46"/>
      <c r="O627" s="46"/>
      <c r="P627" s="45"/>
      <c r="Q627" s="45"/>
      <c r="R627" s="45"/>
      <c r="T627" s="42"/>
      <c r="V627" s="45"/>
      <c r="W627" s="45"/>
      <c r="X627" s="45"/>
      <c r="Y627" s="45"/>
      <c r="AA627" s="45"/>
      <c r="AB627" s="45"/>
      <c r="AC627" s="46"/>
      <c r="AD627" s="46"/>
      <c r="AE627" s="45"/>
      <c r="AF627" s="45"/>
      <c r="AH627" s="51"/>
      <c r="AI627" s="45"/>
      <c r="AJ627" s="45"/>
      <c r="AL627" s="45"/>
      <c r="AM627" s="51"/>
      <c r="AN627" s="51"/>
    </row>
    <row r="628" spans="1:40">
      <c r="F628" s="45"/>
      <c r="H628" s="50"/>
      <c r="I628" s="50"/>
      <c r="J628" s="326"/>
      <c r="K628" s="326"/>
      <c r="L628" s="50"/>
      <c r="M628" s="50"/>
      <c r="N628" s="50"/>
      <c r="O628" s="50"/>
      <c r="P628" s="50"/>
      <c r="Q628" s="50"/>
      <c r="R628" s="50"/>
      <c r="V628" s="50"/>
      <c r="Y628" s="50"/>
      <c r="Z628" s="326"/>
      <c r="AA628" s="50"/>
      <c r="AB628" s="50"/>
      <c r="AC628" s="50"/>
      <c r="AD628" s="50"/>
      <c r="AE628" s="50"/>
      <c r="AF628" s="50"/>
      <c r="AI628" s="50"/>
      <c r="AJ628" s="50"/>
      <c r="AK628" s="111"/>
      <c r="AL628" s="50"/>
    </row>
    <row r="630" spans="1:40">
      <c r="F630" s="50"/>
    </row>
    <row r="631" spans="1:40">
      <c r="A631" s="42"/>
    </row>
    <row r="633" spans="1:40">
      <c r="H633" s="42"/>
      <c r="I633" s="42"/>
      <c r="Y633" s="42"/>
    </row>
    <row r="635" spans="1:40">
      <c r="L635" s="42"/>
      <c r="M635" s="42"/>
      <c r="AA635" s="42"/>
      <c r="AB635" s="42"/>
    </row>
    <row r="636" spans="1:40">
      <c r="R636" s="42"/>
      <c r="AK636" s="110"/>
      <c r="AL636" s="42"/>
    </row>
    <row r="637" spans="1:40">
      <c r="R637" s="42"/>
      <c r="AK637" s="110"/>
      <c r="AL637" s="42"/>
    </row>
    <row r="638" spans="1:40">
      <c r="A638" s="42"/>
      <c r="R638" s="42"/>
      <c r="AK638" s="110"/>
      <c r="AL638" s="42"/>
    </row>
    <row r="639" spans="1:40">
      <c r="L639" s="42"/>
      <c r="M639" s="42"/>
      <c r="AA639" s="42"/>
      <c r="AB639" s="42"/>
    </row>
    <row r="640" spans="1:40">
      <c r="A640" s="49"/>
      <c r="B640" s="49"/>
      <c r="C640" s="49"/>
      <c r="D640" s="49"/>
      <c r="E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107"/>
      <c r="AH640" s="49"/>
      <c r="AI640" s="49"/>
      <c r="AJ640" s="49"/>
      <c r="AK640" s="107"/>
      <c r="AL640" s="49"/>
      <c r="AM640" s="49"/>
      <c r="AN640" s="49"/>
    </row>
    <row r="641" spans="1:40">
      <c r="F641" s="49"/>
      <c r="L641" s="44"/>
      <c r="M641" s="44"/>
      <c r="N641" s="44"/>
      <c r="O641" s="44"/>
      <c r="R641" s="44"/>
      <c r="AA641" s="44"/>
      <c r="AB641" s="44"/>
      <c r="AC641" s="44"/>
      <c r="AD641" s="44"/>
      <c r="AE641" s="44"/>
      <c r="AF641" s="44"/>
      <c r="AG641" s="102"/>
      <c r="AH641" s="44"/>
      <c r="AK641" s="102"/>
      <c r="AL641" s="44"/>
      <c r="AM641" s="44"/>
      <c r="AN641" s="44"/>
    </row>
    <row r="642" spans="1:40">
      <c r="L642" s="44"/>
      <c r="M642" s="44"/>
      <c r="N642" s="44"/>
      <c r="O642" s="44"/>
      <c r="R642" s="44"/>
      <c r="Z642" s="44"/>
      <c r="AA642" s="44"/>
      <c r="AB642" s="44"/>
      <c r="AC642" s="44"/>
      <c r="AD642" s="44"/>
      <c r="AE642" s="44"/>
      <c r="AF642" s="44"/>
      <c r="AG642" s="102"/>
      <c r="AH642" s="44"/>
      <c r="AK642" s="102"/>
      <c r="AL642" s="44"/>
      <c r="AM642" s="44"/>
      <c r="AN642" s="44"/>
    </row>
    <row r="643" spans="1:40">
      <c r="A643" s="44"/>
      <c r="C643" s="44"/>
      <c r="D643" s="44"/>
      <c r="E643" s="44"/>
      <c r="J643" s="44"/>
      <c r="K643" s="44"/>
      <c r="L643" s="44"/>
      <c r="M643" s="44"/>
      <c r="N643" s="44"/>
      <c r="O643" s="44"/>
      <c r="P643" s="44"/>
      <c r="Q643" s="44"/>
      <c r="R643" s="44"/>
      <c r="T643" s="44"/>
      <c r="U643" s="44"/>
      <c r="V643" s="44"/>
      <c r="Z643" s="44"/>
      <c r="AA643" s="44"/>
      <c r="AB643" s="44"/>
      <c r="AC643" s="44"/>
      <c r="AD643" s="44"/>
      <c r="AE643" s="44"/>
      <c r="AF643" s="44"/>
      <c r="AG643" s="102"/>
      <c r="AH643" s="44"/>
      <c r="AI643" s="44"/>
      <c r="AJ643" s="44"/>
      <c r="AK643" s="102"/>
      <c r="AL643" s="44"/>
      <c r="AM643" s="44"/>
      <c r="AN643" s="44"/>
    </row>
    <row r="644" spans="1:40">
      <c r="A644" s="44"/>
      <c r="C644" s="44"/>
      <c r="D644" s="44"/>
      <c r="E644" s="44"/>
      <c r="F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T644" s="44"/>
      <c r="U644" s="44"/>
      <c r="V644" s="44"/>
      <c r="Y644" s="44"/>
      <c r="Z644" s="44"/>
      <c r="AA644" s="44"/>
      <c r="AB644" s="44"/>
      <c r="AC644" s="44"/>
      <c r="AD644" s="44"/>
      <c r="AE644" s="44"/>
      <c r="AF644" s="44"/>
      <c r="AG644" s="102"/>
      <c r="AH644" s="44"/>
      <c r="AI644" s="44"/>
      <c r="AJ644" s="44"/>
      <c r="AK644" s="102"/>
      <c r="AL644" s="44"/>
      <c r="AM644" s="44"/>
      <c r="AN644" s="44"/>
    </row>
    <row r="645" spans="1:40">
      <c r="C645" s="44"/>
      <c r="D645" s="44"/>
      <c r="E645" s="44"/>
      <c r="F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T645" s="44"/>
      <c r="U645" s="44"/>
      <c r="V645" s="44"/>
      <c r="Y645" s="44"/>
      <c r="Z645" s="44"/>
      <c r="AA645" s="44"/>
      <c r="AB645" s="44"/>
      <c r="AC645" s="44"/>
      <c r="AD645" s="44"/>
      <c r="AE645" s="44"/>
      <c r="AF645" s="44"/>
      <c r="AG645" s="102"/>
      <c r="AH645" s="44"/>
      <c r="AI645" s="44"/>
      <c r="AJ645" s="44"/>
      <c r="AK645" s="102"/>
      <c r="AL645" s="44"/>
      <c r="AM645" s="44"/>
      <c r="AN645" s="44"/>
    </row>
    <row r="646" spans="1:40">
      <c r="A646" s="49"/>
      <c r="B646" s="49"/>
      <c r="C646" s="49"/>
      <c r="D646" s="49"/>
      <c r="E646" s="49"/>
      <c r="F646" s="44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107"/>
      <c r="AH646" s="49"/>
      <c r="AI646" s="49"/>
      <c r="AJ646" s="49"/>
      <c r="AK646" s="107"/>
      <c r="AL646" s="49"/>
      <c r="AM646" s="49"/>
      <c r="AN646" s="49"/>
    </row>
    <row r="647" spans="1:40">
      <c r="F647" s="49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Y647" s="44"/>
      <c r="Z647" s="44"/>
      <c r="AA647" s="44"/>
      <c r="AB647" s="44"/>
      <c r="AC647" s="44"/>
      <c r="AD647" s="44"/>
      <c r="AE647" s="44"/>
      <c r="AF647" s="44"/>
      <c r="AG647" s="102"/>
      <c r="AH647" s="44"/>
      <c r="AI647" s="44"/>
      <c r="AJ647" s="44"/>
      <c r="AK647" s="102"/>
      <c r="AL647" s="44"/>
      <c r="AM647" s="44"/>
      <c r="AN647" s="44"/>
    </row>
    <row r="648" spans="1:40">
      <c r="C648" s="42"/>
      <c r="D648" s="42"/>
      <c r="E648" s="42"/>
      <c r="H648" s="45"/>
      <c r="I648" s="45"/>
      <c r="J648" s="47"/>
      <c r="K648" s="47"/>
      <c r="L648" s="45"/>
      <c r="M648" s="45"/>
      <c r="N648" s="47"/>
      <c r="O648" s="47"/>
      <c r="P648" s="45"/>
      <c r="Q648" s="45"/>
      <c r="R648" s="45"/>
      <c r="T648" s="42"/>
      <c r="U648" s="42"/>
      <c r="V648" s="45"/>
      <c r="Y648" s="45"/>
      <c r="Z648" s="47"/>
      <c r="AA648" s="45"/>
      <c r="AB648" s="45"/>
      <c r="AC648" s="47"/>
      <c r="AD648" s="47"/>
      <c r="AE648" s="45"/>
      <c r="AF648" s="45"/>
      <c r="AH648" s="51"/>
      <c r="AI648" s="45"/>
      <c r="AJ648" s="45"/>
      <c r="AL648" s="45"/>
      <c r="AM648" s="46"/>
      <c r="AN648" s="46"/>
    </row>
    <row r="649" spans="1:40">
      <c r="F649" s="45"/>
      <c r="H649" s="50"/>
      <c r="I649" s="50"/>
      <c r="J649" s="326"/>
      <c r="K649" s="326"/>
      <c r="L649" s="50"/>
      <c r="M649" s="50"/>
      <c r="N649" s="50"/>
      <c r="O649" s="50"/>
      <c r="P649" s="50"/>
      <c r="Q649" s="50"/>
      <c r="R649" s="50"/>
      <c r="V649" s="50"/>
      <c r="Y649" s="50"/>
      <c r="Z649" s="326"/>
      <c r="AA649" s="50"/>
      <c r="AB649" s="50"/>
      <c r="AC649" s="50"/>
      <c r="AD649" s="50"/>
      <c r="AE649" s="50"/>
      <c r="AF649" s="50"/>
      <c r="AI649" s="50"/>
      <c r="AJ649" s="50"/>
      <c r="AK649" s="111"/>
      <c r="AL649" s="50"/>
      <c r="AM649" s="46"/>
      <c r="AN649" s="46"/>
    </row>
    <row r="650" spans="1:40">
      <c r="C650" s="42"/>
      <c r="F650" s="50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V650" s="45"/>
      <c r="Y650" s="45"/>
      <c r="Z650" s="47"/>
      <c r="AA650" s="45"/>
      <c r="AB650" s="45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1:40">
      <c r="F651" s="45"/>
      <c r="H651" s="45"/>
      <c r="I651" s="45"/>
      <c r="J651" s="47"/>
      <c r="K651" s="47"/>
      <c r="L651" s="45"/>
      <c r="M651" s="45"/>
      <c r="N651" s="47"/>
      <c r="O651" s="47"/>
      <c r="P651" s="45"/>
      <c r="Q651" s="45"/>
      <c r="R651" s="45"/>
      <c r="V651" s="45"/>
      <c r="Y651" s="45"/>
      <c r="Z651" s="47"/>
      <c r="AA651" s="45"/>
      <c r="AB651" s="45"/>
      <c r="AC651" s="47"/>
      <c r="AD651" s="47"/>
      <c r="AH651" s="51"/>
      <c r="AI651" s="45"/>
      <c r="AJ651" s="45"/>
      <c r="AL651" s="45"/>
      <c r="AM651" s="46"/>
      <c r="AN651" s="46"/>
    </row>
    <row r="652" spans="1:40">
      <c r="C652" s="42"/>
      <c r="D652" s="42"/>
      <c r="E652" s="42"/>
      <c r="F652" s="45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U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1:40">
      <c r="C653" s="42"/>
      <c r="D653" s="42"/>
      <c r="E653" s="42"/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T653" s="42"/>
      <c r="U653" s="42"/>
      <c r="V653" s="45"/>
      <c r="Y653" s="45"/>
      <c r="Z653" s="47"/>
      <c r="AA653" s="45"/>
      <c r="AB653" s="45"/>
      <c r="AC653" s="47"/>
      <c r="AD653" s="47"/>
      <c r="AE653" s="45"/>
      <c r="AF653" s="45"/>
      <c r="AH653" s="51"/>
      <c r="AI653" s="45"/>
      <c r="AJ653" s="45"/>
      <c r="AL653" s="45"/>
      <c r="AM653" s="46"/>
      <c r="AN653" s="46"/>
    </row>
    <row r="654" spans="1:40">
      <c r="C654" s="42"/>
      <c r="D654" s="42"/>
      <c r="E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U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1:40">
      <c r="C655" s="42"/>
      <c r="D655" s="42"/>
      <c r="E655" s="42"/>
      <c r="F655" s="45"/>
      <c r="H655" s="45"/>
      <c r="I655" s="45"/>
      <c r="J655" s="47"/>
      <c r="K655" s="47"/>
      <c r="L655" s="45"/>
      <c r="M655" s="45"/>
      <c r="N655" s="47"/>
      <c r="O655" s="47"/>
      <c r="P655" s="45"/>
      <c r="Q655" s="45"/>
      <c r="R655" s="45"/>
      <c r="T655" s="42"/>
      <c r="U655" s="42"/>
      <c r="V655" s="45"/>
      <c r="Y655" s="45"/>
      <c r="Z655" s="47"/>
      <c r="AA655" s="45"/>
      <c r="AB655" s="45"/>
      <c r="AC655" s="47"/>
      <c r="AD655" s="47"/>
      <c r="AE655" s="45"/>
      <c r="AF655" s="45"/>
      <c r="AH655" s="51"/>
      <c r="AI655" s="45"/>
      <c r="AJ655" s="45"/>
      <c r="AL655" s="45"/>
      <c r="AM655" s="46"/>
      <c r="AN655" s="46"/>
    </row>
    <row r="656" spans="1:40">
      <c r="C656" s="42"/>
      <c r="D656" s="42"/>
      <c r="E656" s="42"/>
      <c r="F656" s="45"/>
      <c r="H656" s="45"/>
      <c r="I656" s="45"/>
      <c r="J656" s="47"/>
      <c r="K656" s="47"/>
      <c r="L656" s="45"/>
      <c r="M656" s="45"/>
      <c r="N656" s="47"/>
      <c r="O656" s="47"/>
      <c r="P656" s="45"/>
      <c r="Q656" s="45"/>
      <c r="R656" s="45"/>
      <c r="T656" s="42"/>
      <c r="U656" s="42"/>
      <c r="V656" s="45"/>
      <c r="Y656" s="45"/>
      <c r="Z656" s="47"/>
      <c r="AA656" s="45"/>
      <c r="AB656" s="45"/>
      <c r="AC656" s="47"/>
      <c r="AD656" s="47"/>
      <c r="AE656" s="45"/>
      <c r="AF656" s="45"/>
      <c r="AH656" s="51"/>
      <c r="AI656" s="45"/>
      <c r="AJ656" s="45"/>
      <c r="AL656" s="45"/>
      <c r="AM656" s="46"/>
      <c r="AN656" s="46"/>
    </row>
    <row r="657" spans="3:40">
      <c r="C657" s="42"/>
      <c r="D657" s="42"/>
      <c r="E657" s="42"/>
      <c r="F657" s="45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T657" s="42"/>
      <c r="U657" s="42"/>
      <c r="V657" s="45"/>
      <c r="Y657" s="45"/>
      <c r="Z657" s="47"/>
      <c r="AA657" s="45"/>
      <c r="AB657" s="45"/>
      <c r="AC657" s="47"/>
      <c r="AD657" s="47"/>
      <c r="AE657" s="45"/>
      <c r="AF657" s="45"/>
      <c r="AH657" s="51"/>
      <c r="AI657" s="45"/>
      <c r="AJ657" s="45"/>
      <c r="AL657" s="45"/>
      <c r="AM657" s="46"/>
      <c r="AN657" s="46"/>
    </row>
    <row r="658" spans="3:40">
      <c r="F658" s="45"/>
      <c r="H658" s="50"/>
      <c r="I658" s="50"/>
      <c r="J658" s="326"/>
      <c r="K658" s="326"/>
      <c r="L658" s="50"/>
      <c r="M658" s="50"/>
      <c r="N658" s="50"/>
      <c r="O658" s="50"/>
      <c r="P658" s="50"/>
      <c r="Q658" s="50"/>
      <c r="R658" s="50"/>
      <c r="V658" s="50"/>
      <c r="Y658" s="50"/>
      <c r="Z658" s="326"/>
      <c r="AA658" s="50"/>
      <c r="AB658" s="50"/>
      <c r="AC658" s="50"/>
      <c r="AD658" s="50"/>
      <c r="AE658" s="50"/>
      <c r="AF658" s="50"/>
      <c r="AI658" s="50"/>
      <c r="AJ658" s="50"/>
      <c r="AK658" s="111"/>
      <c r="AL658" s="50"/>
      <c r="AM658" s="46"/>
      <c r="AN658" s="46"/>
    </row>
    <row r="659" spans="3:40">
      <c r="C659" s="42"/>
      <c r="F659" s="50"/>
      <c r="H659" s="45"/>
      <c r="I659" s="45"/>
      <c r="J659" s="47"/>
      <c r="K659" s="47"/>
      <c r="L659" s="45"/>
      <c r="M659" s="45"/>
      <c r="N659" s="47"/>
      <c r="O659" s="47"/>
      <c r="P659" s="45"/>
      <c r="Q659" s="45"/>
      <c r="R659" s="45"/>
      <c r="T659" s="42"/>
      <c r="V659" s="45"/>
      <c r="Y659" s="45"/>
      <c r="Z659" s="47"/>
      <c r="AA659" s="45"/>
      <c r="AB659" s="45"/>
      <c r="AC659" s="47"/>
      <c r="AD659" s="47"/>
      <c r="AE659" s="45"/>
      <c r="AF659" s="45"/>
      <c r="AH659" s="51"/>
      <c r="AI659" s="45"/>
      <c r="AJ659" s="45"/>
      <c r="AL659" s="45"/>
      <c r="AM659" s="46"/>
      <c r="AN659" s="46"/>
    </row>
    <row r="660" spans="3:40">
      <c r="F660" s="45"/>
      <c r="H660" s="45"/>
      <c r="I660" s="45"/>
      <c r="J660" s="47"/>
      <c r="K660" s="47"/>
      <c r="L660" s="45"/>
      <c r="M660" s="45"/>
      <c r="N660" s="47"/>
      <c r="O660" s="47"/>
      <c r="P660" s="45"/>
      <c r="Q660" s="45"/>
      <c r="R660" s="45"/>
      <c r="V660" s="45"/>
      <c r="Y660" s="45"/>
      <c r="Z660" s="47"/>
      <c r="AA660" s="45"/>
      <c r="AB660" s="45"/>
      <c r="AC660" s="47"/>
      <c r="AD660" s="47"/>
      <c r="AH660" s="51"/>
      <c r="AI660" s="45"/>
      <c r="AJ660" s="45"/>
      <c r="AL660" s="45"/>
      <c r="AM660" s="46"/>
      <c r="AN660" s="46"/>
    </row>
    <row r="661" spans="3:40">
      <c r="C661" s="42"/>
      <c r="D661" s="42"/>
      <c r="E661" s="42"/>
      <c r="F661" s="45"/>
      <c r="H661" s="45"/>
      <c r="I661" s="45"/>
      <c r="J661" s="47"/>
      <c r="K661" s="47"/>
      <c r="L661" s="45"/>
      <c r="M661" s="45"/>
      <c r="N661" s="47"/>
      <c r="O661" s="47"/>
      <c r="P661" s="45"/>
      <c r="Q661" s="45"/>
      <c r="R661" s="45"/>
      <c r="T661" s="42"/>
      <c r="U661" s="42"/>
      <c r="V661" s="45"/>
      <c r="Y661" s="45"/>
      <c r="Z661" s="47"/>
      <c r="AA661" s="45"/>
      <c r="AB661" s="45"/>
      <c r="AC661" s="47"/>
      <c r="AD661" s="47"/>
      <c r="AE661" s="45"/>
      <c r="AF661" s="45"/>
      <c r="AH661" s="51"/>
      <c r="AI661" s="45"/>
      <c r="AJ661" s="45"/>
      <c r="AL661" s="45"/>
      <c r="AM661" s="46"/>
      <c r="AN661" s="46"/>
    </row>
    <row r="662" spans="3:40">
      <c r="F662" s="45"/>
      <c r="H662" s="50"/>
      <c r="I662" s="50"/>
      <c r="J662" s="326"/>
      <c r="K662" s="326"/>
      <c r="L662" s="50"/>
      <c r="M662" s="50"/>
      <c r="N662" s="50"/>
      <c r="O662" s="50"/>
      <c r="P662" s="50"/>
      <c r="Q662" s="50"/>
      <c r="R662" s="50"/>
      <c r="V662" s="50"/>
      <c r="Y662" s="50"/>
      <c r="Z662" s="326"/>
      <c r="AA662" s="50"/>
      <c r="AB662" s="50"/>
      <c r="AC662" s="50"/>
      <c r="AD662" s="50"/>
      <c r="AE662" s="50"/>
      <c r="AF662" s="50"/>
      <c r="AI662" s="50"/>
      <c r="AJ662" s="50"/>
      <c r="AK662" s="111"/>
      <c r="AL662" s="50"/>
      <c r="AM662" s="46"/>
      <c r="AN662" s="46"/>
    </row>
    <row r="663" spans="3:40">
      <c r="C663" s="42"/>
      <c r="F663" s="50"/>
      <c r="H663" s="45"/>
      <c r="I663" s="45"/>
      <c r="J663" s="47"/>
      <c r="K663" s="47"/>
      <c r="L663" s="45"/>
      <c r="M663" s="45"/>
      <c r="N663" s="47"/>
      <c r="O663" s="47"/>
      <c r="P663" s="45"/>
      <c r="Q663" s="45"/>
      <c r="R663" s="45"/>
      <c r="T663" s="42"/>
      <c r="V663" s="45"/>
      <c r="Y663" s="45"/>
      <c r="Z663" s="47"/>
      <c r="AA663" s="45"/>
      <c r="AB663" s="45"/>
      <c r="AC663" s="47"/>
      <c r="AD663" s="47"/>
      <c r="AE663" s="45"/>
      <c r="AF663" s="45"/>
      <c r="AH663" s="51"/>
      <c r="AI663" s="45"/>
      <c r="AJ663" s="45"/>
      <c r="AL663" s="45"/>
      <c r="AM663" s="46"/>
      <c r="AN663" s="46"/>
    </row>
    <row r="664" spans="3:40">
      <c r="F664" s="45"/>
      <c r="H664" s="45"/>
      <c r="I664" s="45"/>
      <c r="J664" s="47"/>
      <c r="K664" s="47"/>
      <c r="L664" s="45"/>
      <c r="M664" s="45"/>
      <c r="N664" s="47"/>
      <c r="O664" s="47"/>
      <c r="P664" s="45"/>
      <c r="Q664" s="45"/>
      <c r="R664" s="45"/>
      <c r="V664" s="45"/>
      <c r="Y664" s="45"/>
      <c r="Z664" s="47"/>
      <c r="AA664" s="45"/>
      <c r="AB664" s="45"/>
      <c r="AC664" s="47"/>
      <c r="AD664" s="47"/>
      <c r="AH664" s="51"/>
      <c r="AI664" s="45"/>
      <c r="AJ664" s="45"/>
      <c r="AL664" s="45"/>
      <c r="AM664" s="46"/>
      <c r="AN664" s="46"/>
    </row>
    <row r="665" spans="3:40">
      <c r="C665" s="42"/>
      <c r="D665" s="42"/>
      <c r="E665" s="42"/>
      <c r="F665" s="45"/>
      <c r="H665" s="45"/>
      <c r="I665" s="45"/>
      <c r="J665" s="47"/>
      <c r="K665" s="47"/>
      <c r="L665" s="45"/>
      <c r="M665" s="45"/>
      <c r="N665" s="47"/>
      <c r="O665" s="47"/>
      <c r="P665" s="45"/>
      <c r="Q665" s="45"/>
      <c r="R665" s="45"/>
      <c r="T665" s="42"/>
      <c r="U665" s="42"/>
      <c r="V665" s="45"/>
      <c r="Y665" s="45"/>
      <c r="Z665" s="47"/>
      <c r="AA665" s="45"/>
      <c r="AB665" s="45"/>
      <c r="AC665" s="47"/>
      <c r="AD665" s="47"/>
      <c r="AE665" s="45"/>
      <c r="AF665" s="45"/>
      <c r="AH665" s="51"/>
      <c r="AI665" s="45"/>
      <c r="AJ665" s="45"/>
      <c r="AL665" s="45"/>
      <c r="AM665" s="46"/>
      <c r="AN665" s="46"/>
    </row>
    <row r="666" spans="3:40">
      <c r="C666" s="42"/>
      <c r="D666" s="42"/>
      <c r="E666" s="42"/>
      <c r="F666" s="45"/>
      <c r="G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T666" s="42"/>
      <c r="U666" s="42"/>
      <c r="V666" s="45"/>
      <c r="W666" s="45"/>
      <c r="X666" s="45"/>
      <c r="Y666" s="45"/>
      <c r="Z666" s="47"/>
      <c r="AA666" s="45"/>
      <c r="AB666" s="45"/>
      <c r="AC666" s="47"/>
      <c r="AD666" s="47"/>
      <c r="AE666" s="45"/>
      <c r="AF666" s="45"/>
      <c r="AH666" s="51"/>
      <c r="AI666" s="45"/>
      <c r="AJ666" s="45"/>
      <c r="AL666" s="45"/>
      <c r="AM666" s="46"/>
      <c r="AN666" s="46"/>
    </row>
    <row r="667" spans="3:40">
      <c r="C667" s="42"/>
      <c r="D667" s="42"/>
      <c r="E667" s="42"/>
      <c r="F667" s="45"/>
      <c r="G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T667" s="42"/>
      <c r="U667" s="42"/>
      <c r="V667" s="45"/>
      <c r="W667" s="45"/>
      <c r="X667" s="45"/>
      <c r="Y667" s="45"/>
      <c r="Z667" s="47"/>
      <c r="AA667" s="45"/>
      <c r="AB667" s="45"/>
      <c r="AC667" s="47"/>
      <c r="AD667" s="47"/>
      <c r="AE667" s="45"/>
      <c r="AF667" s="45"/>
      <c r="AH667" s="51"/>
      <c r="AI667" s="45"/>
      <c r="AJ667" s="45"/>
      <c r="AL667" s="45"/>
      <c r="AM667" s="46"/>
      <c r="AN667" s="46"/>
    </row>
    <row r="668" spans="3:40">
      <c r="C668" s="42"/>
      <c r="D668" s="42"/>
      <c r="E668" s="42"/>
      <c r="F668" s="45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U668" s="42"/>
      <c r="V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3:40">
      <c r="C669" s="42"/>
      <c r="D669" s="42"/>
      <c r="E669" s="42"/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U669" s="42"/>
      <c r="V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3:40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3:40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3:40">
      <c r="F672" s="45"/>
      <c r="H672" s="50"/>
      <c r="I672" s="50"/>
      <c r="J672" s="326"/>
      <c r="K672" s="326"/>
      <c r="L672" s="50"/>
      <c r="M672" s="50"/>
      <c r="N672" s="50"/>
      <c r="O672" s="50"/>
      <c r="P672" s="50"/>
      <c r="Q672" s="50"/>
      <c r="R672" s="50"/>
      <c r="V672" s="50"/>
      <c r="Y672" s="50"/>
      <c r="Z672" s="326"/>
      <c r="AA672" s="50"/>
      <c r="AB672" s="50"/>
      <c r="AC672" s="50"/>
      <c r="AD672" s="50"/>
      <c r="AE672" s="50"/>
      <c r="AF672" s="50"/>
      <c r="AI672" s="50"/>
      <c r="AJ672" s="50"/>
      <c r="AK672" s="111"/>
      <c r="AL672" s="50"/>
      <c r="AM672" s="46"/>
      <c r="AN672" s="46"/>
    </row>
    <row r="673" spans="3:40">
      <c r="C673" s="42"/>
      <c r="F673" s="50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V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>
      <c r="F674" s="45"/>
      <c r="V674" s="45"/>
      <c r="Y674" s="45"/>
      <c r="Z674" s="326"/>
      <c r="AA674" s="45"/>
      <c r="AB674" s="45"/>
      <c r="AC674" s="45"/>
      <c r="AD674" s="45"/>
      <c r="AE674" s="45"/>
      <c r="AF674" s="45"/>
      <c r="AI674" s="45"/>
      <c r="AJ674" s="45"/>
      <c r="AL674" s="45"/>
      <c r="AM674" s="46"/>
      <c r="AN674" s="46"/>
    </row>
    <row r="675" spans="3:40">
      <c r="C675" s="42"/>
      <c r="D675" s="42"/>
      <c r="E675" s="42"/>
      <c r="L675" s="45"/>
      <c r="M675" s="45"/>
      <c r="N675" s="47"/>
      <c r="O675" s="47"/>
      <c r="R675" s="45"/>
      <c r="T675" s="42"/>
      <c r="U675" s="42"/>
      <c r="AA675" s="45"/>
      <c r="AB675" s="45"/>
      <c r="AC675" s="47"/>
      <c r="AD675" s="47"/>
      <c r="AE675" s="45"/>
      <c r="AF675" s="45"/>
      <c r="AH675" s="51"/>
      <c r="AL675" s="45"/>
      <c r="AM675" s="46"/>
      <c r="AN675" s="46"/>
    </row>
    <row r="676" spans="3:40">
      <c r="D676" s="42"/>
      <c r="E676" s="42"/>
      <c r="H676" s="164"/>
      <c r="I676" s="164"/>
      <c r="J676" s="47"/>
      <c r="K676" s="47"/>
      <c r="L676" s="45"/>
      <c r="M676" s="45"/>
      <c r="N676" s="47"/>
      <c r="O676" s="47"/>
      <c r="P676" s="164"/>
      <c r="Q676" s="164"/>
      <c r="R676" s="45"/>
      <c r="U676" s="42"/>
      <c r="V676" s="45"/>
      <c r="Y676" s="45"/>
      <c r="Z676" s="47"/>
      <c r="AA676" s="45"/>
      <c r="AB676" s="45"/>
      <c r="AC676" s="47"/>
      <c r="AD676" s="47"/>
      <c r="AE676" s="45"/>
      <c r="AF676" s="45"/>
      <c r="AH676" s="51"/>
      <c r="AI676" s="45"/>
      <c r="AJ676" s="45"/>
      <c r="AL676" s="45"/>
      <c r="AM676" s="46"/>
      <c r="AN676" s="46"/>
    </row>
    <row r="677" spans="3:40">
      <c r="F677" s="164"/>
      <c r="H677" s="50"/>
      <c r="I677" s="50"/>
      <c r="J677" s="326"/>
      <c r="K677" s="326"/>
      <c r="L677" s="50"/>
      <c r="M677" s="50"/>
      <c r="N677" s="50"/>
      <c r="O677" s="50"/>
      <c r="P677" s="50"/>
      <c r="Q677" s="50"/>
      <c r="R677" s="50"/>
      <c r="V677" s="50"/>
      <c r="Y677" s="50"/>
      <c r="Z677" s="326"/>
      <c r="AA677" s="50"/>
      <c r="AB677" s="50"/>
      <c r="AC677" s="50"/>
      <c r="AD677" s="50"/>
      <c r="AE677" s="50"/>
      <c r="AF677" s="50"/>
      <c r="AI677" s="50"/>
      <c r="AJ677" s="50"/>
      <c r="AK677" s="111"/>
      <c r="AL677" s="50"/>
      <c r="AM677" s="46"/>
      <c r="AN677" s="46"/>
    </row>
    <row r="678" spans="3:40">
      <c r="C678" s="42"/>
      <c r="F678" s="50"/>
      <c r="H678" s="45"/>
      <c r="I678" s="45"/>
      <c r="J678" s="47"/>
      <c r="K678" s="47"/>
      <c r="L678" s="45"/>
      <c r="M678" s="45"/>
      <c r="N678" s="47"/>
      <c r="O678" s="47"/>
      <c r="P678" s="45"/>
      <c r="Q678" s="45"/>
      <c r="R678" s="45"/>
      <c r="T678" s="42"/>
      <c r="V678" s="45"/>
      <c r="Y678" s="45"/>
      <c r="Z678" s="47"/>
      <c r="AA678" s="45"/>
      <c r="AB678" s="45"/>
      <c r="AC678" s="47"/>
      <c r="AD678" s="47"/>
      <c r="AE678" s="45"/>
      <c r="AF678" s="45"/>
      <c r="AH678" s="51"/>
      <c r="AI678" s="45"/>
      <c r="AJ678" s="45"/>
      <c r="AL678" s="45"/>
      <c r="AM678" s="46"/>
      <c r="AN678" s="46"/>
    </row>
    <row r="679" spans="3:40"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V679" s="45"/>
      <c r="Y679" s="45"/>
      <c r="Z679" s="47"/>
      <c r="AA679" s="45"/>
      <c r="AB679" s="45"/>
      <c r="AC679" s="47"/>
      <c r="AD679" s="47"/>
      <c r="AH679" s="51"/>
      <c r="AI679" s="45"/>
      <c r="AJ679" s="45"/>
      <c r="AL679" s="45"/>
      <c r="AM679" s="46"/>
      <c r="AN679" s="46"/>
    </row>
    <row r="680" spans="3:40">
      <c r="D680" s="42"/>
      <c r="E680" s="42"/>
      <c r="F680" s="45"/>
      <c r="H680" s="45"/>
      <c r="I680" s="45"/>
      <c r="J680" s="47"/>
      <c r="K680" s="47"/>
      <c r="L680" s="164"/>
      <c r="M680" s="164"/>
      <c r="N680" s="47"/>
      <c r="O680" s="47"/>
      <c r="P680" s="45"/>
      <c r="Q680" s="45"/>
      <c r="R680" s="45"/>
      <c r="U680" s="42"/>
      <c r="V680" s="45"/>
      <c r="Y680" s="45"/>
      <c r="Z680" s="47"/>
      <c r="AA680" s="164"/>
      <c r="AB680" s="164"/>
      <c r="AC680" s="47"/>
      <c r="AD680" s="47"/>
      <c r="AE680" s="45"/>
      <c r="AF680" s="45"/>
      <c r="AH680" s="51"/>
      <c r="AI680" s="45"/>
      <c r="AJ680" s="45"/>
      <c r="AL680" s="45"/>
      <c r="AM680" s="46"/>
      <c r="AN680" s="46"/>
    </row>
    <row r="681" spans="3:40">
      <c r="D681" s="42"/>
      <c r="E681" s="42"/>
      <c r="F681" s="45"/>
      <c r="H681" s="45"/>
      <c r="I681" s="45"/>
      <c r="J681" s="47"/>
      <c r="K681" s="47"/>
      <c r="L681" s="164"/>
      <c r="M681" s="164"/>
      <c r="N681" s="47"/>
      <c r="O681" s="47"/>
      <c r="P681" s="45"/>
      <c r="Q681" s="45"/>
      <c r="R681" s="45"/>
      <c r="U681" s="42"/>
      <c r="V681" s="45"/>
      <c r="Y681" s="45"/>
      <c r="Z681" s="47"/>
      <c r="AA681" s="164"/>
      <c r="AB681" s="164"/>
      <c r="AC681" s="47"/>
      <c r="AD681" s="47"/>
      <c r="AE681" s="45"/>
      <c r="AF681" s="45"/>
      <c r="AH681" s="51"/>
      <c r="AI681" s="45"/>
      <c r="AJ681" s="45"/>
      <c r="AL681" s="45"/>
      <c r="AM681" s="46"/>
      <c r="AN681" s="46"/>
    </row>
    <row r="682" spans="3:40">
      <c r="D682" s="42"/>
      <c r="E682" s="42"/>
      <c r="F682" s="45"/>
      <c r="H682" s="45"/>
      <c r="I682" s="45"/>
      <c r="J682" s="47"/>
      <c r="K682" s="47"/>
      <c r="L682" s="164"/>
      <c r="M682" s="164"/>
      <c r="N682" s="47"/>
      <c r="O682" s="47"/>
      <c r="P682" s="45"/>
      <c r="Q682" s="45"/>
      <c r="R682" s="45"/>
      <c r="U682" s="42"/>
      <c r="V682" s="45"/>
      <c r="Y682" s="45"/>
      <c r="Z682" s="47"/>
      <c r="AA682" s="164"/>
      <c r="AB682" s="164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>
      <c r="F683" s="45"/>
      <c r="H683" s="50"/>
      <c r="I683" s="50"/>
      <c r="J683" s="326"/>
      <c r="K683" s="326"/>
      <c r="L683" s="50"/>
      <c r="M683" s="50"/>
      <c r="N683" s="50"/>
      <c r="O683" s="50"/>
      <c r="P683" s="50"/>
      <c r="Q683" s="50"/>
      <c r="R683" s="50"/>
      <c r="V683" s="50"/>
      <c r="Y683" s="50"/>
      <c r="Z683" s="326"/>
      <c r="AA683" s="50"/>
      <c r="AB683" s="50"/>
      <c r="AC683" s="50"/>
      <c r="AD683" s="50"/>
      <c r="AE683" s="50"/>
      <c r="AF683" s="50"/>
      <c r="AI683" s="50"/>
      <c r="AJ683" s="50"/>
      <c r="AK683" s="111"/>
      <c r="AL683" s="50"/>
      <c r="AM683" s="46"/>
      <c r="AN683" s="46"/>
    </row>
    <row r="684" spans="3:40">
      <c r="C684" s="42"/>
      <c r="F684" s="50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V685" s="45"/>
      <c r="Y685" s="45"/>
      <c r="Z685" s="47"/>
      <c r="AA685" s="45"/>
      <c r="AB685" s="45"/>
      <c r="AC685" s="47"/>
      <c r="AD685" s="47"/>
      <c r="AH685" s="51"/>
      <c r="AI685" s="45"/>
      <c r="AJ685" s="45"/>
      <c r="AL685" s="45"/>
      <c r="AM685" s="46"/>
      <c r="AN685" s="46"/>
    </row>
    <row r="686" spans="3:40">
      <c r="C686" s="42"/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T686" s="42"/>
      <c r="V686" s="45"/>
      <c r="Y686" s="45"/>
      <c r="Z686" s="47"/>
      <c r="AA686" s="45"/>
      <c r="AB686" s="45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3:40">
      <c r="F687" s="45"/>
      <c r="H687" s="50"/>
      <c r="I687" s="50"/>
      <c r="J687" s="326"/>
      <c r="K687" s="326"/>
      <c r="L687" s="50"/>
      <c r="M687" s="50"/>
      <c r="N687" s="50"/>
      <c r="O687" s="50"/>
      <c r="P687" s="50"/>
      <c r="Q687" s="50"/>
      <c r="R687" s="50"/>
      <c r="V687" s="50"/>
      <c r="Y687" s="50"/>
      <c r="Z687" s="326"/>
      <c r="AA687" s="50"/>
      <c r="AB687" s="50"/>
      <c r="AC687" s="50"/>
      <c r="AD687" s="50"/>
      <c r="AE687" s="50"/>
      <c r="AF687" s="50"/>
      <c r="AI687" s="50"/>
      <c r="AJ687" s="50"/>
      <c r="AK687" s="111"/>
      <c r="AL687" s="50"/>
    </row>
    <row r="689" spans="1:20">
      <c r="C689" s="42"/>
      <c r="F689" s="50"/>
      <c r="L689" s="45"/>
      <c r="M689" s="45"/>
      <c r="P689" s="45"/>
      <c r="Q689" s="45"/>
      <c r="R689" s="45"/>
      <c r="T689" s="42"/>
    </row>
    <row r="690" spans="1:20">
      <c r="A690" s="42"/>
      <c r="L690" s="45"/>
      <c r="M690" s="45"/>
      <c r="P690" s="45"/>
      <c r="Q690" s="45"/>
      <c r="R690" s="45"/>
    </row>
    <row r="691" spans="1:20">
      <c r="L691" s="45"/>
      <c r="M691" s="45"/>
      <c r="P691" s="45"/>
      <c r="Q691" s="45"/>
      <c r="R691" s="45"/>
    </row>
    <row r="692" spans="1:20">
      <c r="L692" s="45"/>
      <c r="M692" s="45"/>
      <c r="P692" s="45"/>
      <c r="Q692" s="45"/>
      <c r="R692" s="45"/>
    </row>
    <row r="693" spans="1:20">
      <c r="L693" s="45"/>
      <c r="M693" s="45"/>
      <c r="P693" s="45"/>
      <c r="Q693" s="45"/>
      <c r="R693" s="45"/>
    </row>
    <row r="694" spans="1:20">
      <c r="L694" s="45"/>
      <c r="M694" s="45"/>
      <c r="P694" s="45"/>
      <c r="Q694" s="45"/>
      <c r="R694" s="45"/>
    </row>
    <row r="695" spans="1:20">
      <c r="L695" s="45"/>
      <c r="M695" s="45"/>
      <c r="P695" s="45"/>
      <c r="Q695" s="45"/>
      <c r="R695" s="45"/>
    </row>
    <row r="728" spans="49:49">
      <c r="AW728" s="45"/>
    </row>
    <row r="729" spans="49:49">
      <c r="AW729" s="45"/>
    </row>
    <row r="730" spans="49:49">
      <c r="AW730" s="45"/>
    </row>
    <row r="731" spans="49:49">
      <c r="AW731" s="45"/>
    </row>
    <row r="732" spans="49:49">
      <c r="AW732" s="45"/>
    </row>
    <row r="733" spans="49:49">
      <c r="AW733" s="45"/>
    </row>
    <row r="736" spans="49:49">
      <c r="AW736" s="45"/>
    </row>
    <row r="737" spans="49:49">
      <c r="AW737" s="45"/>
    </row>
    <row r="738" spans="49:49">
      <c r="AW738" s="45"/>
    </row>
    <row r="739" spans="49:49">
      <c r="AW739" s="45"/>
    </row>
    <row r="740" spans="49:49">
      <c r="AW740" s="45"/>
    </row>
    <row r="741" spans="49:49">
      <c r="AW741" s="45"/>
    </row>
    <row r="742" spans="49:49">
      <c r="AW742" s="45"/>
    </row>
    <row r="743" spans="49:49">
      <c r="AW743" s="45"/>
    </row>
    <row r="746" spans="49:49">
      <c r="AW746" s="45"/>
    </row>
    <row r="747" spans="49:49">
      <c r="AW747" s="45"/>
    </row>
    <row r="750" spans="49:49">
      <c r="AW750" s="45"/>
    </row>
    <row r="751" spans="49:49">
      <c r="AW751" s="45"/>
    </row>
    <row r="752" spans="49:49">
      <c r="AW752" s="45"/>
    </row>
    <row r="753" spans="45:57">
      <c r="AW753" s="45"/>
    </row>
    <row r="761" spans="45:57">
      <c r="AY761" s="42"/>
    </row>
    <row r="762" spans="45:57">
      <c r="AY762" s="42"/>
    </row>
    <row r="763" spans="45:57">
      <c r="BD763" s="42"/>
    </row>
    <row r="764" spans="45:57">
      <c r="BD764" s="42"/>
    </row>
    <row r="765" spans="45:57">
      <c r="AS765" s="42"/>
      <c r="BD765" s="42"/>
    </row>
    <row r="767" spans="45:57"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</row>
    <row r="768" spans="45:57">
      <c r="AX768" s="42"/>
    </row>
    <row r="769" spans="45:69">
      <c r="AX769" s="49"/>
      <c r="AY769" s="49"/>
      <c r="AZ769" s="49"/>
      <c r="BA769" s="49"/>
      <c r="BC769" s="44"/>
      <c r="BD769" s="44"/>
    </row>
    <row r="770" spans="45:69">
      <c r="AV770" s="44"/>
      <c r="AW770" s="44"/>
      <c r="AZ770" s="44"/>
      <c r="BA770" s="44"/>
      <c r="BC770" s="44"/>
      <c r="BD770" s="44"/>
      <c r="BE770" s="44"/>
      <c r="BG770" s="49"/>
      <c r="BH770" s="42"/>
      <c r="BK770" s="49"/>
      <c r="BM770" s="49"/>
      <c r="BN770" s="42"/>
      <c r="BQ770" s="49"/>
    </row>
    <row r="771" spans="45:69"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H771" s="44"/>
      <c r="BI771" s="44"/>
      <c r="BJ771" s="44"/>
      <c r="BN771" s="44"/>
      <c r="BO771" s="44"/>
      <c r="BP771" s="44"/>
    </row>
    <row r="772" spans="45:69">
      <c r="AS772" s="44"/>
      <c r="AU772" s="42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G772" s="44"/>
      <c r="BH772" s="44"/>
      <c r="BI772" s="44"/>
      <c r="BJ772" s="44"/>
      <c r="BK772" s="44"/>
      <c r="BM772" s="44"/>
      <c r="BN772" s="44"/>
      <c r="BO772" s="44"/>
      <c r="BP772" s="44"/>
      <c r="BQ772" s="44"/>
    </row>
    <row r="773" spans="45:69">
      <c r="AS773" s="44"/>
      <c r="AU773" s="42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G773" s="44"/>
      <c r="BH773" s="44"/>
      <c r="BI773" s="44"/>
      <c r="BJ773" s="44"/>
      <c r="BK773" s="44"/>
      <c r="BM773" s="44"/>
      <c r="BN773" s="44"/>
      <c r="BO773" s="44"/>
      <c r="BP773" s="44"/>
      <c r="BQ773" s="44"/>
    </row>
    <row r="774" spans="45:69"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G774" s="49"/>
      <c r="BH774" s="49"/>
      <c r="BI774" s="49"/>
      <c r="BJ774" s="49"/>
      <c r="BK774" s="49"/>
      <c r="BM774" s="49"/>
      <c r="BN774" s="49"/>
      <c r="BO774" s="49"/>
      <c r="BP774" s="49"/>
      <c r="BQ774" s="49"/>
    </row>
    <row r="775" spans="45:69"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</row>
    <row r="776" spans="45:69">
      <c r="AU776" s="42"/>
      <c r="AV776" s="44"/>
      <c r="AY776" s="47"/>
    </row>
    <row r="777" spans="45:69">
      <c r="AV777" s="44"/>
      <c r="AW777" s="45"/>
      <c r="AX777" s="56"/>
      <c r="AY777" s="56"/>
      <c r="AZ777" s="56"/>
      <c r="BA777" s="46"/>
      <c r="BB777" s="56"/>
      <c r="BC777" s="47"/>
      <c r="BD777" s="47"/>
      <c r="BE777" s="46"/>
      <c r="BG777" s="56"/>
      <c r="BH777" s="56"/>
      <c r="BI777" s="56"/>
      <c r="BJ777" s="56"/>
      <c r="BK777" s="56"/>
      <c r="BM777" s="56"/>
      <c r="BN777" s="56"/>
      <c r="BO777" s="56"/>
      <c r="BP777" s="56"/>
      <c r="BQ777" s="56"/>
    </row>
    <row r="778" spans="45:69">
      <c r="AV778" s="44"/>
      <c r="AW778" s="45"/>
      <c r="AX778" s="56"/>
      <c r="AY778" s="56"/>
      <c r="AZ778" s="56"/>
      <c r="BA778" s="46"/>
      <c r="BB778" s="56"/>
      <c r="BC778" s="47"/>
      <c r="BD778" s="47"/>
      <c r="BE778" s="46"/>
      <c r="BG778" s="56"/>
      <c r="BH778" s="56"/>
      <c r="BI778" s="56"/>
      <c r="BJ778" s="56"/>
      <c r="BK778" s="56"/>
      <c r="BM778" s="56"/>
      <c r="BN778" s="56"/>
      <c r="BO778" s="56"/>
      <c r="BP778" s="56"/>
      <c r="BQ778" s="56"/>
    </row>
    <row r="779" spans="45:69">
      <c r="AV779" s="44"/>
      <c r="AW779" s="45"/>
      <c r="AX779" s="56"/>
      <c r="AY779" s="56"/>
      <c r="AZ779" s="56"/>
      <c r="BA779" s="46"/>
      <c r="BB779" s="56"/>
      <c r="BC779" s="47"/>
      <c r="BD779" s="47"/>
      <c r="BE779" s="46"/>
      <c r="BG779" s="56"/>
      <c r="BH779" s="56"/>
      <c r="BI779" s="56"/>
      <c r="BJ779" s="56"/>
      <c r="BK779" s="56"/>
      <c r="BM779" s="56"/>
      <c r="BN779" s="56"/>
      <c r="BO779" s="56"/>
      <c r="BP779" s="56"/>
      <c r="BQ779" s="56"/>
    </row>
    <row r="780" spans="45:69">
      <c r="AV780" s="44"/>
      <c r="AW780" s="45"/>
      <c r="AX780" s="56"/>
      <c r="AY780" s="56"/>
      <c r="AZ780" s="56"/>
      <c r="BA780" s="46"/>
      <c r="BB780" s="56"/>
      <c r="BC780" s="47"/>
      <c r="BD780" s="47"/>
      <c r="BE780" s="46"/>
      <c r="BG780" s="56"/>
      <c r="BH780" s="56"/>
      <c r="BI780" s="56"/>
      <c r="BJ780" s="56"/>
      <c r="BK780" s="56"/>
      <c r="BM780" s="56"/>
      <c r="BN780" s="56"/>
      <c r="BO780" s="56"/>
      <c r="BP780" s="56"/>
      <c r="BQ780" s="56"/>
    </row>
    <row r="781" spans="45:69">
      <c r="AV781" s="44"/>
      <c r="AW781" s="45"/>
      <c r="AX781" s="56"/>
      <c r="AY781" s="56"/>
      <c r="AZ781" s="56"/>
      <c r="BA781" s="46"/>
      <c r="BB781" s="56"/>
      <c r="BC781" s="47"/>
      <c r="BD781" s="47"/>
      <c r="BE781" s="46"/>
      <c r="BG781" s="56"/>
      <c r="BH781" s="56"/>
      <c r="BI781" s="56"/>
      <c r="BJ781" s="56"/>
      <c r="BK781" s="56"/>
      <c r="BM781" s="56"/>
      <c r="BN781" s="56"/>
      <c r="BO781" s="56"/>
      <c r="BP781" s="56"/>
      <c r="BQ781" s="56"/>
    </row>
    <row r="782" spans="45:69">
      <c r="AV782" s="44"/>
      <c r="AW782" s="45"/>
      <c r="AX782" s="56"/>
      <c r="AY782" s="56"/>
      <c r="AZ782" s="56"/>
      <c r="BA782" s="46"/>
      <c r="BB782" s="56"/>
      <c r="BC782" s="47"/>
      <c r="BD782" s="47"/>
      <c r="BE782" s="46"/>
      <c r="BG782" s="56"/>
      <c r="BH782" s="56"/>
      <c r="BI782" s="56"/>
      <c r="BJ782" s="56"/>
      <c r="BK782" s="56"/>
      <c r="BM782" s="56"/>
      <c r="BN782" s="56"/>
      <c r="BO782" s="56"/>
      <c r="BP782" s="56"/>
      <c r="BQ782" s="56"/>
    </row>
    <row r="783" spans="45:69">
      <c r="AV783" s="44"/>
      <c r="AW783" s="45"/>
      <c r="AX783" s="56"/>
      <c r="AY783" s="56"/>
      <c r="AZ783" s="56"/>
      <c r="BA783" s="46"/>
      <c r="BB783" s="56"/>
      <c r="BC783" s="47"/>
      <c r="BD783" s="47"/>
      <c r="BE783" s="46"/>
      <c r="BG783" s="56"/>
      <c r="BH783" s="56"/>
      <c r="BI783" s="56"/>
      <c r="BJ783" s="56"/>
      <c r="BK783" s="56"/>
      <c r="BM783" s="56"/>
      <c r="BN783" s="56"/>
      <c r="BO783" s="56"/>
      <c r="BP783" s="56"/>
      <c r="BQ783" s="56"/>
    </row>
    <row r="784" spans="45:69">
      <c r="AY784" s="47"/>
      <c r="AZ784" s="56"/>
      <c r="BA784" s="46"/>
      <c r="BB784" s="56"/>
      <c r="BC784" s="47"/>
      <c r="BD784" s="47"/>
      <c r="BE784" s="46"/>
      <c r="BK784" s="56"/>
      <c r="BQ784" s="56"/>
    </row>
    <row r="785" spans="45:69">
      <c r="AV785" s="44"/>
      <c r="AY785" s="47"/>
      <c r="AZ785" s="56"/>
      <c r="BA785" s="46"/>
      <c r="BB785" s="56"/>
      <c r="BC785" s="47"/>
      <c r="BD785" s="47"/>
      <c r="BE785" s="46"/>
      <c r="BK785" s="56"/>
      <c r="BQ785" s="56"/>
    </row>
    <row r="786" spans="45:69">
      <c r="AV786" s="44"/>
      <c r="AW786" s="45"/>
      <c r="AX786" s="56"/>
      <c r="AY786" s="56"/>
      <c r="AZ786" s="56"/>
      <c r="BA786" s="46"/>
      <c r="BB786" s="56"/>
      <c r="BC786" s="47"/>
      <c r="BD786" s="47"/>
      <c r="BE786" s="46"/>
      <c r="BG786" s="56"/>
      <c r="BH786" s="56"/>
      <c r="BI786" s="56"/>
      <c r="BJ786" s="56"/>
      <c r="BK786" s="56"/>
      <c r="BM786" s="56"/>
      <c r="BN786" s="56"/>
      <c r="BO786" s="56"/>
      <c r="BP786" s="56"/>
      <c r="BQ786" s="56"/>
    </row>
    <row r="787" spans="45:69">
      <c r="AV787" s="44"/>
      <c r="AW787" s="45"/>
      <c r="AX787" s="56"/>
      <c r="AY787" s="56"/>
      <c r="AZ787" s="56"/>
      <c r="BA787" s="46"/>
      <c r="BB787" s="56"/>
      <c r="BC787" s="47"/>
      <c r="BD787" s="47"/>
      <c r="BE787" s="46"/>
      <c r="BG787" s="56"/>
      <c r="BH787" s="56"/>
      <c r="BI787" s="56"/>
      <c r="BJ787" s="56"/>
      <c r="BK787" s="56"/>
      <c r="BM787" s="56"/>
      <c r="BN787" s="56"/>
      <c r="BO787" s="56"/>
      <c r="BP787" s="56"/>
      <c r="BQ787" s="56"/>
    </row>
    <row r="788" spans="45:69">
      <c r="AV788" s="44"/>
      <c r="AW788" s="45"/>
      <c r="AX788" s="56"/>
      <c r="AY788" s="56"/>
      <c r="AZ788" s="56"/>
      <c r="BA788" s="46"/>
      <c r="BB788" s="56"/>
      <c r="BC788" s="47"/>
      <c r="BD788" s="47"/>
      <c r="BE788" s="46"/>
      <c r="BG788" s="56"/>
      <c r="BH788" s="56"/>
      <c r="BI788" s="56"/>
      <c r="BJ788" s="56"/>
      <c r="BK788" s="56"/>
      <c r="BM788" s="56"/>
      <c r="BN788" s="56"/>
      <c r="BO788" s="56"/>
      <c r="BP788" s="56"/>
      <c r="BQ788" s="56"/>
    </row>
    <row r="789" spans="45:69">
      <c r="AV789" s="44"/>
      <c r="AW789" s="45"/>
      <c r="AX789" s="56"/>
      <c r="AY789" s="56"/>
      <c r="AZ789" s="56"/>
      <c r="BA789" s="46"/>
      <c r="BB789" s="56"/>
      <c r="BC789" s="47"/>
      <c r="BD789" s="47"/>
      <c r="BE789" s="46"/>
      <c r="BG789" s="56"/>
      <c r="BH789" s="56"/>
      <c r="BI789" s="56"/>
      <c r="BJ789" s="56"/>
      <c r="BK789" s="56"/>
      <c r="BM789" s="56"/>
      <c r="BN789" s="56"/>
      <c r="BO789" s="56"/>
      <c r="BP789" s="56"/>
      <c r="BQ789" s="56"/>
    </row>
    <row r="790" spans="45:69">
      <c r="AV790" s="44"/>
      <c r="AW790" s="45"/>
      <c r="AX790" s="56"/>
      <c r="AY790" s="56"/>
      <c r="AZ790" s="56"/>
      <c r="BA790" s="46"/>
      <c r="BB790" s="56"/>
      <c r="BC790" s="47"/>
      <c r="BD790" s="47"/>
      <c r="BE790" s="46"/>
      <c r="BG790" s="56"/>
      <c r="BH790" s="56"/>
      <c r="BI790" s="56"/>
      <c r="BJ790" s="56"/>
      <c r="BK790" s="56"/>
      <c r="BM790" s="56"/>
      <c r="BN790" s="56"/>
      <c r="BO790" s="56"/>
      <c r="BP790" s="56"/>
      <c r="BQ790" s="56"/>
    </row>
    <row r="791" spans="45:69">
      <c r="AV791" s="44"/>
      <c r="AW791" s="45"/>
      <c r="AX791" s="56"/>
      <c r="AY791" s="56"/>
      <c r="AZ791" s="56"/>
      <c r="BA791" s="46"/>
      <c r="BB791" s="56"/>
      <c r="BC791" s="47"/>
      <c r="BD791" s="47"/>
      <c r="BE791" s="46"/>
      <c r="BG791" s="56"/>
      <c r="BH791" s="56"/>
      <c r="BI791" s="56"/>
      <c r="BJ791" s="56"/>
      <c r="BK791" s="56"/>
      <c r="BM791" s="56"/>
      <c r="BN791" s="56"/>
      <c r="BO791" s="56"/>
      <c r="BP791" s="56"/>
      <c r="BQ791" s="56"/>
    </row>
    <row r="792" spans="45:69">
      <c r="AV792" s="44"/>
      <c r="AW792" s="45"/>
      <c r="AX792" s="56"/>
      <c r="AY792" s="56"/>
      <c r="AZ792" s="56"/>
      <c r="BA792" s="46"/>
      <c r="BB792" s="56"/>
      <c r="BC792" s="47"/>
      <c r="BD792" s="47"/>
      <c r="BE792" s="46"/>
      <c r="BG792" s="56"/>
      <c r="BH792" s="56"/>
      <c r="BI792" s="56"/>
      <c r="BJ792" s="56"/>
      <c r="BK792" s="56"/>
      <c r="BM792" s="56"/>
      <c r="BN792" s="56"/>
      <c r="BO792" s="56"/>
      <c r="BP792" s="56"/>
      <c r="BQ792" s="56"/>
    </row>
    <row r="793" spans="45:69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5:69">
      <c r="AY794" s="47"/>
      <c r="AZ794" s="56"/>
      <c r="BA794" s="46"/>
      <c r="BB794" s="56"/>
      <c r="BC794" s="47"/>
      <c r="BD794" s="47"/>
      <c r="BE794" s="46"/>
      <c r="BK794" s="56"/>
      <c r="BQ794" s="56"/>
    </row>
    <row r="795" spans="45:69">
      <c r="AU795" s="42"/>
      <c r="AZ795" s="56"/>
      <c r="BB795" s="56"/>
      <c r="BG795" s="56"/>
      <c r="BH795" s="56"/>
      <c r="BJ795" s="56"/>
      <c r="BK795" s="56"/>
    </row>
    <row r="796" spans="45:69">
      <c r="AZ796" s="56"/>
      <c r="BB796" s="56"/>
    </row>
    <row r="797" spans="45:69">
      <c r="AS797" s="42"/>
      <c r="AZ797" s="56"/>
      <c r="BB797" s="56"/>
      <c r="BI797" s="56"/>
    </row>
    <row r="798" spans="45:69">
      <c r="AZ798" s="56"/>
      <c r="BB798" s="56"/>
    </row>
    <row r="799" spans="45:69">
      <c r="AY799" s="56"/>
      <c r="BB799" s="56"/>
    </row>
    <row r="800" spans="45:69">
      <c r="AY800" s="42"/>
      <c r="AZ800" s="56"/>
      <c r="BB800" s="56"/>
    </row>
    <row r="801" spans="45:75">
      <c r="AY801" s="42"/>
      <c r="AZ801" s="56"/>
      <c r="BB801" s="56"/>
    </row>
    <row r="802" spans="45:75">
      <c r="AZ802" s="56"/>
      <c r="BB802" s="56"/>
      <c r="BD802" s="42"/>
    </row>
    <row r="803" spans="45:75">
      <c r="AZ803" s="56"/>
      <c r="BB803" s="56"/>
      <c r="BD803" s="42"/>
    </row>
    <row r="804" spans="45:75">
      <c r="AS804" s="42"/>
      <c r="AZ804" s="56"/>
      <c r="BB804" s="56"/>
      <c r="BD804" s="42"/>
    </row>
    <row r="805" spans="45:75">
      <c r="AZ805" s="56"/>
      <c r="BB805" s="56"/>
    </row>
    <row r="806" spans="45:75">
      <c r="AS806" s="49"/>
      <c r="AT806" s="49"/>
      <c r="AU806" s="49"/>
      <c r="AV806" s="49"/>
      <c r="AW806" s="49"/>
      <c r="AX806" s="49"/>
      <c r="AY806" s="49"/>
      <c r="AZ806" s="57"/>
      <c r="BA806" s="49"/>
      <c r="BB806" s="57"/>
      <c r="BC806" s="49"/>
      <c r="BD806" s="49"/>
      <c r="BE806" s="49"/>
    </row>
    <row r="807" spans="45:75">
      <c r="AX807" s="42"/>
      <c r="AZ807" s="56"/>
      <c r="BB807" s="56"/>
    </row>
    <row r="808" spans="45:75">
      <c r="AX808" s="49"/>
      <c r="AY808" s="49"/>
      <c r="AZ808" s="57"/>
      <c r="BA808" s="49"/>
      <c r="BB808" s="56"/>
      <c r="BC808" s="44"/>
      <c r="BD808" s="44"/>
    </row>
    <row r="809" spans="45:75">
      <c r="AV809" s="44"/>
      <c r="AW809" s="44"/>
      <c r="AZ809" s="58"/>
      <c r="BA809" s="44"/>
      <c r="BB809" s="56"/>
      <c r="BC809" s="44"/>
      <c r="BD809" s="44"/>
      <c r="BE809" s="44"/>
      <c r="BG809" s="49"/>
      <c r="BH809" s="49"/>
      <c r="BI809" s="42"/>
      <c r="BM809" s="49"/>
      <c r="BN809" s="49"/>
      <c r="BP809" s="49"/>
      <c r="BQ809" s="49"/>
      <c r="BR809" s="42"/>
      <c r="BV809" s="49"/>
      <c r="BW809" s="49"/>
    </row>
    <row r="810" spans="45:75">
      <c r="AV810" s="44"/>
      <c r="AW810" s="44"/>
      <c r="AX810" s="44"/>
      <c r="AY810" s="44"/>
      <c r="AZ810" s="58"/>
      <c r="BA810" s="44"/>
      <c r="BB810" s="58"/>
      <c r="BC810" s="44"/>
      <c r="BD810" s="44"/>
      <c r="BE810" s="44"/>
      <c r="BH810" s="44"/>
      <c r="BI810" s="44"/>
      <c r="BJ810" s="44"/>
      <c r="BK810" s="44"/>
      <c r="BL810" s="44"/>
      <c r="BM810" s="44"/>
      <c r="BQ810" s="44"/>
      <c r="BR810" s="44"/>
      <c r="BS810" s="44"/>
      <c r="BT810" s="44"/>
      <c r="BU810" s="44"/>
      <c r="BV810" s="44"/>
    </row>
    <row r="811" spans="45:75">
      <c r="AS811" s="44"/>
      <c r="AU811" s="42"/>
      <c r="AV811" s="44"/>
      <c r="AW811" s="44"/>
      <c r="AX811" s="44"/>
      <c r="AY811" s="44"/>
      <c r="AZ811" s="58"/>
      <c r="BA811" s="44"/>
      <c r="BB811" s="58"/>
      <c r="BC811" s="44"/>
      <c r="BD811" s="44"/>
      <c r="BE811" s="44"/>
      <c r="BG811" s="44"/>
      <c r="BH811" s="44"/>
      <c r="BI811" s="44"/>
      <c r="BJ811" s="44"/>
      <c r="BK811" s="44"/>
      <c r="BL811" s="44"/>
      <c r="BM811" s="44"/>
      <c r="BN811" s="44"/>
      <c r="BP811" s="44"/>
      <c r="BQ811" s="44"/>
      <c r="BR811" s="44"/>
      <c r="BS811" s="44"/>
      <c r="BT811" s="44"/>
      <c r="BU811" s="44"/>
      <c r="BV811" s="44"/>
      <c r="BW811" s="44"/>
    </row>
    <row r="812" spans="45:75">
      <c r="AS812" s="44"/>
      <c r="AU812" s="42"/>
      <c r="AV812" s="44"/>
      <c r="AW812" s="44"/>
      <c r="AX812" s="44"/>
      <c r="AY812" s="44"/>
      <c r="AZ812" s="58"/>
      <c r="BA812" s="44"/>
      <c r="BB812" s="58"/>
      <c r="BC812" s="44"/>
      <c r="BD812" s="44"/>
      <c r="BE812" s="44"/>
      <c r="BG812" s="44"/>
      <c r="BH812" s="44"/>
      <c r="BI812" s="44"/>
      <c r="BJ812" s="44"/>
      <c r="BK812" s="44"/>
      <c r="BL812" s="44"/>
      <c r="BM812" s="44"/>
      <c r="BN812" s="44"/>
      <c r="BP812" s="44"/>
      <c r="BQ812" s="44"/>
      <c r="BR812" s="44"/>
      <c r="BS812" s="44"/>
      <c r="BT812" s="44"/>
      <c r="BU812" s="44"/>
      <c r="BV812" s="44"/>
      <c r="BW812" s="44"/>
    </row>
    <row r="813" spans="45:75">
      <c r="AS813" s="49"/>
      <c r="AT813" s="49"/>
      <c r="AU813" s="49"/>
      <c r="AV813" s="49"/>
      <c r="AW813" s="49"/>
      <c r="AX813" s="49"/>
      <c r="AY813" s="49"/>
      <c r="AZ813" s="57"/>
      <c r="BA813" s="49"/>
      <c r="BB813" s="57"/>
      <c r="BC813" s="49"/>
      <c r="BD813" s="49"/>
      <c r="BE813" s="49"/>
      <c r="BG813" s="49"/>
      <c r="BH813" s="49"/>
      <c r="BI813" s="49"/>
      <c r="BJ813" s="49"/>
      <c r="BK813" s="49"/>
      <c r="BL813" s="49"/>
      <c r="BM813" s="49"/>
      <c r="BN813" s="49"/>
      <c r="BP813" s="49"/>
      <c r="BQ813" s="49"/>
      <c r="BR813" s="49"/>
      <c r="BS813" s="49"/>
      <c r="BT813" s="49"/>
      <c r="BU813" s="49"/>
      <c r="BV813" s="49"/>
      <c r="BW813" s="49"/>
    </row>
    <row r="814" spans="45:75">
      <c r="AV814" s="44"/>
      <c r="AW814" s="44"/>
      <c r="AX814" s="44"/>
      <c r="AY814" s="44"/>
      <c r="AZ814" s="58"/>
      <c r="BA814" s="44"/>
      <c r="BB814" s="58"/>
      <c r="BC814" s="44"/>
      <c r="BD814" s="44"/>
      <c r="BE814" s="44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</row>
    <row r="815" spans="45:75">
      <c r="AU815" s="42"/>
      <c r="AW815" s="45"/>
      <c r="AX815" s="56"/>
      <c r="AY815" s="56"/>
      <c r="AZ815" s="56"/>
      <c r="BA815" s="51"/>
      <c r="BB815" s="56"/>
      <c r="BC815" s="56"/>
      <c r="BD815" s="56"/>
      <c r="BE815" s="51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</row>
    <row r="816" spans="45:75">
      <c r="AW816" s="45"/>
      <c r="AX816" s="56"/>
      <c r="AY816" s="56"/>
      <c r="AZ816" s="56"/>
      <c r="BA816" s="51"/>
      <c r="BB816" s="56"/>
      <c r="BC816" s="56"/>
      <c r="BD816" s="56"/>
      <c r="BE816" s="51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</row>
    <row r="817" spans="49:75"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</row>
    <row r="818" spans="49:75"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</row>
    <row r="819" spans="49:75"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</row>
    <row r="820" spans="49:75"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</row>
    <row r="821" spans="49:75"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</row>
    <row r="822" spans="49:75"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</row>
    <row r="823" spans="49:75"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</row>
    <row r="824" spans="49:75"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</row>
    <row r="825" spans="49:75"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</row>
    <row r="826" spans="49:75"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</row>
    <row r="827" spans="49:75"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</row>
    <row r="828" spans="49:75"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</row>
    <row r="829" spans="49:75"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</row>
    <row r="830" spans="49:75"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9:75"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9:75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5:75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5:75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5:75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5:75">
      <c r="AW836" s="45"/>
      <c r="AX836" s="56"/>
      <c r="AY836" s="56"/>
      <c r="AZ836" s="56"/>
      <c r="BA836" s="51"/>
      <c r="BB836" s="56"/>
      <c r="BC836" s="56"/>
      <c r="BD836" s="56"/>
      <c r="BE836" s="51"/>
      <c r="BG836" s="49"/>
      <c r="BH836" s="49"/>
      <c r="BI836" s="42"/>
      <c r="BM836" s="49"/>
      <c r="BN836" s="49"/>
      <c r="BO836" s="56"/>
      <c r="BP836" s="49"/>
      <c r="BQ836" s="49"/>
      <c r="BR836" s="42"/>
      <c r="BV836" s="49"/>
      <c r="BW836" s="49"/>
    </row>
    <row r="837" spans="45:75">
      <c r="AU837" s="42"/>
      <c r="AV837" s="44"/>
      <c r="AW837" s="45"/>
      <c r="AX837" s="56"/>
      <c r="AY837" s="56"/>
      <c r="AZ837" s="56"/>
      <c r="BA837" s="51"/>
      <c r="BB837" s="56"/>
      <c r="BC837" s="56"/>
      <c r="BD837" s="56"/>
      <c r="BE837" s="51"/>
      <c r="BG837" s="58"/>
      <c r="BH837" s="56"/>
      <c r="BI837" s="56"/>
      <c r="BJ837" s="56"/>
      <c r="BK837" s="58"/>
      <c r="BL837" s="59"/>
      <c r="BM837" s="56"/>
      <c r="BN837" s="58"/>
      <c r="BO837" s="56"/>
      <c r="BP837" s="58"/>
      <c r="BQ837" s="56"/>
      <c r="BR837" s="56"/>
      <c r="BS837" s="56"/>
      <c r="BT837" s="58"/>
      <c r="BU837" s="59"/>
      <c r="BV837" s="56"/>
      <c r="BW837" s="58"/>
    </row>
    <row r="838" spans="45:75">
      <c r="AV838" s="44"/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9"/>
      <c r="BM838" s="56"/>
      <c r="BN838" s="56"/>
      <c r="BO838" s="56"/>
      <c r="BP838" s="56"/>
      <c r="BQ838" s="56"/>
      <c r="BR838" s="56"/>
      <c r="BS838" s="56"/>
      <c r="BT838" s="56"/>
      <c r="BU838" s="59"/>
      <c r="BV838" s="56"/>
      <c r="BW838" s="56"/>
    </row>
    <row r="839" spans="45:75">
      <c r="AV839" s="44"/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9"/>
      <c r="BM839" s="56"/>
      <c r="BN839" s="56"/>
      <c r="BO839" s="56"/>
      <c r="BP839" s="56"/>
      <c r="BQ839" s="56"/>
      <c r="BR839" s="56"/>
      <c r="BS839" s="56"/>
      <c r="BT839" s="56"/>
      <c r="BU839" s="59"/>
      <c r="BV839" s="56"/>
      <c r="BW839" s="56"/>
    </row>
    <row r="840" spans="45:75">
      <c r="AV840" s="44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9"/>
      <c r="BM840" s="56"/>
      <c r="BN840" s="56"/>
      <c r="BO840" s="56"/>
      <c r="BP840" s="56"/>
      <c r="BQ840" s="56"/>
      <c r="BR840" s="56"/>
      <c r="BS840" s="56"/>
      <c r="BT840" s="56"/>
      <c r="BU840" s="59"/>
      <c r="BV840" s="56"/>
      <c r="BW840" s="56"/>
    </row>
    <row r="841" spans="45:75"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</row>
    <row r="842" spans="45:75">
      <c r="AU842" s="42"/>
    </row>
    <row r="843" spans="45:75">
      <c r="AU843" s="42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</row>
    <row r="844" spans="45:75">
      <c r="AS844" s="42"/>
      <c r="AZ844" s="56"/>
      <c r="BB844" s="56"/>
    </row>
    <row r="845" spans="45:75">
      <c r="AZ845" s="56"/>
      <c r="BB845" s="56"/>
      <c r="BO845" s="56"/>
      <c r="BP845" s="56"/>
      <c r="BQ845" s="56"/>
      <c r="BR845" s="56"/>
      <c r="BS845" s="56"/>
      <c r="BT845" s="56"/>
      <c r="BU845" s="56"/>
      <c r="BV845" s="56"/>
    </row>
    <row r="846" spans="45:75">
      <c r="AY846" s="56"/>
      <c r="AZ846" s="56"/>
      <c r="BB846" s="56"/>
      <c r="BO846" s="56"/>
      <c r="BP846" s="56"/>
      <c r="BQ846" s="56"/>
      <c r="BR846" s="56"/>
      <c r="BS846" s="56"/>
      <c r="BT846" s="56"/>
      <c r="BU846" s="56"/>
      <c r="BV846" s="56"/>
    </row>
    <row r="847" spans="45:75">
      <c r="AY847" s="42"/>
      <c r="AZ847" s="56"/>
      <c r="BB847" s="56"/>
      <c r="BO847" s="56"/>
      <c r="BP847" s="56"/>
      <c r="BQ847" s="56"/>
      <c r="BR847" s="56"/>
      <c r="BS847" s="56"/>
      <c r="BT847" s="56"/>
      <c r="BU847" s="56"/>
      <c r="BV847" s="56"/>
    </row>
    <row r="848" spans="45:75">
      <c r="AY848" s="42"/>
      <c r="AZ848" s="56"/>
      <c r="BB848" s="56"/>
      <c r="BO848" s="56"/>
      <c r="BP848" s="56"/>
      <c r="BQ848" s="56"/>
      <c r="BR848" s="56"/>
      <c r="BS848" s="56"/>
      <c r="BT848" s="56"/>
      <c r="BU848" s="56"/>
      <c r="BV848" s="56"/>
    </row>
    <row r="849" spans="45:74">
      <c r="AZ849" s="56"/>
      <c r="BB849" s="56"/>
      <c r="BD849" s="42"/>
      <c r="BO849" s="56"/>
      <c r="BP849" s="56"/>
      <c r="BQ849" s="56"/>
      <c r="BR849" s="56"/>
      <c r="BS849" s="56"/>
      <c r="BT849" s="56"/>
      <c r="BU849" s="56"/>
      <c r="BV849" s="56"/>
    </row>
    <row r="850" spans="45:74">
      <c r="AZ850" s="56"/>
      <c r="BB850" s="56"/>
      <c r="BD850" s="42"/>
      <c r="BO850" s="56"/>
      <c r="BP850" s="56"/>
      <c r="BQ850" s="56"/>
      <c r="BR850" s="56"/>
      <c r="BS850" s="56"/>
      <c r="BT850" s="56"/>
      <c r="BU850" s="56"/>
      <c r="BV850" s="56"/>
    </row>
    <row r="851" spans="45:74">
      <c r="AS851" s="42"/>
      <c r="AZ851" s="56"/>
      <c r="BB851" s="56"/>
      <c r="BD851" s="42"/>
      <c r="BO851" s="56"/>
      <c r="BP851" s="56"/>
      <c r="BQ851" s="56"/>
      <c r="BR851" s="56"/>
      <c r="BS851" s="56"/>
      <c r="BT851" s="56"/>
      <c r="BU851" s="56"/>
      <c r="BV851" s="56"/>
    </row>
    <row r="852" spans="45:74">
      <c r="AZ852" s="56"/>
      <c r="BB852" s="56"/>
      <c r="BO852" s="56"/>
      <c r="BP852" s="56"/>
      <c r="BQ852" s="56"/>
      <c r="BR852" s="56"/>
      <c r="BS852" s="56"/>
      <c r="BT852" s="56"/>
      <c r="BU852" s="56"/>
      <c r="BV852" s="56"/>
    </row>
    <row r="853" spans="45:74">
      <c r="AS853" s="49"/>
      <c r="AT853" s="49"/>
      <c r="AU853" s="49"/>
      <c r="AV853" s="49"/>
      <c r="AW853" s="49"/>
      <c r="AX853" s="49"/>
      <c r="AY853" s="49"/>
      <c r="AZ853" s="57"/>
      <c r="BA853" s="49"/>
      <c r="BB853" s="57"/>
      <c r="BC853" s="49"/>
      <c r="BD853" s="49"/>
      <c r="BE853" s="49"/>
      <c r="BO853" s="56"/>
      <c r="BP853" s="56"/>
      <c r="BQ853" s="56"/>
      <c r="BR853" s="56"/>
      <c r="BS853" s="56"/>
      <c r="BT853" s="56"/>
      <c r="BU853" s="56"/>
      <c r="BV853" s="56"/>
    </row>
    <row r="854" spans="45:74">
      <c r="AX854" s="42"/>
      <c r="AZ854" s="56"/>
      <c r="BB854" s="56"/>
      <c r="BO854" s="56"/>
      <c r="BP854" s="56"/>
      <c r="BQ854" s="56"/>
      <c r="BR854" s="56"/>
      <c r="BS854" s="56"/>
      <c r="BT854" s="56"/>
      <c r="BU854" s="56"/>
      <c r="BV854" s="56"/>
    </row>
    <row r="855" spans="45:74">
      <c r="AX855" s="49"/>
      <c r="AY855" s="49"/>
      <c r="AZ855" s="57"/>
      <c r="BA855" s="49"/>
      <c r="BB855" s="56"/>
      <c r="BC855" s="44"/>
      <c r="BD855" s="44"/>
      <c r="BO855" s="56"/>
      <c r="BP855" s="56"/>
      <c r="BQ855" s="56"/>
      <c r="BR855" s="56"/>
      <c r="BS855" s="56"/>
      <c r="BT855" s="56"/>
      <c r="BU855" s="56"/>
      <c r="BV855" s="56"/>
    </row>
    <row r="856" spans="45:74">
      <c r="AV856" s="44"/>
      <c r="AW856" s="44"/>
      <c r="AZ856" s="58"/>
      <c r="BA856" s="44"/>
      <c r="BB856" s="56"/>
      <c r="BC856" s="44"/>
      <c r="BD856" s="44"/>
      <c r="BE856" s="44"/>
      <c r="BG856" s="49"/>
      <c r="BH856" s="42"/>
      <c r="BK856" s="49"/>
      <c r="BM856" s="49"/>
      <c r="BN856" s="42"/>
      <c r="BQ856" s="49"/>
    </row>
    <row r="857" spans="45:74">
      <c r="AV857" s="44"/>
      <c r="AW857" s="44"/>
      <c r="AX857" s="44"/>
      <c r="AY857" s="44"/>
      <c r="AZ857" s="58"/>
      <c r="BA857" s="44"/>
      <c r="BB857" s="58"/>
      <c r="BC857" s="44"/>
      <c r="BD857" s="44"/>
      <c r="BE857" s="44"/>
      <c r="BH857" s="44"/>
      <c r="BI857" s="44"/>
      <c r="BN857" s="44"/>
      <c r="BO857" s="44"/>
    </row>
    <row r="858" spans="45:74">
      <c r="AS858" s="44"/>
      <c r="AU858" s="42"/>
      <c r="AV858" s="44"/>
      <c r="AW858" s="44"/>
      <c r="AX858" s="44"/>
      <c r="AY858" s="44"/>
      <c r="AZ858" s="58"/>
      <c r="BA858" s="44"/>
      <c r="BB858" s="58"/>
      <c r="BC858" s="44"/>
      <c r="BD858" s="44"/>
      <c r="BE858" s="44"/>
      <c r="BG858" s="44"/>
      <c r="BH858" s="44"/>
      <c r="BI858" s="44"/>
      <c r="BJ858" s="44"/>
      <c r="BK858" s="44"/>
      <c r="BM858" s="44"/>
      <c r="BN858" s="44"/>
      <c r="BO858" s="44"/>
      <c r="BP858" s="44"/>
      <c r="BQ858" s="44"/>
    </row>
    <row r="859" spans="45:74">
      <c r="AS859" s="44"/>
      <c r="AU859" s="42"/>
      <c r="AV859" s="44"/>
      <c r="AW859" s="44"/>
      <c r="AX859" s="44"/>
      <c r="AY859" s="44"/>
      <c r="AZ859" s="58"/>
      <c r="BA859" s="44"/>
      <c r="BB859" s="58"/>
      <c r="BC859" s="44"/>
      <c r="BD859" s="44"/>
      <c r="BE859" s="44"/>
      <c r="BG859" s="44"/>
      <c r="BH859" s="44"/>
      <c r="BI859" s="44"/>
      <c r="BJ859" s="44"/>
      <c r="BK859" s="44"/>
      <c r="BM859" s="44"/>
      <c r="BN859" s="44"/>
      <c r="BO859" s="44"/>
      <c r="BP859" s="44"/>
      <c r="BQ859" s="44"/>
    </row>
    <row r="860" spans="45:74">
      <c r="AS860" s="49"/>
      <c r="AT860" s="49"/>
      <c r="AU860" s="49"/>
      <c r="AV860" s="49"/>
      <c r="AW860" s="49"/>
      <c r="AX860" s="49"/>
      <c r="AY860" s="49"/>
      <c r="AZ860" s="57"/>
      <c r="BA860" s="49"/>
      <c r="BB860" s="57"/>
      <c r="BC860" s="49"/>
      <c r="BD860" s="49"/>
      <c r="BE860" s="49"/>
      <c r="BG860" s="49"/>
      <c r="BH860" s="49"/>
      <c r="BI860" s="49"/>
      <c r="BJ860" s="49"/>
      <c r="BK860" s="49"/>
      <c r="BM860" s="49"/>
      <c r="BN860" s="49"/>
      <c r="BO860" s="49"/>
      <c r="BP860" s="49"/>
      <c r="BQ860" s="49"/>
    </row>
    <row r="861" spans="45:74">
      <c r="AV861" s="44"/>
      <c r="AW861" s="44"/>
      <c r="AX861" s="44"/>
      <c r="AY861" s="44"/>
      <c r="AZ861" s="58"/>
      <c r="BA861" s="44"/>
      <c r="BB861" s="58"/>
      <c r="BC861" s="44"/>
      <c r="BD861" s="44"/>
      <c r="BE861" s="44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</row>
    <row r="862" spans="45:74">
      <c r="AT862" s="42"/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</row>
    <row r="863" spans="45:74">
      <c r="AV863" s="45"/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</row>
    <row r="864" spans="45:74">
      <c r="AV864" s="45"/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</row>
    <row r="865" spans="48:71"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</row>
    <row r="866" spans="48:71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</row>
    <row r="867" spans="48:71">
      <c r="AV867" s="45"/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</row>
    <row r="868" spans="48:71"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</row>
    <row r="869" spans="48:71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</row>
    <row r="870" spans="48:71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</row>
    <row r="871" spans="48:71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</row>
    <row r="872" spans="48:71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</row>
    <row r="873" spans="48:71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</row>
    <row r="874" spans="48:71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</row>
    <row r="875" spans="48:71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</row>
    <row r="876" spans="48:71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</row>
    <row r="877" spans="48:71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</row>
    <row r="878" spans="48:71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8:71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8:71">
      <c r="AZ880" s="56"/>
      <c r="BB880" s="56"/>
      <c r="BC880" s="56"/>
      <c r="BD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6:57">
      <c r="AT881" s="42"/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</row>
    <row r="882" spans="46:57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6:57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6:57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6:57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6:57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6:57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6:57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6:57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6:57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6:57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6:57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6:57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6:57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6:57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57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5:57">
      <c r="BB899" s="56"/>
    </row>
    <row r="900" spans="45:57">
      <c r="AU900" s="42"/>
      <c r="BB900" s="56"/>
    </row>
    <row r="901" spans="45:57">
      <c r="AU901" s="42"/>
    </row>
    <row r="902" spans="45:57">
      <c r="AU902" s="42"/>
      <c r="BB902" s="56"/>
    </row>
    <row r="903" spans="45:57">
      <c r="AS903" s="42"/>
      <c r="AZ903" s="56"/>
      <c r="BB903" s="56"/>
    </row>
    <row r="904" spans="45:57">
      <c r="AZ904" s="56"/>
      <c r="BB904" s="56"/>
    </row>
    <row r="905" spans="45:57">
      <c r="AY905" s="56"/>
      <c r="AZ905" s="56"/>
      <c r="BB905" s="56"/>
    </row>
    <row r="906" spans="45:57">
      <c r="AY906" s="42"/>
      <c r="AZ906" s="56"/>
      <c r="BB906" s="56"/>
    </row>
    <row r="907" spans="45:57">
      <c r="AY907" s="42"/>
      <c r="AZ907" s="56"/>
      <c r="BB907" s="56"/>
    </row>
    <row r="908" spans="45:57">
      <c r="AZ908" s="56"/>
      <c r="BB908" s="56"/>
      <c r="BD908" s="42"/>
    </row>
    <row r="909" spans="45:57">
      <c r="AZ909" s="56"/>
      <c r="BB909" s="56"/>
      <c r="BD909" s="42"/>
    </row>
    <row r="910" spans="45:57">
      <c r="AS910" s="42"/>
      <c r="AZ910" s="56"/>
      <c r="BB910" s="56"/>
      <c r="BD910" s="42"/>
    </row>
    <row r="911" spans="45:57">
      <c r="AZ911" s="56"/>
      <c r="BB911" s="56"/>
    </row>
    <row r="912" spans="45:57">
      <c r="AS912" s="49"/>
      <c r="AT912" s="49"/>
      <c r="AU912" s="49"/>
      <c r="AV912" s="49"/>
      <c r="AW912" s="49"/>
      <c r="AX912" s="49"/>
      <c r="AY912" s="49"/>
      <c r="AZ912" s="57"/>
      <c r="BA912" s="49"/>
      <c r="BB912" s="57"/>
      <c r="BC912" s="49"/>
      <c r="BD912" s="49"/>
      <c r="BE912" s="49"/>
    </row>
    <row r="913" spans="45:57">
      <c r="AX913" s="42"/>
      <c r="AZ913" s="56"/>
      <c r="BB913" s="56"/>
    </row>
    <row r="914" spans="45:57">
      <c r="AX914" s="49"/>
      <c r="AY914" s="49"/>
      <c r="AZ914" s="57"/>
      <c r="BA914" s="49"/>
      <c r="BB914" s="56"/>
      <c r="BC914" s="44"/>
      <c r="BD914" s="44"/>
    </row>
    <row r="915" spans="45:57">
      <c r="AV915" s="44"/>
      <c r="AW915" s="44"/>
      <c r="AZ915" s="58"/>
      <c r="BA915" s="44"/>
      <c r="BB915" s="56"/>
      <c r="BC915" s="44"/>
      <c r="BD915" s="44"/>
      <c r="BE915" s="44"/>
    </row>
    <row r="916" spans="45:57">
      <c r="AV916" s="44"/>
      <c r="AW916" s="44"/>
      <c r="AX916" s="44"/>
      <c r="AY916" s="44"/>
      <c r="AZ916" s="58"/>
      <c r="BA916" s="44"/>
      <c r="BB916" s="58"/>
      <c r="BC916" s="44"/>
      <c r="BD916" s="44"/>
      <c r="BE916" s="44"/>
    </row>
    <row r="917" spans="45:57">
      <c r="AS917" s="44"/>
      <c r="AU917" s="42"/>
      <c r="AV917" s="44"/>
      <c r="AW917" s="44"/>
      <c r="AX917" s="44"/>
      <c r="AY917" s="44"/>
      <c r="AZ917" s="58"/>
      <c r="BA917" s="44"/>
      <c r="BB917" s="58"/>
      <c r="BC917" s="44"/>
      <c r="BD917" s="44"/>
      <c r="BE917" s="44"/>
    </row>
    <row r="918" spans="45:57">
      <c r="AS918" s="44"/>
      <c r="AU918" s="42"/>
      <c r="AV918" s="44"/>
      <c r="AW918" s="44"/>
      <c r="AX918" s="44"/>
      <c r="AY918" s="44"/>
      <c r="AZ918" s="58"/>
      <c r="BA918" s="44"/>
      <c r="BB918" s="58"/>
      <c r="BC918" s="44"/>
      <c r="BD918" s="44"/>
      <c r="BE918" s="44"/>
    </row>
    <row r="919" spans="45:57">
      <c r="AS919" s="49"/>
      <c r="AT919" s="49"/>
      <c r="AU919" s="49"/>
      <c r="AV919" s="49"/>
      <c r="AW919" s="49"/>
      <c r="AX919" s="49"/>
      <c r="AY919" s="49"/>
      <c r="AZ919" s="57"/>
      <c r="BA919" s="49"/>
      <c r="BB919" s="57"/>
      <c r="BC919" s="49"/>
      <c r="BD919" s="49"/>
      <c r="BE919" s="49"/>
    </row>
    <row r="920" spans="45:57">
      <c r="AV920" s="44"/>
      <c r="AW920" s="44"/>
      <c r="AX920" s="44"/>
      <c r="AY920" s="44"/>
      <c r="AZ920" s="58"/>
      <c r="BA920" s="44"/>
      <c r="BB920" s="58"/>
      <c r="BC920" s="44"/>
      <c r="BD920" s="44"/>
      <c r="BE920" s="44"/>
    </row>
    <row r="921" spans="45:57">
      <c r="AT921" s="42"/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</row>
    <row r="922" spans="45:57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</row>
    <row r="923" spans="45:57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</row>
    <row r="924" spans="45:57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</row>
    <row r="925" spans="45:57">
      <c r="AV925" s="45"/>
      <c r="AW925" s="45"/>
      <c r="AX925" s="56"/>
      <c r="AY925" s="56"/>
      <c r="AZ925" s="56"/>
      <c r="BA925" s="51"/>
      <c r="BB925" s="56"/>
      <c r="BC925" s="56"/>
      <c r="BD925" s="56"/>
      <c r="BE925" s="51"/>
    </row>
    <row r="926" spans="45:57"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5:57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5:57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6:57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6:57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6:57">
      <c r="AV931" s="45"/>
      <c r="AW931" s="45"/>
      <c r="BB931" s="56"/>
    </row>
    <row r="932" spans="46:57">
      <c r="AT932" s="42"/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6:57">
      <c r="AV933" s="45"/>
      <c r="AW933" s="45"/>
      <c r="AX933" s="56"/>
      <c r="AY933" s="56"/>
      <c r="AZ933" s="56"/>
      <c r="BA933" s="51"/>
      <c r="BB933" s="56"/>
      <c r="BC933" s="56"/>
      <c r="BD933" s="56"/>
      <c r="BE933" s="51"/>
    </row>
    <row r="934" spans="46:57"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6:57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6:57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6:57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6:57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6:57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6:57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6:57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3" spans="46:57">
      <c r="AU943" s="42"/>
    </row>
    <row r="944" spans="46:57">
      <c r="AU944" s="42"/>
    </row>
    <row r="945" spans="45:47">
      <c r="AU945" s="42"/>
    </row>
    <row r="946" spans="45:47">
      <c r="AS946" s="42"/>
    </row>
    <row r="967" spans="52:71">
      <c r="AZ967" s="56"/>
      <c r="BB967" s="56"/>
      <c r="BC967" s="56"/>
      <c r="BD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</row>
    <row r="968" spans="52:71">
      <c r="AZ968" s="56"/>
      <c r="BB968" s="56"/>
      <c r="BC968" s="56"/>
      <c r="BD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</row>
    <row r="969" spans="52:71">
      <c r="AZ969" s="56"/>
      <c r="BB969" s="56"/>
      <c r="BC969" s="56"/>
      <c r="BD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</row>
    <row r="970" spans="52:71">
      <c r="AZ970" s="56"/>
      <c r="BB970" s="56"/>
      <c r="BC970" s="56"/>
      <c r="BD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</row>
    <row r="971" spans="52:71">
      <c r="AZ971" s="56"/>
      <c r="BB971" s="56"/>
      <c r="BC971" s="56"/>
      <c r="BD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</row>
    <row r="972" spans="52:71">
      <c r="AZ972" s="56"/>
      <c r="BB972" s="56"/>
      <c r="BC972" s="56"/>
      <c r="BD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</row>
    <row r="973" spans="52:71">
      <c r="AZ973" s="56"/>
      <c r="BB973" s="56"/>
      <c r="BC973" s="56"/>
      <c r="BD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</row>
    <row r="974" spans="52:71">
      <c r="AZ974" s="56"/>
      <c r="BB974" s="56"/>
      <c r="BC974" s="56"/>
      <c r="BD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</row>
    <row r="975" spans="52:71">
      <c r="AZ975" s="56"/>
      <c r="BB975" s="56"/>
      <c r="BC975" s="56"/>
      <c r="BD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</row>
    <row r="976" spans="52:71">
      <c r="AZ976" s="56"/>
      <c r="BB976" s="56"/>
      <c r="BC976" s="56"/>
      <c r="BD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</row>
    <row r="977" spans="52:71">
      <c r="AZ977" s="56"/>
      <c r="BB977" s="56"/>
      <c r="BC977" s="56"/>
      <c r="BD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</row>
    <row r="978" spans="52:71">
      <c r="AZ978" s="56"/>
      <c r="BB978" s="56"/>
      <c r="BC978" s="56"/>
      <c r="BD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</row>
    <row r="979" spans="52:71">
      <c r="AZ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</row>
    <row r="980" spans="52:71">
      <c r="AZ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</row>
    <row r="981" spans="52:71">
      <c r="AZ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</row>
    <row r="982" spans="52:71">
      <c r="AZ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</row>
    <row r="983" spans="52:71">
      <c r="AZ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>
      <c r="AZ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>
      <c r="AZ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>
      <c r="AZ986" s="56"/>
    </row>
    <row r="987" spans="52:71">
      <c r="AZ987" s="56"/>
    </row>
    <row r="1001" spans="1:28">
      <c r="A1001" s="42"/>
    </row>
    <row r="1004" spans="1:28">
      <c r="Y1004" s="42"/>
    </row>
    <row r="1005" spans="1:28">
      <c r="A1005" s="42"/>
      <c r="H1005" s="42"/>
      <c r="I1005" s="42"/>
    </row>
    <row r="1006" spans="1:28">
      <c r="A1006" s="42"/>
      <c r="V1006" s="44"/>
      <c r="AA1006" s="44"/>
      <c r="AB1006" s="44"/>
    </row>
    <row r="1007" spans="1:28">
      <c r="A1007" s="42"/>
      <c r="V1007" s="49"/>
      <c r="AA1007" s="49"/>
      <c r="AB1007" s="49"/>
    </row>
    <row r="1008" spans="1:28">
      <c r="A1008" s="42"/>
      <c r="U1008" s="42"/>
      <c r="AA1008" s="44"/>
      <c r="AB1008" s="44"/>
    </row>
    <row r="1009" spans="1:28">
      <c r="A1009" s="42"/>
    </row>
    <row r="1010" spans="1:28">
      <c r="A1010" s="42"/>
      <c r="U1010" s="42"/>
      <c r="AA1010" s="44"/>
      <c r="AB1010" s="44"/>
    </row>
    <row r="1011" spans="1:28">
      <c r="A1011" s="42"/>
    </row>
    <row r="1012" spans="1:28">
      <c r="A1012" s="42"/>
      <c r="U1012" s="42"/>
      <c r="V1012" s="339"/>
      <c r="AA1012" s="44"/>
      <c r="AB1012" s="44"/>
    </row>
    <row r="1013" spans="1:28">
      <c r="A1013" s="42"/>
    </row>
    <row r="1014" spans="1:28">
      <c r="A1014" s="42"/>
      <c r="U1014" s="42"/>
      <c r="AA1014" s="44"/>
      <c r="AB1014" s="44"/>
    </row>
    <row r="1015" spans="1:28">
      <c r="A1015" s="42"/>
    </row>
    <row r="1016" spans="1:28">
      <c r="A1016" s="42"/>
      <c r="U1016" s="42"/>
      <c r="AA1016" s="44"/>
      <c r="AB1016" s="44"/>
    </row>
    <row r="1017" spans="1:28">
      <c r="A1017" s="42"/>
    </row>
    <row r="1018" spans="1:28">
      <c r="A1018" s="42"/>
    </row>
    <row r="1019" spans="1:28">
      <c r="A1019" s="42"/>
    </row>
    <row r="1020" spans="1:28">
      <c r="A1020" s="42"/>
    </row>
    <row r="1021" spans="1:28">
      <c r="A1021" s="42"/>
    </row>
    <row r="1022" spans="1:28">
      <c r="A1022" s="42"/>
    </row>
    <row r="1023" spans="1:28">
      <c r="A1023" s="42"/>
    </row>
    <row r="1024" spans="1:28">
      <c r="A1024" s="42"/>
    </row>
    <row r="1025" spans="1:9">
      <c r="A1025" s="42"/>
    </row>
    <row r="1026" spans="1:9">
      <c r="A1026" s="42"/>
    </row>
    <row r="1027" spans="1:9">
      <c r="A1027" s="42"/>
      <c r="H1027" s="42"/>
      <c r="I1027" s="42"/>
    </row>
    <row r="1030" spans="1:9">
      <c r="A1030" s="42"/>
    </row>
    <row r="1033" spans="1:9">
      <c r="A1033" s="42"/>
    </row>
    <row r="1036" spans="1:9">
      <c r="A1036" s="42"/>
    </row>
    <row r="1037" spans="1:9">
      <c r="A1037" s="42"/>
    </row>
    <row r="1038" spans="1:9">
      <c r="A1038" s="42"/>
    </row>
    <row r="1039" spans="1:9">
      <c r="A1039" s="42"/>
    </row>
    <row r="1040" spans="1:9">
      <c r="A1040" s="42"/>
    </row>
    <row r="1041" spans="1:1">
      <c r="A1041" s="42"/>
    </row>
    <row r="1042" spans="1:1">
      <c r="A1042" s="42"/>
    </row>
    <row r="1043" spans="1:1">
      <c r="A1043" s="42"/>
    </row>
    <row r="1044" spans="1:1">
      <c r="A1044" s="42"/>
    </row>
    <row r="1045" spans="1:1">
      <c r="A1045" s="42"/>
    </row>
    <row r="1046" spans="1:1">
      <c r="A1046" s="42"/>
    </row>
    <row r="1047" spans="1:1">
      <c r="A1047" s="42"/>
    </row>
    <row r="1048" spans="1:1">
      <c r="A1048" s="42"/>
    </row>
    <row r="1049" spans="1:1">
      <c r="A1049" s="42"/>
    </row>
    <row r="1050" spans="1:1">
      <c r="A1050" s="42"/>
    </row>
    <row r="1051" spans="1:1">
      <c r="A1051" s="42"/>
    </row>
    <row r="1052" spans="1:1">
      <c r="A1052" s="42"/>
    </row>
    <row r="1053" spans="1:1">
      <c r="A1053" s="42"/>
    </row>
    <row r="1054" spans="1:1">
      <c r="A1054" s="42"/>
    </row>
    <row r="1055" spans="1:1">
      <c r="A1055" s="42"/>
    </row>
    <row r="1056" spans="1:1">
      <c r="A1056" s="42"/>
    </row>
    <row r="1057" spans="1:1">
      <c r="A1057" s="42"/>
    </row>
    <row r="1058" spans="1:1">
      <c r="A1058" s="42"/>
    </row>
    <row r="1059" spans="1:1">
      <c r="A1059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  <row r="1064" spans="1:1">
      <c r="A1064" s="42"/>
    </row>
    <row r="1065" spans="1:1">
      <c r="A1065" s="42"/>
    </row>
    <row r="1066" spans="1:1">
      <c r="A1066" s="42"/>
    </row>
    <row r="1067" spans="1:1">
      <c r="A1067" s="42"/>
    </row>
    <row r="1068" spans="1:1">
      <c r="A1068" s="42"/>
    </row>
    <row r="1069" spans="1:1">
      <c r="A1069" s="42"/>
    </row>
    <row r="1070" spans="1:1">
      <c r="A1070" s="42"/>
    </row>
    <row r="1075" spans="1:1">
      <c r="A1075" s="42"/>
    </row>
    <row r="1076" spans="1:1">
      <c r="A1076" s="42"/>
    </row>
    <row r="1079" spans="1:1">
      <c r="A1079" s="42"/>
    </row>
    <row r="1081" spans="1:1">
      <c r="A1081" s="42"/>
    </row>
    <row r="1083" spans="1:1">
      <c r="A1083" s="42"/>
    </row>
    <row r="1085" spans="1:1">
      <c r="A1085" s="42"/>
    </row>
    <row r="1088" spans="1:1">
      <c r="A1088" s="42"/>
    </row>
    <row r="1089" spans="1:1">
      <c r="A1089" s="42"/>
    </row>
    <row r="1090" spans="1:1">
      <c r="A1090" s="42"/>
    </row>
    <row r="1091" spans="1:1">
      <c r="A1091" s="42"/>
    </row>
    <row r="1092" spans="1:1">
      <c r="A1092" s="42"/>
    </row>
    <row r="1093" spans="1:1">
      <c r="A1093" s="42"/>
    </row>
    <row r="1094" spans="1:1">
      <c r="A1094" s="42"/>
    </row>
    <row r="1095" spans="1:1">
      <c r="A1095" s="42"/>
    </row>
  </sheetData>
  <customSheetViews>
    <customSheetView guid="{F562D92E-120C-4AE9-9663-89E64D41DC53}" scale="75" fitToPage="1" topLeftCell="A4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"/>
      <headerFooter alignWithMargins="0"/>
    </customSheetView>
    <customSheetView guid="{35F19056-2E6F-4935-B863-78836FE990BF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2"/>
      <headerFooter alignWithMargins="0"/>
    </customSheetView>
    <customSheetView guid="{18BDED73-BFA0-442E-87EC-CED86EE4CF94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9"/>
      <headerFooter alignWithMargins="0"/>
    </customSheetView>
    <customSheetView guid="{4BC93440-BA85-4935-A8C9-66DC6AE5DE5E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10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2" type="noConversion"/>
  <pageMargins left="0.5" right="0.5" top="1" bottom="0" header="0" footer="0"/>
  <pageSetup scale="50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pageSetUpPr fitToPage="1"/>
  </sheetPr>
  <dimension ref="A1:X65"/>
  <sheetViews>
    <sheetView workbookViewId="0"/>
  </sheetViews>
  <sheetFormatPr defaultColWidth="8.8984375" defaultRowHeight="14.25"/>
  <cols>
    <col min="1" max="1" width="42.59765625" style="263" bestFit="1" customWidth="1"/>
    <col min="2" max="2" width="14.09765625" style="263" customWidth="1"/>
    <col min="3" max="3" width="12.69921875" style="263" customWidth="1"/>
    <col min="4" max="4" width="12" style="263" bestFit="1" customWidth="1"/>
    <col min="5" max="5" width="11.69921875" style="263" customWidth="1"/>
    <col min="6" max="6" width="1.69921875" style="263" customWidth="1"/>
    <col min="7" max="7" width="11.8984375" style="263" customWidth="1"/>
    <col min="8" max="10" width="11" style="263" bestFit="1" customWidth="1"/>
    <col min="11" max="11" width="13.09765625" style="263" customWidth="1"/>
    <col min="12" max="12" width="14.09765625" style="263" customWidth="1"/>
    <col min="13" max="13" width="12.09765625" style="263" bestFit="1" customWidth="1"/>
    <col min="14" max="14" width="10.69921875" style="263" bestFit="1" customWidth="1"/>
    <col min="15" max="15" width="10" style="263" bestFit="1" customWidth="1"/>
    <col min="16" max="16" width="10.69921875" style="263" bestFit="1" customWidth="1"/>
    <col min="17" max="17" width="8.8984375" style="263"/>
    <col min="18" max="18" width="10.69921875" style="263" bestFit="1" customWidth="1"/>
    <col min="19" max="19" width="10" style="263" bestFit="1" customWidth="1"/>
    <col min="20" max="20" width="9.296875" style="263" bestFit="1" customWidth="1"/>
    <col min="21" max="22" width="11" style="263" bestFit="1" customWidth="1"/>
    <col min="23" max="16384" width="8.8984375" style="263"/>
  </cols>
  <sheetData>
    <row r="1" spans="1:24">
      <c r="A1" s="263" t="s">
        <v>972</v>
      </c>
      <c r="H1" s="286">
        <f>H6-H38</f>
        <v>18985</v>
      </c>
    </row>
    <row r="2" spans="1:24">
      <c r="B2" s="266" t="s">
        <v>1124</v>
      </c>
      <c r="C2" s="266"/>
      <c r="D2" s="266"/>
      <c r="E2" s="266"/>
      <c r="G2" s="266"/>
      <c r="H2" s="266"/>
      <c r="I2" s="266"/>
      <c r="J2" s="266"/>
      <c r="K2" s="266"/>
      <c r="L2" s="270" t="s">
        <v>542</v>
      </c>
    </row>
    <row r="3" spans="1:24">
      <c r="B3" s="267" t="s">
        <v>542</v>
      </c>
      <c r="C3" s="268" t="s">
        <v>847</v>
      </c>
      <c r="D3" s="268"/>
      <c r="E3" s="268"/>
      <c r="G3" s="269" t="s">
        <v>849</v>
      </c>
      <c r="H3" s="269"/>
      <c r="I3" s="269"/>
      <c r="J3" s="269"/>
      <c r="K3" s="269"/>
      <c r="L3" s="271" t="s">
        <v>850</v>
      </c>
      <c r="N3" s="263" t="s">
        <v>1116</v>
      </c>
      <c r="O3" s="263" t="s">
        <v>1117</v>
      </c>
      <c r="P3" s="263" t="s">
        <v>1118</v>
      </c>
      <c r="Q3" s="263" t="s">
        <v>1119</v>
      </c>
      <c r="S3" s="263" t="s">
        <v>1120</v>
      </c>
    </row>
    <row r="4" spans="1:24">
      <c r="B4" s="272" t="s">
        <v>846</v>
      </c>
      <c r="C4" s="272" t="s">
        <v>833</v>
      </c>
      <c r="D4" s="272" t="s">
        <v>841</v>
      </c>
      <c r="E4" s="272" t="s">
        <v>542</v>
      </c>
      <c r="F4" s="272"/>
      <c r="G4" s="273" t="s">
        <v>845</v>
      </c>
      <c r="H4" s="273" t="s">
        <v>844</v>
      </c>
      <c r="I4" s="273" t="s">
        <v>843</v>
      </c>
      <c r="J4" s="273" t="s">
        <v>842</v>
      </c>
      <c r="K4" s="273" t="s">
        <v>542</v>
      </c>
      <c r="L4" s="272" t="s">
        <v>847</v>
      </c>
    </row>
    <row r="5" spans="1:24">
      <c r="B5" s="272"/>
      <c r="C5" s="272"/>
      <c r="D5" s="272"/>
      <c r="E5" s="272"/>
      <c r="F5" s="272"/>
      <c r="G5" s="273"/>
      <c r="H5" s="273"/>
      <c r="I5" s="273"/>
      <c r="J5" s="273"/>
      <c r="K5" s="273"/>
      <c r="L5" s="272"/>
    </row>
    <row r="6" spans="1:24" ht="15.75">
      <c r="A6" s="263" t="s">
        <v>52</v>
      </c>
      <c r="B6" s="264">
        <f>+'SCH M'!E21</f>
        <v>205065246</v>
      </c>
      <c r="C6" s="264">
        <f>+'SCH M-2.1'!H20*CUR_BASE_FUEL</f>
        <v>51606694.166339993</v>
      </c>
      <c r="D6" s="264">
        <f>+'SCH M-2.1'!P20</f>
        <v>5327517</v>
      </c>
      <c r="E6" s="264">
        <f>+C6+D6</f>
        <v>56934211.166339993</v>
      </c>
      <c r="F6" s="264"/>
      <c r="G6" s="264">
        <f>+'Rate RS'!AN72</f>
        <v>506997</v>
      </c>
      <c r="H6" s="264">
        <f>+'Rate RS'!AN74</f>
        <v>860063</v>
      </c>
      <c r="I6" s="264">
        <f>+'Rate RS'!AN73</f>
        <v>2065490</v>
      </c>
      <c r="J6" s="264">
        <f>+'Rate RS'!AN76</f>
        <v>3781130</v>
      </c>
      <c r="K6" s="264">
        <f>SUM(G6:J6)</f>
        <v>7213680</v>
      </c>
      <c r="L6" s="264">
        <f>+B6-E6-K6</f>
        <v>140917354.83366001</v>
      </c>
      <c r="M6" s="264"/>
      <c r="N6" s="264">
        <v>0</v>
      </c>
      <c r="O6" s="264"/>
      <c r="P6" s="264"/>
      <c r="Q6" s="264"/>
      <c r="R6" s="264"/>
      <c r="S6" s="264"/>
      <c r="T6" s="264"/>
      <c r="U6" s="264"/>
      <c r="V6" s="264"/>
      <c r="W6" s="286"/>
      <c r="X6" s="286"/>
    </row>
    <row r="7" spans="1:24" ht="15.75"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86"/>
      <c r="X7" s="286"/>
    </row>
    <row r="8" spans="1:24" ht="15.75">
      <c r="A8" s="263" t="s">
        <v>91</v>
      </c>
      <c r="B8" s="264">
        <f>+'SCH M'!E26</f>
        <v>136119148</v>
      </c>
      <c r="C8" s="264">
        <f>+'SCH M-2.1'!H22*CUR_BASE_FUEL</f>
        <v>37068243.938939996</v>
      </c>
      <c r="D8" s="264">
        <f>+'SCH M-2.1'!P22</f>
        <v>3826668</v>
      </c>
      <c r="E8" s="264">
        <f t="shared" ref="E8:E27" si="0">+C8+D8</f>
        <v>40894911.938939996</v>
      </c>
      <c r="F8" s="264"/>
      <c r="G8" s="264"/>
      <c r="H8" s="264">
        <f>+'Rate DS'!AO101</f>
        <v>614411</v>
      </c>
      <c r="I8" s="264">
        <f>+'Rate DS'!AO100</f>
        <v>3843992</v>
      </c>
      <c r="J8" s="264">
        <f>+'Rate DS'!AO103</f>
        <v>2715924</v>
      </c>
      <c r="K8" s="264">
        <f t="shared" ref="K8:K25" si="1">SUM(G8:J8)</f>
        <v>7174327</v>
      </c>
      <c r="L8" s="264">
        <f t="shared" ref="L8:L27" si="2">+B8-E8-K8</f>
        <v>88049909.061060011</v>
      </c>
      <c r="M8" s="264"/>
      <c r="N8" s="264">
        <f>'Rate DS'!AA87</f>
        <v>2641511</v>
      </c>
      <c r="O8" s="264">
        <v>2481303</v>
      </c>
      <c r="P8" s="264">
        <f>N8-O8</f>
        <v>160208</v>
      </c>
      <c r="Q8" s="291">
        <v>10.68</v>
      </c>
      <c r="R8" s="264">
        <f>P8*Q8</f>
        <v>1711021.44</v>
      </c>
      <c r="S8" s="264">
        <v>2735627</v>
      </c>
      <c r="T8" s="264">
        <f t="shared" ref="T8:T10" si="3">N8-S8</f>
        <v>-94116</v>
      </c>
      <c r="U8" s="264"/>
      <c r="V8" s="264"/>
      <c r="W8" s="286"/>
      <c r="X8" s="286"/>
    </row>
    <row r="9" spans="1:24" ht="15.75">
      <c r="A9" s="263" t="s">
        <v>840</v>
      </c>
      <c r="B9" s="264">
        <f>+'SCH M'!E27</f>
        <v>47429831</v>
      </c>
      <c r="C9" s="264">
        <f>+'SCH M-2.1'!H23*CUR_BASE_FUEL</f>
        <v>16044400.123199999</v>
      </c>
      <c r="D9" s="264">
        <f>+'SCH M-2.1'!P23</f>
        <v>1656313</v>
      </c>
      <c r="E9" s="264">
        <f t="shared" si="0"/>
        <v>17700713.123199999</v>
      </c>
      <c r="F9" s="264"/>
      <c r="G9" s="264"/>
      <c r="H9" s="264">
        <f>+'Rate DT-Pri'!AO132</f>
        <v>191820</v>
      </c>
      <c r="I9" s="264">
        <f>+'Rate DT-Pri'!AO131</f>
        <v>1663811</v>
      </c>
      <c r="J9" s="264">
        <f>+'Rate DT-Pri'!AO134</f>
        <v>1175544</v>
      </c>
      <c r="K9" s="264">
        <f t="shared" si="1"/>
        <v>3031175</v>
      </c>
      <c r="L9" s="264">
        <f t="shared" si="2"/>
        <v>26697942.876800001</v>
      </c>
      <c r="M9" s="264"/>
      <c r="N9" s="264">
        <f>'Rate DT-Pri'!H29+'Rate DT-Pri'!H47</f>
        <v>972035</v>
      </c>
      <c r="O9" s="264">
        <v>1056031</v>
      </c>
      <c r="P9" s="264">
        <f t="shared" ref="P9:P10" si="4">N9-O9</f>
        <v>-83996</v>
      </c>
      <c r="Q9" s="291">
        <v>20</v>
      </c>
      <c r="R9" s="264">
        <f t="shared" ref="R9:R10" si="5">P9*Q9</f>
        <v>-1679920</v>
      </c>
      <c r="S9" s="264">
        <v>986388</v>
      </c>
      <c r="T9" s="264">
        <f t="shared" si="3"/>
        <v>-14353</v>
      </c>
      <c r="U9" s="264"/>
      <c r="V9" s="264"/>
      <c r="W9" s="286"/>
      <c r="X9" s="286"/>
    </row>
    <row r="10" spans="1:24" ht="15.75">
      <c r="A10" s="263" t="s">
        <v>839</v>
      </c>
      <c r="B10" s="264">
        <f>+'SCH M'!E28</f>
        <v>60974671</v>
      </c>
      <c r="C10" s="264">
        <f>+'SCH M-2.1'!H24*CUR_BASE_FUEL</f>
        <v>20269548.77922</v>
      </c>
      <c r="D10" s="264">
        <f>+'SCH M-2.1'!P24</f>
        <v>2092488</v>
      </c>
      <c r="E10" s="264">
        <f t="shared" si="0"/>
        <v>22362036.77922</v>
      </c>
      <c r="F10" s="264"/>
      <c r="G10" s="264"/>
      <c r="H10" s="264">
        <f>+'Rate DT-Sec'!AO128</f>
        <v>249139</v>
      </c>
      <c r="I10" s="264">
        <f>+'Rate DT-Sec'!AO127</f>
        <v>2101961</v>
      </c>
      <c r="J10" s="264">
        <f>+'Rate DT-Sec'!AO130</f>
        <v>1485113</v>
      </c>
      <c r="K10" s="264">
        <f t="shared" si="1"/>
        <v>3836213</v>
      </c>
      <c r="L10" s="264">
        <f t="shared" si="2"/>
        <v>34776421.22078</v>
      </c>
      <c r="M10" s="264"/>
      <c r="N10" s="264">
        <f>'Rate DT-Sec'!H31+'Rate DT-Sec'!H48</f>
        <v>1228464</v>
      </c>
      <c r="O10" s="264">
        <v>1365584</v>
      </c>
      <c r="P10" s="264">
        <f t="shared" si="4"/>
        <v>-137120</v>
      </c>
      <c r="Q10" s="291">
        <v>20</v>
      </c>
      <c r="R10" s="264">
        <f t="shared" si="5"/>
        <v>-2742400</v>
      </c>
      <c r="S10" s="264">
        <v>1247155</v>
      </c>
      <c r="T10" s="264">
        <f t="shared" si="3"/>
        <v>-18691</v>
      </c>
      <c r="U10" s="264"/>
      <c r="V10" s="264"/>
      <c r="W10" s="286"/>
      <c r="X10" s="286"/>
    </row>
    <row r="11" spans="1:24" ht="15.75">
      <c r="A11" s="263" t="s">
        <v>94</v>
      </c>
      <c r="B11" s="264">
        <f>+'SCH M'!E29</f>
        <v>1951593</v>
      </c>
      <c r="C11" s="264">
        <f>+'SCH M-2.1'!H25*CUR_BASE_FUEL</f>
        <v>646733.5374599999</v>
      </c>
      <c r="D11" s="264">
        <f>+'SCH M-2.1'!P25</f>
        <v>66764</v>
      </c>
      <c r="E11" s="264">
        <f t="shared" si="0"/>
        <v>713497.5374599999</v>
      </c>
      <c r="F11" s="264"/>
      <c r="G11" s="264"/>
      <c r="H11" s="264">
        <f>+'Rate EH'!AO86</f>
        <v>7989</v>
      </c>
      <c r="I11" s="264">
        <f>+'Rate EH'!AO85</f>
        <v>67067</v>
      </c>
      <c r="J11" s="264">
        <f>+'Rate EH'!AO88</f>
        <v>47385</v>
      </c>
      <c r="K11" s="264">
        <f t="shared" si="1"/>
        <v>122441</v>
      </c>
      <c r="L11" s="264">
        <f t="shared" si="2"/>
        <v>1115654.4625400002</v>
      </c>
      <c r="M11" s="264"/>
      <c r="N11" s="264">
        <v>0</v>
      </c>
      <c r="O11" s="264"/>
      <c r="P11" s="264"/>
      <c r="Q11" s="264"/>
      <c r="R11" s="264"/>
      <c r="S11" s="264"/>
      <c r="T11" s="264"/>
      <c r="U11" s="264"/>
      <c r="V11" s="264"/>
      <c r="W11" s="286"/>
      <c r="X11" s="286"/>
    </row>
    <row r="12" spans="1:24" ht="15.75">
      <c r="A12" s="263" t="s">
        <v>95</v>
      </c>
      <c r="B12" s="264">
        <f>+'SCH M'!E30</f>
        <v>53138</v>
      </c>
      <c r="C12" s="264">
        <f>+'SCH M-2.1'!H26*CUR_BASE_FUEL</f>
        <v>11052.91734</v>
      </c>
      <c r="D12" s="264">
        <f>+'SCH M-2.1'!P26</f>
        <v>1141</v>
      </c>
      <c r="E12" s="264">
        <f t="shared" si="0"/>
        <v>12193.91734</v>
      </c>
      <c r="F12" s="264"/>
      <c r="G12" s="264"/>
      <c r="H12" s="264">
        <f>+'Rate SP GSFL'!AO96</f>
        <v>264</v>
      </c>
      <c r="I12" s="264">
        <f>+'Rate SP GSFL'!AO95</f>
        <v>1146</v>
      </c>
      <c r="J12" s="264">
        <f>+'Rate SP GSFL'!AO98</f>
        <v>810</v>
      </c>
      <c r="K12" s="264">
        <f t="shared" si="1"/>
        <v>2220</v>
      </c>
      <c r="L12" s="264">
        <f t="shared" si="2"/>
        <v>38724.08266</v>
      </c>
      <c r="M12" s="264"/>
      <c r="N12" s="264">
        <v>0</v>
      </c>
      <c r="O12" s="264"/>
      <c r="P12" s="264"/>
      <c r="Q12" s="264"/>
      <c r="R12" s="264"/>
      <c r="S12" s="264"/>
      <c r="T12" s="264"/>
      <c r="U12" s="264"/>
      <c r="V12" s="264"/>
      <c r="W12" s="286"/>
      <c r="X12" s="286"/>
    </row>
    <row r="13" spans="1:24" ht="15.75">
      <c r="A13" s="263" t="s">
        <v>93</v>
      </c>
      <c r="B13" s="264">
        <f>+'SCH M'!E31</f>
        <v>840145</v>
      </c>
      <c r="C13" s="264">
        <f>+'SCH M-2.1'!H27*CUR_BASE_FUEL</f>
        <v>200070.25853999998</v>
      </c>
      <c r="D13" s="264">
        <f>+'SCH M-2.1'!P27</f>
        <v>20654</v>
      </c>
      <c r="E13" s="264">
        <f t="shared" si="0"/>
        <v>220724.25853999998</v>
      </c>
      <c r="F13" s="264"/>
      <c r="G13" s="264"/>
      <c r="H13" s="264">
        <f>+'Rate SP GSFL'!AO115</f>
        <v>3997</v>
      </c>
      <c r="I13" s="264">
        <f>+'Rate SP GSFL'!AO114</f>
        <v>20747</v>
      </c>
      <c r="J13" s="264">
        <f>+'Rate SP GSFL'!AO117</f>
        <v>14659</v>
      </c>
      <c r="K13" s="264">
        <f t="shared" si="1"/>
        <v>39403</v>
      </c>
      <c r="L13" s="264">
        <f t="shared" si="2"/>
        <v>580017.74146000005</v>
      </c>
      <c r="M13" s="264"/>
      <c r="N13" s="264">
        <v>0</v>
      </c>
      <c r="O13" s="264"/>
      <c r="P13" s="264"/>
      <c r="Q13" s="264"/>
      <c r="R13" s="264"/>
      <c r="S13" s="264"/>
      <c r="T13" s="264"/>
      <c r="U13" s="264"/>
      <c r="V13" s="264"/>
      <c r="W13" s="286"/>
      <c r="X13" s="286"/>
    </row>
    <row r="14" spans="1:24" ht="15.75">
      <c r="A14" s="263" t="s">
        <v>92</v>
      </c>
      <c r="B14" s="264">
        <f>+'SCH M'!E32</f>
        <v>896371</v>
      </c>
      <c r="C14" s="264">
        <f>+'SCH M-2.1'!H28*CUR_BASE_FUEL</f>
        <v>261017.14794</v>
      </c>
      <c r="D14" s="264">
        <f>+'SCH M-2.1'!P28</f>
        <v>26946</v>
      </c>
      <c r="E14" s="264">
        <f t="shared" si="0"/>
        <v>287963.14794</v>
      </c>
      <c r="F14" s="264"/>
      <c r="G14" s="264"/>
      <c r="H14" s="264">
        <f>+'Rate DP'!AO93</f>
        <v>3926</v>
      </c>
      <c r="I14" s="264">
        <f>+'Rate DP'!AO92</f>
        <v>27068</v>
      </c>
      <c r="J14" s="264">
        <f>+'Rate DP'!AO95</f>
        <v>19124</v>
      </c>
      <c r="K14" s="264">
        <f t="shared" si="1"/>
        <v>50118</v>
      </c>
      <c r="L14" s="264">
        <f t="shared" si="2"/>
        <v>558289.85205999995</v>
      </c>
      <c r="M14" s="264"/>
      <c r="N14" s="264">
        <f>'Rate DP'!H29</f>
        <v>27415</v>
      </c>
      <c r="O14" s="264">
        <v>36838</v>
      </c>
      <c r="P14" s="264">
        <f t="shared" ref="P14:P15" si="6">N14-O14</f>
        <v>-9423</v>
      </c>
      <c r="Q14" s="291">
        <v>15</v>
      </c>
      <c r="R14" s="264">
        <f t="shared" ref="R14:R15" si="7">P14*Q14</f>
        <v>-141345</v>
      </c>
      <c r="S14" s="264">
        <v>27198</v>
      </c>
      <c r="T14" s="264">
        <f t="shared" ref="T14:T15" si="8">N14-S14</f>
        <v>217</v>
      </c>
      <c r="U14" s="264"/>
      <c r="V14" s="264"/>
      <c r="W14" s="286"/>
      <c r="X14" s="286"/>
    </row>
    <row r="15" spans="1:24" ht="15.75">
      <c r="A15" s="263" t="s">
        <v>60</v>
      </c>
      <c r="B15" s="264">
        <f>+'SCH M'!E36</f>
        <v>15587354</v>
      </c>
      <c r="C15" s="264">
        <f>+'SCH M-2.1'!H29*CUR_BASE_FUEL</f>
        <v>6264942.0654599993</v>
      </c>
      <c r="D15" s="264">
        <f>+'SCH M-2.1'!P29</f>
        <v>646749</v>
      </c>
      <c r="E15" s="264">
        <f t="shared" si="0"/>
        <v>6911691.0654599993</v>
      </c>
      <c r="F15" s="264"/>
      <c r="G15" s="264"/>
      <c r="H15" s="264">
        <f>+'Rate TT'!AO115</f>
        <v>55978</v>
      </c>
      <c r="I15" s="264">
        <f>+'Rate TT'!AO114</f>
        <v>95328</v>
      </c>
      <c r="J15" s="264">
        <f>+'Rate TT'!AO117</f>
        <v>459021</v>
      </c>
      <c r="K15" s="264">
        <f t="shared" si="1"/>
        <v>610327</v>
      </c>
      <c r="L15" s="264">
        <f t="shared" si="2"/>
        <v>8065335.9345399998</v>
      </c>
      <c r="M15" s="264"/>
      <c r="N15" s="264">
        <f>'Rate TT'!H26+'Rate TT'!H40</f>
        <v>398243</v>
      </c>
      <c r="O15" s="264">
        <v>435740</v>
      </c>
      <c r="P15" s="264">
        <f t="shared" si="6"/>
        <v>-37497</v>
      </c>
      <c r="Q15" s="291">
        <v>8.5</v>
      </c>
      <c r="R15" s="264">
        <f t="shared" si="7"/>
        <v>-318724.5</v>
      </c>
      <c r="S15" s="264">
        <v>387830</v>
      </c>
      <c r="T15" s="264">
        <f t="shared" si="8"/>
        <v>10413</v>
      </c>
      <c r="U15" s="264"/>
      <c r="V15" s="264"/>
      <c r="W15" s="286"/>
      <c r="X15" s="286"/>
    </row>
    <row r="16" spans="1:24" ht="15.75">
      <c r="A16" s="263" t="s">
        <v>848</v>
      </c>
      <c r="B16" s="264">
        <v>0</v>
      </c>
      <c r="C16" s="264">
        <v>0</v>
      </c>
      <c r="D16" s="264">
        <f>+'SCH M-2.1'!P30</f>
        <v>0</v>
      </c>
      <c r="E16" s="264">
        <f t="shared" si="0"/>
        <v>0</v>
      </c>
      <c r="F16" s="264"/>
      <c r="G16" s="264"/>
      <c r="H16" s="264"/>
      <c r="I16" s="264"/>
      <c r="J16" s="264"/>
      <c r="K16" s="264">
        <f t="shared" si="1"/>
        <v>0</v>
      </c>
      <c r="L16" s="264">
        <f t="shared" si="2"/>
        <v>0</v>
      </c>
      <c r="M16" s="264"/>
      <c r="N16" s="264">
        <v>0</v>
      </c>
      <c r="O16" s="264"/>
      <c r="P16" s="264"/>
      <c r="Q16" s="264"/>
      <c r="R16" s="264"/>
      <c r="S16" s="264"/>
      <c r="T16" s="264"/>
      <c r="U16" s="264"/>
      <c r="V16" s="264"/>
      <c r="W16" s="286"/>
      <c r="X16" s="286"/>
    </row>
    <row r="17" spans="1:24" ht="15.75">
      <c r="A17" s="263" t="s">
        <v>838</v>
      </c>
      <c r="B17" s="264">
        <f>+'SCH M'!E41</f>
        <v>74934</v>
      </c>
      <c r="C17" s="264">
        <v>0</v>
      </c>
      <c r="D17" s="264">
        <f>+'SCH M-2.1'!P31</f>
        <v>0</v>
      </c>
      <c r="E17" s="264">
        <f t="shared" si="0"/>
        <v>0</v>
      </c>
      <c r="F17" s="264"/>
      <c r="G17" s="264"/>
      <c r="H17" s="264">
        <f>+'Rate DT RTP-S'!AO79</f>
        <v>14</v>
      </c>
      <c r="I17" s="264">
        <f>+'Rate DT RTP-S'!AO78</f>
        <v>3878</v>
      </c>
      <c r="J17" s="264">
        <f>+'Rate DT RTP-S'!AO80</f>
        <v>2740</v>
      </c>
      <c r="K17" s="264">
        <f t="shared" si="1"/>
        <v>6632</v>
      </c>
      <c r="L17" s="264">
        <f t="shared" si="2"/>
        <v>68302</v>
      </c>
      <c r="M17" s="264"/>
      <c r="N17" s="264">
        <v>0</v>
      </c>
      <c r="O17" s="264"/>
      <c r="P17" s="264"/>
      <c r="Q17" s="264"/>
      <c r="R17" s="264"/>
      <c r="S17" s="264"/>
      <c r="T17" s="264"/>
      <c r="U17" s="264"/>
      <c r="V17" s="264"/>
      <c r="W17" s="286"/>
      <c r="X17" s="286"/>
    </row>
    <row r="18" spans="1:24" ht="15.75">
      <c r="A18" s="263" t="s">
        <v>307</v>
      </c>
      <c r="B18" s="264">
        <f>+'SCH M'!E42</f>
        <v>2021</v>
      </c>
      <c r="C18" s="264">
        <v>0</v>
      </c>
      <c r="D18" s="264">
        <f>+'SCH M-2.1'!P32</f>
        <v>0</v>
      </c>
      <c r="E18" s="264">
        <f t="shared" si="0"/>
        <v>0</v>
      </c>
      <c r="F18" s="264"/>
      <c r="G18" s="264"/>
      <c r="H18" s="264">
        <f>+'Rate DS RTP'!AO79</f>
        <v>14</v>
      </c>
      <c r="I18" s="264">
        <f>+'Rate DS RTP'!AO78</f>
        <v>-10</v>
      </c>
      <c r="J18" s="264">
        <f>+'Rate DS RTP'!AO80</f>
        <v>-7</v>
      </c>
      <c r="K18" s="264">
        <f t="shared" si="1"/>
        <v>-3</v>
      </c>
      <c r="L18" s="264">
        <f t="shared" si="2"/>
        <v>2024</v>
      </c>
      <c r="M18" s="264"/>
      <c r="N18" s="264">
        <v>0</v>
      </c>
      <c r="O18" s="264"/>
      <c r="P18" s="264"/>
      <c r="Q18" s="264"/>
      <c r="R18" s="264"/>
      <c r="S18" s="264"/>
      <c r="T18" s="264"/>
      <c r="U18" s="264"/>
      <c r="V18" s="264"/>
      <c r="W18" s="286"/>
      <c r="X18" s="286"/>
    </row>
    <row r="19" spans="1:24" ht="15.75">
      <c r="A19" s="263" t="s">
        <v>837</v>
      </c>
      <c r="B19" s="264">
        <f>+'SCH M'!E43</f>
        <v>539003</v>
      </c>
      <c r="C19" s="264">
        <v>0</v>
      </c>
      <c r="D19" s="264">
        <f>+'SCH M-2.1'!P33</f>
        <v>0</v>
      </c>
      <c r="E19" s="264">
        <f t="shared" si="0"/>
        <v>0</v>
      </c>
      <c r="F19" s="264"/>
      <c r="G19" s="264"/>
      <c r="H19" s="264">
        <f>+'Rate TT RTP'!AO81</f>
        <v>29</v>
      </c>
      <c r="I19" s="264">
        <f>+'Rate TT RTP'!AO80</f>
        <v>6236</v>
      </c>
      <c r="J19" s="264">
        <f>+'Rate TT RTP'!AO82</f>
        <v>30029</v>
      </c>
      <c r="K19" s="264">
        <f t="shared" si="1"/>
        <v>36294</v>
      </c>
      <c r="L19" s="264">
        <f t="shared" si="2"/>
        <v>502709</v>
      </c>
      <c r="M19" s="264"/>
      <c r="N19" s="264">
        <v>0</v>
      </c>
      <c r="O19" s="264"/>
      <c r="P19" s="264"/>
      <c r="Q19" s="264"/>
      <c r="R19" s="264"/>
      <c r="S19" s="264"/>
      <c r="T19" s="264"/>
      <c r="U19" s="264"/>
      <c r="V19" s="264"/>
      <c r="W19" s="286"/>
      <c r="X19" s="286"/>
    </row>
    <row r="20" spans="1:24" ht="15.75">
      <c r="A20" s="263" t="s">
        <v>77</v>
      </c>
      <c r="B20" s="264">
        <f>+'SCH M'!E47</f>
        <v>1443150</v>
      </c>
      <c r="C20" s="264">
        <f>+'SCH M-2.1'!H34*CUR_BASE_FUEL</f>
        <v>231655.80839999998</v>
      </c>
      <c r="D20" s="264">
        <f>+'SCH M-2.1'!P34</f>
        <v>23917</v>
      </c>
      <c r="E20" s="264">
        <f t="shared" si="0"/>
        <v>255572.80839999998</v>
      </c>
      <c r="F20" s="264"/>
      <c r="G20" s="264"/>
      <c r="H20" s="264">
        <f>+'Rate SL'!AO285</f>
        <v>7663</v>
      </c>
      <c r="I20" s="264"/>
      <c r="J20" s="264">
        <f>+'Rate SL'!AO286</f>
        <v>16973</v>
      </c>
      <c r="K20" s="264">
        <f t="shared" si="1"/>
        <v>24636</v>
      </c>
      <c r="L20" s="264">
        <f>+B20-E20-K20</f>
        <v>1162941.1916</v>
      </c>
      <c r="M20" s="264"/>
      <c r="N20" s="264">
        <v>0</v>
      </c>
      <c r="O20" s="264"/>
      <c r="P20" s="264"/>
      <c r="Q20" s="264"/>
      <c r="R20" s="264"/>
      <c r="S20" s="264"/>
      <c r="T20" s="264"/>
      <c r="U20" s="264"/>
      <c r="V20" s="264"/>
      <c r="W20" s="286"/>
      <c r="X20" s="286"/>
    </row>
    <row r="21" spans="1:24" ht="15.75">
      <c r="A21" s="263" t="s">
        <v>81</v>
      </c>
      <c r="B21" s="264">
        <f>+'SCH M'!E48</f>
        <v>105521</v>
      </c>
      <c r="C21" s="264">
        <f>+'SCH M-2.1'!H35*CUR_BASE_FUEL</f>
        <v>48536.043117780006</v>
      </c>
      <c r="D21" s="264">
        <f>+'SCH M-2.1'!P35</f>
        <v>5011</v>
      </c>
      <c r="E21" s="264">
        <f t="shared" si="0"/>
        <v>53547.043117780006</v>
      </c>
      <c r="F21" s="264"/>
      <c r="G21" s="264"/>
      <c r="H21" s="264">
        <f>+'Rate TL'!AO68</f>
        <v>368</v>
      </c>
      <c r="I21" s="264"/>
      <c r="J21" s="264">
        <f>+'Rate TL'!AO69</f>
        <v>3556</v>
      </c>
      <c r="K21" s="264">
        <f t="shared" si="1"/>
        <v>3924</v>
      </c>
      <c r="L21" s="264">
        <f t="shared" si="2"/>
        <v>48049.956882219994</v>
      </c>
      <c r="M21" s="264"/>
      <c r="N21" s="264">
        <v>0</v>
      </c>
      <c r="O21" s="264"/>
      <c r="P21" s="264"/>
      <c r="Q21" s="264"/>
      <c r="R21" s="264"/>
      <c r="S21" s="264"/>
      <c r="T21" s="264"/>
      <c r="U21" s="264"/>
      <c r="V21" s="264"/>
      <c r="W21" s="286"/>
      <c r="X21" s="286"/>
    </row>
    <row r="22" spans="1:24" ht="15.75">
      <c r="A22" s="263" t="s">
        <v>836</v>
      </c>
      <c r="B22" s="264">
        <f>+'SCH M'!E49</f>
        <v>620847</v>
      </c>
      <c r="C22" s="264">
        <f>+'SCH M-2.1'!H36*CUR_BASE_FUEL</f>
        <v>288554.80661999999</v>
      </c>
      <c r="D22" s="264">
        <f>+'SCH M-2.1'!P36</f>
        <v>29788</v>
      </c>
      <c r="E22" s="264">
        <f t="shared" si="0"/>
        <v>318342.80661999999</v>
      </c>
      <c r="F22" s="264"/>
      <c r="G22" s="264"/>
      <c r="H22" s="264">
        <f>+'Rate UOLS'!AO59</f>
        <v>2144</v>
      </c>
      <c r="I22" s="264"/>
      <c r="J22" s="264">
        <f>+'Rate UOLS'!AO60</f>
        <v>21142</v>
      </c>
      <c r="K22" s="264">
        <f t="shared" si="1"/>
        <v>23286</v>
      </c>
      <c r="L22" s="264">
        <f t="shared" si="2"/>
        <v>279218.19338000001</v>
      </c>
      <c r="M22" s="264"/>
      <c r="N22" s="264">
        <v>0</v>
      </c>
      <c r="O22" s="264"/>
      <c r="P22" s="264"/>
      <c r="Q22" s="264"/>
      <c r="R22" s="264"/>
      <c r="S22" s="264"/>
      <c r="T22" s="264"/>
      <c r="U22" s="264"/>
      <c r="V22" s="264"/>
      <c r="W22" s="286"/>
      <c r="X22" s="286"/>
    </row>
    <row r="23" spans="1:24" ht="15.75">
      <c r="A23" s="263" t="s">
        <v>86</v>
      </c>
      <c r="B23" s="264">
        <f>+'SCH M'!E50</f>
        <v>97311</v>
      </c>
      <c r="C23" s="264">
        <f>+'SCH M-2.1'!H37*CUR_BASE_FUEL</f>
        <v>13254.393719999998</v>
      </c>
      <c r="D23" s="264">
        <f>+'SCH M-2.1'!P37</f>
        <v>1368</v>
      </c>
      <c r="E23" s="264">
        <f t="shared" si="0"/>
        <v>14622.393719999998</v>
      </c>
      <c r="F23" s="264"/>
      <c r="G23" s="264"/>
      <c r="H23" s="264">
        <f>+'Rate NSU'!AO91</f>
        <v>542</v>
      </c>
      <c r="I23" s="264"/>
      <c r="J23" s="264">
        <f>+'Rate NSU'!AO92</f>
        <v>971</v>
      </c>
      <c r="K23" s="264">
        <f t="shared" si="1"/>
        <v>1513</v>
      </c>
      <c r="L23" s="264">
        <f t="shared" si="2"/>
        <v>81175.606280000007</v>
      </c>
      <c r="M23" s="264"/>
      <c r="N23" s="264">
        <v>0</v>
      </c>
      <c r="O23" s="264"/>
      <c r="P23" s="264"/>
      <c r="Q23" s="264"/>
      <c r="R23" s="264"/>
      <c r="S23" s="264"/>
      <c r="T23" s="264"/>
      <c r="U23" s="264"/>
      <c r="V23" s="264"/>
      <c r="W23" s="286"/>
      <c r="X23" s="286"/>
    </row>
    <row r="24" spans="1:24" ht="15.75">
      <c r="A24" s="263" t="s">
        <v>73</v>
      </c>
      <c r="B24" s="264">
        <f>+'SCH M'!E51</f>
        <v>6595</v>
      </c>
      <c r="C24" s="264">
        <f>+'SCH M-2.1'!H38*CUR_BASE_FUEL</f>
        <v>3083.5735199999999</v>
      </c>
      <c r="D24" s="264">
        <f>+'SCH M-2.1'!P38</f>
        <v>318</v>
      </c>
      <c r="E24" s="264">
        <f t="shared" si="0"/>
        <v>3401.5735199999999</v>
      </c>
      <c r="F24" s="264"/>
      <c r="G24" s="264"/>
      <c r="H24" s="264">
        <f>+'Rate SC'!AO141</f>
        <v>23</v>
      </c>
      <c r="I24" s="264"/>
      <c r="J24" s="264">
        <f>+'Rate SC'!AO142</f>
        <v>226</v>
      </c>
      <c r="K24" s="264">
        <f t="shared" si="1"/>
        <v>249</v>
      </c>
      <c r="L24" s="264">
        <f t="shared" si="2"/>
        <v>2944.4264800000001</v>
      </c>
      <c r="M24" s="264"/>
      <c r="N24" s="264">
        <v>0</v>
      </c>
      <c r="O24" s="264"/>
      <c r="P24" s="264"/>
      <c r="Q24" s="264"/>
      <c r="R24" s="264"/>
      <c r="S24" s="264"/>
      <c r="T24" s="264"/>
      <c r="U24" s="264"/>
      <c r="V24" s="264"/>
      <c r="W24" s="286"/>
      <c r="X24" s="286"/>
    </row>
    <row r="25" spans="1:24" ht="15.75">
      <c r="A25" s="263" t="s">
        <v>70</v>
      </c>
      <c r="B25" s="264">
        <f>+'SCH M'!E52</f>
        <v>261093</v>
      </c>
      <c r="C25" s="264">
        <f>+'SCH M-2.1'!H39*CUR_BASE_FUEL</f>
        <v>40860.355559999996</v>
      </c>
      <c r="D25" s="264">
        <f>+'SCH M-2.1'!P39</f>
        <v>4218</v>
      </c>
      <c r="E25" s="264">
        <f t="shared" si="0"/>
        <v>45078.355559999996</v>
      </c>
      <c r="F25" s="264"/>
      <c r="G25" s="264"/>
      <c r="H25" s="264">
        <f>+'Rate SE'!AO104</f>
        <v>1421</v>
      </c>
      <c r="I25" s="264"/>
      <c r="J25" s="264">
        <f>+'Rate SE'!AO105</f>
        <v>2994</v>
      </c>
      <c r="K25" s="264">
        <f t="shared" si="1"/>
        <v>4415</v>
      </c>
      <c r="L25" s="264">
        <f t="shared" si="2"/>
        <v>211599.64444</v>
      </c>
      <c r="M25" s="264"/>
      <c r="N25" s="264">
        <v>0</v>
      </c>
      <c r="O25" s="264"/>
      <c r="P25" s="264"/>
      <c r="Q25" s="264"/>
      <c r="R25" s="264"/>
      <c r="S25" s="264"/>
      <c r="T25" s="264"/>
      <c r="U25" s="264"/>
      <c r="V25" s="264"/>
      <c r="W25" s="286"/>
      <c r="X25" s="286"/>
    </row>
    <row r="26" spans="1:24" ht="15.75">
      <c r="A26" s="263" t="s">
        <v>795</v>
      </c>
      <c r="B26" s="264">
        <f>+'SCH M'!E53</f>
        <v>20067</v>
      </c>
      <c r="C26" s="264">
        <f>+'SCH M-2.1'!H40*CUR_BASE_FUEL</f>
        <v>1424.19858</v>
      </c>
      <c r="D26" s="264">
        <f>+'SCH M-2.1'!P40</f>
        <v>147</v>
      </c>
      <c r="E26" s="264">
        <f>+C26+D26</f>
        <v>1571.19858</v>
      </c>
      <c r="F26" s="264"/>
      <c r="G26" s="264"/>
      <c r="H26" s="264">
        <f>'Rate LED'!AO687</f>
        <v>119</v>
      </c>
      <c r="I26" s="264"/>
      <c r="J26" s="264">
        <f>'Rate LED'!AO689</f>
        <v>104</v>
      </c>
      <c r="K26" s="264">
        <f>SUM(G26:J26)</f>
        <v>223</v>
      </c>
      <c r="L26" s="264">
        <f>+B26-E26-K26</f>
        <v>18272.80142</v>
      </c>
      <c r="M26" s="264"/>
      <c r="N26" s="264">
        <v>0</v>
      </c>
      <c r="O26" s="264"/>
      <c r="P26" s="264"/>
      <c r="Q26" s="264"/>
      <c r="R26" s="264"/>
      <c r="S26" s="264"/>
      <c r="T26" s="264"/>
      <c r="U26" s="264"/>
      <c r="V26" s="264"/>
      <c r="W26" s="286"/>
      <c r="X26" s="286"/>
    </row>
    <row r="27" spans="1:24" ht="15.75">
      <c r="A27" s="263" t="s">
        <v>835</v>
      </c>
      <c r="B27" s="265">
        <f>+'SCH M'!E56+'SCH M'!E57</f>
        <v>1024677.038357</v>
      </c>
      <c r="C27" s="265">
        <f>'SCH M-2.1'!H41*CUR_BASE_FUEL+'SCH M-2.1'!H47*CUR_BASE_FUEL</f>
        <v>483247.28915999999</v>
      </c>
      <c r="D27" s="265">
        <f>+'SCH M-2.1'!P41+'SCH M-2.1'!P47</f>
        <v>49887.096871641595</v>
      </c>
      <c r="E27" s="265">
        <f t="shared" si="0"/>
        <v>533134.38603164162</v>
      </c>
      <c r="F27" s="264"/>
      <c r="G27" s="265"/>
      <c r="H27" s="265"/>
      <c r="I27" s="265">
        <f>'SCH M-2.2'!H63*DSM_DIST</f>
        <v>48960.691867000001</v>
      </c>
      <c r="J27" s="265">
        <f>'SCH M-2.2'!H63*RS_PSM</f>
        <v>34592.552775000004</v>
      </c>
      <c r="K27" s="265">
        <f>SUM(G27:J27)</f>
        <v>83553.244642000005</v>
      </c>
      <c r="L27" s="265">
        <f t="shared" si="2"/>
        <v>407989.40768335835</v>
      </c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86"/>
      <c r="X27" s="286"/>
    </row>
    <row r="28" spans="1:24" ht="15.75">
      <c r="A28" s="263" t="s">
        <v>834</v>
      </c>
      <c r="B28" s="264">
        <f>SUM(B6:B27)</f>
        <v>473112716.03835702</v>
      </c>
      <c r="C28" s="264">
        <f>SUM(C6:C27)</f>
        <v>133483319.40311776</v>
      </c>
      <c r="D28" s="264">
        <f>SUM(D6:D27)</f>
        <v>13779894.096871642</v>
      </c>
      <c r="E28" s="264">
        <f>SUM(E6:E27)</f>
        <v>147263213.49998942</v>
      </c>
      <c r="F28" s="264"/>
      <c r="G28" s="264">
        <f t="shared" ref="G28:S28" si="9">SUM(G6:G27)</f>
        <v>506997</v>
      </c>
      <c r="H28" s="264">
        <f t="shared" si="9"/>
        <v>1999924</v>
      </c>
      <c r="I28" s="264">
        <f t="shared" si="9"/>
        <v>9945674.6918669995</v>
      </c>
      <c r="J28" s="264">
        <f t="shared" si="9"/>
        <v>9812030.5527749993</v>
      </c>
      <c r="K28" s="264">
        <f t="shared" si="9"/>
        <v>22264626.244642001</v>
      </c>
      <c r="L28" s="264">
        <f t="shared" si="9"/>
        <v>303584876.29372567</v>
      </c>
      <c r="M28" s="264"/>
      <c r="N28" s="264">
        <f t="shared" si="9"/>
        <v>5267668</v>
      </c>
      <c r="O28" s="264">
        <f t="shared" si="9"/>
        <v>5375496</v>
      </c>
      <c r="P28" s="264">
        <f t="shared" si="9"/>
        <v>-107828</v>
      </c>
      <c r="Q28" s="264"/>
      <c r="R28" s="264">
        <f t="shared" si="9"/>
        <v>-3171368.06</v>
      </c>
      <c r="S28" s="264">
        <f t="shared" si="9"/>
        <v>5384198</v>
      </c>
      <c r="T28" s="264">
        <f>N28-S28</f>
        <v>-116530</v>
      </c>
      <c r="U28" s="264"/>
      <c r="V28" s="264"/>
    </row>
    <row r="30" spans="1:24" ht="15.75">
      <c r="B30" s="286" t="s">
        <v>1114</v>
      </c>
      <c r="C30" s="264">
        <f>('SCH M-2.1'!H49-'SCH M-2.1'!H30-'SCH M-2.1'!H31-'SCH M-2.1'!H32-'SCH M-2.1'!H33)*CUR_BASE_FUEL</f>
        <v>133483319.40311778</v>
      </c>
      <c r="D30" s="286"/>
      <c r="E30" s="286"/>
      <c r="F30" s="286"/>
      <c r="G30" s="286"/>
      <c r="H30" s="286"/>
      <c r="I30" s="286"/>
      <c r="J30" s="286"/>
      <c r="K30" s="286"/>
      <c r="L30" s="286"/>
    </row>
    <row r="31" spans="1:24">
      <c r="B31" s="287" t="s">
        <v>1115</v>
      </c>
      <c r="C31" s="287">
        <v>147263213</v>
      </c>
      <c r="D31" s="287"/>
      <c r="E31" s="287"/>
      <c r="F31" s="287"/>
      <c r="G31" s="287"/>
      <c r="H31" s="287">
        <v>1999924</v>
      </c>
      <c r="I31" s="287"/>
      <c r="J31" s="287"/>
      <c r="K31" s="287"/>
      <c r="L31" s="287"/>
    </row>
    <row r="32" spans="1:24">
      <c r="B32" s="263" t="s">
        <v>841</v>
      </c>
      <c r="C32" s="286">
        <f>C31-C30</f>
        <v>13779893.596882224</v>
      </c>
      <c r="D32" s="286">
        <f>C32-D28</f>
        <v>-0.49998941831290722</v>
      </c>
    </row>
    <row r="33" spans="1:15">
      <c r="A33" s="263" t="s">
        <v>992</v>
      </c>
    </row>
    <row r="34" spans="1:15">
      <c r="B34" s="266"/>
      <c r="C34" s="266"/>
      <c r="D34" s="266"/>
      <c r="E34" s="266"/>
      <c r="G34" s="266"/>
      <c r="H34" s="266"/>
      <c r="I34" s="266"/>
      <c r="J34" s="266"/>
      <c r="K34" s="266"/>
      <c r="L34" s="270" t="s">
        <v>542</v>
      </c>
    </row>
    <row r="35" spans="1:15">
      <c r="B35" s="267" t="s">
        <v>542</v>
      </c>
      <c r="C35" s="268" t="s">
        <v>847</v>
      </c>
      <c r="D35" s="268"/>
      <c r="E35" s="268"/>
      <c r="G35" s="269" t="s">
        <v>849</v>
      </c>
      <c r="H35" s="269"/>
      <c r="I35" s="269"/>
      <c r="J35" s="269"/>
      <c r="K35" s="269"/>
      <c r="L35" s="271" t="s">
        <v>850</v>
      </c>
    </row>
    <row r="36" spans="1:15">
      <c r="B36" s="272" t="s">
        <v>846</v>
      </c>
      <c r="C36" s="272" t="s">
        <v>833</v>
      </c>
      <c r="D36" s="272" t="s">
        <v>841</v>
      </c>
      <c r="E36" s="272" t="s">
        <v>542</v>
      </c>
      <c r="F36" s="272"/>
      <c r="G36" s="273" t="s">
        <v>845</v>
      </c>
      <c r="H36" s="273" t="s">
        <v>844</v>
      </c>
      <c r="I36" s="273" t="s">
        <v>843</v>
      </c>
      <c r="J36" s="273" t="s">
        <v>842</v>
      </c>
      <c r="K36" s="273" t="s">
        <v>542</v>
      </c>
      <c r="L36" s="272" t="s">
        <v>847</v>
      </c>
    </row>
    <row r="37" spans="1:15">
      <c r="B37" s="272"/>
      <c r="C37" s="272"/>
      <c r="D37" s="272"/>
      <c r="E37" s="272"/>
      <c r="F37" s="272"/>
      <c r="G37" s="273"/>
      <c r="H37" s="273"/>
      <c r="I37" s="273"/>
      <c r="J37" s="273"/>
      <c r="K37" s="273"/>
      <c r="L37" s="272"/>
    </row>
    <row r="38" spans="1:15" ht="15.75">
      <c r="A38" s="263" t="s">
        <v>52</v>
      </c>
      <c r="B38" s="264">
        <f>'Rate RS'!R38</f>
        <v>238336449</v>
      </c>
      <c r="C38" s="264"/>
      <c r="D38" s="264">
        <f>'Rate RS'!R34</f>
        <v>5327517</v>
      </c>
      <c r="E38" s="264"/>
      <c r="F38" s="264"/>
      <c r="G38" s="264">
        <f>'Rate RS'!R31</f>
        <v>506997</v>
      </c>
      <c r="H38" s="264">
        <f>'Rate RS'!R33</f>
        <v>841078</v>
      </c>
      <c r="I38" s="264">
        <f>'Rate RS'!R32</f>
        <v>2065490</v>
      </c>
      <c r="J38" s="264">
        <f>'Rate RS'!R35</f>
        <v>3781130</v>
      </c>
      <c r="K38" s="264">
        <f>SUM(G38:J38)</f>
        <v>7194695</v>
      </c>
      <c r="L38" s="264">
        <f>+B38-E38-K38</f>
        <v>231141754</v>
      </c>
      <c r="N38" s="286"/>
      <c r="O38" s="286"/>
    </row>
    <row r="39" spans="1:15" ht="15.75"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N39" s="286"/>
      <c r="O39" s="286"/>
    </row>
    <row r="40" spans="1:15" ht="15.75">
      <c r="A40" s="263" t="s">
        <v>91</v>
      </c>
      <c r="B40" s="264">
        <f>'Rate DS'!R50</f>
        <v>155286329</v>
      </c>
      <c r="C40" s="264"/>
      <c r="D40" s="264">
        <f>'Rate DS'!R46</f>
        <v>3826668</v>
      </c>
      <c r="E40" s="264"/>
      <c r="F40" s="264"/>
      <c r="G40" s="264"/>
      <c r="H40" s="264">
        <f>'Rate DS'!R45</f>
        <v>621254</v>
      </c>
      <c r="I40" s="264">
        <f>'Rate DS'!R44</f>
        <v>3843992</v>
      </c>
      <c r="J40" s="264">
        <f>'Rate DS'!R47</f>
        <v>2715924</v>
      </c>
      <c r="K40" s="264">
        <f t="shared" ref="K40:K59" si="10">SUM(G40:J40)</f>
        <v>7181170</v>
      </c>
      <c r="L40" s="264">
        <f t="shared" ref="L40:L51" si="11">+B40-E40-K40</f>
        <v>148105159</v>
      </c>
      <c r="N40" s="286"/>
      <c r="O40" s="286"/>
    </row>
    <row r="41" spans="1:15" ht="15.75">
      <c r="A41" s="263" t="s">
        <v>840</v>
      </c>
      <c r="B41" s="264">
        <f>'Rate DT-Pri'!R65</f>
        <v>54143418</v>
      </c>
      <c r="C41" s="264"/>
      <c r="D41" s="264">
        <f>'Rate DT-Pri'!R61</f>
        <v>1656313</v>
      </c>
      <c r="E41" s="264"/>
      <c r="F41" s="264"/>
      <c r="G41" s="264"/>
      <c r="H41" s="264">
        <f>'Rate DT-Pri'!R60</f>
        <v>197919</v>
      </c>
      <c r="I41" s="264">
        <f>'Rate DT-Pri'!R59</f>
        <v>1663811</v>
      </c>
      <c r="J41" s="264">
        <f>'Rate DT-Pri'!R62</f>
        <v>1175544</v>
      </c>
      <c r="K41" s="264">
        <f t="shared" si="10"/>
        <v>3037274</v>
      </c>
      <c r="L41" s="264">
        <f t="shared" si="11"/>
        <v>51106144</v>
      </c>
      <c r="N41" s="286"/>
      <c r="O41" s="286"/>
    </row>
    <row r="42" spans="1:15" ht="15.75">
      <c r="A42" s="263" t="s">
        <v>839</v>
      </c>
      <c r="B42" s="264">
        <f>'Rate DT-Sec'!R63</f>
        <v>69575089</v>
      </c>
      <c r="C42" s="264"/>
      <c r="D42" s="264">
        <f>'Rate DT-Sec'!R59</f>
        <v>2092488</v>
      </c>
      <c r="E42" s="264"/>
      <c r="F42" s="264"/>
      <c r="G42" s="264"/>
      <c r="H42" s="264">
        <f>'Rate DT-Sec'!R58</f>
        <v>256412</v>
      </c>
      <c r="I42" s="264">
        <f>'Rate DT-Sec'!R57</f>
        <v>2101961</v>
      </c>
      <c r="J42" s="264">
        <f>'Rate DT-Sec'!R60</f>
        <v>1485113</v>
      </c>
      <c r="K42" s="264">
        <f t="shared" si="10"/>
        <v>3843486</v>
      </c>
      <c r="L42" s="264">
        <f t="shared" si="11"/>
        <v>65731603</v>
      </c>
      <c r="N42" s="286"/>
      <c r="O42" s="286"/>
    </row>
    <row r="43" spans="1:15" ht="15.75">
      <c r="A43" s="263" t="s">
        <v>94</v>
      </c>
      <c r="B43" s="264">
        <f>'Rate EH'!R43</f>
        <v>2223632</v>
      </c>
      <c r="C43" s="264"/>
      <c r="D43" s="264">
        <f>'Rate EH'!R39</f>
        <v>66764</v>
      </c>
      <c r="E43" s="264"/>
      <c r="F43" s="264"/>
      <c r="G43" s="264"/>
      <c r="H43" s="264">
        <f>'Rate EH'!R38</f>
        <v>8201</v>
      </c>
      <c r="I43" s="264">
        <f>'Rate EH'!R37</f>
        <v>67067</v>
      </c>
      <c r="J43" s="264">
        <f>'Rate EH'!R40</f>
        <v>47385</v>
      </c>
      <c r="K43" s="264">
        <f t="shared" si="10"/>
        <v>122653</v>
      </c>
      <c r="L43" s="264">
        <f t="shared" si="11"/>
        <v>2100979</v>
      </c>
      <c r="N43" s="286"/>
      <c r="O43" s="286"/>
    </row>
    <row r="44" spans="1:15" ht="15.75">
      <c r="A44" s="263" t="s">
        <v>95</v>
      </c>
      <c r="B44" s="264">
        <f>'Rate SP GSFL'!R38</f>
        <v>60704</v>
      </c>
      <c r="C44" s="264"/>
      <c r="D44" s="264">
        <f>'Rate SP GSFL'!R34</f>
        <v>1141</v>
      </c>
      <c r="E44" s="264"/>
      <c r="F44" s="264"/>
      <c r="G44" s="264"/>
      <c r="H44" s="264">
        <f>'Rate SP GSFL'!R33</f>
        <v>263</v>
      </c>
      <c r="I44" s="264">
        <f>'Rate SP GSFL'!R32</f>
        <v>1146</v>
      </c>
      <c r="J44" s="264">
        <f>'Rate SP GSFL'!R35</f>
        <v>810</v>
      </c>
      <c r="K44" s="264">
        <f t="shared" si="10"/>
        <v>2219</v>
      </c>
      <c r="L44" s="264">
        <f t="shared" si="11"/>
        <v>58485</v>
      </c>
      <c r="N44" s="286"/>
      <c r="O44" s="286"/>
    </row>
    <row r="45" spans="1:15" ht="15.75">
      <c r="A45" s="263" t="s">
        <v>93</v>
      </c>
      <c r="B45" s="264">
        <f>'Rate SP GSFL'!R57</f>
        <v>959156</v>
      </c>
      <c r="C45" s="264"/>
      <c r="D45" s="264">
        <f>'Rate SP GSFL'!R53</f>
        <v>20654</v>
      </c>
      <c r="E45" s="264"/>
      <c r="F45" s="264"/>
      <c r="G45" s="264"/>
      <c r="H45" s="264">
        <f>'Rate SP GSFL'!R52</f>
        <v>4010</v>
      </c>
      <c r="I45" s="264">
        <f>'Rate SP GSFL'!R51</f>
        <v>20747</v>
      </c>
      <c r="J45" s="264">
        <f>'Rate SP GSFL'!R54</f>
        <v>14659</v>
      </c>
      <c r="K45" s="264">
        <f t="shared" si="10"/>
        <v>39416</v>
      </c>
      <c r="L45" s="264">
        <f t="shared" si="11"/>
        <v>919740</v>
      </c>
      <c r="N45" s="286"/>
      <c r="O45" s="286"/>
    </row>
    <row r="46" spans="1:15" ht="15.75">
      <c r="A46" s="263" t="s">
        <v>92</v>
      </c>
      <c r="B46" s="264">
        <f>'Rate DP'!R46</f>
        <v>949636</v>
      </c>
      <c r="C46" s="264"/>
      <c r="D46" s="264">
        <f>'Rate DP'!R42</f>
        <v>26946</v>
      </c>
      <c r="E46" s="264"/>
      <c r="F46" s="264"/>
      <c r="G46" s="264"/>
      <c r="H46" s="264">
        <f>'Rate DP'!R41</f>
        <v>3594</v>
      </c>
      <c r="I46" s="264">
        <f>'Rate DP'!R40</f>
        <v>27068</v>
      </c>
      <c r="J46" s="264">
        <f>'Rate DP'!R43</f>
        <v>19124</v>
      </c>
      <c r="K46" s="264">
        <f t="shared" si="10"/>
        <v>49786</v>
      </c>
      <c r="L46" s="264">
        <f t="shared" si="11"/>
        <v>899850</v>
      </c>
      <c r="N46" s="286"/>
      <c r="O46" s="286"/>
    </row>
    <row r="47" spans="1:15" ht="15.75">
      <c r="A47" s="263" t="s">
        <v>60</v>
      </c>
      <c r="B47" s="264">
        <f>'Rate TT'!R56</f>
        <v>16828037</v>
      </c>
      <c r="C47" s="264"/>
      <c r="D47" s="264">
        <f>'Rate TT'!R52</f>
        <v>646749</v>
      </c>
      <c r="E47" s="264"/>
      <c r="F47" s="264"/>
      <c r="G47" s="264"/>
      <c r="H47" s="264">
        <f>'Rate TT'!R51</f>
        <v>53855</v>
      </c>
      <c r="I47" s="264">
        <f>'Rate TT'!R50</f>
        <v>95328</v>
      </c>
      <c r="J47" s="264">
        <f>'Rate TT'!R53</f>
        <v>459021</v>
      </c>
      <c r="K47" s="264">
        <f t="shared" si="10"/>
        <v>608204</v>
      </c>
      <c r="L47" s="264">
        <f t="shared" si="11"/>
        <v>16219833</v>
      </c>
      <c r="N47" s="286"/>
      <c r="O47" s="286"/>
    </row>
    <row r="48" spans="1:15" ht="15.75">
      <c r="A48" s="263" t="s">
        <v>848</v>
      </c>
      <c r="B48" s="264">
        <v>0</v>
      </c>
      <c r="C48" s="264"/>
      <c r="D48" s="264">
        <v>0</v>
      </c>
      <c r="E48" s="264"/>
      <c r="F48" s="264"/>
      <c r="G48" s="264"/>
      <c r="H48" s="264">
        <v>0</v>
      </c>
      <c r="I48" s="264">
        <v>0</v>
      </c>
      <c r="J48" s="264">
        <v>0</v>
      </c>
      <c r="K48" s="264">
        <f t="shared" si="10"/>
        <v>0</v>
      </c>
      <c r="L48" s="264">
        <f t="shared" si="11"/>
        <v>0</v>
      </c>
      <c r="N48" s="286"/>
      <c r="O48" s="286"/>
    </row>
    <row r="49" spans="1:15" ht="15.75">
      <c r="A49" s="263" t="s">
        <v>838</v>
      </c>
      <c r="B49" s="264">
        <f>'Rate DT RTP-S'!R39</f>
        <v>90132</v>
      </c>
      <c r="C49" s="264"/>
      <c r="D49" s="264">
        <v>0</v>
      </c>
      <c r="E49" s="264"/>
      <c r="F49" s="264"/>
      <c r="G49" s="264"/>
      <c r="H49" s="264">
        <f>'Rate DT RTP-S'!R35</f>
        <v>286</v>
      </c>
      <c r="I49" s="264">
        <f>'Rate DT RTP-S'!R34</f>
        <v>3878</v>
      </c>
      <c r="J49" s="264">
        <f>'Rate DT RTP-S'!R36</f>
        <v>2740</v>
      </c>
      <c r="K49" s="264">
        <f t="shared" si="10"/>
        <v>6904</v>
      </c>
      <c r="L49" s="264">
        <f t="shared" si="11"/>
        <v>83228</v>
      </c>
      <c r="N49" s="286"/>
      <c r="O49" s="286"/>
    </row>
    <row r="50" spans="1:15" ht="15.75">
      <c r="A50" s="263" t="s">
        <v>307</v>
      </c>
      <c r="B50" s="264">
        <f>'Rate DS RTP'!R39</f>
        <v>1978</v>
      </c>
      <c r="C50" s="264"/>
      <c r="D50" s="264">
        <v>0</v>
      </c>
      <c r="E50" s="264"/>
      <c r="F50" s="264"/>
      <c r="G50" s="264"/>
      <c r="H50" s="264">
        <f>'Rate DS RTP'!R35</f>
        <v>11</v>
      </c>
      <c r="I50" s="264">
        <f>'Rate DS RTP'!R34</f>
        <v>-10</v>
      </c>
      <c r="J50" s="264">
        <f>'Rate DS RTP'!R36</f>
        <v>-7</v>
      </c>
      <c r="K50" s="264">
        <f t="shared" si="10"/>
        <v>-6</v>
      </c>
      <c r="L50" s="264">
        <f t="shared" si="11"/>
        <v>1984</v>
      </c>
      <c r="N50" s="286"/>
      <c r="O50" s="286"/>
    </row>
    <row r="51" spans="1:15" ht="15.75">
      <c r="A51" s="263" t="s">
        <v>837</v>
      </c>
      <c r="B51" s="264">
        <f>'Rate TT RTP'!R39</f>
        <v>584242</v>
      </c>
      <c r="C51" s="264"/>
      <c r="D51" s="264">
        <v>0</v>
      </c>
      <c r="E51" s="264"/>
      <c r="F51" s="264"/>
      <c r="G51" s="264"/>
      <c r="H51" s="264">
        <f>'Rate TT RTP'!R35</f>
        <v>947</v>
      </c>
      <c r="I51" s="264">
        <f>'Rate TT RTP'!R34</f>
        <v>6236</v>
      </c>
      <c r="J51" s="264">
        <f>'Rate TT RTP'!R36</f>
        <v>30029</v>
      </c>
      <c r="K51" s="264">
        <f t="shared" si="10"/>
        <v>37212</v>
      </c>
      <c r="L51" s="264">
        <f t="shared" si="11"/>
        <v>547030</v>
      </c>
      <c r="N51" s="286"/>
      <c r="O51" s="286"/>
    </row>
    <row r="52" spans="1:15" ht="15.75">
      <c r="A52" s="263" t="s">
        <v>77</v>
      </c>
      <c r="B52" s="264">
        <f>'Rate SL'!R139</f>
        <v>1641861</v>
      </c>
      <c r="C52" s="264"/>
      <c r="D52" s="264">
        <f>'SCH M-2.3'!P47</f>
        <v>23915</v>
      </c>
      <c r="E52" s="264"/>
      <c r="F52" s="264"/>
      <c r="G52" s="264"/>
      <c r="H52" s="264">
        <f>'Rate SL'!R131</f>
        <v>7404</v>
      </c>
      <c r="I52" s="264"/>
      <c r="J52" s="264">
        <f>'Rate SL'!R132</f>
        <v>16973</v>
      </c>
      <c r="K52" s="264">
        <f t="shared" si="10"/>
        <v>24377</v>
      </c>
      <c r="L52" s="264">
        <f>+B52-E52-K52</f>
        <v>1617484</v>
      </c>
      <c r="N52" s="286"/>
      <c r="O52" s="286"/>
    </row>
    <row r="53" spans="1:15" ht="15.75">
      <c r="A53" s="263" t="s">
        <v>81</v>
      </c>
      <c r="B53" s="264">
        <f>'Rate TL'!R34</f>
        <v>119312</v>
      </c>
      <c r="C53" s="264"/>
      <c r="D53" s="264">
        <f>'SCH M-2.3'!P48</f>
        <v>5011</v>
      </c>
      <c r="E53" s="264"/>
      <c r="F53" s="264"/>
      <c r="G53" s="264"/>
      <c r="H53" s="264">
        <f>'Rate TL'!R30</f>
        <v>384</v>
      </c>
      <c r="I53" s="264"/>
      <c r="J53" s="264">
        <f>'Rate TL'!R31</f>
        <v>3556</v>
      </c>
      <c r="K53" s="264">
        <f t="shared" si="10"/>
        <v>3940</v>
      </c>
      <c r="L53" s="264">
        <f t="shared" ref="L53:L59" si="12">+B53-E53-K53</f>
        <v>115372</v>
      </c>
      <c r="N53" s="286"/>
      <c r="O53" s="286"/>
    </row>
    <row r="54" spans="1:15" ht="15.75">
      <c r="A54" s="263" t="s">
        <v>836</v>
      </c>
      <c r="B54" s="264">
        <f>'Rate UOLS'!R28</f>
        <v>701919</v>
      </c>
      <c r="C54" s="264"/>
      <c r="D54" s="264">
        <f>'SCH M-2.3'!P49</f>
        <v>29788</v>
      </c>
      <c r="E54" s="264"/>
      <c r="F54" s="264"/>
      <c r="G54" s="264"/>
      <c r="H54" s="264">
        <f>'Rate UOLS'!R24</f>
        <v>2245</v>
      </c>
      <c r="I54" s="264"/>
      <c r="J54" s="264">
        <f>'Rate UOLS'!R25</f>
        <v>21142</v>
      </c>
      <c r="K54" s="264">
        <f t="shared" si="10"/>
        <v>23387</v>
      </c>
      <c r="L54" s="264">
        <f t="shared" si="12"/>
        <v>678532</v>
      </c>
      <c r="N54" s="286"/>
      <c r="O54" s="286"/>
    </row>
    <row r="55" spans="1:15" ht="15.75">
      <c r="A55" s="263" t="s">
        <v>86</v>
      </c>
      <c r="B55" s="264">
        <f>'Rate NSU'!R45</f>
        <v>110771</v>
      </c>
      <c r="C55" s="264"/>
      <c r="D55" s="264">
        <f>'SCH M-2.3'!P50</f>
        <v>1368</v>
      </c>
      <c r="E55" s="264"/>
      <c r="F55" s="264"/>
      <c r="G55" s="264"/>
      <c r="H55" s="264">
        <f>'Rate NSU'!R41</f>
        <v>530</v>
      </c>
      <c r="I55" s="264"/>
      <c r="J55" s="264">
        <f>'Rate NSU'!R42</f>
        <v>971</v>
      </c>
      <c r="K55" s="264">
        <f t="shared" si="10"/>
        <v>1501</v>
      </c>
      <c r="L55" s="264">
        <f t="shared" si="12"/>
        <v>109270</v>
      </c>
      <c r="N55" s="286"/>
      <c r="O55" s="286"/>
    </row>
    <row r="56" spans="1:15" ht="15.75">
      <c r="A56" s="263" t="s">
        <v>73</v>
      </c>
      <c r="B56" s="264">
        <f>'Rate SC'!R72</f>
        <v>7456</v>
      </c>
      <c r="C56" s="264"/>
      <c r="D56" s="264">
        <f>'SCH M-2.3'!P51</f>
        <v>318</v>
      </c>
      <c r="E56" s="264"/>
      <c r="F56" s="264"/>
      <c r="G56" s="264"/>
      <c r="H56" s="264">
        <f>'Rate SC'!R68</f>
        <v>24</v>
      </c>
      <c r="I56" s="264"/>
      <c r="J56" s="264">
        <f>'Rate SC'!R69</f>
        <v>226</v>
      </c>
      <c r="K56" s="264">
        <f t="shared" si="10"/>
        <v>250</v>
      </c>
      <c r="L56" s="264">
        <f t="shared" si="12"/>
        <v>7206</v>
      </c>
      <c r="N56" s="286"/>
      <c r="O56" s="286"/>
    </row>
    <row r="57" spans="1:15" ht="15.75">
      <c r="A57" s="263" t="s">
        <v>70</v>
      </c>
      <c r="B57" s="264">
        <f>'Rate SE'!R52</f>
        <v>297074</v>
      </c>
      <c r="C57" s="264"/>
      <c r="D57" s="264">
        <f>'SCH M-2.3'!P52</f>
        <v>4218</v>
      </c>
      <c r="E57" s="264"/>
      <c r="F57" s="264"/>
      <c r="G57" s="264"/>
      <c r="H57" s="264">
        <f>'Rate SE'!R48</f>
        <v>1391</v>
      </c>
      <c r="I57" s="264"/>
      <c r="J57" s="264">
        <f>'Rate SE'!R49</f>
        <v>2994</v>
      </c>
      <c r="K57" s="264">
        <f t="shared" si="10"/>
        <v>4385</v>
      </c>
      <c r="L57" s="264">
        <f t="shared" si="12"/>
        <v>292689</v>
      </c>
      <c r="N57" s="286"/>
      <c r="O57" s="286"/>
    </row>
    <row r="58" spans="1:15" ht="15.75">
      <c r="A58" s="263" t="s">
        <v>795</v>
      </c>
      <c r="B58" s="264">
        <f>'Rate LED'!R340</f>
        <v>22874.429167999999</v>
      </c>
      <c r="C58" s="264"/>
      <c r="D58" s="264">
        <f>'SCH M-2.3'!P53</f>
        <v>147</v>
      </c>
      <c r="E58" s="264"/>
      <c r="F58" s="264"/>
      <c r="G58" s="264"/>
      <c r="H58" s="264">
        <f>'Rate LED'!R335</f>
        <v>116</v>
      </c>
      <c r="I58" s="264"/>
      <c r="J58" s="264">
        <f>'Rate LED'!R337</f>
        <v>104</v>
      </c>
      <c r="K58" s="264">
        <f t="shared" si="10"/>
        <v>220</v>
      </c>
      <c r="L58" s="264">
        <f t="shared" si="12"/>
        <v>22654.429167999999</v>
      </c>
      <c r="N58" s="286"/>
      <c r="O58" s="286"/>
    </row>
    <row r="59" spans="1:15" ht="15.75">
      <c r="A59" s="263" t="s">
        <v>835</v>
      </c>
      <c r="B59" s="265">
        <f>'SCH M-2.3'!R57+'SCH M-2.3'!R63</f>
        <v>1165206</v>
      </c>
      <c r="C59" s="265"/>
      <c r="D59" s="265">
        <f>'SCH M-2.3'!P57+'SCH M-2.3'!P63</f>
        <v>49887.096871641595</v>
      </c>
      <c r="E59" s="265"/>
      <c r="F59" s="264"/>
      <c r="G59" s="265"/>
      <c r="H59" s="265"/>
      <c r="I59" s="265"/>
      <c r="J59" s="265"/>
      <c r="K59" s="265">
        <f t="shared" si="10"/>
        <v>0</v>
      </c>
      <c r="L59" s="265">
        <f t="shared" si="12"/>
        <v>1165206</v>
      </c>
      <c r="N59" s="286"/>
      <c r="O59" s="286"/>
    </row>
    <row r="60" spans="1:15" ht="15.75">
      <c r="A60" s="263" t="s">
        <v>834</v>
      </c>
      <c r="B60" s="264">
        <f>SUM(B38:B59)</f>
        <v>543105275.42916799</v>
      </c>
      <c r="C60" s="264">
        <f>SUM(C38:C59)</f>
        <v>0</v>
      </c>
      <c r="D60" s="264">
        <f>SUM(D38:D59)</f>
        <v>13779892.096871642</v>
      </c>
      <c r="E60" s="264">
        <f>SUM(E38:E59)</f>
        <v>0</v>
      </c>
      <c r="F60" s="264"/>
      <c r="G60" s="264">
        <f t="shared" ref="G60:L60" si="13">SUM(G38:G59)</f>
        <v>506997</v>
      </c>
      <c r="H60" s="264">
        <f t="shared" si="13"/>
        <v>1999924</v>
      </c>
      <c r="I60" s="264">
        <f t="shared" si="13"/>
        <v>9896714</v>
      </c>
      <c r="J60" s="264">
        <f t="shared" si="13"/>
        <v>9777438</v>
      </c>
      <c r="K60" s="264">
        <f t="shared" si="13"/>
        <v>22181073</v>
      </c>
      <c r="L60" s="264">
        <f t="shared" si="13"/>
        <v>520924202.42916799</v>
      </c>
    </row>
    <row r="65" spans="8:8">
      <c r="H65" s="286"/>
    </row>
  </sheetData>
  <pageMargins left="0.7" right="0.7" top="0.75" bottom="0.75" header="0.3" footer="0.3"/>
  <pageSetup scale="5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1" transitionEvaluation="1" transitionEntry="1" codeName="Sheet82">
    <pageSetUpPr fitToPage="1"/>
  </sheetPr>
  <dimension ref="A1:BW1045"/>
  <sheetViews>
    <sheetView workbookViewId="0"/>
  </sheetViews>
  <sheetFormatPr defaultColWidth="9.69921875" defaultRowHeight="15.75"/>
  <cols>
    <col min="1" max="1" width="5" style="41" customWidth="1"/>
    <col min="2" max="2" width="0.69921875" style="41" customWidth="1"/>
    <col min="3" max="3" width="8.69921875" style="41" customWidth="1"/>
    <col min="4" max="4" width="40.09765625" style="41" customWidth="1"/>
    <col min="5" max="5" width="0.69921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3.6992187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2.69921875" style="41" customWidth="1"/>
    <col min="17" max="17" width="0.59765625" style="41" customWidth="1"/>
    <col min="18" max="18" width="17.09765625" style="41" customWidth="1"/>
    <col min="19" max="19" width="6.69921875" style="41" customWidth="1"/>
    <col min="20" max="20" width="5.09765625" style="41" customWidth="1"/>
    <col min="21" max="21" width="0.59765625" style="41" customWidth="1"/>
    <col min="22" max="22" width="7.3984375" style="41" customWidth="1"/>
    <col min="23" max="23" width="40.69921875" style="41" customWidth="1"/>
    <col min="24" max="24" width="0.6992187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3984375" style="41" customWidth="1"/>
    <col min="29" max="29" width="12.09765625" style="41" customWidth="1"/>
    <col min="30" max="30" width="0.2968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6992187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">
        <v>523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>
      <c r="A10" s="133" t="str">
        <f>INPUT!B5</f>
        <v xml:space="preserve"> </v>
      </c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>
      <c r="H19" s="309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A20" s="41">
        <v>1</v>
      </c>
      <c r="C20" s="133" t="s">
        <v>306</v>
      </c>
      <c r="D20" s="130" t="s">
        <v>363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>
      <c r="A21" s="41">
        <v>2</v>
      </c>
      <c r="C21" s="133"/>
      <c r="D21" s="130" t="s">
        <v>132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ht="21.75" customHeight="1">
      <c r="C22" s="4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42"/>
    </row>
    <row r="23" spans="1:40">
      <c r="A23" s="41">
        <v>3</v>
      </c>
      <c r="C23" s="133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>
      <c r="A24" s="41">
        <v>4</v>
      </c>
      <c r="C24" s="42" t="s">
        <v>311</v>
      </c>
      <c r="F24" s="164">
        <v>0</v>
      </c>
      <c r="G24" s="1"/>
      <c r="H24" s="68"/>
      <c r="I24" s="1"/>
      <c r="J24" s="316">
        <f>INPUT!D154</f>
        <v>183</v>
      </c>
      <c r="K24" s="1"/>
      <c r="L24" s="3">
        <f>ROUND(+F24*J24,0)</f>
        <v>0</v>
      </c>
      <c r="M24" s="1"/>
      <c r="N24" s="70">
        <v>0</v>
      </c>
      <c r="O24" s="1"/>
      <c r="P24" s="3"/>
      <c r="Q24" s="1"/>
      <c r="R24" s="3">
        <f>L24+P24</f>
        <v>0</v>
      </c>
      <c r="S24" s="45"/>
      <c r="T24" s="42"/>
      <c r="V24" s="45"/>
      <c r="Y24" s="45"/>
      <c r="Z24" s="325"/>
      <c r="AA24" s="45"/>
      <c r="AB24" s="45"/>
      <c r="AC24" s="46"/>
      <c r="AD24" s="46"/>
      <c r="AE24" s="45"/>
      <c r="AF24" s="45"/>
      <c r="AH24" s="46"/>
      <c r="AI24" s="45"/>
      <c r="AJ24" s="45"/>
      <c r="AL24" s="45"/>
      <c r="AM24" s="46"/>
      <c r="AN24" s="46"/>
    </row>
    <row r="25" spans="1:40" ht="20.100000000000001" customHeight="1">
      <c r="A25" s="41">
        <v>5</v>
      </c>
      <c r="C25" s="133" t="s">
        <v>136</v>
      </c>
      <c r="F25" s="3"/>
      <c r="G25" s="1"/>
      <c r="H25" s="3"/>
      <c r="I25" s="1"/>
      <c r="J25" s="326"/>
      <c r="K25" s="1"/>
      <c r="L25" s="72">
        <f>SUM(L24:L24)</f>
        <v>0</v>
      </c>
      <c r="M25" s="1"/>
      <c r="N25" s="74">
        <v>0</v>
      </c>
      <c r="O25" s="1"/>
      <c r="P25" s="72"/>
      <c r="Q25" s="3"/>
      <c r="R25" s="72">
        <f>SUM(R24:R24)</f>
        <v>0</v>
      </c>
      <c r="S25" s="45"/>
      <c r="V25" s="50"/>
      <c r="Y25" s="50"/>
      <c r="Z25" s="326"/>
      <c r="AA25" s="50"/>
      <c r="AB25" s="50"/>
      <c r="AC25" s="50"/>
      <c r="AD25" s="50"/>
      <c r="AE25" s="50"/>
      <c r="AF25" s="50"/>
      <c r="AI25" s="50"/>
      <c r="AJ25" s="50"/>
      <c r="AK25" s="111"/>
      <c r="AL25" s="50"/>
      <c r="AM25" s="46"/>
      <c r="AN25" s="46"/>
    </row>
    <row r="26" spans="1:40" ht="19.5" customHeight="1">
      <c r="C26" s="42"/>
      <c r="F26" s="3"/>
      <c r="G26" s="1"/>
      <c r="H26" s="3"/>
      <c r="I26" s="1"/>
      <c r="J26" s="326"/>
      <c r="K26" s="1"/>
      <c r="L26" s="3"/>
      <c r="M26" s="1"/>
      <c r="N26" s="4"/>
      <c r="O26" s="1"/>
      <c r="P26" s="3"/>
      <c r="Q26" s="3"/>
      <c r="R26" s="3"/>
      <c r="S26" s="45"/>
      <c r="V26" s="50"/>
      <c r="Y26" s="50"/>
      <c r="Z26" s="326"/>
      <c r="AA26" s="50"/>
      <c r="AB26" s="50"/>
      <c r="AC26" s="50"/>
      <c r="AD26" s="50"/>
      <c r="AE26" s="50"/>
      <c r="AF26" s="50"/>
      <c r="AI26" s="50"/>
      <c r="AJ26" s="50"/>
      <c r="AK26" s="111"/>
      <c r="AL26" s="50"/>
      <c r="AM26" s="46"/>
      <c r="AN26" s="46"/>
    </row>
    <row r="27" spans="1:40">
      <c r="A27" s="41">
        <v>6</v>
      </c>
      <c r="C27" s="133" t="s">
        <v>371</v>
      </c>
      <c r="F27" s="3"/>
      <c r="G27" s="1"/>
      <c r="H27" s="3"/>
      <c r="I27" s="1"/>
      <c r="J27" s="47"/>
      <c r="K27" s="1"/>
      <c r="L27" s="3"/>
      <c r="M27" s="1"/>
      <c r="N27" s="4"/>
      <c r="O27" s="1"/>
      <c r="P27" s="3"/>
      <c r="Q27" s="3"/>
      <c r="R27" s="3"/>
      <c r="Y27" s="42"/>
    </row>
    <row r="28" spans="1:40">
      <c r="A28" s="41">
        <v>7</v>
      </c>
      <c r="C28" s="42" t="s">
        <v>381</v>
      </c>
      <c r="F28" s="68"/>
      <c r="G28" s="1"/>
      <c r="H28" s="164">
        <v>0</v>
      </c>
      <c r="I28" s="68"/>
      <c r="J28" s="323">
        <f>INPUT!D157</f>
        <v>2.8504000000000002E-2</v>
      </c>
      <c r="K28" s="319"/>
      <c r="L28" s="3">
        <f>ROUND((H28*J28),0)</f>
        <v>0</v>
      </c>
      <c r="M28" s="3"/>
      <c r="N28" s="4">
        <v>0</v>
      </c>
      <c r="O28" s="4"/>
      <c r="P28" s="68"/>
      <c r="Q28" s="68"/>
      <c r="R28" s="3">
        <f>L28+P28</f>
        <v>0</v>
      </c>
      <c r="S28" s="45"/>
      <c r="T28" s="42"/>
      <c r="V28" s="164"/>
      <c r="Y28" s="45"/>
      <c r="Z28" s="325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 ht="20.100000000000001" customHeight="1">
      <c r="A29" s="41">
        <v>8</v>
      </c>
      <c r="C29" s="42" t="s">
        <v>370</v>
      </c>
      <c r="F29" s="68"/>
      <c r="G29" s="1"/>
      <c r="H29" s="68">
        <f>H28</f>
        <v>0</v>
      </c>
      <c r="I29" s="68"/>
      <c r="J29" s="323">
        <f>INPUT!D161</f>
        <v>3.9684999999999998E-2</v>
      </c>
      <c r="K29" s="319"/>
      <c r="L29" s="3">
        <f>ROUND((H29*J29),0)</f>
        <v>0</v>
      </c>
      <c r="M29" s="3"/>
      <c r="N29" s="4">
        <v>0</v>
      </c>
      <c r="O29" s="4"/>
      <c r="P29" s="45">
        <f>ROUND(-H29*(CUR_FAC+CUR_BASE_FUEL),0)</f>
        <v>0</v>
      </c>
      <c r="Q29" s="68"/>
      <c r="R29" s="3">
        <f>L29+P29</f>
        <v>0</v>
      </c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 ht="20.100000000000001" customHeight="1">
      <c r="A30" s="41">
        <v>9</v>
      </c>
      <c r="C30" s="133" t="s">
        <v>142</v>
      </c>
      <c r="F30" s="66"/>
      <c r="G30" s="1"/>
      <c r="H30" s="72">
        <f>H28</f>
        <v>0</v>
      </c>
      <c r="I30" s="3"/>
      <c r="J30" s="154"/>
      <c r="K30" s="7"/>
      <c r="L30" s="72">
        <f>SUM(L28:L29)</f>
        <v>0</v>
      </c>
      <c r="M30" s="3"/>
      <c r="N30" s="74">
        <v>0</v>
      </c>
      <c r="O30" s="4"/>
      <c r="P30" s="71">
        <f>P29</f>
        <v>0</v>
      </c>
      <c r="Q30" s="3"/>
      <c r="R30" s="72">
        <f>SUM(R28:R29)</f>
        <v>0</v>
      </c>
      <c r="S30" s="45"/>
      <c r="V30" s="50"/>
      <c r="Y30" s="50"/>
      <c r="Z30" s="326"/>
      <c r="AA30" s="50"/>
      <c r="AB30" s="50"/>
      <c r="AC30" s="50"/>
      <c r="AD30" s="50"/>
      <c r="AE30" s="50"/>
      <c r="AF30" s="50"/>
      <c r="AI30" s="50"/>
      <c r="AJ30" s="50"/>
      <c r="AK30" s="111"/>
      <c r="AL30" s="50"/>
    </row>
    <row r="31" spans="1:40" ht="20.100000000000001" customHeight="1">
      <c r="A31" s="41">
        <v>10</v>
      </c>
      <c r="C31" s="310" t="s">
        <v>454</v>
      </c>
      <c r="F31" s="72">
        <f>F24</f>
        <v>0</v>
      </c>
      <c r="G31" s="1"/>
      <c r="H31" s="72">
        <f>H30</f>
        <v>0</v>
      </c>
      <c r="I31" s="3"/>
      <c r="J31" s="154"/>
      <c r="K31" s="7"/>
      <c r="L31" s="72">
        <f>L30+L25</f>
        <v>0</v>
      </c>
      <c r="M31" s="3"/>
      <c r="N31" s="70">
        <v>0</v>
      </c>
      <c r="O31" s="4"/>
      <c r="P31" s="71">
        <f>P30</f>
        <v>0</v>
      </c>
      <c r="Q31" s="3"/>
      <c r="R31" s="72">
        <f>R25+R30</f>
        <v>0</v>
      </c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</row>
    <row r="32" spans="1:40" ht="15.75" customHeight="1">
      <c r="C32" s="42"/>
      <c r="F32" s="3"/>
      <c r="G32" s="1"/>
      <c r="H32" s="3"/>
      <c r="I32" s="3"/>
      <c r="J32" s="154"/>
      <c r="K32" s="7"/>
      <c r="L32" s="3"/>
      <c r="M32" s="3"/>
      <c r="N32" s="4"/>
      <c r="O32" s="4"/>
      <c r="P32" s="68"/>
      <c r="Q32" s="3"/>
      <c r="R32" s="3"/>
      <c r="S32" s="45"/>
      <c r="V32" s="50"/>
      <c r="Y32" s="50"/>
      <c r="Z32" s="326"/>
      <c r="AA32" s="50"/>
      <c r="AB32" s="50"/>
      <c r="AC32" s="50"/>
      <c r="AD32" s="50"/>
      <c r="AE32" s="50"/>
      <c r="AF32" s="50"/>
      <c r="AI32" s="50"/>
      <c r="AJ32" s="50"/>
      <c r="AK32" s="111"/>
      <c r="AL32" s="50"/>
    </row>
    <row r="33" spans="1:43" ht="15.75" customHeight="1">
      <c r="A33" s="41">
        <v>11</v>
      </c>
      <c r="C33" s="133" t="s">
        <v>430</v>
      </c>
      <c r="F33" s="3"/>
      <c r="G33" s="1"/>
      <c r="H33" s="3"/>
      <c r="I33" s="3"/>
      <c r="J33" s="154"/>
      <c r="K33" s="7"/>
      <c r="L33" s="3"/>
      <c r="M33" s="3"/>
      <c r="N33" s="4"/>
      <c r="O33" s="4"/>
      <c r="P33" s="68"/>
      <c r="Q33" s="3"/>
      <c r="R33" s="3"/>
      <c r="S33" s="45"/>
      <c r="V33" s="50"/>
      <c r="Y33" s="50"/>
      <c r="Z33" s="326"/>
      <c r="AA33" s="50"/>
      <c r="AB33" s="50"/>
      <c r="AC33" s="50"/>
      <c r="AD33" s="50"/>
      <c r="AE33" s="50"/>
      <c r="AF33" s="50"/>
      <c r="AI33" s="50"/>
      <c r="AJ33" s="50"/>
      <c r="AK33" s="111"/>
      <c r="AL33" s="50"/>
    </row>
    <row r="34" spans="1:43" ht="15.75" customHeight="1">
      <c r="A34" s="41">
        <v>12</v>
      </c>
      <c r="C34" s="128" t="s">
        <v>434</v>
      </c>
      <c r="F34" s="3"/>
      <c r="G34" s="1"/>
      <c r="H34" s="3"/>
      <c r="I34" s="3"/>
      <c r="J34" s="323">
        <f>PRO_DSM_DIST</f>
        <v>3.503E-3</v>
      </c>
      <c r="K34" s="7"/>
      <c r="L34" s="3">
        <f>ROUND(H31*PRO_DSM_DIST,0)</f>
        <v>0</v>
      </c>
      <c r="M34" s="3"/>
      <c r="N34" s="103">
        <v>0</v>
      </c>
      <c r="O34" s="4"/>
      <c r="P34" s="68"/>
      <c r="Q34" s="3"/>
      <c r="R34" s="3">
        <f>L34+P34</f>
        <v>0</v>
      </c>
      <c r="S34" s="45"/>
      <c r="V34" s="50"/>
      <c r="Y34" s="50"/>
      <c r="Z34" s="326"/>
      <c r="AA34" s="50"/>
      <c r="AB34" s="50"/>
      <c r="AC34" s="50"/>
      <c r="AD34" s="50"/>
      <c r="AE34" s="50"/>
      <c r="AF34" s="50"/>
      <c r="AI34" s="50"/>
      <c r="AJ34" s="50"/>
      <c r="AK34" s="111"/>
      <c r="AL34" s="50"/>
    </row>
    <row r="35" spans="1:43" ht="15.75" customHeight="1">
      <c r="A35" s="41">
        <v>13</v>
      </c>
      <c r="C35" s="128" t="s">
        <v>432</v>
      </c>
      <c r="F35" s="3"/>
      <c r="G35" s="1"/>
      <c r="H35" s="3"/>
      <c r="I35" s="3"/>
      <c r="J35" s="323">
        <f>PRO_PSM</f>
        <v>2.4750000000000002E-3</v>
      </c>
      <c r="K35" s="7"/>
      <c r="L35" s="66">
        <f>ROUND(H31*PRO_PSM,0)</f>
        <v>0</v>
      </c>
      <c r="M35" s="3"/>
      <c r="N35" s="104">
        <v>0</v>
      </c>
      <c r="O35" s="4"/>
      <c r="P35" s="69"/>
      <c r="Q35" s="3"/>
      <c r="R35" s="3">
        <f>L35+P35</f>
        <v>0</v>
      </c>
      <c r="S35" s="45"/>
      <c r="V35" s="50"/>
      <c r="Y35" s="50"/>
      <c r="Z35" s="326"/>
      <c r="AA35" s="50"/>
      <c r="AB35" s="50"/>
      <c r="AC35" s="50"/>
      <c r="AD35" s="50"/>
      <c r="AE35" s="50"/>
      <c r="AF35" s="50"/>
      <c r="AI35" s="50"/>
      <c r="AJ35" s="50"/>
      <c r="AK35" s="111"/>
      <c r="AL35" s="50"/>
    </row>
    <row r="36" spans="1:43" ht="20.100000000000001" customHeight="1">
      <c r="A36" s="41">
        <v>14</v>
      </c>
      <c r="C36" s="133" t="s">
        <v>435</v>
      </c>
      <c r="F36" s="66"/>
      <c r="G36" s="1"/>
      <c r="H36" s="66"/>
      <c r="I36" s="3"/>
      <c r="J36" s="7"/>
      <c r="K36" s="7"/>
      <c r="L36" s="72">
        <f>SUM(L34:L35)</f>
        <v>0</v>
      </c>
      <c r="M36" s="3"/>
      <c r="N36" s="105">
        <v>0</v>
      </c>
      <c r="O36" s="4"/>
      <c r="P36" s="72">
        <f>SUM(P34:P35)</f>
        <v>0</v>
      </c>
      <c r="Q36" s="3"/>
      <c r="R36" s="72">
        <f>SUM(R34:R35)</f>
        <v>0</v>
      </c>
      <c r="S36" s="45"/>
      <c r="V36" s="50"/>
      <c r="Y36" s="50"/>
      <c r="Z36" s="326"/>
      <c r="AA36" s="50"/>
      <c r="AB36" s="50"/>
      <c r="AC36" s="50"/>
      <c r="AD36" s="50"/>
      <c r="AE36" s="50"/>
      <c r="AF36" s="50"/>
      <c r="AI36" s="50"/>
      <c r="AJ36" s="50"/>
      <c r="AK36" s="111"/>
      <c r="AL36" s="50"/>
    </row>
    <row r="37" spans="1:43" ht="15.75" customHeight="1">
      <c r="C37" s="133"/>
      <c r="F37" s="3"/>
      <c r="G37" s="1"/>
      <c r="H37" s="3"/>
      <c r="I37" s="3"/>
      <c r="J37" s="7"/>
      <c r="K37" s="7"/>
      <c r="L37" s="3"/>
      <c r="M37" s="3"/>
      <c r="N37" s="4"/>
      <c r="O37" s="4"/>
      <c r="P37" s="68"/>
      <c r="Q37" s="3"/>
      <c r="R37" s="3"/>
      <c r="S37" s="45"/>
      <c r="V37" s="50"/>
      <c r="Y37" s="50"/>
      <c r="Z37" s="326"/>
      <c r="AA37" s="50"/>
      <c r="AB37" s="50"/>
      <c r="AC37" s="50"/>
      <c r="AD37" s="50"/>
      <c r="AE37" s="50"/>
      <c r="AF37" s="50"/>
      <c r="AI37" s="50"/>
      <c r="AJ37" s="50"/>
      <c r="AK37" s="111"/>
      <c r="AL37" s="50"/>
    </row>
    <row r="38" spans="1:43" ht="20.100000000000001" customHeight="1" thickBot="1">
      <c r="A38" s="41">
        <v>15</v>
      </c>
      <c r="C38" s="310" t="s">
        <v>455</v>
      </c>
      <c r="F38" s="67">
        <f>F31</f>
        <v>0</v>
      </c>
      <c r="G38" s="1"/>
      <c r="H38" s="67">
        <f>H31</f>
        <v>0</v>
      </c>
      <c r="I38" s="1"/>
      <c r="J38" s="1"/>
      <c r="K38" s="1"/>
      <c r="L38" s="67">
        <f>L36+L31</f>
        <v>0</v>
      </c>
      <c r="M38" s="1"/>
      <c r="N38" s="73">
        <v>100</v>
      </c>
      <c r="O38" s="1"/>
      <c r="P38" s="67">
        <f>P36+P31</f>
        <v>0</v>
      </c>
      <c r="Q38" s="68"/>
      <c r="R38" s="67">
        <f>R36+R31</f>
        <v>0</v>
      </c>
    </row>
    <row r="39" spans="1:43" ht="16.5" thickTop="1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78"/>
      <c r="R39" s="1"/>
    </row>
    <row r="40" spans="1:43">
      <c r="C40" s="140" t="s">
        <v>59</v>
      </c>
      <c r="L40" s="45"/>
      <c r="N40" s="45"/>
      <c r="P40" s="45"/>
      <c r="Q40" s="45"/>
      <c r="R40" s="45"/>
    </row>
    <row r="41" spans="1:43">
      <c r="C41" s="42"/>
      <c r="F41" s="50">
        <v>0</v>
      </c>
      <c r="H41" s="50">
        <v>0</v>
      </c>
      <c r="J41" s="50"/>
      <c r="L41" s="326"/>
      <c r="N41" s="326"/>
      <c r="P41" s="50"/>
      <c r="Q41" s="50"/>
      <c r="R41" s="50"/>
    </row>
    <row r="42" spans="1:43">
      <c r="C42" s="42"/>
      <c r="F42" s="45"/>
      <c r="H42" s="45"/>
      <c r="J42" s="45"/>
      <c r="L42" s="47"/>
      <c r="N42" s="47"/>
      <c r="P42" s="45"/>
      <c r="Q42" s="45"/>
      <c r="R42" s="45"/>
    </row>
    <row r="43" spans="1:43">
      <c r="C43" s="42"/>
      <c r="F43" s="45"/>
      <c r="H43" s="45"/>
      <c r="J43" s="45"/>
      <c r="L43" s="47"/>
      <c r="N43" s="47"/>
      <c r="P43" s="45"/>
      <c r="Q43" s="45"/>
      <c r="R43" s="45"/>
    </row>
    <row r="44" spans="1:43">
      <c r="F44" s="45"/>
      <c r="H44" s="45"/>
      <c r="J44" s="45"/>
      <c r="L44" s="47"/>
      <c r="N44" s="47"/>
      <c r="P44" s="45"/>
      <c r="Q44" s="45"/>
      <c r="R44" s="45"/>
    </row>
    <row r="45" spans="1:43">
      <c r="A45" s="42"/>
      <c r="F45" s="45"/>
      <c r="H45" s="45"/>
      <c r="J45" s="45"/>
      <c r="L45" s="47"/>
      <c r="N45" s="47"/>
      <c r="P45" s="45"/>
      <c r="Q45" s="45"/>
      <c r="R45" s="45"/>
      <c r="T45" s="40" t="str">
        <f>NAME</f>
        <v>DUKE ENERGY KENTUCKY, INC.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</row>
    <row r="46" spans="1:43">
      <c r="A46" s="42"/>
      <c r="F46" s="45"/>
      <c r="H46" s="45"/>
      <c r="J46" s="45"/>
      <c r="L46" s="47"/>
      <c r="N46" s="47"/>
      <c r="P46" s="45"/>
      <c r="Q46" s="45"/>
      <c r="R46" s="45"/>
      <c r="T46" s="40" t="str">
        <f>CASE_NO</f>
        <v>CASE NO.   2024-00354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100"/>
      <c r="AH46" s="40"/>
      <c r="AI46" s="40"/>
      <c r="AJ46" s="40"/>
      <c r="AK46" s="100"/>
      <c r="AL46" s="40"/>
      <c r="AM46" s="40"/>
      <c r="AN46" s="40"/>
      <c r="AO46" s="40"/>
      <c r="AP46" s="40"/>
      <c r="AQ46" s="100"/>
    </row>
    <row r="47" spans="1:43">
      <c r="T47" s="40" t="str">
        <f>TITLE</f>
        <v>ANNUALIZED TEST YEAR REVENUES AT PROPOSED VS. MOST CURRENT RATES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00"/>
      <c r="AH47" s="40"/>
      <c r="AI47" s="40"/>
      <c r="AJ47" s="40"/>
      <c r="AK47" s="100"/>
      <c r="AL47" s="40"/>
      <c r="AM47" s="40"/>
      <c r="AN47" s="40"/>
      <c r="AO47" s="40"/>
      <c r="AP47" s="40"/>
      <c r="AQ47" s="100"/>
    </row>
    <row r="48" spans="1:43">
      <c r="T48" s="40" t="str">
        <f>DATE</f>
        <v>FOR THE TWELVE MONTHS ENDED June 30, 2026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00"/>
      <c r="AH48" s="40"/>
      <c r="AI48" s="40"/>
      <c r="AJ48" s="40"/>
      <c r="AK48" s="100"/>
      <c r="AL48" s="40"/>
      <c r="AM48" s="40"/>
      <c r="AN48" s="40"/>
      <c r="AO48" s="40"/>
      <c r="AP48" s="40"/>
      <c r="AQ48" s="100"/>
    </row>
    <row r="49" spans="1:43">
      <c r="P49" s="45"/>
      <c r="Q49" s="45"/>
      <c r="R49" s="45"/>
      <c r="T49" s="40" t="str">
        <f>SERVICE</f>
        <v>(ELECTRIC SERVICE)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</row>
    <row r="50" spans="1:43">
      <c r="T50" s="41" t="str">
        <f>DATA_PERIOD</f>
        <v>DATA: ____ BASE PERIOD   __X__FORECASTED PERIOD</v>
      </c>
      <c r="AO50" s="42" t="s">
        <v>157</v>
      </c>
      <c r="AP50" s="42"/>
    </row>
    <row r="51" spans="1:43">
      <c r="T51" s="41" t="str">
        <f>TYPE</f>
        <v>TYPE OF FILING: _X_ ORIGINAL   ___UPDATED  ___ REVISED</v>
      </c>
      <c r="AO51" s="48" t="str">
        <f>R7</f>
        <v>PAGE  xx  OF  20</v>
      </c>
      <c r="AP51" s="42"/>
    </row>
    <row r="52" spans="1:43">
      <c r="H52" s="42"/>
      <c r="J52" s="42"/>
      <c r="T52" s="42" t="s">
        <v>170</v>
      </c>
      <c r="AO52" s="42" t="s">
        <v>3</v>
      </c>
      <c r="AP52" s="42"/>
    </row>
    <row r="53" spans="1:43">
      <c r="T53" s="133" t="str">
        <f>TIME</f>
        <v>12 Months Projected with Riders</v>
      </c>
      <c r="AO53" s="41" t="str">
        <f>WIT</f>
        <v>B. L. Sailers</v>
      </c>
    </row>
    <row r="54" spans="1:43">
      <c r="T54" s="133" t="str">
        <f>INPUT!B5</f>
        <v xml:space="preserve"> </v>
      </c>
    </row>
    <row r="55" spans="1:43">
      <c r="P55" s="42"/>
      <c r="T55" s="40" t="s">
        <v>130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</row>
    <row r="56" spans="1:43">
      <c r="R56" s="42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01"/>
      <c r="AH56" s="43"/>
      <c r="AI56" s="43"/>
      <c r="AJ56" s="43"/>
      <c r="AK56" s="101"/>
      <c r="AL56" s="43"/>
      <c r="AM56" s="43"/>
      <c r="AN56" s="43"/>
      <c r="AO56" s="43"/>
      <c r="AP56" s="43"/>
      <c r="AQ56" s="101"/>
    </row>
    <row r="57" spans="1:43" ht="18" customHeight="1">
      <c r="R57" s="42"/>
      <c r="AE57" s="44" t="s">
        <v>8</v>
      </c>
      <c r="AF57" s="44"/>
      <c r="AG57" s="102" t="s">
        <v>7</v>
      </c>
      <c r="AH57" s="44"/>
      <c r="AI57" s="44" t="s">
        <v>9</v>
      </c>
      <c r="AJ57" s="44"/>
      <c r="AK57" s="102" t="s">
        <v>10</v>
      </c>
      <c r="AL57" s="44"/>
      <c r="AO57" s="44" t="s">
        <v>8</v>
      </c>
      <c r="AP57" s="44"/>
      <c r="AQ57" s="102" t="s">
        <v>11</v>
      </c>
    </row>
    <row r="58" spans="1:43">
      <c r="A58" s="42"/>
      <c r="R58" s="42"/>
      <c r="AC58" s="44" t="s">
        <v>14</v>
      </c>
      <c r="AD58" s="44"/>
      <c r="AE58" s="44" t="s">
        <v>12</v>
      </c>
      <c r="AF58" s="44"/>
      <c r="AG58" s="102" t="s">
        <v>13</v>
      </c>
      <c r="AH58" s="44"/>
      <c r="AI58" s="44" t="s">
        <v>15</v>
      </c>
      <c r="AJ58" s="44"/>
      <c r="AK58" s="102" t="s">
        <v>16</v>
      </c>
      <c r="AL58" s="44"/>
      <c r="AO58" s="44" t="s">
        <v>11</v>
      </c>
      <c r="AP58" s="44"/>
      <c r="AQ58" s="102" t="s">
        <v>9</v>
      </c>
    </row>
    <row r="59" spans="1:43">
      <c r="O59" s="42"/>
      <c r="T59" s="44" t="s">
        <v>17</v>
      </c>
      <c r="V59" s="44" t="s">
        <v>18</v>
      </c>
      <c r="W59" s="44" t="s">
        <v>19</v>
      </c>
      <c r="X59" s="44"/>
      <c r="Y59" s="44" t="s">
        <v>20</v>
      </c>
      <c r="AC59" s="44" t="s">
        <v>8</v>
      </c>
      <c r="AD59" s="44"/>
      <c r="AE59" s="44" t="s">
        <v>841</v>
      </c>
      <c r="AF59" s="44"/>
      <c r="AG59" s="102" t="s">
        <v>841</v>
      </c>
      <c r="AH59" s="44"/>
      <c r="AI59" s="60" t="s">
        <v>964</v>
      </c>
      <c r="AJ59" s="44"/>
      <c r="AK59" s="277" t="s">
        <v>964</v>
      </c>
      <c r="AL59" s="44"/>
      <c r="AM59" s="44" t="s">
        <v>841</v>
      </c>
      <c r="AN59" s="44"/>
      <c r="AO59" s="44" t="s">
        <v>9</v>
      </c>
      <c r="AP59" s="44"/>
      <c r="AQ59" s="102" t="s">
        <v>21</v>
      </c>
    </row>
    <row r="60" spans="1:43">
      <c r="A60" s="49"/>
      <c r="B60" s="49"/>
      <c r="C60" s="49"/>
      <c r="D60" s="49"/>
      <c r="E60" s="49"/>
      <c r="F60" s="49"/>
      <c r="G60" s="49"/>
      <c r="H60" s="49"/>
      <c r="J60" s="49"/>
      <c r="L60" s="49"/>
      <c r="N60" s="49"/>
      <c r="O60" s="49"/>
      <c r="P60" s="49"/>
      <c r="Q60" s="49"/>
      <c r="R60" s="49"/>
      <c r="T60" s="44" t="s">
        <v>22</v>
      </c>
      <c r="V60" s="44" t="s">
        <v>23</v>
      </c>
      <c r="W60" s="44" t="s">
        <v>24</v>
      </c>
      <c r="X60" s="44"/>
      <c r="Y60" s="44" t="s">
        <v>25</v>
      </c>
      <c r="AA60" s="44" t="s">
        <v>26</v>
      </c>
      <c r="AB60" s="44"/>
      <c r="AC60" s="44" t="s">
        <v>27</v>
      </c>
      <c r="AD60" s="44"/>
      <c r="AE60" s="44" t="s">
        <v>9</v>
      </c>
      <c r="AF60" s="44"/>
      <c r="AG60" s="102" t="s">
        <v>9</v>
      </c>
      <c r="AH60" s="44"/>
      <c r="AI60" s="304" t="s">
        <v>29</v>
      </c>
      <c r="AJ60" s="304"/>
      <c r="AK60" s="311" t="s">
        <v>30</v>
      </c>
      <c r="AL60" s="44"/>
      <c r="AM60" s="44" t="s">
        <v>365</v>
      </c>
      <c r="AN60" s="44"/>
      <c r="AO60" s="304" t="s">
        <v>31</v>
      </c>
      <c r="AP60" s="304"/>
      <c r="AQ60" s="311" t="s">
        <v>32</v>
      </c>
    </row>
    <row r="61" spans="1:43">
      <c r="O61" s="44"/>
      <c r="P61" s="44"/>
      <c r="R61" s="44"/>
      <c r="V61" s="304" t="s">
        <v>33</v>
      </c>
      <c r="W61" s="304" t="s">
        <v>34</v>
      </c>
      <c r="X61" s="304"/>
      <c r="Y61" s="304" t="s">
        <v>35</v>
      </c>
      <c r="Z61" s="130"/>
      <c r="AA61" s="304" t="s">
        <v>36</v>
      </c>
      <c r="AB61" s="304"/>
      <c r="AC61" s="304" t="s">
        <v>42</v>
      </c>
      <c r="AD61" s="304"/>
      <c r="AE61" s="304" t="s">
        <v>43</v>
      </c>
      <c r="AF61" s="304"/>
      <c r="AG61" s="311" t="s">
        <v>44</v>
      </c>
      <c r="AH61" s="304"/>
      <c r="AI61" s="304" t="s">
        <v>45</v>
      </c>
      <c r="AJ61" s="304"/>
      <c r="AK61" s="311" t="s">
        <v>46</v>
      </c>
      <c r="AL61" s="304"/>
      <c r="AM61" s="304" t="s">
        <v>40</v>
      </c>
      <c r="AN61" s="304"/>
      <c r="AO61" s="304" t="s">
        <v>47</v>
      </c>
      <c r="AP61" s="304"/>
      <c r="AQ61" s="311" t="s">
        <v>48</v>
      </c>
    </row>
    <row r="62" spans="1:43">
      <c r="O62" s="44"/>
      <c r="P62" s="44"/>
      <c r="R62" s="44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01"/>
      <c r="AH62" s="43"/>
      <c r="AI62" s="43"/>
      <c r="AJ62" s="43"/>
      <c r="AK62" s="101"/>
      <c r="AL62" s="43"/>
      <c r="AM62" s="43"/>
      <c r="AN62" s="43"/>
      <c r="AO62" s="43"/>
      <c r="AP62" s="43"/>
      <c r="AQ62" s="101"/>
    </row>
    <row r="63" spans="1:43" ht="17.100000000000001" customHeight="1">
      <c r="A63" s="44"/>
      <c r="C63" s="44"/>
      <c r="D63" s="44"/>
      <c r="E63" s="44"/>
      <c r="F63" s="44"/>
      <c r="L63" s="44"/>
      <c r="N63" s="44"/>
      <c r="O63" s="44"/>
      <c r="P63" s="44"/>
      <c r="Q63" s="44"/>
      <c r="R63" s="44"/>
      <c r="AA63" s="309" t="s">
        <v>49</v>
      </c>
      <c r="AB63" s="308"/>
      <c r="AC63" s="309" t="s">
        <v>312</v>
      </c>
      <c r="AD63" s="308"/>
      <c r="AE63" s="308" t="s">
        <v>50</v>
      </c>
      <c r="AF63" s="308"/>
      <c r="AG63" s="312" t="s">
        <v>51</v>
      </c>
      <c r="AH63" s="308"/>
      <c r="AI63" s="308" t="s">
        <v>50</v>
      </c>
      <c r="AJ63" s="308"/>
      <c r="AK63" s="312" t="s">
        <v>51</v>
      </c>
      <c r="AL63" s="308"/>
      <c r="AM63" s="308" t="s">
        <v>50</v>
      </c>
      <c r="AN63" s="308"/>
      <c r="AO63" s="308" t="s">
        <v>50</v>
      </c>
      <c r="AP63" s="308"/>
      <c r="AQ63" s="312" t="s">
        <v>51</v>
      </c>
    </row>
    <row r="64" spans="1:43">
      <c r="A64" s="44"/>
      <c r="C64" s="44"/>
      <c r="D64" s="44"/>
      <c r="E64" s="44"/>
      <c r="F64" s="44"/>
      <c r="H64" s="44"/>
      <c r="J64" s="44"/>
      <c r="L64" s="44"/>
      <c r="N64" s="44"/>
      <c r="O64" s="44"/>
      <c r="P64" s="44"/>
      <c r="Q64" s="44"/>
      <c r="R64" s="44"/>
      <c r="T64" s="41">
        <f t="shared" ref="T64:T80" si="0">A20</f>
        <v>1</v>
      </c>
      <c r="V64" s="133" t="s">
        <v>306</v>
      </c>
      <c r="W64" s="130" t="s">
        <v>363</v>
      </c>
      <c r="X64" s="42"/>
      <c r="Y64" s="1"/>
      <c r="Z64" s="1"/>
      <c r="AA64" s="1"/>
      <c r="AB64" s="1"/>
      <c r="AC64" s="1"/>
      <c r="AD64" s="1"/>
      <c r="AE64" s="1"/>
      <c r="AF64" s="1"/>
      <c r="AG64" s="103"/>
      <c r="AH64" s="1"/>
      <c r="AI64" s="1"/>
      <c r="AJ64" s="1"/>
      <c r="AK64" s="103"/>
      <c r="AL64" s="1"/>
      <c r="AM64" s="1"/>
      <c r="AN64" s="1"/>
      <c r="AO64" s="1"/>
      <c r="AP64" s="1"/>
      <c r="AQ64" s="103"/>
    </row>
    <row r="65" spans="3:43">
      <c r="C65" s="44"/>
      <c r="D65" s="44"/>
      <c r="E65" s="44"/>
      <c r="F65" s="44"/>
      <c r="H65" s="44"/>
      <c r="J65" s="44"/>
      <c r="L65" s="44"/>
      <c r="N65" s="44"/>
      <c r="O65" s="44"/>
      <c r="P65" s="44"/>
      <c r="Q65" s="44"/>
      <c r="R65" s="44"/>
      <c r="T65" s="41">
        <f t="shared" si="0"/>
        <v>2</v>
      </c>
      <c r="V65" s="133"/>
      <c r="W65" s="130" t="s">
        <v>132</v>
      </c>
      <c r="Y65" s="1"/>
      <c r="Z65" s="1"/>
      <c r="AA65" s="1"/>
      <c r="AB65" s="1"/>
      <c r="AC65" s="1"/>
      <c r="AD65" s="1"/>
      <c r="AE65" s="1"/>
      <c r="AF65" s="1"/>
      <c r="AG65" s="103"/>
      <c r="AH65" s="1"/>
      <c r="AI65" s="1"/>
      <c r="AJ65" s="1"/>
      <c r="AK65" s="103"/>
      <c r="AL65" s="1"/>
      <c r="AM65" s="1"/>
      <c r="AN65" s="1"/>
      <c r="AO65" s="1"/>
      <c r="AP65" s="1"/>
      <c r="AQ65" s="103"/>
    </row>
    <row r="66" spans="3:43" ht="18.75" customHeight="1">
      <c r="C66" s="44"/>
      <c r="D66" s="44"/>
      <c r="E66" s="44"/>
      <c r="F66" s="44"/>
      <c r="H66" s="44"/>
      <c r="J66" s="44"/>
      <c r="L66" s="44"/>
      <c r="N66" s="44"/>
      <c r="O66" s="44"/>
      <c r="P66" s="44"/>
      <c r="Q66" s="44"/>
      <c r="R66" s="44"/>
      <c r="V66" s="42"/>
      <c r="Y66" s="1"/>
      <c r="Z66" s="1"/>
      <c r="AA66" s="1"/>
      <c r="AB66" s="1"/>
      <c r="AC66" s="1"/>
      <c r="AD66" s="1"/>
      <c r="AE66" s="1"/>
      <c r="AF66" s="1"/>
      <c r="AG66" s="103"/>
      <c r="AH66" s="1"/>
      <c r="AI66" s="1"/>
      <c r="AJ66" s="1"/>
      <c r="AK66" s="103"/>
      <c r="AL66" s="1"/>
      <c r="AM66" s="1"/>
      <c r="AN66" s="1"/>
      <c r="AO66" s="1"/>
      <c r="AP66" s="1"/>
      <c r="AQ66" s="103"/>
    </row>
    <row r="67" spans="3:43">
      <c r="H67" s="44"/>
      <c r="J67" s="44"/>
      <c r="L67" s="44"/>
      <c r="N67" s="44"/>
      <c r="O67" s="44"/>
      <c r="P67" s="44"/>
      <c r="Q67" s="44"/>
      <c r="R67" s="44"/>
      <c r="T67" s="41">
        <f t="shared" si="0"/>
        <v>3</v>
      </c>
      <c r="V67" s="133" t="s">
        <v>133</v>
      </c>
      <c r="Y67" s="1"/>
      <c r="Z67" s="1"/>
      <c r="AA67" s="1"/>
      <c r="AB67" s="1"/>
      <c r="AC67" s="1"/>
      <c r="AD67" s="1"/>
      <c r="AE67" s="1"/>
      <c r="AF67" s="1"/>
      <c r="AG67" s="103"/>
      <c r="AH67" s="1"/>
      <c r="AI67" s="1"/>
      <c r="AJ67" s="1"/>
      <c r="AK67" s="103"/>
      <c r="AL67" s="1"/>
      <c r="AM67" s="1"/>
      <c r="AN67" s="1"/>
      <c r="AO67" s="1"/>
      <c r="AP67" s="1"/>
      <c r="AQ67" s="103"/>
    </row>
    <row r="68" spans="3:43">
      <c r="T68" s="41">
        <f t="shared" si="0"/>
        <v>4</v>
      </c>
      <c r="V68" s="42" t="s">
        <v>311</v>
      </c>
      <c r="Y68" s="3">
        <f>F24</f>
        <v>0</v>
      </c>
      <c r="Z68" s="1"/>
      <c r="AA68" s="68"/>
      <c r="AB68" s="68"/>
      <c r="AC68" s="316">
        <f>INPUT!C154</f>
        <v>183</v>
      </c>
      <c r="AD68" s="76"/>
      <c r="AE68" s="3">
        <f>ROUND(+Y68*AC68,0)</f>
        <v>0</v>
      </c>
      <c r="AF68" s="1"/>
      <c r="AG68" s="104">
        <v>0</v>
      </c>
      <c r="AH68" s="1"/>
      <c r="AI68" s="3">
        <f>L24-AE68</f>
        <v>0</v>
      </c>
      <c r="AJ68" s="3"/>
      <c r="AK68" s="104">
        <f>IF(AE68=0,0,ROUND((AI68/AE68)*100,1))</f>
        <v>0</v>
      </c>
      <c r="AL68" s="6"/>
      <c r="AM68" s="3"/>
      <c r="AN68" s="1"/>
      <c r="AO68" s="3">
        <f>AE68+AM68</f>
        <v>0</v>
      </c>
      <c r="AP68" s="1"/>
      <c r="AQ68" s="103">
        <v>0</v>
      </c>
    </row>
    <row r="69" spans="3:43" ht="20.100000000000001" customHeight="1">
      <c r="C69" s="42"/>
      <c r="F69" s="164"/>
      <c r="H69" s="164"/>
      <c r="J69" s="164"/>
      <c r="L69" s="316"/>
      <c r="N69" s="316"/>
      <c r="O69" s="45"/>
      <c r="P69" s="46"/>
      <c r="R69" s="45"/>
      <c r="T69" s="41">
        <f t="shared" si="0"/>
        <v>5</v>
      </c>
      <c r="V69" s="133" t="s">
        <v>136</v>
      </c>
      <c r="Y69" s="3"/>
      <c r="Z69" s="1"/>
      <c r="AA69" s="3"/>
      <c r="AB69" s="3"/>
      <c r="AC69" s="47"/>
      <c r="AD69" s="7"/>
      <c r="AE69" s="72">
        <f>SUM(AE68:AE68)</f>
        <v>0</v>
      </c>
      <c r="AF69" s="1"/>
      <c r="AG69" s="104">
        <v>0</v>
      </c>
      <c r="AH69" s="1"/>
      <c r="AI69" s="72">
        <f>SUM(AI68:AI68)</f>
        <v>0</v>
      </c>
      <c r="AJ69" s="3"/>
      <c r="AK69" s="105">
        <f>IF(AE69=0,0,ROUND((AI69/AE69)*100,1))</f>
        <v>0</v>
      </c>
      <c r="AL69" s="6"/>
      <c r="AM69" s="72"/>
      <c r="AN69" s="1"/>
      <c r="AO69" s="72">
        <f>SUM(AO68:AO68)</f>
        <v>0</v>
      </c>
      <c r="AP69" s="1"/>
      <c r="AQ69" s="103">
        <v>0</v>
      </c>
    </row>
    <row r="70" spans="3:43" ht="24.75" customHeight="1">
      <c r="C70" s="42"/>
      <c r="F70" s="164"/>
      <c r="H70" s="164"/>
      <c r="J70" s="164"/>
      <c r="L70" s="316"/>
      <c r="N70" s="316"/>
      <c r="O70" s="45"/>
      <c r="P70" s="46"/>
      <c r="R70" s="45"/>
      <c r="V70" s="42"/>
      <c r="Y70" s="3"/>
      <c r="Z70" s="1"/>
      <c r="AA70" s="3"/>
      <c r="AB70" s="3"/>
      <c r="AC70" s="47"/>
      <c r="AD70" s="7"/>
      <c r="AE70" s="3"/>
      <c r="AF70" s="1"/>
      <c r="AG70" s="103"/>
      <c r="AH70" s="1"/>
      <c r="AI70" s="3"/>
      <c r="AJ70" s="3"/>
      <c r="AK70" s="103"/>
      <c r="AL70" s="6"/>
      <c r="AM70" s="3"/>
      <c r="AN70" s="1"/>
      <c r="AO70" s="3"/>
      <c r="AP70" s="1"/>
      <c r="AQ70" s="103"/>
    </row>
    <row r="71" spans="3:43">
      <c r="C71" s="42"/>
      <c r="H71" s="164"/>
      <c r="J71" s="164"/>
      <c r="L71" s="132"/>
      <c r="N71" s="132"/>
      <c r="O71" s="45"/>
      <c r="P71" s="46"/>
      <c r="Q71" s="45"/>
      <c r="R71" s="45"/>
      <c r="T71" s="41">
        <f t="shared" si="0"/>
        <v>6</v>
      </c>
      <c r="V71" s="133" t="s">
        <v>67</v>
      </c>
      <c r="Y71" s="3"/>
      <c r="Z71" s="1"/>
      <c r="AA71" s="3"/>
      <c r="AB71" s="3"/>
      <c r="AC71" s="47"/>
      <c r="AD71" s="7"/>
      <c r="AE71" s="3"/>
      <c r="AF71" s="1"/>
      <c r="AG71" s="103"/>
      <c r="AH71" s="1"/>
      <c r="AI71" s="3"/>
      <c r="AJ71" s="3"/>
      <c r="AK71" s="103"/>
      <c r="AL71" s="6"/>
      <c r="AM71" s="3"/>
      <c r="AN71" s="1"/>
      <c r="AO71" s="3"/>
      <c r="AP71" s="1"/>
      <c r="AQ71" s="103"/>
    </row>
    <row r="72" spans="3:43">
      <c r="C72" s="42"/>
      <c r="H72" s="164"/>
      <c r="J72" s="164"/>
      <c r="L72" s="132"/>
      <c r="N72" s="132"/>
      <c r="O72" s="45"/>
      <c r="P72" s="46"/>
      <c r="Q72" s="45"/>
      <c r="R72" s="45"/>
      <c r="T72" s="41">
        <f t="shared" si="0"/>
        <v>7</v>
      </c>
      <c r="V72" s="42" t="s">
        <v>381</v>
      </c>
      <c r="Y72" s="3"/>
      <c r="Z72" s="1"/>
      <c r="AA72" s="3">
        <f>H28</f>
        <v>0</v>
      </c>
      <c r="AB72" s="3"/>
      <c r="AC72" s="323">
        <f>INPUT!C157</f>
        <v>1.6479000000000001E-2</v>
      </c>
      <c r="AD72" s="7"/>
      <c r="AE72" s="3">
        <f>ROUND((+AA72*AC72),0)</f>
        <v>0</v>
      </c>
      <c r="AF72" s="1"/>
      <c r="AG72" s="103">
        <v>0</v>
      </c>
      <c r="AH72" s="1"/>
      <c r="AI72" s="3">
        <f>L28-AE72</f>
        <v>0</v>
      </c>
      <c r="AJ72" s="3"/>
      <c r="AK72" s="103">
        <f>IF(AE72=0,0,ROUND((AI72/AE72)*100,1))</f>
        <v>0</v>
      </c>
      <c r="AL72" s="6"/>
      <c r="AM72" s="3"/>
      <c r="AN72" s="1"/>
      <c r="AO72" s="3">
        <f>AE72+AM72</f>
        <v>0</v>
      </c>
      <c r="AP72" s="1"/>
      <c r="AQ72" s="103">
        <v>0</v>
      </c>
    </row>
    <row r="73" spans="3:43">
      <c r="F73" s="45"/>
      <c r="H73" s="45"/>
      <c r="J73" s="45"/>
      <c r="L73" s="326"/>
      <c r="N73" s="326"/>
      <c r="O73" s="50"/>
      <c r="P73" s="50"/>
      <c r="Q73" s="50"/>
      <c r="R73" s="50"/>
      <c r="T73" s="41">
        <f t="shared" si="0"/>
        <v>8</v>
      </c>
      <c r="V73" s="42" t="s">
        <v>370</v>
      </c>
      <c r="Y73" s="68"/>
      <c r="Z73" s="1"/>
      <c r="AA73" s="3">
        <f>H29</f>
        <v>0</v>
      </c>
      <c r="AB73" s="3"/>
      <c r="AC73" s="323">
        <f>INPUT!C161</f>
        <v>3.9684999999999998E-2</v>
      </c>
      <c r="AD73" s="319"/>
      <c r="AE73" s="3">
        <f>ROUND((+AA73*AC73),0)</f>
        <v>0</v>
      </c>
      <c r="AF73" s="1"/>
      <c r="AG73" s="104">
        <v>0</v>
      </c>
      <c r="AH73" s="1"/>
      <c r="AI73" s="3">
        <f>L29-AE73</f>
        <v>0</v>
      </c>
      <c r="AJ73" s="3"/>
      <c r="AK73" s="104">
        <f>IF(AE73=0,0,ROUND((AI73/AE73)*100,1))</f>
        <v>0</v>
      </c>
      <c r="AL73" s="6"/>
      <c r="AM73" s="45">
        <f>ROUND(-AA73*(CUR_FAC+CUR_BASE_FUEL),0)</f>
        <v>0</v>
      </c>
      <c r="AN73" s="1"/>
      <c r="AO73" s="3">
        <f>AE73+AM73</f>
        <v>0</v>
      </c>
      <c r="AP73" s="1"/>
      <c r="AQ73" s="103">
        <v>0</v>
      </c>
    </row>
    <row r="74" spans="3:43" ht="20.100000000000001" customHeight="1">
      <c r="F74" s="45"/>
      <c r="H74" s="45"/>
      <c r="J74" s="45"/>
      <c r="L74" s="326"/>
      <c r="N74" s="326"/>
      <c r="O74" s="50"/>
      <c r="P74" s="50"/>
      <c r="Q74" s="50"/>
      <c r="R74" s="50"/>
      <c r="T74" s="41">
        <f t="shared" si="0"/>
        <v>9</v>
      </c>
      <c r="V74" s="133" t="s">
        <v>142</v>
      </c>
      <c r="Y74" s="66"/>
      <c r="Z74" s="1"/>
      <c r="AA74" s="72">
        <f>H30</f>
        <v>0</v>
      </c>
      <c r="AB74" s="3"/>
      <c r="AC74" s="155"/>
      <c r="AD74" s="314"/>
      <c r="AE74" s="72">
        <f>SUM(AE72:AE73)</f>
        <v>0</v>
      </c>
      <c r="AF74" s="1"/>
      <c r="AG74" s="104">
        <v>0</v>
      </c>
      <c r="AH74" s="1"/>
      <c r="AI74" s="72">
        <f>SUM(AI72:AI73)</f>
        <v>0</v>
      </c>
      <c r="AJ74" s="3"/>
      <c r="AK74" s="105">
        <f>IF(AE74=0,0,ROUND((AI74/AE74)*100,1))</f>
        <v>0</v>
      </c>
      <c r="AL74" s="6"/>
      <c r="AM74" s="72">
        <f>AM73</f>
        <v>0</v>
      </c>
      <c r="AN74" s="1"/>
      <c r="AO74" s="72">
        <f>SUM(AO72:AO73)</f>
        <v>0</v>
      </c>
      <c r="AP74" s="1"/>
      <c r="AQ74" s="103">
        <v>0</v>
      </c>
    </row>
    <row r="75" spans="3:43" ht="20.100000000000001" customHeight="1">
      <c r="F75" s="45"/>
      <c r="H75" s="45"/>
      <c r="J75" s="45"/>
      <c r="L75" s="326"/>
      <c r="N75" s="326"/>
      <c r="O75" s="50"/>
      <c r="P75" s="50"/>
      <c r="Q75" s="50"/>
      <c r="R75" s="50"/>
      <c r="T75" s="41">
        <f t="shared" si="0"/>
        <v>10</v>
      </c>
      <c r="V75" s="310" t="s">
        <v>454</v>
      </c>
      <c r="Y75" s="72">
        <f>Y68</f>
        <v>0</v>
      </c>
      <c r="Z75" s="1"/>
      <c r="AA75" s="72">
        <f>AA74</f>
        <v>0</v>
      </c>
      <c r="AB75" s="3"/>
      <c r="AC75" s="155"/>
      <c r="AD75" s="314"/>
      <c r="AE75" s="72">
        <f>AE69+AE74</f>
        <v>0</v>
      </c>
      <c r="AF75" s="1"/>
      <c r="AG75" s="105">
        <v>0</v>
      </c>
      <c r="AH75" s="1"/>
      <c r="AI75" s="72">
        <f>AI69+AI74</f>
        <v>0</v>
      </c>
      <c r="AJ75" s="3"/>
      <c r="AK75" s="105">
        <f>IF(AE75=0,0,ROUND((AI75/AE75)*100,1))</f>
        <v>0</v>
      </c>
      <c r="AL75" s="6"/>
      <c r="AM75" s="72">
        <f>AM74+AM69</f>
        <v>0</v>
      </c>
      <c r="AN75" s="1"/>
      <c r="AO75" s="72">
        <f>AO74+AO69</f>
        <v>0</v>
      </c>
      <c r="AP75" s="1"/>
      <c r="AQ75" s="103">
        <v>0</v>
      </c>
    </row>
    <row r="76" spans="3:43" ht="15.75" customHeight="1">
      <c r="F76" s="45"/>
      <c r="H76" s="45"/>
      <c r="J76" s="45"/>
      <c r="L76" s="326"/>
      <c r="N76" s="326"/>
      <c r="O76" s="50"/>
      <c r="P76" s="50"/>
      <c r="Q76" s="50"/>
      <c r="R76" s="50"/>
      <c r="V76" s="42"/>
      <c r="Y76" s="3"/>
      <c r="Z76" s="1"/>
      <c r="AA76" s="3"/>
      <c r="AB76" s="3"/>
      <c r="AC76" s="155"/>
      <c r="AD76" s="314"/>
      <c r="AE76" s="3"/>
      <c r="AF76" s="1"/>
      <c r="AG76" s="103"/>
      <c r="AH76" s="1"/>
      <c r="AI76" s="3"/>
      <c r="AJ76" s="3"/>
      <c r="AK76" s="103"/>
      <c r="AL76" s="6"/>
      <c r="AM76" s="3"/>
      <c r="AN76" s="1"/>
      <c r="AO76" s="3"/>
      <c r="AP76" s="1"/>
      <c r="AQ76" s="103"/>
    </row>
    <row r="77" spans="3:43" ht="15.75" customHeight="1">
      <c r="F77" s="45"/>
      <c r="H77" s="45"/>
      <c r="J77" s="45"/>
      <c r="L77" s="326"/>
      <c r="N77" s="326"/>
      <c r="O77" s="50"/>
      <c r="P77" s="50"/>
      <c r="Q77" s="50"/>
      <c r="R77" s="50"/>
      <c r="T77" s="41">
        <f t="shared" si="0"/>
        <v>11</v>
      </c>
      <c r="V77" s="133" t="s">
        <v>430</v>
      </c>
      <c r="Y77" s="3"/>
      <c r="Z77" s="1"/>
      <c r="AA77" s="3"/>
      <c r="AB77" s="3"/>
      <c r="AC77" s="155"/>
      <c r="AD77" s="314"/>
      <c r="AE77" s="3"/>
      <c r="AF77" s="1"/>
      <c r="AG77" s="103"/>
      <c r="AH77" s="1"/>
      <c r="AI77" s="3"/>
      <c r="AJ77" s="3"/>
      <c r="AK77" s="103"/>
      <c r="AL77" s="6"/>
      <c r="AM77" s="3"/>
      <c r="AN77" s="1"/>
      <c r="AO77" s="3"/>
      <c r="AP77" s="1"/>
      <c r="AQ77" s="103"/>
    </row>
    <row r="78" spans="3:43" ht="15.75" customHeight="1">
      <c r="F78" s="45"/>
      <c r="H78" s="45"/>
      <c r="J78" s="45"/>
      <c r="L78" s="326"/>
      <c r="N78" s="326"/>
      <c r="O78" s="50"/>
      <c r="P78" s="50"/>
      <c r="Q78" s="50"/>
      <c r="R78" s="50"/>
      <c r="T78" s="41">
        <f t="shared" si="0"/>
        <v>12</v>
      </c>
      <c r="V78" s="128" t="s">
        <v>434</v>
      </c>
      <c r="Y78" s="3"/>
      <c r="Z78" s="1"/>
      <c r="AA78" s="3"/>
      <c r="AB78" s="3"/>
      <c r="AC78" s="323">
        <f>DSM_DIST</f>
        <v>3.503E-3</v>
      </c>
      <c r="AD78" s="314"/>
      <c r="AE78" s="3">
        <f>ROUND(AA75*DSM_DIST,0)</f>
        <v>0</v>
      </c>
      <c r="AF78" s="1"/>
      <c r="AG78" s="103">
        <v>0</v>
      </c>
      <c r="AH78" s="1"/>
      <c r="AI78" s="3">
        <f>L34-AE78</f>
        <v>0</v>
      </c>
      <c r="AJ78" s="3"/>
      <c r="AK78" s="103">
        <f>IF(AE78=0,0,ROUND((AI78/AE78)*100,1))</f>
        <v>0</v>
      </c>
      <c r="AL78" s="6"/>
      <c r="AM78" s="3"/>
      <c r="AN78" s="1"/>
      <c r="AO78" s="3">
        <f>AE78+AM78</f>
        <v>0</v>
      </c>
      <c r="AP78" s="1"/>
      <c r="AQ78" s="103">
        <v>0</v>
      </c>
    </row>
    <row r="79" spans="3:43" ht="15.75" customHeight="1">
      <c r="F79" s="45"/>
      <c r="H79" s="45"/>
      <c r="J79" s="45"/>
      <c r="L79" s="326"/>
      <c r="N79" s="326"/>
      <c r="O79" s="50"/>
      <c r="P79" s="50"/>
      <c r="Q79" s="50"/>
      <c r="R79" s="50"/>
      <c r="T79" s="41">
        <f t="shared" si="0"/>
        <v>13</v>
      </c>
      <c r="V79" s="128" t="s">
        <v>432</v>
      </c>
      <c r="Y79" s="3"/>
      <c r="Z79" s="1"/>
      <c r="AA79" s="3"/>
      <c r="AB79" s="3"/>
      <c r="AC79" s="323">
        <f>RS_PSM</f>
        <v>2.4750000000000002E-3</v>
      </c>
      <c r="AD79" s="314"/>
      <c r="AE79" s="66">
        <f>ROUND(AA75*RS_PSM,0)</f>
        <v>0</v>
      </c>
      <c r="AF79" s="1"/>
      <c r="AG79" s="104">
        <v>0</v>
      </c>
      <c r="AH79" s="1"/>
      <c r="AI79" s="66">
        <f>L35-AE79</f>
        <v>0</v>
      </c>
      <c r="AJ79" s="3"/>
      <c r="AK79" s="104">
        <f>IF(AE79=0,0,ROUND((AI79/AE79)*100,1))</f>
        <v>0</v>
      </c>
      <c r="AL79" s="6"/>
      <c r="AM79" s="66"/>
      <c r="AN79" s="1"/>
      <c r="AO79" s="66">
        <f>AE79+AM79</f>
        <v>0</v>
      </c>
      <c r="AP79" s="1"/>
      <c r="AQ79" s="103">
        <v>0</v>
      </c>
    </row>
    <row r="80" spans="3:43" ht="20.100000000000001" customHeight="1">
      <c r="F80" s="45"/>
      <c r="H80" s="45"/>
      <c r="J80" s="45"/>
      <c r="L80" s="326"/>
      <c r="N80" s="326"/>
      <c r="O80" s="50"/>
      <c r="P80" s="50"/>
      <c r="Q80" s="50"/>
      <c r="R80" s="50"/>
      <c r="T80" s="41">
        <f t="shared" si="0"/>
        <v>14</v>
      </c>
      <c r="V80" s="133" t="s">
        <v>435</v>
      </c>
      <c r="Y80" s="66"/>
      <c r="Z80" s="1"/>
      <c r="AA80" s="66"/>
      <c r="AB80" s="3"/>
      <c r="AC80" s="314"/>
      <c r="AD80" s="314"/>
      <c r="AE80" s="72">
        <f>SUM(AE78:AE79)</f>
        <v>0</v>
      </c>
      <c r="AF80" s="1"/>
      <c r="AG80" s="105">
        <v>0</v>
      </c>
      <c r="AH80" s="1"/>
      <c r="AI80" s="72">
        <f>SUM(AI78:AI79)</f>
        <v>0</v>
      </c>
      <c r="AJ80" s="3"/>
      <c r="AK80" s="105">
        <f>IF(AE80=0,0,ROUND((AI80/AE80)*100,1))</f>
        <v>0</v>
      </c>
      <c r="AL80" s="6"/>
      <c r="AM80" s="72"/>
      <c r="AN80" s="1"/>
      <c r="AO80" s="72">
        <f>SUM(AO78:AO79)</f>
        <v>0</v>
      </c>
      <c r="AP80" s="1"/>
      <c r="AQ80" s="103">
        <v>0</v>
      </c>
    </row>
    <row r="81" spans="1:43" ht="15.75" customHeight="1">
      <c r="F81" s="45"/>
      <c r="H81" s="45"/>
      <c r="J81" s="45"/>
      <c r="L81" s="326"/>
      <c r="N81" s="326"/>
      <c r="O81" s="50"/>
      <c r="P81" s="50"/>
      <c r="Q81" s="50"/>
      <c r="R81" s="50"/>
      <c r="V81" s="133"/>
      <c r="Y81" s="3"/>
      <c r="Z81" s="1"/>
      <c r="AA81" s="3"/>
      <c r="AB81" s="3"/>
      <c r="AC81" s="314"/>
      <c r="AD81" s="314"/>
      <c r="AE81" s="3"/>
      <c r="AF81" s="1"/>
      <c r="AG81" s="103"/>
      <c r="AH81" s="1"/>
      <c r="AI81" s="3"/>
      <c r="AJ81" s="3"/>
      <c r="AK81" s="103"/>
      <c r="AL81" s="6"/>
      <c r="AM81" s="3"/>
      <c r="AN81" s="1"/>
      <c r="AO81" s="3"/>
      <c r="AP81" s="1"/>
      <c r="AQ81" s="103"/>
    </row>
    <row r="82" spans="1:43" ht="20.100000000000001" customHeight="1" thickBot="1">
      <c r="F82" s="50"/>
      <c r="H82" s="50"/>
      <c r="J82" s="50"/>
      <c r="L82" s="326"/>
      <c r="N82" s="326"/>
      <c r="O82" s="50"/>
      <c r="P82" s="50"/>
      <c r="Q82" s="50"/>
      <c r="R82" s="50"/>
      <c r="T82" s="41">
        <f>A38</f>
        <v>15</v>
      </c>
      <c r="V82" s="310" t="s">
        <v>455</v>
      </c>
      <c r="Y82" s="67">
        <f>F38</f>
        <v>0</v>
      </c>
      <c r="Z82" s="1"/>
      <c r="AA82" s="67">
        <f>H38</f>
        <v>0</v>
      </c>
      <c r="AB82" s="3"/>
      <c r="AC82" s="1"/>
      <c r="AD82" s="1"/>
      <c r="AE82" s="67">
        <f>AE80+AE75</f>
        <v>0</v>
      </c>
      <c r="AF82" s="1"/>
      <c r="AG82" s="106">
        <v>100</v>
      </c>
      <c r="AH82" s="1"/>
      <c r="AI82" s="67">
        <f>AI80+AI75</f>
        <v>0</v>
      </c>
      <c r="AJ82" s="3"/>
      <c r="AK82" s="106">
        <f>IF(AE82=0,0,ROUND((AI82/AE82)*100,1))</f>
        <v>0</v>
      </c>
      <c r="AL82" s="6"/>
      <c r="AM82" s="75">
        <f>AM80+AM75</f>
        <v>0</v>
      </c>
      <c r="AN82" s="1"/>
      <c r="AO82" s="67">
        <f>AO69+AO74</f>
        <v>0</v>
      </c>
      <c r="AP82" s="1"/>
      <c r="AQ82" s="103">
        <v>0</v>
      </c>
    </row>
    <row r="83" spans="1:43" ht="16.5" thickTop="1">
      <c r="F83" s="50"/>
      <c r="H83" s="50"/>
      <c r="J83" s="50"/>
      <c r="K83" s="326"/>
      <c r="L83" s="326"/>
      <c r="N83" s="50"/>
      <c r="O83" s="50"/>
      <c r="P83" s="50"/>
      <c r="Q83" s="50"/>
      <c r="R83" s="50"/>
      <c r="S83" s="45"/>
      <c r="Y83" s="1"/>
      <c r="Z83" s="1"/>
      <c r="AA83" s="1"/>
      <c r="AB83" s="1"/>
      <c r="AC83" s="1"/>
      <c r="AD83" s="1"/>
      <c r="AE83" s="1"/>
      <c r="AF83" s="1"/>
      <c r="AG83" s="103"/>
      <c r="AH83" s="1"/>
      <c r="AI83" s="1"/>
      <c r="AJ83" s="1"/>
      <c r="AK83" s="103"/>
      <c r="AL83" s="1"/>
      <c r="AM83" s="1"/>
      <c r="AN83" s="1"/>
      <c r="AO83" s="1"/>
      <c r="AP83" s="1"/>
      <c r="AQ83" s="103"/>
    </row>
    <row r="84" spans="1:43">
      <c r="C84" s="42"/>
      <c r="V84" s="140" t="s">
        <v>59</v>
      </c>
      <c r="AE84" s="45"/>
      <c r="AF84" s="45"/>
      <c r="AM84" s="45"/>
      <c r="AO84" s="45"/>
    </row>
    <row r="85" spans="1:43">
      <c r="C85" s="42"/>
      <c r="F85" s="45"/>
      <c r="H85" s="45"/>
      <c r="J85" s="45"/>
      <c r="N85" s="45"/>
      <c r="O85" s="45"/>
      <c r="P85" s="46"/>
      <c r="Q85" s="164"/>
      <c r="R85" s="45"/>
      <c r="T85" s="42"/>
      <c r="V85" s="42"/>
      <c r="Y85" s="45"/>
      <c r="Z85" s="132"/>
      <c r="AA85" s="45"/>
      <c r="AB85" s="45"/>
      <c r="AC85" s="46"/>
      <c r="AD85" s="46"/>
      <c r="AE85" s="45"/>
      <c r="AF85" s="45"/>
      <c r="AI85" s="51"/>
      <c r="AJ85" s="51"/>
      <c r="AL85" s="45"/>
      <c r="AO85" s="46"/>
    </row>
    <row r="86" spans="1:43">
      <c r="F86" s="50"/>
      <c r="H86" s="50"/>
      <c r="J86" s="50"/>
      <c r="K86" s="326"/>
      <c r="L86" s="326"/>
      <c r="N86" s="50"/>
      <c r="O86" s="50"/>
      <c r="P86" s="50"/>
      <c r="Q86" s="50"/>
      <c r="R86" s="50"/>
      <c r="V86" s="45"/>
      <c r="Y86" s="45"/>
      <c r="Z86" s="326"/>
      <c r="AA86" s="50"/>
      <c r="AB86" s="50"/>
      <c r="AC86" s="50"/>
      <c r="AD86" s="50"/>
      <c r="AE86" s="50"/>
      <c r="AF86" s="50"/>
      <c r="AK86" s="111"/>
      <c r="AL86" s="50"/>
      <c r="AO86" s="46"/>
      <c r="AQ86" s="111"/>
    </row>
    <row r="87" spans="1:43">
      <c r="T87" s="42"/>
      <c r="V87" s="45"/>
      <c r="Y87" s="45"/>
      <c r="Z87" s="47"/>
      <c r="AA87" s="45"/>
      <c r="AB87" s="45"/>
      <c r="AC87" s="46"/>
      <c r="AD87" s="46"/>
      <c r="AE87" s="45"/>
      <c r="AF87" s="45"/>
      <c r="AI87" s="51"/>
      <c r="AJ87" s="51"/>
      <c r="AL87" s="45"/>
      <c r="AO87" s="46"/>
    </row>
    <row r="88" spans="1:43">
      <c r="C88" s="42"/>
      <c r="N88" s="45"/>
      <c r="O88" s="45"/>
      <c r="P88" s="45"/>
      <c r="Q88" s="45"/>
      <c r="R88" s="45"/>
      <c r="S88" s="45"/>
      <c r="V88" s="45"/>
      <c r="Y88" s="45"/>
      <c r="Z88" s="326"/>
      <c r="AA88" s="50"/>
      <c r="AB88" s="50"/>
      <c r="AC88" s="50"/>
      <c r="AD88" s="50"/>
      <c r="AE88" s="50"/>
      <c r="AF88" s="50"/>
      <c r="AK88" s="111"/>
      <c r="AL88" s="50"/>
      <c r="AO88" s="46"/>
      <c r="AQ88" s="111"/>
    </row>
    <row r="89" spans="1:43">
      <c r="A89" s="42"/>
      <c r="T89" s="42"/>
      <c r="V89" s="45"/>
      <c r="Y89" s="45"/>
      <c r="Z89" s="47"/>
      <c r="AA89" s="45"/>
      <c r="AB89" s="45"/>
      <c r="AC89" s="46"/>
      <c r="AD89" s="46"/>
      <c r="AE89" s="45"/>
      <c r="AF89" s="45"/>
      <c r="AI89" s="51"/>
      <c r="AJ89" s="51"/>
      <c r="AL89" s="45"/>
      <c r="AO89" s="46"/>
    </row>
    <row r="90" spans="1:43">
      <c r="T90" s="42"/>
      <c r="V90" s="164"/>
      <c r="Y90" s="45"/>
      <c r="Z90" s="331"/>
      <c r="AA90" s="45"/>
      <c r="AB90" s="45"/>
      <c r="AC90" s="46"/>
      <c r="AD90" s="46"/>
      <c r="AE90" s="45"/>
      <c r="AF90" s="45"/>
      <c r="AI90" s="51"/>
      <c r="AJ90" s="51"/>
      <c r="AL90" s="45"/>
      <c r="AO90" s="46"/>
    </row>
    <row r="91" spans="1:43">
      <c r="H91" s="42"/>
      <c r="J91" s="42"/>
      <c r="V91" s="50"/>
      <c r="Y91" s="50"/>
      <c r="Z91" s="326"/>
      <c r="AA91" s="50"/>
      <c r="AB91" s="50"/>
      <c r="AC91" s="50"/>
      <c r="AD91" s="50"/>
      <c r="AE91" s="50"/>
      <c r="AF91" s="50"/>
      <c r="AK91" s="111"/>
      <c r="AL91" s="50"/>
      <c r="AO91" s="46"/>
      <c r="AQ91" s="111"/>
    </row>
    <row r="92" spans="1:43">
      <c r="T92" s="42"/>
      <c r="V92" s="45"/>
      <c r="Y92" s="45"/>
      <c r="Z92" s="326"/>
      <c r="AA92" s="45"/>
      <c r="AB92" s="45"/>
      <c r="AC92" s="46"/>
      <c r="AD92" s="46"/>
      <c r="AE92" s="45"/>
      <c r="AF92" s="45"/>
      <c r="AI92" s="46"/>
      <c r="AJ92" s="46"/>
      <c r="AL92" s="45"/>
      <c r="AO92" s="46"/>
    </row>
    <row r="93" spans="1:43">
      <c r="M93" s="42"/>
      <c r="N93" s="42"/>
      <c r="V93" s="50"/>
      <c r="Y93" s="50"/>
      <c r="Z93" s="326"/>
      <c r="AA93" s="50"/>
      <c r="AB93" s="50"/>
      <c r="AC93" s="50"/>
      <c r="AD93" s="50"/>
      <c r="AE93" s="50"/>
      <c r="AF93" s="50"/>
      <c r="AK93" s="111"/>
      <c r="AL93" s="50"/>
      <c r="AO93" s="46"/>
      <c r="AQ93" s="111"/>
    </row>
    <row r="94" spans="1:43">
      <c r="R94" s="42"/>
      <c r="T94" s="42"/>
      <c r="V94" s="164"/>
      <c r="Y94" s="164"/>
      <c r="Z94" s="326"/>
      <c r="AA94" s="45"/>
      <c r="AB94" s="45"/>
      <c r="AC94" s="46"/>
      <c r="AD94" s="46"/>
      <c r="AE94" s="45"/>
      <c r="AF94" s="45"/>
      <c r="AL94" s="45"/>
      <c r="AO94" s="46"/>
    </row>
    <row r="95" spans="1:43">
      <c r="R95" s="42"/>
    </row>
    <row r="96" spans="1:43">
      <c r="A96" s="42"/>
      <c r="R96" s="42"/>
      <c r="T96" s="42"/>
    </row>
    <row r="97" spans="1:43">
      <c r="M97" s="42"/>
      <c r="N97" s="42"/>
      <c r="T97" s="42"/>
      <c r="V97" s="45"/>
      <c r="Y97" s="164"/>
      <c r="Z97" s="316"/>
      <c r="AA97" s="45"/>
      <c r="AB97" s="45"/>
      <c r="AC97" s="46"/>
      <c r="AD97" s="46"/>
      <c r="AE97" s="45"/>
      <c r="AF97" s="45"/>
      <c r="AG97" s="333"/>
      <c r="AI97" s="334"/>
      <c r="AJ97" s="334"/>
      <c r="AO97" s="335"/>
    </row>
    <row r="98" spans="1:43">
      <c r="A98" s="49"/>
      <c r="B98" s="49"/>
      <c r="C98" s="49"/>
      <c r="D98" s="49"/>
      <c r="E98" s="49"/>
      <c r="F98" s="49"/>
      <c r="G98" s="49"/>
      <c r="H98" s="49"/>
      <c r="J98" s="49"/>
      <c r="K98" s="49"/>
      <c r="L98" s="49"/>
      <c r="M98" s="49"/>
      <c r="N98" s="49"/>
      <c r="O98" s="49"/>
      <c r="P98" s="49"/>
      <c r="Q98" s="49"/>
      <c r="R98" s="49"/>
      <c r="T98" s="42"/>
      <c r="V98" s="45"/>
      <c r="Y98" s="164"/>
      <c r="Z98" s="316"/>
      <c r="AA98" s="45"/>
      <c r="AB98" s="45"/>
      <c r="AC98" s="46"/>
      <c r="AD98" s="46"/>
      <c r="AE98" s="45"/>
      <c r="AF98" s="45"/>
      <c r="AI98" s="51"/>
      <c r="AJ98" s="51"/>
      <c r="AO98" s="46"/>
    </row>
    <row r="99" spans="1:43">
      <c r="M99" s="44"/>
      <c r="N99" s="44"/>
      <c r="O99" s="44"/>
      <c r="P99" s="44"/>
      <c r="R99" s="44"/>
      <c r="T99" s="42"/>
      <c r="V99" s="45"/>
      <c r="Y99" s="164"/>
      <c r="Z99" s="316"/>
      <c r="AA99" s="45"/>
      <c r="AB99" s="45"/>
      <c r="AC99" s="46"/>
      <c r="AD99" s="46"/>
      <c r="AE99" s="45"/>
      <c r="AF99" s="45"/>
      <c r="AI99" s="51"/>
      <c r="AJ99" s="51"/>
      <c r="AO99" s="46"/>
    </row>
    <row r="100" spans="1:43">
      <c r="M100" s="44"/>
      <c r="N100" s="44"/>
      <c r="O100" s="44"/>
      <c r="P100" s="44"/>
      <c r="R100" s="44"/>
      <c r="V100" s="50"/>
      <c r="Y100" s="45"/>
      <c r="Z100" s="326"/>
      <c r="AA100" s="50"/>
      <c r="AB100" s="50"/>
      <c r="AC100" s="50"/>
      <c r="AD100" s="50"/>
      <c r="AE100" s="50"/>
      <c r="AF100" s="50"/>
      <c r="AK100" s="111"/>
      <c r="AL100" s="50"/>
      <c r="AO100" s="46"/>
      <c r="AQ100" s="111"/>
    </row>
    <row r="101" spans="1:43">
      <c r="A101" s="44"/>
      <c r="C101" s="44"/>
      <c r="D101" s="44"/>
      <c r="E101" s="44"/>
      <c r="F101" s="44"/>
      <c r="K101" s="44"/>
      <c r="L101" s="44"/>
      <c r="M101" s="44"/>
      <c r="N101" s="44"/>
      <c r="O101" s="44"/>
      <c r="P101" s="44"/>
      <c r="Q101" s="44"/>
      <c r="R101" s="44"/>
      <c r="T101" s="42"/>
      <c r="V101" s="45"/>
      <c r="Y101" s="45"/>
      <c r="Z101" s="326"/>
      <c r="AA101" s="45"/>
      <c r="AB101" s="45"/>
      <c r="AC101" s="46"/>
      <c r="AD101" s="46"/>
      <c r="AE101" s="45"/>
      <c r="AF101" s="45"/>
      <c r="AI101" s="51"/>
      <c r="AJ101" s="51"/>
      <c r="AL101" s="45"/>
      <c r="AO101" s="46"/>
    </row>
    <row r="102" spans="1:43">
      <c r="A102" s="44"/>
      <c r="C102" s="44"/>
      <c r="D102" s="44"/>
      <c r="E102" s="44"/>
      <c r="F102" s="44"/>
      <c r="H102" s="44"/>
      <c r="J102" s="44"/>
      <c r="K102" s="44"/>
      <c r="L102" s="44"/>
      <c r="M102" s="44"/>
      <c r="N102" s="44"/>
      <c r="O102" s="44"/>
      <c r="P102" s="44"/>
      <c r="Q102" s="44"/>
      <c r="R102" s="44"/>
      <c r="V102" s="50"/>
      <c r="Y102" s="45"/>
      <c r="Z102" s="326"/>
      <c r="AA102" s="50"/>
      <c r="AB102" s="50"/>
      <c r="AC102" s="50"/>
      <c r="AD102" s="50"/>
      <c r="AE102" s="50"/>
      <c r="AF102" s="50"/>
      <c r="AK102" s="111"/>
      <c r="AL102" s="50"/>
      <c r="AO102" s="46"/>
      <c r="AQ102" s="111"/>
    </row>
    <row r="103" spans="1:43">
      <c r="C103" s="44"/>
      <c r="D103" s="44"/>
      <c r="E103" s="44"/>
      <c r="F103" s="44"/>
      <c r="H103" s="44"/>
      <c r="J103" s="44"/>
      <c r="K103" s="44"/>
      <c r="L103" s="44"/>
      <c r="M103" s="44"/>
      <c r="N103" s="44"/>
      <c r="O103" s="44"/>
      <c r="P103" s="44"/>
      <c r="Q103" s="44"/>
      <c r="R103" s="44"/>
      <c r="T103" s="42"/>
      <c r="V103" s="164"/>
      <c r="Y103" s="164"/>
      <c r="Z103" s="336"/>
      <c r="AA103" s="45"/>
      <c r="AB103" s="45"/>
      <c r="AC103" s="46"/>
      <c r="AD103" s="46"/>
      <c r="AE103" s="45"/>
      <c r="AF103" s="45"/>
      <c r="AI103" s="46"/>
      <c r="AJ103" s="46"/>
      <c r="AL103" s="45"/>
      <c r="AO103" s="46"/>
    </row>
    <row r="104" spans="1:43">
      <c r="A104" s="49"/>
      <c r="B104" s="49"/>
      <c r="C104" s="49"/>
      <c r="D104" s="49"/>
      <c r="E104" s="49"/>
      <c r="F104" s="49"/>
      <c r="G104" s="49"/>
      <c r="H104" s="49"/>
      <c r="J104" s="49"/>
      <c r="K104" s="49"/>
      <c r="L104" s="49"/>
      <c r="M104" s="49"/>
      <c r="N104" s="49"/>
      <c r="O104" s="49"/>
      <c r="P104" s="49"/>
      <c r="Q104" s="49"/>
      <c r="R104" s="49"/>
      <c r="T104" s="42"/>
      <c r="V104" s="164"/>
      <c r="Y104" s="45"/>
      <c r="Z104" s="316"/>
      <c r="AA104" s="45"/>
      <c r="AB104" s="45"/>
      <c r="AC104" s="46"/>
      <c r="AD104" s="46"/>
      <c r="AE104" s="45"/>
      <c r="AF104" s="45"/>
      <c r="AI104" s="51"/>
      <c r="AJ104" s="51"/>
      <c r="AL104" s="45"/>
      <c r="AO104" s="46"/>
    </row>
    <row r="105" spans="1:43">
      <c r="H105" s="44"/>
      <c r="J105" s="44"/>
      <c r="K105" s="44"/>
      <c r="L105" s="44"/>
      <c r="M105" s="44"/>
      <c r="N105" s="44"/>
      <c r="O105" s="44"/>
      <c r="P105" s="44"/>
      <c r="Q105" s="44"/>
      <c r="R105" s="44"/>
      <c r="T105" s="42"/>
      <c r="V105" s="164"/>
      <c r="Y105" s="45"/>
      <c r="Z105" s="316"/>
      <c r="AA105" s="45"/>
      <c r="AB105" s="45"/>
      <c r="AC105" s="46"/>
      <c r="AD105" s="46"/>
      <c r="AE105" s="45"/>
      <c r="AF105" s="45"/>
      <c r="AI105" s="51"/>
      <c r="AJ105" s="51"/>
      <c r="AL105" s="45"/>
      <c r="AO105" s="46"/>
    </row>
    <row r="106" spans="1:43">
      <c r="C106" s="42"/>
      <c r="D106" s="42"/>
      <c r="E106" s="42"/>
      <c r="V106" s="45"/>
      <c r="Y106" s="50"/>
      <c r="Z106" s="326"/>
      <c r="AA106" s="50"/>
      <c r="AB106" s="50"/>
      <c r="AC106" s="50"/>
      <c r="AD106" s="50"/>
      <c r="AE106" s="50"/>
      <c r="AF106" s="50"/>
      <c r="AK106" s="111"/>
      <c r="AL106" s="50"/>
      <c r="AO106" s="46"/>
      <c r="AQ106" s="111"/>
    </row>
    <row r="107" spans="1:43">
      <c r="D107" s="42"/>
      <c r="E107" s="42"/>
      <c r="T107" s="42"/>
      <c r="V107" s="45"/>
      <c r="Y107" s="45"/>
      <c r="Z107" s="326"/>
      <c r="AA107" s="45"/>
      <c r="AB107" s="45"/>
      <c r="AC107" s="46"/>
      <c r="AD107" s="46"/>
      <c r="AE107" s="45"/>
      <c r="AF107" s="45"/>
      <c r="AI107" s="51"/>
      <c r="AJ107" s="51"/>
      <c r="AL107" s="45"/>
      <c r="AO107" s="46"/>
    </row>
    <row r="108" spans="1:43">
      <c r="V108" s="45"/>
      <c r="Y108" s="50"/>
      <c r="Z108" s="326"/>
      <c r="AA108" s="50"/>
      <c r="AB108" s="50"/>
      <c r="AC108" s="50"/>
      <c r="AD108" s="50"/>
      <c r="AE108" s="50"/>
      <c r="AF108" s="50"/>
      <c r="AK108" s="111"/>
      <c r="AL108" s="50"/>
      <c r="AO108" s="46"/>
      <c r="AQ108" s="111"/>
    </row>
    <row r="109" spans="1:43">
      <c r="C109" s="42"/>
      <c r="F109" s="164"/>
      <c r="H109" s="164"/>
      <c r="J109" s="164"/>
      <c r="K109" s="316"/>
      <c r="L109" s="316"/>
      <c r="M109" s="45"/>
      <c r="N109" s="45"/>
      <c r="O109" s="46"/>
      <c r="P109" s="46"/>
      <c r="R109" s="45"/>
      <c r="T109" s="42"/>
      <c r="V109" s="45"/>
      <c r="Y109" s="45"/>
      <c r="Z109" s="326"/>
      <c r="AA109" s="45"/>
      <c r="AB109" s="45"/>
      <c r="AC109" s="45"/>
      <c r="AD109" s="45"/>
      <c r="AE109" s="45"/>
      <c r="AF109" s="45"/>
      <c r="AI109" s="51"/>
      <c r="AJ109" s="51"/>
      <c r="AL109" s="45"/>
      <c r="AO109" s="46"/>
    </row>
    <row r="110" spans="1:43">
      <c r="C110" s="42"/>
      <c r="F110" s="164"/>
      <c r="H110" s="164"/>
      <c r="J110" s="164"/>
      <c r="K110" s="316"/>
      <c r="L110" s="316"/>
      <c r="M110" s="45"/>
      <c r="N110" s="45"/>
      <c r="O110" s="46"/>
      <c r="P110" s="46"/>
      <c r="R110" s="45"/>
      <c r="T110" s="42"/>
      <c r="V110" s="45"/>
      <c r="Y110" s="45"/>
      <c r="Z110" s="132"/>
      <c r="AA110" s="45"/>
      <c r="AB110" s="45"/>
      <c r="AC110" s="46"/>
      <c r="AD110" s="46"/>
      <c r="AE110" s="45"/>
      <c r="AF110" s="45"/>
      <c r="AI110" s="51"/>
      <c r="AJ110" s="51"/>
      <c r="AL110" s="45"/>
      <c r="AO110" s="46"/>
    </row>
    <row r="111" spans="1:43">
      <c r="F111" s="50"/>
      <c r="H111" s="45"/>
      <c r="J111" s="45"/>
      <c r="K111" s="326"/>
      <c r="L111" s="326"/>
      <c r="M111" s="50"/>
      <c r="N111" s="50"/>
      <c r="O111" s="50"/>
      <c r="P111" s="50"/>
      <c r="Q111" s="50"/>
      <c r="R111" s="50"/>
      <c r="T111" s="42"/>
      <c r="Y111" s="45"/>
      <c r="Z111" s="132"/>
      <c r="AA111" s="45"/>
      <c r="AB111" s="45"/>
      <c r="AC111" s="46"/>
      <c r="AD111" s="46"/>
      <c r="AE111" s="45"/>
      <c r="AF111" s="45"/>
      <c r="AI111" s="51"/>
      <c r="AJ111" s="51"/>
      <c r="AL111" s="45"/>
      <c r="AO111" s="46"/>
    </row>
    <row r="112" spans="1:43">
      <c r="C112" s="42"/>
      <c r="F112" s="45"/>
      <c r="H112" s="45"/>
      <c r="J112" s="45"/>
      <c r="K112" s="326"/>
      <c r="L112" s="326"/>
      <c r="M112" s="45"/>
      <c r="N112" s="45"/>
      <c r="O112" s="46"/>
      <c r="P112" s="46"/>
      <c r="Q112" s="45"/>
      <c r="R112" s="45"/>
      <c r="V112" s="45"/>
      <c r="Y112" s="45"/>
      <c r="Z112" s="326"/>
      <c r="AA112" s="50"/>
      <c r="AB112" s="50"/>
      <c r="AC112" s="50"/>
      <c r="AD112" s="50"/>
      <c r="AE112" s="50"/>
      <c r="AF112" s="50"/>
      <c r="AK112" s="111"/>
      <c r="AL112" s="50"/>
      <c r="AO112" s="46"/>
      <c r="AQ112" s="111"/>
    </row>
    <row r="113" spans="3:43">
      <c r="F113" s="50"/>
      <c r="H113" s="45"/>
      <c r="J113" s="45"/>
      <c r="K113" s="326"/>
      <c r="L113" s="326"/>
      <c r="M113" s="50"/>
      <c r="N113" s="50"/>
      <c r="O113" s="50"/>
      <c r="P113" s="50"/>
      <c r="Q113" s="50"/>
      <c r="R113" s="50"/>
      <c r="T113" s="42"/>
      <c r="V113" s="45"/>
      <c r="Y113" s="45"/>
      <c r="Z113" s="47"/>
      <c r="AA113" s="45"/>
      <c r="AB113" s="45"/>
      <c r="AC113" s="46"/>
      <c r="AD113" s="46"/>
      <c r="AE113" s="45"/>
      <c r="AF113" s="45"/>
      <c r="AI113" s="51"/>
      <c r="AJ113" s="51"/>
      <c r="AL113" s="45"/>
      <c r="AO113" s="46"/>
    </row>
    <row r="114" spans="3:43">
      <c r="F114" s="45"/>
      <c r="H114" s="45"/>
      <c r="J114" s="45"/>
      <c r="K114" s="326"/>
      <c r="L114" s="326"/>
      <c r="M114" s="45"/>
      <c r="N114" s="45"/>
      <c r="O114" s="46"/>
      <c r="P114" s="46"/>
      <c r="Q114" s="45"/>
      <c r="R114" s="45"/>
      <c r="V114" s="45"/>
      <c r="Y114" s="45"/>
      <c r="Z114" s="326"/>
      <c r="AA114" s="50"/>
      <c r="AB114" s="50"/>
      <c r="AC114" s="50"/>
      <c r="AD114" s="50"/>
      <c r="AE114" s="50"/>
      <c r="AF114" s="50"/>
      <c r="AK114" s="111"/>
      <c r="AL114" s="50"/>
      <c r="AO114" s="46"/>
      <c r="AQ114" s="111"/>
    </row>
    <row r="115" spans="3:43">
      <c r="C115" s="42"/>
      <c r="F115" s="164"/>
      <c r="H115" s="164"/>
      <c r="J115" s="164"/>
      <c r="K115" s="316"/>
      <c r="L115" s="316"/>
      <c r="M115" s="45"/>
      <c r="N115" s="45"/>
      <c r="O115" s="46"/>
      <c r="P115" s="46"/>
      <c r="Q115" s="45"/>
      <c r="R115" s="45"/>
      <c r="T115" s="42"/>
      <c r="V115" s="45"/>
      <c r="Y115" s="45"/>
      <c r="Z115" s="47"/>
      <c r="AA115" s="45"/>
      <c r="AB115" s="45"/>
      <c r="AC115" s="46"/>
      <c r="AD115" s="46"/>
      <c r="AE115" s="45"/>
      <c r="AF115" s="45"/>
      <c r="AI115" s="51"/>
      <c r="AJ115" s="51"/>
      <c r="AL115" s="45"/>
      <c r="AO115" s="46"/>
    </row>
    <row r="116" spans="3:43">
      <c r="C116" s="42"/>
      <c r="F116" s="164"/>
      <c r="H116" s="164"/>
      <c r="J116" s="164"/>
      <c r="K116" s="316"/>
      <c r="L116" s="316"/>
      <c r="M116" s="45"/>
      <c r="N116" s="45"/>
      <c r="O116" s="46"/>
      <c r="P116" s="46"/>
      <c r="Q116" s="45"/>
      <c r="R116" s="45"/>
      <c r="T116" s="42"/>
      <c r="V116" s="164"/>
      <c r="Y116" s="45"/>
      <c r="Z116" s="331"/>
      <c r="AA116" s="45"/>
      <c r="AB116" s="45"/>
      <c r="AC116" s="46"/>
      <c r="AD116" s="46"/>
      <c r="AE116" s="45"/>
      <c r="AF116" s="45"/>
      <c r="AI116" s="51"/>
      <c r="AJ116" s="51"/>
      <c r="AL116" s="45"/>
      <c r="AO116" s="46"/>
    </row>
    <row r="117" spans="3:43">
      <c r="F117" s="45"/>
      <c r="H117" s="50"/>
      <c r="J117" s="50"/>
      <c r="K117" s="326"/>
      <c r="L117" s="326"/>
      <c r="M117" s="50"/>
      <c r="N117" s="50"/>
      <c r="O117" s="50"/>
      <c r="P117" s="50"/>
      <c r="Q117" s="50"/>
      <c r="R117" s="50"/>
      <c r="V117" s="50"/>
      <c r="Y117" s="50"/>
      <c r="Z117" s="326"/>
      <c r="AA117" s="50"/>
      <c r="AB117" s="50"/>
      <c r="AC117" s="50"/>
      <c r="AD117" s="50"/>
      <c r="AE117" s="50"/>
      <c r="AF117" s="50"/>
      <c r="AK117" s="111"/>
      <c r="AL117" s="50"/>
      <c r="AO117" s="46"/>
      <c r="AQ117" s="111"/>
    </row>
    <row r="118" spans="3:43">
      <c r="C118" s="42"/>
      <c r="F118" s="45"/>
      <c r="H118" s="45"/>
      <c r="J118" s="45"/>
      <c r="K118" s="326"/>
      <c r="L118" s="326"/>
      <c r="M118" s="45"/>
      <c r="N118" s="45"/>
      <c r="O118" s="46"/>
      <c r="P118" s="46"/>
      <c r="Q118" s="45"/>
      <c r="R118" s="45"/>
      <c r="T118" s="42"/>
      <c r="V118" s="45"/>
      <c r="Y118" s="45"/>
      <c r="Z118" s="326"/>
      <c r="AA118" s="45"/>
      <c r="AB118" s="45"/>
      <c r="AC118" s="46"/>
      <c r="AD118" s="46"/>
      <c r="AE118" s="45"/>
      <c r="AF118" s="45"/>
      <c r="AI118" s="46"/>
      <c r="AJ118" s="46"/>
      <c r="AL118" s="45"/>
      <c r="AO118" s="46"/>
    </row>
    <row r="119" spans="3:43">
      <c r="F119" s="45"/>
      <c r="H119" s="50"/>
      <c r="J119" s="50"/>
      <c r="K119" s="326"/>
      <c r="L119" s="326"/>
      <c r="M119" s="50"/>
      <c r="N119" s="50"/>
      <c r="O119" s="50"/>
      <c r="P119" s="50"/>
      <c r="Q119" s="50"/>
      <c r="R119" s="50"/>
      <c r="V119" s="50"/>
      <c r="Y119" s="50"/>
      <c r="Z119" s="326"/>
      <c r="AA119" s="50"/>
      <c r="AB119" s="50"/>
      <c r="AC119" s="50"/>
      <c r="AD119" s="50"/>
      <c r="AE119" s="50"/>
      <c r="AF119" s="50"/>
      <c r="AK119" s="111"/>
      <c r="AL119" s="50"/>
      <c r="AO119" s="46"/>
      <c r="AQ119" s="111"/>
    </row>
    <row r="120" spans="3:43">
      <c r="F120" s="45"/>
      <c r="H120" s="45"/>
      <c r="J120" s="45"/>
      <c r="K120" s="326"/>
      <c r="L120" s="326"/>
      <c r="M120" s="45"/>
      <c r="N120" s="45"/>
      <c r="O120" s="45"/>
      <c r="P120" s="45"/>
      <c r="Q120" s="45"/>
      <c r="R120" s="45"/>
      <c r="T120" s="42"/>
    </row>
    <row r="121" spans="3:43">
      <c r="C121" s="42"/>
      <c r="F121" s="164"/>
      <c r="H121" s="164"/>
      <c r="J121" s="164"/>
      <c r="K121" s="331"/>
      <c r="L121" s="331"/>
      <c r="M121" s="45"/>
      <c r="N121" s="45"/>
      <c r="O121" s="46"/>
      <c r="P121" s="46"/>
      <c r="Q121" s="164"/>
      <c r="R121" s="45"/>
      <c r="T121" s="42"/>
      <c r="V121" s="45"/>
      <c r="Y121" s="45"/>
      <c r="AA121" s="45"/>
      <c r="AB121" s="45"/>
      <c r="AC121" s="46"/>
      <c r="AD121" s="46"/>
      <c r="AE121" s="45"/>
      <c r="AF121" s="45"/>
      <c r="AI121" s="46"/>
      <c r="AJ121" s="46"/>
      <c r="AK121" s="333"/>
      <c r="AL121" s="164"/>
      <c r="AO121" s="46"/>
    </row>
    <row r="122" spans="3:43">
      <c r="C122" s="42"/>
      <c r="F122" s="164"/>
      <c r="H122" s="164"/>
      <c r="J122" s="164"/>
      <c r="K122" s="331"/>
      <c r="L122" s="331"/>
      <c r="M122" s="45"/>
      <c r="N122" s="45"/>
      <c r="O122" s="46"/>
      <c r="P122" s="46"/>
      <c r="Q122" s="164"/>
      <c r="R122" s="45"/>
      <c r="V122" s="50"/>
      <c r="Y122" s="50"/>
      <c r="Z122" s="326"/>
      <c r="AA122" s="50"/>
      <c r="AB122" s="50"/>
      <c r="AC122" s="50"/>
      <c r="AD122" s="50"/>
      <c r="AE122" s="50"/>
      <c r="AF122" s="50"/>
      <c r="AK122" s="111"/>
      <c r="AL122" s="50"/>
      <c r="AQ122" s="111"/>
    </row>
    <row r="123" spans="3:43">
      <c r="C123" s="42"/>
      <c r="F123" s="164"/>
      <c r="H123" s="164"/>
      <c r="J123" s="164"/>
      <c r="K123" s="331"/>
      <c r="L123" s="331"/>
      <c r="M123" s="45"/>
      <c r="N123" s="45"/>
      <c r="O123" s="46"/>
      <c r="P123" s="46"/>
      <c r="Q123" s="164"/>
      <c r="R123" s="45"/>
    </row>
    <row r="124" spans="3:43">
      <c r="F124" s="50"/>
      <c r="H124" s="50"/>
      <c r="J124" s="50"/>
      <c r="K124" s="326"/>
      <c r="L124" s="326"/>
      <c r="M124" s="50"/>
      <c r="N124" s="50"/>
      <c r="O124" s="50"/>
      <c r="P124" s="50"/>
      <c r="Q124" s="50"/>
      <c r="R124" s="50"/>
      <c r="T124" s="42"/>
      <c r="AA124" s="45"/>
      <c r="AB124" s="45"/>
      <c r="AC124" s="45"/>
      <c r="AD124" s="45"/>
      <c r="AI124" s="45"/>
      <c r="AJ124" s="45"/>
      <c r="AL124" s="45"/>
    </row>
    <row r="125" spans="3:43">
      <c r="C125" s="42"/>
      <c r="F125" s="45"/>
      <c r="H125" s="45"/>
      <c r="J125" s="45"/>
      <c r="K125" s="47"/>
      <c r="L125" s="47"/>
      <c r="M125" s="45"/>
      <c r="N125" s="45"/>
      <c r="O125" s="46"/>
      <c r="P125" s="46"/>
      <c r="Q125" s="45"/>
      <c r="R125" s="45"/>
    </row>
    <row r="126" spans="3:43">
      <c r="F126" s="50"/>
      <c r="H126" s="50"/>
      <c r="J126" s="50"/>
      <c r="K126" s="326"/>
      <c r="L126" s="326"/>
      <c r="M126" s="50"/>
      <c r="N126" s="50"/>
      <c r="O126" s="50"/>
      <c r="P126" s="50"/>
      <c r="Q126" s="50"/>
      <c r="R126" s="50"/>
    </row>
    <row r="127" spans="3:43">
      <c r="C127" s="42"/>
      <c r="F127" s="45"/>
      <c r="H127" s="45"/>
      <c r="J127" s="45"/>
      <c r="K127" s="47"/>
      <c r="L127" s="47"/>
      <c r="M127" s="45"/>
      <c r="N127" s="45"/>
      <c r="O127" s="46"/>
      <c r="P127" s="46"/>
      <c r="Q127" s="45"/>
      <c r="R127" s="45"/>
      <c r="Y127" s="42"/>
    </row>
    <row r="128" spans="3:43">
      <c r="C128" s="42"/>
      <c r="F128" s="45"/>
      <c r="H128" s="45"/>
      <c r="I128" s="45"/>
      <c r="J128" s="47"/>
      <c r="K128" s="47"/>
      <c r="L128" s="45"/>
      <c r="M128" s="45"/>
      <c r="N128" s="46"/>
      <c r="O128" s="46"/>
      <c r="P128" s="45"/>
      <c r="Q128" s="45"/>
      <c r="R128" s="45"/>
    </row>
    <row r="129" spans="1:40">
      <c r="F129" s="50"/>
      <c r="H129" s="50"/>
      <c r="I129" s="50"/>
      <c r="J129" s="326"/>
      <c r="K129" s="326"/>
      <c r="L129" s="50"/>
      <c r="M129" s="50"/>
      <c r="N129" s="50"/>
      <c r="O129" s="50"/>
      <c r="P129" s="50"/>
      <c r="Q129" s="50"/>
      <c r="R129" s="50"/>
      <c r="AA129" s="42"/>
      <c r="AB129" s="42"/>
    </row>
    <row r="130" spans="1:40">
      <c r="F130" s="45"/>
      <c r="H130" s="45"/>
      <c r="I130" s="45"/>
      <c r="J130" s="47"/>
      <c r="K130" s="47"/>
      <c r="L130" s="45"/>
      <c r="M130" s="45"/>
      <c r="N130" s="45"/>
      <c r="O130" s="45"/>
      <c r="P130" s="45"/>
      <c r="Q130" s="45"/>
      <c r="R130" s="45"/>
      <c r="AK130" s="110"/>
      <c r="AL130" s="42"/>
    </row>
    <row r="131" spans="1:40">
      <c r="C131" s="42"/>
      <c r="F131" s="45"/>
      <c r="H131" s="45"/>
      <c r="I131" s="45"/>
      <c r="J131" s="47"/>
      <c r="K131" s="47"/>
      <c r="L131" s="45"/>
      <c r="M131" s="45"/>
      <c r="N131" s="45"/>
      <c r="O131" s="45"/>
      <c r="P131" s="45"/>
      <c r="Q131" s="45"/>
      <c r="R131" s="45"/>
      <c r="AK131" s="110"/>
      <c r="AL131" s="42"/>
    </row>
    <row r="132" spans="1:40">
      <c r="A132" s="42"/>
      <c r="AK132" s="110"/>
      <c r="AL132" s="42"/>
    </row>
    <row r="134" spans="1:40">
      <c r="H134" s="42"/>
      <c r="I134" s="42"/>
      <c r="Y134" s="42"/>
    </row>
    <row r="136" spans="1:40">
      <c r="L136" s="42"/>
      <c r="M136" s="42"/>
      <c r="AA136" s="42"/>
      <c r="AB136" s="42"/>
    </row>
    <row r="137" spans="1:40">
      <c r="R137" s="42"/>
      <c r="AK137" s="110"/>
      <c r="AL137" s="42"/>
    </row>
    <row r="138" spans="1:40">
      <c r="R138" s="42"/>
      <c r="AK138" s="110"/>
      <c r="AL138" s="42"/>
    </row>
    <row r="139" spans="1:40">
      <c r="A139" s="42"/>
      <c r="R139" s="42"/>
      <c r="AK139" s="110"/>
      <c r="AL139" s="42"/>
    </row>
    <row r="140" spans="1:40">
      <c r="L140" s="42"/>
      <c r="M140" s="42"/>
      <c r="AA140" s="42"/>
      <c r="AB140" s="42"/>
    </row>
    <row r="141" spans="1:40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107"/>
      <c r="AH141" s="49"/>
      <c r="AI141" s="49"/>
      <c r="AJ141" s="49"/>
      <c r="AK141" s="107"/>
      <c r="AL141" s="49"/>
      <c r="AM141" s="49"/>
      <c r="AN141" s="49"/>
    </row>
    <row r="142" spans="1:40">
      <c r="L142" s="44"/>
      <c r="M142" s="44"/>
      <c r="N142" s="44"/>
      <c r="O142" s="44"/>
      <c r="R142" s="44"/>
      <c r="AA142" s="44"/>
      <c r="AB142" s="44"/>
      <c r="AC142" s="44"/>
      <c r="AD142" s="44"/>
      <c r="AE142" s="44"/>
      <c r="AF142" s="44"/>
      <c r="AG142" s="102"/>
      <c r="AH142" s="44"/>
      <c r="AK142" s="102"/>
      <c r="AL142" s="44"/>
      <c r="AM142" s="44"/>
      <c r="AN142" s="44"/>
    </row>
    <row r="143" spans="1:40">
      <c r="L143" s="44"/>
      <c r="M143" s="44"/>
      <c r="N143" s="44"/>
      <c r="O143" s="44"/>
      <c r="R143" s="44"/>
      <c r="Z143" s="44"/>
      <c r="AA143" s="44"/>
      <c r="AB143" s="44"/>
      <c r="AC143" s="44"/>
      <c r="AD143" s="44"/>
      <c r="AE143" s="44"/>
      <c r="AF143" s="44"/>
      <c r="AG143" s="102"/>
      <c r="AH143" s="44"/>
      <c r="AK143" s="102"/>
      <c r="AL143" s="44"/>
      <c r="AM143" s="44"/>
      <c r="AN143" s="44"/>
    </row>
    <row r="144" spans="1:40">
      <c r="A144" s="44"/>
      <c r="C144" s="44"/>
      <c r="D144" s="44"/>
      <c r="E144" s="44"/>
      <c r="F144" s="44"/>
      <c r="J144" s="44"/>
      <c r="K144" s="44"/>
      <c r="L144" s="44"/>
      <c r="M144" s="44"/>
      <c r="N144" s="44"/>
      <c r="O144" s="44"/>
      <c r="P144" s="44"/>
      <c r="Q144" s="44"/>
      <c r="R144" s="44"/>
      <c r="T144" s="44"/>
      <c r="U144" s="44"/>
      <c r="V144" s="44"/>
      <c r="Z144" s="44"/>
      <c r="AA144" s="44"/>
      <c r="AB144" s="44"/>
      <c r="AC144" s="44"/>
      <c r="AD144" s="44"/>
      <c r="AE144" s="44"/>
      <c r="AF144" s="44"/>
      <c r="AG144" s="102"/>
      <c r="AH144" s="44"/>
      <c r="AI144" s="44"/>
      <c r="AJ144" s="44"/>
      <c r="AK144" s="102"/>
      <c r="AL144" s="44"/>
      <c r="AM144" s="44"/>
      <c r="AN144" s="44"/>
    </row>
    <row r="145" spans="1:40">
      <c r="A145" s="44"/>
      <c r="C145" s="44"/>
      <c r="D145" s="44"/>
      <c r="E145" s="44"/>
      <c r="F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T145" s="44"/>
      <c r="U145" s="44"/>
      <c r="V145" s="44"/>
      <c r="Y145" s="44"/>
      <c r="Z145" s="44"/>
      <c r="AA145" s="44"/>
      <c r="AB145" s="44"/>
      <c r="AC145" s="44"/>
      <c r="AD145" s="44"/>
      <c r="AE145" s="44"/>
      <c r="AF145" s="44"/>
      <c r="AG145" s="102"/>
      <c r="AH145" s="44"/>
      <c r="AI145" s="44"/>
      <c r="AJ145" s="44"/>
      <c r="AK145" s="102"/>
      <c r="AL145" s="44"/>
      <c r="AM145" s="44"/>
      <c r="AN145" s="44"/>
    </row>
    <row r="146" spans="1:40">
      <c r="C146" s="44"/>
      <c r="D146" s="44"/>
      <c r="E146" s="44"/>
      <c r="F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T146" s="44"/>
      <c r="U146" s="44"/>
      <c r="V146" s="44"/>
      <c r="Y146" s="44"/>
      <c r="Z146" s="44"/>
      <c r="AA146" s="44"/>
      <c r="AB146" s="44"/>
      <c r="AC146" s="44"/>
      <c r="AD146" s="44"/>
      <c r="AE146" s="44"/>
      <c r="AF146" s="44"/>
      <c r="AG146" s="102"/>
      <c r="AH146" s="44"/>
      <c r="AI146" s="44"/>
      <c r="AJ146" s="44"/>
      <c r="AK146" s="102"/>
      <c r="AL146" s="44"/>
      <c r="AM146" s="44"/>
      <c r="AN146" s="44"/>
    </row>
    <row r="147" spans="1:40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107"/>
      <c r="AH147" s="49"/>
      <c r="AI147" s="49"/>
      <c r="AJ147" s="49"/>
      <c r="AK147" s="107"/>
      <c r="AL147" s="49"/>
      <c r="AM147" s="49"/>
      <c r="AN147" s="49"/>
    </row>
    <row r="148" spans="1:40"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Y148" s="44"/>
      <c r="Z148" s="44"/>
      <c r="AA148" s="44"/>
      <c r="AB148" s="44"/>
      <c r="AC148" s="44"/>
      <c r="AD148" s="44"/>
      <c r="AE148" s="44"/>
      <c r="AF148" s="44"/>
      <c r="AG148" s="102"/>
      <c r="AH148" s="44"/>
      <c r="AI148" s="44"/>
      <c r="AJ148" s="44"/>
      <c r="AK148" s="102"/>
      <c r="AL148" s="44"/>
      <c r="AM148" s="44"/>
      <c r="AN148" s="44"/>
    </row>
    <row r="149" spans="1:40">
      <c r="C149" s="42"/>
      <c r="D149" s="42"/>
      <c r="E149" s="42"/>
      <c r="T149" s="42"/>
      <c r="U149" s="42"/>
    </row>
    <row r="151" spans="1:40">
      <c r="C151" s="42"/>
      <c r="F151" s="164"/>
      <c r="H151" s="329"/>
      <c r="I151" s="329"/>
      <c r="J151" s="316"/>
      <c r="K151" s="316"/>
      <c r="L151" s="45"/>
      <c r="M151" s="45"/>
      <c r="R151" s="45"/>
      <c r="T151" s="42"/>
      <c r="V151" s="45"/>
      <c r="Z151" s="316"/>
      <c r="AA151" s="45"/>
      <c r="AB151" s="45"/>
      <c r="AE151" s="45"/>
      <c r="AF151" s="45"/>
      <c r="AG151" s="333"/>
      <c r="AH151" s="334"/>
      <c r="AI151" s="45"/>
      <c r="AJ151" s="45"/>
      <c r="AL151" s="45"/>
      <c r="AM151" s="335"/>
      <c r="AN151" s="335"/>
    </row>
    <row r="152" spans="1:40">
      <c r="F152" s="164"/>
      <c r="H152" s="329"/>
      <c r="I152" s="329"/>
      <c r="J152" s="329"/>
      <c r="K152" s="329"/>
      <c r="R152" s="45"/>
      <c r="V152" s="45"/>
      <c r="Z152" s="329"/>
    </row>
    <row r="153" spans="1:40">
      <c r="C153" s="42"/>
      <c r="F153" s="164"/>
      <c r="H153" s="164"/>
      <c r="I153" s="164"/>
      <c r="J153" s="331"/>
      <c r="K153" s="331"/>
      <c r="L153" s="45"/>
      <c r="M153" s="45"/>
      <c r="N153" s="46"/>
      <c r="O153" s="46"/>
      <c r="P153" s="164"/>
      <c r="Q153" s="164"/>
      <c r="R153" s="45"/>
      <c r="T153" s="42"/>
      <c r="V153" s="45"/>
      <c r="Y153" s="45"/>
      <c r="Z153" s="325"/>
      <c r="AA153" s="45"/>
      <c r="AB153" s="45"/>
      <c r="AC153" s="46"/>
      <c r="AD153" s="46"/>
      <c r="AE153" s="45"/>
      <c r="AF153" s="45"/>
      <c r="AH153" s="51"/>
      <c r="AI153" s="164"/>
      <c r="AJ153" s="164"/>
      <c r="AL153" s="45"/>
      <c r="AM153" s="46"/>
      <c r="AN153" s="46"/>
    </row>
    <row r="154" spans="1:40">
      <c r="F154" s="50"/>
      <c r="H154" s="50"/>
      <c r="I154" s="50"/>
      <c r="J154" s="326"/>
      <c r="K154" s="326"/>
      <c r="L154" s="50"/>
      <c r="M154" s="50"/>
      <c r="N154" s="50"/>
      <c r="O154" s="50"/>
      <c r="P154" s="50"/>
      <c r="Q154" s="50"/>
      <c r="R154" s="50"/>
      <c r="V154" s="50"/>
      <c r="Y154" s="50"/>
      <c r="Z154" s="326"/>
      <c r="AA154" s="50"/>
      <c r="AB154" s="50"/>
      <c r="AC154" s="50"/>
      <c r="AD154" s="50"/>
      <c r="AE154" s="50"/>
      <c r="AF154" s="50"/>
      <c r="AI154" s="50"/>
      <c r="AJ154" s="50"/>
      <c r="AK154" s="111"/>
      <c r="AL154" s="50"/>
    </row>
    <row r="155" spans="1:40">
      <c r="D155" s="42"/>
      <c r="E155" s="42"/>
      <c r="F155" s="45"/>
      <c r="H155" s="45"/>
      <c r="I155" s="45"/>
      <c r="J155" s="47"/>
      <c r="K155" s="47"/>
      <c r="L155" s="45"/>
      <c r="M155" s="45"/>
      <c r="N155" s="46"/>
      <c r="O155" s="46"/>
      <c r="P155" s="45"/>
      <c r="Q155" s="45"/>
      <c r="R155" s="45"/>
      <c r="U155" s="42"/>
      <c r="V155" s="45"/>
      <c r="Y155" s="45"/>
      <c r="Z155" s="47"/>
      <c r="AA155" s="45"/>
      <c r="AB155" s="45"/>
      <c r="AC155" s="46"/>
      <c r="AD155" s="46"/>
      <c r="AE155" s="45"/>
      <c r="AF155" s="45"/>
      <c r="AH155" s="51"/>
      <c r="AI155" s="45"/>
      <c r="AJ155" s="45"/>
      <c r="AL155" s="45"/>
      <c r="AM155" s="46"/>
      <c r="AN155" s="46"/>
    </row>
    <row r="156" spans="1:40">
      <c r="F156" s="50"/>
      <c r="H156" s="50"/>
      <c r="I156" s="50"/>
      <c r="J156" s="326"/>
      <c r="K156" s="326"/>
      <c r="L156" s="50"/>
      <c r="M156" s="50"/>
      <c r="N156" s="50"/>
      <c r="O156" s="50"/>
      <c r="P156" s="50"/>
      <c r="Q156" s="50"/>
      <c r="R156" s="50"/>
      <c r="V156" s="50"/>
      <c r="Y156" s="50"/>
      <c r="Z156" s="326"/>
      <c r="AA156" s="50"/>
      <c r="AB156" s="50"/>
      <c r="AC156" s="50"/>
      <c r="AD156" s="50"/>
      <c r="AE156" s="50"/>
      <c r="AF156" s="50"/>
      <c r="AI156" s="50"/>
      <c r="AJ156" s="50"/>
      <c r="AK156" s="111"/>
      <c r="AL156" s="50"/>
    </row>
    <row r="157" spans="1:40">
      <c r="R157" s="45"/>
    </row>
    <row r="158" spans="1:40">
      <c r="R158" s="45"/>
    </row>
    <row r="159" spans="1:40">
      <c r="R159" s="45"/>
    </row>
    <row r="160" spans="1:40">
      <c r="C160" s="42"/>
      <c r="D160" s="42"/>
      <c r="E160" s="42"/>
      <c r="H160" s="45"/>
      <c r="I160" s="45"/>
      <c r="J160" s="47"/>
      <c r="K160" s="47"/>
      <c r="L160" s="45"/>
      <c r="M160" s="45"/>
      <c r="N160" s="46"/>
      <c r="O160" s="46"/>
      <c r="P160" s="45"/>
      <c r="Q160" s="45"/>
      <c r="R160" s="45"/>
      <c r="T160" s="42"/>
      <c r="U160" s="42"/>
      <c r="Y160" s="45"/>
      <c r="Z160" s="47"/>
      <c r="AA160" s="45"/>
      <c r="AB160" s="45"/>
      <c r="AC160" s="46"/>
      <c r="AD160" s="46"/>
    </row>
    <row r="161" spans="1:40">
      <c r="H161" s="45"/>
      <c r="I161" s="45"/>
      <c r="J161" s="47"/>
      <c r="K161" s="47"/>
      <c r="L161" s="45"/>
      <c r="M161" s="45"/>
      <c r="N161" s="46"/>
      <c r="O161" s="46"/>
      <c r="P161" s="45"/>
      <c r="Q161" s="45"/>
      <c r="R161" s="45"/>
      <c r="Y161" s="45"/>
      <c r="Z161" s="47"/>
      <c r="AA161" s="45"/>
      <c r="AB161" s="45"/>
      <c r="AC161" s="46"/>
      <c r="AD161" s="46"/>
    </row>
    <row r="162" spans="1:40">
      <c r="C162" s="42"/>
      <c r="F162" s="164"/>
      <c r="H162" s="164"/>
      <c r="I162" s="164"/>
      <c r="J162" s="52"/>
      <c r="K162" s="52"/>
      <c r="L162" s="164"/>
      <c r="M162" s="164"/>
      <c r="N162" s="46"/>
      <c r="O162" s="46"/>
      <c r="P162" s="45"/>
      <c r="Q162" s="45"/>
      <c r="R162" s="45"/>
      <c r="T162" s="42"/>
      <c r="V162" s="45"/>
      <c r="Y162" s="45"/>
      <c r="Z162" s="52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1:40">
      <c r="F163" s="164"/>
      <c r="H163" s="329"/>
      <c r="I163" s="329"/>
      <c r="J163" s="329"/>
      <c r="K163" s="329"/>
      <c r="R163" s="45"/>
      <c r="V163" s="45"/>
      <c r="Z163" s="329"/>
    </row>
    <row r="164" spans="1:40">
      <c r="C164" s="42"/>
      <c r="F164" s="164"/>
      <c r="H164" s="164"/>
      <c r="I164" s="164"/>
      <c r="J164" s="316"/>
      <c r="K164" s="316"/>
      <c r="L164" s="45"/>
      <c r="M164" s="45"/>
      <c r="N164" s="46"/>
      <c r="O164" s="46"/>
      <c r="P164" s="45"/>
      <c r="Q164" s="45"/>
      <c r="R164" s="45"/>
      <c r="T164" s="42"/>
      <c r="V164" s="45"/>
      <c r="Y164" s="45"/>
      <c r="Z164" s="316"/>
      <c r="AA164" s="45"/>
      <c r="AB164" s="45"/>
      <c r="AC164" s="46"/>
      <c r="AD164" s="46"/>
      <c r="AE164" s="45"/>
      <c r="AF164" s="45"/>
      <c r="AH164" s="51"/>
      <c r="AI164" s="45"/>
      <c r="AJ164" s="45"/>
      <c r="AL164" s="45"/>
      <c r="AM164" s="46"/>
      <c r="AN164" s="46"/>
    </row>
    <row r="165" spans="1:40">
      <c r="F165" s="164"/>
      <c r="H165" s="329"/>
      <c r="I165" s="329"/>
      <c r="J165" s="329"/>
      <c r="K165" s="329"/>
      <c r="R165" s="45"/>
      <c r="V165" s="45"/>
      <c r="Z165" s="329"/>
    </row>
    <row r="166" spans="1:40">
      <c r="C166" s="42"/>
      <c r="F166" s="164"/>
      <c r="H166" s="164"/>
      <c r="I166" s="164"/>
      <c r="J166" s="331"/>
      <c r="K166" s="331"/>
      <c r="L166" s="45"/>
      <c r="M166" s="45"/>
      <c r="N166" s="46"/>
      <c r="O166" s="46"/>
      <c r="P166" s="45"/>
      <c r="Q166" s="45"/>
      <c r="R166" s="45"/>
      <c r="T166" s="42"/>
      <c r="V166" s="45"/>
      <c r="Y166" s="45"/>
      <c r="Z166" s="325"/>
      <c r="AA166" s="45"/>
      <c r="AB166" s="45"/>
      <c r="AC166" s="46"/>
      <c r="AD166" s="46"/>
      <c r="AE166" s="45"/>
      <c r="AF166" s="45"/>
      <c r="AH166" s="51"/>
      <c r="AI166" s="45"/>
      <c r="AJ166" s="45"/>
      <c r="AL166" s="45"/>
      <c r="AM166" s="46"/>
      <c r="AN166" s="46"/>
    </row>
    <row r="167" spans="1:40">
      <c r="F167" s="50"/>
      <c r="H167" s="50"/>
      <c r="I167" s="50"/>
      <c r="J167" s="326"/>
      <c r="K167" s="326"/>
      <c r="L167" s="50"/>
      <c r="M167" s="50"/>
      <c r="N167" s="50"/>
      <c r="O167" s="50"/>
      <c r="P167" s="50"/>
      <c r="Q167" s="50"/>
      <c r="R167" s="50"/>
      <c r="S167" s="45"/>
      <c r="V167" s="50"/>
      <c r="Y167" s="50"/>
      <c r="Z167" s="326"/>
      <c r="AA167" s="50"/>
      <c r="AB167" s="50"/>
      <c r="AC167" s="50"/>
      <c r="AD167" s="50"/>
      <c r="AE167" s="50"/>
      <c r="AF167" s="50"/>
      <c r="AI167" s="50"/>
      <c r="AJ167" s="50"/>
      <c r="AK167" s="111"/>
      <c r="AL167" s="50"/>
    </row>
    <row r="168" spans="1:40">
      <c r="D168" s="42"/>
      <c r="E168" s="42"/>
      <c r="F168" s="45"/>
      <c r="H168" s="45"/>
      <c r="I168" s="45"/>
      <c r="J168" s="47"/>
      <c r="K168" s="47"/>
      <c r="L168" s="45"/>
      <c r="M168" s="45"/>
      <c r="N168" s="46"/>
      <c r="O168" s="46"/>
      <c r="P168" s="164"/>
      <c r="Q168" s="164"/>
      <c r="R168" s="45"/>
      <c r="S168" s="45"/>
      <c r="U168" s="42"/>
      <c r="V168" s="45"/>
      <c r="Y168" s="45"/>
      <c r="Z168" s="47"/>
      <c r="AA168" s="45"/>
      <c r="AB168" s="45"/>
      <c r="AC168" s="46"/>
      <c r="AD168" s="46"/>
      <c r="AE168" s="45"/>
      <c r="AF168" s="45"/>
      <c r="AH168" s="51"/>
      <c r="AI168" s="164"/>
      <c r="AJ168" s="164"/>
      <c r="AL168" s="45"/>
      <c r="AM168" s="46"/>
      <c r="AN168" s="46"/>
    </row>
    <row r="169" spans="1:40">
      <c r="F169" s="50"/>
      <c r="H169" s="50"/>
      <c r="I169" s="50"/>
      <c r="J169" s="326"/>
      <c r="K169" s="326"/>
      <c r="L169" s="50"/>
      <c r="M169" s="50"/>
      <c r="N169" s="50"/>
      <c r="O169" s="50"/>
      <c r="P169" s="50"/>
      <c r="Q169" s="50"/>
      <c r="R169" s="50"/>
      <c r="S169" s="45"/>
      <c r="V169" s="50"/>
      <c r="Y169" s="50"/>
      <c r="Z169" s="326"/>
      <c r="AA169" s="50"/>
      <c r="AB169" s="50"/>
      <c r="AC169" s="50"/>
      <c r="AD169" s="50"/>
      <c r="AE169" s="50"/>
      <c r="AF169" s="50"/>
      <c r="AI169" s="50"/>
      <c r="AJ169" s="50"/>
      <c r="AK169" s="111"/>
      <c r="AL169" s="50"/>
    </row>
    <row r="170" spans="1:40">
      <c r="R170" s="45"/>
    </row>
    <row r="171" spans="1:40">
      <c r="F171" s="45"/>
      <c r="H171" s="45"/>
      <c r="I171" s="45"/>
      <c r="J171" s="47"/>
      <c r="K171" s="47"/>
      <c r="L171" s="45"/>
      <c r="M171" s="45"/>
      <c r="N171" s="45"/>
      <c r="O171" s="45"/>
      <c r="P171" s="45"/>
      <c r="Q171" s="45"/>
      <c r="R171" s="45"/>
      <c r="V171" s="45"/>
      <c r="Y171" s="45"/>
      <c r="Z171" s="47"/>
      <c r="AA171" s="45"/>
      <c r="AB171" s="45"/>
      <c r="AC171" s="45"/>
      <c r="AD171" s="45"/>
    </row>
    <row r="172" spans="1:40">
      <c r="C172" s="42"/>
      <c r="F172" s="45"/>
      <c r="H172" s="45"/>
      <c r="I172" s="45"/>
      <c r="J172" s="47"/>
      <c r="K172" s="47"/>
      <c r="L172" s="45"/>
      <c r="M172" s="45"/>
      <c r="N172" s="45"/>
      <c r="O172" s="45"/>
      <c r="P172" s="45"/>
      <c r="Q172" s="45"/>
      <c r="R172" s="45"/>
      <c r="T172" s="42"/>
      <c r="V172" s="45"/>
      <c r="Y172" s="45"/>
      <c r="Z172" s="47"/>
      <c r="AA172" s="45"/>
      <c r="AB172" s="45"/>
      <c r="AC172" s="45"/>
      <c r="AD172" s="45"/>
    </row>
    <row r="173" spans="1:40">
      <c r="C173" s="42"/>
      <c r="T173" s="42"/>
    </row>
    <row r="174" spans="1:40">
      <c r="A174" s="42"/>
    </row>
    <row r="177" spans="1:40">
      <c r="H177" s="42"/>
      <c r="I177" s="42"/>
      <c r="Y177" s="42"/>
    </row>
    <row r="179" spans="1:40">
      <c r="L179" s="42"/>
      <c r="M179" s="42"/>
      <c r="AA179" s="42"/>
      <c r="AB179" s="42"/>
    </row>
    <row r="180" spans="1:40">
      <c r="R180" s="42"/>
      <c r="AK180" s="110"/>
      <c r="AL180" s="42"/>
    </row>
    <row r="181" spans="1:40">
      <c r="R181" s="42"/>
      <c r="AK181" s="110"/>
      <c r="AL181" s="42"/>
    </row>
    <row r="182" spans="1:40">
      <c r="A182" s="42"/>
      <c r="R182" s="42"/>
      <c r="AK182" s="110"/>
      <c r="AL182" s="42"/>
    </row>
    <row r="183" spans="1:40">
      <c r="L183" s="42"/>
      <c r="M183" s="42"/>
      <c r="AA183" s="42"/>
      <c r="AB183" s="42"/>
    </row>
    <row r="184" spans="1:40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107"/>
      <c r="AH184" s="49"/>
      <c r="AI184" s="49"/>
      <c r="AJ184" s="49"/>
      <c r="AK184" s="107"/>
      <c r="AL184" s="49"/>
      <c r="AM184" s="49"/>
      <c r="AN184" s="49"/>
    </row>
    <row r="185" spans="1:40">
      <c r="L185" s="44"/>
      <c r="M185" s="44"/>
      <c r="N185" s="44"/>
      <c r="O185" s="44"/>
      <c r="R185" s="44"/>
      <c r="AA185" s="44"/>
      <c r="AB185" s="44"/>
      <c r="AC185" s="44"/>
      <c r="AD185" s="44"/>
      <c r="AE185" s="44"/>
      <c r="AF185" s="44"/>
      <c r="AG185" s="102"/>
      <c r="AH185" s="44"/>
      <c r="AK185" s="102"/>
      <c r="AL185" s="44"/>
      <c r="AM185" s="44"/>
      <c r="AN185" s="44"/>
    </row>
    <row r="186" spans="1:40">
      <c r="L186" s="44"/>
      <c r="M186" s="44"/>
      <c r="N186" s="44"/>
      <c r="O186" s="44"/>
      <c r="R186" s="44"/>
      <c r="Z186" s="44"/>
      <c r="AA186" s="44"/>
      <c r="AB186" s="44"/>
      <c r="AC186" s="44"/>
      <c r="AD186" s="44"/>
      <c r="AE186" s="44"/>
      <c r="AF186" s="44"/>
      <c r="AG186" s="102"/>
      <c r="AH186" s="44"/>
      <c r="AK186" s="102"/>
      <c r="AL186" s="44"/>
      <c r="AM186" s="44"/>
      <c r="AN186" s="44"/>
    </row>
    <row r="187" spans="1:40">
      <c r="A187" s="44"/>
      <c r="C187" s="44"/>
      <c r="D187" s="44"/>
      <c r="E187" s="44"/>
      <c r="F187" s="44"/>
      <c r="J187" s="44"/>
      <c r="K187" s="44"/>
      <c r="L187" s="44"/>
      <c r="M187" s="44"/>
      <c r="N187" s="44"/>
      <c r="O187" s="44"/>
      <c r="P187" s="44"/>
      <c r="Q187" s="44"/>
      <c r="R187" s="44"/>
      <c r="T187" s="44"/>
      <c r="U187" s="44"/>
      <c r="V187" s="44"/>
      <c r="Z187" s="44"/>
      <c r="AA187" s="44"/>
      <c r="AB187" s="44"/>
      <c r="AC187" s="44"/>
      <c r="AD187" s="44"/>
      <c r="AE187" s="44"/>
      <c r="AF187" s="44"/>
      <c r="AG187" s="102"/>
      <c r="AH187" s="44"/>
      <c r="AI187" s="44"/>
      <c r="AJ187" s="44"/>
      <c r="AK187" s="102"/>
      <c r="AL187" s="44"/>
      <c r="AM187" s="44"/>
      <c r="AN187" s="44"/>
    </row>
    <row r="188" spans="1:40">
      <c r="A188" s="44"/>
      <c r="C188" s="44"/>
      <c r="D188" s="44"/>
      <c r="E188" s="44"/>
      <c r="F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T188" s="44"/>
      <c r="U188" s="44"/>
      <c r="V188" s="44"/>
      <c r="Y188" s="44"/>
      <c r="Z188" s="44"/>
      <c r="AA188" s="44"/>
      <c r="AB188" s="44"/>
      <c r="AC188" s="44"/>
      <c r="AD188" s="44"/>
      <c r="AE188" s="44"/>
      <c r="AF188" s="44"/>
      <c r="AG188" s="102"/>
      <c r="AH188" s="44"/>
      <c r="AI188" s="44"/>
      <c r="AJ188" s="44"/>
      <c r="AK188" s="102"/>
      <c r="AL188" s="44"/>
      <c r="AM188" s="44"/>
      <c r="AN188" s="44"/>
    </row>
    <row r="189" spans="1:40">
      <c r="C189" s="44"/>
      <c r="D189" s="44"/>
      <c r="E189" s="44"/>
      <c r="F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T189" s="44"/>
      <c r="U189" s="44"/>
      <c r="V189" s="44"/>
      <c r="Y189" s="44"/>
      <c r="Z189" s="44"/>
      <c r="AA189" s="44"/>
      <c r="AB189" s="44"/>
      <c r="AC189" s="44"/>
      <c r="AD189" s="44"/>
      <c r="AE189" s="44"/>
      <c r="AF189" s="44"/>
      <c r="AG189" s="102"/>
      <c r="AH189" s="44"/>
      <c r="AI189" s="44"/>
      <c r="AJ189" s="44"/>
      <c r="AK189" s="102"/>
      <c r="AL189" s="44"/>
      <c r="AM189" s="44"/>
      <c r="AN189" s="44"/>
    </row>
    <row r="190" spans="1:40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107"/>
      <c r="AH190" s="49"/>
      <c r="AI190" s="49"/>
      <c r="AJ190" s="49"/>
      <c r="AK190" s="107"/>
      <c r="AL190" s="49"/>
      <c r="AM190" s="49"/>
      <c r="AN190" s="49"/>
    </row>
    <row r="191" spans="1:40"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Y191" s="44"/>
      <c r="Z191" s="44"/>
      <c r="AA191" s="44"/>
      <c r="AB191" s="44"/>
      <c r="AC191" s="44"/>
      <c r="AD191" s="44"/>
      <c r="AE191" s="44"/>
      <c r="AF191" s="44"/>
      <c r="AG191" s="102"/>
      <c r="AH191" s="44"/>
      <c r="AI191" s="44"/>
      <c r="AJ191" s="44"/>
      <c r="AK191" s="102"/>
      <c r="AL191" s="44"/>
      <c r="AM191" s="44"/>
      <c r="AN191" s="44"/>
    </row>
    <row r="192" spans="1:40">
      <c r="C192" s="42"/>
      <c r="D192" s="42"/>
      <c r="E192" s="42"/>
      <c r="T192" s="42"/>
      <c r="U192" s="42"/>
    </row>
    <row r="193" spans="3:40">
      <c r="D193" s="42"/>
      <c r="E193" s="42"/>
      <c r="U193" s="42"/>
    </row>
    <row r="195" spans="3:40">
      <c r="C195" s="42"/>
      <c r="F195" s="45"/>
      <c r="J195" s="53"/>
      <c r="K195" s="53"/>
      <c r="L195" s="45"/>
      <c r="M195" s="45"/>
      <c r="R195" s="45"/>
      <c r="T195" s="42"/>
      <c r="V195" s="45"/>
      <c r="Z195" s="53"/>
      <c r="AA195" s="45"/>
      <c r="AB195" s="45"/>
      <c r="AL195" s="45"/>
    </row>
    <row r="196" spans="3:40">
      <c r="F196" s="45"/>
      <c r="R196" s="45"/>
      <c r="V196" s="45"/>
      <c r="AL196" s="45"/>
    </row>
    <row r="197" spans="3:40">
      <c r="C197" s="42"/>
      <c r="F197" s="164"/>
      <c r="H197" s="164"/>
      <c r="I197" s="164"/>
      <c r="J197" s="316"/>
      <c r="K197" s="316"/>
      <c r="L197" s="45"/>
      <c r="M197" s="45"/>
      <c r="N197" s="46"/>
      <c r="O197" s="46"/>
      <c r="P197" s="45"/>
      <c r="Q197" s="45"/>
      <c r="R197" s="45"/>
      <c r="T197" s="42"/>
      <c r="V197" s="45"/>
      <c r="Y197" s="45"/>
      <c r="Z197" s="316"/>
      <c r="AA197" s="45"/>
      <c r="AB197" s="45"/>
      <c r="AC197" s="46"/>
      <c r="AD197" s="46"/>
      <c r="AE197" s="45"/>
      <c r="AF197" s="45"/>
      <c r="AH197" s="51"/>
      <c r="AI197" s="45"/>
      <c r="AJ197" s="45"/>
      <c r="AL197" s="45"/>
      <c r="AM197" s="46"/>
      <c r="AN197" s="46"/>
    </row>
    <row r="198" spans="3:40">
      <c r="C198" s="42"/>
      <c r="F198" s="164"/>
      <c r="H198" s="329"/>
      <c r="I198" s="329"/>
      <c r="J198" s="316"/>
      <c r="K198" s="316"/>
      <c r="L198" s="45"/>
      <c r="M198" s="45"/>
      <c r="N198" s="46"/>
      <c r="O198" s="46"/>
      <c r="P198" s="45"/>
      <c r="Q198" s="45"/>
      <c r="R198" s="45"/>
      <c r="T198" s="42"/>
      <c r="V198" s="45"/>
      <c r="Y198" s="45"/>
      <c r="Z198" s="316"/>
      <c r="AA198" s="45"/>
      <c r="AB198" s="45"/>
      <c r="AC198" s="46"/>
      <c r="AD198" s="46"/>
      <c r="AE198" s="45"/>
      <c r="AF198" s="45"/>
      <c r="AH198" s="51"/>
      <c r="AI198" s="45"/>
      <c r="AJ198" s="45"/>
      <c r="AL198" s="45"/>
      <c r="AM198" s="46"/>
      <c r="AN198" s="46"/>
    </row>
    <row r="199" spans="3:40">
      <c r="F199" s="50"/>
      <c r="H199" s="45"/>
      <c r="I199" s="45"/>
      <c r="J199" s="326"/>
      <c r="K199" s="326"/>
      <c r="L199" s="50"/>
      <c r="M199" s="50"/>
      <c r="N199" s="50"/>
      <c r="O199" s="50"/>
      <c r="P199" s="50"/>
      <c r="Q199" s="50"/>
      <c r="R199" s="50"/>
      <c r="V199" s="50"/>
      <c r="Y199" s="45"/>
      <c r="Z199" s="326"/>
      <c r="AA199" s="50"/>
      <c r="AB199" s="50"/>
      <c r="AC199" s="50"/>
      <c r="AD199" s="50"/>
      <c r="AE199" s="50"/>
      <c r="AF199" s="50"/>
      <c r="AI199" s="50"/>
      <c r="AJ199" s="50"/>
      <c r="AK199" s="111"/>
      <c r="AL199" s="50"/>
    </row>
    <row r="200" spans="3:40">
      <c r="C200" s="42"/>
      <c r="F200" s="45"/>
      <c r="H200" s="45"/>
      <c r="I200" s="45"/>
      <c r="J200" s="47"/>
      <c r="K200" s="47"/>
      <c r="L200" s="45"/>
      <c r="M200" s="45"/>
      <c r="N200" s="46"/>
      <c r="O200" s="46"/>
      <c r="P200" s="45"/>
      <c r="Q200" s="45"/>
      <c r="R200" s="45"/>
      <c r="T200" s="42"/>
      <c r="V200" s="45"/>
      <c r="Y200" s="45"/>
      <c r="Z200" s="47"/>
      <c r="AA200" s="45"/>
      <c r="AB200" s="45"/>
      <c r="AC200" s="46"/>
      <c r="AD200" s="46"/>
      <c r="AE200" s="45"/>
      <c r="AF200" s="45"/>
      <c r="AH200" s="51"/>
      <c r="AI200" s="45"/>
      <c r="AJ200" s="45"/>
      <c r="AL200" s="45"/>
      <c r="AM200" s="46"/>
      <c r="AN200" s="46"/>
    </row>
    <row r="201" spans="3:40">
      <c r="F201" s="50"/>
      <c r="H201" s="45"/>
      <c r="I201" s="45"/>
      <c r="J201" s="326"/>
      <c r="K201" s="326"/>
      <c r="L201" s="50"/>
      <c r="M201" s="50"/>
      <c r="N201" s="50"/>
      <c r="O201" s="50"/>
      <c r="P201" s="50"/>
      <c r="Q201" s="50"/>
      <c r="R201" s="50"/>
      <c r="V201" s="50"/>
      <c r="Y201" s="45"/>
      <c r="Z201" s="326"/>
      <c r="AA201" s="50"/>
      <c r="AB201" s="50"/>
      <c r="AC201" s="50"/>
      <c r="AD201" s="50"/>
      <c r="AE201" s="50"/>
      <c r="AF201" s="50"/>
      <c r="AI201" s="50"/>
      <c r="AJ201" s="50"/>
      <c r="AK201" s="111"/>
      <c r="AL201" s="50"/>
    </row>
    <row r="202" spans="3:40">
      <c r="F202" s="45"/>
      <c r="R202" s="45"/>
      <c r="V202" s="45"/>
      <c r="AL202" s="45"/>
    </row>
    <row r="203" spans="3:40">
      <c r="C203" s="42"/>
      <c r="F203" s="45"/>
      <c r="R203" s="45"/>
      <c r="T203" s="42"/>
      <c r="V203" s="45"/>
      <c r="AL203" s="45"/>
    </row>
    <row r="204" spans="3:40">
      <c r="F204" s="45"/>
      <c r="R204" s="45"/>
      <c r="V204" s="45"/>
      <c r="AL204" s="45"/>
    </row>
    <row r="205" spans="3:40">
      <c r="C205" s="42"/>
      <c r="F205" s="45"/>
      <c r="H205" s="164"/>
      <c r="I205" s="164"/>
      <c r="J205" s="331"/>
      <c r="K205" s="331"/>
      <c r="L205" s="45"/>
      <c r="M205" s="45"/>
      <c r="N205" s="46"/>
      <c r="O205" s="46"/>
      <c r="P205" s="164"/>
      <c r="Q205" s="164"/>
      <c r="R205" s="45"/>
      <c r="T205" s="42"/>
      <c r="V205" s="45"/>
      <c r="Y205" s="45"/>
      <c r="Z205" s="325"/>
      <c r="AA205" s="45"/>
      <c r="AB205" s="45"/>
      <c r="AC205" s="46"/>
      <c r="AD205" s="46"/>
      <c r="AE205" s="45"/>
      <c r="AF205" s="45"/>
      <c r="AH205" s="51"/>
      <c r="AI205" s="164"/>
      <c r="AJ205" s="164"/>
      <c r="AL205" s="45"/>
      <c r="AM205" s="46"/>
      <c r="AN205" s="46"/>
    </row>
    <row r="206" spans="3:40">
      <c r="F206" s="50"/>
      <c r="H206" s="50"/>
      <c r="I206" s="50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50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</row>
    <row r="208" spans="3:40">
      <c r="C208" s="42"/>
      <c r="F208" s="45"/>
      <c r="H208" s="45"/>
      <c r="I208" s="45"/>
      <c r="J208" s="53"/>
      <c r="K208" s="53"/>
      <c r="L208" s="45"/>
      <c r="M208" s="45"/>
      <c r="N208" s="46"/>
      <c r="O208" s="46"/>
      <c r="P208" s="45"/>
      <c r="Q208" s="45"/>
      <c r="R208" s="45"/>
      <c r="T208" s="42"/>
      <c r="V208" s="45"/>
      <c r="Y208" s="45"/>
      <c r="Z208" s="53"/>
      <c r="AA208" s="45"/>
      <c r="AB208" s="45"/>
      <c r="AC208" s="46"/>
      <c r="AD208" s="46"/>
      <c r="AE208" s="45"/>
      <c r="AF208" s="45"/>
      <c r="AH208" s="51"/>
      <c r="AI208" s="45"/>
      <c r="AJ208" s="45"/>
      <c r="AL208" s="45"/>
      <c r="AM208" s="46"/>
      <c r="AN208" s="46"/>
    </row>
    <row r="209" spans="1:40">
      <c r="F209" s="50"/>
      <c r="H209" s="50"/>
      <c r="I209" s="50"/>
      <c r="J209" s="326"/>
      <c r="K209" s="326"/>
      <c r="L209" s="50"/>
      <c r="M209" s="50"/>
      <c r="N209" s="50"/>
      <c r="O209" s="50"/>
      <c r="P209" s="50"/>
      <c r="Q209" s="50"/>
      <c r="R209" s="50"/>
      <c r="V209" s="50"/>
      <c r="Y209" s="50"/>
      <c r="Z209" s="326"/>
      <c r="AA209" s="50"/>
      <c r="AB209" s="50"/>
      <c r="AC209" s="50"/>
      <c r="AD209" s="50"/>
      <c r="AE209" s="50"/>
      <c r="AF209" s="50"/>
      <c r="AI209" s="50"/>
      <c r="AJ209" s="50"/>
      <c r="AK209" s="111"/>
      <c r="AL209" s="50"/>
    </row>
    <row r="210" spans="1:40">
      <c r="R210" s="45"/>
      <c r="AH210" s="45"/>
    </row>
    <row r="211" spans="1:40">
      <c r="F211" s="45"/>
      <c r="H211" s="45"/>
      <c r="I211" s="45"/>
      <c r="J211" s="47"/>
      <c r="K211" s="47"/>
      <c r="L211" s="45"/>
      <c r="M211" s="45"/>
      <c r="N211" s="45"/>
      <c r="O211" s="45"/>
      <c r="P211" s="45"/>
      <c r="Q211" s="45"/>
      <c r="R211" s="45"/>
      <c r="V211" s="45"/>
      <c r="Y211" s="45"/>
      <c r="Z211" s="47"/>
      <c r="AA211" s="45"/>
      <c r="AB211" s="45"/>
      <c r="AC211" s="45"/>
      <c r="AD211" s="45"/>
      <c r="AE211" s="45"/>
      <c r="AF211" s="45"/>
      <c r="AH211" s="45"/>
    </row>
    <row r="212" spans="1:40">
      <c r="C212" s="42"/>
      <c r="F212" s="45"/>
      <c r="H212" s="45"/>
      <c r="I212" s="45"/>
      <c r="J212" s="47"/>
      <c r="K212" s="47"/>
      <c r="L212" s="45"/>
      <c r="M212" s="45"/>
      <c r="N212" s="45"/>
      <c r="O212" s="45"/>
      <c r="P212" s="45"/>
      <c r="Q212" s="45"/>
      <c r="R212" s="45"/>
      <c r="T212" s="42"/>
      <c r="V212" s="45"/>
      <c r="Y212" s="45"/>
      <c r="Z212" s="47"/>
      <c r="AA212" s="45"/>
      <c r="AB212" s="45"/>
      <c r="AC212" s="45"/>
      <c r="AD212" s="45"/>
      <c r="AE212" s="45"/>
      <c r="AF212" s="45"/>
      <c r="AH212" s="45"/>
    </row>
    <row r="213" spans="1:40">
      <c r="A213" s="42"/>
    </row>
    <row r="216" spans="1:40">
      <c r="H216" s="42"/>
      <c r="I216" s="42"/>
      <c r="Y216" s="42"/>
    </row>
    <row r="218" spans="1:40">
      <c r="L218" s="42"/>
      <c r="M218" s="42"/>
      <c r="AA218" s="42"/>
      <c r="AB218" s="42"/>
    </row>
    <row r="219" spans="1:40">
      <c r="R219" s="42"/>
      <c r="AK219" s="110"/>
      <c r="AL219" s="42"/>
    </row>
    <row r="220" spans="1:40">
      <c r="R220" s="42"/>
      <c r="AK220" s="110"/>
      <c r="AL220" s="42"/>
    </row>
    <row r="221" spans="1:40">
      <c r="A221" s="42"/>
      <c r="R221" s="42"/>
      <c r="AK221" s="110"/>
      <c r="AL221" s="42"/>
    </row>
    <row r="222" spans="1:40">
      <c r="L222" s="42"/>
      <c r="M222" s="42"/>
      <c r="AA222" s="42"/>
      <c r="AB222" s="42"/>
    </row>
    <row r="223" spans="1:40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107"/>
      <c r="AH223" s="49"/>
      <c r="AI223" s="49"/>
      <c r="AJ223" s="49"/>
      <c r="AK223" s="107"/>
      <c r="AL223" s="49"/>
      <c r="AM223" s="49"/>
      <c r="AN223" s="49"/>
    </row>
    <row r="224" spans="1:40">
      <c r="L224" s="44"/>
      <c r="M224" s="44"/>
      <c r="N224" s="44"/>
      <c r="O224" s="44"/>
      <c r="R224" s="44"/>
      <c r="AA224" s="44"/>
      <c r="AB224" s="44"/>
      <c r="AC224" s="44"/>
      <c r="AD224" s="44"/>
      <c r="AE224" s="44"/>
      <c r="AF224" s="44"/>
      <c r="AG224" s="102"/>
      <c r="AH224" s="44"/>
      <c r="AK224" s="102"/>
      <c r="AL224" s="44"/>
      <c r="AM224" s="44"/>
      <c r="AN224" s="44"/>
    </row>
    <row r="225" spans="1:40">
      <c r="L225" s="44"/>
      <c r="M225" s="44"/>
      <c r="N225" s="44"/>
      <c r="O225" s="44"/>
      <c r="R225" s="44"/>
      <c r="Z225" s="44"/>
      <c r="AA225" s="44"/>
      <c r="AB225" s="44"/>
      <c r="AC225" s="44"/>
      <c r="AD225" s="44"/>
      <c r="AE225" s="44"/>
      <c r="AF225" s="44"/>
      <c r="AG225" s="102"/>
      <c r="AH225" s="44"/>
      <c r="AK225" s="102"/>
      <c r="AL225" s="44"/>
      <c r="AM225" s="44"/>
      <c r="AN225" s="44"/>
    </row>
    <row r="226" spans="1:40">
      <c r="A226" s="44"/>
      <c r="C226" s="44"/>
      <c r="D226" s="44"/>
      <c r="E226" s="44"/>
      <c r="F226" s="44"/>
      <c r="J226" s="44"/>
      <c r="K226" s="44"/>
      <c r="L226" s="44"/>
      <c r="M226" s="44"/>
      <c r="N226" s="44"/>
      <c r="O226" s="44"/>
      <c r="P226" s="44"/>
      <c r="Q226" s="44"/>
      <c r="R226" s="44"/>
      <c r="T226" s="44"/>
      <c r="U226" s="44"/>
      <c r="V226" s="44"/>
      <c r="Z226" s="44"/>
      <c r="AA226" s="44"/>
      <c r="AB226" s="44"/>
      <c r="AC226" s="44"/>
      <c r="AD226" s="44"/>
      <c r="AE226" s="44"/>
      <c r="AF226" s="44"/>
      <c r="AG226" s="102"/>
      <c r="AH226" s="44"/>
      <c r="AI226" s="44"/>
      <c r="AJ226" s="44"/>
      <c r="AK226" s="102"/>
      <c r="AL226" s="44"/>
      <c r="AM226" s="44"/>
      <c r="AN226" s="44"/>
    </row>
    <row r="227" spans="1:40">
      <c r="A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T227" s="44"/>
      <c r="U227" s="44"/>
      <c r="V227" s="44"/>
      <c r="Y227" s="44"/>
      <c r="Z227" s="44"/>
      <c r="AA227" s="44"/>
      <c r="AB227" s="44"/>
      <c r="AC227" s="44"/>
      <c r="AD227" s="44"/>
      <c r="AE227" s="44"/>
      <c r="AF227" s="44"/>
      <c r="AG227" s="102"/>
      <c r="AH227" s="44"/>
      <c r="AI227" s="44"/>
      <c r="AJ227" s="44"/>
      <c r="AK227" s="102"/>
      <c r="AL227" s="44"/>
      <c r="AM227" s="44"/>
      <c r="AN227" s="44"/>
    </row>
    <row r="228" spans="1:40"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T228" s="44"/>
      <c r="U228" s="44"/>
      <c r="V228" s="44"/>
      <c r="Y228" s="44"/>
      <c r="Z228" s="44"/>
      <c r="AA228" s="44"/>
      <c r="AB228" s="44"/>
      <c r="AC228" s="44"/>
      <c r="AD228" s="44"/>
      <c r="AE228" s="44"/>
      <c r="AF228" s="44"/>
      <c r="AG228" s="102"/>
      <c r="AH228" s="44"/>
      <c r="AI228" s="44"/>
      <c r="AJ228" s="44"/>
      <c r="AK228" s="102"/>
      <c r="AL228" s="44"/>
      <c r="AM228" s="44"/>
      <c r="AN228" s="44"/>
    </row>
    <row r="229" spans="1:40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107"/>
      <c r="AH229" s="49"/>
      <c r="AI229" s="49"/>
      <c r="AJ229" s="49"/>
      <c r="AK229" s="107"/>
      <c r="AL229" s="49"/>
      <c r="AM229" s="49"/>
      <c r="AN229" s="49"/>
    </row>
    <row r="230" spans="1:40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Y230" s="44"/>
      <c r="Z230" s="44"/>
      <c r="AA230" s="44"/>
      <c r="AB230" s="44"/>
      <c r="AC230" s="44"/>
      <c r="AD230" s="44"/>
      <c r="AE230" s="44"/>
      <c r="AF230" s="44"/>
      <c r="AG230" s="102"/>
      <c r="AH230" s="44"/>
      <c r="AI230" s="44"/>
      <c r="AJ230" s="44"/>
      <c r="AK230" s="102"/>
      <c r="AL230" s="44"/>
      <c r="AM230" s="44"/>
      <c r="AN230" s="44"/>
    </row>
    <row r="231" spans="1:40">
      <c r="C231" s="42"/>
      <c r="D231" s="42"/>
      <c r="E231" s="42"/>
      <c r="T231" s="42"/>
      <c r="U231" s="42"/>
    </row>
    <row r="232" spans="1:40">
      <c r="C232" s="42"/>
      <c r="T232" s="42"/>
    </row>
    <row r="234" spans="1:40">
      <c r="C234" s="42"/>
      <c r="F234" s="164"/>
      <c r="H234" s="164"/>
      <c r="I234" s="164"/>
      <c r="J234" s="316"/>
      <c r="K234" s="316"/>
      <c r="L234" s="45"/>
      <c r="M234" s="45"/>
      <c r="N234" s="46"/>
      <c r="O234" s="46"/>
      <c r="R234" s="45"/>
      <c r="T234" s="42"/>
      <c r="V234" s="45"/>
      <c r="Y234" s="164"/>
      <c r="Z234" s="316"/>
      <c r="AA234" s="45"/>
      <c r="AB234" s="45"/>
      <c r="AC234" s="46"/>
      <c r="AD234" s="46"/>
      <c r="AE234" s="45"/>
      <c r="AF234" s="45"/>
      <c r="AH234" s="51"/>
      <c r="AL234" s="45"/>
      <c r="AM234" s="46"/>
      <c r="AN234" s="46"/>
    </row>
    <row r="235" spans="1:40">
      <c r="F235" s="50"/>
      <c r="H235" s="45"/>
      <c r="I235" s="45"/>
      <c r="J235" s="326"/>
      <c r="K235" s="326"/>
      <c r="L235" s="50"/>
      <c r="M235" s="50"/>
      <c r="N235" s="50"/>
      <c r="O235" s="50"/>
      <c r="P235" s="50"/>
      <c r="Q235" s="50"/>
      <c r="R235" s="50"/>
      <c r="V235" s="50"/>
      <c r="Y235" s="45"/>
      <c r="Z235" s="326"/>
      <c r="AA235" s="50"/>
      <c r="AB235" s="50"/>
      <c r="AC235" s="50"/>
      <c r="AD235" s="50"/>
      <c r="AE235" s="50"/>
      <c r="AF235" s="50"/>
      <c r="AI235" s="50"/>
      <c r="AJ235" s="50"/>
      <c r="AK235" s="111"/>
      <c r="AL235" s="50"/>
      <c r="AM235" s="46"/>
      <c r="AN235" s="46"/>
    </row>
    <row r="236" spans="1:40">
      <c r="C236" s="42"/>
      <c r="F236" s="164"/>
      <c r="H236" s="164"/>
      <c r="I236" s="164"/>
      <c r="J236" s="336"/>
      <c r="K236" s="336"/>
      <c r="L236" s="45"/>
      <c r="M236" s="45"/>
      <c r="N236" s="46"/>
      <c r="O236" s="46"/>
      <c r="P236" s="45"/>
      <c r="Q236" s="45"/>
      <c r="R236" s="45"/>
      <c r="S236" s="45"/>
      <c r="T236" s="42"/>
      <c r="V236" s="164"/>
      <c r="Y236" s="164"/>
      <c r="Z236" s="336"/>
      <c r="AA236" s="45"/>
      <c r="AB236" s="45"/>
      <c r="AC236" s="46"/>
      <c r="AD236" s="46"/>
      <c r="AE236" s="45"/>
      <c r="AF236" s="45"/>
      <c r="AH236" s="46"/>
      <c r="AI236" s="45"/>
      <c r="AJ236" s="45"/>
      <c r="AL236" s="45"/>
      <c r="AM236" s="46"/>
      <c r="AN236" s="46"/>
    </row>
    <row r="237" spans="1:40">
      <c r="C237" s="42"/>
      <c r="F237" s="164"/>
      <c r="H237" s="164"/>
      <c r="I237" s="164"/>
      <c r="J237" s="316"/>
      <c r="K237" s="316"/>
      <c r="L237" s="45"/>
      <c r="M237" s="45"/>
      <c r="N237" s="46"/>
      <c r="O237" s="46"/>
      <c r="P237" s="45"/>
      <c r="Q237" s="45"/>
      <c r="R237" s="45"/>
      <c r="T237" s="42"/>
      <c r="V237" s="164"/>
      <c r="Y237" s="45"/>
      <c r="Z237" s="316"/>
      <c r="AA237" s="45"/>
      <c r="AB237" s="45"/>
      <c r="AC237" s="46"/>
      <c r="AD237" s="46"/>
      <c r="AE237" s="45"/>
      <c r="AF237" s="45"/>
      <c r="AH237" s="51"/>
      <c r="AI237" s="45"/>
      <c r="AJ237" s="45"/>
      <c r="AL237" s="45"/>
      <c r="AM237" s="46"/>
      <c r="AN237" s="46"/>
    </row>
    <row r="238" spans="1:40">
      <c r="C238" s="42"/>
      <c r="F238" s="164"/>
      <c r="H238" s="164"/>
      <c r="I238" s="164"/>
      <c r="J238" s="316"/>
      <c r="K238" s="316"/>
      <c r="L238" s="45"/>
      <c r="M238" s="45"/>
      <c r="N238" s="46"/>
      <c r="O238" s="46"/>
      <c r="P238" s="45"/>
      <c r="Q238" s="45"/>
      <c r="R238" s="45"/>
      <c r="T238" s="42"/>
      <c r="V238" s="164"/>
      <c r="Y238" s="45"/>
      <c r="Z238" s="316"/>
      <c r="AA238" s="45"/>
      <c r="AB238" s="45"/>
      <c r="AC238" s="46"/>
      <c r="AD238" s="46"/>
      <c r="AE238" s="45"/>
      <c r="AF238" s="45"/>
      <c r="AH238" s="51"/>
      <c r="AI238" s="45"/>
      <c r="AJ238" s="45"/>
      <c r="AL238" s="45"/>
      <c r="AM238" s="46"/>
      <c r="AN238" s="46"/>
    </row>
    <row r="239" spans="1:40">
      <c r="F239" s="50"/>
      <c r="H239" s="50"/>
      <c r="I239" s="50"/>
      <c r="J239" s="326"/>
      <c r="K239" s="326"/>
      <c r="L239" s="50"/>
      <c r="M239" s="50"/>
      <c r="N239" s="50"/>
      <c r="O239" s="50"/>
      <c r="P239" s="50"/>
      <c r="Q239" s="50"/>
      <c r="R239" s="50"/>
      <c r="V239" s="50"/>
      <c r="Y239" s="50"/>
      <c r="Z239" s="326"/>
      <c r="AA239" s="50"/>
      <c r="AB239" s="50"/>
      <c r="AC239" s="50"/>
      <c r="AD239" s="50"/>
      <c r="AE239" s="50"/>
      <c r="AF239" s="50"/>
      <c r="AI239" s="50"/>
      <c r="AJ239" s="50"/>
      <c r="AK239" s="111"/>
      <c r="AL239" s="50"/>
      <c r="AM239" s="46"/>
      <c r="AN239" s="46"/>
    </row>
    <row r="240" spans="1:40">
      <c r="C240" s="42"/>
      <c r="F240" s="45"/>
      <c r="H240" s="45"/>
      <c r="I240" s="45"/>
      <c r="J240" s="47"/>
      <c r="K240" s="47"/>
      <c r="L240" s="45"/>
      <c r="M240" s="45"/>
      <c r="N240" s="46"/>
      <c r="O240" s="46"/>
      <c r="P240" s="45"/>
      <c r="Q240" s="45"/>
      <c r="R240" s="45"/>
      <c r="T240" s="42"/>
      <c r="V240" s="45"/>
      <c r="Y240" s="45"/>
      <c r="Z240" s="47"/>
      <c r="AA240" s="45"/>
      <c r="AB240" s="45"/>
      <c r="AC240" s="46"/>
      <c r="AD240" s="46"/>
      <c r="AE240" s="45"/>
      <c r="AF240" s="45"/>
      <c r="AH240" s="51"/>
      <c r="AI240" s="45"/>
      <c r="AJ240" s="45"/>
      <c r="AL240" s="45"/>
      <c r="AM240" s="46"/>
      <c r="AN240" s="46"/>
    </row>
    <row r="241" spans="3:40">
      <c r="F241" s="50"/>
      <c r="H241" s="50"/>
      <c r="I241" s="50"/>
      <c r="J241" s="326"/>
      <c r="K241" s="326"/>
      <c r="L241" s="50"/>
      <c r="M241" s="50"/>
      <c r="N241" s="50"/>
      <c r="O241" s="50"/>
      <c r="P241" s="50"/>
      <c r="Q241" s="50"/>
      <c r="R241" s="50"/>
      <c r="V241" s="50"/>
      <c r="Y241" s="50"/>
      <c r="Z241" s="326"/>
      <c r="AA241" s="50"/>
      <c r="AB241" s="50"/>
      <c r="AC241" s="50"/>
      <c r="AD241" s="50"/>
      <c r="AE241" s="50"/>
      <c r="AF241" s="50"/>
      <c r="AI241" s="50"/>
      <c r="AJ241" s="50"/>
      <c r="AK241" s="111"/>
      <c r="AL241" s="50"/>
      <c r="AM241" s="46"/>
      <c r="AN241" s="46"/>
    </row>
    <row r="242" spans="3:40">
      <c r="C242" s="42"/>
      <c r="F242" s="45"/>
      <c r="H242" s="45"/>
      <c r="I242" s="45"/>
      <c r="J242" s="47"/>
      <c r="K242" s="47"/>
      <c r="L242" s="45"/>
      <c r="M242" s="45"/>
      <c r="N242" s="46"/>
      <c r="O242" s="46"/>
      <c r="P242" s="45"/>
      <c r="Q242" s="45"/>
      <c r="R242" s="45"/>
      <c r="T242" s="42"/>
      <c r="V242" s="45"/>
      <c r="Y242" s="45"/>
      <c r="Z242" s="47"/>
      <c r="AA242" s="45"/>
      <c r="AB242" s="45"/>
      <c r="AC242" s="46"/>
      <c r="AD242" s="46"/>
      <c r="AE242" s="45"/>
      <c r="AF242" s="45"/>
      <c r="AH242" s="51"/>
      <c r="AI242" s="45"/>
      <c r="AJ242" s="45"/>
      <c r="AL242" s="45"/>
      <c r="AM242" s="46"/>
      <c r="AN242" s="46"/>
    </row>
    <row r="243" spans="3:40">
      <c r="C243" s="42"/>
      <c r="F243" s="45"/>
      <c r="H243" s="164"/>
      <c r="I243" s="164"/>
      <c r="J243" s="331"/>
      <c r="K243" s="331"/>
      <c r="L243" s="45"/>
      <c r="M243" s="45"/>
      <c r="N243" s="46"/>
      <c r="O243" s="46"/>
      <c r="P243" s="45"/>
      <c r="Q243" s="45"/>
      <c r="R243" s="45"/>
      <c r="T243" s="42"/>
      <c r="V243" s="45"/>
      <c r="Y243" s="45"/>
      <c r="Z243" s="325"/>
      <c r="AA243" s="45"/>
      <c r="AB243" s="45"/>
      <c r="AC243" s="46"/>
      <c r="AD243" s="46"/>
      <c r="AE243" s="45"/>
      <c r="AF243" s="45"/>
      <c r="AH243" s="51"/>
      <c r="AI243" s="45"/>
      <c r="AJ243" s="45"/>
      <c r="AL243" s="45"/>
      <c r="AM243" s="46"/>
      <c r="AN243" s="46"/>
    </row>
    <row r="244" spans="3:40">
      <c r="F244" s="50"/>
      <c r="H244" s="50"/>
      <c r="I244" s="50"/>
      <c r="J244" s="326"/>
      <c r="K244" s="326"/>
      <c r="L244" s="50"/>
      <c r="M244" s="50"/>
      <c r="N244" s="50"/>
      <c r="O244" s="50"/>
      <c r="P244" s="50"/>
      <c r="Q244" s="50"/>
      <c r="R244" s="50"/>
      <c r="V244" s="50"/>
      <c r="Y244" s="50"/>
      <c r="Z244" s="326"/>
      <c r="AA244" s="50"/>
      <c r="AB244" s="50"/>
      <c r="AC244" s="50"/>
      <c r="AD244" s="50"/>
      <c r="AE244" s="50"/>
      <c r="AF244" s="50"/>
      <c r="AI244" s="50"/>
      <c r="AJ244" s="50"/>
      <c r="AK244" s="111"/>
      <c r="AL244" s="50"/>
      <c r="AM244" s="46"/>
      <c r="AN244" s="46"/>
    </row>
    <row r="246" spans="3:40">
      <c r="C246" s="42"/>
      <c r="F246" s="45"/>
      <c r="H246" s="45"/>
      <c r="I246" s="45"/>
      <c r="J246" s="326"/>
      <c r="K246" s="326"/>
      <c r="L246" s="45"/>
      <c r="M246" s="45"/>
      <c r="N246" s="46"/>
      <c r="O246" s="46"/>
      <c r="P246" s="45"/>
      <c r="Q246" s="45"/>
      <c r="R246" s="45"/>
      <c r="S246" s="45"/>
      <c r="T246" s="42"/>
      <c r="V246" s="45"/>
      <c r="Y246" s="45"/>
      <c r="Z246" s="326"/>
      <c r="AA246" s="45"/>
      <c r="AB246" s="45"/>
      <c r="AC246" s="46"/>
      <c r="AD246" s="46"/>
      <c r="AE246" s="45"/>
      <c r="AF246" s="45"/>
      <c r="AH246" s="46"/>
      <c r="AI246" s="45"/>
      <c r="AJ246" s="45"/>
      <c r="AL246" s="45"/>
      <c r="AM246" s="46"/>
      <c r="AN246" s="46"/>
    </row>
    <row r="247" spans="3:40">
      <c r="F247" s="50"/>
      <c r="H247" s="50"/>
      <c r="I247" s="50"/>
      <c r="J247" s="326"/>
      <c r="K247" s="326"/>
      <c r="L247" s="50"/>
      <c r="M247" s="50"/>
      <c r="N247" s="50"/>
      <c r="O247" s="50"/>
      <c r="P247" s="50"/>
      <c r="Q247" s="50"/>
      <c r="R247" s="50"/>
      <c r="S247" s="45"/>
      <c r="V247" s="50"/>
      <c r="Y247" s="50"/>
      <c r="Z247" s="326"/>
      <c r="AA247" s="50"/>
      <c r="AB247" s="50"/>
      <c r="AC247" s="50"/>
      <c r="AD247" s="50"/>
      <c r="AE247" s="50"/>
      <c r="AF247" s="50"/>
      <c r="AI247" s="50"/>
      <c r="AJ247" s="50"/>
      <c r="AK247" s="111"/>
      <c r="AL247" s="50"/>
      <c r="AM247" s="46"/>
      <c r="AN247" s="46"/>
    </row>
    <row r="248" spans="3:40">
      <c r="C248" s="42"/>
      <c r="F248" s="164"/>
      <c r="H248" s="164"/>
      <c r="I248" s="164"/>
      <c r="J248" s="326"/>
      <c r="K248" s="326"/>
      <c r="L248" s="45"/>
      <c r="M248" s="45"/>
      <c r="N248" s="46"/>
      <c r="O248" s="46"/>
      <c r="P248" s="45"/>
      <c r="Q248" s="45"/>
      <c r="R248" s="45"/>
      <c r="S248" s="45"/>
      <c r="T248" s="42"/>
      <c r="V248" s="164"/>
      <c r="Y248" s="164"/>
      <c r="Z248" s="326"/>
      <c r="AA248" s="45"/>
      <c r="AB248" s="45"/>
      <c r="AC248" s="46"/>
      <c r="AD248" s="46"/>
      <c r="AE248" s="45"/>
      <c r="AF248" s="45"/>
      <c r="AI248" s="45"/>
      <c r="AJ248" s="45"/>
      <c r="AL248" s="45"/>
      <c r="AM248" s="46"/>
      <c r="AN248" s="46"/>
    </row>
    <row r="250" spans="3:40">
      <c r="C250" s="42"/>
      <c r="F250" s="164"/>
      <c r="H250" s="164"/>
      <c r="I250" s="164"/>
      <c r="J250" s="316"/>
      <c r="K250" s="316"/>
      <c r="L250" s="45"/>
      <c r="M250" s="45"/>
      <c r="N250" s="46"/>
      <c r="O250" s="46"/>
      <c r="R250" s="45"/>
      <c r="T250" s="42"/>
      <c r="V250" s="45"/>
      <c r="Y250" s="164"/>
      <c r="Z250" s="316"/>
      <c r="AA250" s="45"/>
      <c r="AB250" s="45"/>
      <c r="AC250" s="46"/>
      <c r="AD250" s="46"/>
      <c r="AE250" s="45"/>
      <c r="AF250" s="45"/>
      <c r="AH250" s="51"/>
      <c r="AL250" s="45"/>
      <c r="AM250" s="46"/>
      <c r="AN250" s="46"/>
    </row>
    <row r="251" spans="3:40">
      <c r="F251" s="50"/>
      <c r="H251" s="45"/>
      <c r="I251" s="45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45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  <c r="AM251" s="46"/>
      <c r="AN251" s="46"/>
    </row>
    <row r="252" spans="3:40">
      <c r="C252" s="42"/>
      <c r="F252" s="164"/>
      <c r="H252" s="164"/>
      <c r="I252" s="164"/>
      <c r="J252" s="336"/>
      <c r="K252" s="336"/>
      <c r="L252" s="45"/>
      <c r="M252" s="45"/>
      <c r="N252" s="46"/>
      <c r="O252" s="46"/>
      <c r="P252" s="45"/>
      <c r="Q252" s="45"/>
      <c r="R252" s="45"/>
      <c r="S252" s="45"/>
      <c r="T252" s="42"/>
      <c r="V252" s="164"/>
      <c r="Y252" s="164"/>
      <c r="Z252" s="336"/>
      <c r="AA252" s="45"/>
      <c r="AB252" s="45"/>
      <c r="AC252" s="46"/>
      <c r="AD252" s="46"/>
      <c r="AE252" s="45"/>
      <c r="AF252" s="45"/>
      <c r="AH252" s="46"/>
      <c r="AI252" s="45"/>
      <c r="AJ252" s="45"/>
      <c r="AL252" s="45"/>
      <c r="AM252" s="46"/>
      <c r="AN252" s="46"/>
    </row>
    <row r="253" spans="3:40">
      <c r="C253" s="42"/>
      <c r="F253" s="164"/>
      <c r="H253" s="164"/>
      <c r="I253" s="164"/>
      <c r="J253" s="316"/>
      <c r="K253" s="316"/>
      <c r="L253" s="45"/>
      <c r="M253" s="45"/>
      <c r="N253" s="46"/>
      <c r="O253" s="46"/>
      <c r="P253" s="45"/>
      <c r="Q253" s="45"/>
      <c r="R253" s="45"/>
      <c r="T253" s="42"/>
      <c r="V253" s="164"/>
      <c r="Y253" s="45"/>
      <c r="Z253" s="316"/>
      <c r="AA253" s="45"/>
      <c r="AB253" s="45"/>
      <c r="AC253" s="46"/>
      <c r="AD253" s="46"/>
      <c r="AE253" s="45"/>
      <c r="AF253" s="45"/>
      <c r="AH253" s="51"/>
      <c r="AI253" s="45"/>
      <c r="AJ253" s="45"/>
      <c r="AL253" s="45"/>
      <c r="AM253" s="46"/>
      <c r="AN253" s="46"/>
    </row>
    <row r="254" spans="3:40">
      <c r="C254" s="42"/>
      <c r="F254" s="164"/>
      <c r="H254" s="164"/>
      <c r="I254" s="164"/>
      <c r="J254" s="316"/>
      <c r="K254" s="316"/>
      <c r="L254" s="45"/>
      <c r="M254" s="45"/>
      <c r="N254" s="46"/>
      <c r="O254" s="46"/>
      <c r="P254" s="45"/>
      <c r="Q254" s="45"/>
      <c r="R254" s="45"/>
      <c r="T254" s="42"/>
      <c r="V254" s="164"/>
      <c r="Y254" s="45"/>
      <c r="Z254" s="316"/>
      <c r="AA254" s="45"/>
      <c r="AB254" s="45"/>
      <c r="AC254" s="46"/>
      <c r="AD254" s="46"/>
      <c r="AE254" s="45"/>
      <c r="AF254" s="45"/>
      <c r="AH254" s="51"/>
      <c r="AI254" s="45"/>
      <c r="AJ254" s="45"/>
      <c r="AL254" s="45"/>
      <c r="AM254" s="46"/>
      <c r="AN254" s="46"/>
    </row>
    <row r="255" spans="3:40">
      <c r="F255" s="50"/>
      <c r="H255" s="50"/>
      <c r="I255" s="50"/>
      <c r="J255" s="326"/>
      <c r="K255" s="326"/>
      <c r="L255" s="50"/>
      <c r="M255" s="50"/>
      <c r="N255" s="50"/>
      <c r="O255" s="50"/>
      <c r="P255" s="50"/>
      <c r="Q255" s="50"/>
      <c r="R255" s="50"/>
      <c r="V255" s="50"/>
      <c r="Y255" s="50"/>
      <c r="Z255" s="326"/>
      <c r="AA255" s="50"/>
      <c r="AB255" s="50"/>
      <c r="AC255" s="50"/>
      <c r="AD255" s="50"/>
      <c r="AE255" s="50"/>
      <c r="AF255" s="50"/>
      <c r="AI255" s="50"/>
      <c r="AJ255" s="50"/>
      <c r="AK255" s="111"/>
      <c r="AL255" s="50"/>
      <c r="AM255" s="46"/>
      <c r="AN255" s="46"/>
    </row>
    <row r="256" spans="3:40">
      <c r="C256" s="42"/>
      <c r="F256" s="45"/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T256" s="42"/>
      <c r="V256" s="45"/>
      <c r="Y256" s="45"/>
      <c r="Z256" s="47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1:40">
      <c r="F257" s="50"/>
      <c r="H257" s="50"/>
      <c r="I257" s="50"/>
      <c r="J257" s="326"/>
      <c r="K257" s="326"/>
      <c r="L257" s="50"/>
      <c r="M257" s="50"/>
      <c r="N257" s="50"/>
      <c r="O257" s="50"/>
      <c r="P257" s="50"/>
      <c r="Q257" s="50"/>
      <c r="R257" s="50"/>
      <c r="V257" s="50"/>
      <c r="Y257" s="50"/>
      <c r="Z257" s="326"/>
      <c r="AA257" s="50"/>
      <c r="AB257" s="50"/>
      <c r="AC257" s="50"/>
      <c r="AD257" s="50"/>
      <c r="AE257" s="50"/>
      <c r="AF257" s="50"/>
      <c r="AI257" s="50"/>
      <c r="AJ257" s="50"/>
      <c r="AK257" s="111"/>
      <c r="AL257" s="50"/>
      <c r="AM257" s="46"/>
      <c r="AN257" s="46"/>
    </row>
    <row r="258" spans="1:40">
      <c r="C258" s="42"/>
      <c r="F258" s="45"/>
      <c r="H258" s="45"/>
      <c r="I258" s="45"/>
      <c r="J258" s="47"/>
      <c r="K258" s="47"/>
      <c r="L258" s="45"/>
      <c r="M258" s="45"/>
      <c r="N258" s="46"/>
      <c r="O258" s="46"/>
      <c r="P258" s="45"/>
      <c r="Q258" s="45"/>
      <c r="R258" s="45"/>
      <c r="T258" s="42"/>
      <c r="V258" s="45"/>
      <c r="Y258" s="45"/>
      <c r="Z258" s="47"/>
      <c r="AA258" s="45"/>
      <c r="AB258" s="45"/>
      <c r="AC258" s="46"/>
      <c r="AD258" s="46"/>
      <c r="AE258" s="45"/>
      <c r="AF258" s="45"/>
      <c r="AH258" s="51"/>
      <c r="AI258" s="45"/>
      <c r="AJ258" s="45"/>
      <c r="AL258" s="45"/>
      <c r="AM258" s="46"/>
      <c r="AN258" s="46"/>
    </row>
    <row r="259" spans="1:40">
      <c r="C259" s="42"/>
      <c r="F259" s="45"/>
      <c r="H259" s="164"/>
      <c r="I259" s="164"/>
      <c r="J259" s="331"/>
      <c r="K259" s="331"/>
      <c r="L259" s="45"/>
      <c r="M259" s="45"/>
      <c r="N259" s="46"/>
      <c r="O259" s="46"/>
      <c r="P259" s="45"/>
      <c r="Q259" s="45"/>
      <c r="R259" s="45"/>
      <c r="T259" s="42"/>
      <c r="V259" s="45"/>
      <c r="Y259" s="45"/>
      <c r="Z259" s="325"/>
      <c r="AA259" s="45"/>
      <c r="AB259" s="45"/>
      <c r="AC259" s="46"/>
      <c r="AD259" s="46"/>
      <c r="AE259" s="45"/>
      <c r="AF259" s="45"/>
      <c r="AH259" s="51"/>
      <c r="AI259" s="45"/>
      <c r="AJ259" s="45"/>
      <c r="AL259" s="45"/>
      <c r="AM259" s="46"/>
      <c r="AN259" s="46"/>
    </row>
    <row r="260" spans="1:40">
      <c r="F260" s="50"/>
      <c r="H260" s="50"/>
      <c r="I260" s="50"/>
      <c r="J260" s="326"/>
      <c r="K260" s="326"/>
      <c r="L260" s="50"/>
      <c r="M260" s="50"/>
      <c r="N260" s="50"/>
      <c r="O260" s="50"/>
      <c r="P260" s="50"/>
      <c r="Q260" s="50"/>
      <c r="R260" s="50"/>
      <c r="V260" s="50"/>
      <c r="Y260" s="50"/>
      <c r="Z260" s="326"/>
      <c r="AA260" s="50"/>
      <c r="AB260" s="50"/>
      <c r="AC260" s="50"/>
      <c r="AD260" s="50"/>
      <c r="AE260" s="50"/>
      <c r="AF260" s="50"/>
      <c r="AI260" s="50"/>
      <c r="AJ260" s="50"/>
      <c r="AK260" s="111"/>
      <c r="AL260" s="50"/>
      <c r="AM260" s="46"/>
      <c r="AN260" s="46"/>
    </row>
    <row r="262" spans="1:40">
      <c r="C262" s="42"/>
      <c r="F262" s="45"/>
      <c r="H262" s="45"/>
      <c r="I262" s="45"/>
      <c r="J262" s="326"/>
      <c r="K262" s="326"/>
      <c r="L262" s="45"/>
      <c r="M262" s="45"/>
      <c r="N262" s="46"/>
      <c r="O262" s="46"/>
      <c r="P262" s="45"/>
      <c r="Q262" s="45"/>
      <c r="R262" s="45"/>
      <c r="S262" s="45"/>
      <c r="T262" s="42"/>
      <c r="V262" s="45"/>
      <c r="Y262" s="45"/>
      <c r="Z262" s="326"/>
      <c r="AA262" s="45"/>
      <c r="AB262" s="45"/>
      <c r="AC262" s="46"/>
      <c r="AD262" s="46"/>
      <c r="AE262" s="45"/>
      <c r="AF262" s="45"/>
      <c r="AH262" s="46"/>
      <c r="AI262" s="45"/>
      <c r="AJ262" s="45"/>
      <c r="AL262" s="45"/>
      <c r="AM262" s="46"/>
      <c r="AN262" s="46"/>
    </row>
    <row r="263" spans="1:40">
      <c r="F263" s="50"/>
      <c r="H263" s="50"/>
      <c r="I263" s="50"/>
      <c r="J263" s="326"/>
      <c r="K263" s="326"/>
      <c r="L263" s="50"/>
      <c r="M263" s="50"/>
      <c r="N263" s="50"/>
      <c r="O263" s="50"/>
      <c r="P263" s="50"/>
      <c r="Q263" s="50"/>
      <c r="R263" s="50"/>
      <c r="S263" s="45"/>
      <c r="V263" s="50"/>
      <c r="Y263" s="50"/>
      <c r="Z263" s="326"/>
      <c r="AA263" s="50"/>
      <c r="AB263" s="50"/>
      <c r="AC263" s="50"/>
      <c r="AD263" s="50"/>
      <c r="AE263" s="50"/>
      <c r="AF263" s="50"/>
      <c r="AI263" s="50"/>
      <c r="AJ263" s="50"/>
      <c r="AK263" s="111"/>
      <c r="AL263" s="50"/>
      <c r="AM263" s="46"/>
      <c r="AN263" s="46"/>
    </row>
    <row r="264" spans="1:40">
      <c r="C264" s="42"/>
      <c r="T264" s="42"/>
    </row>
    <row r="265" spans="1:40">
      <c r="C265" s="42"/>
      <c r="F265" s="45"/>
      <c r="H265" s="45"/>
      <c r="I265" s="45"/>
      <c r="L265" s="45"/>
      <c r="M265" s="45"/>
      <c r="N265" s="46"/>
      <c r="O265" s="46"/>
      <c r="P265" s="164"/>
      <c r="Q265" s="164"/>
      <c r="R265" s="45"/>
      <c r="T265" s="42"/>
      <c r="V265" s="45"/>
      <c r="Y265" s="45"/>
      <c r="AA265" s="45"/>
      <c r="AB265" s="45"/>
      <c r="AC265" s="46"/>
      <c r="AD265" s="46"/>
      <c r="AE265" s="45"/>
      <c r="AF265" s="45"/>
      <c r="AH265" s="46"/>
      <c r="AI265" s="164"/>
      <c r="AJ265" s="164"/>
      <c r="AL265" s="45"/>
      <c r="AM265" s="46"/>
      <c r="AN265" s="46"/>
    </row>
    <row r="266" spans="1:40">
      <c r="F266" s="50"/>
      <c r="H266" s="50"/>
      <c r="I266" s="50"/>
      <c r="J266" s="326"/>
      <c r="K266" s="326"/>
      <c r="L266" s="50"/>
      <c r="M266" s="50"/>
      <c r="N266" s="50"/>
      <c r="O266" s="50"/>
      <c r="P266" s="50"/>
      <c r="Q266" s="50"/>
      <c r="R266" s="50"/>
      <c r="V266" s="50"/>
      <c r="Y266" s="50"/>
      <c r="Z266" s="326"/>
      <c r="AA266" s="50"/>
      <c r="AB266" s="50"/>
      <c r="AC266" s="50"/>
      <c r="AD266" s="50"/>
      <c r="AE266" s="50"/>
      <c r="AF266" s="50"/>
      <c r="AI266" s="50"/>
      <c r="AJ266" s="50"/>
      <c r="AK266" s="111"/>
      <c r="AL266" s="50"/>
    </row>
    <row r="268" spans="1:40">
      <c r="C268" s="42"/>
      <c r="L268" s="45"/>
      <c r="M268" s="45"/>
      <c r="N268" s="45"/>
      <c r="O268" s="45"/>
      <c r="P268" s="45"/>
      <c r="Q268" s="45"/>
      <c r="R268" s="45"/>
      <c r="S268" s="45"/>
      <c r="T268" s="42"/>
      <c r="AA268" s="45"/>
      <c r="AB268" s="45"/>
      <c r="AC268" s="45"/>
      <c r="AD268" s="45"/>
      <c r="AI268" s="45"/>
      <c r="AJ268" s="45"/>
      <c r="AL268" s="45"/>
    </row>
    <row r="269" spans="1:40">
      <c r="A269" s="42"/>
    </row>
    <row r="271" spans="1:40">
      <c r="H271" s="42"/>
      <c r="I271" s="42"/>
      <c r="Y271" s="42"/>
    </row>
    <row r="273" spans="1:40">
      <c r="L273" s="42"/>
      <c r="M273" s="42"/>
      <c r="AA273" s="42"/>
      <c r="AB273" s="42"/>
    </row>
    <row r="274" spans="1:40">
      <c r="R274" s="42"/>
      <c r="AK274" s="110"/>
      <c r="AL274" s="42"/>
    </row>
    <row r="275" spans="1:40">
      <c r="R275" s="42"/>
      <c r="AK275" s="110"/>
      <c r="AL275" s="42"/>
    </row>
    <row r="276" spans="1:40">
      <c r="A276" s="42"/>
      <c r="R276" s="42"/>
      <c r="AK276" s="110"/>
      <c r="AL276" s="42"/>
    </row>
    <row r="277" spans="1:40">
      <c r="L277" s="42"/>
      <c r="M277" s="42"/>
      <c r="AA277" s="42"/>
      <c r="AB277" s="42"/>
    </row>
    <row r="278" spans="1:40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107"/>
      <c r="AH278" s="49"/>
      <c r="AI278" s="49"/>
      <c r="AJ278" s="49"/>
      <c r="AK278" s="107"/>
      <c r="AL278" s="49"/>
      <c r="AM278" s="49"/>
      <c r="AN278" s="49"/>
    </row>
    <row r="279" spans="1:40">
      <c r="L279" s="44"/>
      <c r="M279" s="44"/>
      <c r="N279" s="44"/>
      <c r="O279" s="44"/>
      <c r="R279" s="44"/>
      <c r="AA279" s="44"/>
      <c r="AB279" s="44"/>
      <c r="AC279" s="44"/>
      <c r="AD279" s="44"/>
      <c r="AE279" s="44"/>
      <c r="AF279" s="44"/>
      <c r="AG279" s="102"/>
      <c r="AH279" s="44"/>
      <c r="AK279" s="102"/>
      <c r="AL279" s="44"/>
      <c r="AM279" s="44"/>
      <c r="AN279" s="44"/>
    </row>
    <row r="280" spans="1:40">
      <c r="L280" s="44"/>
      <c r="M280" s="44"/>
      <c r="N280" s="44"/>
      <c r="O280" s="44"/>
      <c r="R280" s="44"/>
      <c r="Z280" s="44"/>
      <c r="AA280" s="44"/>
      <c r="AB280" s="44"/>
      <c r="AC280" s="44"/>
      <c r="AD280" s="44"/>
      <c r="AE280" s="44"/>
      <c r="AF280" s="44"/>
      <c r="AG280" s="102"/>
      <c r="AH280" s="44"/>
      <c r="AK280" s="102"/>
      <c r="AL280" s="44"/>
      <c r="AM280" s="44"/>
      <c r="AN280" s="44"/>
    </row>
    <row r="281" spans="1:40">
      <c r="A281" s="44"/>
      <c r="C281" s="44"/>
      <c r="D281" s="44"/>
      <c r="E281" s="44"/>
      <c r="F281" s="44"/>
      <c r="J281" s="44"/>
      <c r="K281" s="44"/>
      <c r="L281" s="44"/>
      <c r="M281" s="44"/>
      <c r="N281" s="44"/>
      <c r="O281" s="44"/>
      <c r="P281" s="44"/>
      <c r="Q281" s="44"/>
      <c r="R281" s="44"/>
      <c r="T281" s="44"/>
      <c r="U281" s="44"/>
      <c r="V281" s="44"/>
      <c r="Z281" s="44"/>
      <c r="AA281" s="44"/>
      <c r="AB281" s="44"/>
      <c r="AC281" s="44"/>
      <c r="AD281" s="44"/>
      <c r="AE281" s="44"/>
      <c r="AF281" s="44"/>
      <c r="AG281" s="102"/>
      <c r="AH281" s="44"/>
      <c r="AI281" s="44"/>
      <c r="AJ281" s="44"/>
      <c r="AK281" s="102"/>
      <c r="AL281" s="44"/>
      <c r="AM281" s="44"/>
      <c r="AN281" s="44"/>
    </row>
    <row r="282" spans="1:40">
      <c r="A282" s="44"/>
      <c r="C282" s="44"/>
      <c r="D282" s="44"/>
      <c r="E282" s="44"/>
      <c r="F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Y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02"/>
      <c r="AH283" s="44"/>
      <c r="AI283" s="44"/>
      <c r="AJ283" s="44"/>
      <c r="AK283" s="102"/>
      <c r="AL283" s="44"/>
      <c r="AM283" s="44"/>
      <c r="AN283" s="44"/>
    </row>
    <row r="284" spans="1:40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107"/>
      <c r="AH284" s="49"/>
      <c r="AI284" s="49"/>
      <c r="AJ284" s="49"/>
      <c r="AK284" s="107"/>
      <c r="AL284" s="49"/>
      <c r="AM284" s="49"/>
      <c r="AN284" s="49"/>
    </row>
    <row r="285" spans="1:40"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Y285" s="44"/>
      <c r="Z285" s="44"/>
      <c r="AA285" s="44"/>
      <c r="AB285" s="44"/>
      <c r="AC285" s="44"/>
      <c r="AD285" s="44"/>
      <c r="AE285" s="44"/>
      <c r="AF285" s="44"/>
      <c r="AG285" s="102"/>
      <c r="AH285" s="44"/>
      <c r="AI285" s="44"/>
      <c r="AJ285" s="44"/>
      <c r="AK285" s="102"/>
      <c r="AL285" s="44"/>
      <c r="AM285" s="44"/>
      <c r="AN285" s="44"/>
    </row>
    <row r="286" spans="1:40">
      <c r="C286" s="42"/>
      <c r="D286" s="42"/>
      <c r="E286" s="42"/>
      <c r="T286" s="42"/>
      <c r="U286" s="42"/>
    </row>
    <row r="287" spans="1:40">
      <c r="D287" s="42"/>
      <c r="E287" s="42"/>
      <c r="U287" s="42"/>
    </row>
    <row r="289" spans="3:40">
      <c r="C289" s="42"/>
      <c r="T289" s="42"/>
    </row>
    <row r="290" spans="3:40">
      <c r="C290" s="42"/>
      <c r="F290" s="164"/>
      <c r="H290" s="164"/>
      <c r="I290" s="164"/>
      <c r="J290" s="132"/>
      <c r="K290" s="132"/>
      <c r="L290" s="45"/>
      <c r="M290" s="45"/>
      <c r="N290" s="46"/>
      <c r="O290" s="46"/>
      <c r="P290" s="45"/>
      <c r="Q290" s="45"/>
      <c r="R290" s="45"/>
      <c r="T290" s="42"/>
      <c r="V290" s="164"/>
      <c r="W290" s="45"/>
      <c r="X290" s="45"/>
      <c r="Y290" s="164"/>
      <c r="Z290" s="132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3:40">
      <c r="C291" s="42"/>
      <c r="F291" s="45"/>
      <c r="H291" s="45"/>
      <c r="I291" s="45"/>
      <c r="J291" s="326"/>
      <c r="K291" s="326"/>
      <c r="L291" s="45"/>
      <c r="M291" s="45"/>
      <c r="N291" s="46"/>
      <c r="O291" s="46"/>
      <c r="P291" s="45"/>
      <c r="Q291" s="45"/>
      <c r="R291" s="45"/>
      <c r="T291" s="42"/>
      <c r="V291" s="164"/>
      <c r="W291" s="45"/>
      <c r="X291" s="45"/>
      <c r="Y291" s="164"/>
      <c r="Z291" s="326"/>
      <c r="AA291" s="45"/>
      <c r="AB291" s="45"/>
      <c r="AC291" s="46"/>
      <c r="AD291" s="46"/>
      <c r="AE291" s="45"/>
      <c r="AF291" s="45"/>
      <c r="AH291" s="51"/>
      <c r="AI291" s="45"/>
      <c r="AJ291" s="45"/>
      <c r="AL291" s="45"/>
      <c r="AM291" s="46"/>
      <c r="AN291" s="46"/>
    </row>
    <row r="292" spans="3:40">
      <c r="C292" s="42"/>
      <c r="F292" s="164"/>
      <c r="H292" s="164"/>
      <c r="I292" s="164"/>
      <c r="J292" s="132"/>
      <c r="K292" s="132"/>
      <c r="L292" s="45"/>
      <c r="M292" s="45"/>
      <c r="N292" s="46"/>
      <c r="O292" s="46"/>
      <c r="P292" s="45"/>
      <c r="Q292" s="45"/>
      <c r="R292" s="45"/>
      <c r="T292" s="42"/>
      <c r="V292" s="164"/>
      <c r="W292" s="45"/>
      <c r="X292" s="45"/>
      <c r="Y292" s="164"/>
      <c r="Z292" s="132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>
      <c r="C293" s="42"/>
      <c r="F293" s="164"/>
      <c r="H293" s="164"/>
      <c r="I293" s="164"/>
      <c r="J293" s="132"/>
      <c r="K293" s="132"/>
      <c r="L293" s="45"/>
      <c r="M293" s="45"/>
      <c r="N293" s="46"/>
      <c r="O293" s="46"/>
      <c r="P293" s="45"/>
      <c r="Q293" s="45"/>
      <c r="R293" s="45"/>
      <c r="T293" s="42"/>
      <c r="V293" s="164"/>
      <c r="W293" s="45"/>
      <c r="X293" s="45"/>
      <c r="Y293" s="164"/>
      <c r="Z293" s="132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>
      <c r="C294" s="42"/>
      <c r="F294" s="164"/>
      <c r="H294" s="164"/>
      <c r="I294" s="164"/>
      <c r="J294" s="132"/>
      <c r="K294" s="132"/>
      <c r="L294" s="45"/>
      <c r="M294" s="45"/>
      <c r="N294" s="46"/>
      <c r="O294" s="46"/>
      <c r="P294" s="45"/>
      <c r="Q294" s="45"/>
      <c r="R294" s="45"/>
      <c r="T294" s="42"/>
      <c r="V294" s="164"/>
      <c r="W294" s="45"/>
      <c r="X294" s="45"/>
      <c r="Y294" s="164"/>
      <c r="Z294" s="132"/>
      <c r="AA294" s="45"/>
      <c r="AB294" s="45"/>
      <c r="AC294" s="46"/>
      <c r="AD294" s="46"/>
      <c r="AE294" s="45"/>
      <c r="AF294" s="45"/>
      <c r="AH294" s="51"/>
      <c r="AI294" s="45"/>
      <c r="AJ294" s="45"/>
      <c r="AL294" s="45"/>
      <c r="AM294" s="46"/>
      <c r="AN294" s="46"/>
    </row>
    <row r="295" spans="3:40">
      <c r="C295" s="42"/>
      <c r="F295" s="45"/>
      <c r="H295" s="45"/>
      <c r="I295" s="45"/>
      <c r="J295" s="132"/>
      <c r="K295" s="132"/>
      <c r="L295" s="45"/>
      <c r="M295" s="45"/>
      <c r="N295" s="46"/>
      <c r="O295" s="46"/>
      <c r="P295" s="45"/>
      <c r="Q295" s="45"/>
      <c r="R295" s="45"/>
      <c r="T295" s="42"/>
      <c r="V295" s="164"/>
      <c r="W295" s="45"/>
      <c r="X295" s="45"/>
      <c r="Y295" s="164"/>
      <c r="Z295" s="132"/>
      <c r="AA295" s="45"/>
      <c r="AB295" s="45"/>
      <c r="AC295" s="46"/>
      <c r="AD295" s="46"/>
      <c r="AE295" s="45"/>
      <c r="AF295" s="45"/>
      <c r="AH295" s="51"/>
      <c r="AI295" s="45"/>
      <c r="AJ295" s="45"/>
      <c r="AL295" s="45"/>
      <c r="AM295" s="46"/>
      <c r="AN295" s="46"/>
    </row>
    <row r="296" spans="3:40">
      <c r="C296" s="42"/>
      <c r="F296" s="45"/>
      <c r="H296" s="45"/>
      <c r="I296" s="45"/>
      <c r="J296" s="132"/>
      <c r="K296" s="132"/>
      <c r="L296" s="45"/>
      <c r="M296" s="45"/>
      <c r="N296" s="46"/>
      <c r="O296" s="46"/>
      <c r="P296" s="45"/>
      <c r="Q296" s="45"/>
      <c r="R296" s="45"/>
      <c r="T296" s="42"/>
      <c r="V296" s="164"/>
      <c r="W296" s="45"/>
      <c r="X296" s="45"/>
      <c r="Y296" s="164"/>
      <c r="Z296" s="132"/>
      <c r="AA296" s="45"/>
      <c r="AB296" s="45"/>
      <c r="AC296" s="46"/>
      <c r="AD296" s="46"/>
      <c r="AE296" s="45"/>
      <c r="AF296" s="45"/>
      <c r="AH296" s="51"/>
      <c r="AI296" s="45"/>
      <c r="AJ296" s="45"/>
      <c r="AL296" s="45"/>
      <c r="AM296" s="46"/>
      <c r="AN296" s="46"/>
    </row>
    <row r="297" spans="3:40">
      <c r="F297" s="54"/>
      <c r="H297" s="338"/>
      <c r="I297" s="338"/>
      <c r="J297" s="132"/>
      <c r="K297" s="132"/>
      <c r="L297" s="54"/>
      <c r="M297" s="54"/>
      <c r="N297" s="50"/>
      <c r="O297" s="50"/>
      <c r="P297" s="54"/>
      <c r="Q297" s="54"/>
      <c r="R297" s="54"/>
      <c r="V297" s="54"/>
      <c r="W297" s="45"/>
      <c r="X297" s="45"/>
      <c r="Y297" s="54"/>
      <c r="Z297" s="132"/>
      <c r="AA297" s="54"/>
      <c r="AB297" s="54"/>
      <c r="AC297" s="55"/>
      <c r="AD297" s="55"/>
      <c r="AE297" s="54"/>
      <c r="AF297" s="54"/>
      <c r="AH297" s="51"/>
      <c r="AI297" s="54"/>
      <c r="AJ297" s="54"/>
      <c r="AK297" s="107"/>
      <c r="AL297" s="54"/>
      <c r="AM297" s="46"/>
      <c r="AN297" s="46"/>
    </row>
    <row r="298" spans="3:40">
      <c r="C298" s="42"/>
      <c r="F298" s="45"/>
      <c r="H298" s="45"/>
      <c r="I298" s="45"/>
      <c r="J298" s="132"/>
      <c r="K298" s="132"/>
      <c r="L298" s="45"/>
      <c r="M298" s="45"/>
      <c r="N298" s="51"/>
      <c r="O298" s="51"/>
      <c r="P298" s="45"/>
      <c r="Q298" s="45"/>
      <c r="R298" s="45"/>
      <c r="T298" s="44"/>
      <c r="V298" s="45"/>
      <c r="W298" s="45"/>
      <c r="X298" s="45"/>
      <c r="Y298" s="45"/>
      <c r="Z298" s="132"/>
      <c r="AA298" s="45"/>
      <c r="AB298" s="45"/>
      <c r="AC298" s="51"/>
      <c r="AD298" s="51"/>
      <c r="AE298" s="45"/>
      <c r="AF298" s="45"/>
      <c r="AH298" s="51"/>
      <c r="AI298" s="45"/>
      <c r="AJ298" s="45"/>
      <c r="AL298" s="45"/>
      <c r="AM298" s="46"/>
      <c r="AN298" s="46"/>
    </row>
    <row r="299" spans="3:40">
      <c r="F299" s="49"/>
      <c r="H299" s="49"/>
      <c r="I299" s="49"/>
      <c r="L299" s="49"/>
      <c r="M299" s="49"/>
      <c r="N299" s="55"/>
      <c r="O299" s="55"/>
      <c r="P299" s="54"/>
      <c r="Q299" s="54"/>
      <c r="R299" s="54"/>
      <c r="V299" s="54"/>
      <c r="Y299" s="54"/>
      <c r="Z299" s="326"/>
      <c r="AA299" s="54"/>
      <c r="AB299" s="54"/>
      <c r="AC299" s="54"/>
      <c r="AD299" s="54"/>
      <c r="AE299" s="54"/>
      <c r="AF299" s="54"/>
      <c r="AI299" s="54"/>
      <c r="AJ299" s="54"/>
      <c r="AK299" s="107"/>
      <c r="AL299" s="54"/>
      <c r="AM299" s="55"/>
      <c r="AN299" s="55"/>
    </row>
    <row r="304" spans="3:40">
      <c r="N304" s="45"/>
      <c r="O304" s="45"/>
      <c r="P304" s="45"/>
      <c r="Q304" s="45"/>
      <c r="R304" s="45"/>
      <c r="V304" s="45"/>
      <c r="Y304" s="45"/>
      <c r="Z304" s="47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1:40">
      <c r="C305" s="42"/>
      <c r="D305" s="42"/>
      <c r="E305" s="42"/>
      <c r="J305" s="56"/>
      <c r="K305" s="56"/>
      <c r="T305" s="42"/>
      <c r="U305" s="42"/>
      <c r="Z305" s="56"/>
      <c r="AE305" s="45"/>
      <c r="AF305" s="45"/>
      <c r="AI305" s="45"/>
      <c r="AJ305" s="45"/>
      <c r="AL305" s="45"/>
      <c r="AM305" s="46"/>
      <c r="AN305" s="46"/>
    </row>
    <row r="306" spans="1:40">
      <c r="D306" s="42"/>
      <c r="E306" s="42"/>
      <c r="F306" s="45"/>
      <c r="H306" s="45"/>
      <c r="I306" s="45"/>
      <c r="J306" s="132"/>
      <c r="K306" s="132"/>
      <c r="L306" s="45"/>
      <c r="M306" s="45"/>
      <c r="N306" s="46"/>
      <c r="O306" s="46"/>
      <c r="P306" s="45"/>
      <c r="Q306" s="45"/>
      <c r="R306" s="45"/>
      <c r="U306" s="42"/>
      <c r="V306" s="45"/>
      <c r="Y306" s="45"/>
      <c r="Z306" s="132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1:40">
      <c r="F307" s="45"/>
      <c r="H307" s="45"/>
      <c r="I307" s="45"/>
      <c r="J307" s="326"/>
      <c r="K307" s="326"/>
      <c r="L307" s="45"/>
      <c r="M307" s="45"/>
      <c r="N307" s="45"/>
      <c r="O307" s="45"/>
      <c r="P307" s="45"/>
      <c r="Q307" s="45"/>
      <c r="R307" s="45"/>
      <c r="V307" s="45"/>
      <c r="Y307" s="45"/>
      <c r="Z307" s="326"/>
      <c r="AA307" s="45"/>
      <c r="AB307" s="45"/>
      <c r="AC307" s="45"/>
      <c r="AD307" s="45"/>
      <c r="AE307" s="45"/>
      <c r="AF307" s="45"/>
      <c r="AH307" s="51"/>
      <c r="AI307" s="164"/>
      <c r="AJ307" s="164"/>
      <c r="AL307" s="45"/>
      <c r="AM307" s="46"/>
      <c r="AN307" s="46"/>
    </row>
    <row r="308" spans="1:40">
      <c r="C308" s="42"/>
      <c r="F308" s="164"/>
      <c r="H308" s="164"/>
      <c r="I308" s="164"/>
      <c r="J308" s="325"/>
      <c r="K308" s="325"/>
      <c r="L308" s="45"/>
      <c r="M308" s="45"/>
      <c r="N308" s="46"/>
      <c r="O308" s="46"/>
      <c r="P308" s="45"/>
      <c r="Q308" s="45"/>
      <c r="R308" s="45"/>
      <c r="T308" s="42"/>
      <c r="V308" s="164"/>
      <c r="Y308" s="164"/>
      <c r="Z308" s="325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1:40">
      <c r="F309" s="49"/>
      <c r="H309" s="49"/>
      <c r="I309" s="49"/>
      <c r="L309" s="49"/>
      <c r="M309" s="49"/>
      <c r="N309" s="49"/>
      <c r="O309" s="49"/>
      <c r="P309" s="49"/>
      <c r="Q309" s="49"/>
      <c r="R309" s="49"/>
      <c r="V309" s="49"/>
      <c r="Y309" s="49"/>
      <c r="AA309" s="49"/>
      <c r="AB309" s="49"/>
      <c r="AC309" s="49"/>
      <c r="AD309" s="49"/>
      <c r="AE309" s="49"/>
      <c r="AF309" s="49"/>
      <c r="AG309" s="107"/>
      <c r="AH309" s="49"/>
      <c r="AI309" s="49"/>
      <c r="AJ309" s="49"/>
      <c r="AK309" s="107"/>
      <c r="AL309" s="49"/>
      <c r="AM309" s="49"/>
      <c r="AN309" s="49"/>
    </row>
    <row r="310" spans="1:40">
      <c r="C310" s="44"/>
      <c r="F310" s="164"/>
      <c r="H310" s="164"/>
      <c r="I310" s="164"/>
      <c r="J310" s="316"/>
      <c r="K310" s="316"/>
      <c r="L310" s="164"/>
      <c r="M310" s="164"/>
      <c r="N310" s="46"/>
      <c r="O310" s="46"/>
      <c r="P310" s="164"/>
      <c r="Q310" s="164"/>
      <c r="R310" s="164"/>
      <c r="T310" s="44"/>
      <c r="V310" s="45"/>
      <c r="Y310" s="45"/>
      <c r="Z310" s="47"/>
      <c r="AA310" s="45"/>
      <c r="AB310" s="45"/>
      <c r="AC310" s="46"/>
      <c r="AD310" s="46"/>
      <c r="AH310" s="51"/>
      <c r="AI310" s="45"/>
      <c r="AJ310" s="45"/>
      <c r="AL310" s="45"/>
      <c r="AM310" s="46"/>
      <c r="AN310" s="46"/>
    </row>
    <row r="311" spans="1:40">
      <c r="F311" s="54"/>
      <c r="H311" s="54"/>
      <c r="I311" s="54"/>
      <c r="J311" s="326"/>
      <c r="K311" s="326"/>
      <c r="L311" s="54"/>
      <c r="M311" s="54"/>
      <c r="N311" s="54"/>
      <c r="O311" s="54"/>
      <c r="P311" s="54"/>
      <c r="Q311" s="54"/>
      <c r="R311" s="54"/>
      <c r="V311" s="49"/>
      <c r="Y311" s="49"/>
      <c r="AA311" s="49"/>
      <c r="AB311" s="49"/>
      <c r="AC311" s="49"/>
      <c r="AD311" s="49"/>
      <c r="AE311" s="49"/>
      <c r="AF311" s="49"/>
      <c r="AG311" s="107"/>
      <c r="AH311" s="49"/>
      <c r="AI311" s="49"/>
      <c r="AJ311" s="49"/>
      <c r="AK311" s="107"/>
      <c r="AL311" s="49"/>
      <c r="AM311" s="49"/>
      <c r="AN311" s="49"/>
    </row>
    <row r="312" spans="1:40">
      <c r="F312" s="164"/>
      <c r="H312" s="164"/>
      <c r="I312" s="164"/>
      <c r="J312" s="336"/>
      <c r="K312" s="336"/>
      <c r="L312" s="45"/>
      <c r="M312" s="45"/>
      <c r="N312" s="46"/>
      <c r="O312" s="46"/>
      <c r="P312" s="45"/>
      <c r="Q312" s="45"/>
      <c r="R312" s="45"/>
    </row>
    <row r="313" spans="1:40">
      <c r="A313" s="42"/>
      <c r="F313" s="164"/>
      <c r="H313" s="164"/>
      <c r="I313" s="164"/>
      <c r="J313" s="316"/>
      <c r="K313" s="316"/>
      <c r="L313" s="45"/>
      <c r="M313" s="45"/>
      <c r="N313" s="46"/>
      <c r="O313" s="46"/>
      <c r="P313" s="45"/>
      <c r="Q313" s="45"/>
      <c r="R313" s="45"/>
    </row>
    <row r="314" spans="1:40">
      <c r="F314" s="164"/>
      <c r="H314" s="164"/>
      <c r="I314" s="164"/>
      <c r="J314" s="316"/>
      <c r="K314" s="316"/>
      <c r="L314" s="45"/>
      <c r="M314" s="45"/>
      <c r="N314" s="46"/>
      <c r="O314" s="46"/>
      <c r="P314" s="45"/>
      <c r="Q314" s="45"/>
      <c r="R314" s="45"/>
    </row>
    <row r="315" spans="1:40">
      <c r="A315" s="42"/>
    </row>
    <row r="318" spans="1:40">
      <c r="H318" s="42"/>
      <c r="I318" s="42"/>
      <c r="Y318" s="42"/>
    </row>
    <row r="320" spans="1:40">
      <c r="L320" s="42"/>
      <c r="M320" s="42"/>
      <c r="AA320" s="42"/>
      <c r="AB320" s="42"/>
    </row>
    <row r="321" spans="1:40">
      <c r="R321" s="42"/>
      <c r="AK321" s="110"/>
      <c r="AL321" s="42"/>
    </row>
    <row r="322" spans="1:40">
      <c r="R322" s="42"/>
      <c r="AK322" s="110"/>
      <c r="AL322" s="42"/>
    </row>
    <row r="323" spans="1:40">
      <c r="A323" s="42"/>
      <c r="R323" s="42"/>
      <c r="AK323" s="110"/>
      <c r="AL323" s="42"/>
    </row>
    <row r="324" spans="1:40">
      <c r="L324" s="42"/>
      <c r="M324" s="42"/>
      <c r="AA324" s="42"/>
      <c r="AB324" s="42"/>
    </row>
    <row r="325" spans="1:40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107"/>
      <c r="AH325" s="49"/>
      <c r="AI325" s="49"/>
      <c r="AJ325" s="49"/>
      <c r="AK325" s="107"/>
      <c r="AL325" s="49"/>
      <c r="AM325" s="49"/>
      <c r="AN325" s="49"/>
    </row>
    <row r="326" spans="1:40">
      <c r="L326" s="44"/>
      <c r="M326" s="44"/>
      <c r="N326" s="44"/>
      <c r="O326" s="44"/>
      <c r="R326" s="44"/>
      <c r="AA326" s="44"/>
      <c r="AB326" s="44"/>
      <c r="AC326" s="44"/>
      <c r="AD326" s="44"/>
      <c r="AE326" s="44"/>
      <c r="AF326" s="44"/>
      <c r="AG326" s="102"/>
      <c r="AH326" s="44"/>
      <c r="AK326" s="102"/>
      <c r="AL326" s="44"/>
      <c r="AM326" s="44"/>
      <c r="AN326" s="44"/>
    </row>
    <row r="327" spans="1:40">
      <c r="L327" s="44"/>
      <c r="M327" s="44"/>
      <c r="N327" s="44"/>
      <c r="O327" s="44"/>
      <c r="R327" s="44"/>
      <c r="Z327" s="44"/>
      <c r="AA327" s="44"/>
      <c r="AB327" s="44"/>
      <c r="AC327" s="44"/>
      <c r="AD327" s="44"/>
      <c r="AE327" s="44"/>
      <c r="AF327" s="44"/>
      <c r="AG327" s="102"/>
      <c r="AH327" s="44"/>
      <c r="AK327" s="102"/>
      <c r="AL327" s="44"/>
      <c r="AM327" s="44"/>
      <c r="AN327" s="44"/>
    </row>
    <row r="328" spans="1:40">
      <c r="A328" s="44"/>
      <c r="C328" s="44"/>
      <c r="D328" s="44"/>
      <c r="E328" s="44"/>
      <c r="F328" s="44"/>
      <c r="J328" s="44"/>
      <c r="K328" s="44"/>
      <c r="L328" s="44"/>
      <c r="M328" s="44"/>
      <c r="N328" s="44"/>
      <c r="O328" s="44"/>
      <c r="P328" s="44"/>
      <c r="Q328" s="44"/>
      <c r="R328" s="44"/>
      <c r="T328" s="44"/>
      <c r="U328" s="44"/>
      <c r="V328" s="44"/>
      <c r="Z328" s="44"/>
      <c r="AA328" s="44"/>
      <c r="AB328" s="44"/>
      <c r="AC328" s="44"/>
      <c r="AD328" s="44"/>
      <c r="AE328" s="44"/>
      <c r="AF328" s="44"/>
      <c r="AG328" s="102"/>
      <c r="AH328" s="44"/>
      <c r="AI328" s="44"/>
      <c r="AJ328" s="44"/>
      <c r="AK328" s="102"/>
      <c r="AL328" s="44"/>
      <c r="AM328" s="44"/>
      <c r="AN328" s="44"/>
    </row>
    <row r="329" spans="1:40">
      <c r="A329" s="44"/>
      <c r="C329" s="44"/>
      <c r="D329" s="44"/>
      <c r="E329" s="44"/>
      <c r="F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T329" s="44"/>
      <c r="U329" s="44"/>
      <c r="V329" s="44"/>
      <c r="Y329" s="44"/>
      <c r="Z329" s="44"/>
      <c r="AA329" s="44"/>
      <c r="AB329" s="44"/>
      <c r="AC329" s="44"/>
      <c r="AD329" s="44"/>
      <c r="AE329" s="44"/>
      <c r="AF329" s="44"/>
      <c r="AG329" s="102"/>
      <c r="AH329" s="44"/>
      <c r="AI329" s="44"/>
      <c r="AJ329" s="44"/>
      <c r="AK329" s="102"/>
      <c r="AL329" s="44"/>
      <c r="AM329" s="44"/>
      <c r="AN329" s="44"/>
    </row>
    <row r="330" spans="1:40">
      <c r="C330" s="44"/>
      <c r="D330" s="44"/>
      <c r="E330" s="44"/>
      <c r="F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T330" s="44"/>
      <c r="U330" s="44"/>
      <c r="V330" s="44"/>
      <c r="Y330" s="44"/>
      <c r="Z330" s="44"/>
      <c r="AA330" s="44"/>
      <c r="AB330" s="44"/>
      <c r="AC330" s="44"/>
      <c r="AD330" s="44"/>
      <c r="AE330" s="44"/>
      <c r="AF330" s="44"/>
      <c r="AG330" s="102"/>
      <c r="AH330" s="44"/>
      <c r="AI330" s="44"/>
      <c r="AJ330" s="44"/>
      <c r="AK330" s="102"/>
      <c r="AL330" s="44"/>
      <c r="AM330" s="44"/>
      <c r="AN330" s="44"/>
    </row>
    <row r="331" spans="1:40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107"/>
      <c r="AH331" s="49"/>
      <c r="AI331" s="49"/>
      <c r="AJ331" s="49"/>
      <c r="AK331" s="107"/>
      <c r="AL331" s="49"/>
      <c r="AM331" s="49"/>
      <c r="AN331" s="49"/>
    </row>
    <row r="332" spans="1:40"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Y332" s="44"/>
      <c r="Z332" s="44"/>
      <c r="AA332" s="44"/>
      <c r="AB332" s="44"/>
      <c r="AC332" s="44"/>
      <c r="AD332" s="44"/>
      <c r="AE332" s="44"/>
      <c r="AF332" s="44"/>
      <c r="AG332" s="102"/>
      <c r="AH332" s="44"/>
      <c r="AI332" s="44"/>
      <c r="AJ332" s="44"/>
      <c r="AK332" s="102"/>
      <c r="AL332" s="44"/>
      <c r="AM332" s="44"/>
      <c r="AN332" s="44"/>
    </row>
    <row r="333" spans="1:40">
      <c r="C333" s="42"/>
      <c r="D333" s="42"/>
      <c r="E333" s="42"/>
      <c r="T333" s="42"/>
      <c r="U333" s="42"/>
    </row>
    <row r="335" spans="1:40">
      <c r="C335" s="42"/>
      <c r="T335" s="42"/>
    </row>
    <row r="336" spans="1:40">
      <c r="C336" s="42"/>
      <c r="F336" s="164"/>
      <c r="H336" s="164"/>
      <c r="I336" s="164"/>
      <c r="J336" s="326"/>
      <c r="K336" s="326"/>
      <c r="L336" s="45"/>
      <c r="M336" s="45"/>
      <c r="N336" s="46"/>
      <c r="O336" s="46"/>
      <c r="P336" s="45"/>
      <c r="Q336" s="45"/>
      <c r="R336" s="45"/>
      <c r="T336" s="42"/>
      <c r="V336" s="164"/>
      <c r="Y336" s="164"/>
      <c r="Z336" s="326"/>
      <c r="AA336" s="45"/>
      <c r="AB336" s="45"/>
      <c r="AC336" s="46"/>
      <c r="AD336" s="46"/>
      <c r="AE336" s="45"/>
      <c r="AF336" s="45"/>
      <c r="AH336" s="51"/>
      <c r="AI336" s="45"/>
      <c r="AJ336" s="45"/>
      <c r="AL336" s="45"/>
      <c r="AM336" s="46"/>
      <c r="AN336" s="46"/>
    </row>
    <row r="337" spans="3:40">
      <c r="C337" s="42"/>
      <c r="T337" s="42"/>
    </row>
    <row r="338" spans="3:40">
      <c r="C338" s="42"/>
      <c r="F338" s="164"/>
      <c r="H338" s="164"/>
      <c r="I338" s="164"/>
      <c r="J338" s="132"/>
      <c r="K338" s="132"/>
      <c r="L338" s="45"/>
      <c r="M338" s="45"/>
      <c r="N338" s="46"/>
      <c r="O338" s="46"/>
      <c r="P338" s="45"/>
      <c r="Q338" s="45"/>
      <c r="R338" s="45"/>
      <c r="T338" s="42"/>
      <c r="V338" s="45"/>
      <c r="Y338" s="45"/>
      <c r="Z338" s="132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3:40">
      <c r="C339" s="42"/>
      <c r="F339" s="164"/>
      <c r="H339" s="164"/>
      <c r="I339" s="164"/>
      <c r="J339" s="132"/>
      <c r="K339" s="132"/>
      <c r="L339" s="45"/>
      <c r="M339" s="45"/>
      <c r="N339" s="46"/>
      <c r="O339" s="46"/>
      <c r="P339" s="45"/>
      <c r="Q339" s="45"/>
      <c r="R339" s="45"/>
      <c r="T339" s="42"/>
      <c r="V339" s="45"/>
      <c r="Y339" s="45"/>
      <c r="Z339" s="132"/>
      <c r="AA339" s="45"/>
      <c r="AB339" s="45"/>
      <c r="AC339" s="46"/>
      <c r="AD339" s="46"/>
      <c r="AE339" s="45"/>
      <c r="AF339" s="45"/>
      <c r="AH339" s="51"/>
      <c r="AI339" s="45"/>
      <c r="AJ339" s="45"/>
      <c r="AL339" s="45"/>
      <c r="AM339" s="46"/>
      <c r="AN339" s="46"/>
    </row>
    <row r="340" spans="3:40">
      <c r="C340" s="42"/>
      <c r="F340" s="164"/>
      <c r="H340" s="164"/>
      <c r="I340" s="164"/>
      <c r="J340" s="132"/>
      <c r="K340" s="132"/>
      <c r="L340" s="45"/>
      <c r="M340" s="45"/>
      <c r="N340" s="46"/>
      <c r="O340" s="46"/>
      <c r="P340" s="45"/>
      <c r="Q340" s="45"/>
      <c r="R340" s="45"/>
      <c r="T340" s="42"/>
      <c r="V340" s="45"/>
      <c r="Y340" s="45"/>
      <c r="Z340" s="132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3:40">
      <c r="C341" s="42"/>
      <c r="F341" s="164"/>
      <c r="H341" s="164"/>
      <c r="I341" s="164"/>
      <c r="J341" s="132"/>
      <c r="K341" s="132"/>
      <c r="L341" s="45"/>
      <c r="M341" s="45"/>
      <c r="N341" s="46"/>
      <c r="O341" s="46"/>
      <c r="P341" s="45"/>
      <c r="Q341" s="45"/>
      <c r="R341" s="45"/>
      <c r="T341" s="42"/>
      <c r="V341" s="45"/>
      <c r="Y341" s="45"/>
      <c r="Z341" s="132"/>
      <c r="AA341" s="45"/>
      <c r="AB341" s="45"/>
      <c r="AC341" s="46"/>
      <c r="AD341" s="46"/>
      <c r="AE341" s="45"/>
      <c r="AF341" s="45"/>
      <c r="AH341" s="51"/>
      <c r="AI341" s="45"/>
      <c r="AJ341" s="45"/>
      <c r="AL341" s="45"/>
      <c r="AM341" s="46"/>
      <c r="AN341" s="46"/>
    </row>
    <row r="342" spans="3:40">
      <c r="C342" s="42"/>
      <c r="J342" s="56"/>
      <c r="K342" s="56"/>
      <c r="T342" s="42"/>
      <c r="Z342" s="56"/>
    </row>
    <row r="343" spans="3:40">
      <c r="C343" s="42"/>
      <c r="F343" s="164"/>
      <c r="H343" s="164"/>
      <c r="I343" s="164"/>
      <c r="J343" s="132"/>
      <c r="K343" s="132"/>
      <c r="L343" s="45"/>
      <c r="M343" s="45"/>
      <c r="N343" s="46"/>
      <c r="O343" s="46"/>
      <c r="P343" s="45"/>
      <c r="Q343" s="45"/>
      <c r="R343" s="45"/>
      <c r="T343" s="42"/>
      <c r="V343" s="45"/>
      <c r="Y343" s="45"/>
      <c r="Z343" s="132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3:40">
      <c r="C344" s="42"/>
      <c r="F344" s="164"/>
      <c r="H344" s="164"/>
      <c r="I344" s="164"/>
      <c r="J344" s="132"/>
      <c r="K344" s="132"/>
      <c r="L344" s="45"/>
      <c r="M344" s="45"/>
      <c r="N344" s="46"/>
      <c r="O344" s="46"/>
      <c r="P344" s="45"/>
      <c r="Q344" s="45"/>
      <c r="R344" s="45"/>
      <c r="T344" s="42"/>
      <c r="V344" s="45"/>
      <c r="Y344" s="45"/>
      <c r="Z344" s="132"/>
      <c r="AA344" s="45"/>
      <c r="AB344" s="45"/>
      <c r="AC344" s="46"/>
      <c r="AD344" s="46"/>
      <c r="AE344" s="45"/>
      <c r="AF344" s="45"/>
      <c r="AH344" s="51"/>
      <c r="AI344" s="45"/>
      <c r="AJ344" s="45"/>
      <c r="AL344" s="45"/>
      <c r="AM344" s="46"/>
      <c r="AN344" s="46"/>
    </row>
    <row r="345" spans="3:40">
      <c r="C345" s="42"/>
      <c r="F345" s="164"/>
      <c r="H345" s="164"/>
      <c r="I345" s="164"/>
      <c r="J345" s="132"/>
      <c r="K345" s="132"/>
      <c r="L345" s="45"/>
      <c r="M345" s="45"/>
      <c r="N345" s="46"/>
      <c r="O345" s="46"/>
      <c r="P345" s="45"/>
      <c r="Q345" s="45"/>
      <c r="R345" s="45"/>
      <c r="T345" s="42"/>
      <c r="V345" s="45"/>
      <c r="Y345" s="45"/>
      <c r="Z345" s="132"/>
      <c r="AA345" s="45"/>
      <c r="AB345" s="45"/>
      <c r="AC345" s="46"/>
      <c r="AD345" s="46"/>
      <c r="AE345" s="45"/>
      <c r="AF345" s="45"/>
      <c r="AH345" s="51"/>
      <c r="AI345" s="45"/>
      <c r="AJ345" s="45"/>
      <c r="AL345" s="45"/>
      <c r="AM345" s="46"/>
      <c r="AN345" s="46"/>
    </row>
    <row r="346" spans="3:40">
      <c r="C346" s="42"/>
      <c r="J346" s="56"/>
      <c r="K346" s="56"/>
      <c r="T346" s="42"/>
      <c r="Z346" s="56"/>
    </row>
    <row r="347" spans="3:40">
      <c r="C347" s="42"/>
      <c r="F347" s="164"/>
      <c r="H347" s="164"/>
      <c r="I347" s="164"/>
      <c r="J347" s="132"/>
      <c r="K347" s="132"/>
      <c r="L347" s="45"/>
      <c r="M347" s="45"/>
      <c r="N347" s="46"/>
      <c r="O347" s="46"/>
      <c r="P347" s="45"/>
      <c r="Q347" s="45"/>
      <c r="R347" s="45"/>
      <c r="T347" s="42"/>
      <c r="V347" s="45"/>
      <c r="Y347" s="45"/>
      <c r="Z347" s="132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3:40">
      <c r="C348" s="42"/>
      <c r="F348" s="164"/>
      <c r="H348" s="164"/>
      <c r="I348" s="164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45"/>
      <c r="Y348" s="45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>
      <c r="C349" s="42"/>
      <c r="J349" s="56"/>
      <c r="K349" s="56"/>
      <c r="T349" s="42"/>
      <c r="Z349" s="56"/>
    </row>
    <row r="350" spans="3:40">
      <c r="C350" s="42"/>
      <c r="F350" s="164"/>
      <c r="H350" s="164"/>
      <c r="I350" s="164"/>
      <c r="J350" s="132"/>
      <c r="K350" s="132"/>
      <c r="L350" s="45"/>
      <c r="M350" s="45"/>
      <c r="N350" s="46"/>
      <c r="O350" s="46"/>
      <c r="P350" s="45"/>
      <c r="Q350" s="45"/>
      <c r="R350" s="45"/>
      <c r="T350" s="42"/>
      <c r="V350" s="45"/>
      <c r="Y350" s="45"/>
      <c r="Z350" s="132"/>
      <c r="AA350" s="45"/>
      <c r="AB350" s="45"/>
      <c r="AC350" s="46"/>
      <c r="AD350" s="46"/>
      <c r="AE350" s="45"/>
      <c r="AF350" s="45"/>
      <c r="AH350" s="51"/>
      <c r="AI350" s="45"/>
      <c r="AJ350" s="45"/>
      <c r="AL350" s="45"/>
      <c r="AM350" s="46"/>
      <c r="AN350" s="46"/>
    </row>
    <row r="351" spans="3:40">
      <c r="C351" s="42"/>
      <c r="F351" s="164"/>
      <c r="H351" s="164"/>
      <c r="I351" s="164"/>
      <c r="J351" s="132"/>
      <c r="K351" s="132"/>
      <c r="L351" s="45"/>
      <c r="M351" s="45"/>
      <c r="N351" s="46"/>
      <c r="O351" s="46"/>
      <c r="P351" s="45"/>
      <c r="Q351" s="45"/>
      <c r="R351" s="45"/>
      <c r="T351" s="42"/>
      <c r="V351" s="45"/>
      <c r="Y351" s="45"/>
      <c r="Z351" s="132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3:40">
      <c r="C352" s="42"/>
      <c r="F352" s="164"/>
      <c r="H352" s="164"/>
      <c r="I352" s="164"/>
      <c r="J352" s="132"/>
      <c r="K352" s="132"/>
      <c r="L352" s="45"/>
      <c r="M352" s="45"/>
      <c r="N352" s="46"/>
      <c r="O352" s="46"/>
      <c r="P352" s="45"/>
      <c r="Q352" s="45"/>
      <c r="R352" s="45"/>
      <c r="T352" s="42"/>
      <c r="V352" s="45"/>
      <c r="Y352" s="45"/>
      <c r="Z352" s="132"/>
      <c r="AA352" s="45"/>
      <c r="AB352" s="45"/>
      <c r="AC352" s="46"/>
      <c r="AD352" s="46"/>
      <c r="AE352" s="45"/>
      <c r="AF352" s="45"/>
      <c r="AH352" s="51"/>
      <c r="AI352" s="45"/>
      <c r="AJ352" s="45"/>
      <c r="AL352" s="45"/>
      <c r="AM352" s="46"/>
      <c r="AN352" s="46"/>
    </row>
    <row r="353" spans="3:40">
      <c r="F353" s="50"/>
      <c r="H353" s="50"/>
      <c r="I353" s="50"/>
      <c r="J353" s="132"/>
      <c r="K353" s="132"/>
      <c r="L353" s="50"/>
      <c r="M353" s="50"/>
      <c r="N353" s="50"/>
      <c r="O353" s="50"/>
      <c r="P353" s="50"/>
      <c r="Q353" s="50"/>
      <c r="R353" s="50"/>
      <c r="V353" s="50"/>
      <c r="Y353" s="50"/>
      <c r="Z353" s="132"/>
      <c r="AA353" s="50"/>
      <c r="AB353" s="50"/>
      <c r="AC353" s="50"/>
      <c r="AD353" s="50"/>
      <c r="AE353" s="50"/>
      <c r="AF353" s="50"/>
      <c r="AI353" s="50"/>
      <c r="AJ353" s="50"/>
      <c r="AK353" s="111"/>
      <c r="AL353" s="50"/>
    </row>
    <row r="354" spans="3:40">
      <c r="C354" s="44"/>
      <c r="F354" s="45"/>
      <c r="H354" s="45"/>
      <c r="I354" s="45"/>
      <c r="J354" s="56"/>
      <c r="K354" s="56"/>
      <c r="L354" s="45"/>
      <c r="M354" s="45"/>
      <c r="N354" s="51"/>
      <c r="O354" s="51"/>
      <c r="P354" s="45"/>
      <c r="Q354" s="45"/>
      <c r="R354" s="45"/>
      <c r="T354" s="44"/>
      <c r="V354" s="45"/>
      <c r="Y354" s="45"/>
      <c r="Z354" s="56"/>
      <c r="AA354" s="45"/>
      <c r="AB354" s="45"/>
      <c r="AC354" s="45"/>
      <c r="AD354" s="45"/>
      <c r="AE354" s="45"/>
      <c r="AF354" s="45"/>
      <c r="AH354" s="51"/>
      <c r="AI354" s="45"/>
      <c r="AJ354" s="45"/>
      <c r="AL354" s="45"/>
      <c r="AM354" s="46"/>
      <c r="AN354" s="46"/>
    </row>
    <row r="355" spans="3:40">
      <c r="F355" s="50"/>
      <c r="H355" s="50"/>
      <c r="I355" s="50"/>
      <c r="J355" s="132"/>
      <c r="K355" s="132"/>
      <c r="L355" s="50"/>
      <c r="M355" s="50"/>
      <c r="N355" s="50"/>
      <c r="O355" s="50"/>
      <c r="P355" s="50"/>
      <c r="Q355" s="50"/>
      <c r="R355" s="50"/>
      <c r="V355" s="50"/>
      <c r="Y355" s="50"/>
      <c r="Z355" s="132"/>
      <c r="AA355" s="50"/>
      <c r="AB355" s="50"/>
      <c r="AC355" s="50"/>
      <c r="AD355" s="50"/>
      <c r="AE355" s="50"/>
      <c r="AF355" s="50"/>
      <c r="AI355" s="50"/>
      <c r="AJ355" s="50"/>
      <c r="AK355" s="111"/>
      <c r="AL355" s="50"/>
    </row>
    <row r="356" spans="3:40">
      <c r="C356" s="42"/>
      <c r="J356" s="56"/>
      <c r="K356" s="56"/>
      <c r="T356" s="42"/>
      <c r="Z356" s="56"/>
    </row>
    <row r="357" spans="3:40">
      <c r="C357" s="42"/>
      <c r="J357" s="56"/>
      <c r="K357" s="56"/>
      <c r="T357" s="42"/>
      <c r="Z357" s="56"/>
    </row>
    <row r="358" spans="3:40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>
      <c r="C360" s="42"/>
      <c r="F360" s="164"/>
      <c r="H360" s="164"/>
      <c r="I360" s="164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45"/>
      <c r="Y360" s="45"/>
      <c r="Z360" s="132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Y361" s="45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Y363" s="45"/>
      <c r="Z363" s="132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3:40">
      <c r="C364" s="42"/>
      <c r="F364" s="164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T364" s="42"/>
      <c r="V364" s="45"/>
      <c r="Y364" s="45"/>
      <c r="Z364" s="132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3:40">
      <c r="C365" s="42"/>
      <c r="J365" s="56"/>
      <c r="K365" s="56"/>
      <c r="T365" s="42"/>
      <c r="Z365" s="56"/>
    </row>
    <row r="366" spans="3:40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>
      <c r="C367" s="42"/>
      <c r="F367" s="164"/>
      <c r="H367" s="164"/>
      <c r="I367" s="164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45"/>
      <c r="Y367" s="45"/>
      <c r="Z367" s="132"/>
      <c r="AA367" s="45"/>
      <c r="AB367" s="45"/>
      <c r="AC367" s="46"/>
      <c r="AD367" s="46"/>
      <c r="AE367" s="45"/>
      <c r="AF367" s="45"/>
      <c r="AH367" s="51"/>
      <c r="AI367" s="45"/>
      <c r="AJ367" s="45"/>
      <c r="AL367" s="45"/>
      <c r="AM367" s="46"/>
      <c r="AN367" s="46"/>
    </row>
    <row r="368" spans="3:40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3:40">
      <c r="C370" s="42"/>
      <c r="J370" s="56"/>
      <c r="K370" s="56"/>
      <c r="T370" s="42"/>
      <c r="Z370" s="56"/>
    </row>
    <row r="371" spans="3:40">
      <c r="C371" s="42"/>
      <c r="F371" s="164"/>
      <c r="H371" s="164"/>
      <c r="I371" s="164"/>
      <c r="J371" s="132"/>
      <c r="K371" s="132"/>
      <c r="L371" s="45"/>
      <c r="M371" s="45"/>
      <c r="N371" s="46"/>
      <c r="O371" s="46"/>
      <c r="P371" s="45"/>
      <c r="Q371" s="45"/>
      <c r="R371" s="45"/>
      <c r="T371" s="42"/>
      <c r="V371" s="45"/>
      <c r="Y371" s="45"/>
      <c r="Z371" s="132"/>
      <c r="AA371" s="45"/>
      <c r="AB371" s="45"/>
      <c r="AC371" s="46"/>
      <c r="AD371" s="46"/>
      <c r="AE371" s="45"/>
      <c r="AF371" s="45"/>
      <c r="AH371" s="51"/>
      <c r="AI371" s="45"/>
      <c r="AJ371" s="45"/>
      <c r="AL371" s="45"/>
      <c r="AM371" s="46"/>
      <c r="AN371" s="46"/>
    </row>
    <row r="372" spans="3:40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45"/>
      <c r="Y372" s="45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3:40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Y373" s="45"/>
      <c r="Z373" s="132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Y374" s="45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45"/>
      <c r="Y375" s="45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>
      <c r="F376" s="50"/>
      <c r="H376" s="50"/>
      <c r="I376" s="50"/>
      <c r="J376" s="326"/>
      <c r="K376" s="326"/>
      <c r="L376" s="50"/>
      <c r="M376" s="50"/>
      <c r="N376" s="50"/>
      <c r="O376" s="50"/>
      <c r="P376" s="50"/>
      <c r="Q376" s="50"/>
      <c r="R376" s="50"/>
      <c r="V376" s="50"/>
      <c r="Y376" s="50"/>
      <c r="Z376" s="132"/>
      <c r="AA376" s="50"/>
      <c r="AB376" s="50"/>
      <c r="AC376" s="50"/>
      <c r="AD376" s="50"/>
      <c r="AE376" s="50"/>
      <c r="AF376" s="50"/>
      <c r="AI376" s="50"/>
      <c r="AJ376" s="50"/>
      <c r="AK376" s="111"/>
      <c r="AL376" s="50"/>
    </row>
    <row r="377" spans="3:40">
      <c r="C377" s="42"/>
      <c r="F377" s="45"/>
      <c r="H377" s="45"/>
      <c r="I377" s="45"/>
      <c r="L377" s="45"/>
      <c r="M377" s="45"/>
      <c r="N377" s="51"/>
      <c r="O377" s="51"/>
      <c r="P377" s="45"/>
      <c r="Q377" s="45"/>
      <c r="R377" s="45"/>
      <c r="T377" s="42"/>
      <c r="V377" s="45"/>
      <c r="Y377" s="45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>
      <c r="F378" s="50"/>
      <c r="H378" s="50"/>
      <c r="I378" s="50"/>
      <c r="J378" s="326"/>
      <c r="K378" s="326"/>
      <c r="L378" s="50"/>
      <c r="M378" s="50"/>
      <c r="N378" s="50"/>
      <c r="O378" s="50"/>
      <c r="P378" s="50"/>
      <c r="Q378" s="50"/>
      <c r="R378" s="50"/>
      <c r="V378" s="50"/>
      <c r="Y378" s="50"/>
      <c r="Z378" s="326"/>
      <c r="AA378" s="50"/>
      <c r="AB378" s="50"/>
      <c r="AC378" s="50"/>
      <c r="AD378" s="50"/>
      <c r="AE378" s="50"/>
      <c r="AF378" s="50"/>
      <c r="AI378" s="50"/>
      <c r="AJ378" s="50"/>
      <c r="AK378" s="111"/>
      <c r="AL378" s="50"/>
    </row>
    <row r="379" spans="3:40">
      <c r="C379" s="42"/>
      <c r="T379" s="42"/>
    </row>
    <row r="380" spans="3:40">
      <c r="C380" s="42"/>
      <c r="F380" s="164"/>
      <c r="H380" s="164"/>
      <c r="I380" s="164"/>
      <c r="J380" s="316"/>
      <c r="K380" s="316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316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>
      <c r="C381" s="42"/>
      <c r="F381" s="164"/>
      <c r="H381" s="164"/>
      <c r="I381" s="164"/>
      <c r="J381" s="316"/>
      <c r="K381" s="316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316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>
      <c r="F382" s="50"/>
      <c r="H382" s="45"/>
      <c r="I382" s="45"/>
      <c r="J382" s="326"/>
      <c r="K382" s="326"/>
      <c r="L382" s="50"/>
      <c r="M382" s="50"/>
      <c r="N382" s="50"/>
      <c r="O382" s="50"/>
      <c r="P382" s="50"/>
      <c r="Q382" s="50"/>
      <c r="R382" s="50"/>
      <c r="V382" s="50"/>
      <c r="Y382" s="45"/>
      <c r="Z382" s="326"/>
      <c r="AA382" s="50"/>
      <c r="AB382" s="50"/>
      <c r="AC382" s="50"/>
      <c r="AD382" s="50"/>
      <c r="AE382" s="50"/>
      <c r="AF382" s="50"/>
      <c r="AI382" s="50"/>
      <c r="AJ382" s="50"/>
      <c r="AK382" s="111"/>
      <c r="AL382" s="50"/>
    </row>
    <row r="383" spans="3:40">
      <c r="F383" s="45"/>
      <c r="H383" s="45"/>
      <c r="I383" s="45"/>
      <c r="J383" s="326"/>
      <c r="K383" s="326"/>
      <c r="L383" s="45"/>
      <c r="M383" s="45"/>
      <c r="N383" s="45"/>
      <c r="O383" s="45"/>
      <c r="P383" s="45"/>
      <c r="Q383" s="45"/>
      <c r="R383" s="45"/>
      <c r="V383" s="45"/>
      <c r="Y383" s="45"/>
      <c r="Z383" s="326"/>
      <c r="AA383" s="45"/>
      <c r="AB383" s="45"/>
      <c r="AC383" s="45"/>
      <c r="AD383" s="45"/>
      <c r="AE383" s="45"/>
      <c r="AF383" s="45"/>
      <c r="AI383" s="45"/>
      <c r="AJ383" s="45"/>
      <c r="AL383" s="45"/>
    </row>
    <row r="384" spans="3:40">
      <c r="C384" s="42"/>
      <c r="F384" s="45"/>
      <c r="H384" s="45"/>
      <c r="I384" s="45"/>
      <c r="L384" s="45"/>
      <c r="M384" s="45"/>
      <c r="N384" s="46"/>
      <c r="O384" s="46"/>
      <c r="P384" s="45"/>
      <c r="Q384" s="45"/>
      <c r="R384" s="45"/>
      <c r="T384" s="42"/>
      <c r="V384" s="45"/>
      <c r="Y384" s="45"/>
      <c r="AA384" s="45"/>
      <c r="AB384" s="45"/>
      <c r="AC384" s="46"/>
      <c r="AD384" s="46"/>
      <c r="AE384" s="45"/>
      <c r="AF384" s="45"/>
      <c r="AH384" s="51"/>
      <c r="AI384" s="164"/>
      <c r="AJ384" s="164"/>
      <c r="AL384" s="45"/>
      <c r="AM384" s="46"/>
      <c r="AN384" s="46"/>
    </row>
    <row r="385" spans="1:38">
      <c r="F385" s="50"/>
      <c r="H385" s="50"/>
      <c r="I385" s="50"/>
      <c r="J385" s="326"/>
      <c r="K385" s="326"/>
      <c r="L385" s="50"/>
      <c r="M385" s="50"/>
      <c r="N385" s="50"/>
      <c r="O385" s="50"/>
      <c r="P385" s="50"/>
      <c r="Q385" s="50"/>
      <c r="R385" s="50"/>
      <c r="V385" s="50"/>
      <c r="Y385" s="50"/>
      <c r="Z385" s="326"/>
      <c r="AA385" s="50"/>
      <c r="AB385" s="50"/>
      <c r="AC385" s="50"/>
      <c r="AD385" s="50"/>
      <c r="AE385" s="50"/>
      <c r="AF385" s="50"/>
      <c r="AI385" s="50"/>
      <c r="AJ385" s="50"/>
      <c r="AK385" s="111"/>
      <c r="AL385" s="50"/>
    </row>
    <row r="387" spans="1:38">
      <c r="A387" s="42"/>
      <c r="T387" s="42"/>
    </row>
    <row r="388" spans="1:38">
      <c r="A388" s="42"/>
      <c r="T388" s="42"/>
    </row>
    <row r="389" spans="1:38">
      <c r="A389" s="42"/>
      <c r="T389" s="42"/>
    </row>
    <row r="390" spans="1:38">
      <c r="A390" s="42"/>
      <c r="T390" s="42"/>
    </row>
    <row r="391" spans="1:38">
      <c r="A391" s="42"/>
      <c r="T391" s="42"/>
    </row>
    <row r="392" spans="1:38">
      <c r="A392" s="42"/>
      <c r="T392" s="42"/>
    </row>
    <row r="393" spans="1:38">
      <c r="A393" s="42"/>
      <c r="T393" s="42"/>
    </row>
    <row r="394" spans="1:38">
      <c r="A394" s="42"/>
      <c r="T394" s="42"/>
    </row>
    <row r="395" spans="1:38">
      <c r="A395" s="42"/>
      <c r="T395" s="42"/>
    </row>
    <row r="397" spans="1:38">
      <c r="A397" s="42"/>
    </row>
    <row r="399" spans="1:38">
      <c r="H399" s="42"/>
      <c r="I399" s="42"/>
      <c r="Y399" s="42"/>
    </row>
    <row r="401" spans="1:40">
      <c r="L401" s="42"/>
      <c r="M401" s="42"/>
      <c r="AA401" s="42"/>
      <c r="AB401" s="42"/>
    </row>
    <row r="402" spans="1:40">
      <c r="R402" s="42"/>
      <c r="AK402" s="110"/>
      <c r="AL402" s="42"/>
    </row>
    <row r="403" spans="1:40">
      <c r="R403" s="42"/>
      <c r="AK403" s="110"/>
      <c r="AL403" s="42"/>
    </row>
    <row r="404" spans="1:40">
      <c r="A404" s="42"/>
      <c r="R404" s="42"/>
      <c r="AK404" s="110"/>
      <c r="AL404" s="42"/>
    </row>
    <row r="405" spans="1:40">
      <c r="L405" s="42"/>
      <c r="M405" s="42"/>
      <c r="AA405" s="42"/>
      <c r="AB405" s="42"/>
    </row>
    <row r="406" spans="1:40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107"/>
      <c r="AH406" s="49"/>
      <c r="AI406" s="49"/>
      <c r="AJ406" s="49"/>
      <c r="AK406" s="107"/>
      <c r="AL406" s="49"/>
      <c r="AM406" s="49"/>
      <c r="AN406" s="49"/>
    </row>
    <row r="407" spans="1:40">
      <c r="L407" s="44"/>
      <c r="M407" s="44"/>
      <c r="N407" s="44"/>
      <c r="O407" s="44"/>
      <c r="R407" s="44"/>
      <c r="AA407" s="44"/>
      <c r="AB407" s="44"/>
      <c r="AC407" s="44"/>
      <c r="AD407" s="44"/>
      <c r="AE407" s="44"/>
      <c r="AF407" s="44"/>
      <c r="AG407" s="102"/>
      <c r="AH407" s="44"/>
      <c r="AK407" s="102"/>
      <c r="AL407" s="44"/>
      <c r="AM407" s="44"/>
      <c r="AN407" s="44"/>
    </row>
    <row r="408" spans="1:40">
      <c r="L408" s="44"/>
      <c r="M408" s="44"/>
      <c r="N408" s="44"/>
      <c r="O408" s="44"/>
      <c r="R408" s="44"/>
      <c r="Z408" s="44"/>
      <c r="AA408" s="44"/>
      <c r="AB408" s="44"/>
      <c r="AC408" s="44"/>
      <c r="AD408" s="44"/>
      <c r="AE408" s="44"/>
      <c r="AF408" s="44"/>
      <c r="AG408" s="102"/>
      <c r="AH408" s="44"/>
      <c r="AK408" s="102"/>
      <c r="AL408" s="44"/>
      <c r="AM408" s="44"/>
      <c r="AN408" s="44"/>
    </row>
    <row r="409" spans="1:40">
      <c r="A409" s="44"/>
      <c r="C409" s="44"/>
      <c r="D409" s="44"/>
      <c r="E409" s="44"/>
      <c r="F409" s="44"/>
      <c r="J409" s="44"/>
      <c r="K409" s="44"/>
      <c r="L409" s="44"/>
      <c r="M409" s="44"/>
      <c r="N409" s="44"/>
      <c r="O409" s="44"/>
      <c r="P409" s="44"/>
      <c r="Q409" s="44"/>
      <c r="R409" s="44"/>
      <c r="T409" s="44"/>
      <c r="U409" s="44"/>
      <c r="V409" s="44"/>
      <c r="Z409" s="44"/>
      <c r="AA409" s="44"/>
      <c r="AB409" s="44"/>
      <c r="AC409" s="44"/>
      <c r="AD409" s="44"/>
      <c r="AE409" s="44"/>
      <c r="AF409" s="44"/>
      <c r="AG409" s="102"/>
      <c r="AH409" s="44"/>
      <c r="AI409" s="44"/>
      <c r="AJ409" s="44"/>
      <c r="AK409" s="102"/>
      <c r="AL409" s="44"/>
      <c r="AM409" s="44"/>
      <c r="AN409" s="44"/>
    </row>
    <row r="410" spans="1:40">
      <c r="A410" s="44"/>
      <c r="C410" s="44"/>
      <c r="D410" s="44"/>
      <c r="E410" s="44"/>
      <c r="F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T410" s="44"/>
      <c r="U410" s="44"/>
      <c r="V410" s="44"/>
      <c r="Y410" s="44"/>
      <c r="Z410" s="44"/>
      <c r="AA410" s="44"/>
      <c r="AB410" s="44"/>
      <c r="AC410" s="44"/>
      <c r="AD410" s="44"/>
      <c r="AE410" s="44"/>
      <c r="AF410" s="44"/>
      <c r="AG410" s="102"/>
      <c r="AH410" s="44"/>
      <c r="AI410" s="44"/>
      <c r="AJ410" s="44"/>
      <c r="AK410" s="102"/>
      <c r="AL410" s="44"/>
      <c r="AM410" s="44"/>
      <c r="AN410" s="44"/>
    </row>
    <row r="411" spans="1:40">
      <c r="C411" s="44"/>
      <c r="D411" s="44"/>
      <c r="E411" s="44"/>
      <c r="F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T411" s="44"/>
      <c r="U411" s="44"/>
      <c r="V411" s="44"/>
      <c r="Y411" s="44"/>
      <c r="Z411" s="44"/>
      <c r="AA411" s="44"/>
      <c r="AB411" s="44"/>
      <c r="AC411" s="44"/>
      <c r="AD411" s="44"/>
      <c r="AE411" s="44"/>
      <c r="AF411" s="44"/>
      <c r="AG411" s="102"/>
      <c r="AH411" s="44"/>
      <c r="AI411" s="44"/>
      <c r="AJ411" s="44"/>
      <c r="AK411" s="102"/>
      <c r="AL411" s="44"/>
      <c r="AM411" s="44"/>
      <c r="AN411" s="44"/>
    </row>
    <row r="412" spans="1:40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107"/>
      <c r="AH412" s="49"/>
      <c r="AI412" s="49"/>
      <c r="AJ412" s="49"/>
      <c r="AK412" s="107"/>
      <c r="AL412" s="49"/>
      <c r="AM412" s="49"/>
      <c r="AN412" s="49"/>
    </row>
    <row r="413" spans="1:40"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Y413" s="44"/>
      <c r="Z413" s="44"/>
      <c r="AA413" s="44"/>
      <c r="AB413" s="44"/>
      <c r="AC413" s="44"/>
      <c r="AD413" s="44"/>
      <c r="AE413" s="44"/>
      <c r="AF413" s="44"/>
      <c r="AG413" s="102"/>
      <c r="AH413" s="44"/>
      <c r="AI413" s="44"/>
      <c r="AJ413" s="44"/>
      <c r="AK413" s="102"/>
      <c r="AL413" s="44"/>
      <c r="AM413" s="44"/>
      <c r="AN413" s="44"/>
    </row>
    <row r="414" spans="1:40">
      <c r="C414" s="42"/>
      <c r="D414" s="42"/>
      <c r="E414" s="42"/>
      <c r="T414" s="42"/>
      <c r="U414" s="42"/>
    </row>
    <row r="415" spans="1:40">
      <c r="D415" s="42"/>
      <c r="E415" s="42"/>
      <c r="U415" s="42"/>
    </row>
    <row r="417" spans="3:40">
      <c r="C417" s="42"/>
      <c r="F417" s="45"/>
      <c r="J417" s="53"/>
      <c r="K417" s="53"/>
      <c r="L417" s="45"/>
      <c r="M417" s="45"/>
      <c r="R417" s="45"/>
      <c r="T417" s="42"/>
      <c r="V417" s="45"/>
      <c r="Z417" s="53"/>
      <c r="AA417" s="45"/>
      <c r="AB417" s="45"/>
      <c r="AH417" s="45"/>
      <c r="AL417" s="45"/>
    </row>
    <row r="418" spans="3:40">
      <c r="C418" s="42"/>
      <c r="F418" s="45"/>
      <c r="R418" s="45"/>
      <c r="T418" s="42"/>
      <c r="V418" s="45"/>
      <c r="AH418" s="45"/>
      <c r="AL418" s="45"/>
    </row>
    <row r="419" spans="3:40">
      <c r="AI419" s="45"/>
      <c r="AJ419" s="45"/>
      <c r="AL419" s="45"/>
      <c r="AM419" s="46"/>
      <c r="AN419" s="46"/>
    </row>
    <row r="420" spans="3:40">
      <c r="C420" s="42"/>
      <c r="F420" s="164"/>
      <c r="H420" s="164"/>
      <c r="I420" s="164"/>
      <c r="J420" s="336"/>
      <c r="K420" s="336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336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>
      <c r="F421" s="45"/>
      <c r="H421" s="45"/>
      <c r="I421" s="45"/>
      <c r="J421" s="47"/>
      <c r="K421" s="47"/>
      <c r="L421" s="45"/>
      <c r="M421" s="45"/>
      <c r="P421" s="45"/>
      <c r="Q421" s="45"/>
      <c r="R421" s="45"/>
      <c r="V421" s="45"/>
      <c r="Y421" s="45"/>
      <c r="Z421" s="47"/>
      <c r="AA421" s="45"/>
      <c r="AB421" s="45"/>
      <c r="AI421" s="45"/>
      <c r="AJ421" s="45"/>
      <c r="AL421" s="45"/>
      <c r="AM421" s="46"/>
      <c r="AN421" s="46"/>
    </row>
    <row r="422" spans="3:40">
      <c r="F422" s="45"/>
      <c r="R422" s="45"/>
      <c r="V422" s="45"/>
      <c r="AL422" s="45"/>
      <c r="AM422" s="46"/>
      <c r="AN422" s="46"/>
    </row>
    <row r="423" spans="3:40">
      <c r="C423" s="42"/>
      <c r="F423" s="45"/>
      <c r="J423" s="53"/>
      <c r="K423" s="53"/>
      <c r="L423" s="45"/>
      <c r="M423" s="45"/>
      <c r="N423" s="46"/>
      <c r="O423" s="46"/>
      <c r="R423" s="45"/>
      <c r="T423" s="42"/>
      <c r="V423" s="45"/>
      <c r="Z423" s="53"/>
      <c r="AA423" s="45"/>
      <c r="AB423" s="45"/>
      <c r="AC423" s="46"/>
      <c r="AD423" s="46"/>
      <c r="AL423" s="45"/>
      <c r="AM423" s="46"/>
      <c r="AN423" s="46"/>
    </row>
    <row r="424" spans="3:40">
      <c r="C424" s="42"/>
      <c r="F424" s="45"/>
      <c r="H424" s="45"/>
      <c r="I424" s="45"/>
      <c r="J424" s="53"/>
      <c r="K424" s="53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53"/>
      <c r="AA424" s="45"/>
      <c r="AB424" s="45"/>
      <c r="AC424" s="46"/>
      <c r="AD424" s="46"/>
      <c r="AI424" s="45"/>
      <c r="AJ424" s="45"/>
      <c r="AL424" s="45"/>
      <c r="AM424" s="46"/>
      <c r="AN424" s="46"/>
    </row>
    <row r="425" spans="3:40">
      <c r="C425" s="42"/>
      <c r="T425" s="42"/>
      <c r="AM425" s="46"/>
      <c r="AN425" s="46"/>
    </row>
    <row r="426" spans="3:40">
      <c r="C426" s="42"/>
      <c r="T426" s="42"/>
      <c r="AM426" s="46"/>
      <c r="AN426" s="46"/>
    </row>
    <row r="427" spans="3:40">
      <c r="AM427" s="46"/>
      <c r="AN427" s="46"/>
    </row>
    <row r="428" spans="3:40">
      <c r="C428" s="42"/>
      <c r="F428" s="164"/>
      <c r="H428" s="164"/>
      <c r="I428" s="164"/>
      <c r="J428" s="336"/>
      <c r="K428" s="336"/>
      <c r="L428" s="45"/>
      <c r="M428" s="45"/>
      <c r="N428" s="46"/>
      <c r="O428" s="46"/>
      <c r="P428" s="45"/>
      <c r="Q428" s="45"/>
      <c r="R428" s="45"/>
      <c r="T428" s="42"/>
      <c r="V428" s="45"/>
      <c r="Y428" s="45"/>
      <c r="Z428" s="336"/>
      <c r="AA428" s="45"/>
      <c r="AB428" s="45"/>
      <c r="AC428" s="46"/>
      <c r="AD428" s="46"/>
      <c r="AE428" s="45"/>
      <c r="AF428" s="45"/>
      <c r="AH428" s="51"/>
      <c r="AI428" s="45"/>
      <c r="AJ428" s="45"/>
      <c r="AL428" s="45"/>
      <c r="AM428" s="46"/>
      <c r="AN428" s="46"/>
    </row>
    <row r="429" spans="3:40">
      <c r="F429" s="50"/>
      <c r="H429" s="50"/>
      <c r="I429" s="50"/>
      <c r="J429" s="326"/>
      <c r="K429" s="326"/>
      <c r="L429" s="50"/>
      <c r="M429" s="50"/>
      <c r="N429" s="50"/>
      <c r="O429" s="50"/>
      <c r="P429" s="50"/>
      <c r="Q429" s="50"/>
      <c r="R429" s="50"/>
      <c r="V429" s="50"/>
      <c r="Y429" s="50"/>
      <c r="Z429" s="326"/>
      <c r="AA429" s="50"/>
      <c r="AB429" s="50"/>
      <c r="AC429" s="50"/>
      <c r="AD429" s="50"/>
      <c r="AE429" s="50"/>
      <c r="AF429" s="50"/>
      <c r="AI429" s="50"/>
      <c r="AJ429" s="50"/>
      <c r="AK429" s="111"/>
      <c r="AL429" s="50"/>
      <c r="AM429" s="46"/>
      <c r="AN429" s="46"/>
    </row>
    <row r="430" spans="3:40">
      <c r="H430" s="45"/>
      <c r="I430" s="45"/>
      <c r="Y430" s="45"/>
      <c r="AM430" s="46"/>
      <c r="AN430" s="46"/>
    </row>
    <row r="431" spans="3:40">
      <c r="C431" s="42"/>
      <c r="F431" s="45"/>
      <c r="H431" s="45"/>
      <c r="I431" s="45"/>
      <c r="L431" s="45"/>
      <c r="M431" s="45"/>
      <c r="N431" s="46"/>
      <c r="O431" s="46"/>
      <c r="P431" s="164"/>
      <c r="Q431" s="164"/>
      <c r="R431" s="45"/>
      <c r="T431" s="42"/>
      <c r="V431" s="45"/>
      <c r="Y431" s="45"/>
      <c r="AA431" s="45"/>
      <c r="AB431" s="45"/>
      <c r="AC431" s="46"/>
      <c r="AD431" s="46"/>
      <c r="AE431" s="45"/>
      <c r="AF431" s="45"/>
      <c r="AH431" s="51"/>
      <c r="AI431" s="164"/>
      <c r="AJ431" s="164"/>
      <c r="AL431" s="45"/>
      <c r="AM431" s="46"/>
      <c r="AN431" s="46"/>
    </row>
    <row r="432" spans="3:40">
      <c r="F432" s="50"/>
      <c r="H432" s="50"/>
      <c r="I432" s="50"/>
      <c r="J432" s="326"/>
      <c r="K432" s="326"/>
      <c r="L432" s="50"/>
      <c r="M432" s="50"/>
      <c r="N432" s="50"/>
      <c r="O432" s="50"/>
      <c r="P432" s="50"/>
      <c r="Q432" s="50"/>
      <c r="R432" s="50"/>
      <c r="V432" s="50"/>
      <c r="Y432" s="50"/>
      <c r="Z432" s="326"/>
      <c r="AA432" s="50"/>
      <c r="AB432" s="50"/>
      <c r="AC432" s="50"/>
      <c r="AD432" s="50"/>
      <c r="AE432" s="50"/>
      <c r="AF432" s="50"/>
      <c r="AI432" s="50"/>
      <c r="AJ432" s="50"/>
      <c r="AK432" s="111"/>
      <c r="AL432" s="50"/>
      <c r="AM432" s="46"/>
      <c r="AN432" s="46"/>
    </row>
    <row r="434" spans="1:40">
      <c r="F434" s="45"/>
      <c r="H434" s="45"/>
      <c r="I434" s="45"/>
      <c r="J434" s="47"/>
      <c r="K434" s="47"/>
      <c r="L434" s="45"/>
      <c r="M434" s="45"/>
      <c r="N434" s="45"/>
      <c r="O434" s="45"/>
      <c r="P434" s="45"/>
      <c r="Q434" s="45"/>
      <c r="R434" s="45"/>
      <c r="V434" s="45"/>
      <c r="Y434" s="45"/>
      <c r="Z434" s="47"/>
      <c r="AA434" s="45"/>
      <c r="AB434" s="45"/>
      <c r="AC434" s="45"/>
      <c r="AD434" s="45"/>
      <c r="AE434" s="45"/>
      <c r="AF434" s="45"/>
      <c r="AH434" s="45"/>
      <c r="AI434" s="45"/>
      <c r="AJ434" s="45"/>
      <c r="AL434" s="45"/>
    </row>
    <row r="435" spans="1:40">
      <c r="A435" s="42"/>
    </row>
    <row r="437" spans="1:40">
      <c r="H437" s="42"/>
      <c r="I437" s="42"/>
      <c r="Y437" s="42"/>
    </row>
    <row r="439" spans="1:40">
      <c r="L439" s="42"/>
      <c r="M439" s="42"/>
      <c r="AA439" s="42"/>
      <c r="AB439" s="42"/>
    </row>
    <row r="440" spans="1:40">
      <c r="R440" s="42"/>
      <c r="AK440" s="110"/>
      <c r="AL440" s="42"/>
    </row>
    <row r="441" spans="1:40">
      <c r="R441" s="42"/>
      <c r="AK441" s="110"/>
      <c r="AL441" s="42"/>
    </row>
    <row r="442" spans="1:40">
      <c r="A442" s="42"/>
      <c r="R442" s="42"/>
      <c r="AK442" s="110"/>
      <c r="AL442" s="42"/>
    </row>
    <row r="443" spans="1:40">
      <c r="L443" s="42"/>
      <c r="M443" s="42"/>
      <c r="AA443" s="42"/>
      <c r="AB443" s="42"/>
    </row>
    <row r="444" spans="1:40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107"/>
      <c r="AH444" s="49"/>
      <c r="AI444" s="49"/>
      <c r="AJ444" s="49"/>
      <c r="AK444" s="107"/>
      <c r="AL444" s="49"/>
      <c r="AM444" s="49"/>
      <c r="AN444" s="49"/>
    </row>
    <row r="445" spans="1:40">
      <c r="L445" s="44"/>
      <c r="M445" s="44"/>
      <c r="N445" s="44"/>
      <c r="O445" s="44"/>
      <c r="R445" s="44"/>
      <c r="AA445" s="44"/>
      <c r="AB445" s="44"/>
      <c r="AC445" s="44"/>
      <c r="AD445" s="44"/>
      <c r="AE445" s="44"/>
      <c r="AF445" s="44"/>
      <c r="AG445" s="102"/>
      <c r="AH445" s="44"/>
      <c r="AK445" s="102"/>
      <c r="AL445" s="44"/>
      <c r="AM445" s="44"/>
      <c r="AN445" s="44"/>
    </row>
    <row r="446" spans="1:40">
      <c r="L446" s="44"/>
      <c r="M446" s="44"/>
      <c r="N446" s="44"/>
      <c r="O446" s="44"/>
      <c r="R446" s="44"/>
      <c r="Z446" s="44"/>
      <c r="AA446" s="44"/>
      <c r="AB446" s="44"/>
      <c r="AC446" s="44"/>
      <c r="AD446" s="44"/>
      <c r="AE446" s="44"/>
      <c r="AF446" s="44"/>
      <c r="AG446" s="102"/>
      <c r="AH446" s="44"/>
      <c r="AK446" s="102"/>
      <c r="AL446" s="44"/>
      <c r="AM446" s="44"/>
      <c r="AN446" s="44"/>
    </row>
    <row r="447" spans="1:40">
      <c r="A447" s="44"/>
      <c r="C447" s="44"/>
      <c r="D447" s="44"/>
      <c r="E447" s="44"/>
      <c r="F447" s="44"/>
      <c r="J447" s="44"/>
      <c r="K447" s="44"/>
      <c r="L447" s="44"/>
      <c r="M447" s="44"/>
      <c r="N447" s="44"/>
      <c r="O447" s="44"/>
      <c r="P447" s="44"/>
      <c r="Q447" s="44"/>
      <c r="R447" s="44"/>
      <c r="T447" s="44"/>
      <c r="U447" s="44"/>
      <c r="V447" s="44"/>
      <c r="Z447" s="44"/>
      <c r="AA447" s="44"/>
      <c r="AB447" s="44"/>
      <c r="AC447" s="44"/>
      <c r="AD447" s="44"/>
      <c r="AE447" s="44"/>
      <c r="AF447" s="44"/>
      <c r="AG447" s="102"/>
      <c r="AH447" s="44"/>
      <c r="AI447" s="44"/>
      <c r="AJ447" s="44"/>
      <c r="AK447" s="102"/>
      <c r="AL447" s="44"/>
      <c r="AM447" s="44"/>
      <c r="AN447" s="44"/>
    </row>
    <row r="448" spans="1:40">
      <c r="A448" s="44"/>
      <c r="C448" s="44"/>
      <c r="D448" s="44"/>
      <c r="E448" s="44"/>
      <c r="F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T448" s="44"/>
      <c r="U448" s="44"/>
      <c r="V448" s="44"/>
      <c r="Y448" s="44"/>
      <c r="Z448" s="44"/>
      <c r="AA448" s="44"/>
      <c r="AB448" s="44"/>
      <c r="AC448" s="44"/>
      <c r="AD448" s="44"/>
      <c r="AE448" s="44"/>
      <c r="AF448" s="44"/>
      <c r="AG448" s="102"/>
      <c r="AH448" s="44"/>
      <c r="AI448" s="44"/>
      <c r="AJ448" s="44"/>
      <c r="AK448" s="102"/>
      <c r="AL448" s="44"/>
      <c r="AM448" s="44"/>
      <c r="AN448" s="44"/>
    </row>
    <row r="449" spans="1:40">
      <c r="C449" s="44"/>
      <c r="D449" s="44"/>
      <c r="E449" s="44"/>
      <c r="F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T449" s="44"/>
      <c r="U449" s="44"/>
      <c r="V449" s="44"/>
      <c r="Y449" s="44"/>
      <c r="Z449" s="44"/>
      <c r="AA449" s="44"/>
      <c r="AB449" s="44"/>
      <c r="AC449" s="44"/>
      <c r="AD449" s="44"/>
      <c r="AE449" s="44"/>
      <c r="AF449" s="44"/>
      <c r="AG449" s="102"/>
      <c r="AH449" s="44"/>
      <c r="AI449" s="44"/>
      <c r="AJ449" s="44"/>
      <c r="AK449" s="102"/>
      <c r="AL449" s="44"/>
      <c r="AM449" s="44"/>
      <c r="AN449" s="44"/>
    </row>
    <row r="450" spans="1:40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107"/>
      <c r="AH450" s="49"/>
      <c r="AI450" s="49"/>
      <c r="AJ450" s="49"/>
      <c r="AK450" s="107"/>
      <c r="AL450" s="49"/>
      <c r="AM450" s="49"/>
      <c r="AN450" s="49"/>
    </row>
    <row r="451" spans="1:40"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Y451" s="44"/>
      <c r="Z451" s="44"/>
      <c r="AA451" s="44"/>
      <c r="AB451" s="44"/>
      <c r="AC451" s="44"/>
      <c r="AD451" s="44"/>
      <c r="AE451" s="44"/>
      <c r="AF451" s="44"/>
      <c r="AG451" s="102"/>
      <c r="AH451" s="44"/>
      <c r="AI451" s="44"/>
      <c r="AJ451" s="44"/>
      <c r="AK451" s="102"/>
      <c r="AL451" s="44"/>
      <c r="AM451" s="44"/>
      <c r="AN451" s="44"/>
    </row>
    <row r="452" spans="1:40">
      <c r="C452" s="42"/>
      <c r="D452" s="42"/>
      <c r="E452" s="42"/>
      <c r="T452" s="42"/>
      <c r="U452" s="42"/>
      <c r="V452" s="45"/>
      <c r="W452" s="45"/>
      <c r="X452" s="45"/>
      <c r="Y452" s="45"/>
      <c r="Z452" s="336"/>
    </row>
    <row r="454" spans="1:40">
      <c r="C454" s="42"/>
      <c r="T454" s="42"/>
      <c r="V454" s="45"/>
      <c r="W454" s="45"/>
      <c r="X454" s="45"/>
      <c r="Y454" s="45"/>
      <c r="Z454" s="336"/>
    </row>
    <row r="455" spans="1:40">
      <c r="C455" s="42"/>
      <c r="F455" s="164"/>
      <c r="H455" s="164"/>
      <c r="I455" s="164"/>
      <c r="J455" s="132"/>
      <c r="K455" s="132"/>
      <c r="L455" s="45"/>
      <c r="M455" s="45"/>
      <c r="N455" s="46"/>
      <c r="O455" s="46"/>
      <c r="P455" s="45"/>
      <c r="Q455" s="45"/>
      <c r="R455" s="45"/>
      <c r="T455" s="42"/>
      <c r="V455" s="45"/>
      <c r="W455" s="45"/>
      <c r="X455" s="45"/>
      <c r="Y455" s="45"/>
      <c r="Z455" s="132"/>
      <c r="AA455" s="45"/>
      <c r="AB455" s="45"/>
      <c r="AC455" s="46"/>
      <c r="AD455" s="46"/>
      <c r="AE455" s="45"/>
      <c r="AF455" s="45"/>
      <c r="AH455" s="51"/>
      <c r="AI455" s="45"/>
      <c r="AJ455" s="45"/>
      <c r="AL455" s="45"/>
      <c r="AM455" s="46"/>
      <c r="AN455" s="46"/>
    </row>
    <row r="456" spans="1:40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W456" s="45"/>
      <c r="X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46"/>
      <c r="AN456" s="46"/>
    </row>
    <row r="457" spans="1:40">
      <c r="C457" s="42"/>
      <c r="F457" s="164"/>
      <c r="H457" s="164"/>
      <c r="I457" s="164"/>
      <c r="J457" s="132"/>
      <c r="K457" s="132"/>
      <c r="L457" s="45"/>
      <c r="M457" s="45"/>
      <c r="N457" s="46"/>
      <c r="O457" s="46"/>
      <c r="P457" s="45"/>
      <c r="Q457" s="45"/>
      <c r="R457" s="45"/>
      <c r="T457" s="42"/>
      <c r="V457" s="45"/>
      <c r="W457" s="45"/>
      <c r="X457" s="45"/>
      <c r="Y457" s="45"/>
      <c r="Z457" s="132"/>
      <c r="AA457" s="45"/>
      <c r="AB457" s="45"/>
      <c r="AC457" s="46"/>
      <c r="AD457" s="46"/>
      <c r="AE457" s="45"/>
      <c r="AF457" s="45"/>
      <c r="AH457" s="51"/>
      <c r="AI457" s="45"/>
      <c r="AJ457" s="45"/>
      <c r="AL457" s="45"/>
      <c r="AM457" s="46"/>
      <c r="AN457" s="46"/>
    </row>
    <row r="458" spans="1:40">
      <c r="C458" s="42"/>
      <c r="F458" s="164"/>
      <c r="H458" s="164"/>
      <c r="I458" s="164"/>
      <c r="J458" s="132"/>
      <c r="K458" s="132"/>
      <c r="L458" s="45"/>
      <c r="M458" s="45"/>
      <c r="N458" s="46"/>
      <c r="O458" s="46"/>
      <c r="P458" s="45"/>
      <c r="Q458" s="45"/>
      <c r="R458" s="45"/>
      <c r="T458" s="42"/>
      <c r="V458" s="45"/>
      <c r="W458" s="45"/>
      <c r="X458" s="45"/>
      <c r="Y458" s="45"/>
      <c r="Z458" s="132"/>
      <c r="AA458" s="45"/>
      <c r="AB458" s="45"/>
      <c r="AC458" s="46"/>
      <c r="AD458" s="46"/>
      <c r="AE458" s="45"/>
      <c r="AF458" s="45"/>
      <c r="AH458" s="51"/>
      <c r="AI458" s="45"/>
      <c r="AJ458" s="45"/>
      <c r="AL458" s="45"/>
      <c r="AM458" s="46"/>
      <c r="AN458" s="46"/>
    </row>
    <row r="459" spans="1:40">
      <c r="J459" s="56"/>
      <c r="K459" s="56"/>
      <c r="V459" s="45"/>
      <c r="W459" s="45"/>
      <c r="X459" s="45"/>
      <c r="Y459" s="45"/>
      <c r="Z459" s="132"/>
    </row>
    <row r="460" spans="1:40">
      <c r="C460" s="42"/>
      <c r="F460" s="164"/>
      <c r="H460" s="164"/>
      <c r="I460" s="164"/>
      <c r="J460" s="132"/>
      <c r="K460" s="132"/>
      <c r="L460" s="45"/>
      <c r="M460" s="45"/>
      <c r="N460" s="46"/>
      <c r="O460" s="46"/>
      <c r="P460" s="45"/>
      <c r="Q460" s="45"/>
      <c r="R460" s="45"/>
      <c r="T460" s="42"/>
      <c r="V460" s="45"/>
      <c r="W460" s="45"/>
      <c r="X460" s="45"/>
      <c r="Y460" s="45"/>
      <c r="Z460" s="132"/>
      <c r="AA460" s="45"/>
      <c r="AB460" s="45"/>
      <c r="AC460" s="46"/>
      <c r="AD460" s="46"/>
      <c r="AE460" s="45"/>
      <c r="AF460" s="45"/>
      <c r="AH460" s="51"/>
      <c r="AI460" s="45"/>
      <c r="AJ460" s="45"/>
      <c r="AL460" s="45"/>
      <c r="AM460" s="51"/>
      <c r="AN460" s="51"/>
    </row>
    <row r="461" spans="1:40">
      <c r="C461" s="42"/>
      <c r="J461" s="56"/>
      <c r="K461" s="56"/>
      <c r="T461" s="42"/>
      <c r="V461" s="45"/>
      <c r="W461" s="45"/>
      <c r="X461" s="45"/>
      <c r="Y461" s="45"/>
      <c r="Z461" s="132"/>
    </row>
    <row r="462" spans="1:40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W462" s="45"/>
      <c r="X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51"/>
      <c r="AN462" s="51"/>
    </row>
    <row r="463" spans="1:40">
      <c r="J463" s="56"/>
      <c r="K463" s="56"/>
      <c r="Z463" s="56"/>
    </row>
    <row r="464" spans="1:40">
      <c r="C464" s="42"/>
      <c r="J464" s="56"/>
      <c r="K464" s="56"/>
      <c r="T464" s="42"/>
      <c r="V464" s="45"/>
      <c r="W464" s="45"/>
      <c r="X464" s="45"/>
      <c r="Y464" s="45"/>
      <c r="Z464" s="132"/>
    </row>
    <row r="465" spans="1:40">
      <c r="C465" s="42"/>
      <c r="F465" s="164"/>
      <c r="H465" s="164"/>
      <c r="I465" s="164"/>
      <c r="J465" s="132"/>
      <c r="K465" s="132"/>
      <c r="L465" s="45"/>
      <c r="M465" s="45"/>
      <c r="N465" s="46"/>
      <c r="O465" s="46"/>
      <c r="P465" s="45"/>
      <c r="Q465" s="45"/>
      <c r="R465" s="45"/>
      <c r="T465" s="42"/>
      <c r="V465" s="45"/>
      <c r="W465" s="45"/>
      <c r="X465" s="45"/>
      <c r="Y465" s="45"/>
      <c r="Z465" s="132"/>
      <c r="AA465" s="45"/>
      <c r="AB465" s="45"/>
      <c r="AC465" s="46"/>
      <c r="AD465" s="46"/>
      <c r="AE465" s="45"/>
      <c r="AF465" s="45"/>
      <c r="AH465" s="51"/>
      <c r="AI465" s="45"/>
      <c r="AJ465" s="45"/>
      <c r="AL465" s="45"/>
      <c r="AM465" s="51"/>
      <c r="AN465" s="51"/>
    </row>
    <row r="466" spans="1:40">
      <c r="C466" s="42"/>
      <c r="F466" s="164"/>
      <c r="H466" s="164"/>
      <c r="I466" s="164"/>
      <c r="J466" s="132"/>
      <c r="K466" s="132"/>
      <c r="L466" s="45"/>
      <c r="M466" s="45"/>
      <c r="N466" s="46"/>
      <c r="O466" s="46"/>
      <c r="P466" s="45"/>
      <c r="Q466" s="45"/>
      <c r="R466" s="45"/>
      <c r="T466" s="42"/>
      <c r="V466" s="45"/>
      <c r="W466" s="45"/>
      <c r="X466" s="45"/>
      <c r="Y466" s="45"/>
      <c r="Z466" s="132"/>
      <c r="AA466" s="45"/>
      <c r="AB466" s="45"/>
      <c r="AC466" s="46"/>
      <c r="AD466" s="46"/>
      <c r="AE466" s="45"/>
      <c r="AF466" s="45"/>
      <c r="AH466" s="51"/>
      <c r="AI466" s="45"/>
      <c r="AJ466" s="45"/>
      <c r="AL466" s="45"/>
      <c r="AM466" s="51"/>
      <c r="AN466" s="51"/>
    </row>
    <row r="467" spans="1:40">
      <c r="F467" s="50"/>
      <c r="H467" s="50"/>
      <c r="I467" s="50"/>
      <c r="J467" s="132"/>
      <c r="K467" s="132"/>
      <c r="L467" s="50"/>
      <c r="M467" s="50"/>
      <c r="N467" s="50"/>
      <c r="O467" s="50"/>
      <c r="P467" s="50"/>
      <c r="Q467" s="50"/>
      <c r="R467" s="50"/>
      <c r="V467" s="50"/>
      <c r="Y467" s="50"/>
      <c r="Z467" s="326"/>
      <c r="AA467" s="50"/>
      <c r="AB467" s="50"/>
      <c r="AC467" s="50"/>
      <c r="AD467" s="50"/>
      <c r="AE467" s="50"/>
      <c r="AF467" s="50"/>
      <c r="AI467" s="50"/>
      <c r="AJ467" s="50"/>
      <c r="AK467" s="111"/>
      <c r="AL467" s="50"/>
    </row>
    <row r="468" spans="1:40">
      <c r="C468" s="42"/>
      <c r="F468" s="45"/>
      <c r="H468" s="45"/>
      <c r="I468" s="45"/>
      <c r="L468" s="45"/>
      <c r="M468" s="45"/>
      <c r="N468" s="46"/>
      <c r="O468" s="46"/>
      <c r="P468" s="164"/>
      <c r="Q468" s="164"/>
      <c r="R468" s="45"/>
      <c r="T468" s="42"/>
      <c r="V468" s="45"/>
      <c r="W468" s="45"/>
      <c r="X468" s="45"/>
      <c r="Y468" s="45"/>
      <c r="Z468" s="336"/>
      <c r="AA468" s="45"/>
      <c r="AB468" s="45"/>
      <c r="AC468" s="46"/>
      <c r="AD468" s="46"/>
      <c r="AE468" s="45"/>
      <c r="AF468" s="45"/>
      <c r="AH468" s="51"/>
      <c r="AI468" s="164"/>
      <c r="AJ468" s="164"/>
      <c r="AL468" s="45"/>
      <c r="AM468" s="51"/>
      <c r="AN468" s="51"/>
    </row>
    <row r="469" spans="1:40">
      <c r="F469" s="50"/>
      <c r="H469" s="50"/>
      <c r="I469" s="50"/>
      <c r="J469" s="326"/>
      <c r="K469" s="326"/>
      <c r="L469" s="50"/>
      <c r="M469" s="50"/>
      <c r="N469" s="50"/>
      <c r="O469" s="50"/>
      <c r="P469" s="50"/>
      <c r="Q469" s="50"/>
      <c r="R469" s="50"/>
      <c r="V469" s="50"/>
      <c r="Y469" s="50"/>
      <c r="Z469" s="326"/>
      <c r="AA469" s="50"/>
      <c r="AB469" s="50"/>
      <c r="AC469" s="50"/>
      <c r="AD469" s="50"/>
      <c r="AE469" s="50"/>
      <c r="AF469" s="50"/>
      <c r="AI469" s="50"/>
      <c r="AJ469" s="50"/>
      <c r="AK469" s="111"/>
      <c r="AL469" s="50"/>
    </row>
    <row r="472" spans="1:40">
      <c r="A472" s="42"/>
    </row>
    <row r="474" spans="1:40">
      <c r="H474" s="42"/>
      <c r="I474" s="42"/>
      <c r="Y474" s="42"/>
    </row>
    <row r="476" spans="1:40">
      <c r="L476" s="42"/>
      <c r="M476" s="42"/>
      <c r="AA476" s="42"/>
      <c r="AB476" s="42"/>
    </row>
    <row r="477" spans="1:40">
      <c r="R477" s="42"/>
      <c r="AK477" s="110"/>
      <c r="AL477" s="42"/>
    </row>
    <row r="478" spans="1:40">
      <c r="R478" s="42"/>
      <c r="AK478" s="110"/>
      <c r="AL478" s="42"/>
    </row>
    <row r="479" spans="1:40">
      <c r="A479" s="42"/>
      <c r="R479" s="42"/>
      <c r="AK479" s="110"/>
      <c r="AL479" s="42"/>
    </row>
    <row r="480" spans="1:40">
      <c r="L480" s="42"/>
      <c r="M480" s="42"/>
      <c r="AA480" s="42"/>
      <c r="AB480" s="42"/>
    </row>
    <row r="481" spans="1:40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107"/>
      <c r="AH481" s="49"/>
      <c r="AI481" s="49"/>
      <c r="AJ481" s="49"/>
      <c r="AK481" s="107"/>
      <c r="AL481" s="49"/>
      <c r="AM481" s="49"/>
      <c r="AN481" s="49"/>
    </row>
    <row r="482" spans="1:40">
      <c r="L482" s="44"/>
      <c r="M482" s="44"/>
      <c r="N482" s="44"/>
      <c r="O482" s="44"/>
      <c r="R482" s="44"/>
      <c r="AA482" s="44"/>
      <c r="AB482" s="44"/>
      <c r="AC482" s="44"/>
      <c r="AD482" s="44"/>
      <c r="AE482" s="44"/>
      <c r="AF482" s="44"/>
      <c r="AG482" s="102"/>
      <c r="AH482" s="44"/>
      <c r="AK482" s="102"/>
      <c r="AL482" s="44"/>
      <c r="AM482" s="44"/>
      <c r="AN482" s="44"/>
    </row>
    <row r="483" spans="1:40">
      <c r="L483" s="44"/>
      <c r="M483" s="44"/>
      <c r="N483" s="44"/>
      <c r="O483" s="44"/>
      <c r="R483" s="44"/>
      <c r="Z483" s="44"/>
      <c r="AA483" s="44"/>
      <c r="AB483" s="44"/>
      <c r="AC483" s="44"/>
      <c r="AD483" s="44"/>
      <c r="AE483" s="44"/>
      <c r="AF483" s="44"/>
      <c r="AG483" s="102"/>
      <c r="AH483" s="44"/>
      <c r="AK483" s="102"/>
      <c r="AL483" s="44"/>
      <c r="AM483" s="44"/>
      <c r="AN483" s="44"/>
    </row>
    <row r="484" spans="1:40">
      <c r="A484" s="44"/>
      <c r="C484" s="44"/>
      <c r="D484" s="44"/>
      <c r="E484" s="44"/>
      <c r="F484" s="44"/>
      <c r="J484" s="44"/>
      <c r="K484" s="44"/>
      <c r="L484" s="44"/>
      <c r="M484" s="44"/>
      <c r="N484" s="44"/>
      <c r="O484" s="44"/>
      <c r="P484" s="44"/>
      <c r="Q484" s="44"/>
      <c r="R484" s="44"/>
      <c r="T484" s="44"/>
      <c r="U484" s="44"/>
      <c r="V484" s="44"/>
      <c r="Z484" s="44"/>
      <c r="AA484" s="44"/>
      <c r="AB484" s="44"/>
      <c r="AC484" s="44"/>
      <c r="AD484" s="44"/>
      <c r="AE484" s="44"/>
      <c r="AF484" s="44"/>
      <c r="AG484" s="102"/>
      <c r="AH484" s="44"/>
      <c r="AI484" s="44"/>
      <c r="AJ484" s="44"/>
      <c r="AK484" s="102"/>
      <c r="AL484" s="44"/>
      <c r="AM484" s="44"/>
      <c r="AN484" s="44"/>
    </row>
    <row r="485" spans="1:40">
      <c r="A485" s="44"/>
      <c r="C485" s="44"/>
      <c r="D485" s="44"/>
      <c r="E485" s="44"/>
      <c r="F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T485" s="44"/>
      <c r="U485" s="44"/>
      <c r="V485" s="44"/>
      <c r="Y485" s="44"/>
      <c r="Z485" s="44"/>
      <c r="AA485" s="44"/>
      <c r="AB485" s="44"/>
      <c r="AC485" s="44"/>
      <c r="AD485" s="44"/>
      <c r="AE485" s="44"/>
      <c r="AF485" s="44"/>
      <c r="AG485" s="102"/>
      <c r="AH485" s="44"/>
      <c r="AI485" s="44"/>
      <c r="AJ485" s="44"/>
      <c r="AK485" s="102"/>
      <c r="AL485" s="44"/>
      <c r="AM485" s="44"/>
      <c r="AN485" s="44"/>
    </row>
    <row r="486" spans="1:40">
      <c r="C486" s="44"/>
      <c r="D486" s="44"/>
      <c r="E486" s="44"/>
      <c r="F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T486" s="44"/>
      <c r="U486" s="44"/>
      <c r="V486" s="44"/>
      <c r="Y486" s="44"/>
      <c r="Z486" s="44"/>
      <c r="AA486" s="44"/>
      <c r="AB486" s="44"/>
      <c r="AC486" s="44"/>
      <c r="AD486" s="44"/>
      <c r="AE486" s="44"/>
      <c r="AF486" s="44"/>
      <c r="AG486" s="102"/>
      <c r="AH486" s="44"/>
      <c r="AI486" s="44"/>
      <c r="AJ486" s="44"/>
      <c r="AK486" s="102"/>
      <c r="AL486" s="44"/>
      <c r="AM486" s="44"/>
      <c r="AN486" s="44"/>
    </row>
    <row r="487" spans="1:40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107"/>
      <c r="AH487" s="49"/>
      <c r="AI487" s="49"/>
      <c r="AJ487" s="49"/>
      <c r="AK487" s="107"/>
      <c r="AL487" s="49"/>
      <c r="AM487" s="49"/>
      <c r="AN487" s="49"/>
    </row>
    <row r="488" spans="1:40"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Y488" s="44"/>
      <c r="Z488" s="44"/>
      <c r="AA488" s="44"/>
      <c r="AB488" s="44"/>
      <c r="AC488" s="44"/>
      <c r="AD488" s="44"/>
      <c r="AE488" s="44"/>
      <c r="AF488" s="44"/>
      <c r="AG488" s="102"/>
      <c r="AH488" s="44"/>
      <c r="AI488" s="44"/>
      <c r="AJ488" s="44"/>
      <c r="AK488" s="102"/>
      <c r="AL488" s="44"/>
      <c r="AM488" s="44"/>
      <c r="AN488" s="44"/>
    </row>
    <row r="489" spans="1:40">
      <c r="C489" s="42"/>
      <c r="D489" s="42"/>
      <c r="E489" s="42"/>
      <c r="T489" s="42"/>
      <c r="U489" s="42"/>
    </row>
    <row r="491" spans="1:40">
      <c r="C491" s="42"/>
      <c r="T491" s="42"/>
    </row>
    <row r="492" spans="1:40">
      <c r="C492" s="42"/>
      <c r="T492" s="42"/>
    </row>
    <row r="493" spans="1:40">
      <c r="C493" s="42"/>
      <c r="F493" s="164"/>
      <c r="H493" s="164"/>
      <c r="I493" s="164"/>
      <c r="J493" s="132"/>
      <c r="K493" s="132"/>
      <c r="L493" s="45"/>
      <c r="M493" s="45"/>
      <c r="N493" s="46"/>
      <c r="O493" s="46"/>
      <c r="P493" s="45"/>
      <c r="Q493" s="45"/>
      <c r="R493" s="45"/>
      <c r="T493" s="42"/>
      <c r="V493" s="45"/>
      <c r="W493" s="45"/>
      <c r="X493" s="45"/>
      <c r="Y493" s="45"/>
      <c r="Z493" s="132"/>
      <c r="AA493" s="45"/>
      <c r="AB493" s="45"/>
      <c r="AC493" s="46"/>
      <c r="AD493" s="46"/>
      <c r="AE493" s="45"/>
      <c r="AF493" s="45"/>
      <c r="AH493" s="51"/>
      <c r="AI493" s="45"/>
      <c r="AJ493" s="45"/>
      <c r="AL493" s="45"/>
      <c r="AM493" s="51"/>
      <c r="AN493" s="51"/>
    </row>
    <row r="494" spans="1:40">
      <c r="C494" s="42"/>
      <c r="F494" s="45"/>
      <c r="H494" s="45"/>
      <c r="I494" s="45"/>
      <c r="J494" s="56"/>
      <c r="K494" s="56"/>
      <c r="L494" s="45"/>
      <c r="M494" s="45"/>
      <c r="N494" s="46"/>
      <c r="O494" s="46"/>
      <c r="P494" s="45"/>
      <c r="Q494" s="45"/>
      <c r="R494" s="45"/>
      <c r="T494" s="42"/>
      <c r="V494" s="45"/>
      <c r="W494" s="45"/>
      <c r="X494" s="45"/>
      <c r="Y494" s="45"/>
      <c r="Z494" s="56"/>
      <c r="AA494" s="45"/>
      <c r="AB494" s="45"/>
      <c r="AC494" s="46"/>
      <c r="AD494" s="46"/>
      <c r="AE494" s="45"/>
      <c r="AF494" s="45"/>
      <c r="AH494" s="51"/>
      <c r="AI494" s="45"/>
      <c r="AJ494" s="45"/>
      <c r="AL494" s="45"/>
      <c r="AM494" s="51"/>
      <c r="AN494" s="51"/>
    </row>
    <row r="495" spans="1:40">
      <c r="C495" s="42"/>
      <c r="F495" s="45"/>
      <c r="H495" s="45"/>
      <c r="I495" s="45"/>
      <c r="J495" s="56"/>
      <c r="K495" s="56"/>
      <c r="L495" s="45"/>
      <c r="M495" s="45"/>
      <c r="N495" s="46"/>
      <c r="O495" s="46"/>
      <c r="P495" s="45"/>
      <c r="Q495" s="45"/>
      <c r="R495" s="45"/>
      <c r="T495" s="42"/>
      <c r="V495" s="45"/>
      <c r="W495" s="45"/>
      <c r="X495" s="45"/>
      <c r="Y495" s="45"/>
      <c r="Z495" s="56"/>
      <c r="AA495" s="45"/>
      <c r="AB495" s="45"/>
      <c r="AC495" s="46"/>
      <c r="AD495" s="46"/>
      <c r="AE495" s="45"/>
      <c r="AF495" s="45"/>
      <c r="AH495" s="51"/>
      <c r="AI495" s="45"/>
      <c r="AJ495" s="45"/>
      <c r="AL495" s="45"/>
      <c r="AM495" s="51"/>
      <c r="AN495" s="51"/>
    </row>
    <row r="496" spans="1:40">
      <c r="C496" s="42"/>
      <c r="F496" s="45"/>
      <c r="H496" s="45"/>
      <c r="I496" s="45"/>
      <c r="J496" s="56"/>
      <c r="K496" s="56"/>
      <c r="T496" s="42"/>
      <c r="V496" s="45"/>
      <c r="Z496" s="56"/>
    </row>
    <row r="497" spans="3:40">
      <c r="C497" s="42"/>
      <c r="F497" s="164"/>
      <c r="H497" s="164"/>
      <c r="I497" s="164"/>
      <c r="J497" s="132"/>
      <c r="K497" s="132"/>
      <c r="L497" s="45"/>
      <c r="M497" s="45"/>
      <c r="N497" s="46"/>
      <c r="O497" s="46"/>
      <c r="P497" s="45"/>
      <c r="Q497" s="45"/>
      <c r="R497" s="45"/>
      <c r="T497" s="42"/>
      <c r="V497" s="45"/>
      <c r="W497" s="45"/>
      <c r="X497" s="45"/>
      <c r="Y497" s="45"/>
      <c r="Z497" s="132"/>
      <c r="AA497" s="45"/>
      <c r="AB497" s="45"/>
      <c r="AC497" s="46"/>
      <c r="AD497" s="46"/>
      <c r="AE497" s="45"/>
      <c r="AF497" s="45"/>
      <c r="AH497" s="51"/>
      <c r="AI497" s="45"/>
      <c r="AJ497" s="45"/>
      <c r="AL497" s="45"/>
      <c r="AM497" s="51"/>
      <c r="AN497" s="51"/>
    </row>
    <row r="498" spans="3:40">
      <c r="C498" s="42"/>
      <c r="F498" s="45"/>
      <c r="H498" s="45"/>
      <c r="I498" s="45"/>
      <c r="J498" s="56"/>
      <c r="K498" s="56"/>
      <c r="T498" s="42"/>
      <c r="V498" s="45"/>
      <c r="W498" s="45"/>
      <c r="X498" s="45"/>
      <c r="Y498" s="45"/>
      <c r="Z498" s="56"/>
      <c r="AC498" s="46"/>
      <c r="AD498" s="46"/>
      <c r="AE498" s="45"/>
      <c r="AF498" s="45"/>
      <c r="AH498" s="51"/>
      <c r="AI498" s="45"/>
      <c r="AJ498" s="45"/>
      <c r="AL498" s="45"/>
      <c r="AM498" s="51"/>
      <c r="AN498" s="51"/>
    </row>
    <row r="499" spans="3:40">
      <c r="C499" s="42"/>
      <c r="F499" s="164"/>
      <c r="H499" s="164"/>
      <c r="I499" s="164"/>
      <c r="J499" s="132"/>
      <c r="K499" s="132"/>
      <c r="L499" s="45"/>
      <c r="M499" s="45"/>
      <c r="N499" s="46"/>
      <c r="O499" s="46"/>
      <c r="P499" s="45"/>
      <c r="Q499" s="45"/>
      <c r="R499" s="45"/>
      <c r="T499" s="42"/>
      <c r="V499" s="45"/>
      <c r="W499" s="45"/>
      <c r="X499" s="45"/>
      <c r="Y499" s="45"/>
      <c r="Z499" s="132"/>
      <c r="AA499" s="45"/>
      <c r="AB499" s="45"/>
      <c r="AC499" s="46"/>
      <c r="AD499" s="46"/>
      <c r="AE499" s="45"/>
      <c r="AF499" s="45"/>
      <c r="AH499" s="51"/>
      <c r="AI499" s="45"/>
      <c r="AJ499" s="45"/>
      <c r="AL499" s="45"/>
      <c r="AM499" s="51"/>
      <c r="AN499" s="51"/>
    </row>
    <row r="500" spans="3:40">
      <c r="C500" s="42"/>
      <c r="F500" s="45"/>
      <c r="H500" s="45"/>
      <c r="I500" s="45"/>
      <c r="J500" s="56"/>
      <c r="K500" s="56"/>
      <c r="L500" s="45"/>
      <c r="M500" s="45"/>
      <c r="N500" s="46"/>
      <c r="O500" s="46"/>
      <c r="P500" s="45"/>
      <c r="Q500" s="45"/>
      <c r="R500" s="45"/>
      <c r="T500" s="42"/>
      <c r="V500" s="45"/>
      <c r="W500" s="45"/>
      <c r="X500" s="45"/>
      <c r="Y500" s="45"/>
      <c r="Z500" s="56"/>
      <c r="AA500" s="45"/>
      <c r="AB500" s="45"/>
      <c r="AC500" s="46"/>
      <c r="AD500" s="46"/>
      <c r="AE500" s="45"/>
      <c r="AF500" s="45"/>
      <c r="AH500" s="51"/>
      <c r="AI500" s="45"/>
      <c r="AJ500" s="45"/>
      <c r="AL500" s="45"/>
      <c r="AM500" s="51"/>
      <c r="AN500" s="51"/>
    </row>
    <row r="501" spans="3:40">
      <c r="F501" s="45"/>
      <c r="H501" s="45"/>
      <c r="I501" s="45"/>
      <c r="J501" s="56"/>
      <c r="K501" s="56"/>
      <c r="Z501" s="56"/>
    </row>
    <row r="502" spans="3:40">
      <c r="C502" s="42"/>
      <c r="F502" s="45"/>
      <c r="H502" s="164"/>
      <c r="I502" s="164"/>
      <c r="J502" s="132"/>
      <c r="K502" s="132"/>
      <c r="L502" s="45"/>
      <c r="M502" s="45"/>
      <c r="N502" s="46"/>
      <c r="O502" s="46"/>
      <c r="P502" s="45"/>
      <c r="Q502" s="45"/>
      <c r="R502" s="45"/>
      <c r="T502" s="42"/>
      <c r="V502" s="45"/>
      <c r="W502" s="45"/>
      <c r="X502" s="45"/>
      <c r="Y502" s="45"/>
      <c r="Z502" s="132"/>
      <c r="AA502" s="45"/>
      <c r="AB502" s="45"/>
      <c r="AC502" s="46"/>
      <c r="AD502" s="46"/>
      <c r="AE502" s="45"/>
      <c r="AF502" s="45"/>
      <c r="AH502" s="51"/>
      <c r="AI502" s="45"/>
      <c r="AJ502" s="45"/>
      <c r="AL502" s="45"/>
      <c r="AM502" s="51"/>
      <c r="AN502" s="51"/>
    </row>
    <row r="503" spans="3:40">
      <c r="F503" s="50"/>
      <c r="H503" s="50"/>
      <c r="I503" s="50"/>
      <c r="J503" s="132"/>
      <c r="K503" s="132"/>
      <c r="L503" s="50"/>
      <c r="M503" s="50"/>
      <c r="N503" s="50"/>
      <c r="O503" s="50"/>
      <c r="P503" s="50"/>
      <c r="Q503" s="50"/>
      <c r="R503" s="50"/>
      <c r="V503" s="50"/>
      <c r="Y503" s="50"/>
      <c r="Z503" s="132"/>
      <c r="AA503" s="50"/>
      <c r="AB503" s="50"/>
      <c r="AC503" s="50"/>
      <c r="AD503" s="50"/>
      <c r="AE503" s="50"/>
      <c r="AF503" s="50"/>
      <c r="AI503" s="50"/>
      <c r="AJ503" s="50"/>
      <c r="AK503" s="111"/>
      <c r="AL503" s="50"/>
    </row>
    <row r="504" spans="3:40">
      <c r="C504" s="42"/>
      <c r="F504" s="45"/>
      <c r="H504" s="45"/>
      <c r="I504" s="45"/>
      <c r="J504" s="56"/>
      <c r="K504" s="56"/>
      <c r="L504" s="45"/>
      <c r="M504" s="45"/>
      <c r="P504" s="45"/>
      <c r="Q504" s="45"/>
      <c r="R504" s="45"/>
      <c r="T504" s="42"/>
      <c r="V504" s="45"/>
      <c r="Y504" s="45"/>
      <c r="Z504" s="56"/>
      <c r="AA504" s="45"/>
      <c r="AB504" s="45"/>
      <c r="AC504" s="51"/>
      <c r="AD504" s="51"/>
      <c r="AE504" s="45"/>
      <c r="AF504" s="45"/>
      <c r="AH504" s="51"/>
      <c r="AI504" s="45"/>
      <c r="AJ504" s="45"/>
      <c r="AL504" s="45"/>
      <c r="AM504" s="51"/>
      <c r="AN504" s="51"/>
    </row>
    <row r="505" spans="3:40">
      <c r="F505" s="50"/>
      <c r="H505" s="50"/>
      <c r="I505" s="50"/>
      <c r="J505" s="132"/>
      <c r="K505" s="132"/>
      <c r="L505" s="50"/>
      <c r="M505" s="50"/>
      <c r="N505" s="50"/>
      <c r="O505" s="50"/>
      <c r="P505" s="50"/>
      <c r="Q505" s="50"/>
      <c r="R505" s="50"/>
      <c r="V505" s="50"/>
      <c r="Y505" s="50"/>
      <c r="Z505" s="132"/>
      <c r="AA505" s="50"/>
      <c r="AB505" s="50"/>
      <c r="AC505" s="50"/>
      <c r="AD505" s="50"/>
      <c r="AE505" s="50"/>
      <c r="AF505" s="50"/>
      <c r="AI505" s="50"/>
      <c r="AJ505" s="50"/>
      <c r="AK505" s="111"/>
      <c r="AL505" s="50"/>
    </row>
    <row r="506" spans="3:40">
      <c r="J506" s="56"/>
      <c r="K506" s="56"/>
      <c r="Z506" s="56"/>
    </row>
    <row r="507" spans="3:40">
      <c r="C507" s="42"/>
      <c r="J507" s="56"/>
      <c r="K507" s="56"/>
      <c r="T507" s="42"/>
      <c r="Z507" s="56"/>
    </row>
    <row r="508" spans="3:40">
      <c r="C508" s="42"/>
      <c r="J508" s="56"/>
      <c r="K508" s="56"/>
      <c r="T508" s="42"/>
      <c r="Z508" s="56"/>
    </row>
    <row r="509" spans="3:40">
      <c r="C509" s="42"/>
      <c r="F509" s="164"/>
      <c r="H509" s="164"/>
      <c r="I509" s="164"/>
      <c r="J509" s="132"/>
      <c r="K509" s="132"/>
      <c r="L509" s="45"/>
      <c r="M509" s="45"/>
      <c r="N509" s="46"/>
      <c r="O509" s="46"/>
      <c r="P509" s="45"/>
      <c r="Q509" s="45"/>
      <c r="R509" s="45"/>
      <c r="T509" s="42"/>
      <c r="V509" s="45"/>
      <c r="W509" s="45"/>
      <c r="X509" s="45"/>
      <c r="Y509" s="45"/>
      <c r="Z509" s="132"/>
      <c r="AA509" s="45"/>
      <c r="AB509" s="45"/>
      <c r="AC509" s="46"/>
      <c r="AD509" s="46"/>
      <c r="AE509" s="45"/>
      <c r="AF509" s="45"/>
      <c r="AH509" s="51"/>
      <c r="AI509" s="45"/>
      <c r="AJ509" s="45"/>
      <c r="AL509" s="45"/>
      <c r="AM509" s="51"/>
      <c r="AN509" s="51"/>
    </row>
    <row r="510" spans="3:40">
      <c r="C510" s="42"/>
      <c r="J510" s="56"/>
      <c r="K510" s="56"/>
      <c r="T510" s="42"/>
      <c r="Z510" s="56"/>
    </row>
    <row r="511" spans="3:40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51"/>
      <c r="AN511" s="51"/>
    </row>
    <row r="512" spans="3:40">
      <c r="F512" s="50"/>
      <c r="H512" s="50"/>
      <c r="I512" s="50"/>
      <c r="J512" s="132"/>
      <c r="K512" s="132"/>
      <c r="L512" s="50"/>
      <c r="M512" s="50"/>
      <c r="N512" s="50"/>
      <c r="O512" s="50"/>
      <c r="P512" s="50"/>
      <c r="Q512" s="50"/>
      <c r="R512" s="50"/>
      <c r="V512" s="50"/>
      <c r="Y512" s="50"/>
      <c r="Z512" s="132"/>
      <c r="AA512" s="50"/>
      <c r="AB512" s="50"/>
      <c r="AC512" s="50"/>
      <c r="AD512" s="50"/>
      <c r="AE512" s="50"/>
      <c r="AF512" s="50"/>
      <c r="AI512" s="50"/>
      <c r="AJ512" s="50"/>
      <c r="AK512" s="111"/>
      <c r="AL512" s="50"/>
    </row>
    <row r="513" spans="1:40">
      <c r="C513" s="42"/>
      <c r="F513" s="45"/>
      <c r="H513" s="45"/>
      <c r="I513" s="45"/>
      <c r="J513" s="56"/>
      <c r="K513" s="56"/>
      <c r="L513" s="45"/>
      <c r="M513" s="45"/>
      <c r="N513" s="51"/>
      <c r="O513" s="51"/>
      <c r="P513" s="45"/>
      <c r="Q513" s="45"/>
      <c r="R513" s="45"/>
      <c r="T513" s="42"/>
      <c r="V513" s="45"/>
      <c r="Y513" s="45"/>
      <c r="Z513" s="56"/>
      <c r="AA513" s="45"/>
      <c r="AB513" s="45"/>
      <c r="AC513" s="51"/>
      <c r="AD513" s="51"/>
      <c r="AE513" s="45"/>
      <c r="AF513" s="45"/>
      <c r="AH513" s="51"/>
      <c r="AI513" s="45"/>
      <c r="AJ513" s="45"/>
      <c r="AL513" s="45"/>
      <c r="AM513" s="51"/>
      <c r="AN513" s="51"/>
    </row>
    <row r="514" spans="1:40">
      <c r="F514" s="50"/>
      <c r="H514" s="50"/>
      <c r="I514" s="50"/>
      <c r="J514" s="132"/>
      <c r="K514" s="132"/>
      <c r="L514" s="50"/>
      <c r="M514" s="50"/>
      <c r="N514" s="50"/>
      <c r="O514" s="50"/>
      <c r="P514" s="50"/>
      <c r="Q514" s="50"/>
      <c r="R514" s="50"/>
      <c r="V514" s="50"/>
      <c r="Y514" s="50"/>
      <c r="Z514" s="326"/>
      <c r="AA514" s="50"/>
      <c r="AB514" s="50"/>
      <c r="AC514" s="50"/>
      <c r="AD514" s="50"/>
      <c r="AE514" s="50"/>
      <c r="AF514" s="50"/>
      <c r="AI514" s="50"/>
      <c r="AJ514" s="50"/>
      <c r="AK514" s="111"/>
      <c r="AL514" s="50"/>
    </row>
    <row r="515" spans="1:40">
      <c r="J515" s="56"/>
      <c r="K515" s="56"/>
    </row>
    <row r="516" spans="1:40">
      <c r="C516" s="42"/>
      <c r="F516" s="45"/>
      <c r="H516" s="45"/>
      <c r="I516" s="45"/>
      <c r="J516" s="56"/>
      <c r="K516" s="56"/>
      <c r="L516" s="45"/>
      <c r="M516" s="45"/>
      <c r="N516" s="46"/>
      <c r="O516" s="46"/>
      <c r="P516" s="164"/>
      <c r="Q516" s="164"/>
      <c r="R516" s="45"/>
      <c r="T516" s="42"/>
      <c r="V516" s="45"/>
      <c r="Y516" s="45"/>
      <c r="AA516" s="45"/>
      <c r="AB516" s="45"/>
      <c r="AC516" s="51"/>
      <c r="AD516" s="51"/>
      <c r="AE516" s="45"/>
      <c r="AF516" s="45"/>
      <c r="AH516" s="51"/>
      <c r="AI516" s="164"/>
      <c r="AJ516" s="164"/>
      <c r="AL516" s="45"/>
      <c r="AM516" s="51"/>
      <c r="AN516" s="51"/>
    </row>
    <row r="517" spans="1:40">
      <c r="F517" s="50"/>
      <c r="H517" s="50"/>
      <c r="I517" s="50"/>
      <c r="J517" s="132"/>
      <c r="K517" s="132"/>
      <c r="L517" s="50"/>
      <c r="M517" s="50"/>
      <c r="N517" s="50"/>
      <c r="O517" s="50"/>
      <c r="P517" s="50"/>
      <c r="Q517" s="50"/>
      <c r="R517" s="50"/>
      <c r="V517" s="50"/>
      <c r="Y517" s="50"/>
      <c r="Z517" s="326"/>
      <c r="AA517" s="50"/>
      <c r="AB517" s="50"/>
      <c r="AC517" s="50"/>
      <c r="AD517" s="50"/>
      <c r="AE517" s="50"/>
      <c r="AF517" s="50"/>
      <c r="AI517" s="50"/>
      <c r="AJ517" s="50"/>
      <c r="AK517" s="111"/>
      <c r="AL517" s="50"/>
    </row>
    <row r="520" spans="1:40">
      <c r="A520" s="42"/>
    </row>
    <row r="522" spans="1:40">
      <c r="H522" s="42"/>
      <c r="I522" s="42"/>
      <c r="Y522" s="42"/>
    </row>
    <row r="524" spans="1:40">
      <c r="L524" s="42"/>
      <c r="M524" s="42"/>
      <c r="AA524" s="42"/>
      <c r="AB524" s="42"/>
    </row>
    <row r="525" spans="1:40">
      <c r="R525" s="42"/>
      <c r="AK525" s="110"/>
      <c r="AL525" s="42"/>
    </row>
    <row r="526" spans="1:40">
      <c r="R526" s="42"/>
      <c r="AK526" s="110"/>
      <c r="AL526" s="42"/>
    </row>
    <row r="527" spans="1:40">
      <c r="A527" s="42"/>
      <c r="R527" s="42"/>
      <c r="AK527" s="110"/>
      <c r="AL527" s="42"/>
    </row>
    <row r="528" spans="1:40">
      <c r="L528" s="42"/>
      <c r="M528" s="42"/>
      <c r="AA528" s="42"/>
      <c r="AB528" s="42"/>
    </row>
    <row r="529" spans="1:40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107"/>
      <c r="AH529" s="49"/>
      <c r="AI529" s="49"/>
      <c r="AJ529" s="49"/>
      <c r="AK529" s="107"/>
      <c r="AL529" s="49"/>
      <c r="AM529" s="49"/>
      <c r="AN529" s="49"/>
    </row>
    <row r="530" spans="1:40">
      <c r="L530" s="44"/>
      <c r="M530" s="44"/>
      <c r="N530" s="44"/>
      <c r="O530" s="44"/>
      <c r="R530" s="44"/>
      <c r="AA530" s="44"/>
      <c r="AB530" s="44"/>
      <c r="AC530" s="44"/>
      <c r="AD530" s="44"/>
      <c r="AE530" s="44"/>
      <c r="AF530" s="44"/>
      <c r="AG530" s="102"/>
      <c r="AH530" s="44"/>
      <c r="AK530" s="102"/>
      <c r="AL530" s="44"/>
      <c r="AM530" s="44"/>
      <c r="AN530" s="44"/>
    </row>
    <row r="531" spans="1:40">
      <c r="L531" s="44"/>
      <c r="M531" s="44"/>
      <c r="N531" s="44"/>
      <c r="O531" s="44"/>
      <c r="R531" s="44"/>
      <c r="Z531" s="44"/>
      <c r="AA531" s="44"/>
      <c r="AB531" s="44"/>
      <c r="AC531" s="44"/>
      <c r="AD531" s="44"/>
      <c r="AE531" s="44"/>
      <c r="AF531" s="44"/>
      <c r="AG531" s="102"/>
      <c r="AH531" s="44"/>
      <c r="AK531" s="102"/>
      <c r="AL531" s="44"/>
      <c r="AM531" s="44"/>
      <c r="AN531" s="44"/>
    </row>
    <row r="532" spans="1:40">
      <c r="A532" s="44"/>
      <c r="C532" s="44"/>
      <c r="D532" s="44"/>
      <c r="E532" s="44"/>
      <c r="F532" s="44"/>
      <c r="J532" s="44"/>
      <c r="K532" s="44"/>
      <c r="L532" s="44"/>
      <c r="M532" s="44"/>
      <c r="N532" s="44"/>
      <c r="O532" s="44"/>
      <c r="P532" s="44"/>
      <c r="Q532" s="44"/>
      <c r="R532" s="44"/>
      <c r="T532" s="44"/>
      <c r="U532" s="44"/>
      <c r="V532" s="44"/>
      <c r="Z532" s="44"/>
      <c r="AA532" s="44"/>
      <c r="AB532" s="44"/>
      <c r="AC532" s="44"/>
      <c r="AD532" s="44"/>
      <c r="AE532" s="44"/>
      <c r="AF532" s="44"/>
      <c r="AG532" s="102"/>
      <c r="AH532" s="44"/>
      <c r="AI532" s="44"/>
      <c r="AJ532" s="44"/>
      <c r="AK532" s="102"/>
      <c r="AL532" s="44"/>
      <c r="AM532" s="44"/>
      <c r="AN532" s="44"/>
    </row>
    <row r="533" spans="1:40">
      <c r="A533" s="44"/>
      <c r="C533" s="44"/>
      <c r="D533" s="44"/>
      <c r="E533" s="44"/>
      <c r="F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T533" s="44"/>
      <c r="U533" s="44"/>
      <c r="V533" s="44"/>
      <c r="Y533" s="44"/>
      <c r="Z533" s="44"/>
      <c r="AA533" s="44"/>
      <c r="AB533" s="44"/>
      <c r="AC533" s="44"/>
      <c r="AD533" s="44"/>
      <c r="AE533" s="44"/>
      <c r="AF533" s="44"/>
      <c r="AG533" s="102"/>
      <c r="AH533" s="44"/>
      <c r="AI533" s="44"/>
      <c r="AJ533" s="44"/>
      <c r="AK533" s="102"/>
      <c r="AL533" s="44"/>
      <c r="AM533" s="44"/>
      <c r="AN533" s="44"/>
    </row>
    <row r="534" spans="1:40">
      <c r="C534" s="44"/>
      <c r="D534" s="44"/>
      <c r="E534" s="44"/>
      <c r="F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T534" s="44"/>
      <c r="U534" s="44"/>
      <c r="V534" s="44"/>
      <c r="Y534" s="44"/>
      <c r="Z534" s="44"/>
      <c r="AA534" s="44"/>
      <c r="AB534" s="44"/>
      <c r="AC534" s="44"/>
      <c r="AD534" s="44"/>
      <c r="AE534" s="44"/>
      <c r="AF534" s="44"/>
      <c r="AG534" s="102"/>
      <c r="AH534" s="44"/>
      <c r="AI534" s="44"/>
      <c r="AJ534" s="44"/>
      <c r="AK534" s="102"/>
      <c r="AL534" s="44"/>
      <c r="AM534" s="44"/>
      <c r="AN534" s="44"/>
    </row>
    <row r="535" spans="1:40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107"/>
      <c r="AH535" s="49"/>
      <c r="AI535" s="49"/>
      <c r="AJ535" s="49"/>
      <c r="AK535" s="107"/>
      <c r="AL535" s="49"/>
      <c r="AM535" s="49"/>
      <c r="AN535" s="49"/>
    </row>
    <row r="536" spans="1:40"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Y536" s="44"/>
      <c r="Z536" s="44"/>
      <c r="AA536" s="44"/>
      <c r="AB536" s="44"/>
      <c r="AC536" s="44"/>
      <c r="AD536" s="44"/>
      <c r="AE536" s="44"/>
      <c r="AF536" s="44"/>
      <c r="AG536" s="102"/>
      <c r="AH536" s="44"/>
      <c r="AI536" s="44"/>
      <c r="AJ536" s="44"/>
      <c r="AK536" s="102"/>
      <c r="AL536" s="44"/>
      <c r="AM536" s="44"/>
      <c r="AN536" s="44"/>
    </row>
    <row r="537" spans="1:40">
      <c r="C537" s="42"/>
      <c r="D537" s="42"/>
      <c r="E537" s="42"/>
      <c r="T537" s="42"/>
      <c r="U537" s="42"/>
    </row>
    <row r="539" spans="1:40">
      <c r="C539" s="42"/>
      <c r="D539" s="42"/>
      <c r="E539" s="42"/>
      <c r="T539" s="42"/>
      <c r="U539" s="42"/>
    </row>
    <row r="540" spans="1:40">
      <c r="C540" s="42"/>
      <c r="T540" s="42"/>
    </row>
    <row r="541" spans="1:40">
      <c r="C541" s="42"/>
      <c r="T541" s="42"/>
    </row>
    <row r="542" spans="1:40">
      <c r="C542" s="42"/>
      <c r="F542" s="164"/>
      <c r="H542" s="164"/>
      <c r="I542" s="164"/>
      <c r="J542" s="132"/>
      <c r="K542" s="132"/>
      <c r="L542" s="45"/>
      <c r="M542" s="45"/>
      <c r="N542" s="46"/>
      <c r="O542" s="46"/>
      <c r="P542" s="45"/>
      <c r="Q542" s="45"/>
      <c r="R542" s="45"/>
      <c r="T542" s="42"/>
      <c r="V542" s="45"/>
      <c r="W542" s="45"/>
      <c r="X542" s="45"/>
      <c r="Y542" s="45"/>
      <c r="Z542" s="132"/>
      <c r="AA542" s="45"/>
      <c r="AB542" s="45"/>
      <c r="AC542" s="46"/>
      <c r="AD542" s="46"/>
      <c r="AE542" s="45"/>
      <c r="AF542" s="45"/>
      <c r="AH542" s="51"/>
      <c r="AI542" s="45"/>
      <c r="AJ542" s="45"/>
      <c r="AL542" s="45"/>
      <c r="AM542" s="46"/>
      <c r="AN542" s="46"/>
    </row>
    <row r="543" spans="1:40">
      <c r="C543" s="42"/>
      <c r="J543" s="56"/>
      <c r="K543" s="56"/>
      <c r="T543" s="42"/>
      <c r="V543" s="45"/>
      <c r="W543" s="45"/>
      <c r="X543" s="45"/>
      <c r="Y543" s="45"/>
      <c r="Z543" s="132"/>
    </row>
    <row r="544" spans="1:40">
      <c r="C544" s="42"/>
      <c r="F544" s="164"/>
      <c r="H544" s="164"/>
      <c r="I544" s="164"/>
      <c r="J544" s="132"/>
      <c r="K544" s="132"/>
      <c r="L544" s="45"/>
      <c r="M544" s="45"/>
      <c r="N544" s="46"/>
      <c r="O544" s="46"/>
      <c r="P544" s="45"/>
      <c r="Q544" s="45"/>
      <c r="R544" s="45"/>
      <c r="T544" s="42"/>
      <c r="V544" s="45"/>
      <c r="W544" s="45"/>
      <c r="X544" s="45"/>
      <c r="Y544" s="45"/>
      <c r="Z544" s="132"/>
      <c r="AA544" s="45"/>
      <c r="AB544" s="45"/>
      <c r="AC544" s="46"/>
      <c r="AD544" s="46"/>
      <c r="AE544" s="45"/>
      <c r="AF544" s="45"/>
      <c r="AH544" s="51"/>
      <c r="AI544" s="45"/>
      <c r="AJ544" s="45"/>
      <c r="AL544" s="45"/>
      <c r="AM544" s="46"/>
      <c r="AN544" s="46"/>
    </row>
    <row r="545" spans="3:40">
      <c r="C545" s="42"/>
      <c r="J545" s="56"/>
      <c r="K545" s="56"/>
      <c r="T545" s="42"/>
      <c r="V545" s="45"/>
      <c r="W545" s="45"/>
      <c r="X545" s="45"/>
      <c r="Y545" s="45"/>
      <c r="Z545" s="132"/>
    </row>
    <row r="546" spans="3:40">
      <c r="C546" s="42"/>
      <c r="F546" s="164"/>
      <c r="H546" s="164"/>
      <c r="I546" s="164"/>
      <c r="J546" s="132"/>
      <c r="K546" s="132"/>
      <c r="L546" s="45"/>
      <c r="M546" s="45"/>
      <c r="N546" s="46"/>
      <c r="O546" s="46"/>
      <c r="P546" s="45"/>
      <c r="Q546" s="45"/>
      <c r="R546" s="45"/>
      <c r="T546" s="42"/>
      <c r="V546" s="45"/>
      <c r="W546" s="45"/>
      <c r="X546" s="45"/>
      <c r="Y546" s="45"/>
      <c r="Z546" s="132"/>
      <c r="AA546" s="45"/>
      <c r="AB546" s="45"/>
      <c r="AC546" s="46"/>
      <c r="AD546" s="46"/>
      <c r="AE546" s="45"/>
      <c r="AF546" s="45"/>
      <c r="AH546" s="51"/>
      <c r="AI546" s="45"/>
      <c r="AJ546" s="45"/>
      <c r="AL546" s="45"/>
      <c r="AM546" s="46"/>
      <c r="AN546" s="46"/>
    </row>
    <row r="547" spans="3:40">
      <c r="C547" s="42"/>
      <c r="J547" s="56"/>
      <c r="K547" s="56"/>
      <c r="T547" s="42"/>
      <c r="V547" s="45"/>
      <c r="W547" s="45"/>
      <c r="X547" s="45"/>
      <c r="Y547" s="45"/>
      <c r="Z547" s="132"/>
    </row>
    <row r="548" spans="3:40">
      <c r="C548" s="42"/>
      <c r="F548" s="164"/>
      <c r="H548" s="164"/>
      <c r="I548" s="164"/>
      <c r="J548" s="132"/>
      <c r="K548" s="132"/>
      <c r="L548" s="45"/>
      <c r="M548" s="45"/>
      <c r="N548" s="46"/>
      <c r="O548" s="46"/>
      <c r="P548" s="45"/>
      <c r="Q548" s="45"/>
      <c r="R548" s="45"/>
      <c r="T548" s="42"/>
      <c r="V548" s="45"/>
      <c r="W548" s="45"/>
      <c r="X548" s="45"/>
      <c r="Y548" s="45"/>
      <c r="Z548" s="132"/>
      <c r="AA548" s="45"/>
      <c r="AB548" s="45"/>
      <c r="AC548" s="46"/>
      <c r="AD548" s="46"/>
      <c r="AE548" s="45"/>
      <c r="AF548" s="45"/>
      <c r="AH548" s="51"/>
      <c r="AI548" s="45"/>
      <c r="AJ548" s="45"/>
      <c r="AL548" s="45"/>
      <c r="AM548" s="46"/>
      <c r="AN548" s="46"/>
    </row>
    <row r="549" spans="3:40">
      <c r="C549" s="42"/>
      <c r="J549" s="56"/>
      <c r="K549" s="56"/>
      <c r="T549" s="42"/>
      <c r="V549" s="45"/>
      <c r="W549" s="45"/>
      <c r="X549" s="45"/>
      <c r="Y549" s="45"/>
      <c r="Z549" s="132"/>
    </row>
    <row r="550" spans="3:40">
      <c r="C550" s="42"/>
      <c r="F550" s="164"/>
      <c r="H550" s="164"/>
      <c r="I550" s="164"/>
      <c r="J550" s="132"/>
      <c r="K550" s="132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132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46"/>
      <c r="AN550" s="46"/>
    </row>
    <row r="551" spans="3:40">
      <c r="C551" s="42"/>
      <c r="J551" s="56"/>
      <c r="K551" s="56"/>
      <c r="T551" s="42"/>
      <c r="V551" s="45"/>
      <c r="W551" s="45"/>
      <c r="X551" s="45"/>
      <c r="Y551" s="45"/>
      <c r="Z551" s="132"/>
    </row>
    <row r="552" spans="3:40">
      <c r="C552" s="42"/>
      <c r="F552" s="164"/>
      <c r="H552" s="164"/>
      <c r="I552" s="164"/>
      <c r="J552" s="132"/>
      <c r="K552" s="132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132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46"/>
      <c r="AN552" s="46"/>
    </row>
    <row r="553" spans="3:40">
      <c r="F553" s="50"/>
      <c r="H553" s="50"/>
      <c r="I553" s="50"/>
      <c r="J553" s="132"/>
      <c r="K553" s="132"/>
      <c r="L553" s="50"/>
      <c r="M553" s="50"/>
      <c r="N553" s="50"/>
      <c r="O553" s="50"/>
      <c r="P553" s="50"/>
      <c r="Q553" s="50"/>
      <c r="R553" s="50"/>
      <c r="V553" s="50"/>
      <c r="Y553" s="50"/>
      <c r="Z553" s="132"/>
      <c r="AA553" s="50"/>
      <c r="AB553" s="50"/>
      <c r="AC553" s="50"/>
      <c r="AD553" s="50"/>
      <c r="AE553" s="50"/>
      <c r="AF553" s="50"/>
      <c r="AI553" s="50"/>
      <c r="AJ553" s="50"/>
      <c r="AK553" s="111"/>
      <c r="AL553" s="50"/>
      <c r="AM553" s="46"/>
      <c r="AN553" s="46"/>
    </row>
    <row r="554" spans="3:40">
      <c r="C554" s="42"/>
      <c r="F554" s="45"/>
      <c r="H554" s="45"/>
      <c r="I554" s="45"/>
      <c r="J554" s="56"/>
      <c r="K554" s="56"/>
      <c r="L554" s="45"/>
      <c r="M554" s="45"/>
      <c r="N554" s="46"/>
      <c r="O554" s="46"/>
      <c r="P554" s="164"/>
      <c r="Q554" s="164"/>
      <c r="R554" s="45"/>
      <c r="T554" s="42"/>
      <c r="V554" s="45"/>
      <c r="W554" s="45"/>
      <c r="X554" s="45"/>
      <c r="Y554" s="45"/>
      <c r="Z554" s="132"/>
      <c r="AA554" s="45"/>
      <c r="AB554" s="45"/>
      <c r="AC554" s="46"/>
      <c r="AD554" s="46"/>
      <c r="AE554" s="45"/>
      <c r="AF554" s="45"/>
      <c r="AH554" s="51"/>
      <c r="AI554" s="164"/>
      <c r="AJ554" s="164"/>
      <c r="AL554" s="45"/>
      <c r="AM554" s="46"/>
      <c r="AN554" s="46"/>
    </row>
    <row r="555" spans="3:40">
      <c r="F555" s="50"/>
      <c r="H555" s="50"/>
      <c r="I555" s="50"/>
      <c r="J555" s="132"/>
      <c r="K555" s="132"/>
      <c r="L555" s="50"/>
      <c r="M555" s="50"/>
      <c r="N555" s="50"/>
      <c r="O555" s="50"/>
      <c r="P555" s="50"/>
      <c r="Q555" s="50"/>
      <c r="R555" s="50"/>
      <c r="V555" s="50"/>
      <c r="Y555" s="50"/>
      <c r="Z555" s="132"/>
      <c r="AA555" s="50"/>
      <c r="AB555" s="50"/>
      <c r="AC555" s="50"/>
      <c r="AD555" s="50"/>
      <c r="AE555" s="50"/>
      <c r="AF555" s="50"/>
      <c r="AI555" s="50"/>
      <c r="AJ555" s="50"/>
      <c r="AK555" s="111"/>
      <c r="AL555" s="50"/>
    </row>
    <row r="556" spans="3:40">
      <c r="C556" s="42"/>
      <c r="D556" s="42"/>
      <c r="E556" s="42"/>
      <c r="J556" s="56"/>
      <c r="K556" s="56"/>
      <c r="T556" s="42"/>
      <c r="U556" s="42"/>
      <c r="V556" s="45"/>
      <c r="W556" s="45"/>
      <c r="X556" s="45"/>
      <c r="Y556" s="45"/>
      <c r="Z556" s="132"/>
    </row>
    <row r="557" spans="3:40">
      <c r="C557" s="42"/>
      <c r="J557" s="56"/>
      <c r="K557" s="56"/>
      <c r="T557" s="42"/>
      <c r="V557" s="45"/>
      <c r="W557" s="45"/>
      <c r="X557" s="45"/>
      <c r="Y557" s="45"/>
      <c r="Z557" s="132"/>
    </row>
    <row r="558" spans="3:40">
      <c r="C558" s="42"/>
      <c r="J558" s="56"/>
      <c r="K558" s="56"/>
      <c r="T558" s="42"/>
      <c r="V558" s="45"/>
      <c r="W558" s="45"/>
      <c r="X558" s="45"/>
      <c r="Y558" s="45"/>
      <c r="Z558" s="132"/>
    </row>
    <row r="559" spans="3:40">
      <c r="C559" s="42"/>
      <c r="F559" s="164"/>
      <c r="H559" s="164"/>
      <c r="I559" s="164"/>
      <c r="J559" s="132"/>
      <c r="K559" s="132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132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46"/>
      <c r="AN559" s="46"/>
    </row>
    <row r="560" spans="3:40">
      <c r="C560" s="42"/>
      <c r="J560" s="56"/>
      <c r="K560" s="56"/>
      <c r="T560" s="42"/>
      <c r="V560" s="45"/>
      <c r="W560" s="45"/>
      <c r="X560" s="45"/>
      <c r="Y560" s="45"/>
      <c r="Z560" s="132"/>
    </row>
    <row r="561" spans="3:40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46"/>
      <c r="AN561" s="46"/>
    </row>
    <row r="562" spans="3:40">
      <c r="F562" s="50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326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3:40">
      <c r="C563" s="42"/>
      <c r="F563" s="45"/>
      <c r="H563" s="45"/>
      <c r="I563" s="45"/>
      <c r="L563" s="45"/>
      <c r="M563" s="45"/>
      <c r="N563" s="46"/>
      <c r="O563" s="46"/>
      <c r="P563" s="164"/>
      <c r="Q563" s="164"/>
      <c r="R563" s="45"/>
      <c r="T563" s="42"/>
      <c r="V563" s="45"/>
      <c r="W563" s="45"/>
      <c r="X563" s="45"/>
      <c r="Y563" s="45"/>
      <c r="Z563" s="336"/>
      <c r="AA563" s="45"/>
      <c r="AB563" s="45"/>
      <c r="AC563" s="46"/>
      <c r="AD563" s="46"/>
      <c r="AE563" s="45"/>
      <c r="AF563" s="45"/>
      <c r="AH563" s="51"/>
      <c r="AI563" s="164"/>
      <c r="AJ563" s="164"/>
      <c r="AL563" s="45"/>
      <c r="AM563" s="46"/>
      <c r="AN563" s="46"/>
    </row>
    <row r="564" spans="3:40">
      <c r="F564" s="50"/>
      <c r="H564" s="50"/>
      <c r="I564" s="50"/>
      <c r="J564" s="326"/>
      <c r="K564" s="326"/>
      <c r="L564" s="50"/>
      <c r="M564" s="50"/>
      <c r="N564" s="50"/>
      <c r="O564" s="50"/>
      <c r="P564" s="50"/>
      <c r="Q564" s="50"/>
      <c r="R564" s="50"/>
      <c r="V564" s="50"/>
      <c r="Y564" s="50"/>
      <c r="Z564" s="326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5" spans="3:40">
      <c r="C565" s="42"/>
      <c r="D565" s="42"/>
      <c r="E565" s="42"/>
      <c r="T565" s="42"/>
      <c r="U565" s="42"/>
      <c r="V565" s="45"/>
      <c r="W565" s="45"/>
      <c r="X565" s="45"/>
      <c r="Y565" s="45"/>
      <c r="Z565" s="336"/>
    </row>
    <row r="566" spans="3:40">
      <c r="C566" s="42"/>
      <c r="T566" s="42"/>
      <c r="V566" s="45"/>
      <c r="W566" s="45"/>
      <c r="X566" s="45"/>
      <c r="Y566" s="45"/>
      <c r="Z566" s="336"/>
    </row>
    <row r="567" spans="3:40">
      <c r="C567" s="42"/>
      <c r="F567" s="164"/>
      <c r="H567" s="164"/>
      <c r="I567" s="164"/>
      <c r="J567" s="336"/>
      <c r="K567" s="336"/>
      <c r="L567" s="45"/>
      <c r="M567" s="45"/>
      <c r="N567" s="46"/>
      <c r="O567" s="46"/>
      <c r="P567" s="45"/>
      <c r="Q567" s="45"/>
      <c r="R567" s="45"/>
      <c r="T567" s="42"/>
      <c r="V567" s="45"/>
      <c r="W567" s="45"/>
      <c r="X567" s="45"/>
      <c r="Y567" s="45"/>
      <c r="Z567" s="336"/>
      <c r="AA567" s="45"/>
      <c r="AB567" s="45"/>
      <c r="AC567" s="46"/>
      <c r="AD567" s="46"/>
      <c r="AE567" s="45"/>
      <c r="AF567" s="45"/>
      <c r="AH567" s="51"/>
      <c r="AI567" s="45"/>
      <c r="AJ567" s="45"/>
      <c r="AL567" s="45"/>
      <c r="AM567" s="46"/>
      <c r="AN567" s="46"/>
    </row>
    <row r="568" spans="3:40">
      <c r="C568" s="42"/>
      <c r="T568" s="42"/>
      <c r="V568" s="45"/>
      <c r="W568" s="45"/>
      <c r="X568" s="45"/>
      <c r="Y568" s="45"/>
      <c r="Z568" s="336"/>
    </row>
    <row r="569" spans="3:40">
      <c r="C569" s="42"/>
      <c r="F569" s="164"/>
      <c r="H569" s="164"/>
      <c r="I569" s="164"/>
      <c r="J569" s="336"/>
      <c r="K569" s="336"/>
      <c r="L569" s="45"/>
      <c r="M569" s="45"/>
      <c r="N569" s="46"/>
      <c r="O569" s="46"/>
      <c r="P569" s="45"/>
      <c r="Q569" s="45"/>
      <c r="R569" s="45"/>
      <c r="T569" s="42"/>
      <c r="V569" s="45"/>
      <c r="W569" s="45"/>
      <c r="X569" s="45"/>
      <c r="Y569" s="45"/>
      <c r="Z569" s="336"/>
      <c r="AA569" s="45"/>
      <c r="AB569" s="45"/>
      <c r="AC569" s="46"/>
      <c r="AD569" s="46"/>
      <c r="AE569" s="45"/>
      <c r="AF569" s="45"/>
      <c r="AH569" s="51"/>
      <c r="AI569" s="45"/>
      <c r="AJ569" s="45"/>
      <c r="AL569" s="45"/>
      <c r="AM569" s="46"/>
      <c r="AN569" s="46"/>
    </row>
    <row r="570" spans="3:40">
      <c r="C570" s="42"/>
      <c r="T570" s="42"/>
      <c r="V570" s="45"/>
      <c r="W570" s="45"/>
      <c r="X570" s="45"/>
      <c r="Y570" s="45"/>
      <c r="Z570" s="336"/>
    </row>
    <row r="571" spans="3:40">
      <c r="C571" s="42"/>
      <c r="F571" s="164"/>
      <c r="H571" s="164"/>
      <c r="I571" s="164"/>
      <c r="J571" s="336"/>
      <c r="K571" s="336"/>
      <c r="L571" s="45"/>
      <c r="M571" s="45"/>
      <c r="N571" s="46"/>
      <c r="O571" s="46"/>
      <c r="P571" s="45"/>
      <c r="Q571" s="45"/>
      <c r="R571" s="45"/>
      <c r="T571" s="42"/>
      <c r="V571" s="45"/>
      <c r="W571" s="45"/>
      <c r="X571" s="45"/>
      <c r="Y571" s="45"/>
      <c r="Z571" s="336"/>
      <c r="AA571" s="45"/>
      <c r="AB571" s="45"/>
      <c r="AC571" s="46"/>
      <c r="AD571" s="46"/>
      <c r="AE571" s="45"/>
      <c r="AF571" s="45"/>
      <c r="AH571" s="51"/>
      <c r="AI571" s="45"/>
      <c r="AJ571" s="45"/>
      <c r="AL571" s="45"/>
      <c r="AM571" s="46"/>
      <c r="AN571" s="46"/>
    </row>
    <row r="572" spans="3:40">
      <c r="C572" s="42"/>
      <c r="T572" s="42"/>
      <c r="V572" s="45"/>
      <c r="W572" s="45"/>
      <c r="X572" s="45"/>
      <c r="Y572" s="45"/>
      <c r="Z572" s="336"/>
    </row>
    <row r="573" spans="3:40">
      <c r="C573" s="42"/>
      <c r="F573" s="164"/>
      <c r="H573" s="164"/>
      <c r="I573" s="164"/>
      <c r="J573" s="336"/>
      <c r="K573" s="336"/>
      <c r="L573" s="45"/>
      <c r="M573" s="45"/>
      <c r="N573" s="46"/>
      <c r="O573" s="46"/>
      <c r="P573" s="45"/>
      <c r="Q573" s="45"/>
      <c r="R573" s="45"/>
      <c r="T573" s="42"/>
      <c r="V573" s="45"/>
      <c r="W573" s="45"/>
      <c r="X573" s="45"/>
      <c r="Y573" s="45"/>
      <c r="Z573" s="336"/>
      <c r="AA573" s="45"/>
      <c r="AB573" s="45"/>
      <c r="AC573" s="46"/>
      <c r="AD573" s="46"/>
      <c r="AE573" s="45"/>
      <c r="AF573" s="45"/>
      <c r="AH573" s="51"/>
      <c r="AI573" s="45"/>
      <c r="AJ573" s="45"/>
      <c r="AL573" s="45"/>
      <c r="AM573" s="46"/>
      <c r="AN573" s="46"/>
    </row>
    <row r="574" spans="3:40">
      <c r="F574" s="50"/>
      <c r="H574" s="50"/>
      <c r="I574" s="50"/>
      <c r="J574" s="326"/>
      <c r="K574" s="326"/>
      <c r="L574" s="50"/>
      <c r="M574" s="50"/>
      <c r="N574" s="50"/>
      <c r="O574" s="50"/>
      <c r="P574" s="50"/>
      <c r="Q574" s="50"/>
      <c r="R574" s="50"/>
      <c r="V574" s="50"/>
      <c r="Y574" s="50"/>
      <c r="Z574" s="326"/>
      <c r="AA574" s="50"/>
      <c r="AB574" s="50"/>
      <c r="AC574" s="50"/>
      <c r="AD574" s="50"/>
      <c r="AE574" s="50"/>
      <c r="AF574" s="50"/>
      <c r="AI574" s="50"/>
      <c r="AJ574" s="50"/>
      <c r="AK574" s="111"/>
      <c r="AL574" s="50"/>
    </row>
    <row r="575" spans="3:40">
      <c r="C575" s="42"/>
      <c r="F575" s="45"/>
      <c r="H575" s="45"/>
      <c r="I575" s="45"/>
      <c r="L575" s="45"/>
      <c r="M575" s="45"/>
      <c r="N575" s="46"/>
      <c r="O575" s="46"/>
      <c r="P575" s="164"/>
      <c r="Q575" s="164"/>
      <c r="R575" s="45"/>
      <c r="T575" s="42"/>
      <c r="V575" s="45"/>
      <c r="W575" s="45"/>
      <c r="X575" s="45"/>
      <c r="Y575" s="45"/>
      <c r="Z575" s="336"/>
      <c r="AA575" s="45"/>
      <c r="AB575" s="45"/>
      <c r="AC575" s="46"/>
      <c r="AD575" s="46"/>
      <c r="AE575" s="45"/>
      <c r="AF575" s="45"/>
      <c r="AH575" s="51"/>
      <c r="AI575" s="164"/>
      <c r="AJ575" s="164"/>
      <c r="AL575" s="45"/>
      <c r="AM575" s="46"/>
      <c r="AN575" s="46"/>
    </row>
    <row r="576" spans="3:40">
      <c r="F576" s="50"/>
      <c r="H576" s="50"/>
      <c r="I576" s="50"/>
      <c r="J576" s="326"/>
      <c r="K576" s="326"/>
      <c r="L576" s="50"/>
      <c r="M576" s="50"/>
      <c r="N576" s="50"/>
      <c r="O576" s="50"/>
      <c r="P576" s="50"/>
      <c r="Q576" s="50"/>
      <c r="R576" s="50"/>
      <c r="V576" s="50"/>
      <c r="Y576" s="50"/>
      <c r="Z576" s="326"/>
      <c r="AA576" s="50"/>
      <c r="AB576" s="50"/>
      <c r="AC576" s="50"/>
      <c r="AD576" s="50"/>
      <c r="AE576" s="50"/>
      <c r="AF576" s="50"/>
      <c r="AI576" s="50"/>
      <c r="AJ576" s="50"/>
      <c r="AK576" s="111"/>
      <c r="AL576" s="50"/>
    </row>
    <row r="577" spans="1:40">
      <c r="C577" s="42"/>
      <c r="F577" s="45"/>
      <c r="H577" s="45"/>
      <c r="I577" s="45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51"/>
      <c r="AN577" s="51"/>
    </row>
    <row r="578" spans="1:40">
      <c r="F578" s="50"/>
      <c r="H578" s="50"/>
      <c r="I578" s="50"/>
      <c r="J578" s="326"/>
      <c r="K578" s="326"/>
      <c r="L578" s="50"/>
      <c r="M578" s="50"/>
      <c r="N578" s="50"/>
      <c r="O578" s="50"/>
      <c r="P578" s="50"/>
      <c r="Q578" s="50"/>
      <c r="R578" s="50"/>
      <c r="V578" s="50"/>
      <c r="Y578" s="50"/>
      <c r="Z578" s="326"/>
      <c r="AA578" s="50"/>
      <c r="AB578" s="50"/>
      <c r="AC578" s="50"/>
      <c r="AD578" s="50"/>
      <c r="AE578" s="50"/>
      <c r="AF578" s="50"/>
      <c r="AI578" s="50"/>
      <c r="AJ578" s="50"/>
      <c r="AK578" s="111"/>
      <c r="AL578" s="50"/>
    </row>
    <row r="581" spans="1:40">
      <c r="A581" s="42"/>
    </row>
    <row r="583" spans="1:40">
      <c r="H583" s="42"/>
      <c r="I583" s="42"/>
      <c r="Y583" s="42"/>
    </row>
    <row r="585" spans="1:40">
      <c r="L585" s="42"/>
      <c r="M585" s="42"/>
      <c r="AA585" s="42"/>
      <c r="AB585" s="42"/>
    </row>
    <row r="586" spans="1:40">
      <c r="R586" s="42"/>
      <c r="AK586" s="110"/>
      <c r="AL586" s="42"/>
    </row>
    <row r="587" spans="1:40">
      <c r="R587" s="42"/>
      <c r="AK587" s="110"/>
      <c r="AL587" s="42"/>
    </row>
    <row r="588" spans="1:40">
      <c r="A588" s="42"/>
      <c r="R588" s="42"/>
      <c r="AK588" s="110"/>
      <c r="AL588" s="42"/>
    </row>
    <row r="589" spans="1:40">
      <c r="L589" s="42"/>
      <c r="M589" s="42"/>
      <c r="AA589" s="42"/>
      <c r="AB589" s="42"/>
    </row>
    <row r="590" spans="1:40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107"/>
      <c r="AH590" s="49"/>
      <c r="AI590" s="49"/>
      <c r="AJ590" s="49"/>
      <c r="AK590" s="107"/>
      <c r="AL590" s="49"/>
      <c r="AM590" s="49"/>
      <c r="AN590" s="49"/>
    </row>
    <row r="591" spans="1:40">
      <c r="L591" s="44"/>
      <c r="M591" s="44"/>
      <c r="N591" s="44"/>
      <c r="O591" s="44"/>
      <c r="R591" s="44"/>
      <c r="AA591" s="44"/>
      <c r="AB591" s="44"/>
      <c r="AC591" s="44"/>
      <c r="AD591" s="44"/>
      <c r="AE591" s="44"/>
      <c r="AF591" s="44"/>
      <c r="AG591" s="102"/>
      <c r="AH591" s="44"/>
      <c r="AK591" s="102"/>
      <c r="AL591" s="44"/>
      <c r="AM591" s="44"/>
      <c r="AN591" s="44"/>
    </row>
    <row r="592" spans="1:40">
      <c r="L592" s="44"/>
      <c r="M592" s="44"/>
      <c r="N592" s="44"/>
      <c r="O592" s="44"/>
      <c r="R592" s="44"/>
      <c r="Z592" s="44"/>
      <c r="AA592" s="44"/>
      <c r="AB592" s="44"/>
      <c r="AC592" s="44"/>
      <c r="AD592" s="44"/>
      <c r="AE592" s="44"/>
      <c r="AF592" s="44"/>
      <c r="AG592" s="102"/>
      <c r="AH592" s="44"/>
      <c r="AK592" s="102"/>
      <c r="AL592" s="44"/>
      <c r="AM592" s="44"/>
      <c r="AN592" s="44"/>
    </row>
    <row r="593" spans="1:40">
      <c r="A593" s="44"/>
      <c r="C593" s="44"/>
      <c r="D593" s="44"/>
      <c r="E593" s="44"/>
      <c r="F593" s="44"/>
      <c r="J593" s="44"/>
      <c r="K593" s="44"/>
      <c r="L593" s="44"/>
      <c r="M593" s="44"/>
      <c r="N593" s="44"/>
      <c r="O593" s="44"/>
      <c r="P593" s="44"/>
      <c r="Q593" s="44"/>
      <c r="R593" s="44"/>
      <c r="T593" s="44"/>
      <c r="U593" s="44"/>
      <c r="V593" s="44"/>
      <c r="Z593" s="44"/>
      <c r="AA593" s="44"/>
      <c r="AB593" s="44"/>
      <c r="AC593" s="44"/>
      <c r="AD593" s="44"/>
      <c r="AE593" s="44"/>
      <c r="AF593" s="44"/>
      <c r="AG593" s="102"/>
      <c r="AH593" s="44"/>
      <c r="AI593" s="44"/>
      <c r="AJ593" s="44"/>
      <c r="AK593" s="102"/>
      <c r="AL593" s="44"/>
      <c r="AM593" s="44"/>
      <c r="AN593" s="44"/>
    </row>
    <row r="594" spans="1:40">
      <c r="A594" s="44"/>
      <c r="C594" s="44"/>
      <c r="D594" s="44"/>
      <c r="E594" s="44"/>
      <c r="F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T594" s="44"/>
      <c r="U594" s="44"/>
      <c r="V594" s="44"/>
      <c r="Y594" s="44"/>
      <c r="Z594" s="44"/>
      <c r="AA594" s="44"/>
      <c r="AB594" s="44"/>
      <c r="AC594" s="44"/>
      <c r="AD594" s="44"/>
      <c r="AE594" s="44"/>
      <c r="AF594" s="44"/>
      <c r="AG594" s="102"/>
      <c r="AH594" s="44"/>
      <c r="AI594" s="44"/>
      <c r="AJ594" s="44"/>
      <c r="AK594" s="102"/>
      <c r="AL594" s="44"/>
      <c r="AM594" s="44"/>
      <c r="AN594" s="44"/>
    </row>
    <row r="595" spans="1:40">
      <c r="C595" s="44"/>
      <c r="D595" s="44"/>
      <c r="E595" s="44"/>
      <c r="F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T595" s="44"/>
      <c r="U595" s="44"/>
      <c r="V595" s="44"/>
      <c r="Y595" s="44"/>
      <c r="Z595" s="44"/>
      <c r="AA595" s="44"/>
      <c r="AB595" s="44"/>
      <c r="AC595" s="44"/>
      <c r="AD595" s="44"/>
      <c r="AE595" s="44"/>
      <c r="AF595" s="44"/>
      <c r="AG595" s="102"/>
      <c r="AH595" s="44"/>
      <c r="AI595" s="44"/>
      <c r="AJ595" s="44"/>
      <c r="AK595" s="102"/>
      <c r="AL595" s="44"/>
      <c r="AM595" s="44"/>
      <c r="AN595" s="44"/>
    </row>
    <row r="596" spans="1:40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107"/>
      <c r="AH596" s="49"/>
      <c r="AI596" s="49"/>
      <c r="AJ596" s="49"/>
      <c r="AK596" s="107"/>
      <c r="AL596" s="49"/>
      <c r="AM596" s="49"/>
      <c r="AN596" s="49"/>
    </row>
    <row r="597" spans="1:40"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Y597" s="44"/>
      <c r="Z597" s="44"/>
      <c r="AA597" s="44"/>
      <c r="AB597" s="44"/>
      <c r="AC597" s="44"/>
      <c r="AD597" s="44"/>
      <c r="AE597" s="44"/>
      <c r="AF597" s="44"/>
      <c r="AG597" s="102"/>
      <c r="AH597" s="44"/>
      <c r="AI597" s="44"/>
      <c r="AJ597" s="44"/>
      <c r="AK597" s="102"/>
      <c r="AL597" s="44"/>
      <c r="AM597" s="44"/>
      <c r="AN597" s="44"/>
    </row>
    <row r="598" spans="1:40">
      <c r="C598" s="42"/>
      <c r="D598" s="42"/>
      <c r="E598" s="42"/>
      <c r="F598" s="45"/>
      <c r="H598" s="45"/>
      <c r="I598" s="45"/>
      <c r="J598" s="47"/>
      <c r="K598" s="47"/>
      <c r="L598" s="45"/>
      <c r="M598" s="45"/>
      <c r="N598" s="47"/>
      <c r="O598" s="47"/>
      <c r="P598" s="45"/>
      <c r="Q598" s="45"/>
      <c r="R598" s="45"/>
      <c r="T598" s="42"/>
      <c r="U598" s="42"/>
      <c r="V598" s="45"/>
      <c r="Y598" s="45"/>
      <c r="Z598" s="47"/>
      <c r="AA598" s="45"/>
      <c r="AB598" s="45"/>
      <c r="AC598" s="47"/>
      <c r="AD598" s="47"/>
      <c r="AE598" s="45"/>
      <c r="AF598" s="45"/>
      <c r="AH598" s="51"/>
      <c r="AI598" s="45"/>
      <c r="AJ598" s="45"/>
      <c r="AL598" s="45"/>
      <c r="AM598" s="46"/>
      <c r="AN598" s="46"/>
    </row>
    <row r="599" spans="1:40">
      <c r="F599" s="50"/>
      <c r="H599" s="50"/>
      <c r="I599" s="50"/>
      <c r="J599" s="326"/>
      <c r="K599" s="326"/>
      <c r="L599" s="50"/>
      <c r="M599" s="50"/>
      <c r="N599" s="50"/>
      <c r="O599" s="50"/>
      <c r="P599" s="50"/>
      <c r="Q599" s="50"/>
      <c r="R599" s="50"/>
      <c r="V599" s="50"/>
      <c r="Y599" s="50"/>
      <c r="Z599" s="326"/>
      <c r="AA599" s="50"/>
      <c r="AB599" s="50"/>
      <c r="AC599" s="50"/>
      <c r="AD599" s="50"/>
      <c r="AE599" s="50"/>
      <c r="AF599" s="50"/>
      <c r="AI599" s="50"/>
      <c r="AJ599" s="50"/>
      <c r="AK599" s="111"/>
      <c r="AL599" s="50"/>
      <c r="AM599" s="46"/>
      <c r="AN599" s="46"/>
    </row>
    <row r="600" spans="1:40">
      <c r="C600" s="42"/>
      <c r="F600" s="45"/>
      <c r="H600" s="45"/>
      <c r="I600" s="45"/>
      <c r="J600" s="47"/>
      <c r="K600" s="47"/>
      <c r="L600" s="45"/>
      <c r="M600" s="45"/>
      <c r="N600" s="47"/>
      <c r="O600" s="47"/>
      <c r="P600" s="45"/>
      <c r="Q600" s="45"/>
      <c r="R600" s="45"/>
      <c r="T600" s="42"/>
      <c r="V600" s="45"/>
      <c r="Y600" s="45"/>
      <c r="Z600" s="47"/>
      <c r="AA600" s="45"/>
      <c r="AB600" s="45"/>
      <c r="AC600" s="47"/>
      <c r="AD600" s="47"/>
      <c r="AE600" s="45"/>
      <c r="AF600" s="45"/>
      <c r="AH600" s="51"/>
      <c r="AI600" s="45"/>
      <c r="AJ600" s="45"/>
      <c r="AL600" s="45"/>
      <c r="AM600" s="46"/>
      <c r="AN600" s="46"/>
    </row>
    <row r="601" spans="1:40">
      <c r="F601" s="45"/>
      <c r="H601" s="45"/>
      <c r="I601" s="45"/>
      <c r="J601" s="47"/>
      <c r="K601" s="47"/>
      <c r="L601" s="45"/>
      <c r="M601" s="45"/>
      <c r="N601" s="47"/>
      <c r="O601" s="47"/>
      <c r="P601" s="45"/>
      <c r="Q601" s="45"/>
      <c r="R601" s="45"/>
      <c r="V601" s="45"/>
      <c r="Y601" s="45"/>
      <c r="Z601" s="47"/>
      <c r="AA601" s="45"/>
      <c r="AB601" s="45"/>
      <c r="AC601" s="47"/>
      <c r="AD601" s="47"/>
      <c r="AH601" s="51"/>
      <c r="AI601" s="45"/>
      <c r="AJ601" s="45"/>
      <c r="AL601" s="45"/>
      <c r="AM601" s="46"/>
      <c r="AN601" s="46"/>
    </row>
    <row r="602" spans="1:40">
      <c r="C602" s="42"/>
      <c r="D602" s="42"/>
      <c r="E602" s="42"/>
      <c r="F602" s="45"/>
      <c r="H602" s="45"/>
      <c r="I602" s="45"/>
      <c r="J602" s="47"/>
      <c r="K602" s="47"/>
      <c r="L602" s="45"/>
      <c r="M602" s="45"/>
      <c r="N602" s="47"/>
      <c r="O602" s="47"/>
      <c r="P602" s="45"/>
      <c r="Q602" s="45"/>
      <c r="R602" s="45"/>
      <c r="T602" s="42"/>
      <c r="U602" s="42"/>
      <c r="V602" s="45"/>
      <c r="Y602" s="45"/>
      <c r="Z602" s="47"/>
      <c r="AA602" s="45"/>
      <c r="AB602" s="45"/>
      <c r="AC602" s="47"/>
      <c r="AD602" s="47"/>
      <c r="AE602" s="45"/>
      <c r="AF602" s="45"/>
      <c r="AH602" s="51"/>
      <c r="AI602" s="45"/>
      <c r="AJ602" s="45"/>
      <c r="AL602" s="45"/>
      <c r="AM602" s="46"/>
      <c r="AN602" s="46"/>
    </row>
    <row r="603" spans="1:40">
      <c r="C603" s="42"/>
      <c r="D603" s="42"/>
      <c r="E603" s="42"/>
      <c r="F603" s="45"/>
      <c r="H603" s="45"/>
      <c r="I603" s="45"/>
      <c r="J603" s="47"/>
      <c r="K603" s="47"/>
      <c r="L603" s="45"/>
      <c r="M603" s="45"/>
      <c r="N603" s="47"/>
      <c r="O603" s="47"/>
      <c r="P603" s="45"/>
      <c r="Q603" s="45"/>
      <c r="R603" s="45"/>
      <c r="T603" s="42"/>
      <c r="U603" s="42"/>
      <c r="V603" s="45"/>
      <c r="Y603" s="45"/>
      <c r="Z603" s="47"/>
      <c r="AA603" s="45"/>
      <c r="AB603" s="45"/>
      <c r="AC603" s="47"/>
      <c r="AD603" s="47"/>
      <c r="AE603" s="45"/>
      <c r="AF603" s="45"/>
      <c r="AH603" s="51"/>
      <c r="AI603" s="45"/>
      <c r="AJ603" s="45"/>
      <c r="AL603" s="45"/>
      <c r="AM603" s="46"/>
      <c r="AN603" s="46"/>
    </row>
    <row r="604" spans="1:40">
      <c r="C604" s="42"/>
      <c r="D604" s="42"/>
      <c r="E604" s="42"/>
      <c r="F604" s="45"/>
      <c r="H604" s="45"/>
      <c r="I604" s="45"/>
      <c r="J604" s="47"/>
      <c r="K604" s="47"/>
      <c r="L604" s="45"/>
      <c r="M604" s="45"/>
      <c r="N604" s="47"/>
      <c r="O604" s="47"/>
      <c r="P604" s="45"/>
      <c r="Q604" s="45"/>
      <c r="R604" s="45"/>
      <c r="T604" s="42"/>
      <c r="U604" s="42"/>
      <c r="V604" s="45"/>
      <c r="Y604" s="45"/>
      <c r="Z604" s="47"/>
      <c r="AA604" s="45"/>
      <c r="AB604" s="45"/>
      <c r="AC604" s="47"/>
      <c r="AD604" s="47"/>
      <c r="AE604" s="45"/>
      <c r="AF604" s="45"/>
      <c r="AH604" s="51"/>
      <c r="AI604" s="45"/>
      <c r="AJ604" s="45"/>
      <c r="AL604" s="45"/>
      <c r="AM604" s="46"/>
      <c r="AN604" s="46"/>
    </row>
    <row r="605" spans="1:40">
      <c r="C605" s="42"/>
      <c r="D605" s="42"/>
      <c r="E605" s="42"/>
      <c r="F605" s="45"/>
      <c r="H605" s="45"/>
      <c r="I605" s="45"/>
      <c r="J605" s="47"/>
      <c r="K605" s="47"/>
      <c r="L605" s="45"/>
      <c r="M605" s="45"/>
      <c r="N605" s="47"/>
      <c r="O605" s="47"/>
      <c r="P605" s="45"/>
      <c r="Q605" s="45"/>
      <c r="R605" s="45"/>
      <c r="T605" s="42"/>
      <c r="U605" s="42"/>
      <c r="V605" s="45"/>
      <c r="Y605" s="45"/>
      <c r="Z605" s="47"/>
      <c r="AA605" s="45"/>
      <c r="AB605" s="45"/>
      <c r="AC605" s="47"/>
      <c r="AD605" s="47"/>
      <c r="AE605" s="45"/>
      <c r="AF605" s="45"/>
      <c r="AH605" s="51"/>
      <c r="AI605" s="45"/>
      <c r="AJ605" s="45"/>
      <c r="AL605" s="45"/>
      <c r="AM605" s="46"/>
      <c r="AN605" s="46"/>
    </row>
    <row r="606" spans="1:40">
      <c r="C606" s="42"/>
      <c r="D606" s="42"/>
      <c r="E606" s="42"/>
      <c r="F606" s="45"/>
      <c r="H606" s="45"/>
      <c r="I606" s="45"/>
      <c r="J606" s="47"/>
      <c r="K606" s="47"/>
      <c r="L606" s="45"/>
      <c r="M606" s="45"/>
      <c r="N606" s="47"/>
      <c r="O606" s="47"/>
      <c r="P606" s="45"/>
      <c r="Q606" s="45"/>
      <c r="R606" s="45"/>
      <c r="T606" s="42"/>
      <c r="U606" s="42"/>
      <c r="V606" s="45"/>
      <c r="Y606" s="45"/>
      <c r="Z606" s="47"/>
      <c r="AA606" s="45"/>
      <c r="AB606" s="45"/>
      <c r="AC606" s="47"/>
      <c r="AD606" s="47"/>
      <c r="AE606" s="45"/>
      <c r="AF606" s="45"/>
      <c r="AH606" s="51"/>
      <c r="AI606" s="45"/>
      <c r="AJ606" s="45"/>
      <c r="AL606" s="45"/>
      <c r="AM606" s="46"/>
      <c r="AN606" s="46"/>
    </row>
    <row r="607" spans="1:40">
      <c r="C607" s="42"/>
      <c r="D607" s="42"/>
      <c r="E607" s="42"/>
      <c r="F607" s="45"/>
      <c r="H607" s="45"/>
      <c r="I607" s="45"/>
      <c r="J607" s="47"/>
      <c r="K607" s="47"/>
      <c r="L607" s="45"/>
      <c r="M607" s="45"/>
      <c r="N607" s="47"/>
      <c r="O607" s="47"/>
      <c r="P607" s="45"/>
      <c r="Q607" s="45"/>
      <c r="R607" s="45"/>
      <c r="T607" s="42"/>
      <c r="U607" s="42"/>
      <c r="V607" s="45"/>
      <c r="Y607" s="45"/>
      <c r="Z607" s="47"/>
      <c r="AA607" s="45"/>
      <c r="AB607" s="45"/>
      <c r="AC607" s="47"/>
      <c r="AD607" s="47"/>
      <c r="AE607" s="45"/>
      <c r="AF607" s="45"/>
      <c r="AH607" s="51"/>
      <c r="AI607" s="45"/>
      <c r="AJ607" s="45"/>
      <c r="AL607" s="45"/>
      <c r="AM607" s="46"/>
      <c r="AN607" s="46"/>
    </row>
    <row r="608" spans="1:40">
      <c r="F608" s="50"/>
      <c r="H608" s="50"/>
      <c r="I608" s="50"/>
      <c r="J608" s="326"/>
      <c r="K608" s="326"/>
      <c r="L608" s="50"/>
      <c r="M608" s="50"/>
      <c r="N608" s="50"/>
      <c r="O608" s="50"/>
      <c r="P608" s="50"/>
      <c r="Q608" s="50"/>
      <c r="R608" s="50"/>
      <c r="V608" s="50"/>
      <c r="Y608" s="50"/>
      <c r="Z608" s="326"/>
      <c r="AA608" s="50"/>
      <c r="AB608" s="50"/>
      <c r="AC608" s="50"/>
      <c r="AD608" s="50"/>
      <c r="AE608" s="50"/>
      <c r="AF608" s="50"/>
      <c r="AI608" s="50"/>
      <c r="AJ608" s="50"/>
      <c r="AK608" s="111"/>
      <c r="AL608" s="50"/>
      <c r="AM608" s="46"/>
      <c r="AN608" s="46"/>
    </row>
    <row r="609" spans="3:40">
      <c r="C609" s="42"/>
      <c r="F609" s="45"/>
      <c r="H609" s="45"/>
      <c r="I609" s="45"/>
      <c r="J609" s="47"/>
      <c r="K609" s="47"/>
      <c r="L609" s="45"/>
      <c r="M609" s="45"/>
      <c r="N609" s="47"/>
      <c r="O609" s="47"/>
      <c r="P609" s="45"/>
      <c r="Q609" s="45"/>
      <c r="R609" s="45"/>
      <c r="T609" s="42"/>
      <c r="V609" s="45"/>
      <c r="Y609" s="45"/>
      <c r="Z609" s="47"/>
      <c r="AA609" s="45"/>
      <c r="AB609" s="45"/>
      <c r="AC609" s="47"/>
      <c r="AD609" s="47"/>
      <c r="AE609" s="45"/>
      <c r="AF609" s="45"/>
      <c r="AH609" s="51"/>
      <c r="AI609" s="45"/>
      <c r="AJ609" s="45"/>
      <c r="AL609" s="45"/>
      <c r="AM609" s="46"/>
      <c r="AN609" s="46"/>
    </row>
    <row r="610" spans="3:40">
      <c r="F610" s="45"/>
      <c r="H610" s="45"/>
      <c r="I610" s="45"/>
      <c r="J610" s="47"/>
      <c r="K610" s="47"/>
      <c r="L610" s="45"/>
      <c r="M610" s="45"/>
      <c r="N610" s="47"/>
      <c r="O610" s="47"/>
      <c r="P610" s="45"/>
      <c r="Q610" s="45"/>
      <c r="R610" s="45"/>
      <c r="V610" s="45"/>
      <c r="Y610" s="45"/>
      <c r="Z610" s="47"/>
      <c r="AA610" s="45"/>
      <c r="AB610" s="45"/>
      <c r="AC610" s="47"/>
      <c r="AD610" s="47"/>
      <c r="AH610" s="51"/>
      <c r="AI610" s="45"/>
      <c r="AJ610" s="45"/>
      <c r="AL610" s="45"/>
      <c r="AM610" s="46"/>
      <c r="AN610" s="46"/>
    </row>
    <row r="611" spans="3:40">
      <c r="C611" s="42"/>
      <c r="D611" s="42"/>
      <c r="E611" s="42"/>
      <c r="F611" s="45"/>
      <c r="H611" s="45"/>
      <c r="I611" s="45"/>
      <c r="J611" s="47"/>
      <c r="K611" s="47"/>
      <c r="L611" s="45"/>
      <c r="M611" s="45"/>
      <c r="N611" s="47"/>
      <c r="O611" s="47"/>
      <c r="P611" s="45"/>
      <c r="Q611" s="45"/>
      <c r="R611" s="45"/>
      <c r="T611" s="42"/>
      <c r="U611" s="42"/>
      <c r="V611" s="45"/>
      <c r="Y611" s="45"/>
      <c r="Z611" s="47"/>
      <c r="AA611" s="45"/>
      <c r="AB611" s="45"/>
      <c r="AC611" s="47"/>
      <c r="AD611" s="47"/>
      <c r="AE611" s="45"/>
      <c r="AF611" s="45"/>
      <c r="AH611" s="51"/>
      <c r="AI611" s="45"/>
      <c r="AJ611" s="45"/>
      <c r="AL611" s="45"/>
      <c r="AM611" s="46"/>
      <c r="AN611" s="46"/>
    </row>
    <row r="612" spans="3:40">
      <c r="F612" s="50"/>
      <c r="H612" s="50"/>
      <c r="I612" s="50"/>
      <c r="J612" s="326"/>
      <c r="K612" s="326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  <c r="AM612" s="46"/>
      <c r="AN612" s="46"/>
    </row>
    <row r="613" spans="3:40">
      <c r="C613" s="42"/>
      <c r="F613" s="45"/>
      <c r="H613" s="45"/>
      <c r="I613" s="45"/>
      <c r="J613" s="47"/>
      <c r="K613" s="47"/>
      <c r="L613" s="45"/>
      <c r="M613" s="45"/>
      <c r="N613" s="47"/>
      <c r="O613" s="47"/>
      <c r="P613" s="45"/>
      <c r="Q613" s="45"/>
      <c r="R613" s="45"/>
      <c r="T613" s="42"/>
      <c r="V613" s="45"/>
      <c r="Y613" s="45"/>
      <c r="Z613" s="47"/>
      <c r="AA613" s="45"/>
      <c r="AB613" s="45"/>
      <c r="AC613" s="47"/>
      <c r="AD613" s="47"/>
      <c r="AE613" s="45"/>
      <c r="AF613" s="45"/>
      <c r="AH613" s="51"/>
      <c r="AI613" s="45"/>
      <c r="AJ613" s="45"/>
      <c r="AL613" s="45"/>
      <c r="AM613" s="46"/>
      <c r="AN613" s="46"/>
    </row>
    <row r="614" spans="3:40">
      <c r="F614" s="45"/>
      <c r="H614" s="45"/>
      <c r="I614" s="45"/>
      <c r="J614" s="47"/>
      <c r="K614" s="47"/>
      <c r="L614" s="45"/>
      <c r="M614" s="45"/>
      <c r="N614" s="47"/>
      <c r="O614" s="47"/>
      <c r="P614" s="45"/>
      <c r="Q614" s="45"/>
      <c r="R614" s="45"/>
      <c r="V614" s="45"/>
      <c r="Y614" s="45"/>
      <c r="Z614" s="47"/>
      <c r="AA614" s="45"/>
      <c r="AB614" s="45"/>
      <c r="AC614" s="47"/>
      <c r="AD614" s="47"/>
      <c r="AH614" s="51"/>
      <c r="AI614" s="45"/>
      <c r="AJ614" s="45"/>
      <c r="AL614" s="45"/>
      <c r="AM614" s="46"/>
      <c r="AN614" s="46"/>
    </row>
    <row r="615" spans="3:40">
      <c r="C615" s="42"/>
      <c r="D615" s="42"/>
      <c r="E615" s="42"/>
      <c r="F615" s="45"/>
      <c r="H615" s="45"/>
      <c r="I615" s="45"/>
      <c r="J615" s="47"/>
      <c r="K615" s="47"/>
      <c r="L615" s="45"/>
      <c r="M615" s="45"/>
      <c r="N615" s="47"/>
      <c r="O615" s="47"/>
      <c r="P615" s="45"/>
      <c r="Q615" s="45"/>
      <c r="R615" s="45"/>
      <c r="T615" s="42"/>
      <c r="U615" s="42"/>
      <c r="V615" s="45"/>
      <c r="Y615" s="45"/>
      <c r="Z615" s="47"/>
      <c r="AA615" s="45"/>
      <c r="AB615" s="45"/>
      <c r="AC615" s="47"/>
      <c r="AD615" s="47"/>
      <c r="AE615" s="45"/>
      <c r="AF615" s="45"/>
      <c r="AH615" s="51"/>
      <c r="AI615" s="45"/>
      <c r="AJ615" s="45"/>
      <c r="AL615" s="45"/>
      <c r="AM615" s="46"/>
      <c r="AN615" s="46"/>
    </row>
    <row r="616" spans="3:40">
      <c r="C616" s="42"/>
      <c r="D616" s="42"/>
      <c r="E616" s="42"/>
      <c r="F616" s="45"/>
      <c r="G616" s="45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W616" s="45"/>
      <c r="X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3:40">
      <c r="C617" s="42"/>
      <c r="D617" s="42"/>
      <c r="E617" s="42"/>
      <c r="F617" s="45"/>
      <c r="G617" s="45"/>
      <c r="H617" s="45"/>
      <c r="I617" s="45"/>
      <c r="J617" s="47"/>
      <c r="K617" s="47"/>
      <c r="L617" s="45"/>
      <c r="M617" s="45"/>
      <c r="N617" s="47"/>
      <c r="O617" s="47"/>
      <c r="P617" s="45"/>
      <c r="Q617" s="45"/>
      <c r="R617" s="45"/>
      <c r="T617" s="42"/>
      <c r="U617" s="42"/>
      <c r="V617" s="45"/>
      <c r="W617" s="45"/>
      <c r="X617" s="45"/>
      <c r="Y617" s="45"/>
      <c r="Z617" s="47"/>
      <c r="AA617" s="45"/>
      <c r="AB617" s="45"/>
      <c r="AC617" s="47"/>
      <c r="AD617" s="47"/>
      <c r="AE617" s="45"/>
      <c r="AF617" s="45"/>
      <c r="AH617" s="51"/>
      <c r="AI617" s="45"/>
      <c r="AJ617" s="45"/>
      <c r="AL617" s="45"/>
      <c r="AM617" s="46"/>
      <c r="AN617" s="46"/>
    </row>
    <row r="618" spans="3:40">
      <c r="C618" s="42"/>
      <c r="D618" s="42"/>
      <c r="E618" s="42"/>
      <c r="F618" s="45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U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3:40">
      <c r="C619" s="42"/>
      <c r="D619" s="42"/>
      <c r="E619" s="42"/>
      <c r="F619" s="45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T619" s="42"/>
      <c r="U619" s="42"/>
      <c r="V619" s="45"/>
      <c r="Y619" s="45"/>
      <c r="Z619" s="47"/>
      <c r="AA619" s="45"/>
      <c r="AB619" s="45"/>
      <c r="AC619" s="47"/>
      <c r="AD619" s="47"/>
      <c r="AE619" s="45"/>
      <c r="AF619" s="45"/>
      <c r="AH619" s="51"/>
      <c r="AI619" s="45"/>
      <c r="AJ619" s="45"/>
      <c r="AL619" s="45"/>
      <c r="AM619" s="46"/>
      <c r="AN619" s="46"/>
    </row>
    <row r="620" spans="3:40">
      <c r="C620" s="42"/>
      <c r="D620" s="42"/>
      <c r="E620" s="42"/>
      <c r="F620" s="45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3:40">
      <c r="C621" s="42"/>
      <c r="D621" s="42"/>
      <c r="E621" s="42"/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T621" s="42"/>
      <c r="U621" s="42"/>
      <c r="V621" s="45"/>
      <c r="Y621" s="45"/>
      <c r="Z621" s="47"/>
      <c r="AA621" s="45"/>
      <c r="AB621" s="45"/>
      <c r="AC621" s="47"/>
      <c r="AD621" s="47"/>
      <c r="AE621" s="45"/>
      <c r="AF621" s="45"/>
      <c r="AH621" s="51"/>
      <c r="AI621" s="45"/>
      <c r="AJ621" s="45"/>
      <c r="AL621" s="45"/>
      <c r="AM621" s="46"/>
      <c r="AN621" s="46"/>
    </row>
    <row r="622" spans="3:40">
      <c r="F622" s="50"/>
      <c r="H622" s="50"/>
      <c r="I622" s="50"/>
      <c r="J622" s="326"/>
      <c r="K622" s="326"/>
      <c r="L622" s="50"/>
      <c r="M622" s="50"/>
      <c r="N622" s="50"/>
      <c r="O622" s="50"/>
      <c r="P622" s="50"/>
      <c r="Q622" s="50"/>
      <c r="R622" s="50"/>
      <c r="V622" s="50"/>
      <c r="Y622" s="50"/>
      <c r="Z622" s="326"/>
      <c r="AA622" s="50"/>
      <c r="AB622" s="50"/>
      <c r="AC622" s="50"/>
      <c r="AD622" s="50"/>
      <c r="AE622" s="50"/>
      <c r="AF622" s="50"/>
      <c r="AI622" s="50"/>
      <c r="AJ622" s="50"/>
      <c r="AK622" s="111"/>
      <c r="AL622" s="50"/>
      <c r="AM622" s="46"/>
      <c r="AN622" s="46"/>
    </row>
    <row r="623" spans="3:40">
      <c r="C623" s="42"/>
      <c r="F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V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3:40">
      <c r="V624" s="45"/>
      <c r="Y624" s="45"/>
      <c r="Z624" s="326"/>
      <c r="AA624" s="45"/>
      <c r="AB624" s="45"/>
      <c r="AC624" s="45"/>
      <c r="AD624" s="45"/>
      <c r="AE624" s="45"/>
      <c r="AF624" s="45"/>
      <c r="AI624" s="45"/>
      <c r="AJ624" s="45"/>
      <c r="AL624" s="45"/>
      <c r="AM624" s="46"/>
      <c r="AN624" s="46"/>
    </row>
    <row r="625" spans="1:40">
      <c r="C625" s="42"/>
      <c r="D625" s="42"/>
      <c r="E625" s="42"/>
      <c r="L625" s="45"/>
      <c r="M625" s="45"/>
      <c r="N625" s="47"/>
      <c r="O625" s="47"/>
      <c r="R625" s="45"/>
      <c r="T625" s="42"/>
      <c r="U625" s="42"/>
      <c r="AA625" s="45"/>
      <c r="AB625" s="45"/>
      <c r="AC625" s="47"/>
      <c r="AD625" s="47"/>
      <c r="AE625" s="45"/>
      <c r="AF625" s="45"/>
      <c r="AH625" s="51"/>
      <c r="AL625" s="45"/>
      <c r="AM625" s="46"/>
      <c r="AN625" s="46"/>
    </row>
    <row r="626" spans="1:40">
      <c r="D626" s="42"/>
      <c r="E626" s="42"/>
      <c r="F626" s="164"/>
      <c r="H626" s="164"/>
      <c r="I626" s="164"/>
      <c r="J626" s="47"/>
      <c r="K626" s="47"/>
      <c r="L626" s="45"/>
      <c r="M626" s="45"/>
      <c r="N626" s="47"/>
      <c r="O626" s="47"/>
      <c r="P626" s="164"/>
      <c r="Q626" s="164"/>
      <c r="R626" s="45"/>
      <c r="U626" s="42"/>
      <c r="V626" s="45"/>
      <c r="Y626" s="45"/>
      <c r="Z626" s="47"/>
      <c r="AA626" s="45"/>
      <c r="AB626" s="45"/>
      <c r="AC626" s="47"/>
      <c r="AD626" s="47"/>
      <c r="AE626" s="45"/>
      <c r="AF626" s="45"/>
      <c r="AH626" s="51"/>
      <c r="AI626" s="45"/>
      <c r="AJ626" s="45"/>
      <c r="AL626" s="45"/>
      <c r="AM626" s="46"/>
      <c r="AN626" s="46"/>
    </row>
    <row r="627" spans="1:40">
      <c r="F627" s="50"/>
      <c r="H627" s="50"/>
      <c r="I627" s="50"/>
      <c r="J627" s="326"/>
      <c r="K627" s="326"/>
      <c r="L627" s="50"/>
      <c r="M627" s="50"/>
      <c r="N627" s="50"/>
      <c r="O627" s="50"/>
      <c r="P627" s="50"/>
      <c r="Q627" s="50"/>
      <c r="R627" s="50"/>
      <c r="V627" s="50"/>
      <c r="Y627" s="50"/>
      <c r="Z627" s="326"/>
      <c r="AA627" s="50"/>
      <c r="AB627" s="50"/>
      <c r="AC627" s="50"/>
      <c r="AD627" s="50"/>
      <c r="AE627" s="50"/>
      <c r="AF627" s="50"/>
      <c r="AI627" s="50"/>
      <c r="AJ627" s="50"/>
      <c r="AK627" s="111"/>
      <c r="AL627" s="50"/>
      <c r="AM627" s="46"/>
      <c r="AN627" s="46"/>
    </row>
    <row r="628" spans="1:40">
      <c r="C628" s="42"/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T628" s="42"/>
      <c r="V628" s="45"/>
      <c r="Y628" s="45"/>
      <c r="Z628" s="47"/>
      <c r="AA628" s="45"/>
      <c r="AB628" s="45"/>
      <c r="AC628" s="47"/>
      <c r="AD628" s="47"/>
      <c r="AE628" s="45"/>
      <c r="AF628" s="45"/>
      <c r="AH628" s="51"/>
      <c r="AI628" s="45"/>
      <c r="AJ628" s="45"/>
      <c r="AL628" s="45"/>
      <c r="AM628" s="46"/>
      <c r="AN628" s="46"/>
    </row>
    <row r="629" spans="1:40"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V629" s="45"/>
      <c r="Y629" s="45"/>
      <c r="Z629" s="47"/>
      <c r="AA629" s="45"/>
      <c r="AB629" s="45"/>
      <c r="AC629" s="47"/>
      <c r="AD629" s="47"/>
      <c r="AH629" s="51"/>
      <c r="AI629" s="45"/>
      <c r="AJ629" s="45"/>
      <c r="AL629" s="45"/>
      <c r="AM629" s="46"/>
      <c r="AN629" s="46"/>
    </row>
    <row r="630" spans="1:40">
      <c r="D630" s="42"/>
      <c r="E630" s="42"/>
      <c r="F630" s="45"/>
      <c r="H630" s="45"/>
      <c r="I630" s="45"/>
      <c r="J630" s="47"/>
      <c r="K630" s="47"/>
      <c r="L630" s="164"/>
      <c r="M630" s="164"/>
      <c r="N630" s="47"/>
      <c r="O630" s="47"/>
      <c r="P630" s="45"/>
      <c r="Q630" s="45"/>
      <c r="R630" s="45"/>
      <c r="U630" s="42"/>
      <c r="V630" s="45"/>
      <c r="Y630" s="45"/>
      <c r="Z630" s="47"/>
      <c r="AA630" s="164"/>
      <c r="AB630" s="164"/>
      <c r="AC630" s="47"/>
      <c r="AD630" s="47"/>
      <c r="AE630" s="45"/>
      <c r="AF630" s="45"/>
      <c r="AH630" s="51"/>
      <c r="AI630" s="45"/>
      <c r="AJ630" s="45"/>
      <c r="AL630" s="45"/>
      <c r="AM630" s="46"/>
      <c r="AN630" s="46"/>
    </row>
    <row r="631" spans="1:40">
      <c r="D631" s="42"/>
      <c r="E631" s="42"/>
      <c r="F631" s="45"/>
      <c r="H631" s="45"/>
      <c r="I631" s="45"/>
      <c r="J631" s="47"/>
      <c r="K631" s="47"/>
      <c r="L631" s="164"/>
      <c r="M631" s="164"/>
      <c r="N631" s="47"/>
      <c r="O631" s="47"/>
      <c r="P631" s="45"/>
      <c r="Q631" s="45"/>
      <c r="R631" s="45"/>
      <c r="U631" s="42"/>
      <c r="V631" s="45"/>
      <c r="Y631" s="45"/>
      <c r="Z631" s="47"/>
      <c r="AA631" s="164"/>
      <c r="AB631" s="164"/>
      <c r="AC631" s="47"/>
      <c r="AD631" s="47"/>
      <c r="AE631" s="45"/>
      <c r="AF631" s="45"/>
      <c r="AH631" s="51"/>
      <c r="AI631" s="45"/>
      <c r="AJ631" s="45"/>
      <c r="AL631" s="45"/>
      <c r="AM631" s="46"/>
      <c r="AN631" s="46"/>
    </row>
    <row r="632" spans="1:40">
      <c r="D632" s="42"/>
      <c r="E632" s="42"/>
      <c r="F632" s="45"/>
      <c r="H632" s="45"/>
      <c r="I632" s="45"/>
      <c r="J632" s="47"/>
      <c r="K632" s="47"/>
      <c r="L632" s="164"/>
      <c r="M632" s="164"/>
      <c r="N632" s="47"/>
      <c r="O632" s="47"/>
      <c r="P632" s="45"/>
      <c r="Q632" s="45"/>
      <c r="R632" s="45"/>
      <c r="U632" s="42"/>
      <c r="V632" s="45"/>
      <c r="Y632" s="45"/>
      <c r="Z632" s="47"/>
      <c r="AA632" s="164"/>
      <c r="AB632" s="164"/>
      <c r="AC632" s="47"/>
      <c r="AD632" s="47"/>
      <c r="AE632" s="45"/>
      <c r="AF632" s="45"/>
      <c r="AH632" s="51"/>
      <c r="AI632" s="45"/>
      <c r="AJ632" s="45"/>
      <c r="AL632" s="45"/>
      <c r="AM632" s="46"/>
      <c r="AN632" s="46"/>
    </row>
    <row r="633" spans="1:40">
      <c r="F633" s="50"/>
      <c r="H633" s="50"/>
      <c r="I633" s="50"/>
      <c r="J633" s="326"/>
      <c r="K633" s="326"/>
      <c r="L633" s="50"/>
      <c r="M633" s="50"/>
      <c r="N633" s="50"/>
      <c r="O633" s="50"/>
      <c r="P633" s="50"/>
      <c r="Q633" s="50"/>
      <c r="R633" s="50"/>
      <c r="V633" s="50"/>
      <c r="Y633" s="50"/>
      <c r="Z633" s="326"/>
      <c r="AA633" s="50"/>
      <c r="AB633" s="50"/>
      <c r="AC633" s="50"/>
      <c r="AD633" s="50"/>
      <c r="AE633" s="50"/>
      <c r="AF633" s="50"/>
      <c r="AI633" s="50"/>
      <c r="AJ633" s="50"/>
      <c r="AK633" s="111"/>
      <c r="AL633" s="50"/>
      <c r="AM633" s="46"/>
      <c r="AN633" s="46"/>
    </row>
    <row r="634" spans="1:40">
      <c r="C634" s="42"/>
      <c r="F634" s="45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V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1:40">
      <c r="F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V635" s="45"/>
      <c r="Y635" s="45"/>
      <c r="Z635" s="47"/>
      <c r="AA635" s="45"/>
      <c r="AB635" s="45"/>
      <c r="AC635" s="47"/>
      <c r="AD635" s="47"/>
      <c r="AH635" s="51"/>
      <c r="AI635" s="45"/>
      <c r="AJ635" s="45"/>
      <c r="AL635" s="45"/>
      <c r="AM635" s="46"/>
      <c r="AN635" s="46"/>
    </row>
    <row r="636" spans="1:40">
      <c r="C636" s="42"/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T636" s="42"/>
      <c r="V636" s="45"/>
      <c r="Y636" s="45"/>
      <c r="Z636" s="47"/>
      <c r="AA636" s="45"/>
      <c r="AB636" s="45"/>
      <c r="AC636" s="47"/>
      <c r="AD636" s="47"/>
      <c r="AE636" s="45"/>
      <c r="AF636" s="45"/>
      <c r="AH636" s="51"/>
      <c r="AI636" s="45"/>
      <c r="AJ636" s="45"/>
      <c r="AL636" s="45"/>
      <c r="AM636" s="46"/>
      <c r="AN636" s="46"/>
    </row>
    <row r="637" spans="1:40">
      <c r="F637" s="50"/>
      <c r="H637" s="50"/>
      <c r="I637" s="50"/>
      <c r="J637" s="326"/>
      <c r="K637" s="326"/>
      <c r="L637" s="50"/>
      <c r="M637" s="50"/>
      <c r="N637" s="50"/>
      <c r="O637" s="50"/>
      <c r="P637" s="50"/>
      <c r="Q637" s="50"/>
      <c r="R637" s="50"/>
      <c r="V637" s="50"/>
      <c r="Y637" s="50"/>
      <c r="Z637" s="326"/>
      <c r="AA637" s="50"/>
      <c r="AB637" s="50"/>
      <c r="AC637" s="50"/>
      <c r="AD637" s="50"/>
      <c r="AE637" s="50"/>
      <c r="AF637" s="50"/>
      <c r="AI637" s="50"/>
      <c r="AJ637" s="50"/>
      <c r="AK637" s="111"/>
      <c r="AL637" s="50"/>
    </row>
    <row r="639" spans="1:40">
      <c r="C639" s="42"/>
      <c r="L639" s="45"/>
      <c r="M639" s="45"/>
      <c r="P639" s="45"/>
      <c r="Q639" s="45"/>
      <c r="R639" s="45"/>
      <c r="T639" s="42"/>
    </row>
    <row r="640" spans="1:40">
      <c r="A640" s="42"/>
      <c r="L640" s="45"/>
      <c r="M640" s="45"/>
      <c r="P640" s="45"/>
      <c r="Q640" s="45"/>
      <c r="R640" s="45"/>
    </row>
    <row r="641" spans="12:18">
      <c r="L641" s="45"/>
      <c r="M641" s="45"/>
      <c r="P641" s="45"/>
      <c r="Q641" s="45"/>
      <c r="R641" s="45"/>
    </row>
    <row r="642" spans="12:18">
      <c r="L642" s="45"/>
      <c r="M642" s="45"/>
      <c r="P642" s="45"/>
      <c r="Q642" s="45"/>
      <c r="R642" s="45"/>
    </row>
    <row r="643" spans="12:18">
      <c r="L643" s="45"/>
      <c r="M643" s="45"/>
      <c r="P643" s="45"/>
      <c r="Q643" s="45"/>
      <c r="R643" s="45"/>
    </row>
    <row r="644" spans="12:18">
      <c r="L644" s="45"/>
      <c r="M644" s="45"/>
      <c r="P644" s="45"/>
      <c r="Q644" s="45"/>
      <c r="R644" s="45"/>
    </row>
    <row r="645" spans="12:18">
      <c r="L645" s="45"/>
      <c r="M645" s="45"/>
      <c r="P645" s="45"/>
      <c r="Q645" s="45"/>
      <c r="R645" s="45"/>
    </row>
    <row r="678" spans="49:49">
      <c r="AW678" s="45"/>
    </row>
    <row r="679" spans="49:49">
      <c r="AW679" s="45"/>
    </row>
    <row r="680" spans="49:49">
      <c r="AW680" s="45"/>
    </row>
    <row r="681" spans="49:49">
      <c r="AW681" s="45"/>
    </row>
    <row r="682" spans="49:49">
      <c r="AW682" s="45"/>
    </row>
    <row r="683" spans="49:49">
      <c r="AW683" s="45"/>
    </row>
    <row r="686" spans="49:49">
      <c r="AW686" s="45"/>
    </row>
    <row r="687" spans="49:49">
      <c r="AW687" s="45"/>
    </row>
    <row r="688" spans="49:49">
      <c r="AW688" s="45"/>
    </row>
    <row r="689" spans="49:49">
      <c r="AW689" s="45"/>
    </row>
    <row r="690" spans="49:49">
      <c r="AW690" s="45"/>
    </row>
    <row r="691" spans="49:49">
      <c r="AW691" s="45"/>
    </row>
    <row r="692" spans="49:49">
      <c r="AW692" s="45"/>
    </row>
    <row r="693" spans="49:49">
      <c r="AW693" s="45"/>
    </row>
    <row r="696" spans="49:49">
      <c r="AW696" s="45"/>
    </row>
    <row r="697" spans="49:49">
      <c r="AW697" s="45"/>
    </row>
    <row r="700" spans="49:49">
      <c r="AW700" s="45"/>
    </row>
    <row r="701" spans="49:49">
      <c r="AW701" s="45"/>
    </row>
    <row r="702" spans="49:49">
      <c r="AW702" s="45"/>
    </row>
    <row r="703" spans="49:49">
      <c r="AW703" s="45"/>
    </row>
    <row r="711" spans="45:69">
      <c r="AY711" s="42"/>
    </row>
    <row r="712" spans="45:69">
      <c r="AY712" s="42"/>
    </row>
    <row r="713" spans="45:69">
      <c r="BD713" s="42"/>
    </row>
    <row r="714" spans="45:69">
      <c r="BD714" s="42"/>
    </row>
    <row r="715" spans="45:69">
      <c r="AS715" s="42"/>
      <c r="BD715" s="42"/>
    </row>
    <row r="717" spans="45:69"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</row>
    <row r="718" spans="45:69">
      <c r="AX718" s="42"/>
    </row>
    <row r="719" spans="45:69">
      <c r="AX719" s="49"/>
      <c r="AY719" s="49"/>
      <c r="AZ719" s="49"/>
      <c r="BA719" s="49"/>
      <c r="BC719" s="44"/>
      <c r="BD719" s="44"/>
    </row>
    <row r="720" spans="45:69">
      <c r="AV720" s="44"/>
      <c r="AW720" s="44"/>
      <c r="AZ720" s="44"/>
      <c r="BA720" s="44"/>
      <c r="BC720" s="44"/>
      <c r="BD720" s="44"/>
      <c r="BE720" s="44"/>
      <c r="BG720" s="49"/>
      <c r="BH720" s="42"/>
      <c r="BK720" s="49"/>
      <c r="BM720" s="49"/>
      <c r="BN720" s="42"/>
      <c r="BQ720" s="49"/>
    </row>
    <row r="721" spans="45:69"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H721" s="44"/>
      <c r="BI721" s="44"/>
      <c r="BJ721" s="44"/>
      <c r="BN721" s="44"/>
      <c r="BO721" s="44"/>
      <c r="BP721" s="44"/>
    </row>
    <row r="722" spans="45:69">
      <c r="AS722" s="44"/>
      <c r="AU722" s="42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G722" s="44"/>
      <c r="BH722" s="44"/>
      <c r="BI722" s="44"/>
      <c r="BJ722" s="44"/>
      <c r="BK722" s="44"/>
      <c r="BM722" s="44"/>
      <c r="BN722" s="44"/>
      <c r="BO722" s="44"/>
      <c r="BP722" s="44"/>
      <c r="BQ722" s="44"/>
    </row>
    <row r="723" spans="45:69">
      <c r="AS723" s="44"/>
      <c r="AU723" s="42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G723" s="44"/>
      <c r="BH723" s="44"/>
      <c r="BI723" s="44"/>
      <c r="BJ723" s="44"/>
      <c r="BK723" s="44"/>
      <c r="BM723" s="44"/>
      <c r="BN723" s="44"/>
      <c r="BO723" s="44"/>
      <c r="BP723" s="44"/>
      <c r="BQ723" s="44"/>
    </row>
    <row r="724" spans="45:69"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G724" s="49"/>
      <c r="BH724" s="49"/>
      <c r="BI724" s="49"/>
      <c r="BJ724" s="49"/>
      <c r="BK724" s="49"/>
      <c r="BM724" s="49"/>
      <c r="BN724" s="49"/>
      <c r="BO724" s="49"/>
      <c r="BP724" s="49"/>
      <c r="BQ724" s="49"/>
    </row>
    <row r="725" spans="45:69"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</row>
    <row r="726" spans="45:69">
      <c r="AU726" s="42"/>
      <c r="AV726" s="44"/>
      <c r="AY726" s="47"/>
    </row>
    <row r="727" spans="45:69">
      <c r="AV727" s="44"/>
      <c r="AW727" s="45"/>
      <c r="AX727" s="56"/>
      <c r="AY727" s="56"/>
      <c r="AZ727" s="56"/>
      <c r="BA727" s="46"/>
      <c r="BB727" s="56"/>
      <c r="BC727" s="47"/>
      <c r="BD727" s="47"/>
      <c r="BE727" s="46"/>
      <c r="BG727" s="56"/>
      <c r="BH727" s="56"/>
      <c r="BI727" s="56"/>
      <c r="BJ727" s="56"/>
      <c r="BK727" s="56"/>
      <c r="BM727" s="56"/>
      <c r="BN727" s="56"/>
      <c r="BO727" s="56"/>
      <c r="BP727" s="56"/>
      <c r="BQ727" s="56"/>
    </row>
    <row r="728" spans="45:69">
      <c r="AV728" s="44"/>
      <c r="AW728" s="45"/>
      <c r="AX728" s="56"/>
      <c r="AY728" s="56"/>
      <c r="AZ728" s="56"/>
      <c r="BA728" s="46"/>
      <c r="BB728" s="56"/>
      <c r="BC728" s="47"/>
      <c r="BD728" s="47"/>
      <c r="BE728" s="46"/>
      <c r="BG728" s="56"/>
      <c r="BH728" s="56"/>
      <c r="BI728" s="56"/>
      <c r="BJ728" s="56"/>
      <c r="BK728" s="56"/>
      <c r="BM728" s="56"/>
      <c r="BN728" s="56"/>
      <c r="BO728" s="56"/>
      <c r="BP728" s="56"/>
      <c r="BQ728" s="56"/>
    </row>
    <row r="729" spans="45:69">
      <c r="AV729" s="44"/>
      <c r="AW729" s="45"/>
      <c r="AX729" s="56"/>
      <c r="AY729" s="56"/>
      <c r="AZ729" s="56"/>
      <c r="BA729" s="46"/>
      <c r="BB729" s="56"/>
      <c r="BC729" s="47"/>
      <c r="BD729" s="47"/>
      <c r="BE729" s="46"/>
      <c r="BG729" s="56"/>
      <c r="BH729" s="56"/>
      <c r="BI729" s="56"/>
      <c r="BJ729" s="56"/>
      <c r="BK729" s="56"/>
      <c r="BM729" s="56"/>
      <c r="BN729" s="56"/>
      <c r="BO729" s="56"/>
      <c r="BP729" s="56"/>
      <c r="BQ729" s="56"/>
    </row>
    <row r="730" spans="45:69">
      <c r="AV730" s="44"/>
      <c r="AW730" s="45"/>
      <c r="AX730" s="56"/>
      <c r="AY730" s="56"/>
      <c r="AZ730" s="56"/>
      <c r="BA730" s="46"/>
      <c r="BB730" s="56"/>
      <c r="BC730" s="47"/>
      <c r="BD730" s="47"/>
      <c r="BE730" s="46"/>
      <c r="BG730" s="56"/>
      <c r="BH730" s="56"/>
      <c r="BI730" s="56"/>
      <c r="BJ730" s="56"/>
      <c r="BK730" s="56"/>
      <c r="BM730" s="56"/>
      <c r="BN730" s="56"/>
      <c r="BO730" s="56"/>
      <c r="BP730" s="56"/>
      <c r="BQ730" s="56"/>
    </row>
    <row r="731" spans="45:69">
      <c r="AV731" s="44"/>
      <c r="AW731" s="45"/>
      <c r="AX731" s="56"/>
      <c r="AY731" s="56"/>
      <c r="AZ731" s="56"/>
      <c r="BA731" s="46"/>
      <c r="BB731" s="56"/>
      <c r="BC731" s="47"/>
      <c r="BD731" s="47"/>
      <c r="BE731" s="46"/>
      <c r="BG731" s="56"/>
      <c r="BH731" s="56"/>
      <c r="BI731" s="56"/>
      <c r="BJ731" s="56"/>
      <c r="BK731" s="56"/>
      <c r="BM731" s="56"/>
      <c r="BN731" s="56"/>
      <c r="BO731" s="56"/>
      <c r="BP731" s="56"/>
      <c r="BQ731" s="56"/>
    </row>
    <row r="732" spans="45:69">
      <c r="AV732" s="44"/>
      <c r="AW732" s="45"/>
      <c r="AX732" s="56"/>
      <c r="AY732" s="56"/>
      <c r="AZ732" s="56"/>
      <c r="BA732" s="46"/>
      <c r="BB732" s="56"/>
      <c r="BC732" s="47"/>
      <c r="BD732" s="47"/>
      <c r="BE732" s="46"/>
      <c r="BG732" s="56"/>
      <c r="BH732" s="56"/>
      <c r="BI732" s="56"/>
      <c r="BJ732" s="56"/>
      <c r="BK732" s="56"/>
      <c r="BM732" s="56"/>
      <c r="BN732" s="56"/>
      <c r="BO732" s="56"/>
      <c r="BP732" s="56"/>
      <c r="BQ732" s="56"/>
    </row>
    <row r="733" spans="45:69">
      <c r="AV733" s="44"/>
      <c r="AW733" s="45"/>
      <c r="AX733" s="56"/>
      <c r="AY733" s="56"/>
      <c r="AZ733" s="56"/>
      <c r="BA733" s="46"/>
      <c r="BB733" s="56"/>
      <c r="BC733" s="47"/>
      <c r="BD733" s="47"/>
      <c r="BE733" s="46"/>
      <c r="BG733" s="56"/>
      <c r="BH733" s="56"/>
      <c r="BI733" s="56"/>
      <c r="BJ733" s="56"/>
      <c r="BK733" s="56"/>
      <c r="BM733" s="56"/>
      <c r="BN733" s="56"/>
      <c r="BO733" s="56"/>
      <c r="BP733" s="56"/>
      <c r="BQ733" s="56"/>
    </row>
    <row r="734" spans="45:69">
      <c r="AY734" s="47"/>
      <c r="AZ734" s="56"/>
      <c r="BA734" s="46"/>
      <c r="BB734" s="56"/>
      <c r="BC734" s="47"/>
      <c r="BD734" s="47"/>
      <c r="BE734" s="46"/>
      <c r="BK734" s="56"/>
      <c r="BQ734" s="56"/>
    </row>
    <row r="735" spans="45:69">
      <c r="AV735" s="44"/>
      <c r="AY735" s="47"/>
      <c r="AZ735" s="56"/>
      <c r="BA735" s="46"/>
      <c r="BB735" s="56"/>
      <c r="BC735" s="47"/>
      <c r="BD735" s="47"/>
      <c r="BE735" s="46"/>
      <c r="BK735" s="56"/>
      <c r="BQ735" s="56"/>
    </row>
    <row r="736" spans="45:69">
      <c r="AV736" s="44"/>
      <c r="AW736" s="45"/>
      <c r="AX736" s="56"/>
      <c r="AY736" s="56"/>
      <c r="AZ736" s="56"/>
      <c r="BA736" s="46"/>
      <c r="BB736" s="56"/>
      <c r="BC736" s="47"/>
      <c r="BD736" s="47"/>
      <c r="BE736" s="46"/>
      <c r="BG736" s="56"/>
      <c r="BH736" s="56"/>
      <c r="BI736" s="56"/>
      <c r="BJ736" s="56"/>
      <c r="BK736" s="56"/>
      <c r="BM736" s="56"/>
      <c r="BN736" s="56"/>
      <c r="BO736" s="56"/>
      <c r="BP736" s="56"/>
      <c r="BQ736" s="56"/>
    </row>
    <row r="737" spans="45:69">
      <c r="AV737" s="44"/>
      <c r="AW737" s="45"/>
      <c r="AX737" s="56"/>
      <c r="AY737" s="56"/>
      <c r="AZ737" s="56"/>
      <c r="BA737" s="46"/>
      <c r="BB737" s="56"/>
      <c r="BC737" s="47"/>
      <c r="BD737" s="47"/>
      <c r="BE737" s="46"/>
      <c r="BG737" s="56"/>
      <c r="BH737" s="56"/>
      <c r="BI737" s="56"/>
      <c r="BJ737" s="56"/>
      <c r="BK737" s="56"/>
      <c r="BM737" s="56"/>
      <c r="BN737" s="56"/>
      <c r="BO737" s="56"/>
      <c r="BP737" s="56"/>
      <c r="BQ737" s="56"/>
    </row>
    <row r="738" spans="45:69">
      <c r="AV738" s="44"/>
      <c r="AW738" s="45"/>
      <c r="AX738" s="56"/>
      <c r="AY738" s="56"/>
      <c r="AZ738" s="56"/>
      <c r="BA738" s="46"/>
      <c r="BB738" s="56"/>
      <c r="BC738" s="47"/>
      <c r="BD738" s="47"/>
      <c r="BE738" s="46"/>
      <c r="BG738" s="56"/>
      <c r="BH738" s="56"/>
      <c r="BI738" s="56"/>
      <c r="BJ738" s="56"/>
      <c r="BK738" s="56"/>
      <c r="BM738" s="56"/>
      <c r="BN738" s="56"/>
      <c r="BO738" s="56"/>
      <c r="BP738" s="56"/>
      <c r="BQ738" s="56"/>
    </row>
    <row r="739" spans="45:69">
      <c r="AV739" s="44"/>
      <c r="AW739" s="45"/>
      <c r="AX739" s="56"/>
      <c r="AY739" s="56"/>
      <c r="AZ739" s="56"/>
      <c r="BA739" s="46"/>
      <c r="BB739" s="56"/>
      <c r="BC739" s="47"/>
      <c r="BD739" s="47"/>
      <c r="BE739" s="46"/>
      <c r="BG739" s="56"/>
      <c r="BH739" s="56"/>
      <c r="BI739" s="56"/>
      <c r="BJ739" s="56"/>
      <c r="BK739" s="56"/>
      <c r="BM739" s="56"/>
      <c r="BN739" s="56"/>
      <c r="BO739" s="56"/>
      <c r="BP739" s="56"/>
      <c r="BQ739" s="56"/>
    </row>
    <row r="740" spans="45:69">
      <c r="AV740" s="44"/>
      <c r="AW740" s="45"/>
      <c r="AX740" s="56"/>
      <c r="AY740" s="56"/>
      <c r="AZ740" s="56"/>
      <c r="BA740" s="46"/>
      <c r="BB740" s="56"/>
      <c r="BC740" s="47"/>
      <c r="BD740" s="47"/>
      <c r="BE740" s="46"/>
      <c r="BG740" s="56"/>
      <c r="BH740" s="56"/>
      <c r="BI740" s="56"/>
      <c r="BJ740" s="56"/>
      <c r="BK740" s="56"/>
      <c r="BM740" s="56"/>
      <c r="BN740" s="56"/>
      <c r="BO740" s="56"/>
      <c r="BP740" s="56"/>
      <c r="BQ740" s="56"/>
    </row>
    <row r="741" spans="45:69">
      <c r="AV741" s="44"/>
      <c r="AW741" s="45"/>
      <c r="AX741" s="56"/>
      <c r="AY741" s="56"/>
      <c r="AZ741" s="56"/>
      <c r="BA741" s="46"/>
      <c r="BB741" s="56"/>
      <c r="BC741" s="47"/>
      <c r="BD741" s="47"/>
      <c r="BE741" s="46"/>
      <c r="BG741" s="56"/>
      <c r="BH741" s="56"/>
      <c r="BI741" s="56"/>
      <c r="BJ741" s="56"/>
      <c r="BK741" s="56"/>
      <c r="BM741" s="56"/>
      <c r="BN741" s="56"/>
      <c r="BO741" s="56"/>
      <c r="BP741" s="56"/>
      <c r="BQ741" s="56"/>
    </row>
    <row r="742" spans="45:69">
      <c r="AV742" s="44"/>
      <c r="AW742" s="45"/>
      <c r="AX742" s="56"/>
      <c r="AY742" s="56"/>
      <c r="AZ742" s="56"/>
      <c r="BA742" s="46"/>
      <c r="BB742" s="56"/>
      <c r="BC742" s="47"/>
      <c r="BD742" s="47"/>
      <c r="BE742" s="46"/>
      <c r="BG742" s="56"/>
      <c r="BH742" s="56"/>
      <c r="BI742" s="56"/>
      <c r="BJ742" s="56"/>
      <c r="BK742" s="56"/>
      <c r="BM742" s="56"/>
      <c r="BN742" s="56"/>
      <c r="BO742" s="56"/>
      <c r="BP742" s="56"/>
      <c r="BQ742" s="56"/>
    </row>
    <row r="743" spans="45:69">
      <c r="AV743" s="44"/>
      <c r="AW743" s="45"/>
      <c r="AX743" s="56"/>
      <c r="AY743" s="56"/>
      <c r="AZ743" s="56"/>
      <c r="BA743" s="46"/>
      <c r="BB743" s="56"/>
      <c r="BC743" s="47"/>
      <c r="BD743" s="47"/>
      <c r="BE743" s="46"/>
      <c r="BG743" s="56"/>
      <c r="BH743" s="56"/>
      <c r="BI743" s="56"/>
      <c r="BJ743" s="56"/>
      <c r="BK743" s="56"/>
      <c r="BM743" s="56"/>
      <c r="BN743" s="56"/>
      <c r="BO743" s="56"/>
      <c r="BP743" s="56"/>
      <c r="BQ743" s="56"/>
    </row>
    <row r="744" spans="45:69">
      <c r="AY744" s="47"/>
      <c r="AZ744" s="56"/>
      <c r="BA744" s="46"/>
      <c r="BB744" s="56"/>
      <c r="BC744" s="47"/>
      <c r="BD744" s="47"/>
      <c r="BE744" s="46"/>
      <c r="BK744" s="56"/>
      <c r="BQ744" s="56"/>
    </row>
    <row r="745" spans="45:69">
      <c r="AU745" s="42"/>
      <c r="AZ745" s="56"/>
      <c r="BB745" s="56"/>
      <c r="BG745" s="56"/>
      <c r="BH745" s="56"/>
      <c r="BJ745" s="56"/>
      <c r="BK745" s="56"/>
    </row>
    <row r="746" spans="45:69">
      <c r="AZ746" s="56"/>
      <c r="BB746" s="56"/>
    </row>
    <row r="747" spans="45:69">
      <c r="AS747" s="42"/>
      <c r="AZ747" s="56"/>
      <c r="BB747" s="56"/>
      <c r="BI747" s="56"/>
    </row>
    <row r="748" spans="45:69">
      <c r="AZ748" s="56"/>
      <c r="BB748" s="56"/>
    </row>
    <row r="749" spans="45:69">
      <c r="AY749" s="56"/>
      <c r="BB749" s="56"/>
    </row>
    <row r="750" spans="45:69">
      <c r="AY750" s="42"/>
      <c r="AZ750" s="56"/>
      <c r="BB750" s="56"/>
    </row>
    <row r="751" spans="45:69">
      <c r="AY751" s="42"/>
      <c r="AZ751" s="56"/>
      <c r="BB751" s="56"/>
    </row>
    <row r="752" spans="45:69">
      <c r="AZ752" s="56"/>
      <c r="BB752" s="56"/>
      <c r="BD752" s="42"/>
    </row>
    <row r="753" spans="45:75">
      <c r="AZ753" s="56"/>
      <c r="BB753" s="56"/>
      <c r="BD753" s="42"/>
    </row>
    <row r="754" spans="45:75">
      <c r="AS754" s="42"/>
      <c r="AZ754" s="56"/>
      <c r="BB754" s="56"/>
      <c r="BD754" s="42"/>
    </row>
    <row r="755" spans="45:75">
      <c r="AZ755" s="56"/>
      <c r="BB755" s="56"/>
    </row>
    <row r="756" spans="45:75">
      <c r="AS756" s="49"/>
      <c r="AT756" s="49"/>
      <c r="AU756" s="49"/>
      <c r="AV756" s="49"/>
      <c r="AW756" s="49"/>
      <c r="AX756" s="49"/>
      <c r="AY756" s="49"/>
      <c r="AZ756" s="57"/>
      <c r="BA756" s="49"/>
      <c r="BB756" s="57"/>
      <c r="BC756" s="49"/>
      <c r="BD756" s="49"/>
      <c r="BE756" s="49"/>
    </row>
    <row r="757" spans="45:75">
      <c r="AX757" s="42"/>
      <c r="AZ757" s="56"/>
      <c r="BB757" s="56"/>
    </row>
    <row r="758" spans="45:75">
      <c r="AX758" s="49"/>
      <c r="AY758" s="49"/>
      <c r="AZ758" s="57"/>
      <c r="BA758" s="49"/>
      <c r="BB758" s="56"/>
      <c r="BC758" s="44"/>
      <c r="BD758" s="44"/>
    </row>
    <row r="759" spans="45:75">
      <c r="AV759" s="44"/>
      <c r="AW759" s="44"/>
      <c r="AZ759" s="58"/>
      <c r="BA759" s="44"/>
      <c r="BB759" s="56"/>
      <c r="BC759" s="44"/>
      <c r="BD759" s="44"/>
      <c r="BE759" s="44"/>
      <c r="BG759" s="49"/>
      <c r="BH759" s="49"/>
      <c r="BI759" s="42"/>
      <c r="BM759" s="49"/>
      <c r="BN759" s="49"/>
      <c r="BP759" s="49"/>
      <c r="BQ759" s="49"/>
      <c r="BR759" s="42"/>
      <c r="BV759" s="49"/>
      <c r="BW759" s="49"/>
    </row>
    <row r="760" spans="45:75">
      <c r="AV760" s="44"/>
      <c r="AW760" s="44"/>
      <c r="AX760" s="44"/>
      <c r="AY760" s="44"/>
      <c r="AZ760" s="58"/>
      <c r="BA760" s="44"/>
      <c r="BB760" s="58"/>
      <c r="BC760" s="44"/>
      <c r="BD760" s="44"/>
      <c r="BE760" s="44"/>
      <c r="BH760" s="44"/>
      <c r="BI760" s="44"/>
      <c r="BJ760" s="44"/>
      <c r="BK760" s="44"/>
      <c r="BL760" s="44"/>
      <c r="BM760" s="44"/>
      <c r="BQ760" s="44"/>
      <c r="BR760" s="44"/>
      <c r="BS760" s="44"/>
      <c r="BT760" s="44"/>
      <c r="BU760" s="44"/>
      <c r="BV760" s="44"/>
    </row>
    <row r="761" spans="45:75">
      <c r="AS761" s="44"/>
      <c r="AU761" s="42"/>
      <c r="AV761" s="44"/>
      <c r="AW761" s="44"/>
      <c r="AX761" s="44"/>
      <c r="AY761" s="44"/>
      <c r="AZ761" s="58"/>
      <c r="BA761" s="44"/>
      <c r="BB761" s="58"/>
      <c r="BC761" s="44"/>
      <c r="BD761" s="44"/>
      <c r="BE761" s="44"/>
      <c r="BG761" s="44"/>
      <c r="BH761" s="44"/>
      <c r="BI761" s="44"/>
      <c r="BJ761" s="44"/>
      <c r="BK761" s="44"/>
      <c r="BL761" s="44"/>
      <c r="BM761" s="44"/>
      <c r="BN761" s="44"/>
      <c r="BP761" s="44"/>
      <c r="BQ761" s="44"/>
      <c r="BR761" s="44"/>
      <c r="BS761" s="44"/>
      <c r="BT761" s="44"/>
      <c r="BU761" s="44"/>
      <c r="BV761" s="44"/>
      <c r="BW761" s="44"/>
    </row>
    <row r="762" spans="45:75">
      <c r="AS762" s="44"/>
      <c r="AU762" s="42"/>
      <c r="AV762" s="44"/>
      <c r="AW762" s="44"/>
      <c r="AX762" s="44"/>
      <c r="AY762" s="44"/>
      <c r="AZ762" s="58"/>
      <c r="BA762" s="44"/>
      <c r="BB762" s="58"/>
      <c r="BC762" s="44"/>
      <c r="BD762" s="44"/>
      <c r="BE762" s="44"/>
      <c r="BG762" s="44"/>
      <c r="BH762" s="44"/>
      <c r="BI762" s="44"/>
      <c r="BJ762" s="44"/>
      <c r="BK762" s="44"/>
      <c r="BL762" s="44"/>
      <c r="BM762" s="44"/>
      <c r="BN762" s="44"/>
      <c r="BP762" s="44"/>
      <c r="BQ762" s="44"/>
      <c r="BR762" s="44"/>
      <c r="BS762" s="44"/>
      <c r="BT762" s="44"/>
      <c r="BU762" s="44"/>
      <c r="BV762" s="44"/>
      <c r="BW762" s="44"/>
    </row>
    <row r="763" spans="45:75">
      <c r="AS763" s="49"/>
      <c r="AT763" s="49"/>
      <c r="AU763" s="49"/>
      <c r="AV763" s="49"/>
      <c r="AW763" s="49"/>
      <c r="AX763" s="49"/>
      <c r="AY763" s="49"/>
      <c r="AZ763" s="57"/>
      <c r="BA763" s="49"/>
      <c r="BB763" s="57"/>
      <c r="BC763" s="49"/>
      <c r="BD763" s="49"/>
      <c r="BE763" s="49"/>
      <c r="BG763" s="49"/>
      <c r="BH763" s="49"/>
      <c r="BI763" s="49"/>
      <c r="BJ763" s="49"/>
      <c r="BK763" s="49"/>
      <c r="BL763" s="49"/>
      <c r="BM763" s="49"/>
      <c r="BN763" s="49"/>
      <c r="BP763" s="49"/>
      <c r="BQ763" s="49"/>
      <c r="BR763" s="49"/>
      <c r="BS763" s="49"/>
      <c r="BT763" s="49"/>
      <c r="BU763" s="49"/>
      <c r="BV763" s="49"/>
      <c r="BW763" s="49"/>
    </row>
    <row r="764" spans="45:75">
      <c r="AV764" s="44"/>
      <c r="AW764" s="44"/>
      <c r="AX764" s="44"/>
      <c r="AY764" s="44"/>
      <c r="AZ764" s="58"/>
      <c r="BA764" s="44"/>
      <c r="BB764" s="58"/>
      <c r="BC764" s="44"/>
      <c r="BD764" s="44"/>
      <c r="BE764" s="44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</row>
    <row r="765" spans="45:75">
      <c r="AU765" s="42"/>
      <c r="AW765" s="45"/>
      <c r="AX765" s="56"/>
      <c r="AY765" s="56"/>
      <c r="AZ765" s="56"/>
      <c r="BA765" s="51"/>
      <c r="BB765" s="56"/>
      <c r="BC765" s="56"/>
      <c r="BD765" s="56"/>
      <c r="BE765" s="51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</row>
    <row r="766" spans="45:75">
      <c r="AW766" s="45"/>
      <c r="AX766" s="56"/>
      <c r="AY766" s="56"/>
      <c r="AZ766" s="56"/>
      <c r="BA766" s="51"/>
      <c r="BB766" s="56"/>
      <c r="BC766" s="56"/>
      <c r="BD766" s="56"/>
      <c r="BE766" s="51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</row>
    <row r="767" spans="45:75">
      <c r="AW767" s="45"/>
      <c r="AX767" s="56"/>
      <c r="AY767" s="56"/>
      <c r="AZ767" s="56"/>
      <c r="BA767" s="51"/>
      <c r="BB767" s="56"/>
      <c r="BC767" s="56"/>
      <c r="BD767" s="56"/>
      <c r="BE767" s="51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</row>
    <row r="768" spans="45:75">
      <c r="AW768" s="45"/>
      <c r="AX768" s="56"/>
      <c r="AY768" s="56"/>
      <c r="AZ768" s="56"/>
      <c r="BA768" s="51"/>
      <c r="BB768" s="56"/>
      <c r="BC768" s="56"/>
      <c r="BD768" s="56"/>
      <c r="BE768" s="51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</row>
    <row r="769" spans="49:75">
      <c r="AW769" s="45"/>
      <c r="AX769" s="56"/>
      <c r="AY769" s="56"/>
      <c r="AZ769" s="56"/>
      <c r="BA769" s="51"/>
      <c r="BB769" s="56"/>
      <c r="BC769" s="56"/>
      <c r="BD769" s="56"/>
      <c r="BE769" s="51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</row>
    <row r="770" spans="49:75">
      <c r="AW770" s="45"/>
      <c r="AX770" s="56"/>
      <c r="AY770" s="56"/>
      <c r="AZ770" s="56"/>
      <c r="BA770" s="51"/>
      <c r="BB770" s="56"/>
      <c r="BC770" s="56"/>
      <c r="BD770" s="56"/>
      <c r="BE770" s="51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</row>
    <row r="771" spans="49:75">
      <c r="AW771" s="45"/>
      <c r="AX771" s="56"/>
      <c r="AY771" s="56"/>
      <c r="AZ771" s="56"/>
      <c r="BA771" s="51"/>
      <c r="BB771" s="56"/>
      <c r="BC771" s="56"/>
      <c r="BD771" s="56"/>
      <c r="BE771" s="51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</row>
    <row r="772" spans="49:75">
      <c r="AW772" s="45"/>
      <c r="AX772" s="56"/>
      <c r="AY772" s="56"/>
      <c r="AZ772" s="56"/>
      <c r="BA772" s="51"/>
      <c r="BB772" s="56"/>
      <c r="BC772" s="56"/>
      <c r="BD772" s="56"/>
      <c r="BE772" s="51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</row>
    <row r="773" spans="49:75">
      <c r="AW773" s="45"/>
      <c r="AX773" s="56"/>
      <c r="AY773" s="56"/>
      <c r="AZ773" s="56"/>
      <c r="BA773" s="51"/>
      <c r="BB773" s="56"/>
      <c r="BC773" s="56"/>
      <c r="BD773" s="56"/>
      <c r="BE773" s="51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</row>
    <row r="774" spans="49:75">
      <c r="AW774" s="45"/>
      <c r="AX774" s="56"/>
      <c r="AY774" s="56"/>
      <c r="AZ774" s="56"/>
      <c r="BA774" s="51"/>
      <c r="BB774" s="56"/>
      <c r="BC774" s="56"/>
      <c r="BD774" s="56"/>
      <c r="BE774" s="51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</row>
    <row r="775" spans="49:75">
      <c r="AW775" s="45"/>
      <c r="AX775" s="56"/>
      <c r="AY775" s="56"/>
      <c r="AZ775" s="56"/>
      <c r="BA775" s="51"/>
      <c r="BB775" s="56"/>
      <c r="BC775" s="56"/>
      <c r="BD775" s="56"/>
      <c r="BE775" s="51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</row>
    <row r="776" spans="49:75">
      <c r="AW776" s="45"/>
      <c r="AX776" s="56"/>
      <c r="AY776" s="56"/>
      <c r="AZ776" s="56"/>
      <c r="BA776" s="51"/>
      <c r="BB776" s="56"/>
      <c r="BC776" s="56"/>
      <c r="BD776" s="56"/>
      <c r="BE776" s="51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</row>
    <row r="777" spans="49:75">
      <c r="AW777" s="45"/>
      <c r="AX777" s="56"/>
      <c r="AY777" s="56"/>
      <c r="AZ777" s="56"/>
      <c r="BA777" s="51"/>
      <c r="BB777" s="56"/>
      <c r="BC777" s="56"/>
      <c r="BD777" s="56"/>
      <c r="BE777" s="51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</row>
    <row r="778" spans="49:75">
      <c r="AW778" s="45"/>
      <c r="AX778" s="56"/>
      <c r="AY778" s="56"/>
      <c r="AZ778" s="56"/>
      <c r="BA778" s="51"/>
      <c r="BB778" s="56"/>
      <c r="BC778" s="56"/>
      <c r="BD778" s="56"/>
      <c r="BE778" s="51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</row>
    <row r="779" spans="49:75">
      <c r="AW779" s="45"/>
      <c r="AX779" s="56"/>
      <c r="AY779" s="56"/>
      <c r="AZ779" s="56"/>
      <c r="BA779" s="51"/>
      <c r="BB779" s="56"/>
      <c r="BC779" s="56"/>
      <c r="BD779" s="56"/>
      <c r="BE779" s="51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</row>
    <row r="780" spans="49:75">
      <c r="AW780" s="45"/>
      <c r="AX780" s="56"/>
      <c r="AY780" s="56"/>
      <c r="AZ780" s="56"/>
      <c r="BA780" s="51"/>
      <c r="BB780" s="56"/>
      <c r="BC780" s="56"/>
      <c r="BD780" s="56"/>
      <c r="BE780" s="51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</row>
    <row r="781" spans="49:75">
      <c r="AW781" s="45"/>
      <c r="AX781" s="56"/>
      <c r="AY781" s="56"/>
      <c r="AZ781" s="56"/>
      <c r="BA781" s="51"/>
      <c r="BB781" s="56"/>
      <c r="BC781" s="56"/>
      <c r="BD781" s="56"/>
      <c r="BE781" s="51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</row>
    <row r="782" spans="49:75">
      <c r="AW782" s="45"/>
      <c r="AX782" s="56"/>
      <c r="AY782" s="56"/>
      <c r="AZ782" s="56"/>
      <c r="BA782" s="51"/>
      <c r="BB782" s="56"/>
      <c r="BC782" s="56"/>
      <c r="BD782" s="56"/>
      <c r="BE782" s="51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9:75"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9:75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5:75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5:75">
      <c r="AW786" s="45"/>
      <c r="AX786" s="56"/>
      <c r="AY786" s="56"/>
      <c r="AZ786" s="56"/>
      <c r="BA786" s="51"/>
      <c r="BB786" s="56"/>
      <c r="BC786" s="56"/>
      <c r="BD786" s="56"/>
      <c r="BE786" s="51"/>
      <c r="BG786" s="49"/>
      <c r="BH786" s="49"/>
      <c r="BI786" s="42"/>
      <c r="BM786" s="49"/>
      <c r="BN786" s="49"/>
      <c r="BO786" s="56"/>
      <c r="BP786" s="49"/>
      <c r="BQ786" s="49"/>
      <c r="BR786" s="42"/>
      <c r="BV786" s="49"/>
      <c r="BW786" s="49"/>
    </row>
    <row r="787" spans="45:75">
      <c r="AU787" s="42"/>
      <c r="AV787" s="44"/>
      <c r="AW787" s="45"/>
      <c r="AX787" s="56"/>
      <c r="AY787" s="56"/>
      <c r="AZ787" s="56"/>
      <c r="BA787" s="51"/>
      <c r="BB787" s="56"/>
      <c r="BC787" s="56"/>
      <c r="BD787" s="56"/>
      <c r="BE787" s="51"/>
      <c r="BG787" s="58"/>
      <c r="BH787" s="56"/>
      <c r="BI787" s="56"/>
      <c r="BJ787" s="56"/>
      <c r="BK787" s="58"/>
      <c r="BL787" s="59"/>
      <c r="BM787" s="56"/>
      <c r="BN787" s="58"/>
      <c r="BO787" s="56"/>
      <c r="BP787" s="58"/>
      <c r="BQ787" s="56"/>
      <c r="BR787" s="56"/>
      <c r="BS787" s="56"/>
      <c r="BT787" s="58"/>
      <c r="BU787" s="59"/>
      <c r="BV787" s="56"/>
      <c r="BW787" s="58"/>
    </row>
    <row r="788" spans="45:75">
      <c r="AV788" s="44"/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9"/>
      <c r="BM788" s="56"/>
      <c r="BN788" s="56"/>
      <c r="BO788" s="56"/>
      <c r="BP788" s="56"/>
      <c r="BQ788" s="56"/>
      <c r="BR788" s="56"/>
      <c r="BS788" s="56"/>
      <c r="BT788" s="56"/>
      <c r="BU788" s="59"/>
      <c r="BV788" s="56"/>
      <c r="BW788" s="56"/>
    </row>
    <row r="789" spans="45:75">
      <c r="AV789" s="44"/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9"/>
      <c r="BM789" s="56"/>
      <c r="BN789" s="56"/>
      <c r="BO789" s="56"/>
      <c r="BP789" s="56"/>
      <c r="BQ789" s="56"/>
      <c r="BR789" s="56"/>
      <c r="BS789" s="56"/>
      <c r="BT789" s="56"/>
      <c r="BU789" s="59"/>
      <c r="BV789" s="56"/>
      <c r="BW789" s="56"/>
    </row>
    <row r="790" spans="45:75">
      <c r="AV790" s="44"/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9"/>
      <c r="BM790" s="56"/>
      <c r="BN790" s="56"/>
      <c r="BO790" s="56"/>
      <c r="BP790" s="56"/>
      <c r="BQ790" s="56"/>
      <c r="BR790" s="56"/>
      <c r="BS790" s="56"/>
      <c r="BT790" s="56"/>
      <c r="BU790" s="59"/>
      <c r="BV790" s="56"/>
      <c r="BW790" s="56"/>
    </row>
    <row r="791" spans="45:75"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</row>
    <row r="792" spans="45:75">
      <c r="AU792" s="42"/>
    </row>
    <row r="793" spans="45:75">
      <c r="AU793" s="42"/>
      <c r="AZ793" s="56"/>
      <c r="BA793" s="51"/>
      <c r="BB793" s="56"/>
      <c r="BC793" s="56"/>
      <c r="BD793" s="56"/>
      <c r="BE793" s="51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</row>
    <row r="794" spans="45:75">
      <c r="AS794" s="42"/>
      <c r="AZ794" s="56"/>
      <c r="BB794" s="56"/>
    </row>
    <row r="795" spans="45:75">
      <c r="AZ795" s="56"/>
      <c r="BB795" s="56"/>
      <c r="BO795" s="56"/>
      <c r="BP795" s="56"/>
      <c r="BQ795" s="56"/>
      <c r="BR795" s="56"/>
      <c r="BS795" s="56"/>
      <c r="BT795" s="56"/>
      <c r="BU795" s="56"/>
      <c r="BV795" s="56"/>
    </row>
    <row r="796" spans="45:75">
      <c r="AY796" s="56"/>
      <c r="AZ796" s="56"/>
      <c r="BB796" s="56"/>
      <c r="BO796" s="56"/>
      <c r="BP796" s="56"/>
      <c r="BQ796" s="56"/>
      <c r="BR796" s="56"/>
      <c r="BS796" s="56"/>
      <c r="BT796" s="56"/>
      <c r="BU796" s="56"/>
      <c r="BV796" s="56"/>
    </row>
    <row r="797" spans="45:75">
      <c r="AY797" s="42"/>
      <c r="AZ797" s="56"/>
      <c r="BB797" s="56"/>
      <c r="BO797" s="56"/>
      <c r="BP797" s="56"/>
      <c r="BQ797" s="56"/>
      <c r="BR797" s="56"/>
      <c r="BS797" s="56"/>
      <c r="BT797" s="56"/>
      <c r="BU797" s="56"/>
      <c r="BV797" s="56"/>
    </row>
    <row r="798" spans="45:75">
      <c r="AY798" s="42"/>
      <c r="AZ798" s="56"/>
      <c r="BB798" s="56"/>
      <c r="BO798" s="56"/>
      <c r="BP798" s="56"/>
      <c r="BQ798" s="56"/>
      <c r="BR798" s="56"/>
      <c r="BS798" s="56"/>
      <c r="BT798" s="56"/>
      <c r="BU798" s="56"/>
      <c r="BV798" s="56"/>
    </row>
    <row r="799" spans="45:75">
      <c r="AZ799" s="56"/>
      <c r="BB799" s="56"/>
      <c r="BD799" s="42"/>
      <c r="BO799" s="56"/>
      <c r="BP799" s="56"/>
      <c r="BQ799" s="56"/>
      <c r="BR799" s="56"/>
      <c r="BS799" s="56"/>
      <c r="BT799" s="56"/>
      <c r="BU799" s="56"/>
      <c r="BV799" s="56"/>
    </row>
    <row r="800" spans="45:75">
      <c r="AZ800" s="56"/>
      <c r="BB800" s="56"/>
      <c r="BD800" s="42"/>
      <c r="BO800" s="56"/>
      <c r="BP800" s="56"/>
      <c r="BQ800" s="56"/>
      <c r="BR800" s="56"/>
      <c r="BS800" s="56"/>
      <c r="BT800" s="56"/>
      <c r="BU800" s="56"/>
      <c r="BV800" s="56"/>
    </row>
    <row r="801" spans="45:74">
      <c r="AS801" s="42"/>
      <c r="AZ801" s="56"/>
      <c r="BB801" s="56"/>
      <c r="BD801" s="42"/>
      <c r="BO801" s="56"/>
      <c r="BP801" s="56"/>
      <c r="BQ801" s="56"/>
      <c r="BR801" s="56"/>
      <c r="BS801" s="56"/>
      <c r="BT801" s="56"/>
      <c r="BU801" s="56"/>
      <c r="BV801" s="56"/>
    </row>
    <row r="802" spans="45:74">
      <c r="AZ802" s="56"/>
      <c r="BB802" s="56"/>
      <c r="BO802" s="56"/>
      <c r="BP802" s="56"/>
      <c r="BQ802" s="56"/>
      <c r="BR802" s="56"/>
      <c r="BS802" s="56"/>
      <c r="BT802" s="56"/>
      <c r="BU802" s="56"/>
      <c r="BV802" s="56"/>
    </row>
    <row r="803" spans="45:74">
      <c r="AS803" s="49"/>
      <c r="AT803" s="49"/>
      <c r="AU803" s="49"/>
      <c r="AV803" s="49"/>
      <c r="AW803" s="49"/>
      <c r="AX803" s="49"/>
      <c r="AY803" s="49"/>
      <c r="AZ803" s="57"/>
      <c r="BA803" s="49"/>
      <c r="BB803" s="57"/>
      <c r="BC803" s="49"/>
      <c r="BD803" s="49"/>
      <c r="BE803" s="49"/>
      <c r="BO803" s="56"/>
      <c r="BP803" s="56"/>
      <c r="BQ803" s="56"/>
      <c r="BR803" s="56"/>
      <c r="BS803" s="56"/>
      <c r="BT803" s="56"/>
      <c r="BU803" s="56"/>
      <c r="BV803" s="56"/>
    </row>
    <row r="804" spans="45:74">
      <c r="AX804" s="42"/>
      <c r="AZ804" s="56"/>
      <c r="BB804" s="56"/>
      <c r="BO804" s="56"/>
      <c r="BP804" s="56"/>
      <c r="BQ804" s="56"/>
      <c r="BR804" s="56"/>
      <c r="BS804" s="56"/>
      <c r="BT804" s="56"/>
      <c r="BU804" s="56"/>
      <c r="BV804" s="56"/>
    </row>
    <row r="805" spans="45:74">
      <c r="AX805" s="49"/>
      <c r="AY805" s="49"/>
      <c r="AZ805" s="57"/>
      <c r="BA805" s="49"/>
      <c r="BB805" s="56"/>
      <c r="BC805" s="44"/>
      <c r="BD805" s="44"/>
      <c r="BO805" s="56"/>
      <c r="BP805" s="56"/>
      <c r="BQ805" s="56"/>
      <c r="BR805" s="56"/>
      <c r="BS805" s="56"/>
      <c r="BT805" s="56"/>
      <c r="BU805" s="56"/>
      <c r="BV805" s="56"/>
    </row>
    <row r="806" spans="45:74">
      <c r="AV806" s="44"/>
      <c r="AW806" s="44"/>
      <c r="AZ806" s="58"/>
      <c r="BA806" s="44"/>
      <c r="BB806" s="56"/>
      <c r="BC806" s="44"/>
      <c r="BD806" s="44"/>
      <c r="BE806" s="44"/>
      <c r="BG806" s="49"/>
      <c r="BH806" s="42"/>
      <c r="BK806" s="49"/>
      <c r="BM806" s="49"/>
      <c r="BN806" s="42"/>
      <c r="BQ806" s="49"/>
    </row>
    <row r="807" spans="45:74">
      <c r="AV807" s="44"/>
      <c r="AW807" s="44"/>
      <c r="AX807" s="44"/>
      <c r="AY807" s="44"/>
      <c r="AZ807" s="58"/>
      <c r="BA807" s="44"/>
      <c r="BB807" s="58"/>
      <c r="BC807" s="44"/>
      <c r="BD807" s="44"/>
      <c r="BE807" s="44"/>
      <c r="BH807" s="44"/>
      <c r="BI807" s="44"/>
      <c r="BN807" s="44"/>
      <c r="BO807" s="44"/>
    </row>
    <row r="808" spans="45:74">
      <c r="AS808" s="44"/>
      <c r="AU808" s="42"/>
      <c r="AV808" s="44"/>
      <c r="AW808" s="44"/>
      <c r="AX808" s="44"/>
      <c r="AY808" s="44"/>
      <c r="AZ808" s="58"/>
      <c r="BA808" s="44"/>
      <c r="BB808" s="58"/>
      <c r="BC808" s="44"/>
      <c r="BD808" s="44"/>
      <c r="BE808" s="44"/>
      <c r="BG808" s="44"/>
      <c r="BH808" s="44"/>
      <c r="BI808" s="44"/>
      <c r="BJ808" s="44"/>
      <c r="BK808" s="44"/>
      <c r="BM808" s="44"/>
      <c r="BN808" s="44"/>
      <c r="BO808" s="44"/>
      <c r="BP808" s="44"/>
      <c r="BQ808" s="44"/>
    </row>
    <row r="809" spans="45:74">
      <c r="AS809" s="44"/>
      <c r="AU809" s="42"/>
      <c r="AV809" s="44"/>
      <c r="AW809" s="44"/>
      <c r="AX809" s="44"/>
      <c r="AY809" s="44"/>
      <c r="AZ809" s="58"/>
      <c r="BA809" s="44"/>
      <c r="BB809" s="58"/>
      <c r="BC809" s="44"/>
      <c r="BD809" s="44"/>
      <c r="BE809" s="44"/>
      <c r="BG809" s="44"/>
      <c r="BH809" s="44"/>
      <c r="BI809" s="44"/>
      <c r="BJ809" s="44"/>
      <c r="BK809" s="44"/>
      <c r="BM809" s="44"/>
      <c r="BN809" s="44"/>
      <c r="BO809" s="44"/>
      <c r="BP809" s="44"/>
      <c r="BQ809" s="44"/>
    </row>
    <row r="810" spans="45:74">
      <c r="AS810" s="49"/>
      <c r="AT810" s="49"/>
      <c r="AU810" s="49"/>
      <c r="AV810" s="49"/>
      <c r="AW810" s="49"/>
      <c r="AX810" s="49"/>
      <c r="AY810" s="49"/>
      <c r="AZ810" s="57"/>
      <c r="BA810" s="49"/>
      <c r="BB810" s="57"/>
      <c r="BC810" s="49"/>
      <c r="BD810" s="49"/>
      <c r="BE810" s="49"/>
      <c r="BG810" s="49"/>
      <c r="BH810" s="49"/>
      <c r="BI810" s="49"/>
      <c r="BJ810" s="49"/>
      <c r="BK810" s="49"/>
      <c r="BM810" s="49"/>
      <c r="BN810" s="49"/>
      <c r="BO810" s="49"/>
      <c r="BP810" s="49"/>
      <c r="BQ810" s="49"/>
    </row>
    <row r="811" spans="45:74">
      <c r="AV811" s="44"/>
      <c r="AW811" s="44"/>
      <c r="AX811" s="44"/>
      <c r="AY811" s="44"/>
      <c r="AZ811" s="58"/>
      <c r="BA811" s="44"/>
      <c r="BB811" s="58"/>
      <c r="BC811" s="44"/>
      <c r="BD811" s="44"/>
      <c r="BE811" s="44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</row>
    <row r="812" spans="45:74">
      <c r="AT812" s="42"/>
      <c r="AV812" s="45"/>
      <c r="AW812" s="45"/>
      <c r="AX812" s="56"/>
      <c r="AY812" s="56"/>
      <c r="AZ812" s="56"/>
      <c r="BA812" s="51"/>
      <c r="BB812" s="56"/>
      <c r="BC812" s="56"/>
      <c r="BD812" s="56"/>
      <c r="BE812" s="51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</row>
    <row r="813" spans="45:74">
      <c r="AV813" s="45"/>
      <c r="AW813" s="45"/>
      <c r="AX813" s="56"/>
      <c r="AY813" s="56"/>
      <c r="AZ813" s="56"/>
      <c r="BA813" s="51"/>
      <c r="BB813" s="56"/>
      <c r="BC813" s="56"/>
      <c r="BD813" s="56"/>
      <c r="BE813" s="51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</row>
    <row r="814" spans="45:74">
      <c r="AV814" s="45"/>
      <c r="AW814" s="45"/>
      <c r="AX814" s="56"/>
      <c r="AY814" s="56"/>
      <c r="AZ814" s="56"/>
      <c r="BA814" s="51"/>
      <c r="BB814" s="56"/>
      <c r="BC814" s="56"/>
      <c r="BD814" s="56"/>
      <c r="BE814" s="51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</row>
    <row r="815" spans="45:74">
      <c r="AV815" s="45"/>
      <c r="AW815" s="45"/>
      <c r="AX815" s="56"/>
      <c r="AY815" s="56"/>
      <c r="AZ815" s="56"/>
      <c r="BA815" s="51"/>
      <c r="BB815" s="56"/>
      <c r="BC815" s="56"/>
      <c r="BD815" s="56"/>
      <c r="BE815" s="51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</row>
    <row r="816" spans="45:74">
      <c r="AV816" s="45"/>
      <c r="AW816" s="45"/>
      <c r="AX816" s="56"/>
      <c r="AY816" s="56"/>
      <c r="AZ816" s="56"/>
      <c r="BA816" s="51"/>
      <c r="BB816" s="56"/>
      <c r="BC816" s="56"/>
      <c r="BD816" s="56"/>
      <c r="BE816" s="51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</row>
    <row r="817" spans="46:71">
      <c r="AV817" s="45"/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</row>
    <row r="818" spans="46:71">
      <c r="AV818" s="45"/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</row>
    <row r="819" spans="46:71">
      <c r="AV819" s="45"/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</row>
    <row r="820" spans="46:71">
      <c r="AV820" s="45"/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</row>
    <row r="821" spans="46:71">
      <c r="AV821" s="45"/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</row>
    <row r="822" spans="46:71">
      <c r="AV822" s="45"/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</row>
    <row r="823" spans="46:71">
      <c r="AV823" s="45"/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</row>
    <row r="824" spans="46:71">
      <c r="AV824" s="45"/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</row>
    <row r="825" spans="46:71">
      <c r="AV825" s="45"/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</row>
    <row r="826" spans="46:71">
      <c r="AV826" s="45"/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</row>
    <row r="827" spans="46:71">
      <c r="AV827" s="45"/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</row>
    <row r="828" spans="46:71">
      <c r="AV828" s="45"/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</row>
    <row r="829" spans="46:71">
      <c r="AV829" s="45"/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</row>
    <row r="830" spans="46:71">
      <c r="AZ830" s="56"/>
      <c r="BB830" s="56"/>
      <c r="BC830" s="56"/>
      <c r="BD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6:71">
      <c r="AT831" s="42"/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</row>
    <row r="832" spans="46:71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</row>
    <row r="833" spans="48:57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</row>
    <row r="834" spans="48:57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</row>
    <row r="835" spans="48:57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</row>
    <row r="836" spans="48:57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</row>
    <row r="837" spans="48:57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</row>
    <row r="838" spans="48:57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</row>
    <row r="839" spans="48:57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</row>
    <row r="840" spans="48:57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</row>
    <row r="841" spans="48:57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</row>
    <row r="842" spans="48:57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</row>
    <row r="843" spans="48:57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</row>
    <row r="844" spans="48:57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</row>
    <row r="845" spans="48:57"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</row>
    <row r="846" spans="48:57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</row>
    <row r="847" spans="48:57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</row>
    <row r="848" spans="48:57">
      <c r="AV848" s="45"/>
      <c r="AW848" s="45"/>
      <c r="AX848" s="56"/>
      <c r="AY848" s="56"/>
      <c r="AZ848" s="56"/>
      <c r="BA848" s="51"/>
      <c r="BB848" s="56"/>
      <c r="BC848" s="56"/>
      <c r="BD848" s="56"/>
      <c r="BE848" s="51"/>
    </row>
    <row r="849" spans="45:57">
      <c r="BB849" s="56"/>
    </row>
    <row r="850" spans="45:57">
      <c r="AU850" s="42"/>
      <c r="BB850" s="56"/>
    </row>
    <row r="851" spans="45:57">
      <c r="AU851" s="42"/>
    </row>
    <row r="852" spans="45:57">
      <c r="AU852" s="42"/>
      <c r="BB852" s="56"/>
    </row>
    <row r="853" spans="45:57">
      <c r="AS853" s="42"/>
      <c r="AZ853" s="56"/>
      <c r="BB853" s="56"/>
    </row>
    <row r="854" spans="45:57">
      <c r="AZ854" s="56"/>
      <c r="BB854" s="56"/>
    </row>
    <row r="855" spans="45:57">
      <c r="AY855" s="56"/>
      <c r="AZ855" s="56"/>
      <c r="BB855" s="56"/>
    </row>
    <row r="856" spans="45:57">
      <c r="AY856" s="42"/>
      <c r="AZ856" s="56"/>
      <c r="BB856" s="56"/>
    </row>
    <row r="857" spans="45:57">
      <c r="AY857" s="42"/>
      <c r="AZ857" s="56"/>
      <c r="BB857" s="56"/>
    </row>
    <row r="858" spans="45:57">
      <c r="AZ858" s="56"/>
      <c r="BB858" s="56"/>
      <c r="BD858" s="42"/>
    </row>
    <row r="859" spans="45:57">
      <c r="AZ859" s="56"/>
      <c r="BB859" s="56"/>
      <c r="BD859" s="42"/>
    </row>
    <row r="860" spans="45:57">
      <c r="AS860" s="42"/>
      <c r="AZ860" s="56"/>
      <c r="BB860" s="56"/>
      <c r="BD860" s="42"/>
    </row>
    <row r="861" spans="45:57">
      <c r="AZ861" s="56"/>
      <c r="BB861" s="56"/>
    </row>
    <row r="862" spans="45:57">
      <c r="AS862" s="49"/>
      <c r="AT862" s="49"/>
      <c r="AU862" s="49"/>
      <c r="AV862" s="49"/>
      <c r="AW862" s="49"/>
      <c r="AX862" s="49"/>
      <c r="AY862" s="49"/>
      <c r="AZ862" s="57"/>
      <c r="BA862" s="49"/>
      <c r="BB862" s="57"/>
      <c r="BC862" s="49"/>
      <c r="BD862" s="49"/>
      <c r="BE862" s="49"/>
    </row>
    <row r="863" spans="45:57">
      <c r="AX863" s="42"/>
      <c r="AZ863" s="56"/>
      <c r="BB863" s="56"/>
    </row>
    <row r="864" spans="45:57">
      <c r="AX864" s="49"/>
      <c r="AY864" s="49"/>
      <c r="AZ864" s="57"/>
      <c r="BA864" s="49"/>
      <c r="BB864" s="56"/>
      <c r="BC864" s="44"/>
      <c r="BD864" s="44"/>
    </row>
    <row r="865" spans="45:57">
      <c r="AV865" s="44"/>
      <c r="AW865" s="44"/>
      <c r="AZ865" s="58"/>
      <c r="BA865" s="44"/>
      <c r="BB865" s="56"/>
      <c r="BC865" s="44"/>
      <c r="BD865" s="44"/>
      <c r="BE865" s="44"/>
    </row>
    <row r="866" spans="45:57">
      <c r="AV866" s="44"/>
      <c r="AW866" s="44"/>
      <c r="AX866" s="44"/>
      <c r="AY866" s="44"/>
      <c r="AZ866" s="58"/>
      <c r="BA866" s="44"/>
      <c r="BB866" s="58"/>
      <c r="BC866" s="44"/>
      <c r="BD866" s="44"/>
      <c r="BE866" s="44"/>
    </row>
    <row r="867" spans="45:57">
      <c r="AS867" s="44"/>
      <c r="AU867" s="42"/>
      <c r="AV867" s="44"/>
      <c r="AW867" s="44"/>
      <c r="AX867" s="44"/>
      <c r="AY867" s="44"/>
      <c r="AZ867" s="58"/>
      <c r="BA867" s="44"/>
      <c r="BB867" s="58"/>
      <c r="BC867" s="44"/>
      <c r="BD867" s="44"/>
      <c r="BE867" s="44"/>
    </row>
    <row r="868" spans="45:57">
      <c r="AS868" s="44"/>
      <c r="AU868" s="42"/>
      <c r="AV868" s="44"/>
      <c r="AW868" s="44"/>
      <c r="AX868" s="44"/>
      <c r="AY868" s="44"/>
      <c r="AZ868" s="58"/>
      <c r="BA868" s="44"/>
      <c r="BB868" s="58"/>
      <c r="BC868" s="44"/>
      <c r="BD868" s="44"/>
      <c r="BE868" s="44"/>
    </row>
    <row r="869" spans="45:57">
      <c r="AS869" s="49"/>
      <c r="AT869" s="49"/>
      <c r="AU869" s="49"/>
      <c r="AV869" s="49"/>
      <c r="AW869" s="49"/>
      <c r="AX869" s="49"/>
      <c r="AY869" s="49"/>
      <c r="AZ869" s="57"/>
      <c r="BA869" s="49"/>
      <c r="BB869" s="57"/>
      <c r="BC869" s="49"/>
      <c r="BD869" s="49"/>
      <c r="BE869" s="49"/>
    </row>
    <row r="870" spans="45:57">
      <c r="AV870" s="44"/>
      <c r="AW870" s="44"/>
      <c r="AX870" s="44"/>
      <c r="AY870" s="44"/>
      <c r="AZ870" s="58"/>
      <c r="BA870" s="44"/>
      <c r="BB870" s="58"/>
      <c r="BC870" s="44"/>
      <c r="BD870" s="44"/>
      <c r="BE870" s="44"/>
    </row>
    <row r="871" spans="45:57">
      <c r="AT871" s="42"/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</row>
    <row r="872" spans="45:57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</row>
    <row r="873" spans="45:57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</row>
    <row r="874" spans="45:57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</row>
    <row r="875" spans="45:57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</row>
    <row r="876" spans="45:57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</row>
    <row r="877" spans="45:57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</row>
    <row r="878" spans="45:57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</row>
    <row r="879" spans="45:57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</row>
    <row r="880" spans="45:57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</row>
    <row r="881" spans="45:57">
      <c r="AV881" s="45"/>
      <c r="AW881" s="45"/>
      <c r="BB881" s="56"/>
    </row>
    <row r="882" spans="45:57">
      <c r="AT882" s="42"/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5:57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5:57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5:57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5:57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5:57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5:57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5:57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5:57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5:57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3" spans="45:57">
      <c r="AU893" s="42"/>
    </row>
    <row r="894" spans="45:57">
      <c r="AU894" s="42"/>
    </row>
    <row r="895" spans="45:57">
      <c r="AU895" s="42"/>
    </row>
    <row r="896" spans="45:57">
      <c r="AS896" s="42"/>
    </row>
    <row r="917" spans="52:71">
      <c r="AZ917" s="56"/>
      <c r="BB917" s="56"/>
      <c r="BC917" s="56"/>
      <c r="BD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</row>
    <row r="918" spans="52:71">
      <c r="AZ918" s="56"/>
      <c r="BB918" s="56"/>
      <c r="BC918" s="56"/>
      <c r="BD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</row>
    <row r="919" spans="52:71">
      <c r="AZ919" s="56"/>
      <c r="BB919" s="56"/>
      <c r="BC919" s="56"/>
      <c r="BD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</row>
    <row r="920" spans="52:71">
      <c r="AZ920" s="56"/>
      <c r="BB920" s="56"/>
      <c r="BC920" s="56"/>
      <c r="BD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</row>
    <row r="921" spans="52:71">
      <c r="AZ921" s="56"/>
      <c r="BB921" s="56"/>
      <c r="BC921" s="56"/>
      <c r="BD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</row>
    <row r="922" spans="52:71">
      <c r="AZ922" s="56"/>
      <c r="BB922" s="56"/>
      <c r="BC922" s="56"/>
      <c r="BD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</row>
    <row r="923" spans="52:71">
      <c r="AZ923" s="56"/>
      <c r="BB923" s="56"/>
      <c r="BC923" s="56"/>
      <c r="BD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</row>
    <row r="924" spans="52:71">
      <c r="AZ924" s="56"/>
      <c r="BB924" s="56"/>
      <c r="BC924" s="56"/>
      <c r="BD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52:71">
      <c r="AZ925" s="56"/>
      <c r="BB925" s="56"/>
      <c r="BC925" s="56"/>
      <c r="BD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52:71">
      <c r="AZ926" s="56"/>
      <c r="BB926" s="56"/>
      <c r="BC926" s="56"/>
      <c r="BD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</row>
    <row r="927" spans="52:71">
      <c r="AZ927" s="56"/>
      <c r="BB927" s="56"/>
      <c r="BC927" s="56"/>
      <c r="BD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</row>
    <row r="928" spans="52:71">
      <c r="AZ928" s="56"/>
      <c r="BB928" s="56"/>
      <c r="BC928" s="56"/>
      <c r="BD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</row>
    <row r="929" spans="52:71">
      <c r="AZ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</row>
    <row r="930" spans="52:71">
      <c r="AZ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</row>
    <row r="931" spans="52:71">
      <c r="AZ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</row>
    <row r="932" spans="52:71">
      <c r="AZ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</row>
    <row r="933" spans="52:71">
      <c r="AZ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</row>
    <row r="934" spans="52:71">
      <c r="AZ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</row>
    <row r="935" spans="52:71">
      <c r="AZ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>
      <c r="AZ936" s="56"/>
    </row>
    <row r="937" spans="52:71">
      <c r="AZ937" s="56"/>
    </row>
    <row r="951" spans="1:28">
      <c r="A951" s="42"/>
    </row>
    <row r="954" spans="1:28">
      <c r="Y954" s="42"/>
    </row>
    <row r="955" spans="1:28">
      <c r="A955" s="42"/>
      <c r="H955" s="42"/>
      <c r="I955" s="42"/>
    </row>
    <row r="956" spans="1:28">
      <c r="A956" s="42"/>
      <c r="V956" s="44"/>
      <c r="AA956" s="44"/>
      <c r="AB956" s="44"/>
    </row>
    <row r="957" spans="1:28">
      <c r="A957" s="42"/>
      <c r="V957" s="49"/>
      <c r="AA957" s="49"/>
      <c r="AB957" s="49"/>
    </row>
    <row r="958" spans="1:28">
      <c r="A958" s="42"/>
      <c r="U958" s="42"/>
      <c r="AA958" s="44"/>
      <c r="AB958" s="44"/>
    </row>
    <row r="959" spans="1:28">
      <c r="A959" s="42"/>
    </row>
    <row r="960" spans="1:28">
      <c r="A960" s="42"/>
      <c r="U960" s="42"/>
      <c r="AA960" s="44"/>
      <c r="AB960" s="44"/>
    </row>
    <row r="961" spans="1:28">
      <c r="A961" s="42"/>
    </row>
    <row r="962" spans="1:28">
      <c r="A962" s="42"/>
      <c r="U962" s="42"/>
      <c r="V962" s="339"/>
      <c r="AA962" s="44"/>
      <c r="AB962" s="44"/>
    </row>
    <row r="963" spans="1:28">
      <c r="A963" s="42"/>
    </row>
    <row r="964" spans="1:28">
      <c r="A964" s="42"/>
      <c r="U964" s="42"/>
      <c r="AA964" s="44"/>
      <c r="AB964" s="44"/>
    </row>
    <row r="965" spans="1:28">
      <c r="A965" s="42"/>
    </row>
    <row r="966" spans="1:28">
      <c r="A966" s="42"/>
      <c r="U966" s="42"/>
      <c r="AA966" s="44"/>
      <c r="AB966" s="44"/>
    </row>
    <row r="967" spans="1:28">
      <c r="A967" s="42"/>
    </row>
    <row r="968" spans="1:28">
      <c r="A968" s="42"/>
    </row>
    <row r="969" spans="1:28">
      <c r="A969" s="42"/>
    </row>
    <row r="970" spans="1:28">
      <c r="A970" s="42"/>
    </row>
    <row r="971" spans="1:28">
      <c r="A971" s="42"/>
    </row>
    <row r="972" spans="1:28">
      <c r="A972" s="42"/>
    </row>
    <row r="973" spans="1:28">
      <c r="A973" s="42"/>
    </row>
    <row r="974" spans="1:28">
      <c r="A974" s="42"/>
    </row>
    <row r="975" spans="1:28">
      <c r="A975" s="42"/>
    </row>
    <row r="976" spans="1:28">
      <c r="A976" s="42"/>
    </row>
    <row r="977" spans="1:9">
      <c r="A977" s="42"/>
      <c r="H977" s="42"/>
      <c r="I977" s="42"/>
    </row>
    <row r="980" spans="1:9">
      <c r="A980" s="42"/>
    </row>
    <row r="983" spans="1:9">
      <c r="A983" s="42"/>
    </row>
    <row r="986" spans="1:9">
      <c r="A986" s="42"/>
    </row>
    <row r="987" spans="1:9">
      <c r="A987" s="42"/>
    </row>
    <row r="988" spans="1:9">
      <c r="A988" s="42"/>
    </row>
    <row r="989" spans="1:9">
      <c r="A989" s="42"/>
    </row>
    <row r="990" spans="1:9">
      <c r="A990" s="42"/>
    </row>
    <row r="991" spans="1:9">
      <c r="A991" s="42"/>
    </row>
    <row r="992" spans="1:9">
      <c r="A992" s="42"/>
    </row>
    <row r="993" spans="1:1">
      <c r="A993" s="42"/>
    </row>
    <row r="994" spans="1:1">
      <c r="A994" s="42"/>
    </row>
    <row r="995" spans="1:1">
      <c r="A995" s="42"/>
    </row>
    <row r="996" spans="1:1">
      <c r="A996" s="42"/>
    </row>
    <row r="997" spans="1:1">
      <c r="A997" s="42"/>
    </row>
    <row r="998" spans="1:1">
      <c r="A998" s="42"/>
    </row>
    <row r="999" spans="1:1">
      <c r="A999" s="42"/>
    </row>
    <row r="1000" spans="1:1">
      <c r="A1000" s="42"/>
    </row>
    <row r="1001" spans="1:1">
      <c r="A1001" s="42"/>
    </row>
    <row r="1002" spans="1:1">
      <c r="A1002" s="42"/>
    </row>
    <row r="1003" spans="1:1">
      <c r="A1003" s="42"/>
    </row>
    <row r="1004" spans="1:1">
      <c r="A1004" s="42"/>
    </row>
    <row r="1005" spans="1:1">
      <c r="A1005" s="42"/>
    </row>
    <row r="1006" spans="1:1">
      <c r="A1006" s="42"/>
    </row>
    <row r="1007" spans="1:1">
      <c r="A1007" s="42"/>
    </row>
    <row r="1008" spans="1:1">
      <c r="A1008" s="42"/>
    </row>
    <row r="1009" spans="1:1">
      <c r="A1009" s="42"/>
    </row>
    <row r="1010" spans="1:1">
      <c r="A1010" s="42"/>
    </row>
    <row r="1011" spans="1:1">
      <c r="A1011" s="42"/>
    </row>
    <row r="1012" spans="1:1">
      <c r="A1012" s="42"/>
    </row>
    <row r="1013" spans="1:1">
      <c r="A1013" s="42"/>
    </row>
    <row r="1014" spans="1:1">
      <c r="A1014" s="42"/>
    </row>
    <row r="1015" spans="1:1">
      <c r="A1015" s="42"/>
    </row>
    <row r="1016" spans="1:1">
      <c r="A1016" s="42"/>
    </row>
    <row r="1017" spans="1:1">
      <c r="A1017" s="42"/>
    </row>
    <row r="1018" spans="1:1">
      <c r="A1018" s="42"/>
    </row>
    <row r="1019" spans="1:1">
      <c r="A1019" s="42"/>
    </row>
    <row r="1020" spans="1:1">
      <c r="A1020" s="42"/>
    </row>
    <row r="1025" spans="1:1">
      <c r="A1025" s="42"/>
    </row>
    <row r="1026" spans="1:1">
      <c r="A1026" s="42"/>
    </row>
    <row r="1029" spans="1:1">
      <c r="A1029" s="42"/>
    </row>
    <row r="1031" spans="1:1">
      <c r="A1031" s="42"/>
    </row>
    <row r="1033" spans="1:1">
      <c r="A1033" s="42"/>
    </row>
    <row r="1035" spans="1:1">
      <c r="A1035" s="42"/>
    </row>
    <row r="1038" spans="1:1">
      <c r="A1038" s="42"/>
    </row>
    <row r="1039" spans="1:1">
      <c r="A1039" s="42"/>
    </row>
    <row r="1040" spans="1:1">
      <c r="A1040" s="42"/>
    </row>
    <row r="1041" spans="1:1">
      <c r="A1041" s="42"/>
    </row>
    <row r="1042" spans="1:1">
      <c r="A1042" s="42"/>
    </row>
    <row r="1043" spans="1:1">
      <c r="A1043" s="42"/>
    </row>
    <row r="1044" spans="1:1">
      <c r="A1044" s="42"/>
    </row>
    <row r="1045" spans="1:1">
      <c r="A1045" s="42"/>
    </row>
  </sheetData>
  <pageMargins left="0.5" right="0.5" top="1" bottom="0" header="0" footer="0"/>
  <pageSetup scale="64" orientation="landscape" r:id="rId1"/>
  <headerFooter alignWithMargins="0"/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transitionEntry="1" codeName="Sheet24">
    <pageSetUpPr fitToPage="1"/>
  </sheetPr>
  <dimension ref="A1:BX1111"/>
  <sheetViews>
    <sheetView workbookViewId="0"/>
  </sheetViews>
  <sheetFormatPr defaultColWidth="9.69921875" defaultRowHeight="15.75"/>
  <cols>
    <col min="1" max="1" width="4.8984375" style="41" customWidth="1"/>
    <col min="2" max="2" width="0.69921875" style="41" customWidth="1"/>
    <col min="3" max="3" width="7.69921875" style="41" customWidth="1"/>
    <col min="4" max="4" width="43.8984375" style="41" customWidth="1"/>
    <col min="5" max="5" width="0.69921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2.0976562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8.0976562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7.69921875" style="41" customWidth="1"/>
    <col min="23" max="23" width="43.69921875" style="41" customWidth="1"/>
    <col min="24" max="24" width="0.5976562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2.296875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10 OF "&amp;TEXT(Page_Num_2.3,"00")</f>
        <v>PAGE 10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>
      <c r="A10" s="133" t="str">
        <f>INPUT!B5</f>
        <v xml:space="preserve"> </v>
      </c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>
      <c r="H19" s="309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>
      <c r="A20" s="41">
        <v>1</v>
      </c>
      <c r="C20" s="133" t="s">
        <v>364</v>
      </c>
      <c r="D20" s="133" t="s">
        <v>362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>
      <c r="A21" s="41">
        <v>2</v>
      </c>
      <c r="C21" s="130"/>
      <c r="D21" s="133" t="s">
        <v>132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ht="19.5" customHeight="1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>
      <c r="A23" s="41">
        <v>3</v>
      </c>
      <c r="C23" s="133" t="s">
        <v>133</v>
      </c>
      <c r="F23" s="68"/>
      <c r="G23" s="1"/>
      <c r="H23" s="68"/>
      <c r="I23" s="68"/>
      <c r="J23" s="76"/>
      <c r="K23" s="76"/>
      <c r="L23" s="3"/>
      <c r="M23" s="3"/>
      <c r="N23" s="4"/>
      <c r="O23" s="4"/>
      <c r="P23" s="1"/>
      <c r="Q23" s="1"/>
      <c r="R23" s="3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>
      <c r="A24" s="41">
        <v>4</v>
      </c>
      <c r="C24" s="42" t="s">
        <v>311</v>
      </c>
      <c r="F24" s="164">
        <f>'[11]Forecast BILLS'!$G$71</f>
        <v>12</v>
      </c>
      <c r="G24" s="1"/>
      <c r="H24" s="68"/>
      <c r="I24" s="68"/>
      <c r="J24" s="316">
        <f>INPUT!D154</f>
        <v>183</v>
      </c>
      <c r="K24" s="76"/>
      <c r="L24" s="3">
        <f>ROUND(F24*J24,0)</f>
        <v>2196</v>
      </c>
      <c r="M24" s="3"/>
      <c r="N24" s="70">
        <f>ROUND((L24/$L$39)*100,1)</f>
        <v>2.4</v>
      </c>
      <c r="O24" s="4"/>
      <c r="P24" s="1"/>
      <c r="Q24" s="1"/>
      <c r="R24" s="3">
        <f>L24+P24</f>
        <v>2196</v>
      </c>
      <c r="S24" s="45"/>
      <c r="V24" s="50"/>
      <c r="Y24" s="45"/>
      <c r="Z24" s="164"/>
      <c r="AA24" s="45"/>
      <c r="AB24" s="45"/>
      <c r="AC24" s="46"/>
      <c r="AD24" s="46"/>
      <c r="AE24" s="45"/>
      <c r="AF24" s="45"/>
      <c r="AI24" s="45"/>
      <c r="AJ24" s="45"/>
      <c r="AL24" s="45"/>
    </row>
    <row r="25" spans="1:40" ht="20.100000000000001" customHeight="1">
      <c r="A25" s="41">
        <v>5</v>
      </c>
      <c r="C25" s="133" t="s">
        <v>136</v>
      </c>
      <c r="F25" s="3"/>
      <c r="G25" s="1"/>
      <c r="H25" s="3"/>
      <c r="I25" s="3"/>
      <c r="J25" s="326"/>
      <c r="K25" s="314"/>
      <c r="L25" s="72">
        <f>SUM(L24)</f>
        <v>2196</v>
      </c>
      <c r="M25" s="3"/>
      <c r="N25" s="70">
        <f>ROUND((L25/$L$39)*100,1)</f>
        <v>2.4</v>
      </c>
      <c r="O25" s="4"/>
      <c r="P25" s="72"/>
      <c r="Q25" s="3"/>
      <c r="R25" s="72">
        <f>SUM(R24)</f>
        <v>2196</v>
      </c>
      <c r="S25" s="45"/>
      <c r="T25" s="42"/>
      <c r="V25" s="45"/>
      <c r="Y25" s="45"/>
      <c r="Z25" s="325"/>
      <c r="AA25" s="45"/>
      <c r="AB25" s="45"/>
      <c r="AC25" s="46"/>
      <c r="AD25" s="46"/>
      <c r="AE25" s="45"/>
      <c r="AF25" s="45"/>
      <c r="AH25" s="46"/>
      <c r="AI25" s="45"/>
      <c r="AJ25" s="45"/>
      <c r="AL25" s="45"/>
      <c r="AM25" s="46"/>
      <c r="AN25" s="46"/>
    </row>
    <row r="26" spans="1:40" ht="24" customHeight="1">
      <c r="F26" s="3"/>
      <c r="G26" s="1"/>
      <c r="H26" s="3"/>
      <c r="I26" s="3"/>
      <c r="J26" s="326"/>
      <c r="K26" s="314"/>
      <c r="L26" s="3"/>
      <c r="M26" s="3"/>
      <c r="N26" s="3"/>
      <c r="O26" s="3"/>
      <c r="P26" s="3"/>
      <c r="Q26" s="3"/>
      <c r="R26" s="3"/>
      <c r="S26" s="45"/>
      <c r="V26" s="50"/>
      <c r="Y26" s="50"/>
      <c r="Z26" s="326"/>
      <c r="AA26" s="50"/>
      <c r="AB26" s="50"/>
      <c r="AC26" s="50"/>
      <c r="AD26" s="50"/>
      <c r="AE26" s="50"/>
      <c r="AF26" s="50"/>
      <c r="AI26" s="50"/>
      <c r="AJ26" s="50"/>
      <c r="AK26" s="111"/>
      <c r="AL26" s="50"/>
      <c r="AM26" s="46"/>
      <c r="AN26" s="46"/>
    </row>
    <row r="27" spans="1:40">
      <c r="A27" s="41">
        <v>6</v>
      </c>
      <c r="C27" s="133" t="s">
        <v>67</v>
      </c>
      <c r="F27" s="68"/>
      <c r="G27" s="1"/>
      <c r="H27" s="68"/>
      <c r="I27" s="68"/>
      <c r="J27" s="331"/>
      <c r="K27" s="319"/>
      <c r="L27" s="3"/>
      <c r="M27" s="3"/>
      <c r="N27" s="4"/>
      <c r="O27" s="4"/>
      <c r="P27" s="68"/>
      <c r="Q27" s="68"/>
      <c r="R27" s="3"/>
      <c r="S27" s="45"/>
      <c r="T27" s="42"/>
      <c r="V27" s="45"/>
      <c r="Y27" s="45"/>
      <c r="Z27" s="326"/>
      <c r="AA27" s="45"/>
      <c r="AB27" s="45"/>
      <c r="AC27" s="46"/>
      <c r="AD27" s="46"/>
      <c r="AE27" s="45"/>
      <c r="AF27" s="45"/>
      <c r="AH27" s="46"/>
      <c r="AI27" s="45"/>
      <c r="AJ27" s="45"/>
      <c r="AL27" s="45"/>
      <c r="AM27" s="46"/>
      <c r="AN27" s="46"/>
    </row>
    <row r="28" spans="1:40">
      <c r="A28" s="41">
        <v>7</v>
      </c>
      <c r="C28" s="42" t="s">
        <v>381</v>
      </c>
      <c r="F28" s="68"/>
      <c r="G28" s="1"/>
      <c r="H28" s="164">
        <f>'[11]Forecast KWH'!$J$70</f>
        <v>1106948</v>
      </c>
      <c r="I28" s="68"/>
      <c r="J28" s="323">
        <f>INPUT!D156</f>
        <v>3.3517999999999999E-2</v>
      </c>
      <c r="K28" s="319"/>
      <c r="L28" s="3">
        <f>ROUND((H28*J28),0)</f>
        <v>37103</v>
      </c>
      <c r="M28" s="3"/>
      <c r="N28" s="4">
        <f>ROUND((L28/$L$39)*100,1)</f>
        <v>41.2</v>
      </c>
      <c r="O28" s="4"/>
      <c r="P28" s="3"/>
      <c r="Q28" s="68"/>
      <c r="R28" s="3">
        <f>L28+P28</f>
        <v>37103</v>
      </c>
      <c r="S28" s="45"/>
      <c r="T28" s="42"/>
      <c r="Z28" s="326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>
      <c r="A29" s="41">
        <v>8</v>
      </c>
      <c r="C29" s="42" t="s">
        <v>370</v>
      </c>
      <c r="F29" s="68"/>
      <c r="G29" s="1"/>
      <c r="H29" s="68">
        <f>H28</f>
        <v>1106948</v>
      </c>
      <c r="I29" s="68"/>
      <c r="J29" s="323">
        <f>INPUT!D161</f>
        <v>3.9684999999999998E-2</v>
      </c>
      <c r="K29" s="319"/>
      <c r="L29" s="3">
        <f>ROUND((H29*J29),0)</f>
        <v>43929</v>
      </c>
      <c r="M29" s="3"/>
      <c r="N29" s="70">
        <f>ROUND((L29/$L$39)*100,1)</f>
        <v>48.7</v>
      </c>
      <c r="O29" s="4"/>
      <c r="P29" s="343">
        <v>0</v>
      </c>
      <c r="Q29" s="68"/>
      <c r="R29" s="3">
        <f>L29+P29</f>
        <v>43929</v>
      </c>
      <c r="S29" s="45"/>
      <c r="T29" s="42"/>
      <c r="Z29" s="326"/>
      <c r="AA29" s="45"/>
      <c r="AB29" s="45"/>
      <c r="AC29" s="46"/>
      <c r="AD29" s="46"/>
      <c r="AE29" s="45"/>
      <c r="AF29" s="45"/>
      <c r="AH29" s="46"/>
      <c r="AI29" s="45"/>
      <c r="AJ29" s="45"/>
      <c r="AL29" s="45"/>
      <c r="AM29" s="46"/>
      <c r="AN29" s="46"/>
    </row>
    <row r="30" spans="1:40" ht="20.100000000000001" customHeight="1">
      <c r="A30" s="41">
        <v>9</v>
      </c>
      <c r="C30" s="133" t="s">
        <v>142</v>
      </c>
      <c r="F30" s="66"/>
      <c r="G30" s="1"/>
      <c r="H30" s="72">
        <f>H28</f>
        <v>1106948</v>
      </c>
      <c r="I30" s="3"/>
      <c r="J30" s="154"/>
      <c r="K30" s="7"/>
      <c r="L30" s="72">
        <f>SUM(L28:L29)</f>
        <v>81032</v>
      </c>
      <c r="M30" s="3"/>
      <c r="N30" s="70">
        <f>ROUND((L30/$L$39)*100,1)</f>
        <v>89.9</v>
      </c>
      <c r="O30" s="4"/>
      <c r="P30" s="66">
        <f>P29</f>
        <v>0</v>
      </c>
      <c r="Q30" s="3"/>
      <c r="R30" s="72">
        <f>SUM(R28:R29)</f>
        <v>81032</v>
      </c>
      <c r="S30" s="45"/>
      <c r="T30" s="42"/>
      <c r="AA30" s="45"/>
      <c r="AB30" s="45"/>
      <c r="AC30" s="45"/>
      <c r="AD30" s="45"/>
      <c r="AI30" s="45"/>
      <c r="AJ30" s="45"/>
      <c r="AL30" s="45"/>
    </row>
    <row r="31" spans="1:40" ht="20.100000000000001" customHeight="1">
      <c r="A31" s="41">
        <v>10</v>
      </c>
      <c r="C31" s="310" t="s">
        <v>456</v>
      </c>
      <c r="F31" s="72">
        <f>F24</f>
        <v>12</v>
      </c>
      <c r="G31" s="1"/>
      <c r="H31" s="72">
        <f>H30</f>
        <v>1106948</v>
      </c>
      <c r="I31" s="3"/>
      <c r="J31" s="154"/>
      <c r="K31" s="7"/>
      <c r="L31" s="72">
        <f>L30+L25</f>
        <v>83228</v>
      </c>
      <c r="M31" s="3"/>
      <c r="N31" s="74">
        <f>ROUND((L31/$L$39)*100,1)</f>
        <v>92.3</v>
      </c>
      <c r="O31" s="4"/>
      <c r="P31" s="72">
        <f>P30+P25</f>
        <v>0</v>
      </c>
      <c r="Q31" s="3"/>
      <c r="R31" s="72">
        <f>R30+R25</f>
        <v>83228</v>
      </c>
      <c r="S31" s="45"/>
      <c r="T31" s="42"/>
      <c r="AA31" s="45"/>
      <c r="AB31" s="45"/>
      <c r="AC31" s="45"/>
      <c r="AD31" s="45"/>
      <c r="AI31" s="45"/>
      <c r="AJ31" s="45"/>
      <c r="AL31" s="45"/>
    </row>
    <row r="32" spans="1:40" ht="15.75" customHeight="1">
      <c r="C32" s="42"/>
      <c r="F32" s="3"/>
      <c r="G32" s="1"/>
      <c r="H32" s="3"/>
      <c r="I32" s="3"/>
      <c r="J32" s="154"/>
      <c r="K32" s="7"/>
      <c r="L32" s="3"/>
      <c r="M32" s="3"/>
      <c r="N32" s="4"/>
      <c r="O32" s="4"/>
      <c r="P32" s="3"/>
      <c r="Q32" s="3"/>
      <c r="R32" s="3"/>
      <c r="S32" s="45"/>
      <c r="T32" s="42"/>
      <c r="AA32" s="45"/>
      <c r="AB32" s="45"/>
      <c r="AC32" s="45"/>
      <c r="AD32" s="45"/>
      <c r="AI32" s="45"/>
      <c r="AJ32" s="45"/>
      <c r="AL32" s="45"/>
    </row>
    <row r="33" spans="1:43" ht="15.75" customHeight="1">
      <c r="A33" s="41">
        <v>11</v>
      </c>
      <c r="C33" s="133" t="s">
        <v>430</v>
      </c>
      <c r="F33" s="3"/>
      <c r="G33" s="1"/>
      <c r="H33" s="3"/>
      <c r="I33" s="3"/>
      <c r="J33" s="154"/>
      <c r="K33" s="7"/>
      <c r="L33" s="3"/>
      <c r="M33" s="3"/>
      <c r="N33" s="4"/>
      <c r="O33" s="4"/>
      <c r="P33" s="3"/>
      <c r="Q33" s="3"/>
      <c r="R33" s="3"/>
      <c r="S33" s="45"/>
      <c r="T33" s="42"/>
      <c r="AA33" s="45"/>
      <c r="AB33" s="45"/>
      <c r="AC33" s="45"/>
      <c r="AD33" s="45"/>
      <c r="AI33" s="45"/>
      <c r="AJ33" s="45"/>
      <c r="AL33" s="45"/>
    </row>
    <row r="34" spans="1:43" ht="15.75" customHeight="1">
      <c r="A34" s="41">
        <v>12</v>
      </c>
      <c r="C34" s="128" t="str">
        <f>DSMR_Name</f>
        <v>DEMAND SIDE MANAGEMENT RIDER (DSMR)</v>
      </c>
      <c r="F34" s="3"/>
      <c r="G34" s="1"/>
      <c r="H34" s="3"/>
      <c r="I34" s="3"/>
      <c r="J34" s="323">
        <f>PRO_DSM_DIST</f>
        <v>3.503E-3</v>
      </c>
      <c r="K34" s="7"/>
      <c r="L34" s="3">
        <f>ROUND(H31*PRO_DSM_DIST,0)</f>
        <v>3878</v>
      </c>
      <c r="M34" s="103">
        <f>ROUND((K34/$L$39)*100,1)</f>
        <v>0</v>
      </c>
      <c r="N34" s="4">
        <f>ROUND((L34/$L$39)*100,1)</f>
        <v>4.3</v>
      </c>
      <c r="O34" s="3"/>
      <c r="P34" s="3"/>
      <c r="Q34" s="3">
        <f>K34+O34</f>
        <v>0</v>
      </c>
      <c r="R34" s="3">
        <f>L34+P34</f>
        <v>3878</v>
      </c>
      <c r="S34" s="45"/>
      <c r="T34" s="42"/>
      <c r="AA34" s="45"/>
      <c r="AB34" s="45"/>
      <c r="AC34" s="45"/>
      <c r="AD34" s="45"/>
      <c r="AI34" s="45"/>
      <c r="AJ34" s="45"/>
      <c r="AL34" s="45"/>
    </row>
    <row r="35" spans="1:43" ht="15.75" customHeight="1">
      <c r="A35" s="41">
        <v>13</v>
      </c>
      <c r="C35" s="128" t="str">
        <f>ESM_Name</f>
        <v>ENVIRONMENTAL SURCHARGE MECHANISM RIDER (ESM)</v>
      </c>
      <c r="F35" s="3"/>
      <c r="G35" s="1"/>
      <c r="H35" s="3"/>
      <c r="I35" s="3"/>
      <c r="J35" s="134">
        <f>PRO_ESM_NONRES</f>
        <v>5.4606095773317587E-3</v>
      </c>
      <c r="K35" s="7"/>
      <c r="L35" s="3">
        <f>ROUND((R31-(PRO_BASE_FUEL*H31)+R34+R36)*J35,0)</f>
        <v>286</v>
      </c>
      <c r="M35" s="3"/>
      <c r="N35" s="103">
        <f>ROUND((L35/$L$39)*100,1)</f>
        <v>0.3</v>
      </c>
      <c r="O35" s="4"/>
      <c r="P35" s="3"/>
      <c r="Q35" s="3"/>
      <c r="R35" s="3">
        <f>L35+P35</f>
        <v>286</v>
      </c>
      <c r="S35" s="45"/>
      <c r="T35" s="42"/>
      <c r="AA35" s="45"/>
      <c r="AB35" s="45"/>
      <c r="AC35" s="45"/>
      <c r="AD35" s="45"/>
      <c r="AI35" s="45"/>
      <c r="AJ35" s="45"/>
      <c r="AL35" s="45"/>
    </row>
    <row r="36" spans="1:43" ht="15.75" customHeight="1">
      <c r="A36" s="41">
        <v>14</v>
      </c>
      <c r="C36" s="128" t="str">
        <f>PSM_Name</f>
        <v>PROFIT SHARING MECHANISM (PSM)</v>
      </c>
      <c r="F36" s="3"/>
      <c r="G36" s="1"/>
      <c r="H36" s="3"/>
      <c r="I36" s="3"/>
      <c r="J36" s="323">
        <f>PRO_PSM</f>
        <v>2.4750000000000002E-3</v>
      </c>
      <c r="K36" s="7"/>
      <c r="L36" s="3">
        <f>ROUND(H31*PRO_PSM,0)</f>
        <v>2740</v>
      </c>
      <c r="M36" s="3"/>
      <c r="N36" s="104">
        <f>ROUND((L36/$L$39)*100,1)</f>
        <v>3</v>
      </c>
      <c r="O36" s="4"/>
      <c r="P36" s="66"/>
      <c r="Q36" s="3"/>
      <c r="R36" s="66">
        <f>L36+P36</f>
        <v>2740</v>
      </c>
      <c r="S36" s="45"/>
      <c r="T36" s="42"/>
      <c r="AA36" s="45"/>
      <c r="AB36" s="45"/>
      <c r="AC36" s="45"/>
      <c r="AD36" s="45"/>
      <c r="AI36" s="45"/>
      <c r="AJ36" s="45"/>
      <c r="AL36" s="45"/>
    </row>
    <row r="37" spans="1:43" ht="20.100000000000001" customHeight="1">
      <c r="A37" s="41">
        <v>15</v>
      </c>
      <c r="C37" s="133" t="s">
        <v>435</v>
      </c>
      <c r="F37" s="66"/>
      <c r="G37" s="1"/>
      <c r="H37" s="66"/>
      <c r="I37" s="3"/>
      <c r="J37" s="7"/>
      <c r="K37" s="7"/>
      <c r="L37" s="72">
        <f>SUM(L34:L36)</f>
        <v>6904</v>
      </c>
      <c r="M37" s="3"/>
      <c r="N37" s="105">
        <f>ROUND((L37/$L$39)*100,1)</f>
        <v>7.7</v>
      </c>
      <c r="O37" s="4"/>
      <c r="P37" s="72">
        <f>SUM(P34:P36)</f>
        <v>0</v>
      </c>
      <c r="Q37" s="3"/>
      <c r="R37" s="72">
        <f>SUM(R34:R36)</f>
        <v>6904</v>
      </c>
      <c r="S37" s="45"/>
      <c r="T37" s="42"/>
      <c r="AA37" s="45"/>
      <c r="AB37" s="45"/>
      <c r="AC37" s="45"/>
      <c r="AD37" s="45"/>
      <c r="AI37" s="45"/>
      <c r="AJ37" s="45"/>
      <c r="AL37" s="45"/>
    </row>
    <row r="38" spans="1:43" ht="15.75" customHeight="1">
      <c r="C38" s="133"/>
      <c r="F38" s="3"/>
      <c r="G38" s="1"/>
      <c r="H38" s="3"/>
      <c r="I38" s="3"/>
      <c r="J38" s="7"/>
      <c r="K38" s="7"/>
      <c r="L38" s="3"/>
      <c r="M38" s="3"/>
      <c r="N38" s="4"/>
      <c r="O38" s="4"/>
      <c r="P38" s="3"/>
      <c r="Q38" s="3"/>
      <c r="R38" s="3"/>
      <c r="S38" s="45"/>
      <c r="T38" s="42"/>
      <c r="AA38" s="45"/>
      <c r="AB38" s="45"/>
      <c r="AC38" s="45"/>
      <c r="AD38" s="45"/>
      <c r="AI38" s="45"/>
      <c r="AJ38" s="45"/>
      <c r="AL38" s="45"/>
    </row>
    <row r="39" spans="1:43" ht="20.100000000000001" customHeight="1" thickBot="1">
      <c r="A39" s="41">
        <v>16</v>
      </c>
      <c r="C39" s="310" t="s">
        <v>457</v>
      </c>
      <c r="F39" s="67">
        <f>F31</f>
        <v>12</v>
      </c>
      <c r="G39" s="1"/>
      <c r="H39" s="67">
        <f>H31</f>
        <v>1106948</v>
      </c>
      <c r="I39" s="3"/>
      <c r="J39" s="7"/>
      <c r="K39" s="7"/>
      <c r="L39" s="67">
        <f>L37+L31</f>
        <v>90132</v>
      </c>
      <c r="M39" s="3"/>
      <c r="N39" s="73">
        <v>100</v>
      </c>
      <c r="O39" s="4"/>
      <c r="P39" s="67">
        <f>P37+P31</f>
        <v>0</v>
      </c>
      <c r="Q39" s="3"/>
      <c r="R39" s="67">
        <f>R37+R31</f>
        <v>90132</v>
      </c>
      <c r="Y39" s="42"/>
    </row>
    <row r="40" spans="1:43" ht="16.5" thickTop="1">
      <c r="F40" s="3"/>
      <c r="G40" s="1"/>
      <c r="H40" s="3"/>
      <c r="I40" s="3"/>
      <c r="J40" s="7"/>
      <c r="K40" s="7"/>
      <c r="L40" s="3"/>
      <c r="M40" s="3"/>
      <c r="N40" s="3"/>
      <c r="O40" s="3"/>
      <c r="P40" s="3"/>
      <c r="Q40" s="3"/>
      <c r="R40" s="3"/>
      <c r="AA40" s="42"/>
      <c r="AB40" s="42"/>
    </row>
    <row r="41" spans="1:43">
      <c r="C41" s="140" t="s">
        <v>59</v>
      </c>
      <c r="F41" s="45"/>
      <c r="H41" s="45"/>
      <c r="I41" s="45"/>
      <c r="J41" s="47"/>
      <c r="K41" s="47"/>
      <c r="L41" s="45"/>
      <c r="M41" s="45"/>
      <c r="N41" s="45"/>
      <c r="O41" s="45"/>
      <c r="P41" s="45"/>
      <c r="Q41" s="45"/>
      <c r="R41" s="45"/>
      <c r="AK41" s="110"/>
      <c r="AL41" s="42"/>
    </row>
    <row r="42" spans="1:43">
      <c r="C42" s="42"/>
      <c r="H42" s="45"/>
      <c r="R42" s="42"/>
    </row>
    <row r="43" spans="1:43">
      <c r="A43" s="42"/>
      <c r="R43" s="42"/>
    </row>
    <row r="44" spans="1:43">
      <c r="L44" s="42"/>
      <c r="M44" s="42"/>
    </row>
    <row r="45" spans="1:43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T45" s="40" t="str">
        <f>NAME</f>
        <v>DUKE ENERGY KENTUCKY, INC.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</row>
    <row r="46" spans="1:43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T46" s="40" t="str">
        <f>CASE_NO</f>
        <v>CASE NO.   2024-00354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100"/>
      <c r="AH46" s="40"/>
      <c r="AI46" s="40"/>
      <c r="AJ46" s="40"/>
      <c r="AK46" s="100"/>
      <c r="AL46" s="40"/>
      <c r="AM46" s="40"/>
      <c r="AN46" s="40"/>
      <c r="AO46" s="40"/>
      <c r="AP46" s="40"/>
      <c r="AQ46" s="100"/>
    </row>
    <row r="47" spans="1:43">
      <c r="L47" s="44"/>
      <c r="M47" s="44"/>
      <c r="N47" s="44"/>
      <c r="O47" s="44"/>
      <c r="R47" s="44"/>
      <c r="T47" s="40" t="str">
        <f>TITLE</f>
        <v>ANNUALIZED TEST YEAR REVENUES AT PROPOSED VS. MOST CURRENT RATES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00"/>
      <c r="AH47" s="40"/>
      <c r="AI47" s="40"/>
      <c r="AJ47" s="40"/>
      <c r="AK47" s="100"/>
      <c r="AL47" s="40"/>
      <c r="AM47" s="40"/>
      <c r="AN47" s="40"/>
      <c r="AO47" s="40"/>
      <c r="AP47" s="40"/>
      <c r="AQ47" s="100"/>
    </row>
    <row r="48" spans="1:43">
      <c r="L48" s="44"/>
      <c r="M48" s="44"/>
      <c r="N48" s="44"/>
      <c r="O48" s="44"/>
      <c r="R48" s="44"/>
      <c r="T48" s="40" t="str">
        <f>DATE</f>
        <v>FOR THE TWELVE MONTHS ENDED June 30, 2026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00"/>
      <c r="AH48" s="40"/>
      <c r="AI48" s="40"/>
      <c r="AJ48" s="40"/>
      <c r="AK48" s="100"/>
      <c r="AL48" s="40"/>
      <c r="AM48" s="40"/>
      <c r="AN48" s="40"/>
      <c r="AO48" s="40"/>
      <c r="AP48" s="40"/>
      <c r="AQ48" s="100"/>
    </row>
    <row r="49" spans="1:47">
      <c r="A49" s="44"/>
      <c r="C49" s="44"/>
      <c r="D49" s="44"/>
      <c r="E49" s="44"/>
      <c r="F49" s="44"/>
      <c r="J49" s="44"/>
      <c r="K49" s="44"/>
      <c r="L49" s="44"/>
      <c r="M49" s="44"/>
      <c r="N49" s="44"/>
      <c r="O49" s="44"/>
      <c r="P49" s="44"/>
      <c r="Q49" s="44"/>
      <c r="R49" s="44"/>
      <c r="T49" s="40" t="str">
        <f>SERVICE</f>
        <v>(ELECTRIC SERVICE)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</row>
    <row r="50" spans="1:47">
      <c r="A50" s="44"/>
      <c r="C50" s="44"/>
      <c r="D50" s="44"/>
      <c r="E50" s="44"/>
      <c r="F50" s="44"/>
      <c r="J50" s="44"/>
      <c r="K50" s="44"/>
      <c r="L50" s="44"/>
      <c r="M50" s="44"/>
      <c r="N50" s="44"/>
      <c r="O50" s="44"/>
      <c r="P50" s="44"/>
      <c r="Q50" s="44"/>
      <c r="R50" s="44"/>
      <c r="T50" s="41" t="str">
        <f>DATA_PERIOD</f>
        <v>DATA: ____ BASE PERIOD   __X__FORECASTED PERIOD</v>
      </c>
      <c r="AO50" s="42" t="s">
        <v>157</v>
      </c>
      <c r="AP50" s="42"/>
    </row>
    <row r="51" spans="1:47">
      <c r="A51" s="44"/>
      <c r="C51" s="44"/>
      <c r="D51" s="44"/>
      <c r="E51" s="44"/>
      <c r="F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T51" s="41" t="str">
        <f>TYPE</f>
        <v>TYPE OF FILING: _X_ ORIGINAL   ___UPDATED  ___ REVISED</v>
      </c>
      <c r="AO51" s="48" t="str">
        <f>"PAGE 10 OF "&amp;TEXT(Page_Num_2.2,"00")</f>
        <v>PAGE 10 OF 24</v>
      </c>
      <c r="AP51" s="42"/>
    </row>
    <row r="52" spans="1:47">
      <c r="C52" s="44"/>
      <c r="D52" s="44"/>
      <c r="E52" s="44"/>
      <c r="F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T52" s="42" t="s">
        <v>170</v>
      </c>
      <c r="AO52" s="42" t="s">
        <v>3</v>
      </c>
      <c r="AP52" s="42"/>
    </row>
    <row r="53" spans="1:47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T53" s="133" t="str">
        <f>TIME</f>
        <v>12 Months Projected with Riders</v>
      </c>
      <c r="AO53" s="41" t="str">
        <f>WIT</f>
        <v>B. L. Sailers</v>
      </c>
    </row>
    <row r="54" spans="1:47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T54" s="133" t="str">
        <f>INPUT!B5</f>
        <v xml:space="preserve"> </v>
      </c>
    </row>
    <row r="55" spans="1:47"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T55" s="40" t="s">
        <v>130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</row>
    <row r="56" spans="1:47">
      <c r="C56" s="42"/>
      <c r="D56" s="42"/>
      <c r="E56" s="42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01"/>
      <c r="AH56" s="43"/>
      <c r="AI56" s="43"/>
      <c r="AJ56" s="43"/>
      <c r="AK56" s="101"/>
      <c r="AL56" s="43"/>
      <c r="AM56" s="43"/>
      <c r="AN56" s="43"/>
      <c r="AO56" s="43"/>
      <c r="AP56" s="43"/>
      <c r="AQ56" s="101"/>
    </row>
    <row r="57" spans="1:47" ht="18" customHeight="1">
      <c r="D57" s="42"/>
      <c r="E57" s="42"/>
      <c r="AE57" s="44" t="s">
        <v>8</v>
      </c>
      <c r="AF57" s="44"/>
      <c r="AG57" s="102" t="s">
        <v>7</v>
      </c>
      <c r="AH57" s="44"/>
      <c r="AI57" s="44" t="s">
        <v>9</v>
      </c>
      <c r="AJ57" s="44"/>
      <c r="AK57" s="102" t="s">
        <v>10</v>
      </c>
      <c r="AL57" s="44"/>
      <c r="AO57" s="44" t="s">
        <v>8</v>
      </c>
      <c r="AP57" s="44"/>
      <c r="AQ57" s="102" t="s">
        <v>11</v>
      </c>
    </row>
    <row r="58" spans="1:47">
      <c r="AC58" s="44" t="s">
        <v>14</v>
      </c>
      <c r="AD58" s="44"/>
      <c r="AE58" s="44" t="s">
        <v>12</v>
      </c>
      <c r="AF58" s="44"/>
      <c r="AG58" s="102" t="s">
        <v>13</v>
      </c>
      <c r="AH58" s="44"/>
      <c r="AI58" s="44" t="s">
        <v>15</v>
      </c>
      <c r="AJ58" s="44"/>
      <c r="AK58" s="102" t="s">
        <v>16</v>
      </c>
      <c r="AL58" s="44"/>
      <c r="AO58" s="44" t="s">
        <v>11</v>
      </c>
      <c r="AP58" s="44"/>
      <c r="AQ58" s="102" t="s">
        <v>9</v>
      </c>
    </row>
    <row r="59" spans="1:47">
      <c r="C59" s="42"/>
      <c r="T59" s="44" t="s">
        <v>17</v>
      </c>
      <c r="V59" s="44" t="s">
        <v>18</v>
      </c>
      <c r="W59" s="44" t="s">
        <v>19</v>
      </c>
      <c r="X59" s="44"/>
      <c r="Y59" s="44" t="s">
        <v>20</v>
      </c>
      <c r="AC59" s="44" t="s">
        <v>8</v>
      </c>
      <c r="AD59" s="44"/>
      <c r="AE59" s="44" t="s">
        <v>841</v>
      </c>
      <c r="AF59" s="44"/>
      <c r="AG59" s="102" t="s">
        <v>841</v>
      </c>
      <c r="AH59" s="44"/>
      <c r="AI59" s="60" t="s">
        <v>964</v>
      </c>
      <c r="AJ59" s="44"/>
      <c r="AK59" s="277" t="s">
        <v>964</v>
      </c>
      <c r="AL59" s="44"/>
      <c r="AM59" s="44" t="s">
        <v>841</v>
      </c>
      <c r="AN59" s="44"/>
      <c r="AO59" s="44" t="s">
        <v>9</v>
      </c>
      <c r="AP59" s="44"/>
      <c r="AQ59" s="102" t="s">
        <v>21</v>
      </c>
    </row>
    <row r="60" spans="1:47">
      <c r="C60" s="42"/>
      <c r="F60" s="164"/>
      <c r="H60" s="164"/>
      <c r="I60" s="164"/>
      <c r="J60" s="316"/>
      <c r="K60" s="316"/>
      <c r="L60" s="45"/>
      <c r="M60" s="45"/>
      <c r="N60" s="46"/>
      <c r="O60" s="46"/>
      <c r="R60" s="45"/>
      <c r="T60" s="44" t="s">
        <v>22</v>
      </c>
      <c r="V60" s="44" t="s">
        <v>23</v>
      </c>
      <c r="W60" s="44" t="s">
        <v>24</v>
      </c>
      <c r="X60" s="44"/>
      <c r="Y60" s="44" t="s">
        <v>25</v>
      </c>
      <c r="AA60" s="44" t="s">
        <v>26</v>
      </c>
      <c r="AB60" s="44"/>
      <c r="AC60" s="44" t="s">
        <v>27</v>
      </c>
      <c r="AD60" s="44"/>
      <c r="AE60" s="44" t="s">
        <v>9</v>
      </c>
      <c r="AF60" s="44"/>
      <c r="AG60" s="102" t="s">
        <v>9</v>
      </c>
      <c r="AH60" s="44"/>
      <c r="AI60" s="304" t="s">
        <v>29</v>
      </c>
      <c r="AJ60" s="304"/>
      <c r="AK60" s="311" t="s">
        <v>30</v>
      </c>
      <c r="AL60" s="44"/>
      <c r="AM60" s="44" t="s">
        <v>365</v>
      </c>
      <c r="AN60" s="44"/>
      <c r="AO60" s="304" t="s">
        <v>31</v>
      </c>
      <c r="AP60" s="304"/>
      <c r="AQ60" s="311" t="s">
        <v>32</v>
      </c>
    </row>
    <row r="61" spans="1:47">
      <c r="C61" s="42"/>
      <c r="F61" s="164"/>
      <c r="H61" s="164"/>
      <c r="I61" s="164"/>
      <c r="J61" s="316"/>
      <c r="K61" s="316"/>
      <c r="L61" s="45"/>
      <c r="M61" s="45"/>
      <c r="N61" s="46"/>
      <c r="O61" s="46"/>
      <c r="R61" s="45"/>
      <c r="V61" s="304" t="s">
        <v>33</v>
      </c>
      <c r="W61" s="304" t="s">
        <v>34</v>
      </c>
      <c r="X61" s="304"/>
      <c r="Y61" s="304" t="s">
        <v>35</v>
      </c>
      <c r="Z61" s="130"/>
      <c r="AA61" s="304" t="s">
        <v>36</v>
      </c>
      <c r="AB61" s="304"/>
      <c r="AC61" s="304" t="s">
        <v>42</v>
      </c>
      <c r="AD61" s="304"/>
      <c r="AE61" s="304" t="s">
        <v>43</v>
      </c>
      <c r="AF61" s="304"/>
      <c r="AG61" s="311" t="s">
        <v>44</v>
      </c>
      <c r="AH61" s="304"/>
      <c r="AI61" s="304" t="s">
        <v>45</v>
      </c>
      <c r="AJ61" s="304"/>
      <c r="AK61" s="311" t="s">
        <v>46</v>
      </c>
      <c r="AL61" s="304"/>
      <c r="AM61" s="304" t="s">
        <v>40</v>
      </c>
      <c r="AN61" s="304"/>
      <c r="AO61" s="304" t="s">
        <v>47</v>
      </c>
      <c r="AP61" s="304"/>
      <c r="AQ61" s="311" t="s">
        <v>48</v>
      </c>
    </row>
    <row r="62" spans="1:47">
      <c r="F62" s="50"/>
      <c r="H62" s="45"/>
      <c r="I62" s="45"/>
      <c r="J62" s="326"/>
      <c r="K62" s="326"/>
      <c r="L62" s="50"/>
      <c r="M62" s="50"/>
      <c r="N62" s="50"/>
      <c r="O62" s="50"/>
      <c r="P62" s="50"/>
      <c r="Q62" s="50"/>
      <c r="R62" s="50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01"/>
      <c r="AH62" s="43"/>
      <c r="AI62" s="43"/>
      <c r="AJ62" s="43"/>
      <c r="AK62" s="101"/>
      <c r="AL62" s="43"/>
      <c r="AM62" s="43"/>
      <c r="AN62" s="43"/>
      <c r="AO62" s="43"/>
      <c r="AP62" s="43"/>
      <c r="AQ62" s="101"/>
    </row>
    <row r="63" spans="1:47" ht="17.100000000000001" customHeight="1">
      <c r="C63" s="42"/>
      <c r="F63" s="45"/>
      <c r="H63" s="45"/>
      <c r="I63" s="45"/>
      <c r="J63" s="326"/>
      <c r="K63" s="326"/>
      <c r="L63" s="45"/>
      <c r="M63" s="45"/>
      <c r="N63" s="46"/>
      <c r="O63" s="46"/>
      <c r="P63" s="45"/>
      <c r="Q63" s="45"/>
      <c r="R63" s="45"/>
      <c r="AA63" s="309" t="s">
        <v>49</v>
      </c>
      <c r="AB63" s="308"/>
      <c r="AC63" s="309" t="s">
        <v>312</v>
      </c>
      <c r="AD63" s="308"/>
      <c r="AE63" s="308" t="s">
        <v>50</v>
      </c>
      <c r="AF63" s="308"/>
      <c r="AG63" s="312" t="s">
        <v>51</v>
      </c>
      <c r="AH63" s="308"/>
      <c r="AI63" s="308" t="s">
        <v>50</v>
      </c>
      <c r="AJ63" s="308"/>
      <c r="AK63" s="312" t="s">
        <v>51</v>
      </c>
      <c r="AL63" s="308"/>
      <c r="AM63" s="308" t="s">
        <v>50</v>
      </c>
      <c r="AN63" s="308"/>
      <c r="AO63" s="308" t="s">
        <v>50</v>
      </c>
      <c r="AP63" s="308"/>
      <c r="AQ63" s="312" t="s">
        <v>51</v>
      </c>
    </row>
    <row r="64" spans="1:47">
      <c r="F64" s="50"/>
      <c r="H64" s="45"/>
      <c r="I64" s="45"/>
      <c r="J64" s="326"/>
      <c r="K64" s="326"/>
      <c r="L64" s="50"/>
      <c r="M64" s="50"/>
      <c r="N64" s="50"/>
      <c r="O64" s="50"/>
      <c r="P64" s="50"/>
      <c r="Q64" s="50"/>
      <c r="R64" s="50"/>
      <c r="T64" s="41">
        <f t="shared" ref="T64:T75" si="0">A20</f>
        <v>1</v>
      </c>
      <c r="V64" s="133" t="s">
        <v>306</v>
      </c>
      <c r="W64" s="133" t="s">
        <v>362</v>
      </c>
      <c r="X64" s="42"/>
      <c r="Y64" s="1"/>
      <c r="Z64" s="1"/>
      <c r="AA64" s="1"/>
      <c r="AB64" s="1"/>
      <c r="AC64" s="1"/>
      <c r="AD64" s="1"/>
      <c r="AE64" s="1"/>
      <c r="AF64" s="1"/>
      <c r="AG64" s="103"/>
      <c r="AH64" s="1"/>
      <c r="AI64" s="1"/>
      <c r="AJ64" s="1"/>
      <c r="AK64" s="103"/>
      <c r="AL64" s="1"/>
      <c r="AM64" s="1"/>
      <c r="AN64" s="1"/>
      <c r="AO64" s="1"/>
      <c r="AP64" s="1"/>
      <c r="AQ64" s="103"/>
      <c r="AU64" s="335"/>
    </row>
    <row r="65" spans="1:76">
      <c r="F65" s="45"/>
      <c r="H65" s="45"/>
      <c r="I65" s="45"/>
      <c r="J65" s="326"/>
      <c r="K65" s="326"/>
      <c r="L65" s="45"/>
      <c r="M65" s="45"/>
      <c r="N65" s="46"/>
      <c r="O65" s="46"/>
      <c r="P65" s="45"/>
      <c r="Q65" s="45"/>
      <c r="R65" s="45"/>
      <c r="T65" s="41">
        <f t="shared" si="0"/>
        <v>2</v>
      </c>
      <c r="V65" s="130"/>
      <c r="W65" s="133" t="s">
        <v>132</v>
      </c>
      <c r="X65" s="42"/>
      <c r="Y65" s="1"/>
      <c r="Z65" s="1"/>
      <c r="AA65" s="1"/>
      <c r="AB65" s="1"/>
      <c r="AC65" s="1"/>
      <c r="AD65" s="1"/>
      <c r="AE65" s="1"/>
      <c r="AF65" s="1"/>
      <c r="AG65" s="103"/>
      <c r="AH65" s="1"/>
      <c r="AI65" s="1"/>
      <c r="AJ65" s="1"/>
      <c r="AK65" s="103"/>
      <c r="AL65" s="1"/>
      <c r="AM65" s="1"/>
      <c r="AN65" s="1"/>
      <c r="AO65" s="1"/>
      <c r="AP65" s="1"/>
      <c r="AQ65" s="103"/>
      <c r="AU65" s="46"/>
      <c r="BX65" s="329"/>
    </row>
    <row r="66" spans="1:76" ht="21.75" customHeight="1">
      <c r="C66" s="42"/>
      <c r="F66" s="164"/>
      <c r="H66" s="164"/>
      <c r="I66" s="164"/>
      <c r="J66" s="316"/>
      <c r="K66" s="316"/>
      <c r="L66" s="45"/>
      <c r="M66" s="45"/>
      <c r="N66" s="46"/>
      <c r="O66" s="46"/>
      <c r="P66" s="45"/>
      <c r="Q66" s="45"/>
      <c r="R66" s="45"/>
      <c r="Y66" s="1"/>
      <c r="Z66" s="1"/>
      <c r="AA66" s="1"/>
      <c r="AB66" s="1"/>
      <c r="AC66" s="1"/>
      <c r="AD66" s="1"/>
      <c r="AE66" s="1"/>
      <c r="AF66" s="1"/>
      <c r="AG66" s="103"/>
      <c r="AH66" s="1"/>
      <c r="AI66" s="1"/>
      <c r="AJ66" s="1"/>
      <c r="AK66" s="103"/>
      <c r="AL66" s="1"/>
      <c r="AM66" s="1"/>
      <c r="AN66" s="1"/>
      <c r="AO66" s="1"/>
      <c r="AP66" s="1"/>
      <c r="AQ66" s="103"/>
      <c r="AU66" s="46"/>
    </row>
    <row r="67" spans="1:76">
      <c r="F67" s="45"/>
      <c r="H67" s="50"/>
      <c r="I67" s="50"/>
      <c r="J67" s="326"/>
      <c r="K67" s="326"/>
      <c r="L67" s="50"/>
      <c r="M67" s="50"/>
      <c r="N67" s="50"/>
      <c r="O67" s="50"/>
      <c r="P67" s="50"/>
      <c r="Q67" s="50"/>
      <c r="R67" s="50"/>
      <c r="T67" s="41">
        <f t="shared" si="0"/>
        <v>3</v>
      </c>
      <c r="V67" s="133" t="s">
        <v>133</v>
      </c>
      <c r="Y67" s="3"/>
      <c r="Z67" s="1"/>
      <c r="AA67" s="68"/>
      <c r="AB67" s="68"/>
      <c r="AC67" s="76"/>
      <c r="AD67" s="76"/>
      <c r="AE67" s="3"/>
      <c r="AF67" s="3"/>
      <c r="AG67" s="103"/>
      <c r="AH67" s="4"/>
      <c r="AI67" s="3"/>
      <c r="AJ67" s="3"/>
      <c r="AK67" s="116"/>
      <c r="AL67" s="330"/>
      <c r="AM67" s="1"/>
      <c r="AN67" s="1"/>
      <c r="AO67" s="3"/>
      <c r="AP67" s="3"/>
      <c r="AQ67" s="116"/>
      <c r="AS67" s="45"/>
      <c r="AT67" s="45"/>
      <c r="AU67" s="46"/>
    </row>
    <row r="68" spans="1:76">
      <c r="C68" s="42"/>
      <c r="F68" s="45"/>
      <c r="H68" s="45"/>
      <c r="I68" s="45"/>
      <c r="J68" s="47"/>
      <c r="K68" s="47"/>
      <c r="L68" s="45"/>
      <c r="M68" s="45"/>
      <c r="N68" s="46"/>
      <c r="O68" s="46"/>
      <c r="P68" s="45"/>
      <c r="Q68" s="45"/>
      <c r="R68" s="45"/>
      <c r="T68" s="41">
        <f t="shared" si="0"/>
        <v>4</v>
      </c>
      <c r="V68" s="42" t="s">
        <v>311</v>
      </c>
      <c r="Y68" s="3">
        <f>F24</f>
        <v>12</v>
      </c>
      <c r="Z68" s="1"/>
      <c r="AA68" s="68"/>
      <c r="AB68" s="68"/>
      <c r="AC68" s="316">
        <f>INPUT!C154</f>
        <v>183</v>
      </c>
      <c r="AD68" s="76"/>
      <c r="AE68" s="3">
        <f>ROUND(Y68*AC68,0)</f>
        <v>2196</v>
      </c>
      <c r="AF68" s="3"/>
      <c r="AG68" s="104">
        <f>ROUND((AE68/$AE$83)*100,1)</f>
        <v>2.9</v>
      </c>
      <c r="AH68" s="4"/>
      <c r="AI68" s="3">
        <f>L24-AE68</f>
        <v>0</v>
      </c>
      <c r="AJ68" s="3"/>
      <c r="AK68" s="104">
        <f>ROUND((AI68/AE68)*100,1)</f>
        <v>0</v>
      </c>
      <c r="AL68" s="6"/>
      <c r="AM68" s="3"/>
      <c r="AN68" s="1"/>
      <c r="AO68" s="3">
        <f>AE68+AM68</f>
        <v>2196</v>
      </c>
      <c r="AP68" s="3"/>
      <c r="AQ68" s="103">
        <f>ROUND((AI68/AO68)*100,1)</f>
        <v>0</v>
      </c>
      <c r="AS68" s="45"/>
      <c r="AT68" s="45"/>
      <c r="AU68" s="335"/>
    </row>
    <row r="69" spans="1:76" ht="20.100000000000001" customHeight="1">
      <c r="C69" s="42"/>
      <c r="F69" s="164"/>
      <c r="H69" s="164"/>
      <c r="I69" s="164"/>
      <c r="J69" s="331"/>
      <c r="K69" s="331"/>
      <c r="L69" s="45"/>
      <c r="M69" s="45"/>
      <c r="N69" s="46"/>
      <c r="O69" s="46"/>
      <c r="P69" s="164"/>
      <c r="Q69" s="164"/>
      <c r="R69" s="45"/>
      <c r="T69" s="41">
        <f t="shared" si="0"/>
        <v>5</v>
      </c>
      <c r="V69" s="133" t="s">
        <v>136</v>
      </c>
      <c r="Y69" s="3"/>
      <c r="Z69" s="1"/>
      <c r="AA69" s="3"/>
      <c r="AB69" s="3"/>
      <c r="AC69" s="47"/>
      <c r="AD69" s="7"/>
      <c r="AE69" s="72">
        <f>SUM(AE68)</f>
        <v>2196</v>
      </c>
      <c r="AF69" s="3"/>
      <c r="AG69" s="104">
        <f>ROUND((AE69/$AE$83)*100,1)</f>
        <v>2.9</v>
      </c>
      <c r="AH69" s="4"/>
      <c r="AI69" s="72">
        <f>SUM(AI68)</f>
        <v>0</v>
      </c>
      <c r="AJ69" s="3"/>
      <c r="AK69" s="105">
        <f>ROUND((AI69/AE69)*100,1)</f>
        <v>0</v>
      </c>
      <c r="AL69" s="6"/>
      <c r="AM69" s="72"/>
      <c r="AN69" s="3"/>
      <c r="AO69" s="72">
        <f>SUM(AO68)</f>
        <v>2196</v>
      </c>
      <c r="AP69" s="3"/>
      <c r="AQ69" s="103">
        <f>ROUND((AI69/AO69)*100,1)</f>
        <v>0</v>
      </c>
      <c r="AR69" s="45"/>
      <c r="AS69" s="45"/>
      <c r="AT69" s="45"/>
      <c r="AU69" s="46"/>
    </row>
    <row r="70" spans="1:76" ht="18.75" customHeight="1">
      <c r="C70" s="42"/>
      <c r="F70" s="45"/>
      <c r="H70" s="45"/>
      <c r="I70" s="45"/>
      <c r="J70" s="47"/>
      <c r="K70" s="47"/>
      <c r="L70" s="45"/>
      <c r="M70" s="45"/>
      <c r="N70" s="46"/>
      <c r="O70" s="46"/>
      <c r="P70" s="45"/>
      <c r="Q70" s="45"/>
      <c r="R70" s="45"/>
      <c r="Y70" s="3"/>
      <c r="Z70" s="1"/>
      <c r="AA70" s="3"/>
      <c r="AB70" s="3"/>
      <c r="AC70" s="326"/>
      <c r="AD70" s="314"/>
      <c r="AE70" s="3"/>
      <c r="AF70" s="3"/>
      <c r="AG70" s="103"/>
      <c r="AH70" s="3"/>
      <c r="AI70" s="3"/>
      <c r="AJ70" s="3"/>
      <c r="AK70" s="103"/>
      <c r="AL70" s="6"/>
      <c r="AM70" s="3"/>
      <c r="AN70" s="3"/>
      <c r="AO70" s="3"/>
      <c r="AP70" s="3"/>
      <c r="AQ70" s="103"/>
      <c r="AR70" s="45"/>
      <c r="AS70" s="45"/>
      <c r="AT70" s="45"/>
      <c r="AU70" s="46"/>
    </row>
    <row r="71" spans="1:76">
      <c r="A71" s="42"/>
      <c r="F71" s="45"/>
      <c r="H71" s="45"/>
      <c r="I71" s="45"/>
      <c r="J71" s="47"/>
      <c r="K71" s="47"/>
      <c r="L71" s="45"/>
      <c r="M71" s="45"/>
      <c r="N71" s="45"/>
      <c r="O71" s="45"/>
      <c r="P71" s="45"/>
      <c r="Q71" s="45"/>
      <c r="R71" s="45"/>
      <c r="T71" s="41">
        <f t="shared" si="0"/>
        <v>6</v>
      </c>
      <c r="V71" s="133" t="s">
        <v>67</v>
      </c>
      <c r="Y71" s="68"/>
      <c r="Z71" s="1"/>
      <c r="AA71" s="68"/>
      <c r="AB71" s="68"/>
      <c r="AC71" s="336"/>
      <c r="AD71" s="340"/>
      <c r="AE71" s="3"/>
      <c r="AF71" s="3"/>
      <c r="AG71" s="103"/>
      <c r="AH71" s="4"/>
      <c r="AI71" s="3"/>
      <c r="AJ71" s="3"/>
      <c r="AK71" s="103"/>
      <c r="AL71" s="6"/>
      <c r="AM71" s="68"/>
      <c r="AN71" s="68"/>
      <c r="AO71" s="3"/>
      <c r="AP71" s="3"/>
      <c r="AQ71" s="103"/>
      <c r="AR71" s="164"/>
      <c r="AS71" s="45"/>
      <c r="AT71" s="45"/>
      <c r="AU71" s="46"/>
    </row>
    <row r="72" spans="1:76">
      <c r="T72" s="41">
        <f t="shared" si="0"/>
        <v>7</v>
      </c>
      <c r="V72" s="42" t="s">
        <v>381</v>
      </c>
      <c r="Y72" s="68"/>
      <c r="Z72" s="1"/>
      <c r="AA72" s="3">
        <f>H28</f>
        <v>1106948</v>
      </c>
      <c r="AB72" s="3"/>
      <c r="AC72" s="323">
        <f>INPUT!C156</f>
        <v>2.0034E-2</v>
      </c>
      <c r="AD72" s="322"/>
      <c r="AE72" s="3">
        <f>ROUND((AA72*AC72),0)</f>
        <v>22177</v>
      </c>
      <c r="AF72" s="3"/>
      <c r="AG72" s="103">
        <f>ROUND((AE72/$AE$83)*100,1)</f>
        <v>29.6</v>
      </c>
      <c r="AH72" s="4"/>
      <c r="AI72" s="3">
        <f>L28-AE72</f>
        <v>14926</v>
      </c>
      <c r="AJ72" s="3"/>
      <c r="AK72" s="103">
        <f>ROUND((AI72/AE72)*100,1)</f>
        <v>67.3</v>
      </c>
      <c r="AL72" s="6"/>
      <c r="AM72" s="68"/>
      <c r="AN72" s="68"/>
      <c r="AO72" s="3">
        <f>AE72+AM72</f>
        <v>22177</v>
      </c>
      <c r="AP72" s="3"/>
      <c r="AQ72" s="103">
        <f>ROUND((AI72/AO72)*100,1)</f>
        <v>67.3</v>
      </c>
      <c r="AR72" s="164"/>
      <c r="AS72" s="45"/>
      <c r="AT72" s="45"/>
      <c r="AU72" s="46"/>
    </row>
    <row r="73" spans="1:76">
      <c r="L73" s="45"/>
      <c r="M73" s="45"/>
      <c r="N73" s="45"/>
      <c r="O73" s="45"/>
      <c r="P73" s="45"/>
      <c r="Q73" s="45"/>
      <c r="R73" s="45"/>
      <c r="T73" s="41">
        <f t="shared" si="0"/>
        <v>8</v>
      </c>
      <c r="V73" s="42" t="s">
        <v>370</v>
      </c>
      <c r="Y73" s="68"/>
      <c r="Z73" s="1"/>
      <c r="AA73" s="3">
        <f>H29</f>
        <v>1106948</v>
      </c>
      <c r="AB73" s="3"/>
      <c r="AC73" s="323">
        <f>INPUT!C161</f>
        <v>3.9684999999999998E-2</v>
      </c>
      <c r="AD73" s="322"/>
      <c r="AE73" s="3">
        <f>ROUND((AA73*AC73),0)</f>
        <v>43929</v>
      </c>
      <c r="AF73" s="3"/>
      <c r="AG73" s="104">
        <f>ROUND((AE73/$AE$83)*100,1)</f>
        <v>58.6</v>
      </c>
      <c r="AH73" s="4"/>
      <c r="AI73" s="3">
        <f>L29-AE73</f>
        <v>0</v>
      </c>
      <c r="AJ73" s="3"/>
      <c r="AK73" s="104">
        <f>ROUND((AI73/AE73)*100,1)</f>
        <v>0</v>
      </c>
      <c r="AL73" s="6"/>
      <c r="AM73" s="343">
        <v>0</v>
      </c>
      <c r="AN73" s="68"/>
      <c r="AO73" s="3">
        <f>AE73+AM73</f>
        <v>43929</v>
      </c>
      <c r="AP73" s="3"/>
      <c r="AQ73" s="103">
        <f>ROUND((AI73/AO73)*100,1)</f>
        <v>0</v>
      </c>
      <c r="AR73" s="164"/>
      <c r="AS73" s="45"/>
      <c r="AT73" s="45"/>
      <c r="AU73" s="46"/>
    </row>
    <row r="74" spans="1:76" ht="20.100000000000001" customHeight="1">
      <c r="T74" s="41">
        <f t="shared" si="0"/>
        <v>9</v>
      </c>
      <c r="V74" s="133" t="s">
        <v>142</v>
      </c>
      <c r="Y74" s="66"/>
      <c r="Z74" s="1"/>
      <c r="AA74" s="72">
        <f>H30</f>
        <v>1106948</v>
      </c>
      <c r="AB74" s="3"/>
      <c r="AC74" s="154"/>
      <c r="AD74" s="7"/>
      <c r="AE74" s="72">
        <f>SUM(AE72:AE73)</f>
        <v>66106</v>
      </c>
      <c r="AF74" s="3"/>
      <c r="AG74" s="104">
        <f>ROUND((AE74/$AE$83)*100,1)</f>
        <v>88.2</v>
      </c>
      <c r="AH74" s="4"/>
      <c r="AI74" s="72">
        <f>SUM(AI72:AI73)</f>
        <v>14926</v>
      </c>
      <c r="AJ74" s="3"/>
      <c r="AK74" s="105">
        <f>ROUND((AI74/AE74)*100,1)</f>
        <v>22.6</v>
      </c>
      <c r="AL74" s="6"/>
      <c r="AM74" s="72">
        <f>AM73</f>
        <v>0</v>
      </c>
      <c r="AN74" s="3"/>
      <c r="AO74" s="72">
        <f>SUM(AO72:AO73)</f>
        <v>66106</v>
      </c>
      <c r="AP74" s="3"/>
      <c r="AQ74" s="103">
        <f>ROUND((AI74/AO74)*100,1)</f>
        <v>22.6</v>
      </c>
      <c r="AR74" s="45"/>
      <c r="AS74" s="45"/>
      <c r="AT74" s="45"/>
    </row>
    <row r="75" spans="1:76" ht="20.100000000000001" customHeight="1">
      <c r="T75" s="41">
        <f t="shared" si="0"/>
        <v>10</v>
      </c>
      <c r="V75" s="310" t="s">
        <v>456</v>
      </c>
      <c r="Y75" s="72">
        <f>Y68</f>
        <v>12</v>
      </c>
      <c r="Z75" s="1"/>
      <c r="AA75" s="72">
        <f>AA74</f>
        <v>1106948</v>
      </c>
      <c r="AB75" s="3"/>
      <c r="AC75" s="154"/>
      <c r="AD75" s="7"/>
      <c r="AE75" s="72">
        <f>AE74+AE69</f>
        <v>68302</v>
      </c>
      <c r="AF75" s="3"/>
      <c r="AG75" s="104">
        <f>ROUND((AE75/$AE$83)*100,1)</f>
        <v>91.1</v>
      </c>
      <c r="AH75" s="4"/>
      <c r="AI75" s="72">
        <f>AI74+AI69</f>
        <v>14926</v>
      </c>
      <c r="AJ75" s="3"/>
      <c r="AK75" s="105">
        <f>ROUND((AI75/AE75)*100,1)</f>
        <v>21.9</v>
      </c>
      <c r="AL75" s="6"/>
      <c r="AM75" s="72">
        <f>AM74+AM69</f>
        <v>0</v>
      </c>
      <c r="AN75" s="3"/>
      <c r="AO75" s="72">
        <f>AO74+AO69</f>
        <v>68302</v>
      </c>
      <c r="AP75" s="3"/>
      <c r="AQ75" s="103">
        <f>ROUND((AI75/AO75)*100,1)</f>
        <v>21.9</v>
      </c>
      <c r="AR75" s="45"/>
      <c r="AS75" s="45"/>
      <c r="AT75" s="45"/>
    </row>
    <row r="76" spans="1:76" ht="15.75" customHeight="1">
      <c r="V76" s="42"/>
      <c r="Y76" s="3"/>
      <c r="Z76" s="1"/>
      <c r="AA76" s="3"/>
      <c r="AB76" s="3"/>
      <c r="AC76" s="154"/>
      <c r="AD76" s="7"/>
      <c r="AE76" s="3"/>
      <c r="AF76" s="3"/>
      <c r="AG76" s="103"/>
      <c r="AH76" s="4"/>
      <c r="AI76" s="3"/>
      <c r="AJ76" s="3"/>
      <c r="AK76" s="103"/>
      <c r="AL76" s="6"/>
      <c r="AM76" s="3"/>
      <c r="AN76" s="3"/>
      <c r="AO76" s="3"/>
      <c r="AP76" s="3"/>
      <c r="AQ76" s="103"/>
      <c r="AR76" s="45"/>
      <c r="AS76" s="45"/>
      <c r="AT76" s="45"/>
    </row>
    <row r="77" spans="1:76" ht="15.75" customHeight="1">
      <c r="T77" s="41">
        <f>A33</f>
        <v>11</v>
      </c>
      <c r="V77" s="133" t="s">
        <v>430</v>
      </c>
      <c r="Y77" s="3"/>
      <c r="Z77" s="1"/>
      <c r="AA77" s="3"/>
      <c r="AB77" s="3"/>
      <c r="AC77" s="154"/>
      <c r="AD77" s="7"/>
      <c r="AE77" s="3"/>
      <c r="AF77" s="3"/>
      <c r="AG77" s="103"/>
      <c r="AH77" s="4"/>
      <c r="AI77" s="3"/>
      <c r="AJ77" s="3"/>
      <c r="AK77" s="103"/>
      <c r="AL77" s="6"/>
      <c r="AM77" s="3"/>
      <c r="AN77" s="3"/>
      <c r="AO77" s="3"/>
      <c r="AP77" s="3"/>
      <c r="AQ77" s="103"/>
      <c r="AR77" s="45"/>
      <c r="AS77" s="45"/>
      <c r="AT77" s="45"/>
    </row>
    <row r="78" spans="1:76" ht="15.75" customHeight="1">
      <c r="T78" s="41">
        <f>A34</f>
        <v>12</v>
      </c>
      <c r="V78" s="128" t="str">
        <f>C34</f>
        <v>DEMAND SIDE MANAGEMENT RIDER (DSMR)</v>
      </c>
      <c r="Y78" s="3"/>
      <c r="Z78" s="1"/>
      <c r="AA78" s="3"/>
      <c r="AB78" s="3"/>
      <c r="AC78" s="327">
        <f>DSM_DIST</f>
        <v>3.503E-3</v>
      </c>
      <c r="AD78" s="314"/>
      <c r="AE78" s="3">
        <f>ROUND(AA75*DSM_DIST,0)</f>
        <v>3878</v>
      </c>
      <c r="AF78" s="3"/>
      <c r="AG78" s="103">
        <f>ROUND((AE78/$AE$83)*100,1)</f>
        <v>5.2</v>
      </c>
      <c r="AH78" s="4"/>
      <c r="AI78" s="3">
        <f>L34-AE78</f>
        <v>0</v>
      </c>
      <c r="AJ78" s="3"/>
      <c r="AK78" s="103">
        <f>ROUND((AI78/AE78)*100,1)</f>
        <v>0</v>
      </c>
      <c r="AL78" s="6"/>
      <c r="AM78" s="3"/>
      <c r="AN78" s="3"/>
      <c r="AO78" s="3">
        <f>AE78+AM78</f>
        <v>3878</v>
      </c>
      <c r="AP78" s="3"/>
      <c r="AQ78" s="103">
        <f>ROUND((AI78/AO78)*100,1)</f>
        <v>0</v>
      </c>
      <c r="AR78" s="45"/>
      <c r="AS78" s="45"/>
      <c r="AT78" s="45"/>
    </row>
    <row r="79" spans="1:76" ht="15.75" customHeight="1">
      <c r="T79" s="41">
        <f>A35</f>
        <v>13</v>
      </c>
      <c r="V79" s="128" t="str">
        <f>C35</f>
        <v>ENVIRONMENTAL SURCHARGE MECHANISM RIDER (ESM)</v>
      </c>
      <c r="Y79" s="3"/>
      <c r="Z79" s="1"/>
      <c r="AA79" s="3"/>
      <c r="AB79" s="3"/>
      <c r="AC79" s="332">
        <f>CUR_ESM_NonRes</f>
        <v>6.4941608437496566E-3</v>
      </c>
      <c r="AD79" s="314"/>
      <c r="AE79" s="3">
        <f>ROUND(AO69*AC79,0)</f>
        <v>14</v>
      </c>
      <c r="AF79" s="3"/>
      <c r="AG79" s="103">
        <f>ROUND((AE79/$AE$83)*100,1)</f>
        <v>0</v>
      </c>
      <c r="AH79" s="4"/>
      <c r="AI79" s="3">
        <f>L35-AE79</f>
        <v>272</v>
      </c>
      <c r="AJ79" s="3"/>
      <c r="AK79" s="103">
        <f>IF(AE79=0,0,ROUND((AI79/AE79)*100,1))</f>
        <v>1942.9</v>
      </c>
      <c r="AL79" s="6"/>
      <c r="AM79" s="3"/>
      <c r="AN79" s="3"/>
      <c r="AO79" s="3">
        <f>AE79+AM79</f>
        <v>14</v>
      </c>
      <c r="AP79" s="3"/>
      <c r="AQ79" s="103">
        <f>IF(AO79=0,0,ROUND((AI79/AO79)*100,1))</f>
        <v>1942.9</v>
      </c>
      <c r="AR79" s="45"/>
      <c r="AS79" s="45"/>
      <c r="AT79" s="45"/>
    </row>
    <row r="80" spans="1:76" ht="15.75" customHeight="1">
      <c r="T80" s="41">
        <f>A36</f>
        <v>14</v>
      </c>
      <c r="V80" s="128" t="str">
        <f>C36</f>
        <v>PROFIT SHARING MECHANISM (PSM)</v>
      </c>
      <c r="Y80" s="3"/>
      <c r="Z80" s="1"/>
      <c r="AA80" s="3"/>
      <c r="AB80" s="3"/>
      <c r="AC80" s="327">
        <f>RS_PSM</f>
        <v>2.4750000000000002E-3</v>
      </c>
      <c r="AD80" s="314"/>
      <c r="AE80" s="66">
        <f>ROUND(AA75*RS_PSM,0)</f>
        <v>2740</v>
      </c>
      <c r="AF80" s="3"/>
      <c r="AG80" s="104">
        <f>ROUND((AE80/$AE$83)*100,1)</f>
        <v>3.7</v>
      </c>
      <c r="AH80" s="4"/>
      <c r="AI80" s="66">
        <f>L36-AE80</f>
        <v>0</v>
      </c>
      <c r="AJ80" s="3"/>
      <c r="AK80" s="104">
        <f>ROUND((AI80/AE80)*100,1)</f>
        <v>0</v>
      </c>
      <c r="AL80" s="6"/>
      <c r="AM80" s="66"/>
      <c r="AN80" s="3"/>
      <c r="AO80" s="66">
        <f>AE80+AM80</f>
        <v>2740</v>
      </c>
      <c r="AP80" s="3"/>
      <c r="AQ80" s="103">
        <f>ROUND((AI80/AO80)*100,1)</f>
        <v>0</v>
      </c>
      <c r="AR80" s="45"/>
      <c r="AS80" s="45"/>
      <c r="AT80" s="45"/>
    </row>
    <row r="81" spans="1:46" ht="20.100000000000001" customHeight="1">
      <c r="T81" s="41">
        <f>A37</f>
        <v>15</v>
      </c>
      <c r="V81" s="133" t="s">
        <v>435</v>
      </c>
      <c r="Y81" s="66"/>
      <c r="Z81" s="1"/>
      <c r="AA81" s="66"/>
      <c r="AB81" s="3"/>
      <c r="AC81" s="7"/>
      <c r="AD81" s="7"/>
      <c r="AE81" s="72">
        <f>SUM(AE78:AE80)</f>
        <v>6632</v>
      </c>
      <c r="AF81" s="3"/>
      <c r="AG81" s="105">
        <f>ROUND((AE81/$AE$83)*100,1)</f>
        <v>8.9</v>
      </c>
      <c r="AH81" s="4"/>
      <c r="AI81" s="72">
        <f>SUM(AI78:AI80)</f>
        <v>272</v>
      </c>
      <c r="AJ81" s="3"/>
      <c r="AK81" s="105">
        <f>ROUND((AI81/AE81)*100,1)</f>
        <v>4.0999999999999996</v>
      </c>
      <c r="AL81" s="6"/>
      <c r="AM81" s="72">
        <f>SUM(AM78:AM80)</f>
        <v>0</v>
      </c>
      <c r="AN81" s="3"/>
      <c r="AO81" s="72">
        <f>SUM(AO78:AO80)</f>
        <v>6632</v>
      </c>
      <c r="AP81" s="3"/>
      <c r="AQ81" s="103">
        <f>ROUND((AI81/AO81)*100,1)</f>
        <v>4.0999999999999996</v>
      </c>
      <c r="AR81" s="45"/>
      <c r="AS81" s="45"/>
      <c r="AT81" s="45"/>
    </row>
    <row r="82" spans="1:46" ht="15.75" customHeight="1">
      <c r="V82" s="133"/>
      <c r="Y82" s="3"/>
      <c r="Z82" s="1"/>
      <c r="AA82" s="3"/>
      <c r="AB82" s="3"/>
      <c r="AC82" s="7"/>
      <c r="AD82" s="7"/>
      <c r="AE82" s="3"/>
      <c r="AF82" s="3"/>
      <c r="AG82" s="103"/>
      <c r="AH82" s="4"/>
      <c r="AI82" s="3"/>
      <c r="AJ82" s="3"/>
      <c r="AK82" s="103"/>
      <c r="AL82" s="6"/>
      <c r="AM82" s="3"/>
      <c r="AN82" s="3"/>
      <c r="AO82" s="3"/>
      <c r="AP82" s="3"/>
      <c r="AQ82" s="103"/>
      <c r="AR82" s="45"/>
      <c r="AS82" s="45"/>
      <c r="AT82" s="45"/>
    </row>
    <row r="83" spans="1:46" ht="20.100000000000001" customHeight="1" thickBot="1">
      <c r="T83" s="41">
        <f>A39</f>
        <v>16</v>
      </c>
      <c r="V83" s="310" t="s">
        <v>458</v>
      </c>
      <c r="Y83" s="67">
        <f>F39</f>
        <v>12</v>
      </c>
      <c r="Z83" s="1"/>
      <c r="AA83" s="67">
        <f>H39</f>
        <v>1106948</v>
      </c>
      <c r="AB83" s="3"/>
      <c r="AC83" s="7"/>
      <c r="AD83" s="7"/>
      <c r="AE83" s="67">
        <f>AE81+AE75</f>
        <v>74934</v>
      </c>
      <c r="AF83" s="3"/>
      <c r="AG83" s="106">
        <v>100</v>
      </c>
      <c r="AH83" s="4"/>
      <c r="AI83" s="67">
        <f>AI81+AI75</f>
        <v>15198</v>
      </c>
      <c r="AJ83" s="3"/>
      <c r="AK83" s="106">
        <f>ROUND((AI83/AE83)*100,1)</f>
        <v>20.3</v>
      </c>
      <c r="AL83" s="6"/>
      <c r="AM83" s="67">
        <f>AM81+AM75</f>
        <v>0</v>
      </c>
      <c r="AN83" s="3"/>
      <c r="AO83" s="67">
        <f>AO81+AO75</f>
        <v>74934</v>
      </c>
      <c r="AP83" s="3"/>
      <c r="AQ83" s="103">
        <f>ROUND((AI83/AO83)*100,1)</f>
        <v>20.3</v>
      </c>
      <c r="AR83" s="45"/>
      <c r="AS83" s="45"/>
      <c r="AT83" s="45"/>
    </row>
    <row r="84" spans="1:46" ht="16.5" thickTop="1">
      <c r="L84" s="42"/>
      <c r="M84" s="42"/>
      <c r="Y84" s="3"/>
      <c r="Z84" s="1"/>
      <c r="AA84" s="3"/>
      <c r="AB84" s="3"/>
      <c r="AC84" s="7"/>
      <c r="AD84" s="7"/>
      <c r="AE84" s="3"/>
      <c r="AF84" s="3"/>
      <c r="AG84" s="103"/>
      <c r="AH84" s="3"/>
      <c r="AI84" s="1"/>
      <c r="AJ84" s="1"/>
      <c r="AK84" s="103"/>
      <c r="AL84" s="1"/>
      <c r="AM84" s="1"/>
      <c r="AN84" s="1"/>
      <c r="AO84" s="1"/>
      <c r="AP84" s="1"/>
      <c r="AQ84" s="103"/>
    </row>
    <row r="85" spans="1:46">
      <c r="R85" s="42"/>
      <c r="V85" s="140" t="s">
        <v>59</v>
      </c>
      <c r="Y85" s="45"/>
      <c r="AA85" s="45"/>
      <c r="AB85" s="45"/>
      <c r="AC85" s="47"/>
      <c r="AD85" s="47"/>
      <c r="AE85" s="45"/>
      <c r="AF85" s="45"/>
      <c r="AH85" s="45"/>
    </row>
    <row r="86" spans="1:46">
      <c r="R86" s="42"/>
      <c r="V86" s="42"/>
    </row>
    <row r="87" spans="1:46">
      <c r="A87" s="42"/>
      <c r="R87" s="42"/>
      <c r="AA87" s="42"/>
      <c r="AB87" s="42"/>
    </row>
    <row r="88" spans="1:46">
      <c r="L88" s="42"/>
      <c r="M88" s="42"/>
      <c r="AK88" s="110"/>
      <c r="AL88" s="42"/>
    </row>
    <row r="89" spans="1:46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AK89" s="110"/>
      <c r="AL89" s="42"/>
    </row>
    <row r="90" spans="1:46">
      <c r="L90" s="44"/>
      <c r="M90" s="44"/>
      <c r="N90" s="44"/>
      <c r="O90" s="44"/>
      <c r="R90" s="44"/>
      <c r="AK90" s="110"/>
      <c r="AL90" s="42"/>
    </row>
    <row r="91" spans="1:46">
      <c r="L91" s="44"/>
      <c r="M91" s="44"/>
      <c r="N91" s="44"/>
      <c r="O91" s="44"/>
      <c r="R91" s="44"/>
      <c r="AA91" s="42"/>
      <c r="AB91" s="42"/>
    </row>
    <row r="92" spans="1:46">
      <c r="A92" s="44"/>
      <c r="C92" s="44"/>
      <c r="D92" s="44"/>
      <c r="E92" s="44"/>
      <c r="F92" s="44"/>
      <c r="J92" s="44"/>
      <c r="K92" s="44"/>
      <c r="L92" s="44"/>
      <c r="M92" s="44"/>
      <c r="N92" s="44"/>
      <c r="O92" s="44"/>
      <c r="P92" s="44"/>
      <c r="Q92" s="44"/>
      <c r="R92" s="44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107"/>
      <c r="AH92" s="49"/>
      <c r="AI92" s="49"/>
      <c r="AJ92" s="49"/>
      <c r="AK92" s="107"/>
      <c r="AL92" s="49"/>
      <c r="AM92" s="49"/>
      <c r="AN92" s="49"/>
    </row>
    <row r="93" spans="1:46">
      <c r="A93" s="44"/>
      <c r="C93" s="44"/>
      <c r="D93" s="44"/>
      <c r="E93" s="44"/>
      <c r="F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AA93" s="44"/>
      <c r="AB93" s="44"/>
      <c r="AC93" s="44"/>
      <c r="AD93" s="44"/>
      <c r="AE93" s="44"/>
      <c r="AF93" s="44"/>
      <c r="AG93" s="102"/>
      <c r="AH93" s="44"/>
      <c r="AK93" s="102"/>
      <c r="AL93" s="44"/>
      <c r="AM93" s="44"/>
      <c r="AN93" s="44"/>
    </row>
    <row r="94" spans="1:46">
      <c r="C94" s="44"/>
      <c r="D94" s="44"/>
      <c r="E94" s="44"/>
      <c r="F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Z94" s="44"/>
      <c r="AA94" s="44"/>
      <c r="AB94" s="44"/>
      <c r="AC94" s="44"/>
      <c r="AD94" s="44"/>
      <c r="AE94" s="44"/>
      <c r="AF94" s="44"/>
      <c r="AG94" s="102"/>
      <c r="AH94" s="44"/>
      <c r="AK94" s="102"/>
      <c r="AL94" s="44"/>
      <c r="AM94" s="44"/>
      <c r="AN94" s="44"/>
    </row>
    <row r="95" spans="1:46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T95" s="44"/>
      <c r="U95" s="44"/>
      <c r="V95" s="44"/>
      <c r="Z95" s="44"/>
      <c r="AA95" s="44"/>
      <c r="AB95" s="44"/>
      <c r="AC95" s="44"/>
      <c r="AD95" s="44"/>
      <c r="AE95" s="44"/>
      <c r="AF95" s="44"/>
      <c r="AG95" s="102"/>
      <c r="AH95" s="44"/>
      <c r="AI95" s="44"/>
      <c r="AJ95" s="44"/>
      <c r="AK95" s="102"/>
      <c r="AL95" s="44"/>
      <c r="AM95" s="44"/>
      <c r="AN95" s="44"/>
    </row>
    <row r="96" spans="1:46"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T96" s="44"/>
      <c r="U96" s="44"/>
      <c r="V96" s="44"/>
      <c r="Y96" s="44"/>
      <c r="Z96" s="44"/>
      <c r="AA96" s="44"/>
      <c r="AB96" s="44"/>
      <c r="AC96" s="44"/>
      <c r="AD96" s="44"/>
      <c r="AE96" s="44"/>
      <c r="AF96" s="44"/>
      <c r="AG96" s="102"/>
      <c r="AH96" s="44"/>
      <c r="AI96" s="44"/>
      <c r="AJ96" s="44"/>
      <c r="AK96" s="102"/>
      <c r="AL96" s="44"/>
      <c r="AM96" s="44"/>
      <c r="AN96" s="44"/>
    </row>
    <row r="97" spans="3:40">
      <c r="C97" s="42"/>
      <c r="D97" s="42"/>
      <c r="E97" s="42"/>
      <c r="T97" s="44"/>
      <c r="U97" s="44"/>
      <c r="V97" s="44"/>
      <c r="Y97" s="44"/>
      <c r="Z97" s="44"/>
      <c r="AA97" s="44"/>
      <c r="AB97" s="44"/>
      <c r="AC97" s="44"/>
      <c r="AD97" s="44"/>
      <c r="AE97" s="44"/>
      <c r="AF97" s="44"/>
      <c r="AG97" s="102"/>
      <c r="AH97" s="44"/>
      <c r="AI97" s="44"/>
      <c r="AJ97" s="44"/>
      <c r="AK97" s="102"/>
      <c r="AL97" s="44"/>
      <c r="AM97" s="44"/>
      <c r="AN97" s="44"/>
    </row>
    <row r="98" spans="3:40">
      <c r="C98" s="42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107"/>
      <c r="AH98" s="49"/>
      <c r="AI98" s="49"/>
      <c r="AJ98" s="49"/>
      <c r="AK98" s="107"/>
      <c r="AL98" s="49"/>
      <c r="AM98" s="49"/>
      <c r="AN98" s="49"/>
    </row>
    <row r="99" spans="3:40">
      <c r="Y99" s="44"/>
      <c r="Z99" s="44"/>
      <c r="AA99" s="44"/>
      <c r="AB99" s="44"/>
      <c r="AC99" s="44"/>
      <c r="AD99" s="44"/>
      <c r="AE99" s="44"/>
      <c r="AF99" s="44"/>
      <c r="AG99" s="102"/>
      <c r="AH99" s="44"/>
      <c r="AI99" s="44"/>
      <c r="AJ99" s="44"/>
      <c r="AK99" s="102"/>
      <c r="AL99" s="44"/>
      <c r="AM99" s="44"/>
      <c r="AN99" s="44"/>
    </row>
    <row r="100" spans="3:40">
      <c r="C100" s="42"/>
      <c r="T100" s="42"/>
      <c r="U100" s="42"/>
    </row>
    <row r="101" spans="3:40">
      <c r="C101" s="42"/>
      <c r="F101" s="164"/>
      <c r="H101" s="164"/>
      <c r="I101" s="164"/>
      <c r="J101" s="316"/>
      <c r="K101" s="316"/>
      <c r="L101" s="45"/>
      <c r="M101" s="45"/>
      <c r="N101" s="46"/>
      <c r="O101" s="46"/>
      <c r="R101" s="45"/>
      <c r="T101" s="42"/>
    </row>
    <row r="102" spans="3:40">
      <c r="C102" s="42"/>
      <c r="F102" s="164"/>
      <c r="H102" s="164"/>
      <c r="I102" s="164"/>
      <c r="J102" s="316"/>
      <c r="K102" s="316"/>
      <c r="L102" s="45"/>
      <c r="M102" s="45"/>
      <c r="N102" s="46"/>
      <c r="O102" s="46"/>
      <c r="R102" s="45"/>
    </row>
    <row r="103" spans="3:40">
      <c r="C103" s="42"/>
      <c r="F103" s="164"/>
      <c r="H103" s="164"/>
      <c r="I103" s="164"/>
      <c r="J103" s="316"/>
      <c r="K103" s="316"/>
      <c r="L103" s="45"/>
      <c r="M103" s="45"/>
      <c r="N103" s="46"/>
      <c r="O103" s="46"/>
      <c r="R103" s="45"/>
      <c r="T103" s="42"/>
    </row>
    <row r="104" spans="3:40">
      <c r="F104" s="50"/>
      <c r="H104" s="45"/>
      <c r="I104" s="45"/>
      <c r="J104" s="326"/>
      <c r="K104" s="326"/>
      <c r="L104" s="50"/>
      <c r="M104" s="50"/>
      <c r="N104" s="50"/>
      <c r="O104" s="50"/>
      <c r="P104" s="50"/>
      <c r="Q104" s="50"/>
      <c r="R104" s="50"/>
      <c r="T104" s="42"/>
      <c r="V104" s="45"/>
      <c r="Y104" s="164"/>
      <c r="Z104" s="316"/>
      <c r="AA104" s="45"/>
      <c r="AB104" s="45"/>
      <c r="AC104" s="46"/>
      <c r="AD104" s="46"/>
      <c r="AE104" s="45"/>
      <c r="AF104" s="45"/>
      <c r="AG104" s="333"/>
      <c r="AH104" s="334"/>
      <c r="AL104" s="45"/>
      <c r="AM104" s="335"/>
      <c r="AN104" s="335"/>
    </row>
    <row r="105" spans="3:40">
      <c r="C105" s="42"/>
      <c r="F105" s="45"/>
      <c r="H105" s="45"/>
      <c r="I105" s="45"/>
      <c r="J105" s="326"/>
      <c r="K105" s="326"/>
      <c r="L105" s="45"/>
      <c r="M105" s="45"/>
      <c r="N105" s="46"/>
      <c r="O105" s="46"/>
      <c r="P105" s="45"/>
      <c r="Q105" s="45"/>
      <c r="R105" s="45"/>
      <c r="T105" s="42"/>
      <c r="V105" s="45"/>
      <c r="Y105" s="164"/>
      <c r="Z105" s="316"/>
      <c r="AA105" s="45"/>
      <c r="AB105" s="45"/>
      <c r="AC105" s="46"/>
      <c r="AD105" s="46"/>
      <c r="AE105" s="45"/>
      <c r="AF105" s="45"/>
      <c r="AH105" s="51"/>
      <c r="AL105" s="45"/>
      <c r="AM105" s="46"/>
      <c r="AN105" s="46"/>
    </row>
    <row r="106" spans="3:40">
      <c r="F106" s="50"/>
      <c r="H106" s="45"/>
      <c r="I106" s="45"/>
      <c r="J106" s="326"/>
      <c r="K106" s="326"/>
      <c r="L106" s="50"/>
      <c r="M106" s="50"/>
      <c r="N106" s="50"/>
      <c r="O106" s="50"/>
      <c r="P106" s="50"/>
      <c r="Q106" s="50"/>
      <c r="R106" s="50"/>
      <c r="T106" s="42"/>
      <c r="V106" s="45"/>
      <c r="Y106" s="164"/>
      <c r="Z106" s="316"/>
      <c r="AA106" s="45"/>
      <c r="AB106" s="45"/>
      <c r="AC106" s="46"/>
      <c r="AD106" s="46"/>
      <c r="AE106" s="45"/>
      <c r="AF106" s="45"/>
      <c r="AH106" s="51"/>
      <c r="AL106" s="45"/>
      <c r="AM106" s="46"/>
      <c r="AN106" s="46"/>
    </row>
    <row r="107" spans="3:40">
      <c r="C107" s="42"/>
      <c r="F107" s="164"/>
      <c r="H107" s="164"/>
      <c r="I107" s="164"/>
      <c r="J107" s="336"/>
      <c r="K107" s="336"/>
      <c r="L107" s="45"/>
      <c r="M107" s="45"/>
      <c r="N107" s="46"/>
      <c r="O107" s="46"/>
      <c r="P107" s="45"/>
      <c r="Q107" s="45"/>
      <c r="R107" s="45"/>
      <c r="S107" s="45"/>
      <c r="V107" s="50"/>
      <c r="Y107" s="45"/>
      <c r="Z107" s="326"/>
      <c r="AA107" s="50"/>
      <c r="AB107" s="50"/>
      <c r="AC107" s="50"/>
      <c r="AD107" s="50"/>
      <c r="AE107" s="50"/>
      <c r="AF107" s="50"/>
      <c r="AI107" s="50"/>
      <c r="AJ107" s="50"/>
      <c r="AK107" s="111"/>
      <c r="AL107" s="50"/>
      <c r="AM107" s="46"/>
      <c r="AN107" s="46"/>
    </row>
    <row r="108" spans="3:40">
      <c r="C108" s="42"/>
      <c r="F108" s="164"/>
      <c r="H108" s="164"/>
      <c r="I108" s="164"/>
      <c r="J108" s="316"/>
      <c r="K108" s="316"/>
      <c r="L108" s="45"/>
      <c r="M108" s="45"/>
      <c r="N108" s="46"/>
      <c r="O108" s="46"/>
      <c r="P108" s="45"/>
      <c r="Q108" s="45"/>
      <c r="R108" s="45"/>
      <c r="T108" s="42"/>
      <c r="V108" s="45"/>
      <c r="Y108" s="45"/>
      <c r="Z108" s="47"/>
      <c r="AA108" s="45"/>
      <c r="AB108" s="45"/>
      <c r="AC108" s="46"/>
      <c r="AD108" s="46"/>
      <c r="AE108" s="45"/>
      <c r="AF108" s="45"/>
      <c r="AH108" s="51"/>
      <c r="AI108" s="45"/>
      <c r="AJ108" s="45"/>
      <c r="AL108" s="45"/>
      <c r="AM108" s="46"/>
      <c r="AN108" s="46"/>
    </row>
    <row r="109" spans="3:40">
      <c r="C109" s="42"/>
      <c r="F109" s="164"/>
      <c r="H109" s="164"/>
      <c r="I109" s="164"/>
      <c r="J109" s="316"/>
      <c r="K109" s="316"/>
      <c r="L109" s="45"/>
      <c r="M109" s="45"/>
      <c r="N109" s="46"/>
      <c r="O109" s="46"/>
      <c r="P109" s="45"/>
      <c r="Q109" s="45"/>
      <c r="R109" s="45"/>
      <c r="V109" s="50"/>
      <c r="Y109" s="45"/>
      <c r="Z109" s="326"/>
      <c r="AA109" s="50"/>
      <c r="AB109" s="50"/>
      <c r="AC109" s="50"/>
      <c r="AD109" s="50"/>
      <c r="AE109" s="50"/>
      <c r="AF109" s="50"/>
      <c r="AI109" s="50"/>
      <c r="AJ109" s="50"/>
      <c r="AK109" s="111"/>
      <c r="AL109" s="50"/>
      <c r="AM109" s="46"/>
      <c r="AN109" s="46"/>
    </row>
    <row r="110" spans="3:40">
      <c r="F110" s="45"/>
      <c r="H110" s="50"/>
      <c r="I110" s="50"/>
      <c r="J110" s="326"/>
      <c r="K110" s="326"/>
      <c r="L110" s="50"/>
      <c r="M110" s="50"/>
      <c r="N110" s="50"/>
      <c r="O110" s="50"/>
      <c r="P110" s="50"/>
      <c r="Q110" s="50"/>
      <c r="R110" s="50"/>
      <c r="T110" s="42"/>
      <c r="V110" s="164"/>
      <c r="Y110" s="164"/>
      <c r="Z110" s="336"/>
      <c r="AA110" s="45"/>
      <c r="AB110" s="45"/>
      <c r="AC110" s="46"/>
      <c r="AD110" s="46"/>
      <c r="AE110" s="45"/>
      <c r="AF110" s="45"/>
      <c r="AH110" s="46"/>
      <c r="AI110" s="45"/>
      <c r="AJ110" s="45"/>
      <c r="AL110" s="45"/>
      <c r="AM110" s="46"/>
      <c r="AN110" s="46"/>
    </row>
    <row r="111" spans="3:40">
      <c r="C111" s="42"/>
      <c r="F111" s="45"/>
      <c r="H111" s="45"/>
      <c r="I111" s="45"/>
      <c r="J111" s="326"/>
      <c r="K111" s="326"/>
      <c r="L111" s="45"/>
      <c r="M111" s="45"/>
      <c r="N111" s="46"/>
      <c r="O111" s="46"/>
      <c r="P111" s="45"/>
      <c r="Q111" s="45"/>
      <c r="R111" s="45"/>
      <c r="T111" s="42"/>
      <c r="V111" s="164"/>
      <c r="Y111" s="45"/>
      <c r="Z111" s="316"/>
      <c r="AA111" s="45"/>
      <c r="AB111" s="45"/>
      <c r="AC111" s="46"/>
      <c r="AD111" s="46"/>
      <c r="AE111" s="45"/>
      <c r="AF111" s="45"/>
      <c r="AH111" s="51"/>
      <c r="AI111" s="45"/>
      <c r="AJ111" s="45"/>
      <c r="AL111" s="45"/>
      <c r="AM111" s="46"/>
      <c r="AN111" s="46"/>
    </row>
    <row r="112" spans="3:40">
      <c r="F112" s="45"/>
      <c r="H112" s="50"/>
      <c r="I112" s="50"/>
      <c r="J112" s="326"/>
      <c r="K112" s="326"/>
      <c r="L112" s="50"/>
      <c r="M112" s="50"/>
      <c r="N112" s="50"/>
      <c r="O112" s="50"/>
      <c r="P112" s="50"/>
      <c r="Q112" s="50"/>
      <c r="R112" s="50"/>
      <c r="T112" s="42"/>
      <c r="V112" s="164"/>
      <c r="Y112" s="45"/>
      <c r="Z112" s="316"/>
      <c r="AA112" s="45"/>
      <c r="AB112" s="45"/>
      <c r="AC112" s="46"/>
      <c r="AD112" s="46"/>
      <c r="AE112" s="45"/>
      <c r="AF112" s="45"/>
      <c r="AH112" s="51"/>
      <c r="AI112" s="45"/>
      <c r="AJ112" s="45"/>
      <c r="AL112" s="45"/>
      <c r="AM112" s="46"/>
      <c r="AN112" s="46"/>
    </row>
    <row r="113" spans="3:40">
      <c r="C113" s="42"/>
      <c r="F113" s="45"/>
      <c r="H113" s="45"/>
      <c r="I113" s="45"/>
      <c r="J113" s="326"/>
      <c r="K113" s="326"/>
      <c r="L113" s="45"/>
      <c r="M113" s="45"/>
      <c r="N113" s="45"/>
      <c r="O113" s="45"/>
      <c r="P113" s="45"/>
      <c r="Q113" s="45"/>
      <c r="R113" s="45"/>
      <c r="V113" s="45"/>
      <c r="Y113" s="50"/>
      <c r="Z113" s="326"/>
      <c r="AA113" s="50"/>
      <c r="AB113" s="50"/>
      <c r="AC113" s="50"/>
      <c r="AD113" s="50"/>
      <c r="AE113" s="50"/>
      <c r="AF113" s="50"/>
      <c r="AI113" s="50"/>
      <c r="AJ113" s="50"/>
      <c r="AK113" s="111"/>
      <c r="AL113" s="50"/>
      <c r="AM113" s="46"/>
      <c r="AN113" s="46"/>
    </row>
    <row r="114" spans="3:40">
      <c r="C114" s="42"/>
      <c r="F114" s="45"/>
      <c r="H114" s="164"/>
      <c r="I114" s="164"/>
      <c r="J114" s="132"/>
      <c r="K114" s="132"/>
      <c r="L114" s="45"/>
      <c r="M114" s="45"/>
      <c r="N114" s="46"/>
      <c r="O114" s="46"/>
      <c r="P114" s="45"/>
      <c r="Q114" s="45"/>
      <c r="R114" s="45"/>
      <c r="T114" s="42"/>
      <c r="V114" s="45"/>
      <c r="Y114" s="45"/>
      <c r="Z114" s="326"/>
      <c r="AA114" s="45"/>
      <c r="AB114" s="45"/>
      <c r="AC114" s="46"/>
      <c r="AD114" s="46"/>
      <c r="AE114" s="45"/>
      <c r="AF114" s="45"/>
      <c r="AH114" s="51"/>
      <c r="AI114" s="45"/>
      <c r="AJ114" s="45"/>
      <c r="AL114" s="45"/>
      <c r="AM114" s="46"/>
      <c r="AN114" s="46"/>
    </row>
    <row r="115" spans="3:40">
      <c r="C115" s="42"/>
      <c r="H115" s="164"/>
      <c r="I115" s="164"/>
      <c r="J115" s="132"/>
      <c r="K115" s="132"/>
      <c r="L115" s="45"/>
      <c r="M115" s="45"/>
      <c r="N115" s="46"/>
      <c r="O115" s="46"/>
      <c r="P115" s="45"/>
      <c r="Q115" s="45"/>
      <c r="R115" s="45"/>
      <c r="V115" s="45"/>
      <c r="Y115" s="50"/>
      <c r="Z115" s="326"/>
      <c r="AA115" s="50"/>
      <c r="AB115" s="50"/>
      <c r="AC115" s="50"/>
      <c r="AD115" s="50"/>
      <c r="AE115" s="50"/>
      <c r="AF115" s="50"/>
      <c r="AI115" s="50"/>
      <c r="AJ115" s="50"/>
      <c r="AK115" s="111"/>
      <c r="AL115" s="50"/>
      <c r="AM115" s="46"/>
      <c r="AN115" s="46"/>
    </row>
    <row r="116" spans="3:40">
      <c r="F116" s="45"/>
      <c r="H116" s="45"/>
      <c r="I116" s="45"/>
      <c r="J116" s="326"/>
      <c r="K116" s="326"/>
      <c r="L116" s="50"/>
      <c r="M116" s="50"/>
      <c r="N116" s="50"/>
      <c r="O116" s="50"/>
      <c r="P116" s="50"/>
      <c r="Q116" s="50"/>
      <c r="R116" s="50"/>
      <c r="T116" s="42"/>
      <c r="V116" s="45"/>
      <c r="Y116" s="45"/>
      <c r="Z116" s="326"/>
      <c r="AA116" s="45"/>
      <c r="AB116" s="45"/>
      <c r="AC116" s="45"/>
      <c r="AD116" s="45"/>
      <c r="AE116" s="45"/>
      <c r="AF116" s="45"/>
      <c r="AH116" s="51"/>
      <c r="AI116" s="45"/>
      <c r="AJ116" s="45"/>
      <c r="AL116" s="45"/>
      <c r="AM116" s="46"/>
      <c r="AN116" s="46"/>
    </row>
    <row r="117" spans="3:40">
      <c r="C117" s="42"/>
      <c r="F117" s="45"/>
      <c r="H117" s="45"/>
      <c r="I117" s="45"/>
      <c r="J117" s="47"/>
      <c r="K117" s="47"/>
      <c r="L117" s="45"/>
      <c r="M117" s="45"/>
      <c r="N117" s="46"/>
      <c r="O117" s="46"/>
      <c r="P117" s="45"/>
      <c r="Q117" s="45"/>
      <c r="R117" s="45"/>
      <c r="T117" s="42"/>
      <c r="V117" s="45"/>
      <c r="Y117" s="45"/>
      <c r="Z117" s="132"/>
      <c r="AA117" s="45"/>
      <c r="AB117" s="45"/>
      <c r="AC117" s="46"/>
      <c r="AD117" s="46"/>
      <c r="AE117" s="45"/>
      <c r="AF117" s="45"/>
      <c r="AH117" s="51"/>
      <c r="AI117" s="45"/>
      <c r="AJ117" s="45"/>
      <c r="AL117" s="45"/>
      <c r="AM117" s="46"/>
      <c r="AN117" s="46"/>
    </row>
    <row r="118" spans="3:40">
      <c r="F118" s="45"/>
      <c r="H118" s="45"/>
      <c r="I118" s="45"/>
      <c r="J118" s="326"/>
      <c r="K118" s="326"/>
      <c r="L118" s="50"/>
      <c r="M118" s="50"/>
      <c r="N118" s="50"/>
      <c r="O118" s="50"/>
      <c r="P118" s="50"/>
      <c r="Q118" s="50"/>
      <c r="R118" s="50"/>
      <c r="T118" s="42"/>
      <c r="Y118" s="45"/>
      <c r="Z118" s="132"/>
      <c r="AA118" s="45"/>
      <c r="AB118" s="45"/>
      <c r="AC118" s="46"/>
      <c r="AD118" s="46"/>
      <c r="AE118" s="45"/>
      <c r="AF118" s="45"/>
      <c r="AH118" s="51"/>
      <c r="AI118" s="45"/>
      <c r="AJ118" s="45"/>
      <c r="AL118" s="45"/>
      <c r="AM118" s="46"/>
      <c r="AN118" s="46"/>
    </row>
    <row r="119" spans="3:40">
      <c r="C119" s="42"/>
      <c r="F119" s="45"/>
      <c r="H119" s="45"/>
      <c r="I119" s="45"/>
      <c r="J119" s="47"/>
      <c r="K119" s="47"/>
      <c r="L119" s="45"/>
      <c r="M119" s="45"/>
      <c r="N119" s="46"/>
      <c r="O119" s="46"/>
      <c r="P119" s="45"/>
      <c r="Q119" s="45"/>
      <c r="R119" s="45"/>
      <c r="V119" s="45"/>
      <c r="Y119" s="45"/>
      <c r="Z119" s="326"/>
      <c r="AA119" s="50"/>
      <c r="AB119" s="50"/>
      <c r="AC119" s="50"/>
      <c r="AD119" s="50"/>
      <c r="AE119" s="50"/>
      <c r="AF119" s="50"/>
      <c r="AI119" s="50"/>
      <c r="AJ119" s="50"/>
      <c r="AK119" s="111"/>
      <c r="AL119" s="50"/>
      <c r="AM119" s="46"/>
      <c r="AN119" s="46"/>
    </row>
    <row r="120" spans="3:40">
      <c r="C120" s="42"/>
      <c r="F120" s="45"/>
      <c r="H120" s="164"/>
      <c r="I120" s="164"/>
      <c r="J120" s="331"/>
      <c r="K120" s="331"/>
      <c r="L120" s="45"/>
      <c r="M120" s="45"/>
      <c r="N120" s="46"/>
      <c r="O120" s="46"/>
      <c r="P120" s="45"/>
      <c r="Q120" s="45"/>
      <c r="R120" s="45"/>
      <c r="T120" s="42"/>
      <c r="V120" s="45"/>
      <c r="Y120" s="45"/>
      <c r="Z120" s="47"/>
      <c r="AA120" s="45"/>
      <c r="AB120" s="45"/>
      <c r="AC120" s="46"/>
      <c r="AD120" s="46"/>
      <c r="AE120" s="45"/>
      <c r="AF120" s="45"/>
      <c r="AH120" s="51"/>
      <c r="AI120" s="45"/>
      <c r="AJ120" s="45"/>
      <c r="AL120" s="45"/>
      <c r="AM120" s="46"/>
      <c r="AN120" s="46"/>
    </row>
    <row r="121" spans="3:40">
      <c r="F121" s="50"/>
      <c r="H121" s="50"/>
      <c r="I121" s="50"/>
      <c r="J121" s="326"/>
      <c r="K121" s="326"/>
      <c r="L121" s="50"/>
      <c r="M121" s="50"/>
      <c r="N121" s="50"/>
      <c r="O121" s="50"/>
      <c r="P121" s="50"/>
      <c r="Q121" s="50"/>
      <c r="R121" s="50"/>
      <c r="V121" s="45"/>
      <c r="Y121" s="45"/>
      <c r="Z121" s="326"/>
      <c r="AA121" s="50"/>
      <c r="AB121" s="50"/>
      <c r="AC121" s="50"/>
      <c r="AD121" s="50"/>
      <c r="AE121" s="50"/>
      <c r="AF121" s="50"/>
      <c r="AI121" s="50"/>
      <c r="AJ121" s="50"/>
      <c r="AK121" s="111"/>
      <c r="AL121" s="50"/>
      <c r="AM121" s="46"/>
      <c r="AN121" s="46"/>
    </row>
    <row r="122" spans="3:40">
      <c r="C122" s="42"/>
      <c r="F122" s="45"/>
      <c r="H122" s="45"/>
      <c r="I122" s="45"/>
      <c r="J122" s="326"/>
      <c r="K122" s="326"/>
      <c r="L122" s="45"/>
      <c r="M122" s="45"/>
      <c r="N122" s="46"/>
      <c r="O122" s="46"/>
      <c r="P122" s="45"/>
      <c r="Q122" s="45"/>
      <c r="R122" s="45"/>
      <c r="S122" s="45"/>
      <c r="T122" s="42"/>
      <c r="V122" s="45"/>
      <c r="Y122" s="45"/>
      <c r="Z122" s="47"/>
      <c r="AA122" s="45"/>
      <c r="AB122" s="45"/>
      <c r="AC122" s="46"/>
      <c r="AD122" s="46"/>
      <c r="AE122" s="45"/>
      <c r="AF122" s="45"/>
      <c r="AH122" s="51"/>
      <c r="AI122" s="45"/>
      <c r="AJ122" s="45"/>
      <c r="AL122" s="45"/>
      <c r="AM122" s="46"/>
      <c r="AN122" s="46"/>
    </row>
    <row r="123" spans="3:40">
      <c r="F123" s="50"/>
      <c r="H123" s="50"/>
      <c r="I123" s="50"/>
      <c r="J123" s="326"/>
      <c r="K123" s="326"/>
      <c r="L123" s="50"/>
      <c r="M123" s="50"/>
      <c r="N123" s="50"/>
      <c r="O123" s="50"/>
      <c r="P123" s="50"/>
      <c r="Q123" s="50"/>
      <c r="R123" s="50"/>
      <c r="S123" s="45"/>
      <c r="T123" s="42"/>
      <c r="V123" s="164"/>
      <c r="Y123" s="45"/>
      <c r="Z123" s="331"/>
      <c r="AA123" s="45"/>
      <c r="AB123" s="45"/>
      <c r="AC123" s="46"/>
      <c r="AD123" s="46"/>
      <c r="AE123" s="45"/>
      <c r="AF123" s="45"/>
      <c r="AH123" s="51"/>
      <c r="AI123" s="45"/>
      <c r="AJ123" s="45"/>
      <c r="AL123" s="45"/>
      <c r="AM123" s="46"/>
      <c r="AN123" s="46"/>
    </row>
    <row r="124" spans="3:40">
      <c r="C124" s="42"/>
      <c r="F124" s="164"/>
      <c r="H124" s="337"/>
      <c r="I124" s="337"/>
      <c r="J124" s="326"/>
      <c r="K124" s="326"/>
      <c r="L124" s="45"/>
      <c r="M124" s="45"/>
      <c r="N124" s="46"/>
      <c r="O124" s="46"/>
      <c r="P124" s="45"/>
      <c r="Q124" s="45"/>
      <c r="R124" s="45"/>
      <c r="S124" s="45"/>
      <c r="V124" s="50"/>
      <c r="Y124" s="50"/>
      <c r="Z124" s="326"/>
      <c r="AA124" s="50"/>
      <c r="AB124" s="50"/>
      <c r="AC124" s="50"/>
      <c r="AD124" s="50"/>
      <c r="AE124" s="50"/>
      <c r="AF124" s="50"/>
      <c r="AI124" s="50"/>
      <c r="AJ124" s="50"/>
      <c r="AK124" s="111"/>
      <c r="AL124" s="50"/>
      <c r="AM124" s="46"/>
      <c r="AN124" s="46"/>
    </row>
    <row r="125" spans="3:40">
      <c r="T125" s="42"/>
      <c r="V125" s="45"/>
      <c r="Y125" s="45"/>
      <c r="Z125" s="326"/>
      <c r="AA125" s="45"/>
      <c r="AB125" s="45"/>
      <c r="AC125" s="46"/>
      <c r="AD125" s="46"/>
      <c r="AE125" s="45"/>
      <c r="AF125" s="45"/>
      <c r="AH125" s="46"/>
      <c r="AI125" s="45"/>
      <c r="AJ125" s="45"/>
      <c r="AL125" s="45"/>
      <c r="AM125" s="46"/>
      <c r="AN125" s="46"/>
    </row>
    <row r="126" spans="3:40">
      <c r="C126" s="42"/>
      <c r="V126" s="50"/>
      <c r="Y126" s="50"/>
      <c r="Z126" s="326"/>
      <c r="AA126" s="50"/>
      <c r="AB126" s="50"/>
      <c r="AC126" s="50"/>
      <c r="AD126" s="50"/>
      <c r="AE126" s="50"/>
      <c r="AF126" s="50"/>
      <c r="AI126" s="50"/>
      <c r="AJ126" s="50"/>
      <c r="AK126" s="111"/>
      <c r="AL126" s="50"/>
      <c r="AM126" s="46"/>
      <c r="AN126" s="46"/>
    </row>
    <row r="127" spans="3:40">
      <c r="C127" s="42"/>
      <c r="F127" s="164"/>
      <c r="H127" s="164"/>
      <c r="I127" s="164"/>
      <c r="J127" s="316"/>
      <c r="K127" s="316"/>
      <c r="L127" s="45"/>
      <c r="M127" s="45"/>
      <c r="N127" s="46"/>
      <c r="O127" s="46"/>
      <c r="R127" s="45"/>
      <c r="T127" s="42"/>
      <c r="V127" s="164"/>
      <c r="Y127" s="164"/>
      <c r="Z127" s="326"/>
      <c r="AA127" s="45"/>
      <c r="AB127" s="45"/>
      <c r="AC127" s="46"/>
      <c r="AD127" s="46"/>
      <c r="AE127" s="45"/>
      <c r="AF127" s="45"/>
      <c r="AI127" s="45"/>
      <c r="AJ127" s="45"/>
      <c r="AL127" s="45"/>
      <c r="AM127" s="46"/>
      <c r="AN127" s="46"/>
    </row>
    <row r="128" spans="3:40">
      <c r="C128" s="42"/>
      <c r="F128" s="164"/>
      <c r="H128" s="164"/>
      <c r="I128" s="164"/>
      <c r="J128" s="316"/>
      <c r="K128" s="316"/>
      <c r="L128" s="45"/>
      <c r="M128" s="45"/>
      <c r="N128" s="46"/>
      <c r="O128" s="46"/>
      <c r="R128" s="45"/>
    </row>
    <row r="129" spans="3:40">
      <c r="C129" s="42"/>
      <c r="F129" s="164"/>
      <c r="H129" s="164"/>
      <c r="I129" s="164"/>
      <c r="J129" s="316"/>
      <c r="K129" s="316"/>
      <c r="L129" s="45"/>
      <c r="M129" s="45"/>
      <c r="N129" s="46"/>
      <c r="O129" s="46"/>
      <c r="R129" s="45"/>
      <c r="T129" s="42"/>
    </row>
    <row r="130" spans="3:40">
      <c r="F130" s="50"/>
      <c r="H130" s="45"/>
      <c r="I130" s="45"/>
      <c r="J130" s="326"/>
      <c r="K130" s="326"/>
      <c r="L130" s="50"/>
      <c r="M130" s="50"/>
      <c r="N130" s="50"/>
      <c r="O130" s="50"/>
      <c r="P130" s="50"/>
      <c r="Q130" s="50"/>
      <c r="R130" s="50"/>
      <c r="T130" s="42"/>
      <c r="V130" s="45"/>
      <c r="Y130" s="164"/>
      <c r="Z130" s="316"/>
      <c r="AA130" s="45"/>
      <c r="AB130" s="45"/>
      <c r="AC130" s="46"/>
      <c r="AD130" s="46"/>
      <c r="AE130" s="45"/>
      <c r="AF130" s="45"/>
      <c r="AG130" s="333"/>
      <c r="AH130" s="334"/>
      <c r="AL130" s="45"/>
      <c r="AM130" s="335"/>
      <c r="AN130" s="335"/>
    </row>
    <row r="131" spans="3:40">
      <c r="C131" s="42"/>
      <c r="F131" s="45"/>
      <c r="H131" s="45"/>
      <c r="I131" s="45"/>
      <c r="J131" s="326"/>
      <c r="K131" s="326"/>
      <c r="L131" s="45"/>
      <c r="M131" s="45"/>
      <c r="N131" s="46"/>
      <c r="O131" s="46"/>
      <c r="P131" s="45"/>
      <c r="Q131" s="45"/>
      <c r="R131" s="45"/>
      <c r="T131" s="42"/>
      <c r="V131" s="45"/>
      <c r="Y131" s="164"/>
      <c r="Z131" s="316"/>
      <c r="AA131" s="45"/>
      <c r="AB131" s="45"/>
      <c r="AC131" s="46"/>
      <c r="AD131" s="46"/>
      <c r="AE131" s="45"/>
      <c r="AF131" s="45"/>
      <c r="AH131" s="51"/>
      <c r="AL131" s="45"/>
      <c r="AM131" s="46"/>
      <c r="AN131" s="46"/>
    </row>
    <row r="132" spans="3:40">
      <c r="F132" s="50"/>
      <c r="H132" s="45"/>
      <c r="I132" s="45"/>
      <c r="J132" s="326"/>
      <c r="K132" s="326"/>
      <c r="L132" s="50"/>
      <c r="M132" s="50"/>
      <c r="N132" s="50"/>
      <c r="O132" s="50"/>
      <c r="P132" s="50"/>
      <c r="Q132" s="50"/>
      <c r="R132" s="50"/>
      <c r="T132" s="42"/>
      <c r="V132" s="45"/>
      <c r="Y132" s="164"/>
      <c r="Z132" s="316"/>
      <c r="AA132" s="45"/>
      <c r="AB132" s="45"/>
      <c r="AC132" s="46"/>
      <c r="AD132" s="46"/>
      <c r="AE132" s="45"/>
      <c r="AF132" s="45"/>
      <c r="AH132" s="51"/>
      <c r="AL132" s="45"/>
      <c r="AM132" s="46"/>
      <c r="AN132" s="46"/>
    </row>
    <row r="133" spans="3:40">
      <c r="C133" s="42"/>
      <c r="F133" s="164"/>
      <c r="H133" s="164"/>
      <c r="I133" s="164"/>
      <c r="J133" s="336"/>
      <c r="K133" s="336"/>
      <c r="L133" s="45"/>
      <c r="M133" s="45"/>
      <c r="N133" s="46"/>
      <c r="O133" s="46"/>
      <c r="P133" s="45"/>
      <c r="Q133" s="45"/>
      <c r="R133" s="45"/>
      <c r="S133" s="45"/>
      <c r="V133" s="50"/>
      <c r="Y133" s="45"/>
      <c r="Z133" s="326"/>
      <c r="AA133" s="50"/>
      <c r="AB133" s="50"/>
      <c r="AC133" s="50"/>
      <c r="AD133" s="50"/>
      <c r="AE133" s="50"/>
      <c r="AF133" s="50"/>
      <c r="AI133" s="50"/>
      <c r="AJ133" s="50"/>
      <c r="AK133" s="111"/>
      <c r="AL133" s="50"/>
      <c r="AM133" s="46"/>
      <c r="AN133" s="46"/>
    </row>
    <row r="134" spans="3:40">
      <c r="C134" s="42"/>
      <c r="F134" s="164"/>
      <c r="H134" s="164"/>
      <c r="I134" s="164"/>
      <c r="J134" s="316"/>
      <c r="K134" s="316"/>
      <c r="L134" s="45"/>
      <c r="M134" s="45"/>
      <c r="N134" s="46"/>
      <c r="O134" s="46"/>
      <c r="P134" s="45"/>
      <c r="Q134" s="45"/>
      <c r="R134" s="45"/>
      <c r="T134" s="42"/>
      <c r="V134" s="45"/>
      <c r="Y134" s="45"/>
      <c r="Z134" s="326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>
      <c r="C135" s="42"/>
      <c r="F135" s="164"/>
      <c r="H135" s="164"/>
      <c r="I135" s="164"/>
      <c r="J135" s="316"/>
      <c r="K135" s="316"/>
      <c r="L135" s="45"/>
      <c r="M135" s="45"/>
      <c r="N135" s="46"/>
      <c r="O135" s="46"/>
      <c r="P135" s="45"/>
      <c r="Q135" s="45"/>
      <c r="R135" s="45"/>
      <c r="V135" s="50"/>
      <c r="Y135" s="45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>
      <c r="F136" s="45"/>
      <c r="H136" s="50"/>
      <c r="I136" s="50"/>
      <c r="J136" s="326"/>
      <c r="K136" s="326"/>
      <c r="L136" s="50"/>
      <c r="M136" s="50"/>
      <c r="N136" s="50"/>
      <c r="O136" s="50"/>
      <c r="P136" s="50"/>
      <c r="Q136" s="50"/>
      <c r="R136" s="50"/>
      <c r="T136" s="42"/>
      <c r="V136" s="164"/>
      <c r="Y136" s="164"/>
      <c r="Z136" s="336"/>
      <c r="AA136" s="45"/>
      <c r="AB136" s="45"/>
      <c r="AC136" s="46"/>
      <c r="AD136" s="46"/>
      <c r="AE136" s="45"/>
      <c r="AF136" s="45"/>
      <c r="AH136" s="46"/>
      <c r="AI136" s="45"/>
      <c r="AJ136" s="45"/>
      <c r="AL136" s="45"/>
      <c r="AM136" s="46"/>
      <c r="AN136" s="46"/>
    </row>
    <row r="137" spans="3:40">
      <c r="C137" s="42"/>
      <c r="F137" s="45"/>
      <c r="H137" s="45"/>
      <c r="I137" s="45"/>
      <c r="J137" s="326"/>
      <c r="K137" s="326"/>
      <c r="L137" s="45"/>
      <c r="M137" s="45"/>
      <c r="N137" s="46"/>
      <c r="O137" s="46"/>
      <c r="P137" s="45"/>
      <c r="Q137" s="45"/>
      <c r="R137" s="45"/>
      <c r="T137" s="42"/>
      <c r="V137" s="164"/>
      <c r="Y137" s="45"/>
      <c r="Z137" s="316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3:40">
      <c r="F138" s="45"/>
      <c r="H138" s="50"/>
      <c r="I138" s="50"/>
      <c r="J138" s="326"/>
      <c r="K138" s="326"/>
      <c r="L138" s="50"/>
      <c r="M138" s="50"/>
      <c r="N138" s="50"/>
      <c r="O138" s="50"/>
      <c r="P138" s="50"/>
      <c r="Q138" s="50"/>
      <c r="R138" s="50"/>
      <c r="T138" s="42"/>
      <c r="V138" s="164"/>
      <c r="Y138" s="45"/>
      <c r="Z138" s="316"/>
      <c r="AA138" s="45"/>
      <c r="AB138" s="45"/>
      <c r="AC138" s="46"/>
      <c r="AD138" s="46"/>
      <c r="AE138" s="45"/>
      <c r="AF138" s="45"/>
      <c r="AH138" s="51"/>
      <c r="AI138" s="45"/>
      <c r="AJ138" s="45"/>
      <c r="AL138" s="45"/>
      <c r="AM138" s="46"/>
      <c r="AN138" s="46"/>
    </row>
    <row r="139" spans="3:40">
      <c r="C139" s="42"/>
      <c r="F139" s="45"/>
      <c r="H139" s="45"/>
      <c r="I139" s="45"/>
      <c r="J139" s="326"/>
      <c r="K139" s="326"/>
      <c r="L139" s="45"/>
      <c r="M139" s="45"/>
      <c r="N139" s="45"/>
      <c r="O139" s="45"/>
      <c r="P139" s="45"/>
      <c r="Q139" s="45"/>
      <c r="R139" s="45"/>
      <c r="V139" s="45"/>
      <c r="Y139" s="50"/>
      <c r="Z139" s="326"/>
      <c r="AA139" s="50"/>
      <c r="AB139" s="50"/>
      <c r="AC139" s="50"/>
      <c r="AD139" s="50"/>
      <c r="AE139" s="50"/>
      <c r="AF139" s="50"/>
      <c r="AI139" s="50"/>
      <c r="AJ139" s="50"/>
      <c r="AK139" s="111"/>
      <c r="AL139" s="50"/>
      <c r="AM139" s="46"/>
      <c r="AN139" s="46"/>
    </row>
    <row r="140" spans="3:40">
      <c r="C140" s="42"/>
      <c r="F140" s="45"/>
      <c r="H140" s="164"/>
      <c r="I140" s="164"/>
      <c r="J140" s="132"/>
      <c r="K140" s="132"/>
      <c r="L140" s="45"/>
      <c r="M140" s="45"/>
      <c r="N140" s="46"/>
      <c r="O140" s="46"/>
      <c r="P140" s="45"/>
      <c r="Q140" s="45"/>
      <c r="R140" s="45"/>
      <c r="T140" s="42"/>
      <c r="V140" s="45"/>
      <c r="Y140" s="45"/>
      <c r="Z140" s="326"/>
      <c r="AA140" s="45"/>
      <c r="AB140" s="45"/>
      <c r="AC140" s="46"/>
      <c r="AD140" s="46"/>
      <c r="AE140" s="45"/>
      <c r="AF140" s="45"/>
      <c r="AH140" s="51"/>
      <c r="AI140" s="45"/>
      <c r="AJ140" s="45"/>
      <c r="AL140" s="45"/>
      <c r="AM140" s="46"/>
      <c r="AN140" s="46"/>
    </row>
    <row r="141" spans="3:40">
      <c r="C141" s="42"/>
      <c r="H141" s="164"/>
      <c r="I141" s="164"/>
      <c r="J141" s="132"/>
      <c r="K141" s="132"/>
      <c r="L141" s="45"/>
      <c r="M141" s="45"/>
      <c r="N141" s="46"/>
      <c r="O141" s="46"/>
      <c r="P141" s="45"/>
      <c r="Q141" s="45"/>
      <c r="R141" s="45"/>
      <c r="V141" s="45"/>
      <c r="Y141" s="50"/>
      <c r="Z141" s="326"/>
      <c r="AA141" s="50"/>
      <c r="AB141" s="50"/>
      <c r="AC141" s="50"/>
      <c r="AD141" s="50"/>
      <c r="AE141" s="50"/>
      <c r="AF141" s="50"/>
      <c r="AI141" s="50"/>
      <c r="AJ141" s="50"/>
      <c r="AK141" s="111"/>
      <c r="AL141" s="50"/>
      <c r="AM141" s="46"/>
      <c r="AN141" s="46"/>
    </row>
    <row r="142" spans="3:40">
      <c r="F142" s="45"/>
      <c r="H142" s="45"/>
      <c r="I142" s="45"/>
      <c r="J142" s="326"/>
      <c r="K142" s="326"/>
      <c r="L142" s="50"/>
      <c r="M142" s="50"/>
      <c r="N142" s="50"/>
      <c r="O142" s="50"/>
      <c r="P142" s="50"/>
      <c r="Q142" s="50"/>
      <c r="R142" s="50"/>
      <c r="T142" s="42"/>
      <c r="V142" s="45"/>
      <c r="Y142" s="45"/>
      <c r="Z142" s="326"/>
      <c r="AA142" s="45"/>
      <c r="AB142" s="45"/>
      <c r="AC142" s="45"/>
      <c r="AD142" s="45"/>
      <c r="AE142" s="45"/>
      <c r="AF142" s="45"/>
      <c r="AH142" s="51"/>
      <c r="AI142" s="45"/>
      <c r="AJ142" s="45"/>
      <c r="AL142" s="45"/>
      <c r="AM142" s="46"/>
      <c r="AN142" s="46"/>
    </row>
    <row r="143" spans="3:40">
      <c r="C143" s="42"/>
      <c r="F143" s="45"/>
      <c r="H143" s="45"/>
      <c r="I143" s="45"/>
      <c r="J143" s="47"/>
      <c r="K143" s="47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132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>
      <c r="F144" s="45"/>
      <c r="H144" s="45"/>
      <c r="I144" s="45"/>
      <c r="J144" s="326"/>
      <c r="K144" s="326"/>
      <c r="L144" s="50"/>
      <c r="M144" s="50"/>
      <c r="N144" s="50"/>
      <c r="O144" s="50"/>
      <c r="P144" s="50"/>
      <c r="Q144" s="50"/>
      <c r="R144" s="50"/>
      <c r="T144" s="42"/>
      <c r="Y144" s="45"/>
      <c r="Z144" s="132"/>
      <c r="AA144" s="45"/>
      <c r="AB144" s="45"/>
      <c r="AC144" s="46"/>
      <c r="AD144" s="46"/>
      <c r="AE144" s="45"/>
      <c r="AF144" s="45"/>
      <c r="AH144" s="51"/>
      <c r="AI144" s="45"/>
      <c r="AJ144" s="45"/>
      <c r="AL144" s="45"/>
      <c r="AM144" s="46"/>
      <c r="AN144" s="46"/>
    </row>
    <row r="145" spans="1:40">
      <c r="C145" s="42"/>
      <c r="F145" s="45"/>
      <c r="H145" s="45"/>
      <c r="I145" s="45"/>
      <c r="J145" s="47"/>
      <c r="K145" s="47"/>
      <c r="L145" s="45"/>
      <c r="M145" s="45"/>
      <c r="N145" s="46"/>
      <c r="O145" s="46"/>
      <c r="P145" s="45"/>
      <c r="Q145" s="45"/>
      <c r="R145" s="45"/>
      <c r="V145" s="45"/>
      <c r="Y145" s="45"/>
      <c r="Z145" s="326"/>
      <c r="AA145" s="50"/>
      <c r="AB145" s="50"/>
      <c r="AC145" s="50"/>
      <c r="AD145" s="50"/>
      <c r="AE145" s="50"/>
      <c r="AF145" s="50"/>
      <c r="AI145" s="50"/>
      <c r="AJ145" s="50"/>
      <c r="AK145" s="111"/>
      <c r="AL145" s="50"/>
      <c r="AM145" s="46"/>
      <c r="AN145" s="46"/>
    </row>
    <row r="146" spans="1:40">
      <c r="C146" s="42"/>
      <c r="F146" s="164"/>
      <c r="H146" s="164"/>
      <c r="I146" s="164"/>
      <c r="J146" s="331"/>
      <c r="K146" s="331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1:40">
      <c r="F147" s="50"/>
      <c r="H147" s="50"/>
      <c r="I147" s="50"/>
      <c r="J147" s="326"/>
      <c r="K147" s="326"/>
      <c r="L147" s="50"/>
      <c r="M147" s="50"/>
      <c r="N147" s="50"/>
      <c r="O147" s="50"/>
      <c r="P147" s="50"/>
      <c r="Q147" s="50"/>
      <c r="R147" s="50"/>
      <c r="V147" s="45"/>
      <c r="Y147" s="45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6"/>
      <c r="AN147" s="46"/>
    </row>
    <row r="148" spans="1:40">
      <c r="C148" s="42"/>
      <c r="F148" s="45"/>
      <c r="H148" s="45"/>
      <c r="I148" s="45"/>
      <c r="J148" s="326"/>
      <c r="K148" s="326"/>
      <c r="L148" s="45"/>
      <c r="M148" s="45"/>
      <c r="N148" s="46"/>
      <c r="O148" s="46"/>
      <c r="P148" s="45"/>
      <c r="Q148" s="45"/>
      <c r="R148" s="45"/>
      <c r="S148" s="45"/>
      <c r="T148" s="42"/>
      <c r="V148" s="45"/>
      <c r="Y148" s="45"/>
      <c r="Z148" s="47"/>
      <c r="AA148" s="45"/>
      <c r="AB148" s="45"/>
      <c r="AC148" s="46"/>
      <c r="AD148" s="46"/>
      <c r="AE148" s="45"/>
      <c r="AF148" s="45"/>
      <c r="AH148" s="51"/>
      <c r="AI148" s="45"/>
      <c r="AJ148" s="45"/>
      <c r="AL148" s="45"/>
      <c r="AM148" s="46"/>
      <c r="AN148" s="46"/>
    </row>
    <row r="149" spans="1:40">
      <c r="F149" s="50"/>
      <c r="H149" s="50"/>
      <c r="I149" s="50"/>
      <c r="J149" s="326"/>
      <c r="K149" s="326"/>
      <c r="L149" s="50"/>
      <c r="M149" s="50"/>
      <c r="N149" s="50"/>
      <c r="O149" s="50"/>
      <c r="P149" s="50"/>
      <c r="Q149" s="50"/>
      <c r="R149" s="50"/>
      <c r="S149" s="45"/>
      <c r="T149" s="42"/>
      <c r="V149" s="164"/>
      <c r="Y149" s="45"/>
      <c r="Z149" s="331"/>
      <c r="AA149" s="45"/>
      <c r="AB149" s="45"/>
      <c r="AC149" s="46"/>
      <c r="AD149" s="46"/>
      <c r="AE149" s="45"/>
      <c r="AF149" s="45"/>
      <c r="AH149" s="51"/>
      <c r="AI149" s="45"/>
      <c r="AJ149" s="45"/>
      <c r="AL149" s="45"/>
      <c r="AM149" s="46"/>
      <c r="AN149" s="46"/>
    </row>
    <row r="150" spans="1:40">
      <c r="C150" s="42"/>
      <c r="V150" s="50"/>
      <c r="Y150" s="50"/>
      <c r="Z150" s="326"/>
      <c r="AA150" s="50"/>
      <c r="AB150" s="50"/>
      <c r="AC150" s="50"/>
      <c r="AD150" s="50"/>
      <c r="AE150" s="50"/>
      <c r="AF150" s="50"/>
      <c r="AI150" s="50"/>
      <c r="AJ150" s="50"/>
      <c r="AK150" s="111"/>
      <c r="AL150" s="50"/>
      <c r="AM150" s="46"/>
      <c r="AN150" s="46"/>
    </row>
    <row r="151" spans="1:40">
      <c r="C151" s="42"/>
      <c r="F151" s="45"/>
      <c r="H151" s="45"/>
      <c r="I151" s="45"/>
      <c r="L151" s="45"/>
      <c r="M151" s="45"/>
      <c r="N151" s="46"/>
      <c r="O151" s="46"/>
      <c r="P151" s="164"/>
      <c r="Q151" s="164"/>
      <c r="R151" s="45"/>
      <c r="T151" s="42"/>
      <c r="V151" s="45"/>
      <c r="Y151" s="45"/>
      <c r="Z151" s="326"/>
      <c r="AA151" s="45"/>
      <c r="AB151" s="45"/>
      <c r="AC151" s="46"/>
      <c r="AD151" s="46"/>
      <c r="AE151" s="45"/>
      <c r="AF151" s="45"/>
      <c r="AH151" s="46"/>
      <c r="AI151" s="45"/>
      <c r="AJ151" s="45"/>
      <c r="AL151" s="45"/>
      <c r="AM151" s="46"/>
      <c r="AN151" s="46"/>
    </row>
    <row r="152" spans="1:40">
      <c r="F152" s="50"/>
      <c r="H152" s="50"/>
      <c r="I152" s="50"/>
      <c r="J152" s="326"/>
      <c r="K152" s="326"/>
      <c r="L152" s="50"/>
      <c r="M152" s="50"/>
      <c r="N152" s="50"/>
      <c r="O152" s="50"/>
      <c r="P152" s="50"/>
      <c r="Q152" s="50"/>
      <c r="R152" s="50"/>
      <c r="V152" s="50"/>
      <c r="Y152" s="50"/>
      <c r="Z152" s="326"/>
      <c r="AA152" s="50"/>
      <c r="AB152" s="50"/>
      <c r="AC152" s="50"/>
      <c r="AD152" s="50"/>
      <c r="AE152" s="50"/>
      <c r="AF152" s="50"/>
      <c r="AI152" s="50"/>
      <c r="AJ152" s="50"/>
      <c r="AK152" s="111"/>
      <c r="AL152" s="50"/>
      <c r="AM152" s="46"/>
      <c r="AN152" s="46"/>
    </row>
    <row r="153" spans="1:40">
      <c r="T153" s="42"/>
    </row>
    <row r="154" spans="1:40">
      <c r="C154" s="42"/>
      <c r="L154" s="45"/>
      <c r="M154" s="45"/>
      <c r="N154" s="45"/>
      <c r="O154" s="45"/>
      <c r="P154" s="45"/>
      <c r="Q154" s="45"/>
      <c r="R154" s="45"/>
      <c r="S154" s="45"/>
      <c r="T154" s="42"/>
      <c r="V154" s="45"/>
      <c r="Y154" s="45"/>
      <c r="AA154" s="45"/>
      <c r="AB154" s="45"/>
      <c r="AC154" s="46"/>
      <c r="AD154" s="46"/>
      <c r="AE154" s="45"/>
      <c r="AF154" s="45"/>
      <c r="AH154" s="46"/>
      <c r="AI154" s="164"/>
      <c r="AJ154" s="164"/>
      <c r="AL154" s="45"/>
      <c r="AM154" s="46"/>
      <c r="AN154" s="46"/>
    </row>
    <row r="155" spans="1:40">
      <c r="A155" s="42"/>
      <c r="V155" s="50"/>
      <c r="Y155" s="50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</row>
    <row r="157" spans="1:40">
      <c r="H157" s="42"/>
      <c r="I157" s="42"/>
      <c r="T157" s="42"/>
      <c r="AA157" s="45"/>
      <c r="AB157" s="45"/>
      <c r="AC157" s="45"/>
      <c r="AD157" s="45"/>
      <c r="AI157" s="45"/>
      <c r="AJ157" s="45"/>
      <c r="AL157" s="45"/>
    </row>
    <row r="159" spans="1:40">
      <c r="L159" s="42"/>
      <c r="M159" s="42"/>
    </row>
    <row r="160" spans="1:40">
      <c r="R160" s="42"/>
      <c r="Y160" s="42"/>
    </row>
    <row r="161" spans="1:40">
      <c r="R161" s="42"/>
    </row>
    <row r="162" spans="1:40">
      <c r="A162" s="42"/>
      <c r="R162" s="42"/>
      <c r="AK162" s="110"/>
      <c r="AL162" s="42"/>
    </row>
    <row r="163" spans="1:40">
      <c r="L163" s="42"/>
      <c r="M163" s="42"/>
      <c r="AA163" s="42"/>
      <c r="AB163" s="42"/>
    </row>
    <row r="164" spans="1:40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107"/>
      <c r="AH164" s="49"/>
      <c r="AI164" s="49"/>
      <c r="AJ164" s="49"/>
      <c r="AK164" s="107"/>
      <c r="AL164" s="49"/>
      <c r="AM164" s="49"/>
      <c r="AN164" s="49"/>
    </row>
    <row r="165" spans="1:40">
      <c r="L165" s="44"/>
      <c r="M165" s="44"/>
      <c r="N165" s="44"/>
      <c r="O165" s="44"/>
      <c r="R165" s="44"/>
      <c r="AA165" s="44"/>
      <c r="AB165" s="44"/>
      <c r="AC165" s="44"/>
      <c r="AD165" s="44"/>
      <c r="AE165" s="44"/>
      <c r="AF165" s="44"/>
      <c r="AG165" s="102"/>
      <c r="AH165" s="44"/>
      <c r="AK165" s="102"/>
      <c r="AL165" s="44"/>
      <c r="AM165" s="44"/>
      <c r="AN165" s="44"/>
    </row>
    <row r="166" spans="1:40">
      <c r="L166" s="44"/>
      <c r="M166" s="44"/>
      <c r="N166" s="44"/>
      <c r="O166" s="44"/>
      <c r="R166" s="44"/>
      <c r="Z166" s="44"/>
      <c r="AA166" s="44"/>
      <c r="AB166" s="44"/>
      <c r="AC166" s="44"/>
      <c r="AD166" s="44"/>
      <c r="AE166" s="44"/>
      <c r="AF166" s="44"/>
      <c r="AG166" s="102"/>
      <c r="AH166" s="44"/>
      <c r="AK166" s="102"/>
      <c r="AL166" s="44"/>
      <c r="AM166" s="44"/>
      <c r="AN166" s="44"/>
    </row>
    <row r="167" spans="1:40">
      <c r="A167" s="44"/>
      <c r="C167" s="44"/>
      <c r="D167" s="44"/>
      <c r="E167" s="44"/>
      <c r="F167" s="44"/>
      <c r="J167" s="44"/>
      <c r="K167" s="44"/>
      <c r="L167" s="44"/>
      <c r="M167" s="44"/>
      <c r="N167" s="44"/>
      <c r="O167" s="44"/>
      <c r="P167" s="44"/>
      <c r="Q167" s="44"/>
      <c r="R167" s="44"/>
      <c r="T167" s="44"/>
      <c r="U167" s="44"/>
      <c r="V167" s="44"/>
      <c r="Z167" s="44"/>
      <c r="AA167" s="44"/>
      <c r="AB167" s="44"/>
      <c r="AC167" s="44"/>
      <c r="AD167" s="44"/>
      <c r="AE167" s="44"/>
      <c r="AF167" s="44"/>
      <c r="AG167" s="102"/>
      <c r="AH167" s="44"/>
      <c r="AI167" s="44"/>
      <c r="AJ167" s="44"/>
      <c r="AK167" s="102"/>
      <c r="AL167" s="44"/>
      <c r="AM167" s="44"/>
      <c r="AN167" s="44"/>
    </row>
    <row r="168" spans="1:40">
      <c r="A168" s="44"/>
      <c r="C168" s="44"/>
      <c r="D168" s="44"/>
      <c r="E168" s="44"/>
      <c r="F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T168" s="44"/>
      <c r="U168" s="44"/>
      <c r="V168" s="44"/>
      <c r="Y168" s="44"/>
      <c r="Z168" s="44"/>
      <c r="AA168" s="44"/>
      <c r="AB168" s="44"/>
      <c r="AC168" s="44"/>
      <c r="AD168" s="44"/>
      <c r="AE168" s="44"/>
      <c r="AF168" s="44"/>
      <c r="AG168" s="102"/>
      <c r="AH168" s="44"/>
      <c r="AI168" s="44"/>
      <c r="AJ168" s="44"/>
      <c r="AK168" s="102"/>
      <c r="AL168" s="44"/>
      <c r="AM168" s="44"/>
      <c r="AN168" s="44"/>
    </row>
    <row r="169" spans="1:40">
      <c r="C169" s="44"/>
      <c r="D169" s="44"/>
      <c r="E169" s="44"/>
      <c r="F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T169" s="44"/>
      <c r="U169" s="44"/>
      <c r="V169" s="44"/>
      <c r="Y169" s="44"/>
      <c r="Z169" s="44"/>
      <c r="AA169" s="44"/>
      <c r="AB169" s="44"/>
      <c r="AC169" s="44"/>
      <c r="AD169" s="44"/>
      <c r="AE169" s="44"/>
      <c r="AF169" s="44"/>
      <c r="AG169" s="102"/>
      <c r="AH169" s="44"/>
      <c r="AI169" s="44"/>
      <c r="AJ169" s="44"/>
      <c r="AK169" s="102"/>
      <c r="AL169" s="44"/>
      <c r="AM169" s="44"/>
      <c r="AN169" s="44"/>
    </row>
    <row r="170" spans="1:40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107"/>
      <c r="AH170" s="49"/>
      <c r="AI170" s="49"/>
      <c r="AJ170" s="49"/>
      <c r="AK170" s="107"/>
      <c r="AL170" s="49"/>
      <c r="AM170" s="49"/>
      <c r="AN170" s="49"/>
    </row>
    <row r="171" spans="1:40"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Y171" s="44"/>
      <c r="Z171" s="44"/>
      <c r="AA171" s="44"/>
      <c r="AB171" s="44"/>
      <c r="AC171" s="44"/>
      <c r="AD171" s="44"/>
      <c r="AE171" s="44"/>
      <c r="AF171" s="44"/>
      <c r="AG171" s="102"/>
      <c r="AH171" s="44"/>
      <c r="AI171" s="44"/>
      <c r="AJ171" s="44"/>
      <c r="AK171" s="102"/>
      <c r="AL171" s="44"/>
      <c r="AM171" s="44"/>
      <c r="AN171" s="44"/>
    </row>
    <row r="172" spans="1:40">
      <c r="C172" s="42"/>
      <c r="D172" s="42"/>
      <c r="E172" s="42"/>
      <c r="T172" s="42"/>
      <c r="U172" s="42"/>
    </row>
    <row r="173" spans="1:40">
      <c r="D173" s="42"/>
      <c r="E173" s="42"/>
      <c r="U173" s="42"/>
    </row>
    <row r="175" spans="1:40">
      <c r="C175" s="42"/>
      <c r="F175" s="164"/>
      <c r="H175" s="164"/>
      <c r="I175" s="164"/>
      <c r="J175" s="316"/>
      <c r="K175" s="316"/>
      <c r="L175" s="45"/>
      <c r="M175" s="45"/>
      <c r="N175" s="46"/>
      <c r="O175" s="46"/>
      <c r="R175" s="45"/>
      <c r="T175" s="42"/>
      <c r="V175" s="45"/>
      <c r="Y175" s="164"/>
      <c r="Z175" s="316"/>
      <c r="AA175" s="45"/>
      <c r="AB175" s="45"/>
      <c r="AC175" s="46"/>
      <c r="AD175" s="46"/>
      <c r="AE175" s="45"/>
      <c r="AF175" s="45"/>
      <c r="AG175" s="333"/>
      <c r="AH175" s="334"/>
      <c r="AL175" s="45"/>
      <c r="AM175" s="335"/>
      <c r="AN175" s="335"/>
    </row>
    <row r="176" spans="1:40">
      <c r="C176" s="42"/>
      <c r="F176" s="164"/>
      <c r="H176" s="164"/>
      <c r="I176" s="164"/>
      <c r="J176" s="316"/>
      <c r="K176" s="316"/>
      <c r="L176" s="45"/>
      <c r="M176" s="45"/>
      <c r="N176" s="46"/>
      <c r="O176" s="46"/>
      <c r="R176" s="45"/>
      <c r="T176" s="42"/>
      <c r="V176" s="45"/>
      <c r="Y176" s="164"/>
      <c r="Z176" s="316"/>
      <c r="AA176" s="45"/>
      <c r="AB176" s="45"/>
      <c r="AC176" s="46"/>
      <c r="AD176" s="46"/>
      <c r="AE176" s="45"/>
      <c r="AF176" s="45"/>
      <c r="AH176" s="51"/>
      <c r="AL176" s="45"/>
      <c r="AM176" s="46"/>
      <c r="AN176" s="46"/>
    </row>
    <row r="177" spans="3:40">
      <c r="F177" s="50"/>
      <c r="H177" s="45"/>
      <c r="I177" s="45"/>
      <c r="J177" s="326"/>
      <c r="K177" s="326"/>
      <c r="L177" s="50"/>
      <c r="M177" s="50"/>
      <c r="N177" s="50"/>
      <c r="O177" s="50"/>
      <c r="P177" s="50"/>
      <c r="Q177" s="50"/>
      <c r="R177" s="50"/>
      <c r="V177" s="50"/>
      <c r="Y177" s="45"/>
      <c r="Z177" s="326"/>
      <c r="AA177" s="50"/>
      <c r="AB177" s="50"/>
      <c r="AC177" s="50"/>
      <c r="AD177" s="50"/>
      <c r="AE177" s="50"/>
      <c r="AF177" s="50"/>
      <c r="AI177" s="50"/>
      <c r="AJ177" s="50"/>
      <c r="AK177" s="111"/>
      <c r="AL177" s="50"/>
      <c r="AM177" s="46"/>
      <c r="AN177" s="46"/>
    </row>
    <row r="178" spans="3:40">
      <c r="C178" s="42"/>
      <c r="F178" s="45"/>
      <c r="H178" s="45"/>
      <c r="I178" s="45"/>
      <c r="J178" s="326"/>
      <c r="K178" s="326"/>
      <c r="L178" s="45"/>
      <c r="M178" s="45"/>
      <c r="N178" s="46"/>
      <c r="O178" s="46"/>
      <c r="P178" s="45"/>
      <c r="Q178" s="45"/>
      <c r="R178" s="45"/>
      <c r="T178" s="42"/>
      <c r="V178" s="45"/>
      <c r="Y178" s="45"/>
      <c r="Z178" s="47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3:40">
      <c r="F179" s="50"/>
      <c r="H179" s="45"/>
      <c r="I179" s="45"/>
      <c r="J179" s="326"/>
      <c r="K179" s="326"/>
      <c r="L179" s="50"/>
      <c r="M179" s="50"/>
      <c r="N179" s="50"/>
      <c r="O179" s="50"/>
      <c r="P179" s="50"/>
      <c r="Q179" s="50"/>
      <c r="R179" s="50"/>
      <c r="V179" s="50"/>
      <c r="Y179" s="45"/>
      <c r="Z179" s="326"/>
      <c r="AA179" s="50"/>
      <c r="AB179" s="50"/>
      <c r="AC179" s="50"/>
      <c r="AD179" s="50"/>
      <c r="AE179" s="50"/>
      <c r="AF179" s="50"/>
      <c r="AI179" s="50"/>
      <c r="AJ179" s="50"/>
      <c r="AK179" s="111"/>
      <c r="AL179" s="50"/>
      <c r="AM179" s="46"/>
      <c r="AN179" s="46"/>
    </row>
    <row r="180" spans="3:40">
      <c r="F180" s="45"/>
      <c r="H180" s="45"/>
      <c r="I180" s="45"/>
      <c r="J180" s="326"/>
      <c r="K180" s="326"/>
      <c r="L180" s="45"/>
      <c r="M180" s="45"/>
      <c r="N180" s="46"/>
      <c r="O180" s="46"/>
      <c r="P180" s="45"/>
      <c r="Q180" s="45"/>
      <c r="R180" s="45"/>
      <c r="V180" s="45"/>
      <c r="Y180" s="45"/>
      <c r="Z180" s="47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3:40">
      <c r="C181" s="42"/>
      <c r="F181" s="164"/>
      <c r="H181" s="164"/>
      <c r="I181" s="164"/>
      <c r="J181" s="316"/>
      <c r="K181" s="316"/>
      <c r="L181" s="45"/>
      <c r="M181" s="45"/>
      <c r="N181" s="46"/>
      <c r="O181" s="46"/>
      <c r="P181" s="45"/>
      <c r="Q181" s="45"/>
      <c r="R181" s="45"/>
      <c r="T181" s="42"/>
      <c r="V181" s="164"/>
      <c r="Y181" s="45"/>
      <c r="Z181" s="316"/>
      <c r="AA181" s="45"/>
      <c r="AB181" s="45"/>
      <c r="AC181" s="46"/>
      <c r="AD181" s="46"/>
      <c r="AE181" s="45"/>
      <c r="AF181" s="45"/>
      <c r="AG181" s="333"/>
      <c r="AH181" s="334"/>
      <c r="AI181" s="45"/>
      <c r="AJ181" s="45"/>
      <c r="AL181" s="45"/>
      <c r="AM181" s="335"/>
      <c r="AN181" s="335"/>
    </row>
    <row r="182" spans="3:40">
      <c r="C182" s="42"/>
      <c r="F182" s="164"/>
      <c r="H182" s="164"/>
      <c r="I182" s="164"/>
      <c r="J182" s="316"/>
      <c r="K182" s="316"/>
      <c r="L182" s="45"/>
      <c r="M182" s="45"/>
      <c r="N182" s="46"/>
      <c r="O182" s="46"/>
      <c r="P182" s="45"/>
      <c r="Q182" s="45"/>
      <c r="R182" s="45"/>
      <c r="T182" s="42"/>
      <c r="V182" s="164"/>
      <c r="Y182" s="45"/>
      <c r="Z182" s="316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3:40">
      <c r="F183" s="45"/>
      <c r="H183" s="50"/>
      <c r="I183" s="50"/>
      <c r="J183" s="326"/>
      <c r="K183" s="326"/>
      <c r="L183" s="50"/>
      <c r="M183" s="50"/>
      <c r="N183" s="50"/>
      <c r="O183" s="50"/>
      <c r="P183" s="50"/>
      <c r="Q183" s="50"/>
      <c r="R183" s="50"/>
      <c r="V183" s="45"/>
      <c r="Y183" s="50"/>
      <c r="Z183" s="326"/>
      <c r="AA183" s="50"/>
      <c r="AB183" s="50"/>
      <c r="AC183" s="50"/>
      <c r="AD183" s="50"/>
      <c r="AE183" s="50"/>
      <c r="AF183" s="50"/>
      <c r="AI183" s="50"/>
      <c r="AJ183" s="50"/>
      <c r="AK183" s="111"/>
      <c r="AL183" s="50"/>
      <c r="AM183" s="46"/>
      <c r="AN183" s="46"/>
    </row>
    <row r="184" spans="3:40">
      <c r="C184" s="42"/>
      <c r="F184" s="45"/>
      <c r="H184" s="45"/>
      <c r="I184" s="45"/>
      <c r="J184" s="326"/>
      <c r="K184" s="326"/>
      <c r="L184" s="45"/>
      <c r="M184" s="45"/>
      <c r="N184" s="46"/>
      <c r="O184" s="46"/>
      <c r="P184" s="45"/>
      <c r="Q184" s="45"/>
      <c r="R184" s="45"/>
      <c r="T184" s="42"/>
      <c r="V184" s="45"/>
      <c r="Y184" s="45"/>
      <c r="Z184" s="326"/>
      <c r="AA184" s="45"/>
      <c r="AB184" s="45"/>
      <c r="AC184" s="46"/>
      <c r="AD184" s="46"/>
      <c r="AE184" s="45"/>
      <c r="AF184" s="45"/>
      <c r="AH184" s="51"/>
      <c r="AI184" s="45"/>
      <c r="AJ184" s="45"/>
      <c r="AL184" s="45"/>
      <c r="AM184" s="46"/>
      <c r="AN184" s="46"/>
    </row>
    <row r="185" spans="3:40">
      <c r="F185" s="45"/>
      <c r="H185" s="50"/>
      <c r="I185" s="50"/>
      <c r="J185" s="326"/>
      <c r="K185" s="326"/>
      <c r="L185" s="50"/>
      <c r="M185" s="50"/>
      <c r="N185" s="50"/>
      <c r="O185" s="50"/>
      <c r="P185" s="50"/>
      <c r="Q185" s="50"/>
      <c r="R185" s="50"/>
      <c r="V185" s="45"/>
      <c r="Y185" s="50"/>
      <c r="Z185" s="326"/>
      <c r="AA185" s="50"/>
      <c r="AB185" s="50"/>
      <c r="AC185" s="50"/>
      <c r="AD185" s="50"/>
      <c r="AE185" s="50"/>
      <c r="AF185" s="50"/>
      <c r="AI185" s="50"/>
      <c r="AJ185" s="50"/>
      <c r="AK185" s="111"/>
      <c r="AL185" s="50"/>
      <c r="AM185" s="46"/>
      <c r="AN185" s="46"/>
    </row>
    <row r="186" spans="3:40">
      <c r="F186" s="45"/>
      <c r="H186" s="45"/>
      <c r="I186" s="45"/>
      <c r="J186" s="326"/>
      <c r="K186" s="326"/>
      <c r="L186" s="45"/>
      <c r="M186" s="45"/>
      <c r="N186" s="45"/>
      <c r="O186" s="45"/>
      <c r="P186" s="45"/>
      <c r="Q186" s="45"/>
      <c r="R186" s="45"/>
      <c r="V186" s="45"/>
      <c r="Y186" s="45"/>
      <c r="Z186" s="326"/>
      <c r="AA186" s="45"/>
      <c r="AB186" s="45"/>
      <c r="AC186" s="45"/>
      <c r="AD186" s="45"/>
      <c r="AE186" s="45"/>
      <c r="AF186" s="45"/>
      <c r="AH186" s="51"/>
      <c r="AI186" s="45"/>
      <c r="AJ186" s="45"/>
      <c r="AL186" s="45"/>
      <c r="AM186" s="46"/>
      <c r="AN186" s="46"/>
    </row>
    <row r="187" spans="3:40">
      <c r="C187" s="42"/>
      <c r="F187" s="164"/>
      <c r="H187" s="164"/>
      <c r="I187" s="164"/>
      <c r="J187" s="331"/>
      <c r="K187" s="331"/>
      <c r="L187" s="45"/>
      <c r="M187" s="45"/>
      <c r="N187" s="46"/>
      <c r="O187" s="46"/>
      <c r="P187" s="164"/>
      <c r="Q187" s="164"/>
      <c r="R187" s="45"/>
      <c r="T187" s="42"/>
      <c r="V187" s="164"/>
      <c r="Y187" s="164"/>
      <c r="Z187" s="336"/>
      <c r="AA187" s="45"/>
      <c r="AB187" s="45"/>
      <c r="AC187" s="46"/>
      <c r="AD187" s="46"/>
      <c r="AE187" s="45"/>
      <c r="AF187" s="45"/>
      <c r="AH187" s="51"/>
      <c r="AI187" s="164"/>
      <c r="AJ187" s="164"/>
      <c r="AL187" s="45"/>
      <c r="AM187" s="46"/>
      <c r="AN187" s="46"/>
    </row>
    <row r="188" spans="3:40">
      <c r="C188" s="42"/>
      <c r="F188" s="164"/>
      <c r="H188" s="164"/>
      <c r="I188" s="164"/>
      <c r="J188" s="331"/>
      <c r="K188" s="331"/>
      <c r="L188" s="45"/>
      <c r="M188" s="45"/>
      <c r="N188" s="46"/>
      <c r="O188" s="46"/>
      <c r="P188" s="164"/>
      <c r="Q188" s="164"/>
      <c r="R188" s="45"/>
      <c r="T188" s="42"/>
      <c r="V188" s="164"/>
      <c r="Y188" s="45"/>
      <c r="Z188" s="325"/>
      <c r="AA188" s="45"/>
      <c r="AB188" s="45"/>
      <c r="AC188" s="46"/>
      <c r="AD188" s="46"/>
      <c r="AE188" s="45"/>
      <c r="AF188" s="45"/>
      <c r="AH188" s="51"/>
      <c r="AI188" s="164"/>
      <c r="AJ188" s="164"/>
      <c r="AL188" s="45"/>
      <c r="AM188" s="46"/>
      <c r="AN188" s="46"/>
    </row>
    <row r="189" spans="3:40">
      <c r="C189" s="42"/>
      <c r="F189" s="164"/>
      <c r="H189" s="164"/>
      <c r="I189" s="164"/>
      <c r="J189" s="331"/>
      <c r="K189" s="331"/>
      <c r="L189" s="45"/>
      <c r="M189" s="45"/>
      <c r="N189" s="46"/>
      <c r="O189" s="46"/>
      <c r="P189" s="164"/>
      <c r="Q189" s="164"/>
      <c r="R189" s="45"/>
      <c r="T189" s="42"/>
      <c r="V189" s="164"/>
      <c r="Y189" s="45"/>
      <c r="Z189" s="325"/>
      <c r="AA189" s="45"/>
      <c r="AB189" s="45"/>
      <c r="AC189" s="46"/>
      <c r="AD189" s="46"/>
      <c r="AE189" s="45"/>
      <c r="AF189" s="45"/>
      <c r="AH189" s="51"/>
      <c r="AI189" s="164"/>
      <c r="AJ189" s="164"/>
      <c r="AL189" s="45"/>
      <c r="AM189" s="46"/>
      <c r="AN189" s="46"/>
    </row>
    <row r="190" spans="3:40">
      <c r="F190" s="50"/>
      <c r="H190" s="50"/>
      <c r="I190" s="50"/>
      <c r="J190" s="326"/>
      <c r="K190" s="326"/>
      <c r="L190" s="50"/>
      <c r="M190" s="50"/>
      <c r="N190" s="50"/>
      <c r="O190" s="50"/>
      <c r="P190" s="50"/>
      <c r="Q190" s="50"/>
      <c r="R190" s="50"/>
      <c r="V190" s="50"/>
      <c r="Y190" s="50"/>
      <c r="Z190" s="326"/>
      <c r="AA190" s="50"/>
      <c r="AB190" s="50"/>
      <c r="AC190" s="50"/>
      <c r="AD190" s="50"/>
      <c r="AE190" s="50"/>
      <c r="AF190" s="50"/>
      <c r="AI190" s="50"/>
      <c r="AJ190" s="50"/>
      <c r="AK190" s="111"/>
      <c r="AL190" s="50"/>
      <c r="AM190" s="46"/>
      <c r="AN190" s="46"/>
    </row>
    <row r="191" spans="3:40">
      <c r="C191" s="42"/>
      <c r="F191" s="45"/>
      <c r="H191" s="45"/>
      <c r="I191" s="45"/>
      <c r="J191" s="47"/>
      <c r="K191" s="47"/>
      <c r="L191" s="45"/>
      <c r="M191" s="45"/>
      <c r="N191" s="46"/>
      <c r="O191" s="46"/>
      <c r="P191" s="45"/>
      <c r="Q191" s="45"/>
      <c r="R191" s="45"/>
      <c r="T191" s="42"/>
      <c r="V191" s="45"/>
      <c r="Y191" s="45"/>
      <c r="Z191" s="47"/>
      <c r="AA191" s="45"/>
      <c r="AB191" s="45"/>
      <c r="AC191" s="46"/>
      <c r="AD191" s="46"/>
      <c r="AE191" s="45"/>
      <c r="AF191" s="45"/>
      <c r="AH191" s="51"/>
      <c r="AI191" s="45"/>
      <c r="AJ191" s="45"/>
      <c r="AL191" s="45"/>
      <c r="AM191" s="46"/>
      <c r="AN191" s="46"/>
    </row>
    <row r="192" spans="3:40">
      <c r="F192" s="50"/>
      <c r="H192" s="50"/>
      <c r="I192" s="50"/>
      <c r="J192" s="326"/>
      <c r="K192" s="326"/>
      <c r="L192" s="50"/>
      <c r="M192" s="50"/>
      <c r="N192" s="50"/>
      <c r="O192" s="50"/>
      <c r="P192" s="50"/>
      <c r="Q192" s="50"/>
      <c r="R192" s="50"/>
      <c r="V192" s="50"/>
      <c r="Y192" s="50"/>
      <c r="Z192" s="326"/>
      <c r="AA192" s="50"/>
      <c r="AB192" s="50"/>
      <c r="AC192" s="50"/>
      <c r="AD192" s="50"/>
      <c r="AE192" s="50"/>
      <c r="AF192" s="50"/>
      <c r="AI192" s="50"/>
      <c r="AJ192" s="50"/>
      <c r="AK192" s="111"/>
      <c r="AL192" s="50"/>
      <c r="AM192" s="46"/>
      <c r="AN192" s="46"/>
    </row>
    <row r="193" spans="1:40">
      <c r="C193" s="42"/>
      <c r="F193" s="45"/>
      <c r="H193" s="45"/>
      <c r="I193" s="45"/>
      <c r="J193" s="47"/>
      <c r="K193" s="47"/>
      <c r="L193" s="45"/>
      <c r="M193" s="45"/>
      <c r="N193" s="46"/>
      <c r="O193" s="46"/>
      <c r="P193" s="45"/>
      <c r="Q193" s="45"/>
      <c r="R193" s="45"/>
      <c r="T193" s="42"/>
      <c r="V193" s="45"/>
      <c r="Y193" s="45"/>
      <c r="Z193" s="47"/>
      <c r="AA193" s="45"/>
      <c r="AB193" s="45"/>
      <c r="AC193" s="46"/>
      <c r="AD193" s="46"/>
      <c r="AE193" s="45"/>
      <c r="AF193" s="45"/>
      <c r="AH193" s="51"/>
      <c r="AI193" s="45"/>
      <c r="AJ193" s="45"/>
      <c r="AL193" s="45"/>
      <c r="AM193" s="46"/>
      <c r="AN193" s="46"/>
    </row>
    <row r="194" spans="1:40">
      <c r="C194" s="42"/>
      <c r="F194" s="45"/>
      <c r="H194" s="45"/>
      <c r="I194" s="45"/>
      <c r="J194" s="47"/>
      <c r="K194" s="47"/>
      <c r="L194" s="45"/>
      <c r="M194" s="45"/>
      <c r="N194" s="46"/>
      <c r="O194" s="46"/>
      <c r="P194" s="45"/>
      <c r="Q194" s="45"/>
      <c r="R194" s="45"/>
      <c r="T194" s="42"/>
      <c r="V194" s="45"/>
      <c r="Y194" s="45"/>
      <c r="Z194" s="47"/>
      <c r="AA194" s="45"/>
      <c r="AB194" s="45"/>
      <c r="AC194" s="46"/>
      <c r="AD194" s="46"/>
      <c r="AE194" s="45"/>
      <c r="AF194" s="45"/>
      <c r="AH194" s="51"/>
      <c r="AI194" s="45"/>
      <c r="AJ194" s="45"/>
      <c r="AL194" s="45"/>
      <c r="AM194" s="46"/>
      <c r="AN194" s="46"/>
    </row>
    <row r="195" spans="1:40">
      <c r="F195" s="50"/>
      <c r="H195" s="50"/>
      <c r="I195" s="50"/>
      <c r="J195" s="326"/>
      <c r="K195" s="326"/>
      <c r="L195" s="50"/>
      <c r="M195" s="50"/>
      <c r="N195" s="50"/>
      <c r="O195" s="50"/>
      <c r="P195" s="50"/>
      <c r="Q195" s="50"/>
      <c r="R195" s="50"/>
      <c r="V195" s="50"/>
      <c r="Y195" s="50"/>
      <c r="Z195" s="326"/>
      <c r="AA195" s="50"/>
      <c r="AB195" s="50"/>
      <c r="AC195" s="50"/>
      <c r="AD195" s="50"/>
      <c r="AE195" s="50"/>
      <c r="AF195" s="50"/>
      <c r="AI195" s="50"/>
      <c r="AJ195" s="50"/>
      <c r="AK195" s="111"/>
      <c r="AL195" s="50"/>
      <c r="AM195" s="45"/>
      <c r="AN195" s="45"/>
    </row>
    <row r="196" spans="1:40">
      <c r="F196" s="45"/>
      <c r="H196" s="45"/>
      <c r="I196" s="45"/>
      <c r="J196" s="47"/>
      <c r="K196" s="47"/>
      <c r="L196" s="45"/>
      <c r="M196" s="45"/>
      <c r="N196" s="45"/>
      <c r="O196" s="45"/>
      <c r="P196" s="45"/>
      <c r="Q196" s="45"/>
      <c r="R196" s="45"/>
      <c r="V196" s="45"/>
      <c r="Y196" s="45"/>
      <c r="Z196" s="47"/>
      <c r="AA196" s="45"/>
      <c r="AB196" s="45"/>
      <c r="AC196" s="45"/>
      <c r="AD196" s="45"/>
    </row>
    <row r="197" spans="1:40">
      <c r="C197" s="42"/>
      <c r="F197" s="45"/>
      <c r="H197" s="45"/>
      <c r="I197" s="45"/>
      <c r="J197" s="47"/>
      <c r="K197" s="47"/>
      <c r="L197" s="45"/>
      <c r="M197" s="45"/>
      <c r="N197" s="45"/>
      <c r="O197" s="45"/>
      <c r="P197" s="45"/>
      <c r="Q197" s="45"/>
      <c r="R197" s="45"/>
      <c r="T197" s="42"/>
      <c r="V197" s="45"/>
      <c r="Y197" s="45"/>
      <c r="Z197" s="47"/>
      <c r="AA197" s="45"/>
      <c r="AB197" s="45"/>
      <c r="AC197" s="45"/>
      <c r="AD197" s="45"/>
    </row>
    <row r="198" spans="1:40">
      <c r="A198" s="42"/>
    </row>
    <row r="200" spans="1:40">
      <c r="H200" s="42"/>
      <c r="I200" s="42"/>
      <c r="Y200" s="42"/>
    </row>
    <row r="202" spans="1:40">
      <c r="L202" s="42"/>
      <c r="M202" s="42"/>
      <c r="AA202" s="42"/>
      <c r="AB202" s="42"/>
    </row>
    <row r="203" spans="1:40">
      <c r="R203" s="42"/>
      <c r="AK203" s="110"/>
      <c r="AL203" s="42"/>
    </row>
    <row r="204" spans="1:40">
      <c r="R204" s="42"/>
      <c r="AK204" s="110"/>
      <c r="AL204" s="42"/>
    </row>
    <row r="205" spans="1:40">
      <c r="A205" s="42"/>
      <c r="R205" s="42"/>
      <c r="AK205" s="110"/>
      <c r="AL205" s="42"/>
    </row>
    <row r="206" spans="1:40">
      <c r="L206" s="42"/>
      <c r="M206" s="42"/>
      <c r="AA206" s="42"/>
      <c r="AB206" s="42"/>
    </row>
    <row r="207" spans="1:40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107"/>
      <c r="AH207" s="49"/>
      <c r="AI207" s="49"/>
      <c r="AJ207" s="49"/>
      <c r="AK207" s="107"/>
      <c r="AL207" s="49"/>
      <c r="AM207" s="49"/>
      <c r="AN207" s="49"/>
    </row>
    <row r="208" spans="1:40">
      <c r="L208" s="44"/>
      <c r="M208" s="44"/>
      <c r="N208" s="44"/>
      <c r="O208" s="44"/>
      <c r="R208" s="44"/>
      <c r="AA208" s="44"/>
      <c r="AB208" s="44"/>
      <c r="AC208" s="44"/>
      <c r="AD208" s="44"/>
      <c r="AE208" s="44"/>
      <c r="AF208" s="44"/>
      <c r="AG208" s="102"/>
      <c r="AH208" s="44"/>
      <c r="AK208" s="102"/>
      <c r="AL208" s="44"/>
      <c r="AM208" s="44"/>
      <c r="AN208" s="44"/>
    </row>
    <row r="209" spans="1:40">
      <c r="L209" s="44"/>
      <c r="M209" s="44"/>
      <c r="N209" s="44"/>
      <c r="O209" s="44"/>
      <c r="R209" s="44"/>
      <c r="Z209" s="44"/>
      <c r="AA209" s="44"/>
      <c r="AB209" s="44"/>
      <c r="AC209" s="44"/>
      <c r="AD209" s="44"/>
      <c r="AE209" s="44"/>
      <c r="AF209" s="44"/>
      <c r="AG209" s="102"/>
      <c r="AH209" s="44"/>
      <c r="AK209" s="102"/>
      <c r="AL209" s="44"/>
      <c r="AM209" s="44"/>
      <c r="AN209" s="44"/>
    </row>
    <row r="210" spans="1:40">
      <c r="A210" s="44"/>
      <c r="C210" s="44"/>
      <c r="D210" s="44"/>
      <c r="E210" s="44"/>
      <c r="F210" s="44"/>
      <c r="J210" s="44"/>
      <c r="K210" s="44"/>
      <c r="L210" s="44"/>
      <c r="M210" s="44"/>
      <c r="N210" s="44"/>
      <c r="O210" s="44"/>
      <c r="P210" s="44"/>
      <c r="Q210" s="44"/>
      <c r="R210" s="44"/>
      <c r="T210" s="44"/>
      <c r="U210" s="44"/>
      <c r="V210" s="44"/>
      <c r="Z210" s="44"/>
      <c r="AA210" s="44"/>
      <c r="AB210" s="44"/>
      <c r="AC210" s="44"/>
      <c r="AD210" s="44"/>
      <c r="AE210" s="44"/>
      <c r="AF210" s="44"/>
      <c r="AG210" s="102"/>
      <c r="AH210" s="44"/>
      <c r="AI210" s="44"/>
      <c r="AJ210" s="44"/>
      <c r="AK210" s="102"/>
      <c r="AL210" s="44"/>
      <c r="AM210" s="44"/>
      <c r="AN210" s="44"/>
    </row>
    <row r="211" spans="1:40">
      <c r="A211" s="44"/>
      <c r="C211" s="44"/>
      <c r="D211" s="44"/>
      <c r="E211" s="44"/>
      <c r="F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T211" s="44"/>
      <c r="U211" s="44"/>
      <c r="V211" s="44"/>
      <c r="Y211" s="44"/>
      <c r="Z211" s="44"/>
      <c r="AA211" s="44"/>
      <c r="AB211" s="44"/>
      <c r="AC211" s="44"/>
      <c r="AD211" s="44"/>
      <c r="AE211" s="44"/>
      <c r="AF211" s="44"/>
      <c r="AG211" s="102"/>
      <c r="AH211" s="44"/>
      <c r="AI211" s="44"/>
      <c r="AJ211" s="44"/>
      <c r="AK211" s="102"/>
      <c r="AL211" s="44"/>
      <c r="AM211" s="44"/>
      <c r="AN211" s="44"/>
    </row>
    <row r="212" spans="1:40">
      <c r="C212" s="44"/>
      <c r="D212" s="44"/>
      <c r="E212" s="44"/>
      <c r="F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T212" s="44"/>
      <c r="U212" s="44"/>
      <c r="V212" s="44"/>
      <c r="Y212" s="44"/>
      <c r="Z212" s="44"/>
      <c r="AA212" s="44"/>
      <c r="AB212" s="44"/>
      <c r="AC212" s="44"/>
      <c r="AD212" s="44"/>
      <c r="AE212" s="44"/>
      <c r="AF212" s="44"/>
      <c r="AG212" s="102"/>
      <c r="AH212" s="44"/>
      <c r="AI212" s="44"/>
      <c r="AJ212" s="44"/>
      <c r="AK212" s="102"/>
      <c r="AL212" s="44"/>
      <c r="AM212" s="44"/>
      <c r="AN212" s="44"/>
    </row>
    <row r="213" spans="1:40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107"/>
      <c r="AH213" s="49"/>
      <c r="AI213" s="49"/>
      <c r="AJ213" s="49"/>
      <c r="AK213" s="107"/>
      <c r="AL213" s="49"/>
      <c r="AM213" s="49"/>
      <c r="AN213" s="49"/>
    </row>
    <row r="214" spans="1:40"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Y214" s="44"/>
      <c r="Z214" s="44"/>
      <c r="AA214" s="44"/>
      <c r="AB214" s="44"/>
      <c r="AC214" s="44"/>
      <c r="AD214" s="44"/>
      <c r="AE214" s="44"/>
      <c r="AF214" s="44"/>
      <c r="AG214" s="102"/>
      <c r="AH214" s="44"/>
      <c r="AI214" s="44"/>
      <c r="AJ214" s="44"/>
      <c r="AK214" s="102"/>
      <c r="AL214" s="44"/>
      <c r="AM214" s="44"/>
      <c r="AN214" s="44"/>
    </row>
    <row r="215" spans="1:40">
      <c r="C215" s="42"/>
      <c r="D215" s="42"/>
      <c r="E215" s="42"/>
      <c r="T215" s="42"/>
      <c r="U215" s="42"/>
    </row>
    <row r="217" spans="1:40">
      <c r="C217" s="42"/>
      <c r="F217" s="164"/>
      <c r="H217" s="329"/>
      <c r="I217" s="329"/>
      <c r="J217" s="316"/>
      <c r="K217" s="316"/>
      <c r="L217" s="45"/>
      <c r="M217" s="45"/>
      <c r="R217" s="45"/>
      <c r="T217" s="42"/>
      <c r="V217" s="45"/>
      <c r="Z217" s="316"/>
      <c r="AA217" s="45"/>
      <c r="AB217" s="45"/>
      <c r="AE217" s="45"/>
      <c r="AF217" s="45"/>
      <c r="AG217" s="333"/>
      <c r="AH217" s="334"/>
      <c r="AI217" s="45"/>
      <c r="AJ217" s="45"/>
      <c r="AL217" s="45"/>
      <c r="AM217" s="335"/>
      <c r="AN217" s="335"/>
    </row>
    <row r="218" spans="1:40">
      <c r="F218" s="164"/>
      <c r="H218" s="329"/>
      <c r="I218" s="329"/>
      <c r="J218" s="329"/>
      <c r="K218" s="329"/>
      <c r="R218" s="45"/>
      <c r="V218" s="45"/>
      <c r="Z218" s="329"/>
    </row>
    <row r="219" spans="1:40">
      <c r="C219" s="42"/>
      <c r="F219" s="164"/>
      <c r="H219" s="164"/>
      <c r="I219" s="164"/>
      <c r="J219" s="331"/>
      <c r="K219" s="331"/>
      <c r="L219" s="45"/>
      <c r="M219" s="45"/>
      <c r="N219" s="46"/>
      <c r="O219" s="46"/>
      <c r="P219" s="164"/>
      <c r="Q219" s="164"/>
      <c r="R219" s="45"/>
      <c r="T219" s="42"/>
      <c r="V219" s="45"/>
      <c r="Y219" s="45"/>
      <c r="Z219" s="325"/>
      <c r="AA219" s="45"/>
      <c r="AB219" s="45"/>
      <c r="AC219" s="46"/>
      <c r="AD219" s="46"/>
      <c r="AE219" s="45"/>
      <c r="AF219" s="45"/>
      <c r="AH219" s="51"/>
      <c r="AI219" s="164"/>
      <c r="AJ219" s="164"/>
      <c r="AL219" s="45"/>
      <c r="AM219" s="46"/>
      <c r="AN219" s="46"/>
    </row>
    <row r="220" spans="1:40">
      <c r="F220" s="50"/>
      <c r="H220" s="50"/>
      <c r="I220" s="50"/>
      <c r="J220" s="326"/>
      <c r="K220" s="326"/>
      <c r="L220" s="50"/>
      <c r="M220" s="50"/>
      <c r="N220" s="50"/>
      <c r="O220" s="50"/>
      <c r="P220" s="50"/>
      <c r="Q220" s="50"/>
      <c r="R220" s="50"/>
      <c r="V220" s="50"/>
      <c r="Y220" s="50"/>
      <c r="Z220" s="326"/>
      <c r="AA220" s="50"/>
      <c r="AB220" s="50"/>
      <c r="AC220" s="50"/>
      <c r="AD220" s="50"/>
      <c r="AE220" s="50"/>
      <c r="AF220" s="50"/>
      <c r="AI220" s="50"/>
      <c r="AJ220" s="50"/>
      <c r="AK220" s="111"/>
      <c r="AL220" s="50"/>
    </row>
    <row r="221" spans="1:40">
      <c r="D221" s="42"/>
      <c r="E221" s="42"/>
      <c r="F221" s="45"/>
      <c r="H221" s="45"/>
      <c r="I221" s="45"/>
      <c r="J221" s="47"/>
      <c r="K221" s="47"/>
      <c r="L221" s="45"/>
      <c r="M221" s="45"/>
      <c r="N221" s="46"/>
      <c r="O221" s="46"/>
      <c r="P221" s="45"/>
      <c r="Q221" s="45"/>
      <c r="R221" s="45"/>
      <c r="U221" s="42"/>
      <c r="V221" s="45"/>
      <c r="Y221" s="45"/>
      <c r="Z221" s="47"/>
      <c r="AA221" s="45"/>
      <c r="AB221" s="45"/>
      <c r="AC221" s="46"/>
      <c r="AD221" s="46"/>
      <c r="AE221" s="45"/>
      <c r="AF221" s="45"/>
      <c r="AH221" s="51"/>
      <c r="AI221" s="45"/>
      <c r="AJ221" s="45"/>
      <c r="AL221" s="45"/>
      <c r="AM221" s="46"/>
      <c r="AN221" s="46"/>
    </row>
    <row r="222" spans="1:40">
      <c r="F222" s="50"/>
      <c r="H222" s="50"/>
      <c r="I222" s="50"/>
      <c r="J222" s="326"/>
      <c r="K222" s="326"/>
      <c r="L222" s="50"/>
      <c r="M222" s="50"/>
      <c r="N222" s="50"/>
      <c r="O222" s="50"/>
      <c r="P222" s="50"/>
      <c r="Q222" s="50"/>
      <c r="R222" s="50"/>
      <c r="V222" s="50"/>
      <c r="Y222" s="50"/>
      <c r="Z222" s="326"/>
      <c r="AA222" s="50"/>
      <c r="AB222" s="50"/>
      <c r="AC222" s="50"/>
      <c r="AD222" s="50"/>
      <c r="AE222" s="50"/>
      <c r="AF222" s="50"/>
      <c r="AI222" s="50"/>
      <c r="AJ222" s="50"/>
      <c r="AK222" s="111"/>
      <c r="AL222" s="50"/>
    </row>
    <row r="223" spans="1:40">
      <c r="R223" s="45"/>
    </row>
    <row r="224" spans="1:40">
      <c r="R224" s="45"/>
    </row>
    <row r="225" spans="1:40">
      <c r="R225" s="45"/>
    </row>
    <row r="226" spans="1:40">
      <c r="C226" s="42"/>
      <c r="D226" s="42"/>
      <c r="E226" s="42"/>
      <c r="H226" s="45"/>
      <c r="I226" s="45"/>
      <c r="J226" s="47"/>
      <c r="K226" s="47"/>
      <c r="L226" s="45"/>
      <c r="M226" s="45"/>
      <c r="N226" s="46"/>
      <c r="O226" s="46"/>
      <c r="P226" s="45"/>
      <c r="Q226" s="45"/>
      <c r="R226" s="45"/>
      <c r="T226" s="42"/>
      <c r="U226" s="42"/>
      <c r="Y226" s="45"/>
      <c r="Z226" s="47"/>
      <c r="AA226" s="45"/>
      <c r="AB226" s="45"/>
      <c r="AC226" s="46"/>
      <c r="AD226" s="46"/>
    </row>
    <row r="227" spans="1:40">
      <c r="H227" s="45"/>
      <c r="I227" s="45"/>
      <c r="J227" s="47"/>
      <c r="K227" s="47"/>
      <c r="L227" s="45"/>
      <c r="M227" s="45"/>
      <c r="N227" s="46"/>
      <c r="O227" s="46"/>
      <c r="P227" s="45"/>
      <c r="Q227" s="45"/>
      <c r="R227" s="45"/>
      <c r="Y227" s="45"/>
      <c r="Z227" s="47"/>
      <c r="AA227" s="45"/>
      <c r="AB227" s="45"/>
      <c r="AC227" s="46"/>
      <c r="AD227" s="46"/>
    </row>
    <row r="228" spans="1:40">
      <c r="C228" s="42"/>
      <c r="F228" s="164"/>
      <c r="H228" s="164"/>
      <c r="I228" s="164"/>
      <c r="J228" s="52"/>
      <c r="K228" s="52"/>
      <c r="L228" s="164"/>
      <c r="M228" s="164"/>
      <c r="N228" s="46"/>
      <c r="O228" s="46"/>
      <c r="P228" s="45"/>
      <c r="Q228" s="45"/>
      <c r="R228" s="45"/>
      <c r="T228" s="42"/>
      <c r="V228" s="45"/>
      <c r="Y228" s="45"/>
      <c r="Z228" s="52"/>
      <c r="AA228" s="45"/>
      <c r="AB228" s="45"/>
      <c r="AC228" s="46"/>
      <c r="AD228" s="46"/>
      <c r="AE228" s="45"/>
      <c r="AF228" s="45"/>
      <c r="AH228" s="51"/>
      <c r="AI228" s="45"/>
      <c r="AJ228" s="45"/>
      <c r="AL228" s="45"/>
      <c r="AM228" s="46"/>
      <c r="AN228" s="46"/>
    </row>
    <row r="229" spans="1:40">
      <c r="F229" s="164"/>
      <c r="H229" s="329"/>
      <c r="I229" s="329"/>
      <c r="J229" s="329"/>
      <c r="K229" s="329"/>
      <c r="R229" s="45"/>
      <c r="V229" s="45"/>
      <c r="Z229" s="329"/>
    </row>
    <row r="230" spans="1:40">
      <c r="C230" s="42"/>
      <c r="F230" s="164"/>
      <c r="H230" s="164"/>
      <c r="I230" s="164"/>
      <c r="J230" s="316"/>
      <c r="K230" s="316"/>
      <c r="L230" s="45"/>
      <c r="M230" s="45"/>
      <c r="N230" s="46"/>
      <c r="O230" s="46"/>
      <c r="P230" s="45"/>
      <c r="Q230" s="45"/>
      <c r="R230" s="45"/>
      <c r="T230" s="42"/>
      <c r="V230" s="45"/>
      <c r="Y230" s="45"/>
      <c r="Z230" s="316"/>
      <c r="AA230" s="45"/>
      <c r="AB230" s="45"/>
      <c r="AC230" s="46"/>
      <c r="AD230" s="46"/>
      <c r="AE230" s="45"/>
      <c r="AF230" s="45"/>
      <c r="AH230" s="51"/>
      <c r="AI230" s="45"/>
      <c r="AJ230" s="45"/>
      <c r="AL230" s="45"/>
      <c r="AM230" s="46"/>
      <c r="AN230" s="46"/>
    </row>
    <row r="231" spans="1:40">
      <c r="F231" s="164"/>
      <c r="H231" s="329"/>
      <c r="I231" s="329"/>
      <c r="J231" s="329"/>
      <c r="K231" s="329"/>
      <c r="R231" s="45"/>
      <c r="V231" s="45"/>
      <c r="Z231" s="329"/>
    </row>
    <row r="232" spans="1:40">
      <c r="C232" s="42"/>
      <c r="F232" s="164"/>
      <c r="H232" s="164"/>
      <c r="I232" s="164"/>
      <c r="J232" s="331"/>
      <c r="K232" s="331"/>
      <c r="L232" s="45"/>
      <c r="M232" s="45"/>
      <c r="N232" s="46"/>
      <c r="O232" s="46"/>
      <c r="P232" s="45"/>
      <c r="Q232" s="45"/>
      <c r="R232" s="45"/>
      <c r="T232" s="42"/>
      <c r="V232" s="45"/>
      <c r="Y232" s="45"/>
      <c r="Z232" s="325"/>
      <c r="AA232" s="45"/>
      <c r="AB232" s="45"/>
      <c r="AC232" s="46"/>
      <c r="AD232" s="46"/>
      <c r="AE232" s="45"/>
      <c r="AF232" s="45"/>
      <c r="AH232" s="51"/>
      <c r="AI232" s="45"/>
      <c r="AJ232" s="45"/>
      <c r="AL232" s="45"/>
      <c r="AM232" s="46"/>
      <c r="AN232" s="46"/>
    </row>
    <row r="233" spans="1:40">
      <c r="F233" s="50"/>
      <c r="H233" s="50"/>
      <c r="I233" s="50"/>
      <c r="J233" s="326"/>
      <c r="K233" s="326"/>
      <c r="L233" s="50"/>
      <c r="M233" s="50"/>
      <c r="N233" s="50"/>
      <c r="O233" s="50"/>
      <c r="P233" s="50"/>
      <c r="Q233" s="50"/>
      <c r="R233" s="50"/>
      <c r="S233" s="45"/>
      <c r="V233" s="50"/>
      <c r="Y233" s="50"/>
      <c r="Z233" s="326"/>
      <c r="AA233" s="50"/>
      <c r="AB233" s="50"/>
      <c r="AC233" s="50"/>
      <c r="AD233" s="50"/>
      <c r="AE233" s="50"/>
      <c r="AF233" s="50"/>
      <c r="AI233" s="50"/>
      <c r="AJ233" s="50"/>
      <c r="AK233" s="111"/>
      <c r="AL233" s="50"/>
    </row>
    <row r="234" spans="1:40">
      <c r="D234" s="42"/>
      <c r="E234" s="42"/>
      <c r="F234" s="45"/>
      <c r="H234" s="45"/>
      <c r="I234" s="45"/>
      <c r="J234" s="47"/>
      <c r="K234" s="47"/>
      <c r="L234" s="45"/>
      <c r="M234" s="45"/>
      <c r="N234" s="46"/>
      <c r="O234" s="46"/>
      <c r="P234" s="164"/>
      <c r="Q234" s="164"/>
      <c r="R234" s="45"/>
      <c r="S234" s="45"/>
      <c r="U234" s="42"/>
      <c r="V234" s="45"/>
      <c r="Y234" s="45"/>
      <c r="Z234" s="47"/>
      <c r="AA234" s="45"/>
      <c r="AB234" s="45"/>
      <c r="AC234" s="46"/>
      <c r="AD234" s="46"/>
      <c r="AE234" s="45"/>
      <c r="AF234" s="45"/>
      <c r="AH234" s="51"/>
      <c r="AI234" s="164"/>
      <c r="AJ234" s="164"/>
      <c r="AL234" s="45"/>
      <c r="AM234" s="46"/>
      <c r="AN234" s="46"/>
    </row>
    <row r="235" spans="1:40">
      <c r="F235" s="50"/>
      <c r="H235" s="50"/>
      <c r="I235" s="50"/>
      <c r="J235" s="326"/>
      <c r="K235" s="326"/>
      <c r="L235" s="50"/>
      <c r="M235" s="50"/>
      <c r="N235" s="50"/>
      <c r="O235" s="50"/>
      <c r="P235" s="50"/>
      <c r="Q235" s="50"/>
      <c r="R235" s="50"/>
      <c r="S235" s="45"/>
      <c r="V235" s="50"/>
      <c r="Y235" s="50"/>
      <c r="Z235" s="326"/>
      <c r="AA235" s="50"/>
      <c r="AB235" s="50"/>
      <c r="AC235" s="50"/>
      <c r="AD235" s="50"/>
      <c r="AE235" s="50"/>
      <c r="AF235" s="50"/>
      <c r="AI235" s="50"/>
      <c r="AJ235" s="50"/>
      <c r="AK235" s="111"/>
      <c r="AL235" s="50"/>
    </row>
    <row r="236" spans="1:40">
      <c r="R236" s="45"/>
    </row>
    <row r="237" spans="1:40">
      <c r="F237" s="45"/>
      <c r="H237" s="45"/>
      <c r="I237" s="45"/>
      <c r="J237" s="47"/>
      <c r="K237" s="47"/>
      <c r="L237" s="45"/>
      <c r="M237" s="45"/>
      <c r="N237" s="45"/>
      <c r="O237" s="45"/>
      <c r="P237" s="45"/>
      <c r="Q237" s="45"/>
      <c r="R237" s="45"/>
      <c r="V237" s="45"/>
      <c r="Y237" s="45"/>
      <c r="Z237" s="47"/>
      <c r="AA237" s="45"/>
      <c r="AB237" s="45"/>
      <c r="AC237" s="45"/>
      <c r="AD237" s="45"/>
    </row>
    <row r="238" spans="1:40">
      <c r="C238" s="42"/>
      <c r="F238" s="45"/>
      <c r="H238" s="45"/>
      <c r="I238" s="45"/>
      <c r="J238" s="47"/>
      <c r="K238" s="47"/>
      <c r="L238" s="45"/>
      <c r="M238" s="45"/>
      <c r="N238" s="45"/>
      <c r="O238" s="45"/>
      <c r="P238" s="45"/>
      <c r="Q238" s="45"/>
      <c r="R238" s="45"/>
      <c r="T238" s="42"/>
      <c r="V238" s="45"/>
      <c r="Y238" s="45"/>
      <c r="Z238" s="47"/>
      <c r="AA238" s="45"/>
      <c r="AB238" s="45"/>
      <c r="AC238" s="45"/>
      <c r="AD238" s="45"/>
    </row>
    <row r="239" spans="1:40">
      <c r="C239" s="42"/>
      <c r="T239" s="42"/>
    </row>
    <row r="240" spans="1:40">
      <c r="A240" s="42"/>
    </row>
    <row r="243" spans="1:40">
      <c r="H243" s="42"/>
      <c r="I243" s="42"/>
      <c r="Y243" s="42"/>
    </row>
    <row r="245" spans="1:40">
      <c r="L245" s="42"/>
      <c r="M245" s="42"/>
      <c r="AA245" s="42"/>
      <c r="AB245" s="42"/>
    </row>
    <row r="246" spans="1:40">
      <c r="R246" s="42"/>
      <c r="AK246" s="110"/>
      <c r="AL246" s="42"/>
    </row>
    <row r="247" spans="1:40">
      <c r="R247" s="42"/>
      <c r="AK247" s="110"/>
      <c r="AL247" s="42"/>
    </row>
    <row r="248" spans="1:40">
      <c r="A248" s="42"/>
      <c r="R248" s="42"/>
      <c r="AK248" s="110"/>
      <c r="AL248" s="42"/>
    </row>
    <row r="249" spans="1:40">
      <c r="L249" s="42"/>
      <c r="M249" s="42"/>
      <c r="AA249" s="42"/>
      <c r="AB249" s="42"/>
    </row>
    <row r="250" spans="1:40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107"/>
      <c r="AH250" s="49"/>
      <c r="AI250" s="49"/>
      <c r="AJ250" s="49"/>
      <c r="AK250" s="107"/>
      <c r="AL250" s="49"/>
      <c r="AM250" s="49"/>
      <c r="AN250" s="49"/>
    </row>
    <row r="251" spans="1:40">
      <c r="L251" s="44"/>
      <c r="M251" s="44"/>
      <c r="N251" s="44"/>
      <c r="O251" s="44"/>
      <c r="R251" s="44"/>
      <c r="AA251" s="44"/>
      <c r="AB251" s="44"/>
      <c r="AC251" s="44"/>
      <c r="AD251" s="44"/>
      <c r="AE251" s="44"/>
      <c r="AF251" s="44"/>
      <c r="AG251" s="102"/>
      <c r="AH251" s="44"/>
      <c r="AK251" s="102"/>
      <c r="AL251" s="44"/>
      <c r="AM251" s="44"/>
      <c r="AN251" s="44"/>
    </row>
    <row r="252" spans="1:40">
      <c r="L252" s="44"/>
      <c r="M252" s="44"/>
      <c r="N252" s="44"/>
      <c r="O252" s="44"/>
      <c r="R252" s="44"/>
      <c r="Z252" s="44"/>
      <c r="AA252" s="44"/>
      <c r="AB252" s="44"/>
      <c r="AC252" s="44"/>
      <c r="AD252" s="44"/>
      <c r="AE252" s="44"/>
      <c r="AF252" s="44"/>
      <c r="AG252" s="102"/>
      <c r="AH252" s="44"/>
      <c r="AK252" s="102"/>
      <c r="AL252" s="44"/>
      <c r="AM252" s="44"/>
      <c r="AN252" s="44"/>
    </row>
    <row r="253" spans="1:40">
      <c r="A253" s="44"/>
      <c r="C253" s="44"/>
      <c r="D253" s="44"/>
      <c r="E253" s="44"/>
      <c r="F253" s="44"/>
      <c r="J253" s="44"/>
      <c r="K253" s="44"/>
      <c r="L253" s="44"/>
      <c r="M253" s="44"/>
      <c r="N253" s="44"/>
      <c r="O253" s="44"/>
      <c r="P253" s="44"/>
      <c r="Q253" s="44"/>
      <c r="R253" s="44"/>
      <c r="T253" s="44"/>
      <c r="U253" s="44"/>
      <c r="V253" s="44"/>
      <c r="Z253" s="44"/>
      <c r="AA253" s="44"/>
      <c r="AB253" s="44"/>
      <c r="AC253" s="44"/>
      <c r="AD253" s="44"/>
      <c r="AE253" s="44"/>
      <c r="AF253" s="44"/>
      <c r="AG253" s="102"/>
      <c r="AH253" s="44"/>
      <c r="AI253" s="44"/>
      <c r="AJ253" s="44"/>
      <c r="AK253" s="102"/>
      <c r="AL253" s="44"/>
      <c r="AM253" s="44"/>
      <c r="AN253" s="44"/>
    </row>
    <row r="254" spans="1:40">
      <c r="A254" s="44"/>
      <c r="C254" s="44"/>
      <c r="D254" s="44"/>
      <c r="E254" s="44"/>
      <c r="F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T254" s="44"/>
      <c r="U254" s="44"/>
      <c r="V254" s="44"/>
      <c r="Y254" s="44"/>
      <c r="Z254" s="44"/>
      <c r="AA254" s="44"/>
      <c r="AB254" s="44"/>
      <c r="AC254" s="44"/>
      <c r="AD254" s="44"/>
      <c r="AE254" s="44"/>
      <c r="AF254" s="44"/>
      <c r="AG254" s="102"/>
      <c r="AH254" s="44"/>
      <c r="AI254" s="44"/>
      <c r="AJ254" s="44"/>
      <c r="AK254" s="102"/>
      <c r="AL254" s="44"/>
      <c r="AM254" s="44"/>
      <c r="AN254" s="44"/>
    </row>
    <row r="255" spans="1:40">
      <c r="C255" s="44"/>
      <c r="D255" s="44"/>
      <c r="E255" s="44"/>
      <c r="F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T255" s="44"/>
      <c r="U255" s="44"/>
      <c r="V255" s="44"/>
      <c r="Y255" s="44"/>
      <c r="Z255" s="44"/>
      <c r="AA255" s="44"/>
      <c r="AB255" s="44"/>
      <c r="AC255" s="44"/>
      <c r="AD255" s="44"/>
      <c r="AE255" s="44"/>
      <c r="AF255" s="44"/>
      <c r="AG255" s="102"/>
      <c r="AH255" s="44"/>
      <c r="AI255" s="44"/>
      <c r="AJ255" s="44"/>
      <c r="AK255" s="102"/>
      <c r="AL255" s="44"/>
      <c r="AM255" s="44"/>
      <c r="AN255" s="44"/>
    </row>
    <row r="256" spans="1:40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107"/>
      <c r="AH256" s="49"/>
      <c r="AI256" s="49"/>
      <c r="AJ256" s="49"/>
      <c r="AK256" s="107"/>
      <c r="AL256" s="49"/>
      <c r="AM256" s="49"/>
      <c r="AN256" s="49"/>
    </row>
    <row r="257" spans="3:40"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Y257" s="44"/>
      <c r="Z257" s="44"/>
      <c r="AA257" s="44"/>
      <c r="AB257" s="44"/>
      <c r="AC257" s="44"/>
      <c r="AD257" s="44"/>
      <c r="AE257" s="44"/>
      <c r="AF257" s="44"/>
      <c r="AG257" s="102"/>
      <c r="AH257" s="44"/>
      <c r="AI257" s="44"/>
      <c r="AJ257" s="44"/>
      <c r="AK257" s="102"/>
      <c r="AL257" s="44"/>
      <c r="AM257" s="44"/>
      <c r="AN257" s="44"/>
    </row>
    <row r="258" spans="3:40">
      <c r="C258" s="42"/>
      <c r="D258" s="42"/>
      <c r="E258" s="42"/>
      <c r="T258" s="42"/>
      <c r="U258" s="42"/>
    </row>
    <row r="259" spans="3:40">
      <c r="D259" s="42"/>
      <c r="E259" s="42"/>
      <c r="U259" s="42"/>
    </row>
    <row r="261" spans="3:40">
      <c r="C261" s="42"/>
      <c r="F261" s="45"/>
      <c r="J261" s="53"/>
      <c r="K261" s="53"/>
      <c r="L261" s="45"/>
      <c r="M261" s="45"/>
      <c r="R261" s="45"/>
      <c r="T261" s="42"/>
      <c r="V261" s="45"/>
      <c r="Z261" s="53"/>
      <c r="AA261" s="45"/>
      <c r="AB261" s="45"/>
      <c r="AL261" s="45"/>
    </row>
    <row r="262" spans="3:40">
      <c r="F262" s="45"/>
      <c r="R262" s="45"/>
      <c r="V262" s="45"/>
      <c r="AL262" s="45"/>
    </row>
    <row r="263" spans="3:40">
      <c r="C263" s="42"/>
      <c r="F263" s="164"/>
      <c r="H263" s="164"/>
      <c r="I263" s="164"/>
      <c r="J263" s="316"/>
      <c r="K263" s="316"/>
      <c r="L263" s="45"/>
      <c r="M263" s="45"/>
      <c r="N263" s="46"/>
      <c r="O263" s="46"/>
      <c r="P263" s="45"/>
      <c r="Q263" s="45"/>
      <c r="R263" s="45"/>
      <c r="T263" s="42"/>
      <c r="V263" s="45"/>
      <c r="Y263" s="45"/>
      <c r="Z263" s="316"/>
      <c r="AA263" s="45"/>
      <c r="AB263" s="45"/>
      <c r="AC263" s="46"/>
      <c r="AD263" s="46"/>
      <c r="AE263" s="45"/>
      <c r="AF263" s="45"/>
      <c r="AH263" s="51"/>
      <c r="AI263" s="45"/>
      <c r="AJ263" s="45"/>
      <c r="AL263" s="45"/>
      <c r="AM263" s="46"/>
      <c r="AN263" s="46"/>
    </row>
    <row r="264" spans="3:40">
      <c r="C264" s="42"/>
      <c r="F264" s="164"/>
      <c r="H264" s="329"/>
      <c r="I264" s="329"/>
      <c r="J264" s="316"/>
      <c r="K264" s="316"/>
      <c r="L264" s="45"/>
      <c r="M264" s="45"/>
      <c r="N264" s="46"/>
      <c r="O264" s="46"/>
      <c r="P264" s="45"/>
      <c r="Q264" s="45"/>
      <c r="R264" s="45"/>
      <c r="T264" s="42"/>
      <c r="V264" s="45"/>
      <c r="Y264" s="45"/>
      <c r="Z264" s="316"/>
      <c r="AA264" s="45"/>
      <c r="AB264" s="45"/>
      <c r="AC264" s="46"/>
      <c r="AD264" s="46"/>
      <c r="AE264" s="45"/>
      <c r="AF264" s="45"/>
      <c r="AH264" s="51"/>
      <c r="AI264" s="45"/>
      <c r="AJ264" s="45"/>
      <c r="AL264" s="45"/>
      <c r="AM264" s="46"/>
      <c r="AN264" s="46"/>
    </row>
    <row r="265" spans="3:40">
      <c r="F265" s="50"/>
      <c r="H265" s="45"/>
      <c r="I265" s="45"/>
      <c r="J265" s="326"/>
      <c r="K265" s="326"/>
      <c r="L265" s="50"/>
      <c r="M265" s="50"/>
      <c r="N265" s="50"/>
      <c r="O265" s="50"/>
      <c r="P265" s="50"/>
      <c r="Q265" s="50"/>
      <c r="R265" s="50"/>
      <c r="V265" s="50"/>
      <c r="Y265" s="45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</row>
    <row r="266" spans="3:40">
      <c r="C266" s="42"/>
      <c r="F266" s="45"/>
      <c r="H266" s="45"/>
      <c r="I266" s="45"/>
      <c r="J266" s="47"/>
      <c r="K266" s="47"/>
      <c r="L266" s="45"/>
      <c r="M266" s="45"/>
      <c r="N266" s="46"/>
      <c r="O266" s="46"/>
      <c r="P266" s="45"/>
      <c r="Q266" s="45"/>
      <c r="R266" s="45"/>
      <c r="T266" s="42"/>
      <c r="V266" s="45"/>
      <c r="Y266" s="45"/>
      <c r="Z266" s="47"/>
      <c r="AA266" s="45"/>
      <c r="AB266" s="45"/>
      <c r="AC266" s="46"/>
      <c r="AD266" s="46"/>
      <c r="AE266" s="45"/>
      <c r="AF266" s="45"/>
      <c r="AH266" s="51"/>
      <c r="AI266" s="45"/>
      <c r="AJ266" s="45"/>
      <c r="AL266" s="45"/>
      <c r="AM266" s="46"/>
      <c r="AN266" s="46"/>
    </row>
    <row r="267" spans="3:40">
      <c r="F267" s="50"/>
      <c r="H267" s="45"/>
      <c r="I267" s="45"/>
      <c r="J267" s="326"/>
      <c r="K267" s="326"/>
      <c r="L267" s="50"/>
      <c r="M267" s="50"/>
      <c r="N267" s="50"/>
      <c r="O267" s="50"/>
      <c r="P267" s="50"/>
      <c r="Q267" s="50"/>
      <c r="R267" s="50"/>
      <c r="V267" s="50"/>
      <c r="Y267" s="45"/>
      <c r="Z267" s="326"/>
      <c r="AA267" s="50"/>
      <c r="AB267" s="50"/>
      <c r="AC267" s="50"/>
      <c r="AD267" s="50"/>
      <c r="AE267" s="50"/>
      <c r="AF267" s="50"/>
      <c r="AI267" s="50"/>
      <c r="AJ267" s="50"/>
      <c r="AK267" s="111"/>
      <c r="AL267" s="50"/>
    </row>
    <row r="268" spans="3:40">
      <c r="F268" s="45"/>
      <c r="R268" s="45"/>
      <c r="V268" s="45"/>
      <c r="AL268" s="45"/>
    </row>
    <row r="269" spans="3:40">
      <c r="C269" s="42"/>
      <c r="F269" s="45"/>
      <c r="R269" s="45"/>
      <c r="T269" s="42"/>
      <c r="V269" s="45"/>
      <c r="AL269" s="45"/>
    </row>
    <row r="270" spans="3:40">
      <c r="F270" s="45"/>
      <c r="R270" s="45"/>
      <c r="V270" s="45"/>
      <c r="AL270" s="45"/>
    </row>
    <row r="271" spans="3:40">
      <c r="C271" s="42"/>
      <c r="F271" s="45"/>
      <c r="H271" s="164"/>
      <c r="I271" s="164"/>
      <c r="J271" s="331"/>
      <c r="K271" s="331"/>
      <c r="L271" s="45"/>
      <c r="M271" s="45"/>
      <c r="N271" s="46"/>
      <c r="O271" s="46"/>
      <c r="P271" s="164"/>
      <c r="Q271" s="164"/>
      <c r="R271" s="45"/>
      <c r="T271" s="42"/>
      <c r="V271" s="45"/>
      <c r="Y271" s="45"/>
      <c r="Z271" s="325"/>
      <c r="AA271" s="45"/>
      <c r="AB271" s="45"/>
      <c r="AC271" s="46"/>
      <c r="AD271" s="46"/>
      <c r="AE271" s="45"/>
      <c r="AF271" s="45"/>
      <c r="AH271" s="51"/>
      <c r="AI271" s="164"/>
      <c r="AJ271" s="164"/>
      <c r="AL271" s="45"/>
      <c r="AM271" s="46"/>
      <c r="AN271" s="46"/>
    </row>
    <row r="272" spans="3:40">
      <c r="F272" s="50"/>
      <c r="H272" s="50"/>
      <c r="I272" s="50"/>
      <c r="J272" s="326"/>
      <c r="K272" s="326"/>
      <c r="L272" s="50"/>
      <c r="M272" s="50"/>
      <c r="N272" s="50"/>
      <c r="O272" s="50"/>
      <c r="P272" s="50"/>
      <c r="Q272" s="50"/>
      <c r="R272" s="50"/>
      <c r="V272" s="50"/>
      <c r="Y272" s="50"/>
      <c r="Z272" s="326"/>
      <c r="AA272" s="50"/>
      <c r="AB272" s="50"/>
      <c r="AC272" s="50"/>
      <c r="AD272" s="50"/>
      <c r="AE272" s="50"/>
      <c r="AF272" s="50"/>
      <c r="AI272" s="50"/>
      <c r="AJ272" s="50"/>
      <c r="AK272" s="111"/>
      <c r="AL272" s="50"/>
    </row>
    <row r="274" spans="1:40">
      <c r="C274" s="42"/>
      <c r="F274" s="45"/>
      <c r="H274" s="45"/>
      <c r="I274" s="45"/>
      <c r="J274" s="53"/>
      <c r="K274" s="53"/>
      <c r="L274" s="45"/>
      <c r="M274" s="45"/>
      <c r="N274" s="46"/>
      <c r="O274" s="46"/>
      <c r="P274" s="45"/>
      <c r="Q274" s="45"/>
      <c r="R274" s="45"/>
      <c r="T274" s="42"/>
      <c r="V274" s="45"/>
      <c r="Y274" s="45"/>
      <c r="Z274" s="53"/>
      <c r="AA274" s="45"/>
      <c r="AB274" s="45"/>
      <c r="AC274" s="46"/>
      <c r="AD274" s="46"/>
      <c r="AE274" s="45"/>
      <c r="AF274" s="45"/>
      <c r="AH274" s="51"/>
      <c r="AI274" s="45"/>
      <c r="AJ274" s="45"/>
      <c r="AL274" s="45"/>
      <c r="AM274" s="46"/>
      <c r="AN274" s="46"/>
    </row>
    <row r="275" spans="1:40">
      <c r="F275" s="50"/>
      <c r="H275" s="50"/>
      <c r="I275" s="50"/>
      <c r="J275" s="326"/>
      <c r="K275" s="326"/>
      <c r="L275" s="50"/>
      <c r="M275" s="50"/>
      <c r="N275" s="50"/>
      <c r="O275" s="50"/>
      <c r="P275" s="50"/>
      <c r="Q275" s="50"/>
      <c r="R275" s="50"/>
      <c r="V275" s="50"/>
      <c r="Y275" s="50"/>
      <c r="Z275" s="326"/>
      <c r="AA275" s="50"/>
      <c r="AB275" s="50"/>
      <c r="AC275" s="50"/>
      <c r="AD275" s="50"/>
      <c r="AE275" s="50"/>
      <c r="AF275" s="50"/>
      <c r="AI275" s="50"/>
      <c r="AJ275" s="50"/>
      <c r="AK275" s="111"/>
      <c r="AL275" s="50"/>
    </row>
    <row r="276" spans="1:40">
      <c r="R276" s="45"/>
      <c r="AH276" s="45"/>
    </row>
    <row r="277" spans="1:40">
      <c r="F277" s="45"/>
      <c r="H277" s="45"/>
      <c r="I277" s="45"/>
      <c r="J277" s="47"/>
      <c r="K277" s="47"/>
      <c r="L277" s="45"/>
      <c r="M277" s="45"/>
      <c r="N277" s="45"/>
      <c r="O277" s="45"/>
      <c r="P277" s="45"/>
      <c r="Q277" s="45"/>
      <c r="R277" s="45"/>
      <c r="V277" s="45"/>
      <c r="Y277" s="45"/>
      <c r="Z277" s="47"/>
      <c r="AA277" s="45"/>
      <c r="AB277" s="45"/>
      <c r="AC277" s="45"/>
      <c r="AD277" s="45"/>
      <c r="AE277" s="45"/>
      <c r="AF277" s="45"/>
      <c r="AH277" s="45"/>
    </row>
    <row r="278" spans="1:40">
      <c r="C278" s="42"/>
      <c r="F278" s="45"/>
      <c r="H278" s="45"/>
      <c r="I278" s="45"/>
      <c r="J278" s="47"/>
      <c r="K278" s="47"/>
      <c r="L278" s="45"/>
      <c r="M278" s="45"/>
      <c r="N278" s="45"/>
      <c r="O278" s="45"/>
      <c r="P278" s="45"/>
      <c r="Q278" s="45"/>
      <c r="R278" s="45"/>
      <c r="T278" s="42"/>
      <c r="V278" s="45"/>
      <c r="Y278" s="45"/>
      <c r="Z278" s="47"/>
      <c r="AA278" s="45"/>
      <c r="AB278" s="45"/>
      <c r="AC278" s="45"/>
      <c r="AD278" s="45"/>
      <c r="AE278" s="45"/>
      <c r="AF278" s="45"/>
      <c r="AH278" s="45"/>
    </row>
    <row r="279" spans="1:40">
      <c r="A279" s="42"/>
    </row>
    <row r="282" spans="1:40">
      <c r="H282" s="42"/>
      <c r="I282" s="42"/>
      <c r="Y282" s="42"/>
    </row>
    <row r="284" spans="1:40">
      <c r="L284" s="42"/>
      <c r="M284" s="42"/>
      <c r="AA284" s="42"/>
      <c r="AB284" s="42"/>
    </row>
    <row r="285" spans="1:40">
      <c r="R285" s="42"/>
      <c r="AK285" s="110"/>
      <c r="AL285" s="42"/>
    </row>
    <row r="286" spans="1:40">
      <c r="R286" s="42"/>
      <c r="AK286" s="110"/>
      <c r="AL286" s="42"/>
    </row>
    <row r="287" spans="1:40">
      <c r="A287" s="42"/>
      <c r="R287" s="42"/>
      <c r="AK287" s="110"/>
      <c r="AL287" s="42"/>
    </row>
    <row r="288" spans="1:40">
      <c r="L288" s="42"/>
      <c r="M288" s="42"/>
      <c r="AA288" s="42"/>
      <c r="AB288" s="42"/>
    </row>
    <row r="289" spans="1:40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107"/>
      <c r="AH289" s="49"/>
      <c r="AI289" s="49"/>
      <c r="AJ289" s="49"/>
      <c r="AK289" s="107"/>
      <c r="AL289" s="49"/>
      <c r="AM289" s="49"/>
      <c r="AN289" s="49"/>
    </row>
    <row r="290" spans="1:40">
      <c r="L290" s="44"/>
      <c r="M290" s="44"/>
      <c r="N290" s="44"/>
      <c r="O290" s="44"/>
      <c r="R290" s="44"/>
      <c r="AA290" s="44"/>
      <c r="AB290" s="44"/>
      <c r="AC290" s="44"/>
      <c r="AD290" s="44"/>
      <c r="AE290" s="44"/>
      <c r="AF290" s="44"/>
      <c r="AG290" s="102"/>
      <c r="AH290" s="44"/>
      <c r="AK290" s="102"/>
      <c r="AL290" s="44"/>
      <c r="AM290" s="44"/>
      <c r="AN290" s="44"/>
    </row>
    <row r="291" spans="1:40">
      <c r="L291" s="44"/>
      <c r="M291" s="44"/>
      <c r="N291" s="44"/>
      <c r="O291" s="44"/>
      <c r="R291" s="44"/>
      <c r="Z291" s="44"/>
      <c r="AA291" s="44"/>
      <c r="AB291" s="44"/>
      <c r="AC291" s="44"/>
      <c r="AD291" s="44"/>
      <c r="AE291" s="44"/>
      <c r="AF291" s="44"/>
      <c r="AG291" s="102"/>
      <c r="AH291" s="44"/>
      <c r="AK291" s="102"/>
      <c r="AL291" s="44"/>
      <c r="AM291" s="44"/>
      <c r="AN291" s="44"/>
    </row>
    <row r="292" spans="1:40">
      <c r="A292" s="44"/>
      <c r="C292" s="44"/>
      <c r="D292" s="44"/>
      <c r="E292" s="44"/>
      <c r="F292" s="44"/>
      <c r="J292" s="44"/>
      <c r="K292" s="44"/>
      <c r="L292" s="44"/>
      <c r="M292" s="44"/>
      <c r="N292" s="44"/>
      <c r="O292" s="44"/>
      <c r="P292" s="44"/>
      <c r="Q292" s="44"/>
      <c r="R292" s="44"/>
      <c r="T292" s="44"/>
      <c r="U292" s="44"/>
      <c r="V292" s="44"/>
      <c r="Z292" s="44"/>
      <c r="AA292" s="44"/>
      <c r="AB292" s="44"/>
      <c r="AC292" s="44"/>
      <c r="AD292" s="44"/>
      <c r="AE292" s="44"/>
      <c r="AF292" s="44"/>
      <c r="AG292" s="102"/>
      <c r="AH292" s="44"/>
      <c r="AI292" s="44"/>
      <c r="AJ292" s="44"/>
      <c r="AK292" s="102"/>
      <c r="AL292" s="44"/>
      <c r="AM292" s="44"/>
      <c r="AN292" s="44"/>
    </row>
    <row r="293" spans="1:40">
      <c r="A293" s="44"/>
      <c r="C293" s="44"/>
      <c r="D293" s="44"/>
      <c r="E293" s="44"/>
      <c r="F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T293" s="44"/>
      <c r="U293" s="44"/>
      <c r="V293" s="44"/>
      <c r="Y293" s="44"/>
      <c r="Z293" s="44"/>
      <c r="AA293" s="44"/>
      <c r="AB293" s="44"/>
      <c r="AC293" s="44"/>
      <c r="AD293" s="44"/>
      <c r="AE293" s="44"/>
      <c r="AF293" s="44"/>
      <c r="AG293" s="102"/>
      <c r="AH293" s="44"/>
      <c r="AI293" s="44"/>
      <c r="AJ293" s="44"/>
      <c r="AK293" s="102"/>
      <c r="AL293" s="44"/>
      <c r="AM293" s="44"/>
      <c r="AN293" s="44"/>
    </row>
    <row r="294" spans="1:40">
      <c r="C294" s="44"/>
      <c r="D294" s="44"/>
      <c r="E294" s="44"/>
      <c r="F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T294" s="44"/>
      <c r="U294" s="44"/>
      <c r="V294" s="44"/>
      <c r="Y294" s="44"/>
      <c r="Z294" s="44"/>
      <c r="AA294" s="44"/>
      <c r="AB294" s="44"/>
      <c r="AC294" s="44"/>
      <c r="AD294" s="44"/>
      <c r="AE294" s="44"/>
      <c r="AF294" s="44"/>
      <c r="AG294" s="102"/>
      <c r="AH294" s="44"/>
      <c r="AI294" s="44"/>
      <c r="AJ294" s="44"/>
      <c r="AK294" s="102"/>
      <c r="AL294" s="44"/>
      <c r="AM294" s="44"/>
      <c r="AN294" s="44"/>
    </row>
    <row r="295" spans="1:40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107"/>
      <c r="AH295" s="49"/>
      <c r="AI295" s="49"/>
      <c r="AJ295" s="49"/>
      <c r="AK295" s="107"/>
      <c r="AL295" s="49"/>
      <c r="AM295" s="49"/>
      <c r="AN295" s="49"/>
    </row>
    <row r="296" spans="1:40"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Y296" s="44"/>
      <c r="Z296" s="44"/>
      <c r="AA296" s="44"/>
      <c r="AB296" s="44"/>
      <c r="AC296" s="44"/>
      <c r="AD296" s="44"/>
      <c r="AE296" s="44"/>
      <c r="AF296" s="44"/>
      <c r="AG296" s="102"/>
      <c r="AH296" s="44"/>
      <c r="AI296" s="44"/>
      <c r="AJ296" s="44"/>
      <c r="AK296" s="102"/>
      <c r="AL296" s="44"/>
      <c r="AM296" s="44"/>
      <c r="AN296" s="44"/>
    </row>
    <row r="297" spans="1:40">
      <c r="C297" s="42"/>
      <c r="D297" s="42"/>
      <c r="E297" s="42"/>
      <c r="T297" s="42"/>
      <c r="U297" s="42"/>
    </row>
    <row r="298" spans="1:40">
      <c r="C298" s="42"/>
      <c r="T298" s="42"/>
    </row>
    <row r="300" spans="1:40">
      <c r="C300" s="42"/>
      <c r="F300" s="164"/>
      <c r="H300" s="164"/>
      <c r="I300" s="164"/>
      <c r="J300" s="316"/>
      <c r="K300" s="316"/>
      <c r="L300" s="45"/>
      <c r="M300" s="45"/>
      <c r="N300" s="46"/>
      <c r="O300" s="46"/>
      <c r="R300" s="45"/>
      <c r="T300" s="42"/>
      <c r="V300" s="45"/>
      <c r="Y300" s="164"/>
      <c r="Z300" s="316"/>
      <c r="AA300" s="45"/>
      <c r="AB300" s="45"/>
      <c r="AC300" s="46"/>
      <c r="AD300" s="46"/>
      <c r="AE300" s="45"/>
      <c r="AF300" s="45"/>
      <c r="AH300" s="51"/>
      <c r="AL300" s="45"/>
      <c r="AM300" s="46"/>
      <c r="AN300" s="46"/>
    </row>
    <row r="301" spans="1:40">
      <c r="F301" s="50"/>
      <c r="H301" s="45"/>
      <c r="I301" s="45"/>
      <c r="J301" s="326"/>
      <c r="K301" s="326"/>
      <c r="L301" s="50"/>
      <c r="M301" s="50"/>
      <c r="N301" s="50"/>
      <c r="O301" s="50"/>
      <c r="P301" s="50"/>
      <c r="Q301" s="50"/>
      <c r="R301" s="50"/>
      <c r="V301" s="50"/>
      <c r="Y301" s="45"/>
      <c r="Z301" s="326"/>
      <c r="AA301" s="50"/>
      <c r="AB301" s="50"/>
      <c r="AC301" s="50"/>
      <c r="AD301" s="50"/>
      <c r="AE301" s="50"/>
      <c r="AF301" s="50"/>
      <c r="AI301" s="50"/>
      <c r="AJ301" s="50"/>
      <c r="AK301" s="111"/>
      <c r="AL301" s="50"/>
      <c r="AM301" s="46"/>
      <c r="AN301" s="46"/>
    </row>
    <row r="302" spans="1:40">
      <c r="C302" s="42"/>
      <c r="F302" s="164"/>
      <c r="H302" s="164"/>
      <c r="I302" s="164"/>
      <c r="J302" s="336"/>
      <c r="K302" s="336"/>
      <c r="L302" s="45"/>
      <c r="M302" s="45"/>
      <c r="N302" s="46"/>
      <c r="O302" s="46"/>
      <c r="P302" s="45"/>
      <c r="Q302" s="45"/>
      <c r="R302" s="45"/>
      <c r="S302" s="45"/>
      <c r="T302" s="42"/>
      <c r="V302" s="164"/>
      <c r="Y302" s="164"/>
      <c r="Z302" s="336"/>
      <c r="AA302" s="45"/>
      <c r="AB302" s="45"/>
      <c r="AC302" s="46"/>
      <c r="AD302" s="46"/>
      <c r="AE302" s="45"/>
      <c r="AF302" s="45"/>
      <c r="AH302" s="46"/>
      <c r="AI302" s="45"/>
      <c r="AJ302" s="45"/>
      <c r="AL302" s="45"/>
      <c r="AM302" s="46"/>
      <c r="AN302" s="46"/>
    </row>
    <row r="303" spans="1:40">
      <c r="C303" s="42"/>
      <c r="F303" s="164"/>
      <c r="H303" s="164"/>
      <c r="I303" s="164"/>
      <c r="J303" s="316"/>
      <c r="K303" s="316"/>
      <c r="L303" s="45"/>
      <c r="M303" s="45"/>
      <c r="N303" s="46"/>
      <c r="O303" s="46"/>
      <c r="P303" s="45"/>
      <c r="Q303" s="45"/>
      <c r="R303" s="45"/>
      <c r="T303" s="42"/>
      <c r="V303" s="164"/>
      <c r="Y303" s="45"/>
      <c r="Z303" s="316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1:40">
      <c r="C304" s="42"/>
      <c r="F304" s="164"/>
      <c r="H304" s="164"/>
      <c r="I304" s="164"/>
      <c r="J304" s="316"/>
      <c r="K304" s="316"/>
      <c r="L304" s="45"/>
      <c r="M304" s="45"/>
      <c r="N304" s="46"/>
      <c r="O304" s="46"/>
      <c r="P304" s="45"/>
      <c r="Q304" s="45"/>
      <c r="R304" s="45"/>
      <c r="T304" s="42"/>
      <c r="V304" s="164"/>
      <c r="Y304" s="45"/>
      <c r="Z304" s="316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3:40">
      <c r="F305" s="50"/>
      <c r="H305" s="50"/>
      <c r="I305" s="50"/>
      <c r="J305" s="326"/>
      <c r="K305" s="326"/>
      <c r="L305" s="50"/>
      <c r="M305" s="50"/>
      <c r="N305" s="50"/>
      <c r="O305" s="50"/>
      <c r="P305" s="50"/>
      <c r="Q305" s="50"/>
      <c r="R305" s="50"/>
      <c r="V305" s="50"/>
      <c r="Y305" s="50"/>
      <c r="Z305" s="326"/>
      <c r="AA305" s="50"/>
      <c r="AB305" s="50"/>
      <c r="AC305" s="50"/>
      <c r="AD305" s="50"/>
      <c r="AE305" s="50"/>
      <c r="AF305" s="50"/>
      <c r="AI305" s="50"/>
      <c r="AJ305" s="50"/>
      <c r="AK305" s="111"/>
      <c r="AL305" s="50"/>
      <c r="AM305" s="46"/>
      <c r="AN305" s="46"/>
    </row>
    <row r="306" spans="3:40">
      <c r="C306" s="42"/>
      <c r="F306" s="45"/>
      <c r="H306" s="45"/>
      <c r="I306" s="45"/>
      <c r="J306" s="47"/>
      <c r="K306" s="47"/>
      <c r="L306" s="45"/>
      <c r="M306" s="45"/>
      <c r="N306" s="46"/>
      <c r="O306" s="46"/>
      <c r="P306" s="45"/>
      <c r="Q306" s="45"/>
      <c r="R306" s="45"/>
      <c r="T306" s="42"/>
      <c r="V306" s="45"/>
      <c r="Y306" s="45"/>
      <c r="Z306" s="47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3:40">
      <c r="F307" s="50"/>
      <c r="H307" s="50"/>
      <c r="I307" s="50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50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3:40">
      <c r="C308" s="42"/>
      <c r="F308" s="45"/>
      <c r="H308" s="45"/>
      <c r="I308" s="45"/>
      <c r="J308" s="47"/>
      <c r="K308" s="47"/>
      <c r="L308" s="45"/>
      <c r="M308" s="45"/>
      <c r="N308" s="46"/>
      <c r="O308" s="46"/>
      <c r="P308" s="45"/>
      <c r="Q308" s="45"/>
      <c r="R308" s="45"/>
      <c r="T308" s="42"/>
      <c r="V308" s="45"/>
      <c r="Y308" s="45"/>
      <c r="Z308" s="47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>
      <c r="C309" s="42"/>
      <c r="F309" s="45"/>
      <c r="H309" s="164"/>
      <c r="I309" s="164"/>
      <c r="J309" s="331"/>
      <c r="K309" s="331"/>
      <c r="L309" s="45"/>
      <c r="M309" s="45"/>
      <c r="N309" s="46"/>
      <c r="O309" s="46"/>
      <c r="P309" s="45"/>
      <c r="Q309" s="45"/>
      <c r="R309" s="45"/>
      <c r="T309" s="42"/>
      <c r="V309" s="45"/>
      <c r="Y309" s="45"/>
      <c r="Z309" s="325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>
      <c r="F310" s="50"/>
      <c r="H310" s="50"/>
      <c r="I310" s="50"/>
      <c r="J310" s="326"/>
      <c r="K310" s="326"/>
      <c r="L310" s="50"/>
      <c r="M310" s="50"/>
      <c r="N310" s="50"/>
      <c r="O310" s="50"/>
      <c r="P310" s="50"/>
      <c r="Q310" s="50"/>
      <c r="R310" s="50"/>
      <c r="V310" s="50"/>
      <c r="Y310" s="50"/>
      <c r="Z310" s="326"/>
      <c r="AA310" s="50"/>
      <c r="AB310" s="50"/>
      <c r="AC310" s="50"/>
      <c r="AD310" s="50"/>
      <c r="AE310" s="50"/>
      <c r="AF310" s="50"/>
      <c r="AI310" s="50"/>
      <c r="AJ310" s="50"/>
      <c r="AK310" s="111"/>
      <c r="AL310" s="50"/>
      <c r="AM310" s="46"/>
      <c r="AN310" s="46"/>
    </row>
    <row r="312" spans="3:40">
      <c r="C312" s="42"/>
      <c r="F312" s="45"/>
      <c r="H312" s="45"/>
      <c r="I312" s="45"/>
      <c r="J312" s="326"/>
      <c r="K312" s="326"/>
      <c r="L312" s="45"/>
      <c r="M312" s="45"/>
      <c r="N312" s="46"/>
      <c r="O312" s="46"/>
      <c r="P312" s="45"/>
      <c r="Q312" s="45"/>
      <c r="R312" s="45"/>
      <c r="S312" s="45"/>
      <c r="T312" s="42"/>
      <c r="V312" s="45"/>
      <c r="Y312" s="45"/>
      <c r="Z312" s="326"/>
      <c r="AA312" s="45"/>
      <c r="AB312" s="45"/>
      <c r="AC312" s="46"/>
      <c r="AD312" s="46"/>
      <c r="AE312" s="45"/>
      <c r="AF312" s="45"/>
      <c r="AH312" s="46"/>
      <c r="AI312" s="45"/>
      <c r="AJ312" s="45"/>
      <c r="AL312" s="45"/>
      <c r="AM312" s="46"/>
      <c r="AN312" s="46"/>
    </row>
    <row r="313" spans="3:40">
      <c r="F313" s="50"/>
      <c r="H313" s="50"/>
      <c r="I313" s="50"/>
      <c r="J313" s="326"/>
      <c r="K313" s="326"/>
      <c r="L313" s="50"/>
      <c r="M313" s="50"/>
      <c r="N313" s="50"/>
      <c r="O313" s="50"/>
      <c r="P313" s="50"/>
      <c r="Q313" s="50"/>
      <c r="R313" s="50"/>
      <c r="S313" s="45"/>
      <c r="V313" s="50"/>
      <c r="Y313" s="50"/>
      <c r="Z313" s="326"/>
      <c r="AA313" s="50"/>
      <c r="AB313" s="50"/>
      <c r="AC313" s="50"/>
      <c r="AD313" s="50"/>
      <c r="AE313" s="50"/>
      <c r="AF313" s="50"/>
      <c r="AI313" s="50"/>
      <c r="AJ313" s="50"/>
      <c r="AK313" s="111"/>
      <c r="AL313" s="50"/>
      <c r="AM313" s="46"/>
      <c r="AN313" s="46"/>
    </row>
    <row r="314" spans="3:40">
      <c r="C314" s="42"/>
      <c r="F314" s="164"/>
      <c r="H314" s="164"/>
      <c r="I314" s="164"/>
      <c r="J314" s="326"/>
      <c r="K314" s="326"/>
      <c r="L314" s="45"/>
      <c r="M314" s="45"/>
      <c r="N314" s="46"/>
      <c r="O314" s="46"/>
      <c r="P314" s="45"/>
      <c r="Q314" s="45"/>
      <c r="R314" s="45"/>
      <c r="S314" s="45"/>
      <c r="T314" s="42"/>
      <c r="V314" s="164"/>
      <c r="Y314" s="164"/>
      <c r="Z314" s="326"/>
      <c r="AA314" s="45"/>
      <c r="AB314" s="45"/>
      <c r="AC314" s="46"/>
      <c r="AD314" s="46"/>
      <c r="AE314" s="45"/>
      <c r="AF314" s="45"/>
      <c r="AI314" s="45"/>
      <c r="AJ314" s="45"/>
      <c r="AL314" s="45"/>
      <c r="AM314" s="46"/>
      <c r="AN314" s="46"/>
    </row>
    <row r="316" spans="3:40">
      <c r="C316" s="42"/>
      <c r="F316" s="164"/>
      <c r="H316" s="164"/>
      <c r="I316" s="164"/>
      <c r="J316" s="316"/>
      <c r="K316" s="316"/>
      <c r="L316" s="45"/>
      <c r="M316" s="45"/>
      <c r="N316" s="46"/>
      <c r="O316" s="46"/>
      <c r="R316" s="45"/>
      <c r="T316" s="42"/>
      <c r="V316" s="45"/>
      <c r="Y316" s="164"/>
      <c r="Z316" s="316"/>
      <c r="AA316" s="45"/>
      <c r="AB316" s="45"/>
      <c r="AC316" s="46"/>
      <c r="AD316" s="46"/>
      <c r="AE316" s="45"/>
      <c r="AF316" s="45"/>
      <c r="AH316" s="51"/>
      <c r="AL316" s="45"/>
      <c r="AM316" s="46"/>
      <c r="AN316" s="46"/>
    </row>
    <row r="317" spans="3:40">
      <c r="F317" s="50"/>
      <c r="H317" s="45"/>
      <c r="I317" s="45"/>
      <c r="J317" s="326"/>
      <c r="K317" s="326"/>
      <c r="L317" s="50"/>
      <c r="M317" s="50"/>
      <c r="N317" s="50"/>
      <c r="O317" s="50"/>
      <c r="P317" s="50"/>
      <c r="Q317" s="50"/>
      <c r="R317" s="50"/>
      <c r="V317" s="50"/>
      <c r="Y317" s="45"/>
      <c r="Z317" s="326"/>
      <c r="AA317" s="50"/>
      <c r="AB317" s="50"/>
      <c r="AC317" s="50"/>
      <c r="AD317" s="50"/>
      <c r="AE317" s="50"/>
      <c r="AF317" s="50"/>
      <c r="AI317" s="50"/>
      <c r="AJ317" s="50"/>
      <c r="AK317" s="111"/>
      <c r="AL317" s="50"/>
      <c r="AM317" s="46"/>
      <c r="AN317" s="46"/>
    </row>
    <row r="318" spans="3:40">
      <c r="C318" s="42"/>
      <c r="F318" s="164"/>
      <c r="H318" s="164"/>
      <c r="I318" s="164"/>
      <c r="J318" s="336"/>
      <c r="K318" s="336"/>
      <c r="L318" s="45"/>
      <c r="M318" s="45"/>
      <c r="N318" s="46"/>
      <c r="O318" s="46"/>
      <c r="P318" s="45"/>
      <c r="Q318" s="45"/>
      <c r="R318" s="45"/>
      <c r="S318" s="45"/>
      <c r="T318" s="42"/>
      <c r="V318" s="164"/>
      <c r="Y318" s="164"/>
      <c r="Z318" s="336"/>
      <c r="AA318" s="45"/>
      <c r="AB318" s="45"/>
      <c r="AC318" s="46"/>
      <c r="AD318" s="46"/>
      <c r="AE318" s="45"/>
      <c r="AF318" s="45"/>
      <c r="AH318" s="46"/>
      <c r="AI318" s="45"/>
      <c r="AJ318" s="45"/>
      <c r="AL318" s="45"/>
      <c r="AM318" s="46"/>
      <c r="AN318" s="46"/>
    </row>
    <row r="319" spans="3:40">
      <c r="C319" s="42"/>
      <c r="F319" s="164"/>
      <c r="H319" s="164"/>
      <c r="I319" s="164"/>
      <c r="J319" s="316"/>
      <c r="K319" s="316"/>
      <c r="L319" s="45"/>
      <c r="M319" s="45"/>
      <c r="N319" s="46"/>
      <c r="O319" s="46"/>
      <c r="P319" s="45"/>
      <c r="Q319" s="45"/>
      <c r="R319" s="45"/>
      <c r="T319" s="42"/>
      <c r="V319" s="164"/>
      <c r="Y319" s="45"/>
      <c r="Z319" s="316"/>
      <c r="AA319" s="45"/>
      <c r="AB319" s="45"/>
      <c r="AC319" s="46"/>
      <c r="AD319" s="46"/>
      <c r="AE319" s="45"/>
      <c r="AF319" s="45"/>
      <c r="AH319" s="51"/>
      <c r="AI319" s="45"/>
      <c r="AJ319" s="45"/>
      <c r="AL319" s="45"/>
      <c r="AM319" s="46"/>
      <c r="AN319" s="46"/>
    </row>
    <row r="320" spans="3:40">
      <c r="C320" s="42"/>
      <c r="F320" s="164"/>
      <c r="H320" s="164"/>
      <c r="I320" s="164"/>
      <c r="J320" s="316"/>
      <c r="K320" s="316"/>
      <c r="L320" s="45"/>
      <c r="M320" s="45"/>
      <c r="N320" s="46"/>
      <c r="O320" s="46"/>
      <c r="P320" s="45"/>
      <c r="Q320" s="45"/>
      <c r="R320" s="45"/>
      <c r="T320" s="42"/>
      <c r="V320" s="164"/>
      <c r="Y320" s="45"/>
      <c r="Z320" s="316"/>
      <c r="AA320" s="45"/>
      <c r="AB320" s="45"/>
      <c r="AC320" s="46"/>
      <c r="AD320" s="46"/>
      <c r="AE320" s="45"/>
      <c r="AF320" s="45"/>
      <c r="AH320" s="51"/>
      <c r="AI320" s="45"/>
      <c r="AJ320" s="45"/>
      <c r="AL320" s="45"/>
      <c r="AM320" s="46"/>
      <c r="AN320" s="46"/>
    </row>
    <row r="321" spans="1:40">
      <c r="F321" s="50"/>
      <c r="H321" s="50"/>
      <c r="I321" s="50"/>
      <c r="J321" s="326"/>
      <c r="K321" s="326"/>
      <c r="L321" s="50"/>
      <c r="M321" s="50"/>
      <c r="N321" s="50"/>
      <c r="O321" s="50"/>
      <c r="P321" s="50"/>
      <c r="Q321" s="50"/>
      <c r="R321" s="50"/>
      <c r="V321" s="50"/>
      <c r="Y321" s="50"/>
      <c r="Z321" s="326"/>
      <c r="AA321" s="50"/>
      <c r="AB321" s="50"/>
      <c r="AC321" s="50"/>
      <c r="AD321" s="50"/>
      <c r="AE321" s="50"/>
      <c r="AF321" s="50"/>
      <c r="AI321" s="50"/>
      <c r="AJ321" s="50"/>
      <c r="AK321" s="111"/>
      <c r="AL321" s="50"/>
      <c r="AM321" s="46"/>
      <c r="AN321" s="46"/>
    </row>
    <row r="322" spans="1:40">
      <c r="C322" s="42"/>
      <c r="F322" s="45"/>
      <c r="H322" s="45"/>
      <c r="I322" s="45"/>
      <c r="J322" s="47"/>
      <c r="K322" s="47"/>
      <c r="L322" s="45"/>
      <c r="M322" s="45"/>
      <c r="N322" s="46"/>
      <c r="O322" s="46"/>
      <c r="P322" s="45"/>
      <c r="Q322" s="45"/>
      <c r="R322" s="45"/>
      <c r="T322" s="42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>
      <c r="F323" s="50"/>
      <c r="H323" s="50"/>
      <c r="I323" s="50"/>
      <c r="J323" s="326"/>
      <c r="K323" s="326"/>
      <c r="L323" s="50"/>
      <c r="M323" s="50"/>
      <c r="N323" s="50"/>
      <c r="O323" s="50"/>
      <c r="P323" s="50"/>
      <c r="Q323" s="50"/>
      <c r="R323" s="50"/>
      <c r="V323" s="50"/>
      <c r="Y323" s="50"/>
      <c r="Z323" s="326"/>
      <c r="AA323" s="50"/>
      <c r="AB323" s="50"/>
      <c r="AC323" s="50"/>
      <c r="AD323" s="50"/>
      <c r="AE323" s="50"/>
      <c r="AF323" s="50"/>
      <c r="AI323" s="50"/>
      <c r="AJ323" s="50"/>
      <c r="AK323" s="111"/>
      <c r="AL323" s="50"/>
      <c r="AM323" s="46"/>
      <c r="AN323" s="46"/>
    </row>
    <row r="324" spans="1:40">
      <c r="C324" s="42"/>
      <c r="F324" s="45"/>
      <c r="H324" s="45"/>
      <c r="I324" s="45"/>
      <c r="J324" s="47"/>
      <c r="K324" s="47"/>
      <c r="L324" s="45"/>
      <c r="M324" s="45"/>
      <c r="N324" s="46"/>
      <c r="O324" s="46"/>
      <c r="P324" s="45"/>
      <c r="Q324" s="45"/>
      <c r="R324" s="45"/>
      <c r="T324" s="42"/>
      <c r="V324" s="45"/>
      <c r="Y324" s="45"/>
      <c r="Z324" s="47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1:40">
      <c r="C325" s="42"/>
      <c r="F325" s="45"/>
      <c r="H325" s="164"/>
      <c r="I325" s="164"/>
      <c r="J325" s="331"/>
      <c r="K325" s="331"/>
      <c r="L325" s="45"/>
      <c r="M325" s="45"/>
      <c r="N325" s="46"/>
      <c r="O325" s="46"/>
      <c r="P325" s="45"/>
      <c r="Q325" s="45"/>
      <c r="R325" s="45"/>
      <c r="T325" s="42"/>
      <c r="V325" s="45"/>
      <c r="Y325" s="45"/>
      <c r="Z325" s="325"/>
      <c r="AA325" s="45"/>
      <c r="AB325" s="45"/>
      <c r="AC325" s="46"/>
      <c r="AD325" s="46"/>
      <c r="AE325" s="45"/>
      <c r="AF325" s="45"/>
      <c r="AH325" s="51"/>
      <c r="AI325" s="45"/>
      <c r="AJ325" s="45"/>
      <c r="AL325" s="45"/>
      <c r="AM325" s="46"/>
      <c r="AN325" s="46"/>
    </row>
    <row r="326" spans="1:40">
      <c r="F326" s="50"/>
      <c r="H326" s="50"/>
      <c r="I326" s="50"/>
      <c r="J326" s="326"/>
      <c r="K326" s="326"/>
      <c r="L326" s="50"/>
      <c r="M326" s="50"/>
      <c r="N326" s="50"/>
      <c r="O326" s="50"/>
      <c r="P326" s="50"/>
      <c r="Q326" s="50"/>
      <c r="R326" s="50"/>
      <c r="V326" s="50"/>
      <c r="Y326" s="50"/>
      <c r="Z326" s="326"/>
      <c r="AA326" s="50"/>
      <c r="AB326" s="50"/>
      <c r="AC326" s="50"/>
      <c r="AD326" s="50"/>
      <c r="AE326" s="50"/>
      <c r="AF326" s="50"/>
      <c r="AI326" s="50"/>
      <c r="AJ326" s="50"/>
      <c r="AK326" s="111"/>
      <c r="AL326" s="50"/>
      <c r="AM326" s="46"/>
      <c r="AN326" s="46"/>
    </row>
    <row r="328" spans="1:40">
      <c r="C328" s="42"/>
      <c r="F328" s="45"/>
      <c r="H328" s="45"/>
      <c r="I328" s="45"/>
      <c r="J328" s="326"/>
      <c r="K328" s="326"/>
      <c r="L328" s="45"/>
      <c r="M328" s="45"/>
      <c r="N328" s="46"/>
      <c r="O328" s="46"/>
      <c r="P328" s="45"/>
      <c r="Q328" s="45"/>
      <c r="R328" s="45"/>
      <c r="S328" s="45"/>
      <c r="T328" s="42"/>
      <c r="V328" s="45"/>
      <c r="Y328" s="45"/>
      <c r="Z328" s="326"/>
      <c r="AA328" s="45"/>
      <c r="AB328" s="45"/>
      <c r="AC328" s="46"/>
      <c r="AD328" s="46"/>
      <c r="AE328" s="45"/>
      <c r="AF328" s="45"/>
      <c r="AH328" s="46"/>
      <c r="AI328" s="45"/>
      <c r="AJ328" s="45"/>
      <c r="AL328" s="45"/>
      <c r="AM328" s="46"/>
      <c r="AN328" s="46"/>
    </row>
    <row r="329" spans="1:40">
      <c r="F329" s="50"/>
      <c r="H329" s="50"/>
      <c r="I329" s="50"/>
      <c r="J329" s="326"/>
      <c r="K329" s="326"/>
      <c r="L329" s="50"/>
      <c r="M329" s="50"/>
      <c r="N329" s="50"/>
      <c r="O329" s="50"/>
      <c r="P329" s="50"/>
      <c r="Q329" s="50"/>
      <c r="R329" s="50"/>
      <c r="S329" s="45"/>
      <c r="V329" s="50"/>
      <c r="Y329" s="50"/>
      <c r="Z329" s="326"/>
      <c r="AA329" s="50"/>
      <c r="AB329" s="50"/>
      <c r="AC329" s="50"/>
      <c r="AD329" s="50"/>
      <c r="AE329" s="50"/>
      <c r="AF329" s="50"/>
      <c r="AI329" s="50"/>
      <c r="AJ329" s="50"/>
      <c r="AK329" s="111"/>
      <c r="AL329" s="50"/>
      <c r="AM329" s="46"/>
      <c r="AN329" s="46"/>
    </row>
    <row r="330" spans="1:40">
      <c r="C330" s="42"/>
      <c r="T330" s="42"/>
    </row>
    <row r="331" spans="1:40">
      <c r="C331" s="42"/>
      <c r="F331" s="45"/>
      <c r="H331" s="45"/>
      <c r="I331" s="45"/>
      <c r="L331" s="45"/>
      <c r="M331" s="45"/>
      <c r="N331" s="46"/>
      <c r="O331" s="46"/>
      <c r="P331" s="164"/>
      <c r="Q331" s="164"/>
      <c r="R331" s="45"/>
      <c r="T331" s="42"/>
      <c r="V331" s="45"/>
      <c r="Y331" s="45"/>
      <c r="AA331" s="45"/>
      <c r="AB331" s="45"/>
      <c r="AC331" s="46"/>
      <c r="AD331" s="46"/>
      <c r="AE331" s="45"/>
      <c r="AF331" s="45"/>
      <c r="AH331" s="46"/>
      <c r="AI331" s="164"/>
      <c r="AJ331" s="164"/>
      <c r="AL331" s="45"/>
      <c r="AM331" s="46"/>
      <c r="AN331" s="46"/>
    </row>
    <row r="332" spans="1:40">
      <c r="F332" s="50"/>
      <c r="H332" s="50"/>
      <c r="I332" s="50"/>
      <c r="J332" s="326"/>
      <c r="K332" s="326"/>
      <c r="L332" s="50"/>
      <c r="M332" s="50"/>
      <c r="N332" s="50"/>
      <c r="O332" s="50"/>
      <c r="P332" s="50"/>
      <c r="Q332" s="50"/>
      <c r="R332" s="50"/>
      <c r="V332" s="50"/>
      <c r="Y332" s="50"/>
      <c r="Z332" s="326"/>
      <c r="AA332" s="50"/>
      <c r="AB332" s="50"/>
      <c r="AC332" s="50"/>
      <c r="AD332" s="50"/>
      <c r="AE332" s="50"/>
      <c r="AF332" s="50"/>
      <c r="AI332" s="50"/>
      <c r="AJ332" s="50"/>
      <c r="AK332" s="111"/>
      <c r="AL332" s="50"/>
    </row>
    <row r="334" spans="1:40">
      <c r="C334" s="42"/>
      <c r="L334" s="45"/>
      <c r="M334" s="45"/>
      <c r="N334" s="45"/>
      <c r="O334" s="45"/>
      <c r="P334" s="45"/>
      <c r="Q334" s="45"/>
      <c r="R334" s="45"/>
      <c r="S334" s="45"/>
      <c r="T334" s="42"/>
      <c r="AA334" s="45"/>
      <c r="AB334" s="45"/>
      <c r="AC334" s="45"/>
      <c r="AD334" s="45"/>
      <c r="AI334" s="45"/>
      <c r="AJ334" s="45"/>
      <c r="AL334" s="45"/>
    </row>
    <row r="335" spans="1:40">
      <c r="A335" s="42"/>
    </row>
    <row r="337" spans="1:40">
      <c r="H337" s="42"/>
      <c r="I337" s="42"/>
      <c r="Y337" s="42"/>
    </row>
    <row r="339" spans="1:40">
      <c r="L339" s="42"/>
      <c r="M339" s="42"/>
      <c r="AA339" s="42"/>
      <c r="AB339" s="42"/>
    </row>
    <row r="340" spans="1:40">
      <c r="R340" s="42"/>
      <c r="AK340" s="110"/>
      <c r="AL340" s="42"/>
    </row>
    <row r="341" spans="1:40">
      <c r="R341" s="42"/>
      <c r="AK341" s="110"/>
      <c r="AL341" s="42"/>
    </row>
    <row r="342" spans="1:40">
      <c r="A342" s="42"/>
      <c r="R342" s="42"/>
      <c r="AK342" s="110"/>
      <c r="AL342" s="42"/>
    </row>
    <row r="343" spans="1:40">
      <c r="L343" s="42"/>
      <c r="M343" s="42"/>
      <c r="AA343" s="42"/>
      <c r="AB343" s="42"/>
    </row>
    <row r="344" spans="1:40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107"/>
      <c r="AH344" s="49"/>
      <c r="AI344" s="49"/>
      <c r="AJ344" s="49"/>
      <c r="AK344" s="107"/>
      <c r="AL344" s="49"/>
      <c r="AM344" s="49"/>
      <c r="AN344" s="49"/>
    </row>
    <row r="345" spans="1:40">
      <c r="L345" s="44"/>
      <c r="M345" s="44"/>
      <c r="N345" s="44"/>
      <c r="O345" s="44"/>
      <c r="R345" s="44"/>
      <c r="AA345" s="44"/>
      <c r="AB345" s="44"/>
      <c r="AC345" s="44"/>
      <c r="AD345" s="44"/>
      <c r="AE345" s="44"/>
      <c r="AF345" s="44"/>
      <c r="AG345" s="102"/>
      <c r="AH345" s="44"/>
      <c r="AK345" s="102"/>
      <c r="AL345" s="44"/>
      <c r="AM345" s="44"/>
      <c r="AN345" s="44"/>
    </row>
    <row r="346" spans="1:40">
      <c r="L346" s="44"/>
      <c r="M346" s="44"/>
      <c r="N346" s="44"/>
      <c r="O346" s="44"/>
      <c r="R346" s="44"/>
      <c r="Z346" s="44"/>
      <c r="AA346" s="44"/>
      <c r="AB346" s="44"/>
      <c r="AC346" s="44"/>
      <c r="AD346" s="44"/>
      <c r="AE346" s="44"/>
      <c r="AF346" s="44"/>
      <c r="AG346" s="102"/>
      <c r="AH346" s="44"/>
      <c r="AK346" s="102"/>
      <c r="AL346" s="44"/>
      <c r="AM346" s="44"/>
      <c r="AN346" s="44"/>
    </row>
    <row r="347" spans="1:40">
      <c r="A347" s="44"/>
      <c r="C347" s="44"/>
      <c r="D347" s="44"/>
      <c r="E347" s="44"/>
      <c r="F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Z347" s="44"/>
      <c r="AA347" s="44"/>
      <c r="AB347" s="44"/>
      <c r="AC347" s="44"/>
      <c r="AD347" s="44"/>
      <c r="AE347" s="44"/>
      <c r="AF347" s="44"/>
      <c r="AG347" s="102"/>
      <c r="AH347" s="44"/>
      <c r="AI347" s="44"/>
      <c r="AJ347" s="44"/>
      <c r="AK347" s="102"/>
      <c r="AL347" s="44"/>
      <c r="AM347" s="44"/>
      <c r="AN347" s="44"/>
    </row>
    <row r="348" spans="1:40">
      <c r="A348" s="44"/>
      <c r="C348" s="44"/>
      <c r="D348" s="44"/>
      <c r="E348" s="44"/>
      <c r="F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T348" s="44"/>
      <c r="U348" s="44"/>
      <c r="V348" s="44"/>
      <c r="Y348" s="44"/>
      <c r="Z348" s="44"/>
      <c r="AA348" s="44"/>
      <c r="AB348" s="44"/>
      <c r="AC348" s="44"/>
      <c r="AD348" s="44"/>
      <c r="AE348" s="44"/>
      <c r="AF348" s="44"/>
      <c r="AG348" s="102"/>
      <c r="AH348" s="44"/>
      <c r="AI348" s="44"/>
      <c r="AJ348" s="44"/>
      <c r="AK348" s="102"/>
      <c r="AL348" s="44"/>
      <c r="AM348" s="44"/>
      <c r="AN348" s="44"/>
    </row>
    <row r="349" spans="1:40">
      <c r="C349" s="44"/>
      <c r="D349" s="44"/>
      <c r="E349" s="44"/>
      <c r="F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T349" s="44"/>
      <c r="U349" s="44"/>
      <c r="V349" s="44"/>
      <c r="Y349" s="44"/>
      <c r="Z349" s="44"/>
      <c r="AA349" s="44"/>
      <c r="AB349" s="44"/>
      <c r="AC349" s="44"/>
      <c r="AD349" s="44"/>
      <c r="AE349" s="44"/>
      <c r="AF349" s="44"/>
      <c r="AG349" s="102"/>
      <c r="AH349" s="44"/>
      <c r="AI349" s="44"/>
      <c r="AJ349" s="44"/>
      <c r="AK349" s="102"/>
      <c r="AL349" s="44"/>
      <c r="AM349" s="44"/>
      <c r="AN349" s="44"/>
    </row>
    <row r="350" spans="1:40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107"/>
      <c r="AH350" s="49"/>
      <c r="AI350" s="49"/>
      <c r="AJ350" s="49"/>
      <c r="AK350" s="107"/>
      <c r="AL350" s="49"/>
      <c r="AM350" s="49"/>
      <c r="AN350" s="49"/>
    </row>
    <row r="351" spans="1:40"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Y351" s="44"/>
      <c r="Z351" s="44"/>
      <c r="AA351" s="44"/>
      <c r="AB351" s="44"/>
      <c r="AC351" s="44"/>
      <c r="AD351" s="44"/>
      <c r="AE351" s="44"/>
      <c r="AF351" s="44"/>
      <c r="AG351" s="102"/>
      <c r="AH351" s="44"/>
      <c r="AI351" s="44"/>
      <c r="AJ351" s="44"/>
      <c r="AK351" s="102"/>
      <c r="AL351" s="44"/>
      <c r="AM351" s="44"/>
      <c r="AN351" s="44"/>
    </row>
    <row r="352" spans="1:40">
      <c r="C352" s="42"/>
      <c r="D352" s="42"/>
      <c r="E352" s="42"/>
      <c r="T352" s="42"/>
      <c r="U352" s="42"/>
    </row>
    <row r="353" spans="3:40">
      <c r="D353" s="42"/>
      <c r="E353" s="42"/>
      <c r="U353" s="42"/>
    </row>
    <row r="355" spans="3:40">
      <c r="C355" s="42"/>
      <c r="T355" s="42"/>
    </row>
    <row r="356" spans="3:40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164"/>
      <c r="W356" s="45"/>
      <c r="X356" s="45"/>
      <c r="Y356" s="164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>
      <c r="C357" s="42"/>
      <c r="F357" s="45"/>
      <c r="H357" s="45"/>
      <c r="I357" s="45"/>
      <c r="J357" s="326"/>
      <c r="K357" s="326"/>
      <c r="L357" s="45"/>
      <c r="M357" s="45"/>
      <c r="N357" s="46"/>
      <c r="O357" s="46"/>
      <c r="P357" s="45"/>
      <c r="Q357" s="45"/>
      <c r="R357" s="45"/>
      <c r="T357" s="42"/>
      <c r="V357" s="164"/>
      <c r="W357" s="45"/>
      <c r="X357" s="45"/>
      <c r="Y357" s="164"/>
      <c r="Z357" s="326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164"/>
      <c r="W358" s="45"/>
      <c r="X358" s="45"/>
      <c r="Y358" s="164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164"/>
      <c r="W359" s="45"/>
      <c r="X359" s="45"/>
      <c r="Y359" s="164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>
      <c r="C360" s="42"/>
      <c r="F360" s="164"/>
      <c r="H360" s="164"/>
      <c r="I360" s="164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164"/>
      <c r="W360" s="45"/>
      <c r="X360" s="45"/>
      <c r="Y360" s="164"/>
      <c r="Z360" s="132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>
      <c r="C361" s="42"/>
      <c r="F361" s="45"/>
      <c r="H361" s="45"/>
      <c r="I361" s="45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164"/>
      <c r="W361" s="45"/>
      <c r="X361" s="45"/>
      <c r="Y361" s="164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>
      <c r="C362" s="42"/>
      <c r="F362" s="45"/>
      <c r="H362" s="45"/>
      <c r="I362" s="45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164"/>
      <c r="W362" s="45"/>
      <c r="X362" s="45"/>
      <c r="Y362" s="164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>
      <c r="F363" s="54"/>
      <c r="H363" s="338"/>
      <c r="I363" s="338"/>
      <c r="J363" s="132"/>
      <c r="K363" s="132"/>
      <c r="L363" s="54"/>
      <c r="M363" s="54"/>
      <c r="N363" s="50"/>
      <c r="O363" s="50"/>
      <c r="P363" s="54"/>
      <c r="Q363" s="54"/>
      <c r="R363" s="54"/>
      <c r="V363" s="54"/>
      <c r="W363" s="45"/>
      <c r="X363" s="45"/>
      <c r="Y363" s="54"/>
      <c r="Z363" s="132"/>
      <c r="AA363" s="54"/>
      <c r="AB363" s="54"/>
      <c r="AC363" s="55"/>
      <c r="AD363" s="55"/>
      <c r="AE363" s="54"/>
      <c r="AF363" s="54"/>
      <c r="AH363" s="51"/>
      <c r="AI363" s="54"/>
      <c r="AJ363" s="54"/>
      <c r="AK363" s="107"/>
      <c r="AL363" s="54"/>
      <c r="AM363" s="46"/>
      <c r="AN363" s="46"/>
    </row>
    <row r="364" spans="3:40">
      <c r="C364" s="42"/>
      <c r="F364" s="45"/>
      <c r="H364" s="45"/>
      <c r="I364" s="45"/>
      <c r="J364" s="132"/>
      <c r="K364" s="132"/>
      <c r="L364" s="45"/>
      <c r="M364" s="45"/>
      <c r="N364" s="51"/>
      <c r="O364" s="51"/>
      <c r="P364" s="45"/>
      <c r="Q364" s="45"/>
      <c r="R364" s="45"/>
      <c r="T364" s="44"/>
      <c r="V364" s="45"/>
      <c r="W364" s="45"/>
      <c r="X364" s="45"/>
      <c r="Y364" s="45"/>
      <c r="Z364" s="132"/>
      <c r="AA364" s="45"/>
      <c r="AB364" s="45"/>
      <c r="AC364" s="51"/>
      <c r="AD364" s="51"/>
      <c r="AE364" s="45"/>
      <c r="AF364" s="45"/>
      <c r="AH364" s="51"/>
      <c r="AI364" s="45"/>
      <c r="AJ364" s="45"/>
      <c r="AL364" s="45"/>
      <c r="AM364" s="46"/>
      <c r="AN364" s="46"/>
    </row>
    <row r="365" spans="3:40">
      <c r="F365" s="49"/>
      <c r="H365" s="49"/>
      <c r="I365" s="49"/>
      <c r="L365" s="49"/>
      <c r="M365" s="49"/>
      <c r="N365" s="55"/>
      <c r="O365" s="55"/>
      <c r="P365" s="54"/>
      <c r="Q365" s="54"/>
      <c r="R365" s="54"/>
      <c r="V365" s="54"/>
      <c r="Y365" s="54"/>
      <c r="Z365" s="326"/>
      <c r="AA365" s="54"/>
      <c r="AB365" s="54"/>
      <c r="AC365" s="54"/>
      <c r="AD365" s="54"/>
      <c r="AE365" s="54"/>
      <c r="AF365" s="54"/>
      <c r="AI365" s="54"/>
      <c r="AJ365" s="54"/>
      <c r="AK365" s="107"/>
      <c r="AL365" s="54"/>
      <c r="AM365" s="55"/>
      <c r="AN365" s="55"/>
    </row>
    <row r="370" spans="1:40">
      <c r="N370" s="45"/>
      <c r="O370" s="45"/>
      <c r="P370" s="45"/>
      <c r="Q370" s="45"/>
      <c r="R370" s="45"/>
      <c r="V370" s="45"/>
      <c r="Y370" s="45"/>
      <c r="Z370" s="47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1:40">
      <c r="C371" s="42"/>
      <c r="D371" s="42"/>
      <c r="E371" s="42"/>
      <c r="J371" s="56"/>
      <c r="K371" s="56"/>
      <c r="T371" s="42"/>
      <c r="U371" s="42"/>
      <c r="Z371" s="56"/>
      <c r="AE371" s="45"/>
      <c r="AF371" s="45"/>
      <c r="AI371" s="45"/>
      <c r="AJ371" s="45"/>
      <c r="AL371" s="45"/>
      <c r="AM371" s="46"/>
      <c r="AN371" s="46"/>
    </row>
    <row r="372" spans="1:40">
      <c r="D372" s="42"/>
      <c r="E372" s="42"/>
      <c r="F372" s="45"/>
      <c r="H372" s="45"/>
      <c r="I372" s="45"/>
      <c r="J372" s="132"/>
      <c r="K372" s="132"/>
      <c r="L372" s="45"/>
      <c r="M372" s="45"/>
      <c r="N372" s="46"/>
      <c r="O372" s="46"/>
      <c r="P372" s="45"/>
      <c r="Q372" s="45"/>
      <c r="R372" s="45"/>
      <c r="U372" s="42"/>
      <c r="V372" s="45"/>
      <c r="Y372" s="45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1:40">
      <c r="F373" s="45"/>
      <c r="H373" s="45"/>
      <c r="I373" s="45"/>
      <c r="J373" s="326"/>
      <c r="K373" s="326"/>
      <c r="L373" s="45"/>
      <c r="M373" s="45"/>
      <c r="N373" s="45"/>
      <c r="O373" s="45"/>
      <c r="P373" s="45"/>
      <c r="Q373" s="45"/>
      <c r="R373" s="45"/>
      <c r="V373" s="45"/>
      <c r="Y373" s="45"/>
      <c r="Z373" s="326"/>
      <c r="AA373" s="45"/>
      <c r="AB373" s="45"/>
      <c r="AC373" s="45"/>
      <c r="AD373" s="45"/>
      <c r="AE373" s="45"/>
      <c r="AF373" s="45"/>
      <c r="AH373" s="51"/>
      <c r="AI373" s="164"/>
      <c r="AJ373" s="164"/>
      <c r="AL373" s="45"/>
      <c r="AM373" s="46"/>
      <c r="AN373" s="46"/>
    </row>
    <row r="374" spans="1:40">
      <c r="C374" s="42"/>
      <c r="F374" s="164"/>
      <c r="H374" s="164"/>
      <c r="I374" s="164"/>
      <c r="J374" s="325"/>
      <c r="K374" s="325"/>
      <c r="L374" s="45"/>
      <c r="M374" s="45"/>
      <c r="N374" s="46"/>
      <c r="O374" s="46"/>
      <c r="P374" s="45"/>
      <c r="Q374" s="45"/>
      <c r="R374" s="45"/>
      <c r="T374" s="42"/>
      <c r="V374" s="164"/>
      <c r="Y374" s="164"/>
      <c r="Z374" s="325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1:40">
      <c r="F375" s="49"/>
      <c r="H375" s="49"/>
      <c r="I375" s="49"/>
      <c r="L375" s="49"/>
      <c r="M375" s="49"/>
      <c r="N375" s="49"/>
      <c r="O375" s="49"/>
      <c r="P375" s="49"/>
      <c r="Q375" s="49"/>
      <c r="R375" s="49"/>
      <c r="V375" s="49"/>
      <c r="Y375" s="49"/>
      <c r="AA375" s="49"/>
      <c r="AB375" s="49"/>
      <c r="AC375" s="49"/>
      <c r="AD375" s="49"/>
      <c r="AE375" s="49"/>
      <c r="AF375" s="49"/>
      <c r="AG375" s="107"/>
      <c r="AH375" s="49"/>
      <c r="AI375" s="49"/>
      <c r="AJ375" s="49"/>
      <c r="AK375" s="107"/>
      <c r="AL375" s="49"/>
      <c r="AM375" s="49"/>
      <c r="AN375" s="49"/>
    </row>
    <row r="376" spans="1:40">
      <c r="C376" s="44"/>
      <c r="F376" s="164"/>
      <c r="H376" s="164"/>
      <c r="I376" s="164"/>
      <c r="J376" s="316"/>
      <c r="K376" s="316"/>
      <c r="L376" s="164"/>
      <c r="M376" s="164"/>
      <c r="N376" s="46"/>
      <c r="O376" s="46"/>
      <c r="P376" s="164"/>
      <c r="Q376" s="164"/>
      <c r="R376" s="164"/>
      <c r="T376" s="44"/>
      <c r="V376" s="45"/>
      <c r="Y376" s="45"/>
      <c r="Z376" s="47"/>
      <c r="AA376" s="45"/>
      <c r="AB376" s="45"/>
      <c r="AC376" s="46"/>
      <c r="AD376" s="46"/>
      <c r="AH376" s="51"/>
      <c r="AI376" s="45"/>
      <c r="AJ376" s="45"/>
      <c r="AL376" s="45"/>
      <c r="AM376" s="46"/>
      <c r="AN376" s="46"/>
    </row>
    <row r="377" spans="1:40">
      <c r="F377" s="54"/>
      <c r="H377" s="54"/>
      <c r="I377" s="54"/>
      <c r="J377" s="326"/>
      <c r="K377" s="326"/>
      <c r="L377" s="54"/>
      <c r="M377" s="54"/>
      <c r="N377" s="54"/>
      <c r="O377" s="54"/>
      <c r="P377" s="54"/>
      <c r="Q377" s="54"/>
      <c r="R377" s="54"/>
      <c r="V377" s="49"/>
      <c r="Y377" s="49"/>
      <c r="AA377" s="49"/>
      <c r="AB377" s="49"/>
      <c r="AC377" s="49"/>
      <c r="AD377" s="49"/>
      <c r="AE377" s="49"/>
      <c r="AF377" s="49"/>
      <c r="AG377" s="107"/>
      <c r="AH377" s="49"/>
      <c r="AI377" s="49"/>
      <c r="AJ377" s="49"/>
      <c r="AK377" s="107"/>
      <c r="AL377" s="49"/>
      <c r="AM377" s="49"/>
      <c r="AN377" s="49"/>
    </row>
    <row r="378" spans="1:40">
      <c r="F378" s="164"/>
      <c r="H378" s="164"/>
      <c r="I378" s="164"/>
      <c r="J378" s="336"/>
      <c r="K378" s="336"/>
      <c r="L378" s="45"/>
      <c r="M378" s="45"/>
      <c r="N378" s="46"/>
      <c r="O378" s="46"/>
      <c r="P378" s="45"/>
      <c r="Q378" s="45"/>
      <c r="R378" s="45"/>
    </row>
    <row r="379" spans="1:40">
      <c r="A379" s="42"/>
      <c r="F379" s="164"/>
      <c r="H379" s="164"/>
      <c r="I379" s="164"/>
      <c r="J379" s="316"/>
      <c r="K379" s="316"/>
      <c r="L379" s="45"/>
      <c r="M379" s="45"/>
      <c r="N379" s="46"/>
      <c r="O379" s="46"/>
      <c r="P379" s="45"/>
      <c r="Q379" s="45"/>
      <c r="R379" s="45"/>
    </row>
    <row r="380" spans="1:40">
      <c r="F380" s="164"/>
      <c r="H380" s="164"/>
      <c r="I380" s="164"/>
      <c r="J380" s="316"/>
      <c r="K380" s="316"/>
      <c r="L380" s="45"/>
      <c r="M380" s="45"/>
      <c r="N380" s="46"/>
      <c r="O380" s="46"/>
      <c r="P380" s="45"/>
      <c r="Q380" s="45"/>
      <c r="R380" s="45"/>
    </row>
    <row r="381" spans="1:40">
      <c r="A381" s="42"/>
    </row>
    <row r="384" spans="1:40">
      <c r="H384" s="42"/>
      <c r="I384" s="42"/>
      <c r="Y384" s="42"/>
    </row>
    <row r="386" spans="1:40">
      <c r="L386" s="42"/>
      <c r="M386" s="42"/>
      <c r="AA386" s="42"/>
      <c r="AB386" s="42"/>
    </row>
    <row r="387" spans="1:40">
      <c r="R387" s="42"/>
      <c r="AK387" s="110"/>
      <c r="AL387" s="42"/>
    </row>
    <row r="388" spans="1:40">
      <c r="R388" s="42"/>
      <c r="AK388" s="110"/>
      <c r="AL388" s="42"/>
    </row>
    <row r="389" spans="1:40">
      <c r="A389" s="42"/>
      <c r="R389" s="42"/>
      <c r="AK389" s="110"/>
      <c r="AL389" s="42"/>
    </row>
    <row r="390" spans="1:40">
      <c r="L390" s="42"/>
      <c r="M390" s="42"/>
      <c r="AA390" s="42"/>
      <c r="AB390" s="42"/>
    </row>
    <row r="391" spans="1:40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107"/>
      <c r="AH391" s="49"/>
      <c r="AI391" s="49"/>
      <c r="AJ391" s="49"/>
      <c r="AK391" s="107"/>
      <c r="AL391" s="49"/>
      <c r="AM391" s="49"/>
      <c r="AN391" s="49"/>
    </row>
    <row r="392" spans="1:40">
      <c r="L392" s="44"/>
      <c r="M392" s="44"/>
      <c r="N392" s="44"/>
      <c r="O392" s="44"/>
      <c r="R392" s="44"/>
      <c r="AA392" s="44"/>
      <c r="AB392" s="44"/>
      <c r="AC392" s="44"/>
      <c r="AD392" s="44"/>
      <c r="AE392" s="44"/>
      <c r="AF392" s="44"/>
      <c r="AG392" s="102"/>
      <c r="AH392" s="44"/>
      <c r="AK392" s="102"/>
      <c r="AL392" s="44"/>
      <c r="AM392" s="44"/>
      <c r="AN392" s="44"/>
    </row>
    <row r="393" spans="1:40">
      <c r="L393" s="44"/>
      <c r="M393" s="44"/>
      <c r="N393" s="44"/>
      <c r="O393" s="44"/>
      <c r="R393" s="44"/>
      <c r="Z393" s="44"/>
      <c r="AA393" s="44"/>
      <c r="AB393" s="44"/>
      <c r="AC393" s="44"/>
      <c r="AD393" s="44"/>
      <c r="AE393" s="44"/>
      <c r="AF393" s="44"/>
      <c r="AG393" s="102"/>
      <c r="AH393" s="44"/>
      <c r="AK393" s="102"/>
      <c r="AL393" s="44"/>
      <c r="AM393" s="44"/>
      <c r="AN393" s="44"/>
    </row>
    <row r="394" spans="1:40">
      <c r="A394" s="44"/>
      <c r="C394" s="44"/>
      <c r="D394" s="44"/>
      <c r="E394" s="44"/>
      <c r="F394" s="44"/>
      <c r="J394" s="44"/>
      <c r="K394" s="44"/>
      <c r="L394" s="44"/>
      <c r="M394" s="44"/>
      <c r="N394" s="44"/>
      <c r="O394" s="44"/>
      <c r="P394" s="44"/>
      <c r="Q394" s="44"/>
      <c r="R394" s="44"/>
      <c r="T394" s="44"/>
      <c r="U394" s="44"/>
      <c r="V394" s="44"/>
      <c r="Z394" s="44"/>
      <c r="AA394" s="44"/>
      <c r="AB394" s="44"/>
      <c r="AC394" s="44"/>
      <c r="AD394" s="44"/>
      <c r="AE394" s="44"/>
      <c r="AF394" s="44"/>
      <c r="AG394" s="102"/>
      <c r="AH394" s="44"/>
      <c r="AI394" s="44"/>
      <c r="AJ394" s="44"/>
      <c r="AK394" s="102"/>
      <c r="AL394" s="44"/>
      <c r="AM394" s="44"/>
      <c r="AN394" s="44"/>
    </row>
    <row r="395" spans="1:40">
      <c r="A395" s="44"/>
      <c r="C395" s="44"/>
      <c r="D395" s="44"/>
      <c r="E395" s="44"/>
      <c r="F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T395" s="44"/>
      <c r="U395" s="44"/>
      <c r="V395" s="44"/>
      <c r="Y395" s="44"/>
      <c r="Z395" s="44"/>
      <c r="AA395" s="44"/>
      <c r="AB395" s="44"/>
      <c r="AC395" s="44"/>
      <c r="AD395" s="44"/>
      <c r="AE395" s="44"/>
      <c r="AF395" s="44"/>
      <c r="AG395" s="102"/>
      <c r="AH395" s="44"/>
      <c r="AI395" s="44"/>
      <c r="AJ395" s="44"/>
      <c r="AK395" s="102"/>
      <c r="AL395" s="44"/>
      <c r="AM395" s="44"/>
      <c r="AN395" s="44"/>
    </row>
    <row r="396" spans="1:40">
      <c r="C396" s="44"/>
      <c r="D396" s="44"/>
      <c r="E396" s="44"/>
      <c r="F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T396" s="44"/>
      <c r="U396" s="44"/>
      <c r="V396" s="44"/>
      <c r="Y396" s="44"/>
      <c r="Z396" s="44"/>
      <c r="AA396" s="44"/>
      <c r="AB396" s="44"/>
      <c r="AC396" s="44"/>
      <c r="AD396" s="44"/>
      <c r="AE396" s="44"/>
      <c r="AF396" s="44"/>
      <c r="AG396" s="102"/>
      <c r="AH396" s="44"/>
      <c r="AI396" s="44"/>
      <c r="AJ396" s="44"/>
      <c r="AK396" s="102"/>
      <c r="AL396" s="44"/>
      <c r="AM396" s="44"/>
      <c r="AN396" s="44"/>
    </row>
    <row r="397" spans="1:40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107"/>
      <c r="AH397" s="49"/>
      <c r="AI397" s="49"/>
      <c r="AJ397" s="49"/>
      <c r="AK397" s="107"/>
      <c r="AL397" s="49"/>
      <c r="AM397" s="49"/>
      <c r="AN397" s="49"/>
    </row>
    <row r="398" spans="1:40"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Y398" s="44"/>
      <c r="Z398" s="44"/>
      <c r="AA398" s="44"/>
      <c r="AB398" s="44"/>
      <c r="AC398" s="44"/>
      <c r="AD398" s="44"/>
      <c r="AE398" s="44"/>
      <c r="AF398" s="44"/>
      <c r="AG398" s="102"/>
      <c r="AH398" s="44"/>
      <c r="AI398" s="44"/>
      <c r="AJ398" s="44"/>
      <c r="AK398" s="102"/>
      <c r="AL398" s="44"/>
      <c r="AM398" s="44"/>
      <c r="AN398" s="44"/>
    </row>
    <row r="399" spans="1:40">
      <c r="C399" s="42"/>
      <c r="D399" s="42"/>
      <c r="E399" s="42"/>
      <c r="T399" s="42"/>
      <c r="U399" s="42"/>
    </row>
    <row r="401" spans="3:40">
      <c r="C401" s="42"/>
      <c r="T401" s="42"/>
    </row>
    <row r="402" spans="3:40">
      <c r="C402" s="42"/>
      <c r="F402" s="164"/>
      <c r="H402" s="164"/>
      <c r="I402" s="164"/>
      <c r="J402" s="326"/>
      <c r="K402" s="326"/>
      <c r="L402" s="45"/>
      <c r="M402" s="45"/>
      <c r="N402" s="46"/>
      <c r="O402" s="46"/>
      <c r="P402" s="45"/>
      <c r="Q402" s="45"/>
      <c r="R402" s="45"/>
      <c r="T402" s="42"/>
      <c r="V402" s="164"/>
      <c r="Y402" s="164"/>
      <c r="Z402" s="326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>
      <c r="C403" s="42"/>
      <c r="T403" s="42"/>
    </row>
    <row r="404" spans="3:40">
      <c r="C404" s="42"/>
      <c r="F404" s="164"/>
      <c r="H404" s="164"/>
      <c r="I404" s="164"/>
      <c r="J404" s="132"/>
      <c r="K404" s="132"/>
      <c r="L404" s="45"/>
      <c r="M404" s="45"/>
      <c r="N404" s="46"/>
      <c r="O404" s="46"/>
      <c r="P404" s="45"/>
      <c r="Q404" s="45"/>
      <c r="R404" s="45"/>
      <c r="T404" s="42"/>
      <c r="V404" s="45"/>
      <c r="Y404" s="45"/>
      <c r="Z404" s="132"/>
      <c r="AA404" s="45"/>
      <c r="AB404" s="45"/>
      <c r="AC404" s="46"/>
      <c r="AD404" s="46"/>
      <c r="AE404" s="45"/>
      <c r="AF404" s="45"/>
      <c r="AH404" s="51"/>
      <c r="AI404" s="45"/>
      <c r="AJ404" s="45"/>
      <c r="AL404" s="45"/>
      <c r="AM404" s="46"/>
      <c r="AN404" s="46"/>
    </row>
    <row r="405" spans="3:40">
      <c r="C405" s="42"/>
      <c r="F405" s="164"/>
      <c r="H405" s="164"/>
      <c r="I405" s="164"/>
      <c r="J405" s="132"/>
      <c r="K405" s="132"/>
      <c r="L405" s="45"/>
      <c r="M405" s="45"/>
      <c r="N405" s="46"/>
      <c r="O405" s="46"/>
      <c r="P405" s="45"/>
      <c r="Q405" s="45"/>
      <c r="R405" s="45"/>
      <c r="T405" s="42"/>
      <c r="V405" s="45"/>
      <c r="Y405" s="45"/>
      <c r="Z405" s="132"/>
      <c r="AA405" s="45"/>
      <c r="AB405" s="45"/>
      <c r="AC405" s="46"/>
      <c r="AD405" s="46"/>
      <c r="AE405" s="45"/>
      <c r="AF405" s="45"/>
      <c r="AH405" s="51"/>
      <c r="AI405" s="45"/>
      <c r="AJ405" s="45"/>
      <c r="AL405" s="45"/>
      <c r="AM405" s="46"/>
      <c r="AN405" s="46"/>
    </row>
    <row r="406" spans="3:40">
      <c r="C406" s="42"/>
      <c r="F406" s="164"/>
      <c r="H406" s="164"/>
      <c r="I406" s="164"/>
      <c r="J406" s="132"/>
      <c r="K406" s="132"/>
      <c r="L406" s="45"/>
      <c r="M406" s="45"/>
      <c r="N406" s="46"/>
      <c r="O406" s="46"/>
      <c r="P406" s="45"/>
      <c r="Q406" s="45"/>
      <c r="R406" s="45"/>
      <c r="T406" s="42"/>
      <c r="V406" s="45"/>
      <c r="Y406" s="45"/>
      <c r="Z406" s="132"/>
      <c r="AA406" s="45"/>
      <c r="AB406" s="45"/>
      <c r="AC406" s="46"/>
      <c r="AD406" s="46"/>
      <c r="AE406" s="45"/>
      <c r="AF406" s="45"/>
      <c r="AH406" s="51"/>
      <c r="AI406" s="45"/>
      <c r="AJ406" s="45"/>
      <c r="AL406" s="45"/>
      <c r="AM406" s="46"/>
      <c r="AN406" s="46"/>
    </row>
    <row r="407" spans="3:40">
      <c r="C407" s="42"/>
      <c r="F407" s="164"/>
      <c r="H407" s="164"/>
      <c r="I407" s="164"/>
      <c r="J407" s="132"/>
      <c r="K407" s="132"/>
      <c r="L407" s="45"/>
      <c r="M407" s="45"/>
      <c r="N407" s="46"/>
      <c r="O407" s="46"/>
      <c r="P407" s="45"/>
      <c r="Q407" s="45"/>
      <c r="R407" s="45"/>
      <c r="T407" s="42"/>
      <c r="V407" s="45"/>
      <c r="Y407" s="45"/>
      <c r="Z407" s="132"/>
      <c r="AA407" s="45"/>
      <c r="AB407" s="45"/>
      <c r="AC407" s="46"/>
      <c r="AD407" s="46"/>
      <c r="AE407" s="45"/>
      <c r="AF407" s="45"/>
      <c r="AH407" s="51"/>
      <c r="AI407" s="45"/>
      <c r="AJ407" s="45"/>
      <c r="AL407" s="45"/>
      <c r="AM407" s="46"/>
      <c r="AN407" s="46"/>
    </row>
    <row r="408" spans="3:40">
      <c r="C408" s="42"/>
      <c r="J408" s="56"/>
      <c r="K408" s="56"/>
      <c r="T408" s="42"/>
      <c r="Z408" s="56"/>
    </row>
    <row r="409" spans="3:40">
      <c r="C409" s="42"/>
      <c r="F409" s="164"/>
      <c r="H409" s="164"/>
      <c r="I409" s="164"/>
      <c r="J409" s="132"/>
      <c r="K409" s="132"/>
      <c r="L409" s="45"/>
      <c r="M409" s="45"/>
      <c r="N409" s="46"/>
      <c r="O409" s="46"/>
      <c r="P409" s="45"/>
      <c r="Q409" s="45"/>
      <c r="R409" s="45"/>
      <c r="T409" s="42"/>
      <c r="V409" s="45"/>
      <c r="Y409" s="45"/>
      <c r="Z409" s="132"/>
      <c r="AA409" s="45"/>
      <c r="AB409" s="45"/>
      <c r="AC409" s="46"/>
      <c r="AD409" s="46"/>
      <c r="AE409" s="45"/>
      <c r="AF409" s="45"/>
      <c r="AH409" s="51"/>
      <c r="AI409" s="45"/>
      <c r="AJ409" s="45"/>
      <c r="AL409" s="45"/>
      <c r="AM409" s="46"/>
      <c r="AN409" s="46"/>
    </row>
    <row r="410" spans="3:40">
      <c r="C410" s="42"/>
      <c r="F410" s="164"/>
      <c r="H410" s="164"/>
      <c r="I410" s="164"/>
      <c r="J410" s="132"/>
      <c r="K410" s="132"/>
      <c r="L410" s="45"/>
      <c r="M410" s="45"/>
      <c r="N410" s="46"/>
      <c r="O410" s="46"/>
      <c r="P410" s="45"/>
      <c r="Q410" s="45"/>
      <c r="R410" s="45"/>
      <c r="T410" s="42"/>
      <c r="V410" s="45"/>
      <c r="Y410" s="45"/>
      <c r="Z410" s="132"/>
      <c r="AA410" s="45"/>
      <c r="AB410" s="45"/>
      <c r="AC410" s="46"/>
      <c r="AD410" s="46"/>
      <c r="AE410" s="45"/>
      <c r="AF410" s="45"/>
      <c r="AH410" s="51"/>
      <c r="AI410" s="45"/>
      <c r="AJ410" s="45"/>
      <c r="AL410" s="45"/>
      <c r="AM410" s="46"/>
      <c r="AN410" s="46"/>
    </row>
    <row r="411" spans="3:40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>
      <c r="C412" s="42"/>
      <c r="J412" s="56"/>
      <c r="K412" s="56"/>
      <c r="T412" s="42"/>
      <c r="Z412" s="56"/>
    </row>
    <row r="413" spans="3:40">
      <c r="C413" s="42"/>
      <c r="F413" s="164"/>
      <c r="H413" s="164"/>
      <c r="I413" s="164"/>
      <c r="J413" s="132"/>
      <c r="K413" s="132"/>
      <c r="L413" s="45"/>
      <c r="M413" s="45"/>
      <c r="N413" s="46"/>
      <c r="O413" s="46"/>
      <c r="P413" s="45"/>
      <c r="Q413" s="45"/>
      <c r="R413" s="45"/>
      <c r="T413" s="42"/>
      <c r="V413" s="45"/>
      <c r="Y413" s="45"/>
      <c r="Z413" s="132"/>
      <c r="AA413" s="45"/>
      <c r="AB413" s="45"/>
      <c r="AC413" s="46"/>
      <c r="AD413" s="46"/>
      <c r="AE413" s="45"/>
      <c r="AF413" s="45"/>
      <c r="AH413" s="51"/>
      <c r="AI413" s="45"/>
      <c r="AJ413" s="45"/>
      <c r="AL413" s="45"/>
      <c r="AM413" s="46"/>
      <c r="AN413" s="46"/>
    </row>
    <row r="414" spans="3:40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>
      <c r="C415" s="42"/>
      <c r="J415" s="56"/>
      <c r="K415" s="56"/>
      <c r="T415" s="42"/>
      <c r="Z415" s="56"/>
    </row>
    <row r="416" spans="3:40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>
      <c r="C417" s="42"/>
      <c r="F417" s="164"/>
      <c r="H417" s="164"/>
      <c r="I417" s="164"/>
      <c r="J417" s="132"/>
      <c r="K417" s="132"/>
      <c r="L417" s="45"/>
      <c r="M417" s="45"/>
      <c r="N417" s="46"/>
      <c r="O417" s="46"/>
      <c r="P417" s="45"/>
      <c r="Q417" s="45"/>
      <c r="R417" s="45"/>
      <c r="T417" s="42"/>
      <c r="V417" s="45"/>
      <c r="Y417" s="45"/>
      <c r="Z417" s="132"/>
      <c r="AA417" s="45"/>
      <c r="AB417" s="45"/>
      <c r="AC417" s="46"/>
      <c r="AD417" s="46"/>
      <c r="AE417" s="45"/>
      <c r="AF417" s="45"/>
      <c r="AH417" s="51"/>
      <c r="AI417" s="45"/>
      <c r="AJ417" s="45"/>
      <c r="AL417" s="45"/>
      <c r="AM417" s="46"/>
      <c r="AN417" s="46"/>
    </row>
    <row r="418" spans="3:40">
      <c r="C418" s="42"/>
      <c r="F418" s="164"/>
      <c r="H418" s="164"/>
      <c r="I418" s="164"/>
      <c r="J418" s="132"/>
      <c r="K418" s="132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Z418" s="132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>
      <c r="F419" s="50"/>
      <c r="H419" s="50"/>
      <c r="I419" s="50"/>
      <c r="J419" s="132"/>
      <c r="K419" s="132"/>
      <c r="L419" s="50"/>
      <c r="M419" s="50"/>
      <c r="N419" s="50"/>
      <c r="O419" s="50"/>
      <c r="P419" s="50"/>
      <c r="Q419" s="50"/>
      <c r="R419" s="50"/>
      <c r="V419" s="50"/>
      <c r="Y419" s="50"/>
      <c r="Z419" s="132"/>
      <c r="AA419" s="50"/>
      <c r="AB419" s="50"/>
      <c r="AC419" s="50"/>
      <c r="AD419" s="50"/>
      <c r="AE419" s="50"/>
      <c r="AF419" s="50"/>
      <c r="AI419" s="50"/>
      <c r="AJ419" s="50"/>
      <c r="AK419" s="111"/>
      <c r="AL419" s="50"/>
    </row>
    <row r="420" spans="3:40">
      <c r="C420" s="44"/>
      <c r="F420" s="45"/>
      <c r="H420" s="45"/>
      <c r="I420" s="45"/>
      <c r="J420" s="56"/>
      <c r="K420" s="56"/>
      <c r="L420" s="45"/>
      <c r="M420" s="45"/>
      <c r="N420" s="51"/>
      <c r="O420" s="51"/>
      <c r="P420" s="45"/>
      <c r="Q420" s="45"/>
      <c r="R420" s="45"/>
      <c r="T420" s="44"/>
      <c r="V420" s="45"/>
      <c r="Y420" s="45"/>
      <c r="Z420" s="56"/>
      <c r="AA420" s="45"/>
      <c r="AB420" s="45"/>
      <c r="AC420" s="45"/>
      <c r="AD420" s="45"/>
      <c r="AE420" s="45"/>
      <c r="AF420" s="45"/>
      <c r="AH420" s="51"/>
      <c r="AI420" s="45"/>
      <c r="AJ420" s="45"/>
      <c r="AL420" s="45"/>
      <c r="AM420" s="46"/>
      <c r="AN420" s="46"/>
    </row>
    <row r="421" spans="3:40">
      <c r="F421" s="50"/>
      <c r="H421" s="50"/>
      <c r="I421" s="50"/>
      <c r="J421" s="132"/>
      <c r="K421" s="132"/>
      <c r="L421" s="50"/>
      <c r="M421" s="50"/>
      <c r="N421" s="50"/>
      <c r="O421" s="50"/>
      <c r="P421" s="50"/>
      <c r="Q421" s="50"/>
      <c r="R421" s="50"/>
      <c r="V421" s="50"/>
      <c r="Y421" s="50"/>
      <c r="Z421" s="132"/>
      <c r="AA421" s="50"/>
      <c r="AB421" s="50"/>
      <c r="AC421" s="50"/>
      <c r="AD421" s="50"/>
      <c r="AE421" s="50"/>
      <c r="AF421" s="50"/>
      <c r="AI421" s="50"/>
      <c r="AJ421" s="50"/>
      <c r="AK421" s="111"/>
      <c r="AL421" s="50"/>
    </row>
    <row r="422" spans="3:40">
      <c r="C422" s="42"/>
      <c r="J422" s="56"/>
      <c r="K422" s="56"/>
      <c r="T422" s="42"/>
      <c r="Z422" s="56"/>
    </row>
    <row r="423" spans="3:40">
      <c r="C423" s="42"/>
      <c r="J423" s="56"/>
      <c r="K423" s="56"/>
      <c r="T423" s="42"/>
      <c r="Z423" s="56"/>
    </row>
    <row r="424" spans="3:40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>
      <c r="C426" s="42"/>
      <c r="F426" s="164"/>
      <c r="H426" s="164"/>
      <c r="I426" s="164"/>
      <c r="J426" s="132"/>
      <c r="K426" s="132"/>
      <c r="L426" s="45"/>
      <c r="M426" s="45"/>
      <c r="N426" s="46"/>
      <c r="O426" s="46"/>
      <c r="P426" s="45"/>
      <c r="Q426" s="45"/>
      <c r="R426" s="45"/>
      <c r="T426" s="42"/>
      <c r="V426" s="45"/>
      <c r="Y426" s="45"/>
      <c r="Z426" s="132"/>
      <c r="AA426" s="45"/>
      <c r="AB426" s="45"/>
      <c r="AC426" s="46"/>
      <c r="AD426" s="46"/>
      <c r="AE426" s="45"/>
      <c r="AF426" s="45"/>
      <c r="AH426" s="51"/>
      <c r="AI426" s="45"/>
      <c r="AJ426" s="45"/>
      <c r="AL426" s="45"/>
      <c r="AM426" s="46"/>
      <c r="AN426" s="46"/>
    </row>
    <row r="427" spans="3:40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>
      <c r="C428" s="42"/>
      <c r="F428" s="164"/>
      <c r="H428" s="164"/>
      <c r="I428" s="164"/>
      <c r="J428" s="132"/>
      <c r="K428" s="132"/>
      <c r="L428" s="45"/>
      <c r="M428" s="45"/>
      <c r="N428" s="46"/>
      <c r="O428" s="46"/>
      <c r="P428" s="45"/>
      <c r="Q428" s="45"/>
      <c r="R428" s="45"/>
      <c r="T428" s="42"/>
      <c r="V428" s="45"/>
      <c r="Y428" s="45"/>
      <c r="Z428" s="132"/>
      <c r="AA428" s="45"/>
      <c r="AB428" s="45"/>
      <c r="AC428" s="46"/>
      <c r="AD428" s="46"/>
      <c r="AE428" s="45"/>
      <c r="AF428" s="45"/>
      <c r="AH428" s="51"/>
      <c r="AI428" s="45"/>
      <c r="AJ428" s="45"/>
      <c r="AL428" s="45"/>
      <c r="AM428" s="46"/>
      <c r="AN428" s="46"/>
    </row>
    <row r="429" spans="3:40">
      <c r="C429" s="42"/>
      <c r="F429" s="164"/>
      <c r="H429" s="164"/>
      <c r="I429" s="164"/>
      <c r="J429" s="132"/>
      <c r="K429" s="132"/>
      <c r="L429" s="45"/>
      <c r="M429" s="45"/>
      <c r="N429" s="46"/>
      <c r="O429" s="46"/>
      <c r="P429" s="45"/>
      <c r="Q429" s="45"/>
      <c r="R429" s="45"/>
      <c r="T429" s="42"/>
      <c r="V429" s="45"/>
      <c r="Y429" s="45"/>
      <c r="Z429" s="132"/>
      <c r="AA429" s="45"/>
      <c r="AB429" s="45"/>
      <c r="AC429" s="46"/>
      <c r="AD429" s="46"/>
      <c r="AE429" s="45"/>
      <c r="AF429" s="45"/>
      <c r="AH429" s="51"/>
      <c r="AI429" s="45"/>
      <c r="AJ429" s="45"/>
      <c r="AL429" s="45"/>
      <c r="AM429" s="46"/>
      <c r="AN429" s="46"/>
    </row>
    <row r="430" spans="3:40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>
      <c r="C431" s="42"/>
      <c r="J431" s="56"/>
      <c r="K431" s="56"/>
      <c r="T431" s="42"/>
      <c r="Z431" s="56"/>
    </row>
    <row r="432" spans="3:40">
      <c r="C432" s="42"/>
      <c r="F432" s="164"/>
      <c r="H432" s="164"/>
      <c r="I432" s="164"/>
      <c r="J432" s="132"/>
      <c r="K432" s="132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132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3:40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>
      <c r="C436" s="42"/>
      <c r="J436" s="56"/>
      <c r="K436" s="56"/>
      <c r="T436" s="42"/>
      <c r="Z436" s="56"/>
    </row>
    <row r="437" spans="3:40">
      <c r="C437" s="42"/>
      <c r="F437" s="164"/>
      <c r="H437" s="164"/>
      <c r="I437" s="164"/>
      <c r="J437" s="132"/>
      <c r="K437" s="132"/>
      <c r="L437" s="45"/>
      <c r="M437" s="45"/>
      <c r="N437" s="46"/>
      <c r="O437" s="46"/>
      <c r="P437" s="45"/>
      <c r="Q437" s="45"/>
      <c r="R437" s="45"/>
      <c r="T437" s="42"/>
      <c r="V437" s="45"/>
      <c r="Y437" s="45"/>
      <c r="Z437" s="132"/>
      <c r="AA437" s="45"/>
      <c r="AB437" s="45"/>
      <c r="AC437" s="46"/>
      <c r="AD437" s="46"/>
      <c r="AE437" s="45"/>
      <c r="AF437" s="45"/>
      <c r="AH437" s="51"/>
      <c r="AI437" s="45"/>
      <c r="AJ437" s="45"/>
      <c r="AL437" s="45"/>
      <c r="AM437" s="46"/>
      <c r="AN437" s="46"/>
    </row>
    <row r="438" spans="3:40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>
      <c r="C441" s="42"/>
      <c r="F441" s="164"/>
      <c r="H441" s="164"/>
      <c r="I441" s="164"/>
      <c r="J441" s="132"/>
      <c r="K441" s="132"/>
      <c r="L441" s="45"/>
      <c r="M441" s="45"/>
      <c r="N441" s="46"/>
      <c r="O441" s="46"/>
      <c r="P441" s="45"/>
      <c r="Q441" s="45"/>
      <c r="R441" s="45"/>
      <c r="T441" s="42"/>
      <c r="V441" s="45"/>
      <c r="Y441" s="45"/>
      <c r="Z441" s="132"/>
      <c r="AA441" s="45"/>
      <c r="AB441" s="45"/>
      <c r="AC441" s="46"/>
      <c r="AD441" s="46"/>
      <c r="AE441" s="45"/>
      <c r="AF441" s="45"/>
      <c r="AH441" s="51"/>
      <c r="AI441" s="45"/>
      <c r="AJ441" s="45"/>
      <c r="AL441" s="45"/>
      <c r="AM441" s="46"/>
      <c r="AN441" s="46"/>
    </row>
    <row r="442" spans="3:40">
      <c r="F442" s="50"/>
      <c r="H442" s="50"/>
      <c r="I442" s="50"/>
      <c r="J442" s="326"/>
      <c r="K442" s="326"/>
      <c r="L442" s="50"/>
      <c r="M442" s="50"/>
      <c r="N442" s="50"/>
      <c r="O442" s="50"/>
      <c r="P442" s="50"/>
      <c r="Q442" s="50"/>
      <c r="R442" s="50"/>
      <c r="V442" s="50"/>
      <c r="Y442" s="50"/>
      <c r="Z442" s="132"/>
      <c r="AA442" s="50"/>
      <c r="AB442" s="50"/>
      <c r="AC442" s="50"/>
      <c r="AD442" s="50"/>
      <c r="AE442" s="50"/>
      <c r="AF442" s="50"/>
      <c r="AI442" s="50"/>
      <c r="AJ442" s="50"/>
      <c r="AK442" s="111"/>
      <c r="AL442" s="50"/>
    </row>
    <row r="443" spans="3:40">
      <c r="C443" s="42"/>
      <c r="F443" s="45"/>
      <c r="H443" s="45"/>
      <c r="I443" s="45"/>
      <c r="L443" s="45"/>
      <c r="M443" s="45"/>
      <c r="N443" s="51"/>
      <c r="O443" s="51"/>
      <c r="P443" s="45"/>
      <c r="Q443" s="45"/>
      <c r="R443" s="45"/>
      <c r="T443" s="42"/>
      <c r="V443" s="45"/>
      <c r="Y443" s="45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>
      <c r="F444" s="50"/>
      <c r="H444" s="50"/>
      <c r="I444" s="50"/>
      <c r="J444" s="326"/>
      <c r="K444" s="326"/>
      <c r="L444" s="50"/>
      <c r="M444" s="50"/>
      <c r="N444" s="50"/>
      <c r="O444" s="50"/>
      <c r="P444" s="50"/>
      <c r="Q444" s="50"/>
      <c r="R444" s="50"/>
      <c r="V444" s="50"/>
      <c r="Y444" s="50"/>
      <c r="Z444" s="326"/>
      <c r="AA444" s="50"/>
      <c r="AB444" s="50"/>
      <c r="AC444" s="50"/>
      <c r="AD444" s="50"/>
      <c r="AE444" s="50"/>
      <c r="AF444" s="50"/>
      <c r="AI444" s="50"/>
      <c r="AJ444" s="50"/>
      <c r="AK444" s="111"/>
      <c r="AL444" s="50"/>
    </row>
    <row r="445" spans="3:40">
      <c r="C445" s="42"/>
      <c r="T445" s="42"/>
    </row>
    <row r="446" spans="3:40">
      <c r="C446" s="42"/>
      <c r="F446" s="164"/>
      <c r="H446" s="164"/>
      <c r="I446" s="164"/>
      <c r="J446" s="316"/>
      <c r="K446" s="316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316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>
      <c r="C447" s="42"/>
      <c r="F447" s="164"/>
      <c r="H447" s="164"/>
      <c r="I447" s="164"/>
      <c r="J447" s="316"/>
      <c r="K447" s="316"/>
      <c r="L447" s="45"/>
      <c r="M447" s="45"/>
      <c r="N447" s="46"/>
      <c r="O447" s="46"/>
      <c r="P447" s="45"/>
      <c r="Q447" s="45"/>
      <c r="R447" s="45"/>
      <c r="T447" s="42"/>
      <c r="V447" s="45"/>
      <c r="Y447" s="45"/>
      <c r="Z447" s="316"/>
      <c r="AA447" s="45"/>
      <c r="AB447" s="45"/>
      <c r="AC447" s="46"/>
      <c r="AD447" s="46"/>
      <c r="AE447" s="45"/>
      <c r="AF447" s="45"/>
      <c r="AH447" s="51"/>
      <c r="AI447" s="45"/>
      <c r="AJ447" s="45"/>
      <c r="AL447" s="45"/>
      <c r="AM447" s="46"/>
      <c r="AN447" s="46"/>
    </row>
    <row r="448" spans="3:40">
      <c r="F448" s="50"/>
      <c r="H448" s="45"/>
      <c r="I448" s="45"/>
      <c r="J448" s="326"/>
      <c r="K448" s="326"/>
      <c r="L448" s="50"/>
      <c r="M448" s="50"/>
      <c r="N448" s="50"/>
      <c r="O448" s="50"/>
      <c r="P448" s="50"/>
      <c r="Q448" s="50"/>
      <c r="R448" s="50"/>
      <c r="V448" s="50"/>
      <c r="Y448" s="45"/>
      <c r="Z448" s="326"/>
      <c r="AA448" s="50"/>
      <c r="AB448" s="50"/>
      <c r="AC448" s="50"/>
      <c r="AD448" s="50"/>
      <c r="AE448" s="50"/>
      <c r="AF448" s="50"/>
      <c r="AI448" s="50"/>
      <c r="AJ448" s="50"/>
      <c r="AK448" s="111"/>
      <c r="AL448" s="50"/>
    </row>
    <row r="449" spans="1:40">
      <c r="F449" s="45"/>
      <c r="H449" s="45"/>
      <c r="I449" s="45"/>
      <c r="J449" s="326"/>
      <c r="K449" s="326"/>
      <c r="L449" s="45"/>
      <c r="M449" s="45"/>
      <c r="N449" s="45"/>
      <c r="O449" s="45"/>
      <c r="P449" s="45"/>
      <c r="Q449" s="45"/>
      <c r="R449" s="45"/>
      <c r="V449" s="45"/>
      <c r="Y449" s="45"/>
      <c r="Z449" s="326"/>
      <c r="AA449" s="45"/>
      <c r="AB449" s="45"/>
      <c r="AC449" s="45"/>
      <c r="AD449" s="45"/>
      <c r="AE449" s="45"/>
      <c r="AF449" s="45"/>
      <c r="AI449" s="45"/>
      <c r="AJ449" s="45"/>
      <c r="AL449" s="45"/>
    </row>
    <row r="450" spans="1:40">
      <c r="C450" s="42"/>
      <c r="F450" s="45"/>
      <c r="H450" s="45"/>
      <c r="I450" s="45"/>
      <c r="L450" s="45"/>
      <c r="M450" s="45"/>
      <c r="N450" s="46"/>
      <c r="O450" s="46"/>
      <c r="P450" s="45"/>
      <c r="Q450" s="45"/>
      <c r="R450" s="45"/>
      <c r="T450" s="42"/>
      <c r="V450" s="45"/>
      <c r="Y450" s="45"/>
      <c r="AA450" s="45"/>
      <c r="AB450" s="45"/>
      <c r="AC450" s="46"/>
      <c r="AD450" s="46"/>
      <c r="AE450" s="45"/>
      <c r="AF450" s="45"/>
      <c r="AH450" s="51"/>
      <c r="AI450" s="164"/>
      <c r="AJ450" s="164"/>
      <c r="AL450" s="45"/>
      <c r="AM450" s="46"/>
      <c r="AN450" s="46"/>
    </row>
    <row r="451" spans="1:40">
      <c r="F451" s="50"/>
      <c r="H451" s="50"/>
      <c r="I451" s="50"/>
      <c r="J451" s="326"/>
      <c r="K451" s="326"/>
      <c r="L451" s="50"/>
      <c r="M451" s="50"/>
      <c r="N451" s="50"/>
      <c r="O451" s="50"/>
      <c r="P451" s="50"/>
      <c r="Q451" s="50"/>
      <c r="R451" s="50"/>
      <c r="V451" s="50"/>
      <c r="Y451" s="50"/>
      <c r="Z451" s="326"/>
      <c r="AA451" s="50"/>
      <c r="AB451" s="50"/>
      <c r="AC451" s="50"/>
      <c r="AD451" s="50"/>
      <c r="AE451" s="50"/>
      <c r="AF451" s="50"/>
      <c r="AI451" s="50"/>
      <c r="AJ451" s="50"/>
      <c r="AK451" s="111"/>
      <c r="AL451" s="50"/>
    </row>
    <row r="453" spans="1:40">
      <c r="A453" s="42"/>
      <c r="T453" s="42"/>
    </row>
    <row r="454" spans="1:40">
      <c r="A454" s="42"/>
      <c r="T454" s="42"/>
    </row>
    <row r="455" spans="1:40">
      <c r="A455" s="42"/>
      <c r="T455" s="42"/>
    </row>
    <row r="456" spans="1:40">
      <c r="A456" s="42"/>
      <c r="T456" s="42"/>
    </row>
    <row r="457" spans="1:40">
      <c r="A457" s="42"/>
      <c r="T457" s="42"/>
    </row>
    <row r="458" spans="1:40">
      <c r="A458" s="42"/>
      <c r="T458" s="42"/>
    </row>
    <row r="459" spans="1:40">
      <c r="A459" s="42"/>
      <c r="T459" s="42"/>
    </row>
    <row r="460" spans="1:40">
      <c r="A460" s="42"/>
      <c r="T460" s="42"/>
    </row>
    <row r="461" spans="1:40">
      <c r="A461" s="42"/>
      <c r="T461" s="42"/>
    </row>
    <row r="463" spans="1:40">
      <c r="A463" s="42"/>
    </row>
    <row r="465" spans="1:40">
      <c r="H465" s="42"/>
      <c r="I465" s="42"/>
      <c r="Y465" s="42"/>
    </row>
    <row r="467" spans="1:40">
      <c r="L467" s="42"/>
      <c r="M467" s="42"/>
      <c r="AA467" s="42"/>
      <c r="AB467" s="42"/>
    </row>
    <row r="468" spans="1:40">
      <c r="R468" s="42"/>
      <c r="AK468" s="110"/>
      <c r="AL468" s="42"/>
    </row>
    <row r="469" spans="1:40">
      <c r="R469" s="42"/>
      <c r="AK469" s="110"/>
      <c r="AL469" s="42"/>
    </row>
    <row r="470" spans="1:40">
      <c r="A470" s="42"/>
      <c r="R470" s="42"/>
      <c r="AK470" s="110"/>
      <c r="AL470" s="42"/>
    </row>
    <row r="471" spans="1:40">
      <c r="L471" s="42"/>
      <c r="M471" s="42"/>
      <c r="AA471" s="42"/>
      <c r="AB471" s="42"/>
    </row>
    <row r="472" spans="1:40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107"/>
      <c r="AH472" s="49"/>
      <c r="AI472" s="49"/>
      <c r="AJ472" s="49"/>
      <c r="AK472" s="107"/>
      <c r="AL472" s="49"/>
      <c r="AM472" s="49"/>
      <c r="AN472" s="49"/>
    </row>
    <row r="473" spans="1:40">
      <c r="L473" s="44"/>
      <c r="M473" s="44"/>
      <c r="N473" s="44"/>
      <c r="O473" s="44"/>
      <c r="R473" s="44"/>
      <c r="AA473" s="44"/>
      <c r="AB473" s="44"/>
      <c r="AC473" s="44"/>
      <c r="AD473" s="44"/>
      <c r="AE473" s="44"/>
      <c r="AF473" s="44"/>
      <c r="AG473" s="102"/>
      <c r="AH473" s="44"/>
      <c r="AK473" s="102"/>
      <c r="AL473" s="44"/>
      <c r="AM473" s="44"/>
      <c r="AN473" s="44"/>
    </row>
    <row r="474" spans="1:40">
      <c r="L474" s="44"/>
      <c r="M474" s="44"/>
      <c r="N474" s="44"/>
      <c r="O474" s="44"/>
      <c r="R474" s="44"/>
      <c r="Z474" s="44"/>
      <c r="AA474" s="44"/>
      <c r="AB474" s="44"/>
      <c r="AC474" s="44"/>
      <c r="AD474" s="44"/>
      <c r="AE474" s="44"/>
      <c r="AF474" s="44"/>
      <c r="AG474" s="102"/>
      <c r="AH474" s="44"/>
      <c r="AK474" s="102"/>
      <c r="AL474" s="44"/>
      <c r="AM474" s="44"/>
      <c r="AN474" s="44"/>
    </row>
    <row r="475" spans="1:40">
      <c r="A475" s="44"/>
      <c r="C475" s="44"/>
      <c r="D475" s="44"/>
      <c r="E475" s="44"/>
      <c r="F475" s="44"/>
      <c r="J475" s="44"/>
      <c r="K475" s="44"/>
      <c r="L475" s="44"/>
      <c r="M475" s="44"/>
      <c r="N475" s="44"/>
      <c r="O475" s="44"/>
      <c r="P475" s="44"/>
      <c r="Q475" s="44"/>
      <c r="R475" s="44"/>
      <c r="T475" s="44"/>
      <c r="U475" s="44"/>
      <c r="V475" s="44"/>
      <c r="Z475" s="44"/>
      <c r="AA475" s="44"/>
      <c r="AB475" s="44"/>
      <c r="AC475" s="44"/>
      <c r="AD475" s="44"/>
      <c r="AE475" s="44"/>
      <c r="AF475" s="44"/>
      <c r="AG475" s="102"/>
      <c r="AH475" s="44"/>
      <c r="AI475" s="44"/>
      <c r="AJ475" s="44"/>
      <c r="AK475" s="102"/>
      <c r="AL475" s="44"/>
      <c r="AM475" s="44"/>
      <c r="AN475" s="44"/>
    </row>
    <row r="476" spans="1:40">
      <c r="A476" s="44"/>
      <c r="C476" s="44"/>
      <c r="D476" s="44"/>
      <c r="E476" s="44"/>
      <c r="F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T476" s="44"/>
      <c r="U476" s="44"/>
      <c r="V476" s="44"/>
      <c r="Y476" s="44"/>
      <c r="Z476" s="44"/>
      <c r="AA476" s="44"/>
      <c r="AB476" s="44"/>
      <c r="AC476" s="44"/>
      <c r="AD476" s="44"/>
      <c r="AE476" s="44"/>
      <c r="AF476" s="44"/>
      <c r="AG476" s="102"/>
      <c r="AH476" s="44"/>
      <c r="AI476" s="44"/>
      <c r="AJ476" s="44"/>
      <c r="AK476" s="102"/>
      <c r="AL476" s="44"/>
      <c r="AM476" s="44"/>
      <c r="AN476" s="44"/>
    </row>
    <row r="477" spans="1:40">
      <c r="C477" s="44"/>
      <c r="D477" s="44"/>
      <c r="E477" s="44"/>
      <c r="F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T477" s="44"/>
      <c r="U477" s="44"/>
      <c r="V477" s="44"/>
      <c r="Y477" s="44"/>
      <c r="Z477" s="44"/>
      <c r="AA477" s="44"/>
      <c r="AB477" s="44"/>
      <c r="AC477" s="44"/>
      <c r="AD477" s="44"/>
      <c r="AE477" s="44"/>
      <c r="AF477" s="44"/>
      <c r="AG477" s="102"/>
      <c r="AH477" s="44"/>
      <c r="AI477" s="44"/>
      <c r="AJ477" s="44"/>
      <c r="AK477" s="102"/>
      <c r="AL477" s="44"/>
      <c r="AM477" s="44"/>
      <c r="AN477" s="44"/>
    </row>
    <row r="478" spans="1:40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107"/>
      <c r="AH478" s="49"/>
      <c r="AI478" s="49"/>
      <c r="AJ478" s="49"/>
      <c r="AK478" s="107"/>
      <c r="AL478" s="49"/>
      <c r="AM478" s="49"/>
      <c r="AN478" s="49"/>
    </row>
    <row r="479" spans="1:40"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Y479" s="44"/>
      <c r="Z479" s="44"/>
      <c r="AA479" s="44"/>
      <c r="AB479" s="44"/>
      <c r="AC479" s="44"/>
      <c r="AD479" s="44"/>
      <c r="AE479" s="44"/>
      <c r="AF479" s="44"/>
      <c r="AG479" s="102"/>
      <c r="AH479" s="44"/>
      <c r="AI479" s="44"/>
      <c r="AJ479" s="44"/>
      <c r="AK479" s="102"/>
      <c r="AL479" s="44"/>
      <c r="AM479" s="44"/>
      <c r="AN479" s="44"/>
    </row>
    <row r="480" spans="1:40">
      <c r="C480" s="42"/>
      <c r="D480" s="42"/>
      <c r="E480" s="42"/>
      <c r="T480" s="42"/>
      <c r="U480" s="42"/>
    </row>
    <row r="481" spans="3:40">
      <c r="D481" s="42"/>
      <c r="E481" s="42"/>
      <c r="U481" s="42"/>
    </row>
    <row r="483" spans="3:40">
      <c r="C483" s="42"/>
      <c r="F483" s="45"/>
      <c r="J483" s="53"/>
      <c r="K483" s="53"/>
      <c r="L483" s="45"/>
      <c r="M483" s="45"/>
      <c r="R483" s="45"/>
      <c r="T483" s="42"/>
      <c r="V483" s="45"/>
      <c r="Z483" s="53"/>
      <c r="AA483" s="45"/>
      <c r="AB483" s="45"/>
      <c r="AH483" s="45"/>
      <c r="AL483" s="45"/>
    </row>
    <row r="484" spans="3:40">
      <c r="C484" s="42"/>
      <c r="F484" s="45"/>
      <c r="R484" s="45"/>
      <c r="T484" s="42"/>
      <c r="V484" s="45"/>
      <c r="AH484" s="45"/>
      <c r="AL484" s="45"/>
    </row>
    <row r="485" spans="3:40">
      <c r="AI485" s="45"/>
      <c r="AJ485" s="45"/>
      <c r="AL485" s="45"/>
      <c r="AM485" s="46"/>
      <c r="AN485" s="46"/>
    </row>
    <row r="486" spans="3:40">
      <c r="C486" s="42"/>
      <c r="F486" s="164"/>
      <c r="H486" s="164"/>
      <c r="I486" s="164"/>
      <c r="J486" s="336"/>
      <c r="K486" s="336"/>
      <c r="L486" s="45"/>
      <c r="M486" s="45"/>
      <c r="N486" s="46"/>
      <c r="O486" s="46"/>
      <c r="P486" s="45"/>
      <c r="Q486" s="45"/>
      <c r="R486" s="45"/>
      <c r="T486" s="42"/>
      <c r="V486" s="45"/>
      <c r="Y486" s="45"/>
      <c r="Z486" s="336"/>
      <c r="AA486" s="45"/>
      <c r="AB486" s="45"/>
      <c r="AC486" s="46"/>
      <c r="AD486" s="46"/>
      <c r="AE486" s="45"/>
      <c r="AF486" s="45"/>
      <c r="AH486" s="51"/>
      <c r="AI486" s="45"/>
      <c r="AJ486" s="45"/>
      <c r="AL486" s="45"/>
      <c r="AM486" s="46"/>
      <c r="AN486" s="46"/>
    </row>
    <row r="487" spans="3:40">
      <c r="F487" s="45"/>
      <c r="H487" s="45"/>
      <c r="I487" s="45"/>
      <c r="J487" s="47"/>
      <c r="K487" s="47"/>
      <c r="L487" s="45"/>
      <c r="M487" s="45"/>
      <c r="P487" s="45"/>
      <c r="Q487" s="45"/>
      <c r="R487" s="45"/>
      <c r="V487" s="45"/>
      <c r="Y487" s="45"/>
      <c r="Z487" s="47"/>
      <c r="AA487" s="45"/>
      <c r="AB487" s="45"/>
      <c r="AI487" s="45"/>
      <c r="AJ487" s="45"/>
      <c r="AL487" s="45"/>
      <c r="AM487" s="46"/>
      <c r="AN487" s="46"/>
    </row>
    <row r="488" spans="3:40">
      <c r="F488" s="45"/>
      <c r="R488" s="45"/>
      <c r="V488" s="45"/>
      <c r="AL488" s="45"/>
      <c r="AM488" s="46"/>
      <c r="AN488" s="46"/>
    </row>
    <row r="489" spans="3:40">
      <c r="C489" s="42"/>
      <c r="F489" s="45"/>
      <c r="J489" s="53"/>
      <c r="K489" s="53"/>
      <c r="L489" s="45"/>
      <c r="M489" s="45"/>
      <c r="N489" s="46"/>
      <c r="O489" s="46"/>
      <c r="R489" s="45"/>
      <c r="T489" s="42"/>
      <c r="V489" s="45"/>
      <c r="Z489" s="53"/>
      <c r="AA489" s="45"/>
      <c r="AB489" s="45"/>
      <c r="AC489" s="46"/>
      <c r="AD489" s="46"/>
      <c r="AL489" s="45"/>
      <c r="AM489" s="46"/>
      <c r="AN489" s="46"/>
    </row>
    <row r="490" spans="3:40">
      <c r="C490" s="42"/>
      <c r="F490" s="45"/>
      <c r="H490" s="45"/>
      <c r="I490" s="45"/>
      <c r="J490" s="53"/>
      <c r="K490" s="53"/>
      <c r="L490" s="45"/>
      <c r="M490" s="45"/>
      <c r="N490" s="46"/>
      <c r="O490" s="46"/>
      <c r="P490" s="45"/>
      <c r="Q490" s="45"/>
      <c r="R490" s="45"/>
      <c r="T490" s="42"/>
      <c r="V490" s="45"/>
      <c r="Y490" s="45"/>
      <c r="Z490" s="53"/>
      <c r="AA490" s="45"/>
      <c r="AB490" s="45"/>
      <c r="AC490" s="46"/>
      <c r="AD490" s="46"/>
      <c r="AI490" s="45"/>
      <c r="AJ490" s="45"/>
      <c r="AL490" s="45"/>
      <c r="AM490" s="46"/>
      <c r="AN490" s="46"/>
    </row>
    <row r="491" spans="3:40">
      <c r="C491" s="42"/>
      <c r="T491" s="42"/>
      <c r="AM491" s="46"/>
      <c r="AN491" s="46"/>
    </row>
    <row r="492" spans="3:40">
      <c r="C492" s="42"/>
      <c r="T492" s="42"/>
      <c r="AM492" s="46"/>
      <c r="AN492" s="46"/>
    </row>
    <row r="493" spans="3:40">
      <c r="AM493" s="46"/>
      <c r="AN493" s="46"/>
    </row>
    <row r="494" spans="3:40">
      <c r="C494" s="42"/>
      <c r="F494" s="164"/>
      <c r="H494" s="164"/>
      <c r="I494" s="164"/>
      <c r="J494" s="336"/>
      <c r="K494" s="336"/>
      <c r="L494" s="45"/>
      <c r="M494" s="45"/>
      <c r="N494" s="46"/>
      <c r="O494" s="46"/>
      <c r="P494" s="45"/>
      <c r="Q494" s="45"/>
      <c r="R494" s="45"/>
      <c r="T494" s="42"/>
      <c r="V494" s="45"/>
      <c r="Y494" s="45"/>
      <c r="Z494" s="336"/>
      <c r="AA494" s="45"/>
      <c r="AB494" s="45"/>
      <c r="AC494" s="46"/>
      <c r="AD494" s="46"/>
      <c r="AE494" s="45"/>
      <c r="AF494" s="45"/>
      <c r="AH494" s="51"/>
      <c r="AI494" s="45"/>
      <c r="AJ494" s="45"/>
      <c r="AL494" s="45"/>
      <c r="AM494" s="46"/>
      <c r="AN494" s="46"/>
    </row>
    <row r="495" spans="3:40">
      <c r="F495" s="50"/>
      <c r="H495" s="50"/>
      <c r="I495" s="50"/>
      <c r="J495" s="326"/>
      <c r="K495" s="326"/>
      <c r="L495" s="50"/>
      <c r="M495" s="50"/>
      <c r="N495" s="50"/>
      <c r="O495" s="50"/>
      <c r="P495" s="50"/>
      <c r="Q495" s="50"/>
      <c r="R495" s="50"/>
      <c r="V495" s="50"/>
      <c r="Y495" s="50"/>
      <c r="Z495" s="326"/>
      <c r="AA495" s="50"/>
      <c r="AB495" s="50"/>
      <c r="AC495" s="50"/>
      <c r="AD495" s="50"/>
      <c r="AE495" s="50"/>
      <c r="AF495" s="50"/>
      <c r="AI495" s="50"/>
      <c r="AJ495" s="50"/>
      <c r="AK495" s="111"/>
      <c r="AL495" s="50"/>
      <c r="AM495" s="46"/>
      <c r="AN495" s="46"/>
    </row>
    <row r="496" spans="3:40">
      <c r="H496" s="45"/>
      <c r="I496" s="45"/>
      <c r="Y496" s="45"/>
      <c r="AM496" s="46"/>
      <c r="AN496" s="46"/>
    </row>
    <row r="497" spans="1:40">
      <c r="C497" s="42"/>
      <c r="F497" s="45"/>
      <c r="H497" s="45"/>
      <c r="I497" s="45"/>
      <c r="L497" s="45"/>
      <c r="M497" s="45"/>
      <c r="N497" s="46"/>
      <c r="O497" s="46"/>
      <c r="P497" s="164"/>
      <c r="Q497" s="164"/>
      <c r="R497" s="45"/>
      <c r="T497" s="42"/>
      <c r="V497" s="45"/>
      <c r="Y497" s="45"/>
      <c r="AA497" s="45"/>
      <c r="AB497" s="45"/>
      <c r="AC497" s="46"/>
      <c r="AD497" s="46"/>
      <c r="AE497" s="45"/>
      <c r="AF497" s="45"/>
      <c r="AH497" s="51"/>
      <c r="AI497" s="164"/>
      <c r="AJ497" s="164"/>
      <c r="AL497" s="45"/>
      <c r="AM497" s="46"/>
      <c r="AN497" s="46"/>
    </row>
    <row r="498" spans="1:40">
      <c r="F498" s="50"/>
      <c r="H498" s="50"/>
      <c r="I498" s="50"/>
      <c r="J498" s="326"/>
      <c r="K498" s="326"/>
      <c r="L498" s="50"/>
      <c r="M498" s="50"/>
      <c r="N498" s="50"/>
      <c r="O498" s="50"/>
      <c r="P498" s="50"/>
      <c r="Q498" s="50"/>
      <c r="R498" s="50"/>
      <c r="V498" s="50"/>
      <c r="Y498" s="50"/>
      <c r="Z498" s="326"/>
      <c r="AA498" s="50"/>
      <c r="AB498" s="50"/>
      <c r="AC498" s="50"/>
      <c r="AD498" s="50"/>
      <c r="AE498" s="50"/>
      <c r="AF498" s="50"/>
      <c r="AI498" s="50"/>
      <c r="AJ498" s="50"/>
      <c r="AK498" s="111"/>
      <c r="AL498" s="50"/>
      <c r="AM498" s="46"/>
      <c r="AN498" s="46"/>
    </row>
    <row r="500" spans="1:40">
      <c r="F500" s="45"/>
      <c r="H500" s="45"/>
      <c r="I500" s="45"/>
      <c r="J500" s="47"/>
      <c r="K500" s="47"/>
      <c r="L500" s="45"/>
      <c r="M500" s="45"/>
      <c r="N500" s="45"/>
      <c r="O500" s="45"/>
      <c r="P500" s="45"/>
      <c r="Q500" s="45"/>
      <c r="R500" s="45"/>
      <c r="V500" s="45"/>
      <c r="Y500" s="45"/>
      <c r="Z500" s="47"/>
      <c r="AA500" s="45"/>
      <c r="AB500" s="45"/>
      <c r="AC500" s="45"/>
      <c r="AD500" s="45"/>
      <c r="AE500" s="45"/>
      <c r="AF500" s="45"/>
      <c r="AH500" s="45"/>
      <c r="AI500" s="45"/>
      <c r="AJ500" s="45"/>
      <c r="AL500" s="45"/>
    </row>
    <row r="501" spans="1:40">
      <c r="A501" s="42"/>
    </row>
    <row r="503" spans="1:40">
      <c r="H503" s="42"/>
      <c r="I503" s="42"/>
      <c r="Y503" s="42"/>
    </row>
    <row r="505" spans="1:40">
      <c r="L505" s="42"/>
      <c r="M505" s="42"/>
      <c r="AA505" s="42"/>
      <c r="AB505" s="42"/>
    </row>
    <row r="506" spans="1:40">
      <c r="R506" s="42"/>
      <c r="AK506" s="110"/>
      <c r="AL506" s="42"/>
    </row>
    <row r="507" spans="1:40">
      <c r="R507" s="42"/>
      <c r="AK507" s="110"/>
      <c r="AL507" s="42"/>
    </row>
    <row r="508" spans="1:40">
      <c r="A508" s="42"/>
      <c r="R508" s="42"/>
      <c r="AK508" s="110"/>
      <c r="AL508" s="42"/>
    </row>
    <row r="509" spans="1:40">
      <c r="L509" s="42"/>
      <c r="M509" s="42"/>
      <c r="AA509" s="42"/>
      <c r="AB509" s="42"/>
    </row>
    <row r="510" spans="1:40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107"/>
      <c r="AH510" s="49"/>
      <c r="AI510" s="49"/>
      <c r="AJ510" s="49"/>
      <c r="AK510" s="107"/>
      <c r="AL510" s="49"/>
      <c r="AM510" s="49"/>
      <c r="AN510" s="49"/>
    </row>
    <row r="511" spans="1:40">
      <c r="L511" s="44"/>
      <c r="M511" s="44"/>
      <c r="N511" s="44"/>
      <c r="O511" s="44"/>
      <c r="R511" s="44"/>
      <c r="AA511" s="44"/>
      <c r="AB511" s="44"/>
      <c r="AC511" s="44"/>
      <c r="AD511" s="44"/>
      <c r="AE511" s="44"/>
      <c r="AF511" s="44"/>
      <c r="AG511" s="102"/>
      <c r="AH511" s="44"/>
      <c r="AK511" s="102"/>
      <c r="AL511" s="44"/>
      <c r="AM511" s="44"/>
      <c r="AN511" s="44"/>
    </row>
    <row r="512" spans="1:40">
      <c r="L512" s="44"/>
      <c r="M512" s="44"/>
      <c r="N512" s="44"/>
      <c r="O512" s="44"/>
      <c r="R512" s="44"/>
      <c r="Z512" s="44"/>
      <c r="AA512" s="44"/>
      <c r="AB512" s="44"/>
      <c r="AC512" s="44"/>
      <c r="AD512" s="44"/>
      <c r="AE512" s="44"/>
      <c r="AF512" s="44"/>
      <c r="AG512" s="102"/>
      <c r="AH512" s="44"/>
      <c r="AK512" s="102"/>
      <c r="AL512" s="44"/>
      <c r="AM512" s="44"/>
      <c r="AN512" s="44"/>
    </row>
    <row r="513" spans="1:40">
      <c r="A513" s="44"/>
      <c r="C513" s="44"/>
      <c r="D513" s="44"/>
      <c r="E513" s="44"/>
      <c r="F513" s="44"/>
      <c r="J513" s="44"/>
      <c r="K513" s="44"/>
      <c r="L513" s="44"/>
      <c r="M513" s="44"/>
      <c r="N513" s="44"/>
      <c r="O513" s="44"/>
      <c r="P513" s="44"/>
      <c r="Q513" s="44"/>
      <c r="R513" s="44"/>
      <c r="T513" s="44"/>
      <c r="U513" s="44"/>
      <c r="V513" s="44"/>
      <c r="Z513" s="44"/>
      <c r="AA513" s="44"/>
      <c r="AB513" s="44"/>
      <c r="AC513" s="44"/>
      <c r="AD513" s="44"/>
      <c r="AE513" s="44"/>
      <c r="AF513" s="44"/>
      <c r="AG513" s="102"/>
      <c r="AH513" s="44"/>
      <c r="AI513" s="44"/>
      <c r="AJ513" s="44"/>
      <c r="AK513" s="102"/>
      <c r="AL513" s="44"/>
      <c r="AM513" s="44"/>
      <c r="AN513" s="44"/>
    </row>
    <row r="514" spans="1:40">
      <c r="A514" s="44"/>
      <c r="C514" s="44"/>
      <c r="D514" s="44"/>
      <c r="E514" s="44"/>
      <c r="F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T514" s="44"/>
      <c r="U514" s="44"/>
      <c r="V514" s="44"/>
      <c r="Y514" s="44"/>
      <c r="Z514" s="44"/>
      <c r="AA514" s="44"/>
      <c r="AB514" s="44"/>
      <c r="AC514" s="44"/>
      <c r="AD514" s="44"/>
      <c r="AE514" s="44"/>
      <c r="AF514" s="44"/>
      <c r="AG514" s="102"/>
      <c r="AH514" s="44"/>
      <c r="AI514" s="44"/>
      <c r="AJ514" s="44"/>
      <c r="AK514" s="102"/>
      <c r="AL514" s="44"/>
      <c r="AM514" s="44"/>
      <c r="AN514" s="44"/>
    </row>
    <row r="515" spans="1:40">
      <c r="C515" s="44"/>
      <c r="D515" s="44"/>
      <c r="E515" s="44"/>
      <c r="F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T515" s="44"/>
      <c r="U515" s="44"/>
      <c r="V515" s="44"/>
      <c r="Y515" s="44"/>
      <c r="Z515" s="44"/>
      <c r="AA515" s="44"/>
      <c r="AB515" s="44"/>
      <c r="AC515" s="44"/>
      <c r="AD515" s="44"/>
      <c r="AE515" s="44"/>
      <c r="AF515" s="44"/>
      <c r="AG515" s="102"/>
      <c r="AH515" s="44"/>
      <c r="AI515" s="44"/>
      <c r="AJ515" s="44"/>
      <c r="AK515" s="102"/>
      <c r="AL515" s="44"/>
      <c r="AM515" s="44"/>
      <c r="AN515" s="44"/>
    </row>
    <row r="516" spans="1:40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107"/>
      <c r="AH516" s="49"/>
      <c r="AI516" s="49"/>
      <c r="AJ516" s="49"/>
      <c r="AK516" s="107"/>
      <c r="AL516" s="49"/>
      <c r="AM516" s="49"/>
      <c r="AN516" s="49"/>
    </row>
    <row r="517" spans="1:40"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Y517" s="44"/>
      <c r="Z517" s="44"/>
      <c r="AA517" s="44"/>
      <c r="AB517" s="44"/>
      <c r="AC517" s="44"/>
      <c r="AD517" s="44"/>
      <c r="AE517" s="44"/>
      <c r="AF517" s="44"/>
      <c r="AG517" s="102"/>
      <c r="AH517" s="44"/>
      <c r="AI517" s="44"/>
      <c r="AJ517" s="44"/>
      <c r="AK517" s="102"/>
      <c r="AL517" s="44"/>
      <c r="AM517" s="44"/>
      <c r="AN517" s="44"/>
    </row>
    <row r="518" spans="1:40">
      <c r="C518" s="42"/>
      <c r="D518" s="42"/>
      <c r="E518" s="42"/>
      <c r="T518" s="42"/>
      <c r="U518" s="42"/>
      <c r="V518" s="45"/>
      <c r="W518" s="45"/>
      <c r="X518" s="45"/>
      <c r="Y518" s="45"/>
      <c r="Z518" s="336"/>
    </row>
    <row r="520" spans="1:40">
      <c r="C520" s="42"/>
      <c r="T520" s="42"/>
      <c r="V520" s="45"/>
      <c r="W520" s="45"/>
      <c r="X520" s="45"/>
      <c r="Y520" s="45"/>
      <c r="Z520" s="336"/>
    </row>
    <row r="521" spans="1:40">
      <c r="C521" s="42"/>
      <c r="F521" s="164"/>
      <c r="H521" s="164"/>
      <c r="I521" s="164"/>
      <c r="J521" s="132"/>
      <c r="K521" s="132"/>
      <c r="L521" s="45"/>
      <c r="M521" s="45"/>
      <c r="N521" s="46"/>
      <c r="O521" s="46"/>
      <c r="P521" s="45"/>
      <c r="Q521" s="45"/>
      <c r="R521" s="45"/>
      <c r="T521" s="42"/>
      <c r="V521" s="45"/>
      <c r="W521" s="45"/>
      <c r="X521" s="45"/>
      <c r="Y521" s="45"/>
      <c r="Z521" s="132"/>
      <c r="AA521" s="45"/>
      <c r="AB521" s="45"/>
      <c r="AC521" s="46"/>
      <c r="AD521" s="46"/>
      <c r="AE521" s="45"/>
      <c r="AF521" s="45"/>
      <c r="AH521" s="51"/>
      <c r="AI521" s="45"/>
      <c r="AJ521" s="45"/>
      <c r="AL521" s="45"/>
      <c r="AM521" s="46"/>
      <c r="AN521" s="46"/>
    </row>
    <row r="522" spans="1:40">
      <c r="C522" s="42"/>
      <c r="F522" s="164"/>
      <c r="H522" s="164"/>
      <c r="I522" s="164"/>
      <c r="J522" s="132"/>
      <c r="K522" s="132"/>
      <c r="L522" s="45"/>
      <c r="M522" s="45"/>
      <c r="N522" s="46"/>
      <c r="O522" s="46"/>
      <c r="P522" s="45"/>
      <c r="Q522" s="45"/>
      <c r="R522" s="45"/>
      <c r="T522" s="42"/>
      <c r="V522" s="45"/>
      <c r="W522" s="45"/>
      <c r="X522" s="45"/>
      <c r="Y522" s="45"/>
      <c r="Z522" s="132"/>
      <c r="AA522" s="45"/>
      <c r="AB522" s="45"/>
      <c r="AC522" s="46"/>
      <c r="AD522" s="46"/>
      <c r="AE522" s="45"/>
      <c r="AF522" s="45"/>
      <c r="AH522" s="51"/>
      <c r="AI522" s="45"/>
      <c r="AJ522" s="45"/>
      <c r="AL522" s="45"/>
      <c r="AM522" s="46"/>
      <c r="AN522" s="46"/>
    </row>
    <row r="523" spans="1:40">
      <c r="C523" s="42"/>
      <c r="F523" s="164"/>
      <c r="H523" s="164"/>
      <c r="I523" s="164"/>
      <c r="J523" s="132"/>
      <c r="K523" s="132"/>
      <c r="L523" s="45"/>
      <c r="M523" s="45"/>
      <c r="N523" s="46"/>
      <c r="O523" s="46"/>
      <c r="P523" s="45"/>
      <c r="Q523" s="45"/>
      <c r="R523" s="45"/>
      <c r="T523" s="42"/>
      <c r="V523" s="45"/>
      <c r="W523" s="45"/>
      <c r="X523" s="45"/>
      <c r="Y523" s="45"/>
      <c r="Z523" s="132"/>
      <c r="AA523" s="45"/>
      <c r="AB523" s="45"/>
      <c r="AC523" s="46"/>
      <c r="AD523" s="46"/>
      <c r="AE523" s="45"/>
      <c r="AF523" s="45"/>
      <c r="AH523" s="51"/>
      <c r="AI523" s="45"/>
      <c r="AJ523" s="45"/>
      <c r="AL523" s="45"/>
      <c r="AM523" s="46"/>
      <c r="AN523" s="46"/>
    </row>
    <row r="524" spans="1:40">
      <c r="C524" s="42"/>
      <c r="F524" s="164"/>
      <c r="H524" s="164"/>
      <c r="I524" s="164"/>
      <c r="J524" s="132"/>
      <c r="K524" s="132"/>
      <c r="L524" s="45"/>
      <c r="M524" s="45"/>
      <c r="N524" s="46"/>
      <c r="O524" s="46"/>
      <c r="P524" s="45"/>
      <c r="Q524" s="45"/>
      <c r="R524" s="45"/>
      <c r="T524" s="42"/>
      <c r="V524" s="45"/>
      <c r="W524" s="45"/>
      <c r="X524" s="45"/>
      <c r="Y524" s="45"/>
      <c r="Z524" s="132"/>
      <c r="AA524" s="45"/>
      <c r="AB524" s="45"/>
      <c r="AC524" s="46"/>
      <c r="AD524" s="46"/>
      <c r="AE524" s="45"/>
      <c r="AF524" s="45"/>
      <c r="AH524" s="51"/>
      <c r="AI524" s="45"/>
      <c r="AJ524" s="45"/>
      <c r="AL524" s="45"/>
      <c r="AM524" s="46"/>
      <c r="AN524" s="46"/>
    </row>
    <row r="525" spans="1:40">
      <c r="J525" s="56"/>
      <c r="K525" s="56"/>
      <c r="V525" s="45"/>
      <c r="W525" s="45"/>
      <c r="X525" s="45"/>
      <c r="Y525" s="45"/>
      <c r="Z525" s="132"/>
    </row>
    <row r="526" spans="1:40">
      <c r="C526" s="42"/>
      <c r="F526" s="164"/>
      <c r="H526" s="164"/>
      <c r="I526" s="164"/>
      <c r="J526" s="132"/>
      <c r="K526" s="132"/>
      <c r="L526" s="45"/>
      <c r="M526" s="45"/>
      <c r="N526" s="46"/>
      <c r="O526" s="46"/>
      <c r="P526" s="45"/>
      <c r="Q526" s="45"/>
      <c r="R526" s="45"/>
      <c r="T526" s="42"/>
      <c r="V526" s="45"/>
      <c r="W526" s="45"/>
      <c r="X526" s="45"/>
      <c r="Y526" s="45"/>
      <c r="Z526" s="132"/>
      <c r="AA526" s="45"/>
      <c r="AB526" s="45"/>
      <c r="AC526" s="46"/>
      <c r="AD526" s="46"/>
      <c r="AE526" s="45"/>
      <c r="AF526" s="45"/>
      <c r="AH526" s="51"/>
      <c r="AI526" s="45"/>
      <c r="AJ526" s="45"/>
      <c r="AL526" s="45"/>
      <c r="AM526" s="51"/>
      <c r="AN526" s="51"/>
    </row>
    <row r="527" spans="1:40">
      <c r="C527" s="42"/>
      <c r="J527" s="56"/>
      <c r="K527" s="56"/>
      <c r="T527" s="42"/>
      <c r="V527" s="45"/>
      <c r="W527" s="45"/>
      <c r="X527" s="45"/>
      <c r="Y527" s="45"/>
      <c r="Z527" s="132"/>
    </row>
    <row r="528" spans="1:40">
      <c r="C528" s="42"/>
      <c r="F528" s="164"/>
      <c r="H528" s="164"/>
      <c r="I528" s="164"/>
      <c r="J528" s="132"/>
      <c r="K528" s="132"/>
      <c r="L528" s="45"/>
      <c r="M528" s="45"/>
      <c r="N528" s="46"/>
      <c r="O528" s="46"/>
      <c r="P528" s="45"/>
      <c r="Q528" s="45"/>
      <c r="R528" s="45"/>
      <c r="T528" s="42"/>
      <c r="V528" s="45"/>
      <c r="W528" s="45"/>
      <c r="X528" s="45"/>
      <c r="Y528" s="45"/>
      <c r="Z528" s="132"/>
      <c r="AA528" s="45"/>
      <c r="AB528" s="45"/>
      <c r="AC528" s="46"/>
      <c r="AD528" s="46"/>
      <c r="AE528" s="45"/>
      <c r="AF528" s="45"/>
      <c r="AH528" s="51"/>
      <c r="AI528" s="45"/>
      <c r="AJ528" s="45"/>
      <c r="AL528" s="45"/>
      <c r="AM528" s="51"/>
      <c r="AN528" s="51"/>
    </row>
    <row r="529" spans="1:40">
      <c r="J529" s="56"/>
      <c r="K529" s="56"/>
      <c r="Z529" s="56"/>
    </row>
    <row r="530" spans="1:40">
      <c r="C530" s="42"/>
      <c r="J530" s="56"/>
      <c r="K530" s="56"/>
      <c r="T530" s="42"/>
      <c r="V530" s="45"/>
      <c r="W530" s="45"/>
      <c r="X530" s="45"/>
      <c r="Y530" s="45"/>
      <c r="Z530" s="132"/>
    </row>
    <row r="531" spans="1:40">
      <c r="C531" s="42"/>
      <c r="F531" s="164"/>
      <c r="H531" s="164"/>
      <c r="I531" s="164"/>
      <c r="J531" s="132"/>
      <c r="K531" s="132"/>
      <c r="L531" s="45"/>
      <c r="M531" s="45"/>
      <c r="N531" s="46"/>
      <c r="O531" s="46"/>
      <c r="P531" s="45"/>
      <c r="Q531" s="45"/>
      <c r="R531" s="45"/>
      <c r="T531" s="42"/>
      <c r="V531" s="45"/>
      <c r="W531" s="45"/>
      <c r="X531" s="45"/>
      <c r="Y531" s="45"/>
      <c r="Z531" s="132"/>
      <c r="AA531" s="45"/>
      <c r="AB531" s="45"/>
      <c r="AC531" s="46"/>
      <c r="AD531" s="46"/>
      <c r="AE531" s="45"/>
      <c r="AF531" s="45"/>
      <c r="AH531" s="51"/>
      <c r="AI531" s="45"/>
      <c r="AJ531" s="45"/>
      <c r="AL531" s="45"/>
      <c r="AM531" s="51"/>
      <c r="AN531" s="51"/>
    </row>
    <row r="532" spans="1:40">
      <c r="C532" s="42"/>
      <c r="F532" s="164"/>
      <c r="H532" s="164"/>
      <c r="I532" s="164"/>
      <c r="J532" s="132"/>
      <c r="K532" s="132"/>
      <c r="L532" s="45"/>
      <c r="M532" s="45"/>
      <c r="N532" s="46"/>
      <c r="O532" s="46"/>
      <c r="P532" s="45"/>
      <c r="Q532" s="45"/>
      <c r="R532" s="45"/>
      <c r="T532" s="42"/>
      <c r="V532" s="45"/>
      <c r="W532" s="45"/>
      <c r="X532" s="45"/>
      <c r="Y532" s="45"/>
      <c r="Z532" s="132"/>
      <c r="AA532" s="45"/>
      <c r="AB532" s="45"/>
      <c r="AC532" s="46"/>
      <c r="AD532" s="46"/>
      <c r="AE532" s="45"/>
      <c r="AF532" s="45"/>
      <c r="AH532" s="51"/>
      <c r="AI532" s="45"/>
      <c r="AJ532" s="45"/>
      <c r="AL532" s="45"/>
      <c r="AM532" s="51"/>
      <c r="AN532" s="51"/>
    </row>
    <row r="533" spans="1:40">
      <c r="F533" s="50"/>
      <c r="H533" s="50"/>
      <c r="I533" s="50"/>
      <c r="J533" s="132"/>
      <c r="K533" s="132"/>
      <c r="L533" s="50"/>
      <c r="M533" s="50"/>
      <c r="N533" s="50"/>
      <c r="O533" s="50"/>
      <c r="P533" s="50"/>
      <c r="Q533" s="50"/>
      <c r="R533" s="50"/>
      <c r="V533" s="50"/>
      <c r="Y533" s="50"/>
      <c r="Z533" s="326"/>
      <c r="AA533" s="50"/>
      <c r="AB533" s="50"/>
      <c r="AC533" s="50"/>
      <c r="AD533" s="50"/>
      <c r="AE533" s="50"/>
      <c r="AF533" s="50"/>
      <c r="AI533" s="50"/>
      <c r="AJ533" s="50"/>
      <c r="AK533" s="111"/>
      <c r="AL533" s="50"/>
    </row>
    <row r="534" spans="1:40">
      <c r="C534" s="42"/>
      <c r="F534" s="45"/>
      <c r="H534" s="45"/>
      <c r="I534" s="45"/>
      <c r="L534" s="45"/>
      <c r="M534" s="45"/>
      <c r="N534" s="46"/>
      <c r="O534" s="46"/>
      <c r="P534" s="164"/>
      <c r="Q534" s="164"/>
      <c r="R534" s="45"/>
      <c r="T534" s="42"/>
      <c r="V534" s="45"/>
      <c r="W534" s="45"/>
      <c r="X534" s="45"/>
      <c r="Y534" s="45"/>
      <c r="Z534" s="336"/>
      <c r="AA534" s="45"/>
      <c r="AB534" s="45"/>
      <c r="AC534" s="46"/>
      <c r="AD534" s="46"/>
      <c r="AE534" s="45"/>
      <c r="AF534" s="45"/>
      <c r="AH534" s="51"/>
      <c r="AI534" s="164"/>
      <c r="AJ534" s="164"/>
      <c r="AL534" s="45"/>
      <c r="AM534" s="51"/>
      <c r="AN534" s="51"/>
    </row>
    <row r="535" spans="1:40">
      <c r="F535" s="50"/>
      <c r="H535" s="50"/>
      <c r="I535" s="50"/>
      <c r="J535" s="326"/>
      <c r="K535" s="326"/>
      <c r="L535" s="50"/>
      <c r="M535" s="50"/>
      <c r="N535" s="50"/>
      <c r="O535" s="50"/>
      <c r="P535" s="50"/>
      <c r="Q535" s="50"/>
      <c r="R535" s="50"/>
      <c r="V535" s="50"/>
      <c r="Y535" s="50"/>
      <c r="Z535" s="326"/>
      <c r="AA535" s="50"/>
      <c r="AB535" s="50"/>
      <c r="AC535" s="50"/>
      <c r="AD535" s="50"/>
      <c r="AE535" s="50"/>
      <c r="AF535" s="50"/>
      <c r="AI535" s="50"/>
      <c r="AJ535" s="50"/>
      <c r="AK535" s="111"/>
      <c r="AL535" s="50"/>
    </row>
    <row r="538" spans="1:40">
      <c r="A538" s="42"/>
    </row>
    <row r="540" spans="1:40">
      <c r="H540" s="42"/>
      <c r="I540" s="42"/>
      <c r="Y540" s="42"/>
    </row>
    <row r="542" spans="1:40">
      <c r="L542" s="42"/>
      <c r="M542" s="42"/>
      <c r="AA542" s="42"/>
      <c r="AB542" s="42"/>
    </row>
    <row r="543" spans="1:40">
      <c r="R543" s="42"/>
      <c r="AK543" s="110"/>
      <c r="AL543" s="42"/>
    </row>
    <row r="544" spans="1:40">
      <c r="R544" s="42"/>
      <c r="AK544" s="110"/>
      <c r="AL544" s="42"/>
    </row>
    <row r="545" spans="1:40">
      <c r="A545" s="42"/>
      <c r="R545" s="42"/>
      <c r="AK545" s="110"/>
      <c r="AL545" s="42"/>
    </row>
    <row r="546" spans="1:40">
      <c r="L546" s="42"/>
      <c r="M546" s="42"/>
      <c r="AA546" s="42"/>
      <c r="AB546" s="42"/>
    </row>
    <row r="547" spans="1:40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107"/>
      <c r="AH547" s="49"/>
      <c r="AI547" s="49"/>
      <c r="AJ547" s="49"/>
      <c r="AK547" s="107"/>
      <c r="AL547" s="49"/>
      <c r="AM547" s="49"/>
      <c r="AN547" s="49"/>
    </row>
    <row r="548" spans="1:40">
      <c r="L548" s="44"/>
      <c r="M548" s="44"/>
      <c r="N548" s="44"/>
      <c r="O548" s="44"/>
      <c r="R548" s="44"/>
      <c r="AA548" s="44"/>
      <c r="AB548" s="44"/>
      <c r="AC548" s="44"/>
      <c r="AD548" s="44"/>
      <c r="AE548" s="44"/>
      <c r="AF548" s="44"/>
      <c r="AG548" s="102"/>
      <c r="AH548" s="44"/>
      <c r="AK548" s="102"/>
      <c r="AL548" s="44"/>
      <c r="AM548" s="44"/>
      <c r="AN548" s="44"/>
    </row>
    <row r="549" spans="1:40">
      <c r="L549" s="44"/>
      <c r="M549" s="44"/>
      <c r="N549" s="44"/>
      <c r="O549" s="44"/>
      <c r="R549" s="44"/>
      <c r="Z549" s="44"/>
      <c r="AA549" s="44"/>
      <c r="AB549" s="44"/>
      <c r="AC549" s="44"/>
      <c r="AD549" s="44"/>
      <c r="AE549" s="44"/>
      <c r="AF549" s="44"/>
      <c r="AG549" s="102"/>
      <c r="AH549" s="44"/>
      <c r="AK549" s="102"/>
      <c r="AL549" s="44"/>
      <c r="AM549" s="44"/>
      <c r="AN549" s="44"/>
    </row>
    <row r="550" spans="1:40">
      <c r="A550" s="44"/>
      <c r="C550" s="44"/>
      <c r="D550" s="44"/>
      <c r="E550" s="44"/>
      <c r="F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>
      <c r="A551" s="44"/>
      <c r="C551" s="44"/>
      <c r="D551" s="44"/>
      <c r="E551" s="44"/>
      <c r="F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T551" s="44"/>
      <c r="U551" s="44"/>
      <c r="V551" s="44"/>
      <c r="Y551" s="44"/>
      <c r="Z551" s="44"/>
      <c r="AA551" s="44"/>
      <c r="AB551" s="44"/>
      <c r="AC551" s="44"/>
      <c r="AD551" s="44"/>
      <c r="AE551" s="44"/>
      <c r="AF551" s="44"/>
      <c r="AG551" s="102"/>
      <c r="AH551" s="44"/>
      <c r="AI551" s="44"/>
      <c r="AJ551" s="44"/>
      <c r="AK551" s="102"/>
      <c r="AL551" s="44"/>
      <c r="AM551" s="44"/>
      <c r="AN551" s="44"/>
    </row>
    <row r="552" spans="1:40">
      <c r="C552" s="44"/>
      <c r="D552" s="44"/>
      <c r="E552" s="44"/>
      <c r="F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T552" s="44"/>
      <c r="U552" s="44"/>
      <c r="V552" s="44"/>
      <c r="Y552" s="44"/>
      <c r="Z552" s="44"/>
      <c r="AA552" s="44"/>
      <c r="AB552" s="44"/>
      <c r="AC552" s="44"/>
      <c r="AD552" s="44"/>
      <c r="AE552" s="44"/>
      <c r="AF552" s="44"/>
      <c r="AG552" s="102"/>
      <c r="AH552" s="44"/>
      <c r="AI552" s="44"/>
      <c r="AJ552" s="44"/>
      <c r="AK552" s="102"/>
      <c r="AL552" s="44"/>
      <c r="AM552" s="44"/>
      <c r="AN552" s="44"/>
    </row>
    <row r="553" spans="1:40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107"/>
      <c r="AH553" s="49"/>
      <c r="AI553" s="49"/>
      <c r="AJ553" s="49"/>
      <c r="AK553" s="107"/>
      <c r="AL553" s="49"/>
      <c r="AM553" s="49"/>
      <c r="AN553" s="49"/>
    </row>
    <row r="554" spans="1:40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Y554" s="44"/>
      <c r="Z554" s="44"/>
      <c r="AA554" s="44"/>
      <c r="AB554" s="44"/>
      <c r="AC554" s="44"/>
      <c r="AD554" s="44"/>
      <c r="AE554" s="44"/>
      <c r="AF554" s="44"/>
      <c r="AG554" s="102"/>
      <c r="AH554" s="44"/>
      <c r="AI554" s="44"/>
      <c r="AJ554" s="44"/>
      <c r="AK554" s="102"/>
      <c r="AL554" s="44"/>
      <c r="AM554" s="44"/>
      <c r="AN554" s="44"/>
    </row>
    <row r="555" spans="1:40">
      <c r="C555" s="42"/>
      <c r="D555" s="42"/>
      <c r="E555" s="42"/>
      <c r="T555" s="42"/>
      <c r="U555" s="42"/>
    </row>
    <row r="557" spans="1:40">
      <c r="C557" s="42"/>
      <c r="T557" s="42"/>
    </row>
    <row r="558" spans="1:40">
      <c r="C558" s="42"/>
      <c r="T558" s="42"/>
    </row>
    <row r="559" spans="1:40">
      <c r="C559" s="42"/>
      <c r="F559" s="164"/>
      <c r="H559" s="164"/>
      <c r="I559" s="164"/>
      <c r="J559" s="132"/>
      <c r="K559" s="132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132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51"/>
      <c r="AN559" s="51"/>
    </row>
    <row r="560" spans="1:40">
      <c r="C560" s="42"/>
      <c r="F560" s="45"/>
      <c r="H560" s="45"/>
      <c r="I560" s="45"/>
      <c r="J560" s="56"/>
      <c r="K560" s="56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56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51"/>
      <c r="AN560" s="51"/>
    </row>
    <row r="561" spans="3:40">
      <c r="C561" s="42"/>
      <c r="F561" s="45"/>
      <c r="H561" s="45"/>
      <c r="I561" s="45"/>
      <c r="J561" s="56"/>
      <c r="K561" s="56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56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3:40">
      <c r="C562" s="42"/>
      <c r="F562" s="45"/>
      <c r="H562" s="45"/>
      <c r="I562" s="45"/>
      <c r="J562" s="56"/>
      <c r="K562" s="56"/>
      <c r="T562" s="42"/>
      <c r="V562" s="45"/>
      <c r="Z562" s="56"/>
    </row>
    <row r="563" spans="3:40">
      <c r="C563" s="42"/>
      <c r="F563" s="164"/>
      <c r="H563" s="164"/>
      <c r="I563" s="164"/>
      <c r="J563" s="132"/>
      <c r="K563" s="132"/>
      <c r="L563" s="45"/>
      <c r="M563" s="45"/>
      <c r="N563" s="46"/>
      <c r="O563" s="46"/>
      <c r="P563" s="45"/>
      <c r="Q563" s="45"/>
      <c r="R563" s="45"/>
      <c r="T563" s="42"/>
      <c r="V563" s="45"/>
      <c r="W563" s="45"/>
      <c r="X563" s="45"/>
      <c r="Y563" s="45"/>
      <c r="Z563" s="132"/>
      <c r="AA563" s="45"/>
      <c r="AB563" s="45"/>
      <c r="AC563" s="46"/>
      <c r="AD563" s="46"/>
      <c r="AE563" s="45"/>
      <c r="AF563" s="45"/>
      <c r="AH563" s="51"/>
      <c r="AI563" s="45"/>
      <c r="AJ563" s="45"/>
      <c r="AL563" s="45"/>
      <c r="AM563" s="51"/>
      <c r="AN563" s="51"/>
    </row>
    <row r="564" spans="3:40">
      <c r="C564" s="42"/>
      <c r="F564" s="45"/>
      <c r="H564" s="45"/>
      <c r="I564" s="45"/>
      <c r="J564" s="56"/>
      <c r="K564" s="56"/>
      <c r="T564" s="42"/>
      <c r="V564" s="45"/>
      <c r="W564" s="45"/>
      <c r="X564" s="45"/>
      <c r="Y564" s="45"/>
      <c r="Z564" s="56"/>
      <c r="AC564" s="46"/>
      <c r="AD564" s="46"/>
      <c r="AE564" s="45"/>
      <c r="AF564" s="45"/>
      <c r="AH564" s="51"/>
      <c r="AI564" s="45"/>
      <c r="AJ564" s="45"/>
      <c r="AL564" s="45"/>
      <c r="AM564" s="51"/>
      <c r="AN564" s="51"/>
    </row>
    <row r="565" spans="3:40">
      <c r="C565" s="42"/>
      <c r="F565" s="164"/>
      <c r="H565" s="164"/>
      <c r="I565" s="164"/>
      <c r="J565" s="132"/>
      <c r="K565" s="132"/>
      <c r="L565" s="45"/>
      <c r="M565" s="45"/>
      <c r="N565" s="46"/>
      <c r="O565" s="46"/>
      <c r="P565" s="45"/>
      <c r="Q565" s="45"/>
      <c r="R565" s="45"/>
      <c r="T565" s="42"/>
      <c r="V565" s="45"/>
      <c r="W565" s="45"/>
      <c r="X565" s="45"/>
      <c r="Y565" s="45"/>
      <c r="Z565" s="132"/>
      <c r="AA565" s="45"/>
      <c r="AB565" s="45"/>
      <c r="AC565" s="46"/>
      <c r="AD565" s="46"/>
      <c r="AE565" s="45"/>
      <c r="AF565" s="45"/>
      <c r="AH565" s="51"/>
      <c r="AI565" s="45"/>
      <c r="AJ565" s="45"/>
      <c r="AL565" s="45"/>
      <c r="AM565" s="51"/>
      <c r="AN565" s="51"/>
    </row>
    <row r="566" spans="3:40">
      <c r="C566" s="42"/>
      <c r="F566" s="45"/>
      <c r="H566" s="45"/>
      <c r="I566" s="45"/>
      <c r="J566" s="56"/>
      <c r="K566" s="56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56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51"/>
      <c r="AN566" s="51"/>
    </row>
    <row r="567" spans="3:40">
      <c r="F567" s="45"/>
      <c r="H567" s="45"/>
      <c r="I567" s="45"/>
      <c r="J567" s="56"/>
      <c r="K567" s="56"/>
      <c r="Z567" s="56"/>
    </row>
    <row r="568" spans="3:40">
      <c r="C568" s="42"/>
      <c r="F568" s="45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45"/>
      <c r="AJ568" s="45"/>
      <c r="AL568" s="45"/>
      <c r="AM568" s="51"/>
      <c r="AN568" s="51"/>
    </row>
    <row r="569" spans="3:40">
      <c r="F569" s="50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132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0" spans="3:40">
      <c r="C570" s="42"/>
      <c r="F570" s="45"/>
      <c r="H570" s="45"/>
      <c r="I570" s="45"/>
      <c r="J570" s="56"/>
      <c r="K570" s="56"/>
      <c r="L570" s="45"/>
      <c r="M570" s="45"/>
      <c r="P570" s="45"/>
      <c r="Q570" s="45"/>
      <c r="R570" s="45"/>
      <c r="T570" s="42"/>
      <c r="V570" s="45"/>
      <c r="Y570" s="45"/>
      <c r="Z570" s="56"/>
      <c r="AA570" s="45"/>
      <c r="AB570" s="45"/>
      <c r="AC570" s="51"/>
      <c r="AD570" s="51"/>
      <c r="AE570" s="45"/>
      <c r="AF570" s="45"/>
      <c r="AH570" s="51"/>
      <c r="AI570" s="45"/>
      <c r="AJ570" s="45"/>
      <c r="AL570" s="45"/>
      <c r="AM570" s="51"/>
      <c r="AN570" s="51"/>
    </row>
    <row r="571" spans="3:40">
      <c r="F571" s="50"/>
      <c r="H571" s="50"/>
      <c r="I571" s="50"/>
      <c r="J571" s="132"/>
      <c r="K571" s="132"/>
      <c r="L571" s="50"/>
      <c r="M571" s="50"/>
      <c r="N571" s="50"/>
      <c r="O571" s="50"/>
      <c r="P571" s="50"/>
      <c r="Q571" s="50"/>
      <c r="R571" s="50"/>
      <c r="V571" s="50"/>
      <c r="Y571" s="50"/>
      <c r="Z571" s="132"/>
      <c r="AA571" s="50"/>
      <c r="AB571" s="50"/>
      <c r="AC571" s="50"/>
      <c r="AD571" s="50"/>
      <c r="AE571" s="50"/>
      <c r="AF571" s="50"/>
      <c r="AI571" s="50"/>
      <c r="AJ571" s="50"/>
      <c r="AK571" s="111"/>
      <c r="AL571" s="50"/>
    </row>
    <row r="572" spans="3:40">
      <c r="J572" s="56"/>
      <c r="K572" s="56"/>
      <c r="Z572" s="56"/>
    </row>
    <row r="573" spans="3:40">
      <c r="C573" s="42"/>
      <c r="J573" s="56"/>
      <c r="K573" s="56"/>
      <c r="T573" s="42"/>
      <c r="Z573" s="56"/>
    </row>
    <row r="574" spans="3:40">
      <c r="C574" s="42"/>
      <c r="J574" s="56"/>
      <c r="K574" s="56"/>
      <c r="T574" s="42"/>
      <c r="Z574" s="56"/>
    </row>
    <row r="575" spans="3:40">
      <c r="C575" s="42"/>
      <c r="F575" s="164"/>
      <c r="H575" s="164"/>
      <c r="I575" s="164"/>
      <c r="J575" s="132"/>
      <c r="K575" s="132"/>
      <c r="L575" s="45"/>
      <c r="M575" s="45"/>
      <c r="N575" s="46"/>
      <c r="O575" s="46"/>
      <c r="P575" s="45"/>
      <c r="Q575" s="45"/>
      <c r="R575" s="45"/>
      <c r="T575" s="42"/>
      <c r="V575" s="45"/>
      <c r="W575" s="45"/>
      <c r="X575" s="45"/>
      <c r="Y575" s="45"/>
      <c r="Z575" s="132"/>
      <c r="AA575" s="45"/>
      <c r="AB575" s="45"/>
      <c r="AC575" s="46"/>
      <c r="AD575" s="46"/>
      <c r="AE575" s="45"/>
      <c r="AF575" s="45"/>
      <c r="AH575" s="51"/>
      <c r="AI575" s="45"/>
      <c r="AJ575" s="45"/>
      <c r="AL575" s="45"/>
      <c r="AM575" s="51"/>
      <c r="AN575" s="51"/>
    </row>
    <row r="576" spans="3:40">
      <c r="C576" s="42"/>
      <c r="J576" s="56"/>
      <c r="K576" s="56"/>
      <c r="T576" s="42"/>
      <c r="Z576" s="56"/>
    </row>
    <row r="577" spans="1:40">
      <c r="C577" s="42"/>
      <c r="F577" s="164"/>
      <c r="H577" s="164"/>
      <c r="I577" s="164"/>
      <c r="J577" s="132"/>
      <c r="K577" s="132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Z577" s="132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51"/>
      <c r="AN577" s="51"/>
    </row>
    <row r="578" spans="1:40">
      <c r="F578" s="50"/>
      <c r="H578" s="50"/>
      <c r="I578" s="50"/>
      <c r="J578" s="132"/>
      <c r="K578" s="132"/>
      <c r="L578" s="50"/>
      <c r="M578" s="50"/>
      <c r="N578" s="50"/>
      <c r="O578" s="50"/>
      <c r="P578" s="50"/>
      <c r="Q578" s="50"/>
      <c r="R578" s="50"/>
      <c r="V578" s="50"/>
      <c r="Y578" s="50"/>
      <c r="Z578" s="132"/>
      <c r="AA578" s="50"/>
      <c r="AB578" s="50"/>
      <c r="AC578" s="50"/>
      <c r="AD578" s="50"/>
      <c r="AE578" s="50"/>
      <c r="AF578" s="50"/>
      <c r="AI578" s="50"/>
      <c r="AJ578" s="50"/>
      <c r="AK578" s="111"/>
      <c r="AL578" s="50"/>
    </row>
    <row r="579" spans="1:40">
      <c r="C579" s="42"/>
      <c r="F579" s="45"/>
      <c r="H579" s="45"/>
      <c r="I579" s="45"/>
      <c r="J579" s="56"/>
      <c r="K579" s="56"/>
      <c r="L579" s="45"/>
      <c r="M579" s="45"/>
      <c r="N579" s="51"/>
      <c r="O579" s="51"/>
      <c r="P579" s="45"/>
      <c r="Q579" s="45"/>
      <c r="R579" s="45"/>
      <c r="T579" s="42"/>
      <c r="V579" s="45"/>
      <c r="Y579" s="45"/>
      <c r="Z579" s="56"/>
      <c r="AA579" s="45"/>
      <c r="AB579" s="45"/>
      <c r="AC579" s="51"/>
      <c r="AD579" s="51"/>
      <c r="AE579" s="45"/>
      <c r="AF579" s="45"/>
      <c r="AH579" s="51"/>
      <c r="AI579" s="45"/>
      <c r="AJ579" s="45"/>
      <c r="AL579" s="45"/>
      <c r="AM579" s="51"/>
      <c r="AN579" s="51"/>
    </row>
    <row r="580" spans="1:40">
      <c r="F580" s="50"/>
      <c r="H580" s="50"/>
      <c r="I580" s="50"/>
      <c r="J580" s="132"/>
      <c r="K580" s="132"/>
      <c r="L580" s="50"/>
      <c r="M580" s="50"/>
      <c r="N580" s="50"/>
      <c r="O580" s="50"/>
      <c r="P580" s="50"/>
      <c r="Q580" s="50"/>
      <c r="R580" s="50"/>
      <c r="V580" s="50"/>
      <c r="Y580" s="50"/>
      <c r="Z580" s="326"/>
      <c r="AA580" s="50"/>
      <c r="AB580" s="50"/>
      <c r="AC580" s="50"/>
      <c r="AD580" s="50"/>
      <c r="AE580" s="50"/>
      <c r="AF580" s="50"/>
      <c r="AI580" s="50"/>
      <c r="AJ580" s="50"/>
      <c r="AK580" s="111"/>
      <c r="AL580" s="50"/>
    </row>
    <row r="581" spans="1:40">
      <c r="J581" s="56"/>
      <c r="K581" s="56"/>
    </row>
    <row r="582" spans="1:40">
      <c r="C582" s="42"/>
      <c r="F582" s="45"/>
      <c r="H582" s="45"/>
      <c r="I582" s="45"/>
      <c r="J582" s="56"/>
      <c r="K582" s="56"/>
      <c r="L582" s="45"/>
      <c r="M582" s="45"/>
      <c r="N582" s="46"/>
      <c r="O582" s="46"/>
      <c r="P582" s="164"/>
      <c r="Q582" s="164"/>
      <c r="R582" s="45"/>
      <c r="T582" s="42"/>
      <c r="V582" s="45"/>
      <c r="Y582" s="45"/>
      <c r="AA582" s="45"/>
      <c r="AB582" s="45"/>
      <c r="AC582" s="51"/>
      <c r="AD582" s="51"/>
      <c r="AE582" s="45"/>
      <c r="AF582" s="45"/>
      <c r="AH582" s="51"/>
      <c r="AI582" s="164"/>
      <c r="AJ582" s="164"/>
      <c r="AL582" s="45"/>
      <c r="AM582" s="51"/>
      <c r="AN582" s="51"/>
    </row>
    <row r="583" spans="1:40">
      <c r="F583" s="50"/>
      <c r="H583" s="50"/>
      <c r="I583" s="50"/>
      <c r="J583" s="132"/>
      <c r="K583" s="132"/>
      <c r="L583" s="50"/>
      <c r="M583" s="50"/>
      <c r="N583" s="50"/>
      <c r="O583" s="50"/>
      <c r="P583" s="50"/>
      <c r="Q583" s="50"/>
      <c r="R583" s="50"/>
      <c r="V583" s="50"/>
      <c r="Y583" s="50"/>
      <c r="Z583" s="326"/>
      <c r="AA583" s="50"/>
      <c r="AB583" s="50"/>
      <c r="AC583" s="50"/>
      <c r="AD583" s="50"/>
      <c r="AE583" s="50"/>
      <c r="AF583" s="50"/>
      <c r="AI583" s="50"/>
      <c r="AJ583" s="50"/>
      <c r="AK583" s="111"/>
      <c r="AL583" s="50"/>
    </row>
    <row r="586" spans="1:40">
      <c r="A586" s="42"/>
    </row>
    <row r="588" spans="1:40">
      <c r="H588" s="42"/>
      <c r="I588" s="42"/>
      <c r="Y588" s="42"/>
    </row>
    <row r="590" spans="1:40">
      <c r="L590" s="42"/>
      <c r="M590" s="42"/>
      <c r="AA590" s="42"/>
      <c r="AB590" s="42"/>
    </row>
    <row r="591" spans="1:40">
      <c r="R591" s="42"/>
      <c r="AK591" s="110"/>
      <c r="AL591" s="42"/>
    </row>
    <row r="592" spans="1:40">
      <c r="R592" s="42"/>
      <c r="AK592" s="110"/>
      <c r="AL592" s="42"/>
    </row>
    <row r="593" spans="1:40">
      <c r="A593" s="42"/>
      <c r="R593" s="42"/>
      <c r="AK593" s="110"/>
      <c r="AL593" s="42"/>
    </row>
    <row r="594" spans="1:40">
      <c r="L594" s="42"/>
      <c r="M594" s="42"/>
      <c r="AA594" s="42"/>
      <c r="AB594" s="42"/>
    </row>
    <row r="595" spans="1:40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107"/>
      <c r="AH595" s="49"/>
      <c r="AI595" s="49"/>
      <c r="AJ595" s="49"/>
      <c r="AK595" s="107"/>
      <c r="AL595" s="49"/>
      <c r="AM595" s="49"/>
      <c r="AN595" s="49"/>
    </row>
    <row r="596" spans="1:40">
      <c r="L596" s="44"/>
      <c r="M596" s="44"/>
      <c r="N596" s="44"/>
      <c r="O596" s="44"/>
      <c r="R596" s="44"/>
      <c r="AA596" s="44"/>
      <c r="AB596" s="44"/>
      <c r="AC596" s="44"/>
      <c r="AD596" s="44"/>
      <c r="AE596" s="44"/>
      <c r="AF596" s="44"/>
      <c r="AG596" s="102"/>
      <c r="AH596" s="44"/>
      <c r="AK596" s="102"/>
      <c r="AL596" s="44"/>
      <c r="AM596" s="44"/>
      <c r="AN596" s="44"/>
    </row>
    <row r="597" spans="1:40">
      <c r="L597" s="44"/>
      <c r="M597" s="44"/>
      <c r="N597" s="44"/>
      <c r="O597" s="44"/>
      <c r="R597" s="44"/>
      <c r="Z597" s="44"/>
      <c r="AA597" s="44"/>
      <c r="AB597" s="44"/>
      <c r="AC597" s="44"/>
      <c r="AD597" s="44"/>
      <c r="AE597" s="44"/>
      <c r="AF597" s="44"/>
      <c r="AG597" s="102"/>
      <c r="AH597" s="44"/>
      <c r="AK597" s="102"/>
      <c r="AL597" s="44"/>
      <c r="AM597" s="44"/>
      <c r="AN597" s="44"/>
    </row>
    <row r="598" spans="1:40">
      <c r="A598" s="44"/>
      <c r="C598" s="44"/>
      <c r="D598" s="44"/>
      <c r="E598" s="44"/>
      <c r="F598" s="44"/>
      <c r="J598" s="44"/>
      <c r="K598" s="44"/>
      <c r="L598" s="44"/>
      <c r="M598" s="44"/>
      <c r="N598" s="44"/>
      <c r="O598" s="44"/>
      <c r="P598" s="44"/>
      <c r="Q598" s="44"/>
      <c r="R598" s="44"/>
      <c r="T598" s="44"/>
      <c r="U598" s="44"/>
      <c r="V598" s="44"/>
      <c r="Z598" s="44"/>
      <c r="AA598" s="44"/>
      <c r="AB598" s="44"/>
      <c r="AC598" s="44"/>
      <c r="AD598" s="44"/>
      <c r="AE598" s="44"/>
      <c r="AF598" s="44"/>
      <c r="AG598" s="102"/>
      <c r="AH598" s="44"/>
      <c r="AI598" s="44"/>
      <c r="AJ598" s="44"/>
      <c r="AK598" s="102"/>
      <c r="AL598" s="44"/>
      <c r="AM598" s="44"/>
      <c r="AN598" s="44"/>
    </row>
    <row r="599" spans="1:40">
      <c r="A599" s="44"/>
      <c r="C599" s="44"/>
      <c r="D599" s="44"/>
      <c r="E599" s="44"/>
      <c r="F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T599" s="44"/>
      <c r="U599" s="44"/>
      <c r="V599" s="44"/>
      <c r="Y599" s="44"/>
      <c r="Z599" s="44"/>
      <c r="AA599" s="44"/>
      <c r="AB599" s="44"/>
      <c r="AC599" s="44"/>
      <c r="AD599" s="44"/>
      <c r="AE599" s="44"/>
      <c r="AF599" s="44"/>
      <c r="AG599" s="102"/>
      <c r="AH599" s="44"/>
      <c r="AI599" s="44"/>
      <c r="AJ599" s="44"/>
      <c r="AK599" s="102"/>
      <c r="AL599" s="44"/>
      <c r="AM599" s="44"/>
      <c r="AN599" s="44"/>
    </row>
    <row r="600" spans="1:40">
      <c r="C600" s="44"/>
      <c r="D600" s="44"/>
      <c r="E600" s="44"/>
      <c r="F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T600" s="44"/>
      <c r="U600" s="44"/>
      <c r="V600" s="44"/>
      <c r="Y600" s="44"/>
      <c r="Z600" s="44"/>
      <c r="AA600" s="44"/>
      <c r="AB600" s="44"/>
      <c r="AC600" s="44"/>
      <c r="AD600" s="44"/>
      <c r="AE600" s="44"/>
      <c r="AF600" s="44"/>
      <c r="AG600" s="102"/>
      <c r="AH600" s="44"/>
      <c r="AI600" s="44"/>
      <c r="AJ600" s="44"/>
      <c r="AK600" s="102"/>
      <c r="AL600" s="44"/>
      <c r="AM600" s="44"/>
      <c r="AN600" s="44"/>
    </row>
    <row r="601" spans="1:40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107"/>
      <c r="AH601" s="49"/>
      <c r="AI601" s="49"/>
      <c r="AJ601" s="49"/>
      <c r="AK601" s="107"/>
      <c r="AL601" s="49"/>
      <c r="AM601" s="49"/>
      <c r="AN601" s="49"/>
    </row>
    <row r="602" spans="1:40"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Y602" s="44"/>
      <c r="Z602" s="44"/>
      <c r="AA602" s="44"/>
      <c r="AB602" s="44"/>
      <c r="AC602" s="44"/>
      <c r="AD602" s="44"/>
      <c r="AE602" s="44"/>
      <c r="AF602" s="44"/>
      <c r="AG602" s="102"/>
      <c r="AH602" s="44"/>
      <c r="AI602" s="44"/>
      <c r="AJ602" s="44"/>
      <c r="AK602" s="102"/>
      <c r="AL602" s="44"/>
      <c r="AM602" s="44"/>
      <c r="AN602" s="44"/>
    </row>
    <row r="603" spans="1:40">
      <c r="C603" s="42"/>
      <c r="D603" s="42"/>
      <c r="E603" s="42"/>
      <c r="T603" s="42"/>
      <c r="U603" s="42"/>
    </row>
    <row r="605" spans="1:40">
      <c r="C605" s="42"/>
      <c r="D605" s="42"/>
      <c r="E605" s="42"/>
      <c r="T605" s="42"/>
      <c r="U605" s="42"/>
    </row>
    <row r="606" spans="1:40">
      <c r="C606" s="42"/>
      <c r="T606" s="42"/>
    </row>
    <row r="607" spans="1:40">
      <c r="C607" s="42"/>
      <c r="T607" s="42"/>
    </row>
    <row r="608" spans="1:40">
      <c r="C608" s="42"/>
      <c r="F608" s="164"/>
      <c r="H608" s="164"/>
      <c r="I608" s="164"/>
      <c r="J608" s="132"/>
      <c r="K608" s="132"/>
      <c r="L608" s="45"/>
      <c r="M608" s="45"/>
      <c r="N608" s="46"/>
      <c r="O608" s="46"/>
      <c r="P608" s="45"/>
      <c r="Q608" s="45"/>
      <c r="R608" s="45"/>
      <c r="T608" s="42"/>
      <c r="V608" s="45"/>
      <c r="W608" s="45"/>
      <c r="X608" s="45"/>
      <c r="Y608" s="45"/>
      <c r="Z608" s="132"/>
      <c r="AA608" s="45"/>
      <c r="AB608" s="45"/>
      <c r="AC608" s="46"/>
      <c r="AD608" s="46"/>
      <c r="AE608" s="45"/>
      <c r="AF608" s="45"/>
      <c r="AH608" s="51"/>
      <c r="AI608" s="45"/>
      <c r="AJ608" s="45"/>
      <c r="AL608" s="45"/>
      <c r="AM608" s="46"/>
      <c r="AN608" s="46"/>
    </row>
    <row r="609" spans="3:40">
      <c r="C609" s="42"/>
      <c r="J609" s="56"/>
      <c r="K609" s="56"/>
      <c r="T609" s="42"/>
      <c r="V609" s="45"/>
      <c r="W609" s="45"/>
      <c r="X609" s="45"/>
      <c r="Y609" s="45"/>
      <c r="Z609" s="132"/>
    </row>
    <row r="610" spans="3:40">
      <c r="C610" s="42"/>
      <c r="F610" s="164"/>
      <c r="H610" s="164"/>
      <c r="I610" s="164"/>
      <c r="J610" s="132"/>
      <c r="K610" s="132"/>
      <c r="L610" s="45"/>
      <c r="M610" s="45"/>
      <c r="N610" s="46"/>
      <c r="O610" s="46"/>
      <c r="P610" s="45"/>
      <c r="Q610" s="45"/>
      <c r="R610" s="45"/>
      <c r="T610" s="42"/>
      <c r="V610" s="45"/>
      <c r="W610" s="45"/>
      <c r="X610" s="45"/>
      <c r="Y610" s="45"/>
      <c r="Z610" s="132"/>
      <c r="AA610" s="45"/>
      <c r="AB610" s="45"/>
      <c r="AC610" s="46"/>
      <c r="AD610" s="46"/>
      <c r="AE610" s="45"/>
      <c r="AF610" s="45"/>
      <c r="AH610" s="51"/>
      <c r="AI610" s="45"/>
      <c r="AJ610" s="45"/>
      <c r="AL610" s="45"/>
      <c r="AM610" s="46"/>
      <c r="AN610" s="46"/>
    </row>
    <row r="611" spans="3:40">
      <c r="C611" s="42"/>
      <c r="J611" s="56"/>
      <c r="K611" s="56"/>
      <c r="T611" s="42"/>
      <c r="V611" s="45"/>
      <c r="W611" s="45"/>
      <c r="X611" s="45"/>
      <c r="Y611" s="45"/>
      <c r="Z611" s="132"/>
    </row>
    <row r="612" spans="3:40">
      <c r="C612" s="42"/>
      <c r="F612" s="164"/>
      <c r="H612" s="164"/>
      <c r="I612" s="164"/>
      <c r="J612" s="132"/>
      <c r="K612" s="132"/>
      <c r="L612" s="45"/>
      <c r="M612" s="45"/>
      <c r="N612" s="46"/>
      <c r="O612" s="46"/>
      <c r="P612" s="45"/>
      <c r="Q612" s="45"/>
      <c r="R612" s="45"/>
      <c r="T612" s="42"/>
      <c r="V612" s="45"/>
      <c r="W612" s="45"/>
      <c r="X612" s="45"/>
      <c r="Y612" s="45"/>
      <c r="Z612" s="132"/>
      <c r="AA612" s="45"/>
      <c r="AB612" s="45"/>
      <c r="AC612" s="46"/>
      <c r="AD612" s="46"/>
      <c r="AE612" s="45"/>
      <c r="AF612" s="45"/>
      <c r="AH612" s="51"/>
      <c r="AI612" s="45"/>
      <c r="AJ612" s="45"/>
      <c r="AL612" s="45"/>
      <c r="AM612" s="46"/>
      <c r="AN612" s="46"/>
    </row>
    <row r="613" spans="3:40">
      <c r="C613" s="42"/>
      <c r="J613" s="56"/>
      <c r="K613" s="56"/>
      <c r="T613" s="42"/>
      <c r="V613" s="45"/>
      <c r="W613" s="45"/>
      <c r="X613" s="45"/>
      <c r="Y613" s="45"/>
      <c r="Z613" s="132"/>
    </row>
    <row r="614" spans="3:40">
      <c r="C614" s="42"/>
      <c r="F614" s="164"/>
      <c r="H614" s="164"/>
      <c r="I614" s="164"/>
      <c r="J614" s="132"/>
      <c r="K614" s="132"/>
      <c r="L614" s="45"/>
      <c r="M614" s="45"/>
      <c r="N614" s="46"/>
      <c r="O614" s="46"/>
      <c r="P614" s="45"/>
      <c r="Q614" s="45"/>
      <c r="R614" s="45"/>
      <c r="T614" s="42"/>
      <c r="V614" s="45"/>
      <c r="W614" s="45"/>
      <c r="X614" s="45"/>
      <c r="Y614" s="45"/>
      <c r="Z614" s="132"/>
      <c r="AA614" s="45"/>
      <c r="AB614" s="45"/>
      <c r="AC614" s="46"/>
      <c r="AD614" s="46"/>
      <c r="AE614" s="45"/>
      <c r="AF614" s="45"/>
      <c r="AH614" s="51"/>
      <c r="AI614" s="45"/>
      <c r="AJ614" s="45"/>
      <c r="AL614" s="45"/>
      <c r="AM614" s="46"/>
      <c r="AN614" s="46"/>
    </row>
    <row r="615" spans="3:40">
      <c r="C615" s="42"/>
      <c r="J615" s="56"/>
      <c r="K615" s="56"/>
      <c r="T615" s="42"/>
      <c r="V615" s="45"/>
      <c r="W615" s="45"/>
      <c r="X615" s="45"/>
      <c r="Y615" s="45"/>
      <c r="Z615" s="132"/>
    </row>
    <row r="616" spans="3:40">
      <c r="C616" s="42"/>
      <c r="F616" s="164"/>
      <c r="H616" s="164"/>
      <c r="I616" s="164"/>
      <c r="J616" s="132"/>
      <c r="K616" s="132"/>
      <c r="L616" s="45"/>
      <c r="M616" s="45"/>
      <c r="N616" s="46"/>
      <c r="O616" s="46"/>
      <c r="P616" s="45"/>
      <c r="Q616" s="45"/>
      <c r="R616" s="45"/>
      <c r="T616" s="42"/>
      <c r="V616" s="45"/>
      <c r="W616" s="45"/>
      <c r="X616" s="45"/>
      <c r="Y616" s="45"/>
      <c r="Z616" s="132"/>
      <c r="AA616" s="45"/>
      <c r="AB616" s="45"/>
      <c r="AC616" s="46"/>
      <c r="AD616" s="46"/>
      <c r="AE616" s="45"/>
      <c r="AF616" s="45"/>
      <c r="AH616" s="51"/>
      <c r="AI616" s="45"/>
      <c r="AJ616" s="45"/>
      <c r="AL616" s="45"/>
      <c r="AM616" s="46"/>
      <c r="AN616" s="46"/>
    </row>
    <row r="617" spans="3:40">
      <c r="C617" s="42"/>
      <c r="J617" s="56"/>
      <c r="K617" s="56"/>
      <c r="T617" s="42"/>
      <c r="V617" s="45"/>
      <c r="W617" s="45"/>
      <c r="X617" s="45"/>
      <c r="Y617" s="45"/>
      <c r="Z617" s="132"/>
    </row>
    <row r="618" spans="3:40">
      <c r="C618" s="42"/>
      <c r="F618" s="164"/>
      <c r="H618" s="164"/>
      <c r="I618" s="164"/>
      <c r="J618" s="132"/>
      <c r="K618" s="132"/>
      <c r="L618" s="45"/>
      <c r="M618" s="45"/>
      <c r="N618" s="46"/>
      <c r="O618" s="46"/>
      <c r="P618" s="45"/>
      <c r="Q618" s="45"/>
      <c r="R618" s="45"/>
      <c r="T618" s="42"/>
      <c r="V618" s="45"/>
      <c r="W618" s="45"/>
      <c r="X618" s="45"/>
      <c r="Y618" s="45"/>
      <c r="Z618" s="132"/>
      <c r="AA618" s="45"/>
      <c r="AB618" s="45"/>
      <c r="AC618" s="46"/>
      <c r="AD618" s="46"/>
      <c r="AE618" s="45"/>
      <c r="AF618" s="45"/>
      <c r="AH618" s="51"/>
      <c r="AI618" s="45"/>
      <c r="AJ618" s="45"/>
      <c r="AL618" s="45"/>
      <c r="AM618" s="46"/>
      <c r="AN618" s="46"/>
    </row>
    <row r="619" spans="3:40">
      <c r="F619" s="50"/>
      <c r="H619" s="50"/>
      <c r="I619" s="50"/>
      <c r="J619" s="132"/>
      <c r="K619" s="132"/>
      <c r="L619" s="50"/>
      <c r="M619" s="50"/>
      <c r="N619" s="50"/>
      <c r="O619" s="50"/>
      <c r="P619" s="50"/>
      <c r="Q619" s="50"/>
      <c r="R619" s="50"/>
      <c r="V619" s="50"/>
      <c r="Y619" s="50"/>
      <c r="Z619" s="132"/>
      <c r="AA619" s="50"/>
      <c r="AB619" s="50"/>
      <c r="AC619" s="50"/>
      <c r="AD619" s="50"/>
      <c r="AE619" s="50"/>
      <c r="AF619" s="50"/>
      <c r="AI619" s="50"/>
      <c r="AJ619" s="50"/>
      <c r="AK619" s="111"/>
      <c r="AL619" s="50"/>
      <c r="AM619" s="46"/>
      <c r="AN619" s="46"/>
    </row>
    <row r="620" spans="3:40">
      <c r="C620" s="42"/>
      <c r="F620" s="45"/>
      <c r="H620" s="45"/>
      <c r="I620" s="45"/>
      <c r="J620" s="56"/>
      <c r="K620" s="56"/>
      <c r="L620" s="45"/>
      <c r="M620" s="45"/>
      <c r="N620" s="46"/>
      <c r="O620" s="46"/>
      <c r="P620" s="164"/>
      <c r="Q620" s="164"/>
      <c r="R620" s="45"/>
      <c r="T620" s="42"/>
      <c r="V620" s="45"/>
      <c r="W620" s="45"/>
      <c r="X620" s="45"/>
      <c r="Y620" s="45"/>
      <c r="Z620" s="132"/>
      <c r="AA620" s="45"/>
      <c r="AB620" s="45"/>
      <c r="AC620" s="46"/>
      <c r="AD620" s="46"/>
      <c r="AE620" s="45"/>
      <c r="AF620" s="45"/>
      <c r="AH620" s="51"/>
      <c r="AI620" s="164"/>
      <c r="AJ620" s="164"/>
      <c r="AL620" s="45"/>
      <c r="AM620" s="46"/>
      <c r="AN620" s="46"/>
    </row>
    <row r="621" spans="3:40">
      <c r="F621" s="50"/>
      <c r="H621" s="50"/>
      <c r="I621" s="50"/>
      <c r="J621" s="132"/>
      <c r="K621" s="132"/>
      <c r="L621" s="50"/>
      <c r="M621" s="50"/>
      <c r="N621" s="50"/>
      <c r="O621" s="50"/>
      <c r="P621" s="50"/>
      <c r="Q621" s="50"/>
      <c r="R621" s="50"/>
      <c r="V621" s="50"/>
      <c r="Y621" s="50"/>
      <c r="Z621" s="132"/>
      <c r="AA621" s="50"/>
      <c r="AB621" s="50"/>
      <c r="AC621" s="50"/>
      <c r="AD621" s="50"/>
      <c r="AE621" s="50"/>
      <c r="AF621" s="50"/>
      <c r="AI621" s="50"/>
      <c r="AJ621" s="50"/>
      <c r="AK621" s="111"/>
      <c r="AL621" s="50"/>
    </row>
    <row r="622" spans="3:40">
      <c r="C622" s="42"/>
      <c r="D622" s="42"/>
      <c r="E622" s="42"/>
      <c r="J622" s="56"/>
      <c r="K622" s="56"/>
      <c r="T622" s="42"/>
      <c r="U622" s="42"/>
      <c r="V622" s="45"/>
      <c r="W622" s="45"/>
      <c r="X622" s="45"/>
      <c r="Y622" s="45"/>
      <c r="Z622" s="132"/>
    </row>
    <row r="623" spans="3:40">
      <c r="C623" s="42"/>
      <c r="J623" s="56"/>
      <c r="K623" s="56"/>
      <c r="T623" s="42"/>
      <c r="V623" s="45"/>
      <c r="W623" s="45"/>
      <c r="X623" s="45"/>
      <c r="Y623" s="45"/>
      <c r="Z623" s="132"/>
    </row>
    <row r="624" spans="3:40">
      <c r="C624" s="42"/>
      <c r="J624" s="56"/>
      <c r="K624" s="56"/>
      <c r="T624" s="42"/>
      <c r="V624" s="45"/>
      <c r="W624" s="45"/>
      <c r="X624" s="45"/>
      <c r="Y624" s="45"/>
      <c r="Z624" s="132"/>
    </row>
    <row r="625" spans="3:40">
      <c r="C625" s="42"/>
      <c r="F625" s="164"/>
      <c r="H625" s="164"/>
      <c r="I625" s="164"/>
      <c r="J625" s="132"/>
      <c r="K625" s="132"/>
      <c r="L625" s="45"/>
      <c r="M625" s="45"/>
      <c r="N625" s="46"/>
      <c r="O625" s="46"/>
      <c r="P625" s="45"/>
      <c r="Q625" s="45"/>
      <c r="R625" s="45"/>
      <c r="T625" s="42"/>
      <c r="V625" s="45"/>
      <c r="W625" s="45"/>
      <c r="X625" s="45"/>
      <c r="Y625" s="45"/>
      <c r="Z625" s="132"/>
      <c r="AA625" s="45"/>
      <c r="AB625" s="45"/>
      <c r="AC625" s="46"/>
      <c r="AD625" s="46"/>
      <c r="AE625" s="45"/>
      <c r="AF625" s="45"/>
      <c r="AH625" s="51"/>
      <c r="AI625" s="45"/>
      <c r="AJ625" s="45"/>
      <c r="AL625" s="45"/>
      <c r="AM625" s="46"/>
      <c r="AN625" s="46"/>
    </row>
    <row r="626" spans="3:40">
      <c r="C626" s="42"/>
      <c r="J626" s="56"/>
      <c r="K626" s="56"/>
      <c r="T626" s="42"/>
      <c r="V626" s="45"/>
      <c r="W626" s="45"/>
      <c r="X626" s="45"/>
      <c r="Y626" s="45"/>
      <c r="Z626" s="132"/>
    </row>
    <row r="627" spans="3:40">
      <c r="C627" s="42"/>
      <c r="F627" s="164"/>
      <c r="H627" s="164"/>
      <c r="I627" s="164"/>
      <c r="J627" s="132"/>
      <c r="K627" s="132"/>
      <c r="L627" s="45"/>
      <c r="M627" s="45"/>
      <c r="N627" s="46"/>
      <c r="O627" s="46"/>
      <c r="P627" s="45"/>
      <c r="Q627" s="45"/>
      <c r="R627" s="45"/>
      <c r="T627" s="42"/>
      <c r="V627" s="45"/>
      <c r="W627" s="45"/>
      <c r="X627" s="45"/>
      <c r="Y627" s="45"/>
      <c r="Z627" s="132"/>
      <c r="AA627" s="45"/>
      <c r="AB627" s="45"/>
      <c r="AC627" s="46"/>
      <c r="AD627" s="46"/>
      <c r="AE627" s="45"/>
      <c r="AF627" s="45"/>
      <c r="AH627" s="51"/>
      <c r="AI627" s="45"/>
      <c r="AJ627" s="45"/>
      <c r="AL627" s="45"/>
      <c r="AM627" s="46"/>
      <c r="AN627" s="46"/>
    </row>
    <row r="628" spans="3:40">
      <c r="F628" s="50"/>
      <c r="H628" s="50"/>
      <c r="I628" s="50"/>
      <c r="J628" s="132"/>
      <c r="K628" s="132"/>
      <c r="L628" s="50"/>
      <c r="M628" s="50"/>
      <c r="N628" s="50"/>
      <c r="O628" s="50"/>
      <c r="P628" s="50"/>
      <c r="Q628" s="50"/>
      <c r="R628" s="50"/>
      <c r="V628" s="50"/>
      <c r="Y628" s="50"/>
      <c r="Z628" s="326"/>
      <c r="AA628" s="50"/>
      <c r="AB628" s="50"/>
      <c r="AC628" s="50"/>
      <c r="AD628" s="50"/>
      <c r="AE628" s="50"/>
      <c r="AF628" s="50"/>
      <c r="AI628" s="50"/>
      <c r="AJ628" s="50"/>
      <c r="AK628" s="111"/>
      <c r="AL628" s="50"/>
    </row>
    <row r="629" spans="3:40">
      <c r="C629" s="42"/>
      <c r="F629" s="45"/>
      <c r="H629" s="45"/>
      <c r="I629" s="45"/>
      <c r="L629" s="45"/>
      <c r="M629" s="45"/>
      <c r="N629" s="46"/>
      <c r="O629" s="46"/>
      <c r="P629" s="164"/>
      <c r="Q629" s="164"/>
      <c r="R629" s="45"/>
      <c r="T629" s="42"/>
      <c r="V629" s="45"/>
      <c r="W629" s="45"/>
      <c r="X629" s="45"/>
      <c r="Y629" s="45"/>
      <c r="Z629" s="336"/>
      <c r="AA629" s="45"/>
      <c r="AB629" s="45"/>
      <c r="AC629" s="46"/>
      <c r="AD629" s="46"/>
      <c r="AE629" s="45"/>
      <c r="AF629" s="45"/>
      <c r="AH629" s="51"/>
      <c r="AI629" s="164"/>
      <c r="AJ629" s="164"/>
      <c r="AL629" s="45"/>
      <c r="AM629" s="46"/>
      <c r="AN629" s="46"/>
    </row>
    <row r="630" spans="3:40">
      <c r="F630" s="50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</row>
    <row r="631" spans="3:40">
      <c r="C631" s="42"/>
      <c r="D631" s="42"/>
      <c r="E631" s="42"/>
      <c r="T631" s="42"/>
      <c r="U631" s="42"/>
      <c r="V631" s="45"/>
      <c r="W631" s="45"/>
      <c r="X631" s="45"/>
      <c r="Y631" s="45"/>
      <c r="Z631" s="336"/>
    </row>
    <row r="632" spans="3:40">
      <c r="C632" s="42"/>
      <c r="T632" s="42"/>
      <c r="V632" s="45"/>
      <c r="W632" s="45"/>
      <c r="X632" s="45"/>
      <c r="Y632" s="45"/>
      <c r="Z632" s="336"/>
    </row>
    <row r="633" spans="3:40">
      <c r="C633" s="42"/>
      <c r="F633" s="164"/>
      <c r="H633" s="164"/>
      <c r="I633" s="164"/>
      <c r="J633" s="336"/>
      <c r="K633" s="336"/>
      <c r="L633" s="45"/>
      <c r="M633" s="45"/>
      <c r="N633" s="46"/>
      <c r="O633" s="46"/>
      <c r="P633" s="45"/>
      <c r="Q633" s="45"/>
      <c r="R633" s="45"/>
      <c r="T633" s="42"/>
      <c r="V633" s="45"/>
      <c r="W633" s="45"/>
      <c r="X633" s="45"/>
      <c r="Y633" s="45"/>
      <c r="Z633" s="336"/>
      <c r="AA633" s="45"/>
      <c r="AB633" s="45"/>
      <c r="AC633" s="46"/>
      <c r="AD633" s="46"/>
      <c r="AE633" s="45"/>
      <c r="AF633" s="45"/>
      <c r="AH633" s="51"/>
      <c r="AI633" s="45"/>
      <c r="AJ633" s="45"/>
      <c r="AL633" s="45"/>
      <c r="AM633" s="46"/>
      <c r="AN633" s="46"/>
    </row>
    <row r="634" spans="3:40">
      <c r="C634" s="42"/>
      <c r="T634" s="42"/>
      <c r="V634" s="45"/>
      <c r="W634" s="45"/>
      <c r="X634" s="45"/>
      <c r="Y634" s="45"/>
      <c r="Z634" s="336"/>
    </row>
    <row r="635" spans="3:40">
      <c r="C635" s="42"/>
      <c r="F635" s="164"/>
      <c r="H635" s="164"/>
      <c r="I635" s="164"/>
      <c r="J635" s="336"/>
      <c r="K635" s="336"/>
      <c r="L635" s="45"/>
      <c r="M635" s="45"/>
      <c r="N635" s="46"/>
      <c r="O635" s="46"/>
      <c r="P635" s="45"/>
      <c r="Q635" s="45"/>
      <c r="R635" s="45"/>
      <c r="T635" s="42"/>
      <c r="V635" s="45"/>
      <c r="W635" s="45"/>
      <c r="X635" s="45"/>
      <c r="Y635" s="45"/>
      <c r="Z635" s="336"/>
      <c r="AA635" s="45"/>
      <c r="AB635" s="45"/>
      <c r="AC635" s="46"/>
      <c r="AD635" s="46"/>
      <c r="AE635" s="45"/>
      <c r="AF635" s="45"/>
      <c r="AH635" s="51"/>
      <c r="AI635" s="45"/>
      <c r="AJ635" s="45"/>
      <c r="AL635" s="45"/>
      <c r="AM635" s="46"/>
      <c r="AN635" s="46"/>
    </row>
    <row r="636" spans="3:40">
      <c r="C636" s="42"/>
      <c r="T636" s="42"/>
      <c r="V636" s="45"/>
      <c r="W636" s="45"/>
      <c r="X636" s="45"/>
      <c r="Y636" s="45"/>
      <c r="Z636" s="336"/>
    </row>
    <row r="637" spans="3:40">
      <c r="C637" s="42"/>
      <c r="F637" s="164"/>
      <c r="H637" s="164"/>
      <c r="I637" s="164"/>
      <c r="J637" s="336"/>
      <c r="K637" s="336"/>
      <c r="L637" s="45"/>
      <c r="M637" s="45"/>
      <c r="N637" s="46"/>
      <c r="O637" s="46"/>
      <c r="P637" s="45"/>
      <c r="Q637" s="45"/>
      <c r="R637" s="45"/>
      <c r="T637" s="42"/>
      <c r="V637" s="45"/>
      <c r="W637" s="45"/>
      <c r="X637" s="45"/>
      <c r="Y637" s="45"/>
      <c r="Z637" s="336"/>
      <c r="AA637" s="45"/>
      <c r="AB637" s="45"/>
      <c r="AC637" s="46"/>
      <c r="AD637" s="46"/>
      <c r="AE637" s="45"/>
      <c r="AF637" s="45"/>
      <c r="AH637" s="51"/>
      <c r="AI637" s="45"/>
      <c r="AJ637" s="45"/>
      <c r="AL637" s="45"/>
      <c r="AM637" s="46"/>
      <c r="AN637" s="46"/>
    </row>
    <row r="638" spans="3:40">
      <c r="C638" s="42"/>
      <c r="T638" s="42"/>
      <c r="V638" s="45"/>
      <c r="W638" s="45"/>
      <c r="X638" s="45"/>
      <c r="Y638" s="45"/>
      <c r="Z638" s="336"/>
    </row>
    <row r="639" spans="3:40">
      <c r="C639" s="42"/>
      <c r="F639" s="164"/>
      <c r="H639" s="164"/>
      <c r="I639" s="164"/>
      <c r="J639" s="336"/>
      <c r="K639" s="336"/>
      <c r="L639" s="45"/>
      <c r="M639" s="45"/>
      <c r="N639" s="46"/>
      <c r="O639" s="46"/>
      <c r="P639" s="45"/>
      <c r="Q639" s="45"/>
      <c r="R639" s="45"/>
      <c r="T639" s="42"/>
      <c r="V639" s="45"/>
      <c r="W639" s="45"/>
      <c r="X639" s="45"/>
      <c r="Y639" s="45"/>
      <c r="Z639" s="336"/>
      <c r="AA639" s="45"/>
      <c r="AB639" s="45"/>
      <c r="AC639" s="46"/>
      <c r="AD639" s="46"/>
      <c r="AE639" s="45"/>
      <c r="AF639" s="45"/>
      <c r="AH639" s="51"/>
      <c r="AI639" s="45"/>
      <c r="AJ639" s="45"/>
      <c r="AL639" s="45"/>
      <c r="AM639" s="46"/>
      <c r="AN639" s="46"/>
    </row>
    <row r="640" spans="3:40">
      <c r="F640" s="50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</row>
    <row r="641" spans="1:40">
      <c r="C641" s="42"/>
      <c r="F641" s="45"/>
      <c r="H641" s="45"/>
      <c r="I641" s="45"/>
      <c r="L641" s="45"/>
      <c r="M641" s="45"/>
      <c r="N641" s="46"/>
      <c r="O641" s="46"/>
      <c r="P641" s="164"/>
      <c r="Q641" s="164"/>
      <c r="R641" s="45"/>
      <c r="T641" s="42"/>
      <c r="V641" s="45"/>
      <c r="W641" s="45"/>
      <c r="X641" s="45"/>
      <c r="Y641" s="45"/>
      <c r="Z641" s="336"/>
      <c r="AA641" s="45"/>
      <c r="AB641" s="45"/>
      <c r="AC641" s="46"/>
      <c r="AD641" s="46"/>
      <c r="AE641" s="45"/>
      <c r="AF641" s="45"/>
      <c r="AH641" s="51"/>
      <c r="AI641" s="164"/>
      <c r="AJ641" s="164"/>
      <c r="AL641" s="45"/>
      <c r="AM641" s="46"/>
      <c r="AN641" s="46"/>
    </row>
    <row r="642" spans="1:40">
      <c r="F642" s="50"/>
      <c r="H642" s="50"/>
      <c r="I642" s="50"/>
      <c r="J642" s="326"/>
      <c r="K642" s="326"/>
      <c r="L642" s="50"/>
      <c r="M642" s="50"/>
      <c r="N642" s="50"/>
      <c r="O642" s="50"/>
      <c r="P642" s="50"/>
      <c r="Q642" s="50"/>
      <c r="R642" s="50"/>
      <c r="V642" s="50"/>
      <c r="Y642" s="50"/>
      <c r="Z642" s="326"/>
      <c r="AA642" s="50"/>
      <c r="AB642" s="50"/>
      <c r="AC642" s="50"/>
      <c r="AD642" s="50"/>
      <c r="AE642" s="50"/>
      <c r="AF642" s="50"/>
      <c r="AI642" s="50"/>
      <c r="AJ642" s="50"/>
      <c r="AK642" s="111"/>
      <c r="AL642" s="50"/>
    </row>
    <row r="643" spans="1:40">
      <c r="C643" s="42"/>
      <c r="F643" s="45"/>
      <c r="H643" s="45"/>
      <c r="I643" s="45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51"/>
      <c r="AN643" s="51"/>
    </row>
    <row r="644" spans="1:40">
      <c r="F644" s="50"/>
      <c r="H644" s="50"/>
      <c r="I644" s="50"/>
      <c r="J644" s="326"/>
      <c r="K644" s="326"/>
      <c r="L644" s="50"/>
      <c r="M644" s="50"/>
      <c r="N644" s="50"/>
      <c r="O644" s="50"/>
      <c r="P644" s="50"/>
      <c r="Q644" s="50"/>
      <c r="R644" s="50"/>
      <c r="V644" s="50"/>
      <c r="Y644" s="50"/>
      <c r="Z644" s="326"/>
      <c r="AA644" s="50"/>
      <c r="AB644" s="50"/>
      <c r="AC644" s="50"/>
      <c r="AD644" s="50"/>
      <c r="AE644" s="50"/>
      <c r="AF644" s="50"/>
      <c r="AI644" s="50"/>
      <c r="AJ644" s="50"/>
      <c r="AK644" s="111"/>
      <c r="AL644" s="50"/>
    </row>
    <row r="647" spans="1:40">
      <c r="A647" s="42"/>
    </row>
    <row r="649" spans="1:40">
      <c r="H649" s="42"/>
      <c r="I649" s="42"/>
      <c r="Y649" s="42"/>
    </row>
    <row r="651" spans="1:40">
      <c r="L651" s="42"/>
      <c r="M651" s="42"/>
      <c r="AA651" s="42"/>
      <c r="AB651" s="42"/>
    </row>
    <row r="652" spans="1:40">
      <c r="R652" s="42"/>
      <c r="AK652" s="110"/>
      <c r="AL652" s="42"/>
    </row>
    <row r="653" spans="1:40">
      <c r="R653" s="42"/>
      <c r="AK653" s="110"/>
      <c r="AL653" s="42"/>
    </row>
    <row r="654" spans="1:40">
      <c r="A654" s="42"/>
      <c r="R654" s="42"/>
      <c r="AK654" s="110"/>
      <c r="AL654" s="42"/>
    </row>
    <row r="655" spans="1:40">
      <c r="L655" s="42"/>
      <c r="M655" s="42"/>
      <c r="AA655" s="42"/>
      <c r="AB655" s="42"/>
    </row>
    <row r="656" spans="1:40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107"/>
      <c r="AH656" s="49"/>
      <c r="AI656" s="49"/>
      <c r="AJ656" s="49"/>
      <c r="AK656" s="107"/>
      <c r="AL656" s="49"/>
      <c r="AM656" s="49"/>
      <c r="AN656" s="49"/>
    </row>
    <row r="657" spans="1:40">
      <c r="L657" s="44"/>
      <c r="M657" s="44"/>
      <c r="N657" s="44"/>
      <c r="O657" s="44"/>
      <c r="R657" s="44"/>
      <c r="AA657" s="44"/>
      <c r="AB657" s="44"/>
      <c r="AC657" s="44"/>
      <c r="AD657" s="44"/>
      <c r="AE657" s="44"/>
      <c r="AF657" s="44"/>
      <c r="AG657" s="102"/>
      <c r="AH657" s="44"/>
      <c r="AK657" s="102"/>
      <c r="AL657" s="44"/>
      <c r="AM657" s="44"/>
      <c r="AN657" s="44"/>
    </row>
    <row r="658" spans="1:40">
      <c r="L658" s="44"/>
      <c r="M658" s="44"/>
      <c r="N658" s="44"/>
      <c r="O658" s="44"/>
      <c r="R658" s="44"/>
      <c r="Z658" s="44"/>
      <c r="AA658" s="44"/>
      <c r="AB658" s="44"/>
      <c r="AC658" s="44"/>
      <c r="AD658" s="44"/>
      <c r="AE658" s="44"/>
      <c r="AF658" s="44"/>
      <c r="AG658" s="102"/>
      <c r="AH658" s="44"/>
      <c r="AK658" s="102"/>
      <c r="AL658" s="44"/>
      <c r="AM658" s="44"/>
      <c r="AN658" s="44"/>
    </row>
    <row r="659" spans="1:40">
      <c r="A659" s="44"/>
      <c r="C659" s="44"/>
      <c r="D659" s="44"/>
      <c r="E659" s="44"/>
      <c r="F659" s="44"/>
      <c r="J659" s="44"/>
      <c r="K659" s="44"/>
      <c r="L659" s="44"/>
      <c r="M659" s="44"/>
      <c r="N659" s="44"/>
      <c r="O659" s="44"/>
      <c r="P659" s="44"/>
      <c r="Q659" s="44"/>
      <c r="R659" s="44"/>
      <c r="T659" s="44"/>
      <c r="U659" s="44"/>
      <c r="V659" s="44"/>
      <c r="Z659" s="44"/>
      <c r="AA659" s="44"/>
      <c r="AB659" s="44"/>
      <c r="AC659" s="44"/>
      <c r="AD659" s="44"/>
      <c r="AE659" s="44"/>
      <c r="AF659" s="44"/>
      <c r="AG659" s="102"/>
      <c r="AH659" s="44"/>
      <c r="AI659" s="44"/>
      <c r="AJ659" s="44"/>
      <c r="AK659" s="102"/>
      <c r="AL659" s="44"/>
      <c r="AM659" s="44"/>
      <c r="AN659" s="44"/>
    </row>
    <row r="660" spans="1:40">
      <c r="A660" s="44"/>
      <c r="C660" s="44"/>
      <c r="D660" s="44"/>
      <c r="E660" s="44"/>
      <c r="F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T660" s="44"/>
      <c r="U660" s="44"/>
      <c r="V660" s="44"/>
      <c r="Y660" s="44"/>
      <c r="Z660" s="44"/>
      <c r="AA660" s="44"/>
      <c r="AB660" s="44"/>
      <c r="AC660" s="44"/>
      <c r="AD660" s="44"/>
      <c r="AE660" s="44"/>
      <c r="AF660" s="44"/>
      <c r="AG660" s="102"/>
      <c r="AH660" s="44"/>
      <c r="AI660" s="44"/>
      <c r="AJ660" s="44"/>
      <c r="AK660" s="102"/>
      <c r="AL660" s="44"/>
      <c r="AM660" s="44"/>
      <c r="AN660" s="44"/>
    </row>
    <row r="661" spans="1:40">
      <c r="C661" s="44"/>
      <c r="D661" s="44"/>
      <c r="E661" s="44"/>
      <c r="F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T661" s="44"/>
      <c r="U661" s="44"/>
      <c r="V661" s="44"/>
      <c r="Y661" s="44"/>
      <c r="Z661" s="44"/>
      <c r="AA661" s="44"/>
      <c r="AB661" s="44"/>
      <c r="AC661" s="44"/>
      <c r="AD661" s="44"/>
      <c r="AE661" s="44"/>
      <c r="AF661" s="44"/>
      <c r="AG661" s="102"/>
      <c r="AH661" s="44"/>
      <c r="AI661" s="44"/>
      <c r="AJ661" s="44"/>
      <c r="AK661" s="102"/>
      <c r="AL661" s="44"/>
      <c r="AM661" s="44"/>
      <c r="AN661" s="44"/>
    </row>
    <row r="662" spans="1:40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107"/>
      <c r="AH662" s="49"/>
      <c r="AI662" s="49"/>
      <c r="AJ662" s="49"/>
      <c r="AK662" s="107"/>
      <c r="AL662" s="49"/>
      <c r="AM662" s="49"/>
      <c r="AN662" s="49"/>
    </row>
    <row r="663" spans="1:40"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Y663" s="44"/>
      <c r="Z663" s="44"/>
      <c r="AA663" s="44"/>
      <c r="AB663" s="44"/>
      <c r="AC663" s="44"/>
      <c r="AD663" s="44"/>
      <c r="AE663" s="44"/>
      <c r="AF663" s="44"/>
      <c r="AG663" s="102"/>
      <c r="AH663" s="44"/>
      <c r="AI663" s="44"/>
      <c r="AJ663" s="44"/>
      <c r="AK663" s="102"/>
      <c r="AL663" s="44"/>
      <c r="AM663" s="44"/>
      <c r="AN663" s="44"/>
    </row>
    <row r="664" spans="1:40">
      <c r="C664" s="42"/>
      <c r="D664" s="42"/>
      <c r="E664" s="42"/>
      <c r="F664" s="45"/>
      <c r="H664" s="45"/>
      <c r="I664" s="45"/>
      <c r="J664" s="47"/>
      <c r="K664" s="47"/>
      <c r="L664" s="45"/>
      <c r="M664" s="45"/>
      <c r="N664" s="47"/>
      <c r="O664" s="47"/>
      <c r="P664" s="45"/>
      <c r="Q664" s="45"/>
      <c r="R664" s="45"/>
      <c r="T664" s="42"/>
      <c r="U664" s="42"/>
      <c r="V664" s="45"/>
      <c r="Y664" s="45"/>
      <c r="Z664" s="47"/>
      <c r="AA664" s="45"/>
      <c r="AB664" s="45"/>
      <c r="AC664" s="47"/>
      <c r="AD664" s="47"/>
      <c r="AE664" s="45"/>
      <c r="AF664" s="45"/>
      <c r="AH664" s="51"/>
      <c r="AI664" s="45"/>
      <c r="AJ664" s="45"/>
      <c r="AL664" s="45"/>
      <c r="AM664" s="46"/>
      <c r="AN664" s="46"/>
    </row>
    <row r="665" spans="1:40">
      <c r="F665" s="50"/>
      <c r="H665" s="50"/>
      <c r="I665" s="50"/>
      <c r="J665" s="326"/>
      <c r="K665" s="326"/>
      <c r="L665" s="50"/>
      <c r="M665" s="50"/>
      <c r="N665" s="50"/>
      <c r="O665" s="50"/>
      <c r="P665" s="50"/>
      <c r="Q665" s="50"/>
      <c r="R665" s="50"/>
      <c r="V665" s="50"/>
      <c r="Y665" s="50"/>
      <c r="Z665" s="326"/>
      <c r="AA665" s="50"/>
      <c r="AB665" s="50"/>
      <c r="AC665" s="50"/>
      <c r="AD665" s="50"/>
      <c r="AE665" s="50"/>
      <c r="AF665" s="50"/>
      <c r="AI665" s="50"/>
      <c r="AJ665" s="50"/>
      <c r="AK665" s="111"/>
      <c r="AL665" s="50"/>
      <c r="AM665" s="46"/>
      <c r="AN665" s="46"/>
    </row>
    <row r="666" spans="1:40">
      <c r="C666" s="42"/>
      <c r="F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T666" s="42"/>
      <c r="V666" s="45"/>
      <c r="Y666" s="45"/>
      <c r="Z666" s="47"/>
      <c r="AA666" s="45"/>
      <c r="AB666" s="45"/>
      <c r="AC666" s="47"/>
      <c r="AD666" s="47"/>
      <c r="AE666" s="45"/>
      <c r="AF666" s="45"/>
      <c r="AH666" s="51"/>
      <c r="AI666" s="45"/>
      <c r="AJ666" s="45"/>
      <c r="AL666" s="45"/>
      <c r="AM666" s="46"/>
      <c r="AN666" s="46"/>
    </row>
    <row r="667" spans="1:40">
      <c r="F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V667" s="45"/>
      <c r="Y667" s="45"/>
      <c r="Z667" s="47"/>
      <c r="AA667" s="45"/>
      <c r="AB667" s="45"/>
      <c r="AC667" s="47"/>
      <c r="AD667" s="47"/>
      <c r="AH667" s="51"/>
      <c r="AI667" s="45"/>
      <c r="AJ667" s="45"/>
      <c r="AL667" s="45"/>
      <c r="AM667" s="46"/>
      <c r="AN667" s="46"/>
    </row>
    <row r="668" spans="1:40">
      <c r="C668" s="42"/>
      <c r="D668" s="42"/>
      <c r="E668" s="42"/>
      <c r="F668" s="45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U668" s="42"/>
      <c r="V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1:40">
      <c r="C669" s="42"/>
      <c r="D669" s="42"/>
      <c r="E669" s="42"/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U669" s="42"/>
      <c r="V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1:40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1:40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1:40">
      <c r="C672" s="42"/>
      <c r="D672" s="42"/>
      <c r="E672" s="42"/>
      <c r="F672" s="45"/>
      <c r="H672" s="45"/>
      <c r="I672" s="45"/>
      <c r="J672" s="47"/>
      <c r="K672" s="47"/>
      <c r="L672" s="45"/>
      <c r="M672" s="45"/>
      <c r="N672" s="47"/>
      <c r="O672" s="47"/>
      <c r="P672" s="45"/>
      <c r="Q672" s="45"/>
      <c r="R672" s="45"/>
      <c r="T672" s="42"/>
      <c r="U672" s="42"/>
      <c r="V672" s="45"/>
      <c r="Y672" s="45"/>
      <c r="Z672" s="47"/>
      <c r="AA672" s="45"/>
      <c r="AB672" s="45"/>
      <c r="AC672" s="47"/>
      <c r="AD672" s="47"/>
      <c r="AE672" s="45"/>
      <c r="AF672" s="45"/>
      <c r="AH672" s="51"/>
      <c r="AI672" s="45"/>
      <c r="AJ672" s="45"/>
      <c r="AL672" s="45"/>
      <c r="AM672" s="46"/>
      <c r="AN672" s="46"/>
    </row>
    <row r="673" spans="3:40">
      <c r="C673" s="42"/>
      <c r="D673" s="42"/>
      <c r="E673" s="42"/>
      <c r="F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U673" s="42"/>
      <c r="V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>
      <c r="F674" s="50"/>
      <c r="H674" s="50"/>
      <c r="I674" s="50"/>
      <c r="J674" s="326"/>
      <c r="K674" s="326"/>
      <c r="L674" s="50"/>
      <c r="M674" s="50"/>
      <c r="N674" s="50"/>
      <c r="O674" s="50"/>
      <c r="P674" s="50"/>
      <c r="Q674" s="50"/>
      <c r="R674" s="50"/>
      <c r="V674" s="50"/>
      <c r="Y674" s="50"/>
      <c r="Z674" s="326"/>
      <c r="AA674" s="50"/>
      <c r="AB674" s="50"/>
      <c r="AC674" s="50"/>
      <c r="AD674" s="50"/>
      <c r="AE674" s="50"/>
      <c r="AF674" s="50"/>
      <c r="AI674" s="50"/>
      <c r="AJ674" s="50"/>
      <c r="AK674" s="111"/>
      <c r="AL674" s="50"/>
      <c r="AM674" s="46"/>
      <c r="AN674" s="46"/>
    </row>
    <row r="675" spans="3:40">
      <c r="C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>
      <c r="F676" s="45"/>
      <c r="H676" s="45"/>
      <c r="I676" s="45"/>
      <c r="J676" s="47"/>
      <c r="K676" s="47"/>
      <c r="L676" s="45"/>
      <c r="M676" s="45"/>
      <c r="N676" s="47"/>
      <c r="O676" s="47"/>
      <c r="P676" s="45"/>
      <c r="Q676" s="45"/>
      <c r="R676" s="45"/>
      <c r="V676" s="45"/>
      <c r="Y676" s="45"/>
      <c r="Z676" s="47"/>
      <c r="AA676" s="45"/>
      <c r="AB676" s="45"/>
      <c r="AC676" s="47"/>
      <c r="AD676" s="47"/>
      <c r="AH676" s="51"/>
      <c r="AI676" s="45"/>
      <c r="AJ676" s="45"/>
      <c r="AL676" s="45"/>
      <c r="AM676" s="46"/>
      <c r="AN676" s="46"/>
    </row>
    <row r="677" spans="3:40">
      <c r="C677" s="42"/>
      <c r="D677" s="42"/>
      <c r="E677" s="42"/>
      <c r="F677" s="45"/>
      <c r="H677" s="45"/>
      <c r="I677" s="45"/>
      <c r="J677" s="47"/>
      <c r="K677" s="47"/>
      <c r="L677" s="45"/>
      <c r="M677" s="45"/>
      <c r="N677" s="47"/>
      <c r="O677" s="47"/>
      <c r="P677" s="45"/>
      <c r="Q677" s="45"/>
      <c r="R677" s="45"/>
      <c r="T677" s="42"/>
      <c r="U677" s="42"/>
      <c r="V677" s="45"/>
      <c r="Y677" s="45"/>
      <c r="Z677" s="47"/>
      <c r="AA677" s="45"/>
      <c r="AB677" s="45"/>
      <c r="AC677" s="47"/>
      <c r="AD677" s="47"/>
      <c r="AE677" s="45"/>
      <c r="AF677" s="45"/>
      <c r="AH677" s="51"/>
      <c r="AI677" s="45"/>
      <c r="AJ677" s="45"/>
      <c r="AL677" s="45"/>
      <c r="AM677" s="46"/>
      <c r="AN677" s="46"/>
    </row>
    <row r="678" spans="3:40">
      <c r="F678" s="50"/>
      <c r="H678" s="50"/>
      <c r="I678" s="50"/>
      <c r="J678" s="326"/>
      <c r="K678" s="326"/>
      <c r="L678" s="50"/>
      <c r="M678" s="50"/>
      <c r="N678" s="50"/>
      <c r="O678" s="50"/>
      <c r="P678" s="50"/>
      <c r="Q678" s="50"/>
      <c r="R678" s="50"/>
      <c r="V678" s="50"/>
      <c r="Y678" s="50"/>
      <c r="Z678" s="326"/>
      <c r="AA678" s="50"/>
      <c r="AB678" s="50"/>
      <c r="AC678" s="50"/>
      <c r="AD678" s="50"/>
      <c r="AE678" s="50"/>
      <c r="AF678" s="50"/>
      <c r="AI678" s="50"/>
      <c r="AJ678" s="50"/>
      <c r="AK678" s="111"/>
      <c r="AL678" s="50"/>
      <c r="AM678" s="46"/>
      <c r="AN678" s="46"/>
    </row>
    <row r="679" spans="3:40">
      <c r="C679" s="42"/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T679" s="42"/>
      <c r="V679" s="45"/>
      <c r="Y679" s="45"/>
      <c r="Z679" s="47"/>
      <c r="AA679" s="45"/>
      <c r="AB679" s="45"/>
      <c r="AC679" s="47"/>
      <c r="AD679" s="47"/>
      <c r="AE679" s="45"/>
      <c r="AF679" s="45"/>
      <c r="AH679" s="51"/>
      <c r="AI679" s="45"/>
      <c r="AJ679" s="45"/>
      <c r="AL679" s="45"/>
      <c r="AM679" s="46"/>
      <c r="AN679" s="46"/>
    </row>
    <row r="680" spans="3:40">
      <c r="F680" s="45"/>
      <c r="H680" s="45"/>
      <c r="I680" s="45"/>
      <c r="J680" s="47"/>
      <c r="K680" s="47"/>
      <c r="L680" s="45"/>
      <c r="M680" s="45"/>
      <c r="N680" s="47"/>
      <c r="O680" s="47"/>
      <c r="P680" s="45"/>
      <c r="Q680" s="45"/>
      <c r="R680" s="45"/>
      <c r="V680" s="45"/>
      <c r="Y680" s="45"/>
      <c r="Z680" s="47"/>
      <c r="AA680" s="45"/>
      <c r="AB680" s="45"/>
      <c r="AC680" s="47"/>
      <c r="AD680" s="47"/>
      <c r="AH680" s="51"/>
      <c r="AI680" s="45"/>
      <c r="AJ680" s="45"/>
      <c r="AL680" s="45"/>
      <c r="AM680" s="46"/>
      <c r="AN680" s="46"/>
    </row>
    <row r="681" spans="3:40">
      <c r="C681" s="42"/>
      <c r="D681" s="42"/>
      <c r="E681" s="42"/>
      <c r="F681" s="45"/>
      <c r="H681" s="45"/>
      <c r="I681" s="45"/>
      <c r="J681" s="47"/>
      <c r="K681" s="47"/>
      <c r="L681" s="45"/>
      <c r="M681" s="45"/>
      <c r="N681" s="47"/>
      <c r="O681" s="47"/>
      <c r="P681" s="45"/>
      <c r="Q681" s="45"/>
      <c r="R681" s="45"/>
      <c r="T681" s="42"/>
      <c r="U681" s="42"/>
      <c r="V681" s="45"/>
      <c r="Y681" s="45"/>
      <c r="Z681" s="47"/>
      <c r="AA681" s="45"/>
      <c r="AB681" s="45"/>
      <c r="AC681" s="47"/>
      <c r="AD681" s="47"/>
      <c r="AE681" s="45"/>
      <c r="AF681" s="45"/>
      <c r="AH681" s="51"/>
      <c r="AI681" s="45"/>
      <c r="AJ681" s="45"/>
      <c r="AL681" s="45"/>
      <c r="AM681" s="46"/>
      <c r="AN681" s="46"/>
    </row>
    <row r="682" spans="3:40">
      <c r="C682" s="42"/>
      <c r="D682" s="42"/>
      <c r="E682" s="42"/>
      <c r="F682" s="45"/>
      <c r="G682" s="45"/>
      <c r="H682" s="45"/>
      <c r="I682" s="45"/>
      <c r="J682" s="47"/>
      <c r="K682" s="47"/>
      <c r="L682" s="45"/>
      <c r="M682" s="45"/>
      <c r="N682" s="47"/>
      <c r="O682" s="47"/>
      <c r="P682" s="45"/>
      <c r="Q682" s="45"/>
      <c r="R682" s="45"/>
      <c r="T682" s="42"/>
      <c r="U682" s="42"/>
      <c r="V682" s="45"/>
      <c r="W682" s="45"/>
      <c r="X682" s="45"/>
      <c r="Y682" s="45"/>
      <c r="Z682" s="47"/>
      <c r="AA682" s="45"/>
      <c r="AB682" s="45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>
      <c r="C683" s="42"/>
      <c r="D683" s="42"/>
      <c r="E683" s="42"/>
      <c r="F683" s="45"/>
      <c r="G683" s="45"/>
      <c r="H683" s="45"/>
      <c r="I683" s="45"/>
      <c r="J683" s="47"/>
      <c r="K683" s="47"/>
      <c r="L683" s="45"/>
      <c r="M683" s="45"/>
      <c r="N683" s="47"/>
      <c r="O683" s="47"/>
      <c r="P683" s="45"/>
      <c r="Q683" s="45"/>
      <c r="R683" s="45"/>
      <c r="T683" s="42"/>
      <c r="U683" s="42"/>
      <c r="V683" s="45"/>
      <c r="W683" s="45"/>
      <c r="X683" s="45"/>
      <c r="Y683" s="45"/>
      <c r="Z683" s="47"/>
      <c r="AA683" s="45"/>
      <c r="AB683" s="45"/>
      <c r="AC683" s="47"/>
      <c r="AD683" s="47"/>
      <c r="AE683" s="45"/>
      <c r="AF683" s="45"/>
      <c r="AH683" s="51"/>
      <c r="AI683" s="45"/>
      <c r="AJ683" s="45"/>
      <c r="AL683" s="45"/>
      <c r="AM683" s="46"/>
      <c r="AN683" s="46"/>
    </row>
    <row r="684" spans="3:40">
      <c r="C684" s="42"/>
      <c r="D684" s="42"/>
      <c r="E684" s="42"/>
      <c r="F684" s="45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U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>
      <c r="C685" s="42"/>
      <c r="D685" s="42"/>
      <c r="E685" s="42"/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T685" s="42"/>
      <c r="U685" s="42"/>
      <c r="V685" s="45"/>
      <c r="Y685" s="45"/>
      <c r="Z685" s="47"/>
      <c r="AA685" s="45"/>
      <c r="AB685" s="45"/>
      <c r="AC685" s="47"/>
      <c r="AD685" s="47"/>
      <c r="AE685" s="45"/>
      <c r="AF685" s="45"/>
      <c r="AH685" s="51"/>
      <c r="AI685" s="45"/>
      <c r="AJ685" s="45"/>
      <c r="AL685" s="45"/>
      <c r="AM685" s="46"/>
      <c r="AN685" s="46"/>
    </row>
    <row r="686" spans="3:40">
      <c r="C686" s="42"/>
      <c r="D686" s="42"/>
      <c r="E686" s="42"/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T686" s="42"/>
      <c r="U686" s="42"/>
      <c r="V686" s="45"/>
      <c r="Y686" s="45"/>
      <c r="Z686" s="47"/>
      <c r="AA686" s="45"/>
      <c r="AB686" s="45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3:40">
      <c r="C687" s="42"/>
      <c r="D687" s="42"/>
      <c r="E687" s="42"/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T687" s="42"/>
      <c r="U687" s="42"/>
      <c r="V687" s="45"/>
      <c r="Y687" s="45"/>
      <c r="Z687" s="47"/>
      <c r="AA687" s="45"/>
      <c r="AB687" s="45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3:40">
      <c r="F688" s="50"/>
      <c r="H688" s="50"/>
      <c r="I688" s="50"/>
      <c r="J688" s="326"/>
      <c r="K688" s="326"/>
      <c r="L688" s="50"/>
      <c r="M688" s="50"/>
      <c r="N688" s="50"/>
      <c r="O688" s="50"/>
      <c r="P688" s="50"/>
      <c r="Q688" s="50"/>
      <c r="R688" s="50"/>
      <c r="V688" s="50"/>
      <c r="Y688" s="50"/>
      <c r="Z688" s="326"/>
      <c r="AA688" s="50"/>
      <c r="AB688" s="50"/>
      <c r="AC688" s="50"/>
      <c r="AD688" s="50"/>
      <c r="AE688" s="50"/>
      <c r="AF688" s="50"/>
      <c r="AI688" s="50"/>
      <c r="AJ688" s="50"/>
      <c r="AK688" s="111"/>
      <c r="AL688" s="50"/>
      <c r="AM688" s="46"/>
      <c r="AN688" s="46"/>
    </row>
    <row r="689" spans="3:40">
      <c r="C689" s="42"/>
      <c r="F689" s="45"/>
      <c r="H689" s="45"/>
      <c r="I689" s="45"/>
      <c r="J689" s="47"/>
      <c r="K689" s="47"/>
      <c r="L689" s="45"/>
      <c r="M689" s="45"/>
      <c r="N689" s="47"/>
      <c r="O689" s="47"/>
      <c r="P689" s="45"/>
      <c r="Q689" s="45"/>
      <c r="R689" s="45"/>
      <c r="T689" s="42"/>
      <c r="V689" s="45"/>
      <c r="Y689" s="45"/>
      <c r="Z689" s="47"/>
      <c r="AA689" s="45"/>
      <c r="AB689" s="45"/>
      <c r="AC689" s="47"/>
      <c r="AD689" s="47"/>
      <c r="AE689" s="45"/>
      <c r="AF689" s="45"/>
      <c r="AH689" s="51"/>
      <c r="AI689" s="45"/>
      <c r="AJ689" s="45"/>
      <c r="AL689" s="45"/>
      <c r="AM689" s="46"/>
      <c r="AN689" s="46"/>
    </row>
    <row r="690" spans="3:40">
      <c r="V690" s="45"/>
      <c r="Y690" s="45"/>
      <c r="Z690" s="326"/>
      <c r="AA690" s="45"/>
      <c r="AB690" s="45"/>
      <c r="AC690" s="45"/>
      <c r="AD690" s="45"/>
      <c r="AE690" s="45"/>
      <c r="AF690" s="45"/>
      <c r="AI690" s="45"/>
      <c r="AJ690" s="45"/>
      <c r="AL690" s="45"/>
      <c r="AM690" s="46"/>
      <c r="AN690" s="46"/>
    </row>
    <row r="691" spans="3:40">
      <c r="C691" s="42"/>
      <c r="D691" s="42"/>
      <c r="E691" s="42"/>
      <c r="L691" s="45"/>
      <c r="M691" s="45"/>
      <c r="N691" s="47"/>
      <c r="O691" s="47"/>
      <c r="R691" s="45"/>
      <c r="T691" s="42"/>
      <c r="U691" s="42"/>
      <c r="AA691" s="45"/>
      <c r="AB691" s="45"/>
      <c r="AC691" s="47"/>
      <c r="AD691" s="47"/>
      <c r="AE691" s="45"/>
      <c r="AF691" s="45"/>
      <c r="AH691" s="51"/>
      <c r="AL691" s="45"/>
      <c r="AM691" s="46"/>
      <c r="AN691" s="46"/>
    </row>
    <row r="692" spans="3:40">
      <c r="D692" s="42"/>
      <c r="E692" s="42"/>
      <c r="F692" s="164"/>
      <c r="H692" s="164"/>
      <c r="I692" s="164"/>
      <c r="J692" s="47"/>
      <c r="K692" s="47"/>
      <c r="L692" s="45"/>
      <c r="M692" s="45"/>
      <c r="N692" s="47"/>
      <c r="O692" s="47"/>
      <c r="P692" s="164"/>
      <c r="Q692" s="164"/>
      <c r="R692" s="45"/>
      <c r="U692" s="42"/>
      <c r="V692" s="45"/>
      <c r="Y692" s="45"/>
      <c r="Z692" s="47"/>
      <c r="AA692" s="45"/>
      <c r="AB692" s="45"/>
      <c r="AC692" s="47"/>
      <c r="AD692" s="47"/>
      <c r="AE692" s="45"/>
      <c r="AF692" s="45"/>
      <c r="AH692" s="51"/>
      <c r="AI692" s="45"/>
      <c r="AJ692" s="45"/>
      <c r="AL692" s="45"/>
      <c r="AM692" s="46"/>
      <c r="AN692" s="46"/>
    </row>
    <row r="693" spans="3:40">
      <c r="F693" s="50"/>
      <c r="H693" s="50"/>
      <c r="I693" s="50"/>
      <c r="J693" s="326"/>
      <c r="K693" s="326"/>
      <c r="L693" s="50"/>
      <c r="M693" s="50"/>
      <c r="N693" s="50"/>
      <c r="O693" s="50"/>
      <c r="P693" s="50"/>
      <c r="Q693" s="50"/>
      <c r="R693" s="50"/>
      <c r="V693" s="50"/>
      <c r="Y693" s="50"/>
      <c r="Z693" s="326"/>
      <c r="AA693" s="50"/>
      <c r="AB693" s="50"/>
      <c r="AC693" s="50"/>
      <c r="AD693" s="50"/>
      <c r="AE693" s="50"/>
      <c r="AF693" s="50"/>
      <c r="AI693" s="50"/>
      <c r="AJ693" s="50"/>
      <c r="AK693" s="111"/>
      <c r="AL693" s="50"/>
      <c r="AM693" s="46"/>
      <c r="AN693" s="46"/>
    </row>
    <row r="694" spans="3:40">
      <c r="C694" s="42"/>
      <c r="F694" s="45"/>
      <c r="H694" s="45"/>
      <c r="I694" s="45"/>
      <c r="J694" s="47"/>
      <c r="K694" s="47"/>
      <c r="L694" s="45"/>
      <c r="M694" s="45"/>
      <c r="N694" s="47"/>
      <c r="O694" s="47"/>
      <c r="P694" s="45"/>
      <c r="Q694" s="45"/>
      <c r="R694" s="45"/>
      <c r="T694" s="42"/>
      <c r="V694" s="45"/>
      <c r="Y694" s="45"/>
      <c r="Z694" s="47"/>
      <c r="AA694" s="45"/>
      <c r="AB694" s="45"/>
      <c r="AC694" s="47"/>
      <c r="AD694" s="47"/>
      <c r="AE694" s="45"/>
      <c r="AF694" s="45"/>
      <c r="AH694" s="51"/>
      <c r="AI694" s="45"/>
      <c r="AJ694" s="45"/>
      <c r="AL694" s="45"/>
      <c r="AM694" s="46"/>
      <c r="AN694" s="46"/>
    </row>
    <row r="695" spans="3:40"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V695" s="45"/>
      <c r="Y695" s="45"/>
      <c r="Z695" s="47"/>
      <c r="AA695" s="45"/>
      <c r="AB695" s="45"/>
      <c r="AC695" s="47"/>
      <c r="AD695" s="47"/>
      <c r="AH695" s="51"/>
      <c r="AI695" s="45"/>
      <c r="AJ695" s="45"/>
      <c r="AL695" s="45"/>
      <c r="AM695" s="46"/>
      <c r="AN695" s="46"/>
    </row>
    <row r="696" spans="3:40">
      <c r="D696" s="42"/>
      <c r="E696" s="42"/>
      <c r="F696" s="45"/>
      <c r="H696" s="45"/>
      <c r="I696" s="45"/>
      <c r="J696" s="47"/>
      <c r="K696" s="47"/>
      <c r="L696" s="164"/>
      <c r="M696" s="164"/>
      <c r="N696" s="47"/>
      <c r="O696" s="47"/>
      <c r="P696" s="45"/>
      <c r="Q696" s="45"/>
      <c r="R696" s="45"/>
      <c r="U696" s="42"/>
      <c r="V696" s="45"/>
      <c r="Y696" s="45"/>
      <c r="Z696" s="47"/>
      <c r="AA696" s="164"/>
      <c r="AB696" s="164"/>
      <c r="AC696" s="47"/>
      <c r="AD696" s="47"/>
      <c r="AE696" s="45"/>
      <c r="AF696" s="45"/>
      <c r="AH696" s="51"/>
      <c r="AI696" s="45"/>
      <c r="AJ696" s="45"/>
      <c r="AL696" s="45"/>
      <c r="AM696" s="46"/>
      <c r="AN696" s="46"/>
    </row>
    <row r="697" spans="3:40">
      <c r="D697" s="42"/>
      <c r="E697" s="42"/>
      <c r="F697" s="45"/>
      <c r="H697" s="45"/>
      <c r="I697" s="45"/>
      <c r="J697" s="47"/>
      <c r="K697" s="47"/>
      <c r="L697" s="164"/>
      <c r="M697" s="164"/>
      <c r="N697" s="47"/>
      <c r="O697" s="47"/>
      <c r="P697" s="45"/>
      <c r="Q697" s="45"/>
      <c r="R697" s="45"/>
      <c r="U697" s="42"/>
      <c r="V697" s="45"/>
      <c r="Y697" s="45"/>
      <c r="Z697" s="47"/>
      <c r="AA697" s="164"/>
      <c r="AB697" s="164"/>
      <c r="AC697" s="47"/>
      <c r="AD697" s="47"/>
      <c r="AE697" s="45"/>
      <c r="AF697" s="45"/>
      <c r="AH697" s="51"/>
      <c r="AI697" s="45"/>
      <c r="AJ697" s="45"/>
      <c r="AL697" s="45"/>
      <c r="AM697" s="46"/>
      <c r="AN697" s="46"/>
    </row>
    <row r="698" spans="3:40">
      <c r="D698" s="42"/>
      <c r="E698" s="42"/>
      <c r="F698" s="45"/>
      <c r="H698" s="45"/>
      <c r="I698" s="45"/>
      <c r="J698" s="47"/>
      <c r="K698" s="47"/>
      <c r="L698" s="164"/>
      <c r="M698" s="164"/>
      <c r="N698" s="47"/>
      <c r="O698" s="47"/>
      <c r="P698" s="45"/>
      <c r="Q698" s="45"/>
      <c r="R698" s="45"/>
      <c r="U698" s="42"/>
      <c r="V698" s="45"/>
      <c r="Y698" s="45"/>
      <c r="Z698" s="47"/>
      <c r="AA698" s="164"/>
      <c r="AB698" s="164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3:40">
      <c r="F699" s="50"/>
      <c r="H699" s="50"/>
      <c r="I699" s="50"/>
      <c r="J699" s="326"/>
      <c r="K699" s="326"/>
      <c r="L699" s="50"/>
      <c r="M699" s="50"/>
      <c r="N699" s="50"/>
      <c r="O699" s="50"/>
      <c r="P699" s="50"/>
      <c r="Q699" s="50"/>
      <c r="R699" s="50"/>
      <c r="V699" s="50"/>
      <c r="Y699" s="50"/>
      <c r="Z699" s="326"/>
      <c r="AA699" s="50"/>
      <c r="AB699" s="50"/>
      <c r="AC699" s="50"/>
      <c r="AD699" s="50"/>
      <c r="AE699" s="50"/>
      <c r="AF699" s="50"/>
      <c r="AI699" s="50"/>
      <c r="AJ699" s="50"/>
      <c r="AK699" s="111"/>
      <c r="AL699" s="50"/>
      <c r="AM699" s="46"/>
      <c r="AN699" s="46"/>
    </row>
    <row r="700" spans="3:40">
      <c r="C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3:40"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V701" s="45"/>
      <c r="Y701" s="45"/>
      <c r="Z701" s="47"/>
      <c r="AA701" s="45"/>
      <c r="AB701" s="45"/>
      <c r="AC701" s="47"/>
      <c r="AD701" s="47"/>
      <c r="AH701" s="51"/>
      <c r="AI701" s="45"/>
      <c r="AJ701" s="45"/>
      <c r="AL701" s="45"/>
      <c r="AM701" s="46"/>
      <c r="AN701" s="46"/>
    </row>
    <row r="702" spans="3:40">
      <c r="C702" s="42"/>
      <c r="F702" s="45"/>
      <c r="H702" s="45"/>
      <c r="I702" s="45"/>
      <c r="J702" s="47"/>
      <c r="K702" s="47"/>
      <c r="L702" s="45"/>
      <c r="M702" s="45"/>
      <c r="N702" s="47"/>
      <c r="O702" s="47"/>
      <c r="P702" s="45"/>
      <c r="Q702" s="45"/>
      <c r="R702" s="45"/>
      <c r="T702" s="42"/>
      <c r="V702" s="45"/>
      <c r="Y702" s="45"/>
      <c r="Z702" s="47"/>
      <c r="AA702" s="45"/>
      <c r="AB702" s="45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3:40">
      <c r="F703" s="50"/>
      <c r="H703" s="50"/>
      <c r="I703" s="50"/>
      <c r="J703" s="326"/>
      <c r="K703" s="326"/>
      <c r="L703" s="50"/>
      <c r="M703" s="50"/>
      <c r="N703" s="50"/>
      <c r="O703" s="50"/>
      <c r="P703" s="50"/>
      <c r="Q703" s="50"/>
      <c r="R703" s="50"/>
      <c r="V703" s="50"/>
      <c r="Y703" s="50"/>
      <c r="Z703" s="326"/>
      <c r="AA703" s="50"/>
      <c r="AB703" s="50"/>
      <c r="AC703" s="50"/>
      <c r="AD703" s="50"/>
      <c r="AE703" s="50"/>
      <c r="AF703" s="50"/>
      <c r="AI703" s="50"/>
      <c r="AJ703" s="50"/>
      <c r="AK703" s="111"/>
      <c r="AL703" s="50"/>
    </row>
    <row r="705" spans="1:20">
      <c r="C705" s="42"/>
      <c r="L705" s="45"/>
      <c r="M705" s="45"/>
      <c r="P705" s="45"/>
      <c r="Q705" s="45"/>
      <c r="R705" s="45"/>
      <c r="T705" s="42"/>
    </row>
    <row r="706" spans="1:20">
      <c r="A706" s="42"/>
      <c r="L706" s="45"/>
      <c r="M706" s="45"/>
      <c r="P706" s="45"/>
      <c r="Q706" s="45"/>
      <c r="R706" s="45"/>
    </row>
    <row r="707" spans="1:20">
      <c r="L707" s="45"/>
      <c r="M707" s="45"/>
      <c r="P707" s="45"/>
      <c r="Q707" s="45"/>
      <c r="R707" s="45"/>
    </row>
    <row r="708" spans="1:20">
      <c r="L708" s="45"/>
      <c r="M708" s="45"/>
      <c r="P708" s="45"/>
      <c r="Q708" s="45"/>
      <c r="R708" s="45"/>
    </row>
    <row r="709" spans="1:20">
      <c r="L709" s="45"/>
      <c r="M709" s="45"/>
      <c r="P709" s="45"/>
      <c r="Q709" s="45"/>
      <c r="R709" s="45"/>
    </row>
    <row r="710" spans="1:20">
      <c r="L710" s="45"/>
      <c r="M710" s="45"/>
      <c r="P710" s="45"/>
      <c r="Q710" s="45"/>
      <c r="R710" s="45"/>
    </row>
    <row r="711" spans="1:20">
      <c r="L711" s="45"/>
      <c r="M711" s="45"/>
      <c r="P711" s="45"/>
      <c r="Q711" s="45"/>
      <c r="R711" s="45"/>
    </row>
    <row r="744" spans="49:49">
      <c r="AW744" s="45"/>
    </row>
    <row r="745" spans="49:49">
      <c r="AW745" s="45"/>
    </row>
    <row r="746" spans="49:49">
      <c r="AW746" s="45"/>
    </row>
    <row r="747" spans="49:49">
      <c r="AW747" s="45"/>
    </row>
    <row r="748" spans="49:49">
      <c r="AW748" s="45"/>
    </row>
    <row r="749" spans="49:49">
      <c r="AW749" s="45"/>
    </row>
    <row r="752" spans="49:49">
      <c r="AW752" s="45"/>
    </row>
    <row r="753" spans="49:49">
      <c r="AW753" s="45"/>
    </row>
    <row r="754" spans="49:49">
      <c r="AW754" s="45"/>
    </row>
    <row r="755" spans="49:49">
      <c r="AW755" s="45"/>
    </row>
    <row r="756" spans="49:49">
      <c r="AW756" s="45"/>
    </row>
    <row r="757" spans="49:49">
      <c r="AW757" s="45"/>
    </row>
    <row r="758" spans="49:49">
      <c r="AW758" s="45"/>
    </row>
    <row r="759" spans="49:49">
      <c r="AW759" s="45"/>
    </row>
    <row r="762" spans="49:49">
      <c r="AW762" s="45"/>
    </row>
    <row r="763" spans="49:49">
      <c r="AW763" s="45"/>
    </row>
    <row r="766" spans="49:49">
      <c r="AW766" s="45"/>
    </row>
    <row r="767" spans="49:49">
      <c r="AW767" s="45"/>
    </row>
    <row r="768" spans="49:49">
      <c r="AW768" s="45"/>
    </row>
    <row r="769" spans="45:57">
      <c r="AW769" s="45"/>
    </row>
    <row r="777" spans="45:57">
      <c r="AY777" s="42"/>
    </row>
    <row r="778" spans="45:57">
      <c r="AY778" s="42"/>
    </row>
    <row r="779" spans="45:57">
      <c r="BD779" s="42"/>
    </row>
    <row r="780" spans="45:57">
      <c r="BD780" s="42"/>
    </row>
    <row r="781" spans="45:57">
      <c r="AS781" s="42"/>
      <c r="BD781" s="42"/>
    </row>
    <row r="783" spans="45:57"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</row>
    <row r="784" spans="45:57">
      <c r="AX784" s="42"/>
    </row>
    <row r="785" spans="45:69">
      <c r="AX785" s="49"/>
      <c r="AY785" s="49"/>
      <c r="AZ785" s="49"/>
      <c r="BA785" s="49"/>
      <c r="BC785" s="44"/>
      <c r="BD785" s="44"/>
    </row>
    <row r="786" spans="45:69">
      <c r="AV786" s="44"/>
      <c r="AW786" s="44"/>
      <c r="AZ786" s="44"/>
      <c r="BA786" s="44"/>
      <c r="BC786" s="44"/>
      <c r="BD786" s="44"/>
      <c r="BE786" s="44"/>
      <c r="BG786" s="49"/>
      <c r="BH786" s="42"/>
      <c r="BK786" s="49"/>
      <c r="BM786" s="49"/>
      <c r="BN786" s="42"/>
      <c r="BQ786" s="49"/>
    </row>
    <row r="787" spans="45:69"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H787" s="44"/>
      <c r="BI787" s="44"/>
      <c r="BJ787" s="44"/>
      <c r="BN787" s="44"/>
      <c r="BO787" s="44"/>
      <c r="BP787" s="44"/>
    </row>
    <row r="788" spans="45:69">
      <c r="AS788" s="44"/>
      <c r="AU788" s="42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G788" s="44"/>
      <c r="BH788" s="44"/>
      <c r="BI788" s="44"/>
      <c r="BJ788" s="44"/>
      <c r="BK788" s="44"/>
      <c r="BM788" s="44"/>
      <c r="BN788" s="44"/>
      <c r="BO788" s="44"/>
      <c r="BP788" s="44"/>
      <c r="BQ788" s="44"/>
    </row>
    <row r="789" spans="45:69">
      <c r="AS789" s="44"/>
      <c r="AU789" s="42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G789" s="44"/>
      <c r="BH789" s="44"/>
      <c r="BI789" s="44"/>
      <c r="BJ789" s="44"/>
      <c r="BK789" s="44"/>
      <c r="BM789" s="44"/>
      <c r="BN789" s="44"/>
      <c r="BO789" s="44"/>
      <c r="BP789" s="44"/>
      <c r="BQ789" s="44"/>
    </row>
    <row r="790" spans="45:69"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G790" s="49"/>
      <c r="BH790" s="49"/>
      <c r="BI790" s="49"/>
      <c r="BJ790" s="49"/>
      <c r="BK790" s="49"/>
      <c r="BM790" s="49"/>
      <c r="BN790" s="49"/>
      <c r="BO790" s="49"/>
      <c r="BP790" s="49"/>
      <c r="BQ790" s="49"/>
    </row>
    <row r="791" spans="45:69"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</row>
    <row r="792" spans="45:69">
      <c r="AU792" s="42"/>
      <c r="AV792" s="44"/>
      <c r="AY792" s="47"/>
    </row>
    <row r="793" spans="45:69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5:69">
      <c r="AV794" s="44"/>
      <c r="AW794" s="45"/>
      <c r="AX794" s="56"/>
      <c r="AY794" s="56"/>
      <c r="AZ794" s="56"/>
      <c r="BA794" s="46"/>
      <c r="BB794" s="56"/>
      <c r="BC794" s="47"/>
      <c r="BD794" s="47"/>
      <c r="BE794" s="46"/>
      <c r="BG794" s="56"/>
      <c r="BH794" s="56"/>
      <c r="BI794" s="56"/>
      <c r="BJ794" s="56"/>
      <c r="BK794" s="56"/>
      <c r="BM794" s="56"/>
      <c r="BN794" s="56"/>
      <c r="BO794" s="56"/>
      <c r="BP794" s="56"/>
      <c r="BQ794" s="56"/>
    </row>
    <row r="795" spans="45:69">
      <c r="AV795" s="44"/>
      <c r="AW795" s="45"/>
      <c r="AX795" s="56"/>
      <c r="AY795" s="56"/>
      <c r="AZ795" s="56"/>
      <c r="BA795" s="46"/>
      <c r="BB795" s="56"/>
      <c r="BC795" s="47"/>
      <c r="BD795" s="47"/>
      <c r="BE795" s="46"/>
      <c r="BG795" s="56"/>
      <c r="BH795" s="56"/>
      <c r="BI795" s="56"/>
      <c r="BJ795" s="56"/>
      <c r="BK795" s="56"/>
      <c r="BM795" s="56"/>
      <c r="BN795" s="56"/>
      <c r="BO795" s="56"/>
      <c r="BP795" s="56"/>
      <c r="BQ795" s="56"/>
    </row>
    <row r="796" spans="45:69">
      <c r="AV796" s="44"/>
      <c r="AW796" s="45"/>
      <c r="AX796" s="56"/>
      <c r="AY796" s="56"/>
      <c r="AZ796" s="56"/>
      <c r="BA796" s="46"/>
      <c r="BB796" s="56"/>
      <c r="BC796" s="47"/>
      <c r="BD796" s="47"/>
      <c r="BE796" s="46"/>
      <c r="BG796" s="56"/>
      <c r="BH796" s="56"/>
      <c r="BI796" s="56"/>
      <c r="BJ796" s="56"/>
      <c r="BK796" s="56"/>
      <c r="BM796" s="56"/>
      <c r="BN796" s="56"/>
      <c r="BO796" s="56"/>
      <c r="BP796" s="56"/>
      <c r="BQ796" s="56"/>
    </row>
    <row r="797" spans="45:69">
      <c r="AV797" s="44"/>
      <c r="AW797" s="45"/>
      <c r="AX797" s="56"/>
      <c r="AY797" s="56"/>
      <c r="AZ797" s="56"/>
      <c r="BA797" s="46"/>
      <c r="BB797" s="56"/>
      <c r="BC797" s="47"/>
      <c r="BD797" s="47"/>
      <c r="BE797" s="46"/>
      <c r="BG797" s="56"/>
      <c r="BH797" s="56"/>
      <c r="BI797" s="56"/>
      <c r="BJ797" s="56"/>
      <c r="BK797" s="56"/>
      <c r="BM797" s="56"/>
      <c r="BN797" s="56"/>
      <c r="BO797" s="56"/>
      <c r="BP797" s="56"/>
      <c r="BQ797" s="56"/>
    </row>
    <row r="798" spans="45:69">
      <c r="AV798" s="44"/>
      <c r="AW798" s="45"/>
      <c r="AX798" s="56"/>
      <c r="AY798" s="56"/>
      <c r="AZ798" s="56"/>
      <c r="BA798" s="46"/>
      <c r="BB798" s="56"/>
      <c r="BC798" s="47"/>
      <c r="BD798" s="47"/>
      <c r="BE798" s="46"/>
      <c r="BG798" s="56"/>
      <c r="BH798" s="56"/>
      <c r="BI798" s="56"/>
      <c r="BJ798" s="56"/>
      <c r="BK798" s="56"/>
      <c r="BM798" s="56"/>
      <c r="BN798" s="56"/>
      <c r="BO798" s="56"/>
      <c r="BP798" s="56"/>
      <c r="BQ798" s="56"/>
    </row>
    <row r="799" spans="45:69">
      <c r="AV799" s="44"/>
      <c r="AW799" s="45"/>
      <c r="AX799" s="56"/>
      <c r="AY799" s="56"/>
      <c r="AZ799" s="56"/>
      <c r="BA799" s="46"/>
      <c r="BB799" s="56"/>
      <c r="BC799" s="47"/>
      <c r="BD799" s="47"/>
      <c r="BE799" s="46"/>
      <c r="BG799" s="56"/>
      <c r="BH799" s="56"/>
      <c r="BI799" s="56"/>
      <c r="BJ799" s="56"/>
      <c r="BK799" s="56"/>
      <c r="BM799" s="56"/>
      <c r="BN799" s="56"/>
      <c r="BO799" s="56"/>
      <c r="BP799" s="56"/>
      <c r="BQ799" s="56"/>
    </row>
    <row r="800" spans="45:69">
      <c r="AY800" s="47"/>
      <c r="AZ800" s="56"/>
      <c r="BA800" s="46"/>
      <c r="BB800" s="56"/>
      <c r="BC800" s="47"/>
      <c r="BD800" s="47"/>
      <c r="BE800" s="46"/>
      <c r="BK800" s="56"/>
      <c r="BQ800" s="56"/>
    </row>
    <row r="801" spans="45:69">
      <c r="AV801" s="44"/>
      <c r="AY801" s="47"/>
      <c r="AZ801" s="56"/>
      <c r="BA801" s="46"/>
      <c r="BB801" s="56"/>
      <c r="BC801" s="47"/>
      <c r="BD801" s="47"/>
      <c r="BE801" s="46"/>
      <c r="BK801" s="56"/>
      <c r="BQ801" s="56"/>
    </row>
    <row r="802" spans="45:69">
      <c r="AV802" s="44"/>
      <c r="AW802" s="45"/>
      <c r="AX802" s="56"/>
      <c r="AY802" s="56"/>
      <c r="AZ802" s="56"/>
      <c r="BA802" s="46"/>
      <c r="BB802" s="56"/>
      <c r="BC802" s="47"/>
      <c r="BD802" s="47"/>
      <c r="BE802" s="46"/>
      <c r="BG802" s="56"/>
      <c r="BH802" s="56"/>
      <c r="BI802" s="56"/>
      <c r="BJ802" s="56"/>
      <c r="BK802" s="56"/>
      <c r="BM802" s="56"/>
      <c r="BN802" s="56"/>
      <c r="BO802" s="56"/>
      <c r="BP802" s="56"/>
      <c r="BQ802" s="56"/>
    </row>
    <row r="803" spans="45:69">
      <c r="AV803" s="44"/>
      <c r="AW803" s="45"/>
      <c r="AX803" s="56"/>
      <c r="AY803" s="56"/>
      <c r="AZ803" s="56"/>
      <c r="BA803" s="46"/>
      <c r="BB803" s="56"/>
      <c r="BC803" s="47"/>
      <c r="BD803" s="47"/>
      <c r="BE803" s="46"/>
      <c r="BG803" s="56"/>
      <c r="BH803" s="56"/>
      <c r="BI803" s="56"/>
      <c r="BJ803" s="56"/>
      <c r="BK803" s="56"/>
      <c r="BM803" s="56"/>
      <c r="BN803" s="56"/>
      <c r="BO803" s="56"/>
      <c r="BP803" s="56"/>
      <c r="BQ803" s="56"/>
    </row>
    <row r="804" spans="45:69">
      <c r="AV804" s="44"/>
      <c r="AW804" s="45"/>
      <c r="AX804" s="56"/>
      <c r="AY804" s="56"/>
      <c r="AZ804" s="56"/>
      <c r="BA804" s="46"/>
      <c r="BB804" s="56"/>
      <c r="BC804" s="47"/>
      <c r="BD804" s="47"/>
      <c r="BE804" s="46"/>
      <c r="BG804" s="56"/>
      <c r="BH804" s="56"/>
      <c r="BI804" s="56"/>
      <c r="BJ804" s="56"/>
      <c r="BK804" s="56"/>
      <c r="BM804" s="56"/>
      <c r="BN804" s="56"/>
      <c r="BO804" s="56"/>
      <c r="BP804" s="56"/>
      <c r="BQ804" s="56"/>
    </row>
    <row r="805" spans="45:69">
      <c r="AV805" s="44"/>
      <c r="AW805" s="45"/>
      <c r="AX805" s="56"/>
      <c r="AY805" s="56"/>
      <c r="AZ805" s="56"/>
      <c r="BA805" s="46"/>
      <c r="BB805" s="56"/>
      <c r="BC805" s="47"/>
      <c r="BD805" s="47"/>
      <c r="BE805" s="46"/>
      <c r="BG805" s="56"/>
      <c r="BH805" s="56"/>
      <c r="BI805" s="56"/>
      <c r="BJ805" s="56"/>
      <c r="BK805" s="56"/>
      <c r="BM805" s="56"/>
      <c r="BN805" s="56"/>
      <c r="BO805" s="56"/>
      <c r="BP805" s="56"/>
      <c r="BQ805" s="56"/>
    </row>
    <row r="806" spans="45:69">
      <c r="AV806" s="44"/>
      <c r="AW806" s="45"/>
      <c r="AX806" s="56"/>
      <c r="AY806" s="56"/>
      <c r="AZ806" s="56"/>
      <c r="BA806" s="46"/>
      <c r="BB806" s="56"/>
      <c r="BC806" s="47"/>
      <c r="BD806" s="47"/>
      <c r="BE806" s="46"/>
      <c r="BG806" s="56"/>
      <c r="BH806" s="56"/>
      <c r="BI806" s="56"/>
      <c r="BJ806" s="56"/>
      <c r="BK806" s="56"/>
      <c r="BM806" s="56"/>
      <c r="BN806" s="56"/>
      <c r="BO806" s="56"/>
      <c r="BP806" s="56"/>
      <c r="BQ806" s="56"/>
    </row>
    <row r="807" spans="45:69">
      <c r="AV807" s="44"/>
      <c r="AW807" s="45"/>
      <c r="AX807" s="56"/>
      <c r="AY807" s="56"/>
      <c r="AZ807" s="56"/>
      <c r="BA807" s="46"/>
      <c r="BB807" s="56"/>
      <c r="BC807" s="47"/>
      <c r="BD807" s="47"/>
      <c r="BE807" s="46"/>
      <c r="BG807" s="56"/>
      <c r="BH807" s="56"/>
      <c r="BI807" s="56"/>
      <c r="BJ807" s="56"/>
      <c r="BK807" s="56"/>
      <c r="BM807" s="56"/>
      <c r="BN807" s="56"/>
      <c r="BO807" s="56"/>
      <c r="BP807" s="56"/>
      <c r="BQ807" s="56"/>
    </row>
    <row r="808" spans="45:69">
      <c r="AV808" s="44"/>
      <c r="AW808" s="45"/>
      <c r="AX808" s="56"/>
      <c r="AY808" s="56"/>
      <c r="AZ808" s="56"/>
      <c r="BA808" s="46"/>
      <c r="BB808" s="56"/>
      <c r="BC808" s="47"/>
      <c r="BD808" s="47"/>
      <c r="BE808" s="46"/>
      <c r="BG808" s="56"/>
      <c r="BH808" s="56"/>
      <c r="BI808" s="56"/>
      <c r="BJ808" s="56"/>
      <c r="BK808" s="56"/>
      <c r="BM808" s="56"/>
      <c r="BN808" s="56"/>
      <c r="BO808" s="56"/>
      <c r="BP808" s="56"/>
      <c r="BQ808" s="56"/>
    </row>
    <row r="809" spans="45:69">
      <c r="AV809" s="44"/>
      <c r="AW809" s="45"/>
      <c r="AX809" s="56"/>
      <c r="AY809" s="56"/>
      <c r="AZ809" s="56"/>
      <c r="BA809" s="46"/>
      <c r="BB809" s="56"/>
      <c r="BC809" s="47"/>
      <c r="BD809" s="47"/>
      <c r="BE809" s="46"/>
      <c r="BG809" s="56"/>
      <c r="BH809" s="56"/>
      <c r="BI809" s="56"/>
      <c r="BJ809" s="56"/>
      <c r="BK809" s="56"/>
      <c r="BM809" s="56"/>
      <c r="BN809" s="56"/>
      <c r="BO809" s="56"/>
      <c r="BP809" s="56"/>
      <c r="BQ809" s="56"/>
    </row>
    <row r="810" spans="45:69">
      <c r="AY810" s="47"/>
      <c r="AZ810" s="56"/>
      <c r="BA810" s="46"/>
      <c r="BB810" s="56"/>
      <c r="BC810" s="47"/>
      <c r="BD810" s="47"/>
      <c r="BE810" s="46"/>
      <c r="BK810" s="56"/>
      <c r="BQ810" s="56"/>
    </row>
    <row r="811" spans="45:69">
      <c r="AU811" s="42"/>
      <c r="AZ811" s="56"/>
      <c r="BB811" s="56"/>
      <c r="BG811" s="56"/>
      <c r="BH811" s="56"/>
      <c r="BJ811" s="56"/>
      <c r="BK811" s="56"/>
    </row>
    <row r="812" spans="45:69">
      <c r="AZ812" s="56"/>
      <c r="BB812" s="56"/>
    </row>
    <row r="813" spans="45:69">
      <c r="AS813" s="42"/>
      <c r="AZ813" s="56"/>
      <c r="BB813" s="56"/>
      <c r="BI813" s="56"/>
    </row>
    <row r="814" spans="45:69">
      <c r="AZ814" s="56"/>
      <c r="BB814" s="56"/>
    </row>
    <row r="815" spans="45:69">
      <c r="AY815" s="56"/>
      <c r="BB815" s="56"/>
    </row>
    <row r="816" spans="45:69">
      <c r="AY816" s="42"/>
      <c r="AZ816" s="56"/>
      <c r="BB816" s="56"/>
    </row>
    <row r="817" spans="45:75">
      <c r="AY817" s="42"/>
      <c r="AZ817" s="56"/>
      <c r="BB817" s="56"/>
    </row>
    <row r="818" spans="45:75">
      <c r="AZ818" s="56"/>
      <c r="BB818" s="56"/>
      <c r="BD818" s="42"/>
    </row>
    <row r="819" spans="45:75">
      <c r="AZ819" s="56"/>
      <c r="BB819" s="56"/>
      <c r="BD819" s="42"/>
    </row>
    <row r="820" spans="45:75">
      <c r="AS820" s="42"/>
      <c r="AZ820" s="56"/>
      <c r="BB820" s="56"/>
      <c r="BD820" s="42"/>
    </row>
    <row r="821" spans="45:75">
      <c r="AZ821" s="56"/>
      <c r="BB821" s="56"/>
    </row>
    <row r="822" spans="45:75">
      <c r="AS822" s="49"/>
      <c r="AT822" s="49"/>
      <c r="AU822" s="49"/>
      <c r="AV822" s="49"/>
      <c r="AW822" s="49"/>
      <c r="AX822" s="49"/>
      <c r="AY822" s="49"/>
      <c r="AZ822" s="57"/>
      <c r="BA822" s="49"/>
      <c r="BB822" s="57"/>
      <c r="BC822" s="49"/>
      <c r="BD822" s="49"/>
      <c r="BE822" s="49"/>
    </row>
    <row r="823" spans="45:75">
      <c r="AX823" s="42"/>
      <c r="AZ823" s="56"/>
      <c r="BB823" s="56"/>
    </row>
    <row r="824" spans="45:75">
      <c r="AX824" s="49"/>
      <c r="AY824" s="49"/>
      <c r="AZ824" s="57"/>
      <c r="BA824" s="49"/>
      <c r="BB824" s="56"/>
      <c r="BC824" s="44"/>
      <c r="BD824" s="44"/>
    </row>
    <row r="825" spans="45:75">
      <c r="AV825" s="44"/>
      <c r="AW825" s="44"/>
      <c r="AZ825" s="58"/>
      <c r="BA825" s="44"/>
      <c r="BB825" s="56"/>
      <c r="BC825" s="44"/>
      <c r="BD825" s="44"/>
      <c r="BE825" s="44"/>
      <c r="BG825" s="49"/>
      <c r="BH825" s="49"/>
      <c r="BI825" s="42"/>
      <c r="BM825" s="49"/>
      <c r="BN825" s="49"/>
      <c r="BP825" s="49"/>
      <c r="BQ825" s="49"/>
      <c r="BR825" s="42"/>
      <c r="BV825" s="49"/>
      <c r="BW825" s="49"/>
    </row>
    <row r="826" spans="45:75">
      <c r="AV826" s="44"/>
      <c r="AW826" s="44"/>
      <c r="AX826" s="44"/>
      <c r="AY826" s="44"/>
      <c r="AZ826" s="58"/>
      <c r="BA826" s="44"/>
      <c r="BB826" s="58"/>
      <c r="BC826" s="44"/>
      <c r="BD826" s="44"/>
      <c r="BE826" s="44"/>
      <c r="BH826" s="44"/>
      <c r="BI826" s="44"/>
      <c r="BJ826" s="44"/>
      <c r="BK826" s="44"/>
      <c r="BL826" s="44"/>
      <c r="BM826" s="44"/>
      <c r="BQ826" s="44"/>
      <c r="BR826" s="44"/>
      <c r="BS826" s="44"/>
      <c r="BT826" s="44"/>
      <c r="BU826" s="44"/>
      <c r="BV826" s="44"/>
    </row>
    <row r="827" spans="45:75">
      <c r="AS827" s="44"/>
      <c r="AU827" s="42"/>
      <c r="AV827" s="44"/>
      <c r="AW827" s="44"/>
      <c r="AX827" s="44"/>
      <c r="AY827" s="44"/>
      <c r="AZ827" s="58"/>
      <c r="BA827" s="44"/>
      <c r="BB827" s="58"/>
      <c r="BC827" s="44"/>
      <c r="BD827" s="44"/>
      <c r="BE827" s="44"/>
      <c r="BG827" s="44"/>
      <c r="BH827" s="44"/>
      <c r="BI827" s="44"/>
      <c r="BJ827" s="44"/>
      <c r="BK827" s="44"/>
      <c r="BL827" s="44"/>
      <c r="BM827" s="44"/>
      <c r="BN827" s="44"/>
      <c r="BP827" s="44"/>
      <c r="BQ827" s="44"/>
      <c r="BR827" s="44"/>
      <c r="BS827" s="44"/>
      <c r="BT827" s="44"/>
      <c r="BU827" s="44"/>
      <c r="BV827" s="44"/>
      <c r="BW827" s="44"/>
    </row>
    <row r="828" spans="45:75">
      <c r="AS828" s="44"/>
      <c r="AU828" s="42"/>
      <c r="AV828" s="44"/>
      <c r="AW828" s="44"/>
      <c r="AX828" s="44"/>
      <c r="AY828" s="44"/>
      <c r="AZ828" s="58"/>
      <c r="BA828" s="44"/>
      <c r="BB828" s="58"/>
      <c r="BC828" s="44"/>
      <c r="BD828" s="44"/>
      <c r="BE828" s="44"/>
      <c r="BG828" s="44"/>
      <c r="BH828" s="44"/>
      <c r="BI828" s="44"/>
      <c r="BJ828" s="44"/>
      <c r="BK828" s="44"/>
      <c r="BL828" s="44"/>
      <c r="BM828" s="44"/>
      <c r="BN828" s="44"/>
      <c r="BP828" s="44"/>
      <c r="BQ828" s="44"/>
      <c r="BR828" s="44"/>
      <c r="BS828" s="44"/>
      <c r="BT828" s="44"/>
      <c r="BU828" s="44"/>
      <c r="BV828" s="44"/>
      <c r="BW828" s="44"/>
    </row>
    <row r="829" spans="45:75">
      <c r="AS829" s="49"/>
      <c r="AT829" s="49"/>
      <c r="AU829" s="49"/>
      <c r="AV829" s="49"/>
      <c r="AW829" s="49"/>
      <c r="AX829" s="49"/>
      <c r="AY829" s="49"/>
      <c r="AZ829" s="57"/>
      <c r="BA829" s="49"/>
      <c r="BB829" s="57"/>
      <c r="BC829" s="49"/>
      <c r="BD829" s="49"/>
      <c r="BE829" s="49"/>
      <c r="BG829" s="49"/>
      <c r="BH829" s="49"/>
      <c r="BI829" s="49"/>
      <c r="BJ829" s="49"/>
      <c r="BK829" s="49"/>
      <c r="BL829" s="49"/>
      <c r="BM829" s="49"/>
      <c r="BN829" s="49"/>
      <c r="BP829" s="49"/>
      <c r="BQ829" s="49"/>
      <c r="BR829" s="49"/>
      <c r="BS829" s="49"/>
      <c r="BT829" s="49"/>
      <c r="BU829" s="49"/>
      <c r="BV829" s="49"/>
      <c r="BW829" s="49"/>
    </row>
    <row r="830" spans="45:75">
      <c r="AV830" s="44"/>
      <c r="AW830" s="44"/>
      <c r="AX830" s="44"/>
      <c r="AY830" s="44"/>
      <c r="AZ830" s="58"/>
      <c r="BA830" s="44"/>
      <c r="BB830" s="58"/>
      <c r="BC830" s="44"/>
      <c r="BD830" s="44"/>
      <c r="BE830" s="44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5:75">
      <c r="AU831" s="42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5:75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9:75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9:75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9:75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9:75"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9:75"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9:75"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</row>
    <row r="839" spans="49:75"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</row>
    <row r="840" spans="49:75"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</row>
    <row r="841" spans="49:75"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</row>
    <row r="842" spans="49:75"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</row>
    <row r="843" spans="49:75"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</row>
    <row r="844" spans="49:75"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</row>
    <row r="845" spans="49:75"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</row>
    <row r="846" spans="49:75"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</row>
    <row r="847" spans="49:75"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</row>
    <row r="848" spans="49:75"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</row>
    <row r="849" spans="45:75"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</row>
    <row r="850" spans="45:75">
      <c r="AW850" s="45"/>
      <c r="AX850" s="56"/>
      <c r="AY850" s="56"/>
      <c r="AZ850" s="56"/>
      <c r="BA850" s="51"/>
      <c r="BB850" s="56"/>
      <c r="BC850" s="56"/>
      <c r="BD850" s="56"/>
      <c r="BE850" s="51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</row>
    <row r="851" spans="45:75">
      <c r="AW851" s="45"/>
      <c r="AX851" s="56"/>
      <c r="AY851" s="56"/>
      <c r="AZ851" s="56"/>
      <c r="BA851" s="51"/>
      <c r="BB851" s="56"/>
      <c r="BC851" s="56"/>
      <c r="BD851" s="56"/>
      <c r="BE851" s="51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</row>
    <row r="852" spans="45:75">
      <c r="AW852" s="45"/>
      <c r="AX852" s="56"/>
      <c r="AY852" s="56"/>
      <c r="AZ852" s="56"/>
      <c r="BA852" s="51"/>
      <c r="BB852" s="56"/>
      <c r="BC852" s="56"/>
      <c r="BD852" s="56"/>
      <c r="BE852" s="51"/>
      <c r="BG852" s="49"/>
      <c r="BH852" s="49"/>
      <c r="BI852" s="42"/>
      <c r="BM852" s="49"/>
      <c r="BN852" s="49"/>
      <c r="BO852" s="56"/>
      <c r="BP852" s="49"/>
      <c r="BQ852" s="49"/>
      <c r="BR852" s="42"/>
      <c r="BV852" s="49"/>
      <c r="BW852" s="49"/>
    </row>
    <row r="853" spans="45:75">
      <c r="AU853" s="42"/>
      <c r="AV853" s="44"/>
      <c r="AW853" s="45"/>
      <c r="AX853" s="56"/>
      <c r="AY853" s="56"/>
      <c r="AZ853" s="56"/>
      <c r="BA853" s="51"/>
      <c r="BB853" s="56"/>
      <c r="BC853" s="56"/>
      <c r="BD853" s="56"/>
      <c r="BE853" s="51"/>
      <c r="BG853" s="58"/>
      <c r="BH853" s="56"/>
      <c r="BI853" s="56"/>
      <c r="BJ853" s="56"/>
      <c r="BK853" s="58"/>
      <c r="BL853" s="59"/>
      <c r="BM853" s="56"/>
      <c r="BN853" s="58"/>
      <c r="BO853" s="56"/>
      <c r="BP853" s="58"/>
      <c r="BQ853" s="56"/>
      <c r="BR853" s="56"/>
      <c r="BS853" s="56"/>
      <c r="BT853" s="58"/>
      <c r="BU853" s="59"/>
      <c r="BV853" s="56"/>
      <c r="BW853" s="58"/>
    </row>
    <row r="854" spans="45:75">
      <c r="AV854" s="44"/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9"/>
      <c r="BM854" s="56"/>
      <c r="BN854" s="56"/>
      <c r="BO854" s="56"/>
      <c r="BP854" s="56"/>
      <c r="BQ854" s="56"/>
      <c r="BR854" s="56"/>
      <c r="BS854" s="56"/>
      <c r="BT854" s="56"/>
      <c r="BU854" s="59"/>
      <c r="BV854" s="56"/>
      <c r="BW854" s="56"/>
    </row>
    <row r="855" spans="45:75">
      <c r="AV855" s="44"/>
      <c r="AW855" s="45"/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9"/>
      <c r="BM855" s="56"/>
      <c r="BN855" s="56"/>
      <c r="BO855" s="56"/>
      <c r="BP855" s="56"/>
      <c r="BQ855" s="56"/>
      <c r="BR855" s="56"/>
      <c r="BS855" s="56"/>
      <c r="BT855" s="56"/>
      <c r="BU855" s="59"/>
      <c r="BV855" s="56"/>
      <c r="BW855" s="56"/>
    </row>
    <row r="856" spans="45:75">
      <c r="AV856" s="44"/>
      <c r="AW856" s="45"/>
      <c r="AX856" s="56"/>
      <c r="AY856" s="56"/>
      <c r="AZ856" s="56"/>
      <c r="BA856" s="51"/>
      <c r="BB856" s="56"/>
      <c r="BC856" s="56"/>
      <c r="BD856" s="56"/>
      <c r="BE856" s="51"/>
      <c r="BG856" s="56"/>
      <c r="BH856" s="56"/>
      <c r="BI856" s="56"/>
      <c r="BJ856" s="56"/>
      <c r="BK856" s="56"/>
      <c r="BL856" s="59"/>
      <c r="BM856" s="56"/>
      <c r="BN856" s="56"/>
      <c r="BO856" s="56"/>
      <c r="BP856" s="56"/>
      <c r="BQ856" s="56"/>
      <c r="BR856" s="56"/>
      <c r="BS856" s="56"/>
      <c r="BT856" s="56"/>
      <c r="BU856" s="59"/>
      <c r="BV856" s="56"/>
      <c r="BW856" s="56"/>
    </row>
    <row r="857" spans="45:75">
      <c r="AX857" s="56"/>
      <c r="AY857" s="56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</row>
    <row r="858" spans="45:75">
      <c r="AU858" s="42"/>
    </row>
    <row r="859" spans="45:75">
      <c r="AU859" s="42"/>
      <c r="AZ859" s="56"/>
      <c r="BA859" s="51"/>
      <c r="BB859" s="56"/>
      <c r="BC859" s="56"/>
      <c r="BD859" s="56"/>
      <c r="BE859" s="51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</row>
    <row r="860" spans="45:75">
      <c r="AS860" s="42"/>
      <c r="AZ860" s="56"/>
      <c r="BB860" s="56"/>
    </row>
    <row r="861" spans="45:75">
      <c r="AZ861" s="56"/>
      <c r="BB861" s="56"/>
      <c r="BO861" s="56"/>
      <c r="BP861" s="56"/>
      <c r="BQ861" s="56"/>
      <c r="BR861" s="56"/>
      <c r="BS861" s="56"/>
      <c r="BT861" s="56"/>
      <c r="BU861" s="56"/>
      <c r="BV861" s="56"/>
    </row>
    <row r="862" spans="45:75">
      <c r="AY862" s="56"/>
      <c r="AZ862" s="56"/>
      <c r="BB862" s="56"/>
      <c r="BO862" s="56"/>
      <c r="BP862" s="56"/>
      <c r="BQ862" s="56"/>
      <c r="BR862" s="56"/>
      <c r="BS862" s="56"/>
      <c r="BT862" s="56"/>
      <c r="BU862" s="56"/>
      <c r="BV862" s="56"/>
    </row>
    <row r="863" spans="45:75">
      <c r="AY863" s="42"/>
      <c r="AZ863" s="56"/>
      <c r="BB863" s="56"/>
      <c r="BO863" s="56"/>
      <c r="BP863" s="56"/>
      <c r="BQ863" s="56"/>
      <c r="BR863" s="56"/>
      <c r="BS863" s="56"/>
      <c r="BT863" s="56"/>
      <c r="BU863" s="56"/>
      <c r="BV863" s="56"/>
    </row>
    <row r="864" spans="45:75">
      <c r="AY864" s="42"/>
      <c r="AZ864" s="56"/>
      <c r="BB864" s="56"/>
      <c r="BO864" s="56"/>
      <c r="BP864" s="56"/>
      <c r="BQ864" s="56"/>
      <c r="BR864" s="56"/>
      <c r="BS864" s="56"/>
      <c r="BT864" s="56"/>
      <c r="BU864" s="56"/>
      <c r="BV864" s="56"/>
    </row>
    <row r="865" spans="45:74">
      <c r="AZ865" s="56"/>
      <c r="BB865" s="56"/>
      <c r="BD865" s="42"/>
      <c r="BO865" s="56"/>
      <c r="BP865" s="56"/>
      <c r="BQ865" s="56"/>
      <c r="BR865" s="56"/>
      <c r="BS865" s="56"/>
      <c r="BT865" s="56"/>
      <c r="BU865" s="56"/>
      <c r="BV865" s="56"/>
    </row>
    <row r="866" spans="45:74">
      <c r="AZ866" s="56"/>
      <c r="BB866" s="56"/>
      <c r="BD866" s="42"/>
      <c r="BO866" s="56"/>
      <c r="BP866" s="56"/>
      <c r="BQ866" s="56"/>
      <c r="BR866" s="56"/>
      <c r="BS866" s="56"/>
      <c r="BT866" s="56"/>
      <c r="BU866" s="56"/>
      <c r="BV866" s="56"/>
    </row>
    <row r="867" spans="45:74">
      <c r="AS867" s="42"/>
      <c r="AZ867" s="56"/>
      <c r="BB867" s="56"/>
      <c r="BD867" s="42"/>
      <c r="BO867" s="56"/>
      <c r="BP867" s="56"/>
      <c r="BQ867" s="56"/>
      <c r="BR867" s="56"/>
      <c r="BS867" s="56"/>
      <c r="BT867" s="56"/>
      <c r="BU867" s="56"/>
      <c r="BV867" s="56"/>
    </row>
    <row r="868" spans="45:74">
      <c r="AZ868" s="56"/>
      <c r="BB868" s="56"/>
      <c r="BO868" s="56"/>
      <c r="BP868" s="56"/>
      <c r="BQ868" s="56"/>
      <c r="BR868" s="56"/>
      <c r="BS868" s="56"/>
      <c r="BT868" s="56"/>
      <c r="BU868" s="56"/>
      <c r="BV868" s="56"/>
    </row>
    <row r="869" spans="45:74">
      <c r="AS869" s="49"/>
      <c r="AT869" s="49"/>
      <c r="AU869" s="49"/>
      <c r="AV869" s="49"/>
      <c r="AW869" s="49"/>
      <c r="AX869" s="49"/>
      <c r="AY869" s="49"/>
      <c r="AZ869" s="57"/>
      <c r="BA869" s="49"/>
      <c r="BB869" s="57"/>
      <c r="BC869" s="49"/>
      <c r="BD869" s="49"/>
      <c r="BE869" s="49"/>
      <c r="BO869" s="56"/>
      <c r="BP869" s="56"/>
      <c r="BQ869" s="56"/>
      <c r="BR869" s="56"/>
      <c r="BS869" s="56"/>
      <c r="BT869" s="56"/>
      <c r="BU869" s="56"/>
      <c r="BV869" s="56"/>
    </row>
    <row r="870" spans="45:74">
      <c r="AX870" s="42"/>
      <c r="AZ870" s="56"/>
      <c r="BB870" s="56"/>
      <c r="BO870" s="56"/>
      <c r="BP870" s="56"/>
      <c r="BQ870" s="56"/>
      <c r="BR870" s="56"/>
      <c r="BS870" s="56"/>
      <c r="BT870" s="56"/>
      <c r="BU870" s="56"/>
      <c r="BV870" s="56"/>
    </row>
    <row r="871" spans="45:74">
      <c r="AX871" s="49"/>
      <c r="AY871" s="49"/>
      <c r="AZ871" s="57"/>
      <c r="BA871" s="49"/>
      <c r="BB871" s="56"/>
      <c r="BC871" s="44"/>
      <c r="BD871" s="44"/>
      <c r="BO871" s="56"/>
      <c r="BP871" s="56"/>
      <c r="BQ871" s="56"/>
      <c r="BR871" s="56"/>
      <c r="BS871" s="56"/>
      <c r="BT871" s="56"/>
      <c r="BU871" s="56"/>
      <c r="BV871" s="56"/>
    </row>
    <row r="872" spans="45:74">
      <c r="AV872" s="44"/>
      <c r="AW872" s="44"/>
      <c r="AZ872" s="58"/>
      <c r="BA872" s="44"/>
      <c r="BB872" s="56"/>
      <c r="BC872" s="44"/>
      <c r="BD872" s="44"/>
      <c r="BE872" s="44"/>
      <c r="BG872" s="49"/>
      <c r="BH872" s="42"/>
      <c r="BK872" s="49"/>
      <c r="BM872" s="49"/>
      <c r="BN872" s="42"/>
      <c r="BQ872" s="49"/>
    </row>
    <row r="873" spans="45:74">
      <c r="AV873" s="44"/>
      <c r="AW873" s="44"/>
      <c r="AX873" s="44"/>
      <c r="AY873" s="44"/>
      <c r="AZ873" s="58"/>
      <c r="BA873" s="44"/>
      <c r="BB873" s="58"/>
      <c r="BC873" s="44"/>
      <c r="BD873" s="44"/>
      <c r="BE873" s="44"/>
      <c r="BH873" s="44"/>
      <c r="BI873" s="44"/>
      <c r="BN873" s="44"/>
      <c r="BO873" s="44"/>
    </row>
    <row r="874" spans="45:74">
      <c r="AS874" s="44"/>
      <c r="AU874" s="42"/>
      <c r="AV874" s="44"/>
      <c r="AW874" s="44"/>
      <c r="AX874" s="44"/>
      <c r="AY874" s="44"/>
      <c r="AZ874" s="58"/>
      <c r="BA874" s="44"/>
      <c r="BB874" s="58"/>
      <c r="BC874" s="44"/>
      <c r="BD874" s="44"/>
      <c r="BE874" s="44"/>
      <c r="BG874" s="44"/>
      <c r="BH874" s="44"/>
      <c r="BI874" s="44"/>
      <c r="BJ874" s="44"/>
      <c r="BK874" s="44"/>
      <c r="BM874" s="44"/>
      <c r="BN874" s="44"/>
      <c r="BO874" s="44"/>
      <c r="BP874" s="44"/>
      <c r="BQ874" s="44"/>
    </row>
    <row r="875" spans="45:74">
      <c r="AS875" s="44"/>
      <c r="AU875" s="42"/>
      <c r="AV875" s="44"/>
      <c r="AW875" s="44"/>
      <c r="AX875" s="44"/>
      <c r="AY875" s="44"/>
      <c r="AZ875" s="58"/>
      <c r="BA875" s="44"/>
      <c r="BB875" s="58"/>
      <c r="BC875" s="44"/>
      <c r="BD875" s="44"/>
      <c r="BE875" s="44"/>
      <c r="BG875" s="44"/>
      <c r="BH875" s="44"/>
      <c r="BI875" s="44"/>
      <c r="BJ875" s="44"/>
      <c r="BK875" s="44"/>
      <c r="BM875" s="44"/>
      <c r="BN875" s="44"/>
      <c r="BO875" s="44"/>
      <c r="BP875" s="44"/>
      <c r="BQ875" s="44"/>
    </row>
    <row r="876" spans="45:74">
      <c r="AS876" s="49"/>
      <c r="AT876" s="49"/>
      <c r="AU876" s="49"/>
      <c r="AV876" s="49"/>
      <c r="AW876" s="49"/>
      <c r="AX876" s="49"/>
      <c r="AY876" s="49"/>
      <c r="AZ876" s="57"/>
      <c r="BA876" s="49"/>
      <c r="BB876" s="57"/>
      <c r="BC876" s="49"/>
      <c r="BD876" s="49"/>
      <c r="BE876" s="49"/>
      <c r="BG876" s="49"/>
      <c r="BH876" s="49"/>
      <c r="BI876" s="49"/>
      <c r="BJ876" s="49"/>
      <c r="BK876" s="49"/>
      <c r="BM876" s="49"/>
      <c r="BN876" s="49"/>
      <c r="BO876" s="49"/>
      <c r="BP876" s="49"/>
      <c r="BQ876" s="49"/>
    </row>
    <row r="877" spans="45:74">
      <c r="AV877" s="44"/>
      <c r="AW877" s="44"/>
      <c r="AX877" s="44"/>
      <c r="AY877" s="44"/>
      <c r="AZ877" s="58"/>
      <c r="BA877" s="44"/>
      <c r="BB877" s="58"/>
      <c r="BC877" s="44"/>
      <c r="BD877" s="44"/>
      <c r="BE877" s="44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</row>
    <row r="878" spans="45:74">
      <c r="AT878" s="42"/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5:74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5:74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8:71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</row>
    <row r="882" spans="48:71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</row>
    <row r="883" spans="48:71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</row>
    <row r="884" spans="48:71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</row>
    <row r="885" spans="48:71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</row>
    <row r="886" spans="48:71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</row>
    <row r="887" spans="48:71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</row>
    <row r="888" spans="48:71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</row>
    <row r="889" spans="48:71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</row>
    <row r="890" spans="48:71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</row>
    <row r="891" spans="48:71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</row>
    <row r="892" spans="48:71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</row>
    <row r="893" spans="48:71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</row>
    <row r="894" spans="48:71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</row>
    <row r="895" spans="48:71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</row>
    <row r="896" spans="48:71">
      <c r="AZ896" s="56"/>
      <c r="BB896" s="56"/>
      <c r="BC896" s="56"/>
      <c r="BD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</row>
    <row r="897" spans="46:57">
      <c r="AT897" s="42"/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6:57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6:57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6:57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6:57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6:57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6:57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6:57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6:57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6:57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6:57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6:57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6:57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0" spans="46:57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</row>
    <row r="911" spans="46:57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</row>
    <row r="912" spans="46:57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</row>
    <row r="913" spans="45:57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</row>
    <row r="914" spans="45:57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</row>
    <row r="915" spans="45:57">
      <c r="BB915" s="56"/>
    </row>
    <row r="916" spans="45:57">
      <c r="AU916" s="42"/>
      <c r="BB916" s="56"/>
    </row>
    <row r="917" spans="45:57">
      <c r="AU917" s="42"/>
    </row>
    <row r="918" spans="45:57">
      <c r="AU918" s="42"/>
      <c r="BB918" s="56"/>
    </row>
    <row r="919" spans="45:57">
      <c r="AS919" s="42"/>
      <c r="AZ919" s="56"/>
      <c r="BB919" s="56"/>
    </row>
    <row r="920" spans="45:57">
      <c r="AZ920" s="56"/>
      <c r="BB920" s="56"/>
    </row>
    <row r="921" spans="45:57">
      <c r="AY921" s="56"/>
      <c r="AZ921" s="56"/>
      <c r="BB921" s="56"/>
    </row>
    <row r="922" spans="45:57">
      <c r="AY922" s="42"/>
      <c r="AZ922" s="56"/>
      <c r="BB922" s="56"/>
    </row>
    <row r="923" spans="45:57">
      <c r="AY923" s="42"/>
      <c r="AZ923" s="56"/>
      <c r="BB923" s="56"/>
    </row>
    <row r="924" spans="45:57">
      <c r="AZ924" s="56"/>
      <c r="BB924" s="56"/>
      <c r="BD924" s="42"/>
    </row>
    <row r="925" spans="45:57">
      <c r="AZ925" s="56"/>
      <c r="BB925" s="56"/>
      <c r="BD925" s="42"/>
    </row>
    <row r="926" spans="45:57">
      <c r="AS926" s="42"/>
      <c r="AZ926" s="56"/>
      <c r="BB926" s="56"/>
      <c r="BD926" s="42"/>
    </row>
    <row r="927" spans="45:57">
      <c r="AZ927" s="56"/>
      <c r="BB927" s="56"/>
    </row>
    <row r="928" spans="45:57">
      <c r="AS928" s="49"/>
      <c r="AT928" s="49"/>
      <c r="AU928" s="49"/>
      <c r="AV928" s="49"/>
      <c r="AW928" s="49"/>
      <c r="AX928" s="49"/>
      <c r="AY928" s="49"/>
      <c r="AZ928" s="57"/>
      <c r="BA928" s="49"/>
      <c r="BB928" s="57"/>
      <c r="BC928" s="49"/>
      <c r="BD928" s="49"/>
      <c r="BE928" s="49"/>
    </row>
    <row r="929" spans="45:57">
      <c r="AX929" s="42"/>
      <c r="AZ929" s="56"/>
      <c r="BB929" s="56"/>
    </row>
    <row r="930" spans="45:57">
      <c r="AX930" s="49"/>
      <c r="AY930" s="49"/>
      <c r="AZ930" s="57"/>
      <c r="BA930" s="49"/>
      <c r="BB930" s="56"/>
      <c r="BC930" s="44"/>
      <c r="BD930" s="44"/>
    </row>
    <row r="931" spans="45:57">
      <c r="AV931" s="44"/>
      <c r="AW931" s="44"/>
      <c r="AZ931" s="58"/>
      <c r="BA931" s="44"/>
      <c r="BB931" s="56"/>
      <c r="BC931" s="44"/>
      <c r="BD931" s="44"/>
      <c r="BE931" s="44"/>
    </row>
    <row r="932" spans="45:57">
      <c r="AV932" s="44"/>
      <c r="AW932" s="44"/>
      <c r="AX932" s="44"/>
      <c r="AY932" s="44"/>
      <c r="AZ932" s="58"/>
      <c r="BA932" s="44"/>
      <c r="BB932" s="58"/>
      <c r="BC932" s="44"/>
      <c r="BD932" s="44"/>
      <c r="BE932" s="44"/>
    </row>
    <row r="933" spans="45:57">
      <c r="AS933" s="44"/>
      <c r="AU933" s="42"/>
      <c r="AV933" s="44"/>
      <c r="AW933" s="44"/>
      <c r="AX933" s="44"/>
      <c r="AY933" s="44"/>
      <c r="AZ933" s="58"/>
      <c r="BA933" s="44"/>
      <c r="BB933" s="58"/>
      <c r="BC933" s="44"/>
      <c r="BD933" s="44"/>
      <c r="BE933" s="44"/>
    </row>
    <row r="934" spans="45:57">
      <c r="AS934" s="44"/>
      <c r="AU934" s="42"/>
      <c r="AV934" s="44"/>
      <c r="AW934" s="44"/>
      <c r="AX934" s="44"/>
      <c r="AY934" s="44"/>
      <c r="AZ934" s="58"/>
      <c r="BA934" s="44"/>
      <c r="BB934" s="58"/>
      <c r="BC934" s="44"/>
      <c r="BD934" s="44"/>
      <c r="BE934" s="44"/>
    </row>
    <row r="935" spans="45:57">
      <c r="AS935" s="49"/>
      <c r="AT935" s="49"/>
      <c r="AU935" s="49"/>
      <c r="AV935" s="49"/>
      <c r="AW935" s="49"/>
      <c r="AX935" s="49"/>
      <c r="AY935" s="49"/>
      <c r="AZ935" s="57"/>
      <c r="BA935" s="49"/>
      <c r="BB935" s="57"/>
      <c r="BC935" s="49"/>
      <c r="BD935" s="49"/>
      <c r="BE935" s="49"/>
    </row>
    <row r="936" spans="45:57">
      <c r="AV936" s="44"/>
      <c r="AW936" s="44"/>
      <c r="AX936" s="44"/>
      <c r="AY936" s="44"/>
      <c r="AZ936" s="58"/>
      <c r="BA936" s="44"/>
      <c r="BB936" s="58"/>
      <c r="BC936" s="44"/>
      <c r="BD936" s="44"/>
      <c r="BE936" s="44"/>
    </row>
    <row r="937" spans="45:57">
      <c r="AT937" s="42"/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5:57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5:57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5:57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5:57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5:57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5:57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5:57">
      <c r="AV944" s="45"/>
      <c r="AW944" s="45"/>
      <c r="AX944" s="56"/>
      <c r="AY944" s="56"/>
      <c r="AZ944" s="56"/>
      <c r="BA944" s="51"/>
      <c r="BB944" s="56"/>
      <c r="BC944" s="56"/>
      <c r="BD944" s="56"/>
      <c r="BE944" s="51"/>
    </row>
    <row r="945" spans="46:57">
      <c r="AV945" s="45"/>
      <c r="AW945" s="45"/>
      <c r="AX945" s="56"/>
      <c r="AY945" s="56"/>
      <c r="AZ945" s="56"/>
      <c r="BA945" s="51"/>
      <c r="BB945" s="56"/>
      <c r="BC945" s="56"/>
      <c r="BD945" s="56"/>
      <c r="BE945" s="51"/>
    </row>
    <row r="946" spans="46:57">
      <c r="AV946" s="45"/>
      <c r="AW946" s="45"/>
      <c r="AX946" s="56"/>
      <c r="AY946" s="56"/>
      <c r="AZ946" s="56"/>
      <c r="BA946" s="51"/>
      <c r="BB946" s="56"/>
      <c r="BC946" s="56"/>
      <c r="BD946" s="56"/>
      <c r="BE946" s="51"/>
    </row>
    <row r="947" spans="46:57">
      <c r="AV947" s="45"/>
      <c r="AW947" s="45"/>
      <c r="BB947" s="56"/>
    </row>
    <row r="948" spans="46:57">
      <c r="AT948" s="42"/>
      <c r="AV948" s="45"/>
      <c r="AW948" s="45"/>
      <c r="AX948" s="56"/>
      <c r="AY948" s="56"/>
      <c r="AZ948" s="56"/>
      <c r="BA948" s="51"/>
      <c r="BB948" s="56"/>
      <c r="BC948" s="56"/>
      <c r="BD948" s="56"/>
      <c r="BE948" s="51"/>
    </row>
    <row r="949" spans="46:57">
      <c r="AV949" s="45"/>
      <c r="AW949" s="45"/>
      <c r="AX949" s="56"/>
      <c r="AY949" s="56"/>
      <c r="AZ949" s="56"/>
      <c r="BA949" s="51"/>
      <c r="BB949" s="56"/>
      <c r="BC949" s="56"/>
      <c r="BD949" s="56"/>
      <c r="BE949" s="51"/>
    </row>
    <row r="950" spans="46:57">
      <c r="AV950" s="45"/>
      <c r="AW950" s="45"/>
      <c r="AX950" s="56"/>
      <c r="AY950" s="56"/>
      <c r="AZ950" s="56"/>
      <c r="BA950" s="51"/>
      <c r="BB950" s="56"/>
      <c r="BC950" s="56"/>
      <c r="BD950" s="56"/>
      <c r="BE950" s="51"/>
    </row>
    <row r="951" spans="46:57">
      <c r="AV951" s="45"/>
      <c r="AW951" s="45"/>
      <c r="AX951" s="56"/>
      <c r="AY951" s="56"/>
      <c r="AZ951" s="56"/>
      <c r="BA951" s="51"/>
      <c r="BB951" s="56"/>
      <c r="BC951" s="56"/>
      <c r="BD951" s="56"/>
      <c r="BE951" s="51"/>
    </row>
    <row r="952" spans="46:57">
      <c r="AV952" s="45"/>
      <c r="AW952" s="45"/>
      <c r="AX952" s="56"/>
      <c r="AY952" s="56"/>
      <c r="AZ952" s="56"/>
      <c r="BA952" s="51"/>
      <c r="BB952" s="56"/>
      <c r="BC952" s="56"/>
      <c r="BD952" s="56"/>
      <c r="BE952" s="51"/>
    </row>
    <row r="953" spans="46:57">
      <c r="AV953" s="45"/>
      <c r="AW953" s="45"/>
      <c r="AX953" s="56"/>
      <c r="AY953" s="56"/>
      <c r="AZ953" s="56"/>
      <c r="BA953" s="51"/>
      <c r="BB953" s="56"/>
      <c r="BC953" s="56"/>
      <c r="BD953" s="56"/>
      <c r="BE953" s="51"/>
    </row>
    <row r="954" spans="46:57">
      <c r="AV954" s="45"/>
      <c r="AW954" s="45"/>
      <c r="AX954" s="56"/>
      <c r="AY954" s="56"/>
      <c r="AZ954" s="56"/>
      <c r="BA954" s="51"/>
      <c r="BB954" s="56"/>
      <c r="BC954" s="56"/>
      <c r="BD954" s="56"/>
      <c r="BE954" s="51"/>
    </row>
    <row r="955" spans="46:57">
      <c r="AV955" s="45"/>
      <c r="AW955" s="45"/>
      <c r="AX955" s="56"/>
      <c r="AY955" s="56"/>
      <c r="AZ955" s="56"/>
      <c r="BA955" s="51"/>
      <c r="BB955" s="56"/>
      <c r="BC955" s="56"/>
      <c r="BD955" s="56"/>
      <c r="BE955" s="51"/>
    </row>
    <row r="956" spans="46:57">
      <c r="AV956" s="45"/>
      <c r="AW956" s="45"/>
      <c r="AX956" s="56"/>
      <c r="AY956" s="56"/>
      <c r="AZ956" s="56"/>
      <c r="BA956" s="51"/>
      <c r="BB956" s="56"/>
      <c r="BC956" s="56"/>
      <c r="BD956" s="56"/>
      <c r="BE956" s="51"/>
    </row>
    <row r="957" spans="46:57">
      <c r="AV957" s="45"/>
      <c r="AW957" s="45"/>
      <c r="AX957" s="56"/>
      <c r="AY957" s="56"/>
      <c r="AZ957" s="56"/>
      <c r="BA957" s="51"/>
      <c r="BB957" s="56"/>
      <c r="BC957" s="56"/>
      <c r="BD957" s="56"/>
      <c r="BE957" s="51"/>
    </row>
    <row r="959" spans="46:57">
      <c r="AU959" s="42"/>
    </row>
    <row r="960" spans="46:57">
      <c r="AU960" s="42"/>
    </row>
    <row r="961" spans="45:47">
      <c r="AU961" s="42"/>
    </row>
    <row r="962" spans="45:47">
      <c r="AS962" s="42"/>
    </row>
    <row r="983" spans="52:71">
      <c r="AZ983" s="56"/>
      <c r="BB983" s="56"/>
      <c r="BC983" s="56"/>
      <c r="BD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>
      <c r="AZ984" s="56"/>
      <c r="BB984" s="56"/>
      <c r="BC984" s="56"/>
      <c r="BD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>
      <c r="AZ985" s="56"/>
      <c r="BB985" s="56"/>
      <c r="BC985" s="56"/>
      <c r="BD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>
      <c r="AZ986" s="56"/>
      <c r="BB986" s="56"/>
      <c r="BC986" s="56"/>
      <c r="BD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</row>
    <row r="987" spans="52:71">
      <c r="AZ987" s="56"/>
      <c r="BB987" s="56"/>
      <c r="BC987" s="56"/>
      <c r="BD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</row>
    <row r="988" spans="52:71">
      <c r="AZ988" s="56"/>
      <c r="BB988" s="56"/>
      <c r="BC988" s="56"/>
      <c r="BD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</row>
    <row r="989" spans="52:71">
      <c r="AZ989" s="56"/>
      <c r="BB989" s="56"/>
      <c r="BC989" s="56"/>
      <c r="BD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</row>
    <row r="990" spans="52:71">
      <c r="AZ990" s="56"/>
      <c r="BB990" s="56"/>
      <c r="BC990" s="56"/>
      <c r="BD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</row>
    <row r="991" spans="52:71">
      <c r="AZ991" s="56"/>
      <c r="BB991" s="56"/>
      <c r="BC991" s="56"/>
      <c r="BD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</row>
    <row r="992" spans="52:71">
      <c r="AZ992" s="56"/>
      <c r="BB992" s="56"/>
      <c r="BC992" s="56"/>
      <c r="BD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</row>
    <row r="993" spans="52:71">
      <c r="AZ993" s="56"/>
      <c r="BB993" s="56"/>
      <c r="BC993" s="56"/>
      <c r="BD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</row>
    <row r="994" spans="52:71">
      <c r="AZ994" s="56"/>
      <c r="BB994" s="56"/>
      <c r="BC994" s="56"/>
      <c r="BD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</row>
    <row r="995" spans="52:71">
      <c r="AZ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</row>
    <row r="996" spans="52:71">
      <c r="AZ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</row>
    <row r="997" spans="52:71">
      <c r="AZ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</row>
    <row r="998" spans="52:71">
      <c r="AZ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</row>
    <row r="999" spans="52:71">
      <c r="AZ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</row>
    <row r="1000" spans="52:71">
      <c r="AZ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</row>
    <row r="1001" spans="52:71">
      <c r="AZ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</row>
    <row r="1002" spans="52:71">
      <c r="AZ1002" s="56"/>
    </row>
    <row r="1003" spans="52:71">
      <c r="AZ1003" s="56"/>
    </row>
    <row r="1017" spans="1:28">
      <c r="A1017" s="42"/>
    </row>
    <row r="1020" spans="1:28">
      <c r="Y1020" s="42"/>
    </row>
    <row r="1021" spans="1:28">
      <c r="A1021" s="42"/>
      <c r="H1021" s="42"/>
      <c r="I1021" s="42"/>
    </row>
    <row r="1022" spans="1:28">
      <c r="A1022" s="42"/>
      <c r="V1022" s="44"/>
      <c r="AA1022" s="44"/>
      <c r="AB1022" s="44"/>
    </row>
    <row r="1023" spans="1:28">
      <c r="A1023" s="42"/>
      <c r="V1023" s="49"/>
      <c r="AA1023" s="49"/>
      <c r="AB1023" s="49"/>
    </row>
    <row r="1024" spans="1:28">
      <c r="A1024" s="42"/>
      <c r="U1024" s="42"/>
      <c r="AA1024" s="44"/>
      <c r="AB1024" s="44"/>
    </row>
    <row r="1025" spans="1:28">
      <c r="A1025" s="42"/>
    </row>
    <row r="1026" spans="1:28">
      <c r="A1026" s="42"/>
      <c r="U1026" s="42"/>
      <c r="AA1026" s="44"/>
      <c r="AB1026" s="44"/>
    </row>
    <row r="1027" spans="1:28">
      <c r="A1027" s="42"/>
    </row>
    <row r="1028" spans="1:28">
      <c r="A1028" s="42"/>
      <c r="U1028" s="42"/>
      <c r="V1028" s="339"/>
      <c r="AA1028" s="44"/>
      <c r="AB1028" s="44"/>
    </row>
    <row r="1029" spans="1:28">
      <c r="A1029" s="42"/>
    </row>
    <row r="1030" spans="1:28">
      <c r="A1030" s="42"/>
      <c r="U1030" s="42"/>
      <c r="AA1030" s="44"/>
      <c r="AB1030" s="44"/>
    </row>
    <row r="1031" spans="1:28">
      <c r="A1031" s="42"/>
    </row>
    <row r="1032" spans="1:28">
      <c r="A1032" s="42"/>
      <c r="U1032" s="42"/>
      <c r="AA1032" s="44"/>
      <c r="AB1032" s="44"/>
    </row>
    <row r="1033" spans="1:28">
      <c r="A1033" s="42"/>
    </row>
    <row r="1034" spans="1:28">
      <c r="A1034" s="42"/>
    </row>
    <row r="1035" spans="1:28">
      <c r="A1035" s="42"/>
    </row>
    <row r="1036" spans="1:28">
      <c r="A1036" s="42"/>
    </row>
    <row r="1037" spans="1:28">
      <c r="A1037" s="42"/>
    </row>
    <row r="1038" spans="1:28">
      <c r="A1038" s="42"/>
    </row>
    <row r="1039" spans="1:28">
      <c r="A1039" s="42"/>
    </row>
    <row r="1040" spans="1:28">
      <c r="A1040" s="42"/>
    </row>
    <row r="1041" spans="1:9">
      <c r="A1041" s="42"/>
    </row>
    <row r="1042" spans="1:9">
      <c r="A1042" s="42"/>
    </row>
    <row r="1043" spans="1:9">
      <c r="A1043" s="42"/>
      <c r="H1043" s="42"/>
      <c r="I1043" s="42"/>
    </row>
    <row r="1046" spans="1:9">
      <c r="A1046" s="42"/>
    </row>
    <row r="1049" spans="1:9">
      <c r="A1049" s="42"/>
    </row>
    <row r="1052" spans="1:9">
      <c r="A1052" s="42"/>
    </row>
    <row r="1053" spans="1:9">
      <c r="A1053" s="42"/>
    </row>
    <row r="1054" spans="1:9">
      <c r="A1054" s="42"/>
    </row>
    <row r="1055" spans="1:9">
      <c r="A1055" s="42"/>
    </row>
    <row r="1056" spans="1:9">
      <c r="A1056" s="42"/>
    </row>
    <row r="1057" spans="1:1">
      <c r="A1057" s="42"/>
    </row>
    <row r="1058" spans="1:1">
      <c r="A1058" s="42"/>
    </row>
    <row r="1059" spans="1:1">
      <c r="A1059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  <row r="1064" spans="1:1">
      <c r="A1064" s="42"/>
    </row>
    <row r="1065" spans="1:1">
      <c r="A1065" s="42"/>
    </row>
    <row r="1066" spans="1:1">
      <c r="A1066" s="42"/>
    </row>
    <row r="1067" spans="1:1">
      <c r="A1067" s="42"/>
    </row>
    <row r="1068" spans="1:1">
      <c r="A1068" s="42"/>
    </row>
    <row r="1069" spans="1:1">
      <c r="A1069" s="42"/>
    </row>
    <row r="1070" spans="1:1">
      <c r="A1070" s="42"/>
    </row>
    <row r="1071" spans="1:1">
      <c r="A1071" s="42"/>
    </row>
    <row r="1072" spans="1:1">
      <c r="A1072" s="42"/>
    </row>
    <row r="1073" spans="1:1">
      <c r="A1073" s="42"/>
    </row>
    <row r="1074" spans="1:1">
      <c r="A1074" s="42"/>
    </row>
    <row r="1075" spans="1:1">
      <c r="A1075" s="42"/>
    </row>
    <row r="1076" spans="1:1">
      <c r="A1076" s="42"/>
    </row>
    <row r="1077" spans="1:1">
      <c r="A1077" s="42"/>
    </row>
    <row r="1078" spans="1:1">
      <c r="A1078" s="42"/>
    </row>
    <row r="1079" spans="1:1">
      <c r="A1079" s="42"/>
    </row>
    <row r="1080" spans="1:1">
      <c r="A1080" s="42"/>
    </row>
    <row r="1081" spans="1:1">
      <c r="A1081" s="42"/>
    </row>
    <row r="1082" spans="1:1">
      <c r="A1082" s="42"/>
    </row>
    <row r="1083" spans="1:1">
      <c r="A1083" s="42"/>
    </row>
    <row r="1084" spans="1:1">
      <c r="A1084" s="42"/>
    </row>
    <row r="1085" spans="1:1">
      <c r="A1085" s="42"/>
    </row>
    <row r="1086" spans="1:1">
      <c r="A1086" s="42"/>
    </row>
    <row r="1091" spans="1:1">
      <c r="A1091" s="42"/>
    </row>
    <row r="1092" spans="1:1">
      <c r="A1092" s="42"/>
    </row>
    <row r="1095" spans="1:1">
      <c r="A1095" s="42"/>
    </row>
    <row r="1097" spans="1:1">
      <c r="A1097" s="42"/>
    </row>
    <row r="1099" spans="1:1">
      <c r="A1099" s="42"/>
    </row>
    <row r="1101" spans="1:1">
      <c r="A1101" s="42"/>
    </row>
    <row r="1104" spans="1:1">
      <c r="A1104" s="42"/>
    </row>
    <row r="1105" spans="1:1">
      <c r="A1105" s="42"/>
    </row>
    <row r="1106" spans="1:1">
      <c r="A1106" s="42"/>
    </row>
    <row r="1107" spans="1:1">
      <c r="A1107" s="42"/>
    </row>
    <row r="1108" spans="1:1">
      <c r="A1108" s="42"/>
    </row>
    <row r="1109" spans="1:1">
      <c r="A1109" s="42"/>
    </row>
    <row r="1110" spans="1:1">
      <c r="A1110" s="42"/>
    </row>
    <row r="1111" spans="1:1">
      <c r="A1111" s="42"/>
    </row>
  </sheetData>
  <pageMargins left="0.5" right="0.5" top="1" bottom="0" header="0" footer="0"/>
  <pageSetup scale="52" orientation="landscape" r:id="rId1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transitionEntry="1" codeName="Sheet123">
    <pageSetUpPr fitToPage="1"/>
  </sheetPr>
  <dimension ref="A1:BW1059"/>
  <sheetViews>
    <sheetView workbookViewId="0"/>
  </sheetViews>
  <sheetFormatPr defaultColWidth="9.69921875" defaultRowHeight="15.75"/>
  <cols>
    <col min="1" max="1" width="5.09765625" style="41" customWidth="1"/>
    <col min="2" max="2" width="0.3984375" style="41" customWidth="1"/>
    <col min="3" max="3" width="7.69921875" style="41" customWidth="1"/>
    <col min="4" max="4" width="38.09765625" style="41" customWidth="1"/>
    <col min="5" max="5" width="0.69921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1.0976562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9.29687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8.09765625" style="41" customWidth="1"/>
    <col min="23" max="23" width="38.09765625" style="41" customWidth="1"/>
    <col min="24" max="24" width="0.6992187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3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12 OF "&amp;TEXT(Page_Num_2.3,"00")</f>
        <v>PAGE 12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0" t="str">
        <f>TIME</f>
        <v>12 Months Projected with Riders</v>
      </c>
      <c r="M9" s="42"/>
      <c r="R9" s="41" t="str">
        <f>WIT</f>
        <v>B. L. Sailers</v>
      </c>
      <c r="AK9" s="110"/>
      <c r="AL9" s="42"/>
    </row>
    <row r="10" spans="1:40">
      <c r="A10" s="130" t="str">
        <f>INPUT!B5</f>
        <v xml:space="preserve"> </v>
      </c>
      <c r="M10" s="42"/>
      <c r="AK10" s="110"/>
      <c r="AL10" s="42"/>
    </row>
    <row r="11" spans="1:40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K11" s="110"/>
      <c r="AL11" s="42"/>
    </row>
    <row r="12" spans="1:40">
      <c r="A12" s="49"/>
      <c r="B12" s="49"/>
      <c r="C12" s="49"/>
      <c r="D12" s="49"/>
      <c r="E12" s="49"/>
      <c r="G12" s="49"/>
      <c r="H12" s="49"/>
      <c r="I12" s="49"/>
      <c r="J12" s="49"/>
      <c r="K12" s="49"/>
      <c r="L12" s="43"/>
      <c r="M12" s="43"/>
      <c r="N12" s="43"/>
      <c r="O12" s="43"/>
      <c r="P12" s="43"/>
      <c r="Q12" s="43"/>
      <c r="R12" s="43"/>
      <c r="AA12" s="42"/>
      <c r="AB12" s="42"/>
    </row>
    <row r="13" spans="1:40" ht="18" customHeight="1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44" t="s">
        <v>6</v>
      </c>
      <c r="M13" s="44"/>
      <c r="N13" s="44" t="s">
        <v>7</v>
      </c>
      <c r="O13" s="44"/>
      <c r="R13" s="44" t="s">
        <v>6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107"/>
      <c r="AH13" s="49"/>
      <c r="AI13" s="49"/>
      <c r="AJ13" s="49"/>
      <c r="AK13" s="107"/>
      <c r="AL13" s="49"/>
      <c r="AM13" s="49"/>
      <c r="AN13" s="49"/>
    </row>
    <row r="14" spans="1:40">
      <c r="L14" s="44" t="s">
        <v>12</v>
      </c>
      <c r="M14" s="44"/>
      <c r="N14" s="44" t="s">
        <v>13</v>
      </c>
      <c r="O14" s="44"/>
      <c r="R14" s="44" t="s">
        <v>11</v>
      </c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Z15" s="44"/>
      <c r="AA15" s="44"/>
      <c r="AB15" s="44"/>
      <c r="AC15" s="44"/>
      <c r="AD15" s="44"/>
      <c r="AE15" s="44"/>
      <c r="AF15" s="44"/>
      <c r="AG15" s="102"/>
      <c r="AH15" s="44"/>
      <c r="AK15" s="102"/>
      <c r="AL15" s="44"/>
      <c r="AM15" s="44"/>
      <c r="AN15" s="44"/>
    </row>
    <row r="16" spans="1:40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>
      <c r="H18" s="61"/>
      <c r="I18" s="61"/>
      <c r="J18" s="61"/>
      <c r="T18" s="44"/>
      <c r="U18" s="44"/>
      <c r="V18" s="44"/>
      <c r="Y18" s="44"/>
      <c r="Z18" s="44"/>
      <c r="AA18" s="44"/>
      <c r="AB18" s="44"/>
      <c r="AC18" s="44"/>
      <c r="AD18" s="44"/>
      <c r="AE18" s="44"/>
      <c r="AF18" s="44"/>
      <c r="AG18" s="102"/>
      <c r="AH18" s="44"/>
      <c r="AI18" s="44"/>
      <c r="AJ18" s="44"/>
      <c r="AK18" s="102"/>
      <c r="AL18" s="44"/>
      <c r="AM18" s="44"/>
      <c r="AN18" s="44"/>
    </row>
    <row r="19" spans="1:40" ht="17.100000000000001" customHeight="1">
      <c r="A19" s="62"/>
      <c r="B19" s="62"/>
      <c r="C19" s="62"/>
      <c r="D19" s="62"/>
      <c r="E19" s="62"/>
      <c r="F19" s="62"/>
      <c r="G19" s="62"/>
      <c r="H19" s="309" t="s">
        <v>49</v>
      </c>
      <c r="I19" s="308"/>
      <c r="J19" s="309" t="s">
        <v>312</v>
      </c>
      <c r="K19" s="345"/>
      <c r="L19" s="345" t="s">
        <v>50</v>
      </c>
      <c r="M19" s="345"/>
      <c r="N19" s="345" t="s">
        <v>51</v>
      </c>
      <c r="O19" s="345"/>
      <c r="P19" s="345" t="s">
        <v>50</v>
      </c>
      <c r="Q19" s="345"/>
      <c r="R19" s="345" t="s">
        <v>50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107"/>
      <c r="AH19" s="49"/>
      <c r="AI19" s="49"/>
      <c r="AJ19" s="49"/>
      <c r="AK19" s="107"/>
      <c r="AL19" s="49"/>
      <c r="AM19" s="49"/>
      <c r="AN19" s="49"/>
    </row>
    <row r="20" spans="1:40">
      <c r="A20" s="41">
        <v>1</v>
      </c>
      <c r="C20" s="133" t="s">
        <v>305</v>
      </c>
      <c r="D20" s="130" t="s">
        <v>309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Y20" s="44"/>
      <c r="Z20" s="44"/>
      <c r="AA20" s="44"/>
      <c r="AB20" s="44"/>
      <c r="AC20" s="44"/>
      <c r="AD20" s="44"/>
      <c r="AE20" s="44"/>
      <c r="AF20" s="44"/>
      <c r="AG20" s="102"/>
      <c r="AH20" s="44"/>
      <c r="AI20" s="44"/>
      <c r="AJ20" s="44"/>
      <c r="AK20" s="102"/>
      <c r="AL20" s="44"/>
      <c r="AM20" s="44"/>
      <c r="AN20" s="44"/>
    </row>
    <row r="21" spans="1:40">
      <c r="A21" s="41">
        <v>2</v>
      </c>
      <c r="C21" s="133"/>
      <c r="D21" s="130" t="s">
        <v>310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  <c r="U21" s="42"/>
    </row>
    <row r="22" spans="1:40" ht="22.5" customHeight="1">
      <c r="C22" s="4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42"/>
      <c r="U22" s="42"/>
    </row>
    <row r="23" spans="1:40">
      <c r="A23" s="41">
        <v>3</v>
      </c>
      <c r="C23" s="133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T23" s="42"/>
      <c r="U23" s="42"/>
    </row>
    <row r="24" spans="1:40">
      <c r="A24" s="41">
        <v>4</v>
      </c>
      <c r="C24" s="42" t="s">
        <v>311</v>
      </c>
      <c r="F24" s="164">
        <f>'[16]Forecast BILLS'!$G$71</f>
        <v>24</v>
      </c>
      <c r="G24" s="1"/>
      <c r="H24" s="68"/>
      <c r="I24" s="68"/>
      <c r="J24" s="316">
        <f>INPUT!D154</f>
        <v>183</v>
      </c>
      <c r="K24" s="76"/>
      <c r="L24" s="66">
        <f>ROUND(F24*J24,0)</f>
        <v>4392</v>
      </c>
      <c r="M24" s="3"/>
      <c r="N24" s="70">
        <f>ROUND((L24/$L$39)*100,1)</f>
        <v>0.8</v>
      </c>
      <c r="O24" s="4"/>
      <c r="P24" s="66"/>
      <c r="Q24" s="1"/>
      <c r="R24" s="66">
        <f>L24+P24</f>
        <v>4392</v>
      </c>
    </row>
    <row r="25" spans="1:40" ht="20.100000000000001" customHeight="1">
      <c r="A25" s="41">
        <v>5</v>
      </c>
      <c r="C25" s="133" t="s">
        <v>136</v>
      </c>
      <c r="F25" s="68"/>
      <c r="G25" s="1"/>
      <c r="H25" s="68"/>
      <c r="I25" s="68"/>
      <c r="J25" s="316"/>
      <c r="K25" s="76"/>
      <c r="L25" s="72">
        <f>SUM(L24)</f>
        <v>4392</v>
      </c>
      <c r="M25" s="3"/>
      <c r="N25" s="70">
        <f>ROUND((L25/$L$39)*100,1)</f>
        <v>0.8</v>
      </c>
      <c r="O25" s="4"/>
      <c r="P25" s="72"/>
      <c r="Q25" s="1"/>
      <c r="R25" s="72">
        <f>SUM(R24)</f>
        <v>4392</v>
      </c>
    </row>
    <row r="26" spans="1:40" ht="25.5" customHeight="1">
      <c r="C26" s="42"/>
      <c r="F26" s="68"/>
      <c r="G26" s="1"/>
      <c r="H26" s="68"/>
      <c r="I26" s="68"/>
      <c r="J26" s="316"/>
      <c r="K26" s="76"/>
      <c r="L26" s="3"/>
      <c r="M26" s="3"/>
      <c r="N26" s="4"/>
      <c r="O26" s="4"/>
      <c r="P26" s="3"/>
      <c r="Q26" s="1"/>
      <c r="R26" s="3"/>
    </row>
    <row r="27" spans="1:40">
      <c r="A27" s="41">
        <v>6</v>
      </c>
      <c r="C27" s="133" t="s">
        <v>67</v>
      </c>
      <c r="F27" s="3"/>
      <c r="G27" s="1"/>
      <c r="H27" s="3"/>
      <c r="I27" s="3"/>
      <c r="J27" s="47"/>
      <c r="K27" s="7"/>
      <c r="L27" s="3"/>
      <c r="M27" s="3"/>
      <c r="N27" s="4"/>
      <c r="O27" s="4"/>
      <c r="P27" s="3"/>
      <c r="Q27" s="3"/>
      <c r="R27" s="3"/>
      <c r="S27" s="45"/>
      <c r="T27" s="42"/>
      <c r="AA27" s="45"/>
      <c r="AB27" s="45"/>
      <c r="AC27" s="45"/>
      <c r="AD27" s="45"/>
      <c r="AI27" s="45"/>
      <c r="AJ27" s="45"/>
      <c r="AL27" s="45"/>
    </row>
    <row r="28" spans="1:40">
      <c r="A28" s="41">
        <v>7</v>
      </c>
      <c r="C28" s="42" t="s">
        <v>381</v>
      </c>
      <c r="F28" s="3"/>
      <c r="G28" s="1"/>
      <c r="H28" s="164">
        <f>'[16]Forecast KWH'!$F$70</f>
        <v>12132774</v>
      </c>
      <c r="I28" s="3"/>
      <c r="J28" s="327">
        <f>INPUT!D158</f>
        <v>1.0567999999999999E-2</v>
      </c>
      <c r="K28" s="7"/>
      <c r="L28" s="3">
        <f>ROUND((H28*J28),0)</f>
        <v>128219</v>
      </c>
      <c r="M28" s="3"/>
      <c r="N28" s="4">
        <f>ROUND((L28/$L$39)*100,1)</f>
        <v>21.9</v>
      </c>
      <c r="O28" s="4"/>
      <c r="P28" s="3"/>
      <c r="Q28" s="3"/>
      <c r="R28" s="3">
        <f>L28+P28</f>
        <v>128219</v>
      </c>
      <c r="S28" s="45"/>
      <c r="T28" s="42"/>
      <c r="AA28" s="45"/>
      <c r="AB28" s="45"/>
      <c r="AC28" s="45"/>
      <c r="AD28" s="45"/>
      <c r="AI28" s="45"/>
      <c r="AJ28" s="45"/>
      <c r="AL28" s="45"/>
    </row>
    <row r="29" spans="1:40">
      <c r="A29" s="41">
        <v>8</v>
      </c>
      <c r="C29" s="42" t="s">
        <v>370</v>
      </c>
      <c r="F29" s="3"/>
      <c r="G29" s="1"/>
      <c r="H29" s="68">
        <f>H28</f>
        <v>12132774</v>
      </c>
      <c r="I29" s="68"/>
      <c r="J29" s="323">
        <f>INPUT!D162</f>
        <v>3.4157E-2</v>
      </c>
      <c r="K29" s="319"/>
      <c r="L29" s="3">
        <f>ROUND((H29*J29),0)</f>
        <v>414419</v>
      </c>
      <c r="M29" s="3"/>
      <c r="N29" s="70">
        <f>ROUND((L29/$L$39)*100,1)</f>
        <v>70.900000000000006</v>
      </c>
      <c r="O29" s="4"/>
      <c r="P29" s="45">
        <v>0</v>
      </c>
      <c r="Q29" s="3"/>
      <c r="R29" s="3">
        <f>L29+P29</f>
        <v>414419</v>
      </c>
    </row>
    <row r="30" spans="1:40" ht="20.100000000000001" customHeight="1">
      <c r="A30" s="41">
        <v>9</v>
      </c>
      <c r="C30" s="133" t="s">
        <v>142</v>
      </c>
      <c r="F30" s="66"/>
      <c r="G30" s="1"/>
      <c r="H30" s="72">
        <f>H28</f>
        <v>12132774</v>
      </c>
      <c r="I30" s="3"/>
      <c r="J30" s="155"/>
      <c r="K30" s="314"/>
      <c r="L30" s="72">
        <f>SUM(L28:L29)</f>
        <v>542638</v>
      </c>
      <c r="M30" s="3"/>
      <c r="N30" s="70">
        <f>ROUND((L30/$L$39)*100,1)</f>
        <v>92.9</v>
      </c>
      <c r="O30" s="4"/>
      <c r="P30" s="72">
        <f>P29</f>
        <v>0</v>
      </c>
      <c r="Q30" s="3"/>
      <c r="R30" s="72">
        <f>SUM(R28:R29)</f>
        <v>542638</v>
      </c>
    </row>
    <row r="31" spans="1:40" ht="20.100000000000001" customHeight="1">
      <c r="A31" s="41">
        <v>10</v>
      </c>
      <c r="C31" s="310" t="s">
        <v>461</v>
      </c>
      <c r="F31" s="72">
        <f>F24</f>
        <v>24</v>
      </c>
      <c r="G31" s="1"/>
      <c r="H31" s="72">
        <f>H30</f>
        <v>12132774</v>
      </c>
      <c r="I31" s="3"/>
      <c r="J31" s="155"/>
      <c r="K31" s="314"/>
      <c r="L31" s="72">
        <f>L30+L25</f>
        <v>547030</v>
      </c>
      <c r="M31" s="3"/>
      <c r="N31" s="74">
        <f>ROUND((L31/$L$39)*100,1)</f>
        <v>93.6</v>
      </c>
      <c r="O31" s="4"/>
      <c r="P31" s="72">
        <f>SUM(P30+P25)</f>
        <v>0</v>
      </c>
      <c r="Q31" s="3"/>
      <c r="R31" s="72">
        <f>R30+R25</f>
        <v>547030</v>
      </c>
    </row>
    <row r="32" spans="1:40" ht="15.75" customHeight="1">
      <c r="C32" s="42"/>
      <c r="F32" s="3"/>
      <c r="G32" s="1"/>
      <c r="H32" s="3"/>
      <c r="I32" s="3"/>
      <c r="J32" s="155"/>
      <c r="K32" s="314"/>
      <c r="L32" s="3"/>
      <c r="M32" s="3"/>
      <c r="N32" s="4"/>
      <c r="O32" s="4"/>
      <c r="P32" s="3"/>
      <c r="Q32" s="3"/>
      <c r="R32" s="3"/>
    </row>
    <row r="33" spans="1:47" ht="15.75" customHeight="1">
      <c r="A33" s="41">
        <v>11</v>
      </c>
      <c r="C33" s="133" t="s">
        <v>430</v>
      </c>
      <c r="F33" s="3"/>
      <c r="G33" s="1"/>
      <c r="H33" s="3"/>
      <c r="I33" s="3"/>
      <c r="J33" s="155"/>
      <c r="K33" s="314"/>
      <c r="L33" s="3"/>
      <c r="M33" s="3"/>
      <c r="N33" s="4"/>
      <c r="O33" s="4"/>
      <c r="P33" s="3"/>
      <c r="Q33" s="3"/>
      <c r="R33" s="3"/>
    </row>
    <row r="34" spans="1:47" ht="15.75" customHeight="1">
      <c r="A34" s="41">
        <v>12</v>
      </c>
      <c r="C34" s="128" t="str">
        <f>DSMR_Name</f>
        <v>DEMAND SIDE MANAGEMENT RIDER (DSMR)</v>
      </c>
      <c r="F34" s="3"/>
      <c r="G34" s="1"/>
      <c r="H34" s="3"/>
      <c r="I34" s="3"/>
      <c r="J34" s="323">
        <f>PRO_DSM_TRANS</f>
        <v>5.1400000000000003E-4</v>
      </c>
      <c r="K34" s="314"/>
      <c r="L34" s="3">
        <f>ROUND($H$31*J34,0)</f>
        <v>6236</v>
      </c>
      <c r="M34" s="3"/>
      <c r="N34" s="103">
        <f>ROUND((L34/$L$39)*100,1)</f>
        <v>1.1000000000000001</v>
      </c>
      <c r="O34" s="4"/>
      <c r="P34" s="3"/>
      <c r="Q34" s="3"/>
      <c r="R34" s="3">
        <f>L34+P34</f>
        <v>6236</v>
      </c>
    </row>
    <row r="35" spans="1:47" ht="15.75" customHeight="1">
      <c r="A35" s="41">
        <v>13</v>
      </c>
      <c r="C35" s="128" t="str">
        <f>ESM_Name</f>
        <v>ENVIRONMENTAL SURCHARGE MECHANISM RIDER (ESM)</v>
      </c>
      <c r="F35" s="3"/>
      <c r="G35" s="1"/>
      <c r="H35" s="3"/>
      <c r="I35" s="3"/>
      <c r="J35" s="134">
        <f>PRO_ESM_NONRES</f>
        <v>5.4606095773317587E-3</v>
      </c>
      <c r="K35" s="314"/>
      <c r="L35" s="3">
        <f>ROUND((R31-(PRO_BASE_FUEL*H31)+R34+R36)*J35,0)</f>
        <v>947</v>
      </c>
      <c r="M35" s="3"/>
      <c r="N35" s="103">
        <f>ROUND((L35/$L$39)*100,1)</f>
        <v>0.2</v>
      </c>
      <c r="O35" s="4"/>
      <c r="P35" s="3"/>
      <c r="Q35" s="3"/>
      <c r="R35" s="3">
        <f>L35+P35</f>
        <v>947</v>
      </c>
    </row>
    <row r="36" spans="1:47" ht="15.75" customHeight="1">
      <c r="A36" s="41">
        <v>14</v>
      </c>
      <c r="C36" s="128" t="str">
        <f>PSM_Name</f>
        <v>PROFIT SHARING MECHANISM (PSM)</v>
      </c>
      <c r="F36" s="3"/>
      <c r="G36" s="1"/>
      <c r="H36" s="3"/>
      <c r="I36" s="3"/>
      <c r="J36" s="323">
        <f>PRO_PSM</f>
        <v>2.4750000000000002E-3</v>
      </c>
      <c r="K36" s="314"/>
      <c r="L36" s="66">
        <f>ROUND(H31*PRO_PSM,0)</f>
        <v>30029</v>
      </c>
      <c r="M36" s="3"/>
      <c r="N36" s="104">
        <f>ROUND((L36/$L$39)*100,1)</f>
        <v>5.0999999999999996</v>
      </c>
      <c r="O36" s="4"/>
      <c r="P36" s="66"/>
      <c r="Q36" s="3"/>
      <c r="R36" s="66">
        <f>L36+P36</f>
        <v>30029</v>
      </c>
    </row>
    <row r="37" spans="1:47" ht="20.100000000000001" customHeight="1">
      <c r="A37" s="41">
        <v>15</v>
      </c>
      <c r="C37" s="133" t="s">
        <v>435</v>
      </c>
      <c r="F37" s="66"/>
      <c r="G37" s="1"/>
      <c r="H37" s="66"/>
      <c r="I37" s="3"/>
      <c r="J37" s="320"/>
      <c r="K37" s="314"/>
      <c r="L37" s="72">
        <f>SUM(L34:L36)</f>
        <v>37212</v>
      </c>
      <c r="M37" s="3"/>
      <c r="N37" s="105">
        <f>ROUND((L37/$L$39)*100,1)</f>
        <v>6.4</v>
      </c>
      <c r="O37" s="4"/>
      <c r="P37" s="72"/>
      <c r="Q37" s="3"/>
      <c r="R37" s="72">
        <f>SUM(R34:R36)</f>
        <v>37212</v>
      </c>
    </row>
    <row r="38" spans="1:47" ht="15.75" customHeight="1">
      <c r="C38" s="133"/>
      <c r="F38" s="3"/>
      <c r="G38" s="1"/>
      <c r="H38" s="3"/>
      <c r="I38" s="3"/>
      <c r="J38" s="314"/>
      <c r="K38" s="314"/>
      <c r="L38" s="3"/>
      <c r="M38" s="3"/>
      <c r="N38" s="4"/>
      <c r="O38" s="4"/>
      <c r="P38" s="3"/>
      <c r="Q38" s="3"/>
      <c r="R38" s="3"/>
    </row>
    <row r="39" spans="1:47" ht="20.100000000000001" customHeight="1" thickBot="1">
      <c r="A39" s="41">
        <v>16</v>
      </c>
      <c r="C39" s="310" t="s">
        <v>462</v>
      </c>
      <c r="F39" s="67">
        <f>F31</f>
        <v>24</v>
      </c>
      <c r="G39" s="1"/>
      <c r="H39" s="67">
        <f>H31</f>
        <v>12132774</v>
      </c>
      <c r="I39" s="3"/>
      <c r="J39" s="1"/>
      <c r="K39" s="1"/>
      <c r="L39" s="67">
        <f>L37+L31</f>
        <v>584242</v>
      </c>
      <c r="M39" s="3"/>
      <c r="N39" s="73">
        <v>100</v>
      </c>
      <c r="O39" s="4"/>
      <c r="P39" s="67">
        <f>P37+P31</f>
        <v>0</v>
      </c>
      <c r="Q39" s="68"/>
      <c r="R39" s="67">
        <f>R37+R31</f>
        <v>584242</v>
      </c>
      <c r="V39" s="44"/>
      <c r="W39" s="44"/>
      <c r="X39" s="44"/>
      <c r="Y39" s="44"/>
      <c r="AA39" s="44"/>
      <c r="AB39" s="44"/>
      <c r="AC39" s="44"/>
      <c r="AD39" s="44"/>
      <c r="AE39" s="44"/>
      <c r="AF39" s="44"/>
      <c r="AG39" s="102"/>
      <c r="AH39" s="44"/>
      <c r="AI39" s="44"/>
      <c r="AJ39" s="44"/>
      <c r="AK39" s="102"/>
      <c r="AL39" s="44"/>
      <c r="AM39" s="44"/>
      <c r="AN39" s="44"/>
      <c r="AO39" s="44"/>
      <c r="AP39" s="44"/>
      <c r="AQ39" s="102"/>
      <c r="AS39" s="45"/>
      <c r="AT39" s="45"/>
      <c r="AU39" s="46"/>
    </row>
    <row r="40" spans="1:47" ht="18.75" customHeight="1" thickTop="1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AA40" s="44"/>
      <c r="AB40" s="44"/>
      <c r="AC40" s="44"/>
      <c r="AD40" s="44"/>
      <c r="AE40" s="44"/>
      <c r="AF40" s="44"/>
      <c r="AG40" s="102"/>
      <c r="AH40" s="44"/>
      <c r="AI40" s="44"/>
      <c r="AJ40" s="44"/>
      <c r="AK40" s="102"/>
      <c r="AL40" s="44"/>
      <c r="AM40" s="44"/>
      <c r="AN40" s="44"/>
      <c r="AO40" s="44"/>
      <c r="AP40" s="44"/>
      <c r="AQ40" s="102"/>
      <c r="AS40" s="45"/>
      <c r="AT40" s="45"/>
      <c r="AU40" s="335"/>
    </row>
    <row r="41" spans="1:47">
      <c r="C41" s="140" t="s">
        <v>59</v>
      </c>
      <c r="F41" s="1"/>
      <c r="G41" s="1"/>
      <c r="H41" s="1"/>
      <c r="I41" s="1"/>
      <c r="J41" s="1"/>
      <c r="K41" s="1"/>
      <c r="L41" s="3"/>
      <c r="M41" s="3"/>
      <c r="N41" s="3"/>
      <c r="O41" s="3"/>
      <c r="P41" s="3"/>
      <c r="Q41" s="3"/>
      <c r="R41" s="3"/>
      <c r="V41" s="42"/>
      <c r="W41" s="42"/>
      <c r="X41" s="42"/>
      <c r="AS41" s="45"/>
      <c r="AT41" s="45"/>
      <c r="AU41" s="46"/>
    </row>
    <row r="42" spans="1:47" ht="18" customHeight="1">
      <c r="A42" s="42"/>
      <c r="C42" s="42"/>
      <c r="W42" s="42"/>
      <c r="X42" s="42"/>
      <c r="AS42" s="45"/>
      <c r="AT42" s="45"/>
      <c r="AU42" s="46"/>
    </row>
    <row r="43" spans="1:47">
      <c r="C43" s="42"/>
      <c r="F43" s="45"/>
      <c r="H43" s="45"/>
      <c r="I43" s="45"/>
      <c r="J43" s="47"/>
      <c r="K43" s="47"/>
      <c r="L43" s="45"/>
      <c r="M43" s="45"/>
      <c r="N43" s="46"/>
      <c r="O43" s="46"/>
      <c r="P43" s="45"/>
      <c r="Q43" s="45"/>
      <c r="R43" s="45"/>
      <c r="AS43" s="45"/>
      <c r="AT43" s="45"/>
      <c r="AU43" s="46"/>
    </row>
    <row r="44" spans="1:47">
      <c r="F44" s="50"/>
      <c r="H44" s="50"/>
      <c r="I44" s="50"/>
      <c r="J44" s="326"/>
      <c r="K44" s="326"/>
      <c r="L44" s="50"/>
      <c r="M44" s="50"/>
      <c r="N44" s="50"/>
      <c r="O44" s="50"/>
      <c r="P44" s="50"/>
      <c r="Q44" s="50"/>
      <c r="R44" s="50"/>
      <c r="V44" s="42"/>
      <c r="Y44" s="45"/>
      <c r="AC44" s="53"/>
      <c r="AD44" s="53"/>
      <c r="AE44" s="45"/>
      <c r="AF44" s="45"/>
      <c r="AO44" s="45"/>
      <c r="AP44" s="45"/>
      <c r="AS44" s="45"/>
      <c r="AT44" s="45"/>
      <c r="AU44" s="46"/>
    </row>
    <row r="45" spans="1:47">
      <c r="C45" s="42"/>
      <c r="F45" s="45"/>
      <c r="H45" s="45"/>
      <c r="I45" s="45"/>
      <c r="J45" s="47"/>
      <c r="K45" s="47"/>
      <c r="L45" s="45"/>
      <c r="M45" s="45"/>
      <c r="N45" s="46"/>
      <c r="O45" s="46"/>
      <c r="P45" s="45"/>
      <c r="Q45" s="45"/>
      <c r="R45" s="45"/>
      <c r="Y45" s="45"/>
      <c r="AO45" s="45"/>
      <c r="AP45" s="45"/>
      <c r="AS45" s="45"/>
      <c r="AT45" s="45"/>
      <c r="AU45" s="46"/>
    </row>
    <row r="46" spans="1:47">
      <c r="A46" s="42"/>
      <c r="F46" s="45"/>
      <c r="H46" s="45"/>
      <c r="I46" s="45"/>
      <c r="J46" s="47"/>
      <c r="K46" s="47"/>
      <c r="L46" s="45"/>
      <c r="M46" s="45"/>
      <c r="N46" s="45"/>
      <c r="O46" s="45"/>
      <c r="P46" s="45"/>
      <c r="Q46" s="45"/>
      <c r="R46" s="45"/>
      <c r="V46" s="42"/>
      <c r="Y46" s="45"/>
      <c r="AA46" s="45"/>
      <c r="AB46" s="45"/>
      <c r="AC46" s="316"/>
      <c r="AD46" s="316"/>
      <c r="AE46" s="45"/>
      <c r="AF46" s="45"/>
      <c r="AH46" s="46"/>
      <c r="AI46" s="45"/>
      <c r="AJ46" s="45"/>
      <c r="AL46" s="51"/>
      <c r="AM46" s="45"/>
      <c r="AN46" s="45"/>
      <c r="AO46" s="45"/>
      <c r="AP46" s="45"/>
      <c r="AR46" s="45"/>
      <c r="AS46" s="45"/>
      <c r="AT46" s="45"/>
      <c r="AU46" s="46"/>
    </row>
    <row r="47" spans="1:47">
      <c r="L47" s="45"/>
      <c r="M47" s="45"/>
      <c r="N47" s="45"/>
      <c r="O47" s="45"/>
      <c r="P47" s="45"/>
      <c r="Q47" s="45"/>
      <c r="R47" s="45"/>
      <c r="T47" s="40" t="str">
        <f>NAME</f>
        <v>DUKE ENERGY KENTUCKY, INC.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00"/>
      <c r="AH47" s="40"/>
      <c r="AI47" s="40"/>
      <c r="AJ47" s="40"/>
      <c r="AK47" s="100"/>
      <c r="AL47" s="40"/>
      <c r="AM47" s="40"/>
      <c r="AN47" s="40"/>
      <c r="AO47" s="40"/>
      <c r="AP47" s="40"/>
      <c r="AQ47" s="100"/>
      <c r="AR47" s="45"/>
      <c r="AS47" s="45"/>
      <c r="AT47" s="45"/>
      <c r="AU47" s="46"/>
    </row>
    <row r="48" spans="1:47">
      <c r="L48" s="45"/>
      <c r="M48" s="45"/>
      <c r="N48" s="45"/>
      <c r="O48" s="45"/>
      <c r="P48" s="45"/>
      <c r="Q48" s="45"/>
      <c r="R48" s="45"/>
      <c r="T48" s="40" t="str">
        <f>CASE_NO</f>
        <v>CASE NO.   2024-00354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00"/>
      <c r="AH48" s="40"/>
      <c r="AI48" s="40"/>
      <c r="AJ48" s="40"/>
      <c r="AK48" s="100"/>
      <c r="AL48" s="40"/>
      <c r="AM48" s="40"/>
      <c r="AN48" s="40"/>
      <c r="AO48" s="40"/>
      <c r="AP48" s="40"/>
      <c r="AQ48" s="100"/>
      <c r="AR48" s="45"/>
      <c r="AS48" s="45"/>
      <c r="AT48" s="45"/>
      <c r="AU48" s="46"/>
    </row>
    <row r="49" spans="1:44">
      <c r="H49" s="42"/>
      <c r="I49" s="42"/>
      <c r="T49" s="40" t="str">
        <f>TITLE</f>
        <v>ANNUALIZED TEST YEAR REVENUES AT PROPOSED VS. MOST CURRENT RATES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  <c r="AR49" s="45"/>
    </row>
    <row r="50" spans="1:44">
      <c r="L50" s="42"/>
      <c r="M50" s="42"/>
      <c r="T50" s="40" t="str">
        <f>DATE</f>
        <v>FOR THE TWELVE MONTHS ENDED June 30, 2026</v>
      </c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100"/>
      <c r="AH50" s="40"/>
      <c r="AI50" s="40"/>
      <c r="AJ50" s="40"/>
      <c r="AK50" s="100"/>
      <c r="AL50" s="40"/>
      <c r="AM50" s="40"/>
      <c r="AN50" s="40"/>
      <c r="AO50" s="40"/>
      <c r="AP50" s="40"/>
      <c r="AQ50" s="100"/>
      <c r="AR50" s="164"/>
    </row>
    <row r="51" spans="1:44">
      <c r="R51" s="42"/>
      <c r="T51" s="40" t="str">
        <f>SERVICE</f>
        <v>(ELECTRIC SERVICE)</v>
      </c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100"/>
      <c r="AH51" s="40"/>
      <c r="AI51" s="40"/>
      <c r="AJ51" s="40"/>
      <c r="AK51" s="100"/>
      <c r="AL51" s="40"/>
      <c r="AM51" s="40"/>
      <c r="AN51" s="40"/>
      <c r="AO51" s="40"/>
      <c r="AP51" s="40"/>
      <c r="AQ51" s="100"/>
      <c r="AR51" s="164"/>
    </row>
    <row r="52" spans="1:44">
      <c r="R52" s="42"/>
      <c r="T52" s="41" t="str">
        <f>DATA_PERIOD</f>
        <v>DATA: ____ BASE PERIOD   __X__FORECASTED PERIOD</v>
      </c>
      <c r="AO52" s="42" t="s">
        <v>157</v>
      </c>
      <c r="AP52" s="42"/>
      <c r="AR52" s="45"/>
    </row>
    <row r="53" spans="1:44">
      <c r="A53" s="42"/>
      <c r="R53" s="42"/>
      <c r="T53" s="41" t="str">
        <f>TYPE</f>
        <v>TYPE OF FILING: _X_ ORIGINAL   ___UPDATED  ___ REVISED</v>
      </c>
      <c r="AO53" s="48" t="str">
        <f>"PAGE 12 OF "&amp;TEXT(Page_Num_2.2,"00")</f>
        <v>PAGE 12 OF 24</v>
      </c>
      <c r="AP53" s="42"/>
      <c r="AR53" s="45"/>
    </row>
    <row r="54" spans="1:44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T54" s="42" t="s">
        <v>170</v>
      </c>
      <c r="AO54" s="42" t="s">
        <v>3</v>
      </c>
      <c r="AP54" s="42"/>
    </row>
    <row r="55" spans="1:44">
      <c r="L55" s="44"/>
      <c r="M55" s="44"/>
      <c r="N55" s="44"/>
      <c r="O55" s="44"/>
      <c r="R55" s="44"/>
      <c r="T55" s="130" t="str">
        <f>TIME</f>
        <v>12 Months Projected with Riders</v>
      </c>
      <c r="AF55" s="42"/>
      <c r="AO55" s="41" t="str">
        <f>WIT</f>
        <v>B. L. Sailers</v>
      </c>
    </row>
    <row r="56" spans="1:44">
      <c r="L56" s="44"/>
      <c r="M56" s="44"/>
      <c r="N56" s="44"/>
      <c r="O56" s="44"/>
      <c r="R56" s="44"/>
      <c r="T56" s="130" t="str">
        <f>INPUT!B5</f>
        <v xml:space="preserve"> </v>
      </c>
      <c r="AF56" s="42"/>
    </row>
    <row r="57" spans="1:44">
      <c r="L57" s="44"/>
      <c r="M57" s="44"/>
      <c r="N57" s="44"/>
      <c r="O57" s="44"/>
      <c r="R57" s="44"/>
      <c r="T57" s="40" t="s">
        <v>130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00"/>
      <c r="AH57" s="40"/>
      <c r="AI57" s="40"/>
      <c r="AJ57" s="40"/>
      <c r="AK57" s="100"/>
      <c r="AL57" s="40"/>
      <c r="AM57" s="40"/>
      <c r="AN57" s="40"/>
      <c r="AO57" s="40"/>
      <c r="AP57" s="40"/>
      <c r="AQ57" s="100"/>
    </row>
    <row r="58" spans="1:44">
      <c r="C58" s="44"/>
      <c r="D58" s="44"/>
      <c r="E58" s="44"/>
      <c r="F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3"/>
      <c r="AF58" s="43"/>
      <c r="AG58" s="101"/>
      <c r="AH58" s="43"/>
      <c r="AI58" s="43"/>
      <c r="AJ58" s="43"/>
      <c r="AK58" s="101"/>
      <c r="AL58" s="43"/>
      <c r="AM58" s="43"/>
      <c r="AN58" s="49"/>
      <c r="AO58" s="49"/>
      <c r="AP58" s="49"/>
      <c r="AQ58" s="107"/>
    </row>
    <row r="59" spans="1:44" ht="18" customHeight="1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44" t="s">
        <v>8</v>
      </c>
      <c r="AF59" s="44"/>
      <c r="AG59" s="102" t="s">
        <v>7</v>
      </c>
      <c r="AH59" s="44"/>
      <c r="AI59" s="44" t="s">
        <v>9</v>
      </c>
      <c r="AJ59" s="44"/>
      <c r="AK59" s="102" t="s">
        <v>10</v>
      </c>
      <c r="AL59" s="44"/>
      <c r="AN59" s="62"/>
      <c r="AO59" s="63" t="s">
        <v>8</v>
      </c>
      <c r="AP59" s="63"/>
      <c r="AQ59" s="109" t="s">
        <v>11</v>
      </c>
    </row>
    <row r="60" spans="1:44"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AC60" s="44" t="s">
        <v>14</v>
      </c>
      <c r="AD60" s="44"/>
      <c r="AE60" s="44" t="s">
        <v>12</v>
      </c>
      <c r="AF60" s="44"/>
      <c r="AG60" s="102" t="s">
        <v>13</v>
      </c>
      <c r="AH60" s="44"/>
      <c r="AI60" s="44" t="s">
        <v>15</v>
      </c>
      <c r="AJ60" s="44"/>
      <c r="AK60" s="102" t="s">
        <v>16</v>
      </c>
      <c r="AL60" s="44"/>
      <c r="AO60" s="44" t="s">
        <v>11</v>
      </c>
      <c r="AP60" s="44"/>
      <c r="AQ60" s="102" t="s">
        <v>9</v>
      </c>
    </row>
    <row r="61" spans="1:44">
      <c r="C61" s="42"/>
      <c r="D61" s="42"/>
      <c r="E61" s="42"/>
      <c r="T61" s="44" t="s">
        <v>17</v>
      </c>
      <c r="V61" s="44" t="s">
        <v>18</v>
      </c>
      <c r="W61" s="44" t="s">
        <v>19</v>
      </c>
      <c r="X61" s="44"/>
      <c r="Y61" s="44" t="s">
        <v>20</v>
      </c>
      <c r="AC61" s="44" t="s">
        <v>8</v>
      </c>
      <c r="AD61" s="44"/>
      <c r="AE61" s="44" t="s">
        <v>841</v>
      </c>
      <c r="AF61" s="44"/>
      <c r="AG61" s="102" t="s">
        <v>841</v>
      </c>
      <c r="AH61" s="44"/>
      <c r="AI61" s="60" t="s">
        <v>964</v>
      </c>
      <c r="AJ61" s="44"/>
      <c r="AK61" s="277" t="s">
        <v>964</v>
      </c>
      <c r="AL61" s="44"/>
      <c r="AM61" s="44" t="s">
        <v>841</v>
      </c>
      <c r="AN61" s="44"/>
      <c r="AO61" s="44" t="s">
        <v>9</v>
      </c>
      <c r="AP61" s="44"/>
      <c r="AQ61" s="102" t="s">
        <v>21</v>
      </c>
    </row>
    <row r="62" spans="1:44">
      <c r="C62" s="42"/>
      <c r="T62" s="44" t="s">
        <v>22</v>
      </c>
      <c r="V62" s="44" t="s">
        <v>23</v>
      </c>
      <c r="W62" s="44" t="s">
        <v>24</v>
      </c>
      <c r="X62" s="44"/>
      <c r="Y62" s="44" t="s">
        <v>25</v>
      </c>
      <c r="AA62" s="44" t="s">
        <v>26</v>
      </c>
      <c r="AB62" s="44"/>
      <c r="AC62" s="44" t="s">
        <v>27</v>
      </c>
      <c r="AD62" s="44"/>
      <c r="AE62" s="44" t="s">
        <v>9</v>
      </c>
      <c r="AF62" s="44"/>
      <c r="AG62" s="102" t="s">
        <v>9</v>
      </c>
      <c r="AH62" s="44"/>
      <c r="AI62" s="304" t="s">
        <v>29</v>
      </c>
      <c r="AJ62" s="304"/>
      <c r="AK62" s="311" t="s">
        <v>30</v>
      </c>
      <c r="AL62" s="44"/>
      <c r="AM62" s="44" t="s">
        <v>365</v>
      </c>
      <c r="AN62" s="44"/>
      <c r="AO62" s="304" t="s">
        <v>31</v>
      </c>
      <c r="AP62" s="304"/>
      <c r="AQ62" s="311" t="s">
        <v>32</v>
      </c>
    </row>
    <row r="63" spans="1:44">
      <c r="V63" s="304" t="s">
        <v>33</v>
      </c>
      <c r="W63" s="304" t="s">
        <v>34</v>
      </c>
      <c r="X63" s="304"/>
      <c r="Y63" s="304" t="s">
        <v>35</v>
      </c>
      <c r="Z63" s="130"/>
      <c r="AA63" s="304" t="s">
        <v>36</v>
      </c>
      <c r="AB63" s="304"/>
      <c r="AC63" s="304" t="s">
        <v>42</v>
      </c>
      <c r="AD63" s="304"/>
      <c r="AE63" s="304" t="s">
        <v>43</v>
      </c>
      <c r="AF63" s="304"/>
      <c r="AG63" s="311" t="s">
        <v>44</v>
      </c>
      <c r="AH63" s="304"/>
      <c r="AI63" s="304" t="s">
        <v>45</v>
      </c>
      <c r="AJ63" s="304"/>
      <c r="AK63" s="311" t="s">
        <v>46</v>
      </c>
      <c r="AL63" s="304"/>
      <c r="AM63" s="304" t="s">
        <v>40</v>
      </c>
      <c r="AN63" s="304"/>
      <c r="AO63" s="304" t="s">
        <v>47</v>
      </c>
      <c r="AP63" s="304"/>
      <c r="AQ63" s="311" t="s">
        <v>48</v>
      </c>
    </row>
    <row r="64" spans="1:44">
      <c r="V64" s="44"/>
      <c r="W64" s="44"/>
      <c r="X64" s="44"/>
      <c r="Y64" s="44"/>
      <c r="AA64" s="65"/>
      <c r="AB64" s="65"/>
      <c r="AC64" s="65"/>
      <c r="AD64" s="44"/>
      <c r="AE64" s="44"/>
      <c r="AF64" s="44"/>
      <c r="AG64" s="102"/>
      <c r="AH64" s="44"/>
      <c r="AI64" s="44"/>
      <c r="AJ64" s="44"/>
      <c r="AK64" s="102"/>
      <c r="AL64" s="44"/>
      <c r="AM64" s="44"/>
      <c r="AN64" s="44"/>
      <c r="AO64" s="44"/>
      <c r="AP64" s="44"/>
      <c r="AQ64" s="102"/>
    </row>
    <row r="65" spans="3:43" ht="17.100000000000001" customHeight="1">
      <c r="C65" s="42"/>
      <c r="F65" s="164"/>
      <c r="H65" s="164"/>
      <c r="I65" s="164"/>
      <c r="J65" s="316"/>
      <c r="K65" s="316"/>
      <c r="L65" s="45"/>
      <c r="M65" s="45"/>
      <c r="N65" s="46"/>
      <c r="O65" s="46"/>
      <c r="R65" s="45"/>
      <c r="T65" s="62"/>
      <c r="U65" s="62"/>
      <c r="V65" s="62"/>
      <c r="W65" s="62"/>
      <c r="X65" s="62"/>
      <c r="Y65" s="62"/>
      <c r="Z65" s="62"/>
      <c r="AA65" s="309" t="s">
        <v>49</v>
      </c>
      <c r="AB65" s="308"/>
      <c r="AC65" s="309" t="s">
        <v>312</v>
      </c>
      <c r="AD65" s="345"/>
      <c r="AE65" s="345" t="s">
        <v>50</v>
      </c>
      <c r="AF65" s="345"/>
      <c r="AG65" s="346" t="s">
        <v>51</v>
      </c>
      <c r="AH65" s="345"/>
      <c r="AI65" s="345" t="s">
        <v>50</v>
      </c>
      <c r="AJ65" s="345"/>
      <c r="AK65" s="346" t="s">
        <v>51</v>
      </c>
      <c r="AL65" s="345"/>
      <c r="AM65" s="345" t="s">
        <v>50</v>
      </c>
      <c r="AN65" s="345"/>
      <c r="AO65" s="345" t="s">
        <v>50</v>
      </c>
      <c r="AP65" s="345"/>
      <c r="AQ65" s="346" t="s">
        <v>51</v>
      </c>
    </row>
    <row r="66" spans="3:43">
      <c r="C66" s="42"/>
      <c r="F66" s="164"/>
      <c r="H66" s="164"/>
      <c r="I66" s="164"/>
      <c r="J66" s="316"/>
      <c r="K66" s="316"/>
      <c r="L66" s="45"/>
      <c r="M66" s="45"/>
      <c r="N66" s="46"/>
      <c r="O66" s="46"/>
      <c r="R66" s="45"/>
      <c r="T66" s="41">
        <f>A20</f>
        <v>1</v>
      </c>
      <c r="V66" s="133" t="s">
        <v>305</v>
      </c>
      <c r="W66" s="130" t="s">
        <v>309</v>
      </c>
      <c r="X66" s="42"/>
      <c r="Y66" s="1"/>
      <c r="Z66" s="1"/>
      <c r="AA66" s="1"/>
      <c r="AB66" s="1"/>
      <c r="AC66" s="1"/>
      <c r="AD66" s="1"/>
      <c r="AE66" s="1"/>
      <c r="AF66" s="1"/>
      <c r="AG66" s="103"/>
      <c r="AH66" s="1"/>
      <c r="AI66" s="1"/>
      <c r="AJ66" s="1"/>
      <c r="AK66" s="103"/>
      <c r="AL66" s="1"/>
      <c r="AM66" s="1"/>
      <c r="AN66" s="1"/>
      <c r="AO66" s="1"/>
      <c r="AP66" s="1"/>
      <c r="AQ66" s="103"/>
    </row>
    <row r="67" spans="3:43">
      <c r="C67" s="42"/>
      <c r="F67" s="164"/>
      <c r="H67" s="164"/>
      <c r="I67" s="164"/>
      <c r="J67" s="316"/>
      <c r="K67" s="316"/>
      <c r="L67" s="45"/>
      <c r="M67" s="45"/>
      <c r="N67" s="46"/>
      <c r="O67" s="46"/>
      <c r="R67" s="45"/>
      <c r="T67" s="41">
        <f>A21</f>
        <v>2</v>
      </c>
      <c r="V67" s="133"/>
      <c r="W67" s="130" t="s">
        <v>310</v>
      </c>
      <c r="Y67" s="1"/>
      <c r="Z67" s="1"/>
      <c r="AA67" s="1"/>
      <c r="AB67" s="1"/>
      <c r="AC67" s="1"/>
      <c r="AD67" s="1"/>
      <c r="AE67" s="1"/>
      <c r="AF67" s="1"/>
      <c r="AG67" s="103"/>
      <c r="AH67" s="1"/>
      <c r="AI67" s="1"/>
      <c r="AJ67" s="1"/>
      <c r="AK67" s="103"/>
      <c r="AL67" s="1"/>
      <c r="AM67" s="1"/>
      <c r="AN67" s="1"/>
      <c r="AO67" s="1"/>
      <c r="AP67" s="1"/>
      <c r="AQ67" s="103"/>
    </row>
    <row r="68" spans="3:43" ht="19.5" customHeight="1">
      <c r="C68" s="42"/>
      <c r="F68" s="164"/>
      <c r="H68" s="164"/>
      <c r="I68" s="164"/>
      <c r="J68" s="316"/>
      <c r="K68" s="316"/>
      <c r="L68" s="45"/>
      <c r="M68" s="45"/>
      <c r="N68" s="46"/>
      <c r="O68" s="46"/>
      <c r="R68" s="45"/>
      <c r="V68" s="42"/>
      <c r="Y68" s="1"/>
      <c r="Z68" s="1"/>
      <c r="AA68" s="1"/>
      <c r="AB68" s="1"/>
      <c r="AC68" s="1"/>
      <c r="AD68" s="1"/>
      <c r="AE68" s="1"/>
      <c r="AF68" s="1"/>
      <c r="AG68" s="103"/>
      <c r="AH68" s="1"/>
      <c r="AI68" s="1"/>
      <c r="AJ68" s="1"/>
      <c r="AK68" s="103"/>
      <c r="AL68" s="1"/>
      <c r="AM68" s="1"/>
      <c r="AN68" s="1"/>
      <c r="AO68" s="1"/>
      <c r="AP68" s="1"/>
      <c r="AQ68" s="103"/>
    </row>
    <row r="69" spans="3:43">
      <c r="C69" s="42"/>
      <c r="F69" s="164"/>
      <c r="H69" s="164"/>
      <c r="I69" s="164"/>
      <c r="J69" s="316"/>
      <c r="K69" s="316"/>
      <c r="L69" s="45"/>
      <c r="M69" s="45"/>
      <c r="N69" s="46"/>
      <c r="O69" s="46"/>
      <c r="R69" s="45"/>
      <c r="T69" s="41">
        <f>A23</f>
        <v>3</v>
      </c>
      <c r="V69" s="133" t="s">
        <v>133</v>
      </c>
      <c r="Y69" s="1"/>
      <c r="Z69" s="1"/>
      <c r="AA69" s="1"/>
      <c r="AB69" s="1"/>
      <c r="AC69" s="1"/>
      <c r="AD69" s="1"/>
      <c r="AE69" s="1"/>
      <c r="AF69" s="1"/>
      <c r="AG69" s="103"/>
      <c r="AH69" s="1"/>
      <c r="AI69" s="1"/>
      <c r="AJ69" s="1"/>
      <c r="AK69" s="103"/>
      <c r="AL69" s="1"/>
      <c r="AM69" s="1"/>
      <c r="AN69" s="1"/>
      <c r="AO69" s="1"/>
      <c r="AP69" s="1"/>
      <c r="AQ69" s="103"/>
    </row>
    <row r="70" spans="3:43">
      <c r="C70" s="42"/>
      <c r="F70" s="164"/>
      <c r="H70" s="164"/>
      <c r="I70" s="164"/>
      <c r="J70" s="316"/>
      <c r="K70" s="316"/>
      <c r="L70" s="45"/>
      <c r="M70" s="45"/>
      <c r="N70" s="46"/>
      <c r="O70" s="46"/>
      <c r="R70" s="45"/>
      <c r="T70" s="41">
        <f>A24</f>
        <v>4</v>
      </c>
      <c r="V70" s="42" t="s">
        <v>311</v>
      </c>
      <c r="Y70" s="3">
        <f>F24</f>
        <v>24</v>
      </c>
      <c r="Z70" s="1"/>
      <c r="AA70" s="1"/>
      <c r="AB70" s="1"/>
      <c r="AC70" s="53">
        <f>INPUT!C154</f>
        <v>183</v>
      </c>
      <c r="AD70" s="1"/>
      <c r="AE70" s="66">
        <f>ROUND(Y70*AC70,0)</f>
        <v>4392</v>
      </c>
      <c r="AF70" s="3"/>
      <c r="AG70" s="104">
        <f>ROUND((AE70/AE$85)*100,1)</f>
        <v>0.8</v>
      </c>
      <c r="AH70" s="4"/>
      <c r="AI70" s="66">
        <f>L24-AE70</f>
        <v>0</v>
      </c>
      <c r="AJ70" s="3"/>
      <c r="AK70" s="112">
        <f>IF(AE70=0,"0.0 ",ROUND((AI70/AE70)*100,1))</f>
        <v>0</v>
      </c>
      <c r="AL70" s="6"/>
      <c r="AM70" s="8"/>
      <c r="AN70" s="1"/>
      <c r="AO70" s="66">
        <f>AE70+AM70</f>
        <v>4392</v>
      </c>
      <c r="AP70" s="3"/>
      <c r="AQ70" s="113">
        <f>IF(AO70=0,"0.0 ",ROUND((AI70/AO70)*100,1))</f>
        <v>0</v>
      </c>
    </row>
    <row r="71" spans="3:43" ht="20.100000000000001" customHeight="1">
      <c r="C71" s="42"/>
      <c r="F71" s="45"/>
      <c r="H71" s="45"/>
      <c r="I71" s="45"/>
      <c r="J71" s="326"/>
      <c r="K71" s="326"/>
      <c r="L71" s="45"/>
      <c r="M71" s="45"/>
      <c r="N71" s="46"/>
      <c r="O71" s="46"/>
      <c r="P71" s="45"/>
      <c r="Q71" s="45"/>
      <c r="R71" s="45"/>
      <c r="T71" s="41">
        <f>A25</f>
        <v>5</v>
      </c>
      <c r="V71" s="42" t="s">
        <v>136</v>
      </c>
      <c r="Y71" s="3"/>
      <c r="Z71" s="1"/>
      <c r="AA71" s="68"/>
      <c r="AB71" s="68"/>
      <c r="AC71" s="316"/>
      <c r="AD71" s="76"/>
      <c r="AE71" s="72">
        <f>SUM(AE70)</f>
        <v>4392</v>
      </c>
      <c r="AG71" s="105">
        <f>ROUND((AE71/AE$85)*100,1)</f>
        <v>0.8</v>
      </c>
      <c r="AI71" s="72">
        <f>L25-AE71</f>
        <v>0</v>
      </c>
      <c r="AK71" s="114">
        <f>IF(AE71=0,"0.0 ",ROUND((AI71/AE71)*100,1))</f>
        <v>0</v>
      </c>
      <c r="AM71" s="94"/>
      <c r="AO71" s="66">
        <f>AE71+AM71</f>
        <v>4392</v>
      </c>
      <c r="AQ71" s="113">
        <f>IF(AO71=0,"0.0 ",ROUND((AI71/AO71)*100,1))</f>
        <v>0</v>
      </c>
    </row>
    <row r="72" spans="3:43" ht="24.75" customHeight="1">
      <c r="C72" s="42"/>
      <c r="F72" s="45"/>
      <c r="H72" s="45"/>
      <c r="I72" s="45"/>
      <c r="J72" s="326"/>
      <c r="K72" s="326"/>
      <c r="L72" s="45"/>
      <c r="M72" s="45"/>
      <c r="N72" s="46"/>
      <c r="O72" s="46"/>
      <c r="P72" s="45"/>
      <c r="Q72" s="45"/>
      <c r="R72" s="45"/>
      <c r="V72" s="42"/>
      <c r="Y72" s="3"/>
      <c r="Z72" s="1"/>
      <c r="AA72" s="68"/>
      <c r="AB72" s="68"/>
      <c r="AC72" s="316"/>
      <c r="AD72" s="76"/>
      <c r="AE72" s="3"/>
      <c r="AF72" s="3"/>
      <c r="AG72" s="103"/>
      <c r="AH72" s="4"/>
      <c r="AI72" s="3"/>
      <c r="AJ72" s="3"/>
      <c r="AK72" s="103"/>
      <c r="AL72" s="6"/>
      <c r="AM72" s="1"/>
      <c r="AN72" s="1"/>
      <c r="AO72" s="3"/>
      <c r="AP72" s="3"/>
      <c r="AQ72" s="103"/>
    </row>
    <row r="73" spans="3:43">
      <c r="C73" s="42"/>
      <c r="F73" s="45"/>
      <c r="H73" s="45"/>
      <c r="I73" s="45"/>
      <c r="J73" s="326"/>
      <c r="K73" s="326"/>
      <c r="L73" s="45"/>
      <c r="M73" s="45"/>
      <c r="N73" s="45"/>
      <c r="O73" s="45"/>
      <c r="P73" s="45"/>
      <c r="Q73" s="45"/>
      <c r="R73" s="45"/>
      <c r="T73" s="41">
        <f>A27</f>
        <v>6</v>
      </c>
      <c r="V73" s="133" t="s">
        <v>67</v>
      </c>
      <c r="Y73" s="3"/>
      <c r="Z73" s="1"/>
      <c r="AA73" s="3"/>
      <c r="AB73" s="3"/>
      <c r="AC73" s="47"/>
      <c r="AD73" s="7"/>
      <c r="AE73" s="3"/>
      <c r="AF73" s="3"/>
      <c r="AG73" s="103"/>
      <c r="AH73" s="4"/>
      <c r="AI73" s="3"/>
      <c r="AJ73" s="3"/>
      <c r="AK73" s="103"/>
      <c r="AL73" s="6"/>
      <c r="AM73" s="3"/>
      <c r="AN73" s="3"/>
      <c r="AO73" s="3"/>
      <c r="AP73" s="3"/>
      <c r="AQ73" s="103"/>
    </row>
    <row r="74" spans="3:43">
      <c r="C74" s="42"/>
      <c r="F74" s="45"/>
      <c r="H74" s="45"/>
      <c r="I74" s="45"/>
      <c r="J74" s="326"/>
      <c r="K74" s="326"/>
      <c r="L74" s="45"/>
      <c r="M74" s="45"/>
      <c r="N74" s="45"/>
      <c r="O74" s="45"/>
      <c r="P74" s="45"/>
      <c r="Q74" s="45"/>
      <c r="R74" s="45"/>
      <c r="T74" s="41">
        <f>A28</f>
        <v>7</v>
      </c>
      <c r="V74" s="42" t="s">
        <v>381</v>
      </c>
      <c r="Y74" s="3"/>
      <c r="Z74" s="1"/>
      <c r="AA74" s="3">
        <f>H28</f>
        <v>12132774</v>
      </c>
      <c r="AB74" s="3"/>
      <c r="AC74" s="327">
        <f>INPUT!C158</f>
        <v>6.9150000000000001E-3</v>
      </c>
      <c r="AD74" s="7"/>
      <c r="AE74" s="3">
        <f>ROUND((AA74*AC74),0)</f>
        <v>83898</v>
      </c>
      <c r="AF74" s="3"/>
      <c r="AG74" s="103">
        <f>ROUND((AE74/AE$85)*100,1)</f>
        <v>15.6</v>
      </c>
      <c r="AH74" s="4"/>
      <c r="AI74" s="3">
        <f>L28-AE74</f>
        <v>44321</v>
      </c>
      <c r="AJ74" s="3"/>
      <c r="AK74" s="113">
        <f>IF(AE74=0,"0.0 ",ROUND((AI74/AE74)*100,1))</f>
        <v>52.8</v>
      </c>
      <c r="AL74" s="6"/>
      <c r="AM74" s="3"/>
      <c r="AN74" s="3"/>
      <c r="AO74" s="3">
        <f>AE74+AM74</f>
        <v>83898</v>
      </c>
      <c r="AP74" s="3"/>
      <c r="AQ74" s="113">
        <f>IF(AO74=0,"0.0 ",ROUND((AI74/AO74)*100,1))</f>
        <v>52.8</v>
      </c>
    </row>
    <row r="75" spans="3:43">
      <c r="C75" s="42"/>
      <c r="F75" s="45"/>
      <c r="H75" s="164"/>
      <c r="I75" s="164"/>
      <c r="J75" s="132"/>
      <c r="K75" s="132"/>
      <c r="L75" s="45"/>
      <c r="M75" s="45"/>
      <c r="N75" s="46"/>
      <c r="O75" s="46"/>
      <c r="P75" s="45"/>
      <c r="Q75" s="45"/>
      <c r="R75" s="45"/>
      <c r="T75" s="41">
        <f>A29</f>
        <v>8</v>
      </c>
      <c r="V75" s="42" t="s">
        <v>370</v>
      </c>
      <c r="Y75" s="3"/>
      <c r="Z75" s="1"/>
      <c r="AA75" s="3">
        <f>H29</f>
        <v>12132774</v>
      </c>
      <c r="AB75" s="3"/>
      <c r="AC75" s="323">
        <f>INPUT!C162</f>
        <v>3.4157E-2</v>
      </c>
      <c r="AD75" s="322"/>
      <c r="AE75" s="3">
        <f>ROUND((AA75*AC75),0)</f>
        <v>414419</v>
      </c>
      <c r="AF75" s="3"/>
      <c r="AG75" s="103">
        <f>ROUND((AE75/AE$85)*100,1)</f>
        <v>76.900000000000006</v>
      </c>
      <c r="AH75" s="4"/>
      <c r="AI75" s="3">
        <f>L29-AE75</f>
        <v>0</v>
      </c>
      <c r="AJ75" s="3"/>
      <c r="AK75" s="113">
        <f>IF(AE75=0,"0.0 ",ROUND((AI75/AE75)*100,1))</f>
        <v>0</v>
      </c>
      <c r="AL75" s="6"/>
      <c r="AM75" s="45">
        <v>0</v>
      </c>
      <c r="AN75" s="3"/>
      <c r="AO75" s="3">
        <f>AE75+AM75</f>
        <v>414419</v>
      </c>
      <c r="AP75" s="3"/>
      <c r="AQ75" s="113">
        <f>IF(AO75=0,"0.0 ",ROUND((AI75/AO75)*100,1))</f>
        <v>0</v>
      </c>
    </row>
    <row r="76" spans="3:43" ht="20.100000000000001" customHeight="1">
      <c r="C76" s="42"/>
      <c r="F76" s="45"/>
      <c r="H76" s="45"/>
      <c r="I76" s="45"/>
      <c r="J76" s="47"/>
      <c r="K76" s="47"/>
      <c r="L76" s="45"/>
      <c r="M76" s="45"/>
      <c r="N76" s="46"/>
      <c r="O76" s="46"/>
      <c r="P76" s="45"/>
      <c r="Q76" s="45"/>
      <c r="R76" s="45"/>
      <c r="T76" s="41">
        <f>A30</f>
        <v>9</v>
      </c>
      <c r="V76" s="133" t="s">
        <v>142</v>
      </c>
      <c r="Y76" s="66"/>
      <c r="Z76" s="1"/>
      <c r="AA76" s="72">
        <f>H30</f>
        <v>12132774</v>
      </c>
      <c r="AB76" s="3"/>
      <c r="AC76" s="155"/>
      <c r="AD76" s="314"/>
      <c r="AE76" s="72">
        <f>SUM(AE74:AE75)</f>
        <v>498317</v>
      </c>
      <c r="AF76" s="3"/>
      <c r="AG76" s="105">
        <f>ROUND((AE76/AE$85)*100,1)</f>
        <v>92.5</v>
      </c>
      <c r="AH76" s="4"/>
      <c r="AI76" s="72">
        <f>SUM(AI74:AI75)</f>
        <v>44321</v>
      </c>
      <c r="AJ76" s="3"/>
      <c r="AK76" s="114">
        <f>IF(AE76=0,"0.0 ",ROUND((AI76/AE76)*100,1))</f>
        <v>8.9</v>
      </c>
      <c r="AL76" s="4"/>
      <c r="AM76" s="72">
        <f>AM75</f>
        <v>0</v>
      </c>
      <c r="AN76" s="3"/>
      <c r="AO76" s="72">
        <f>SUM(AO74:AO75)</f>
        <v>498317</v>
      </c>
      <c r="AP76" s="3"/>
      <c r="AQ76" s="113">
        <f>IF(AO76=0,"0.0 ",ROUND((AI76/AO76)*100,1))</f>
        <v>8.9</v>
      </c>
    </row>
    <row r="77" spans="3:43" ht="20.100000000000001" customHeight="1">
      <c r="C77" s="42"/>
      <c r="F77" s="45"/>
      <c r="H77" s="45"/>
      <c r="I77" s="45"/>
      <c r="J77" s="47"/>
      <c r="K77" s="47"/>
      <c r="L77" s="45"/>
      <c r="M77" s="45"/>
      <c r="N77" s="46"/>
      <c r="O77" s="46"/>
      <c r="P77" s="45"/>
      <c r="Q77" s="45"/>
      <c r="R77" s="45"/>
      <c r="T77" s="41">
        <f>A31</f>
        <v>10</v>
      </c>
      <c r="V77" s="310" t="s">
        <v>461</v>
      </c>
      <c r="Y77" s="72">
        <f>Y70</f>
        <v>24</v>
      </c>
      <c r="Z77" s="1"/>
      <c r="AA77" s="72">
        <f>AA76</f>
        <v>12132774</v>
      </c>
      <c r="AB77" s="3"/>
      <c r="AC77" s="155"/>
      <c r="AD77" s="314"/>
      <c r="AE77" s="72">
        <f>AE76+AE71</f>
        <v>502709</v>
      </c>
      <c r="AF77" s="3"/>
      <c r="AG77" s="105">
        <f>ROUND((AE77/AE$85)*100,1)</f>
        <v>93.3</v>
      </c>
      <c r="AH77" s="4"/>
      <c r="AI77" s="72">
        <f>AI76+AI71</f>
        <v>44321</v>
      </c>
      <c r="AJ77" s="3"/>
      <c r="AK77" s="114">
        <f>IF(AE77=0,"0.0 ",ROUND((AI77/AE77)*100,1))</f>
        <v>8.8000000000000007</v>
      </c>
      <c r="AL77" s="4"/>
      <c r="AM77" s="72">
        <f>AM76+AM71</f>
        <v>0</v>
      </c>
      <c r="AN77" s="3"/>
      <c r="AO77" s="72">
        <f>AO76+AO71</f>
        <v>502709</v>
      </c>
      <c r="AP77" s="3"/>
      <c r="AQ77" s="113">
        <f>IF(AO77=0,"0.0 ",ROUND((AI77/AO77)*100,1))</f>
        <v>8.8000000000000007</v>
      </c>
    </row>
    <row r="78" spans="3:43" ht="15.75" customHeight="1">
      <c r="C78" s="42"/>
      <c r="F78" s="45"/>
      <c r="H78" s="45"/>
      <c r="I78" s="45"/>
      <c r="J78" s="47"/>
      <c r="K78" s="47"/>
      <c r="L78" s="45"/>
      <c r="M78" s="45"/>
      <c r="N78" s="46"/>
      <c r="O78" s="46"/>
      <c r="P78" s="45"/>
      <c r="Q78" s="45"/>
      <c r="R78" s="45"/>
      <c r="V78" s="42"/>
      <c r="Y78" s="3"/>
      <c r="Z78" s="1"/>
      <c r="AA78" s="3"/>
      <c r="AB78" s="3"/>
      <c r="AC78" s="155"/>
      <c r="AD78" s="314"/>
      <c r="AE78" s="3"/>
      <c r="AF78" s="3"/>
      <c r="AG78" s="103"/>
      <c r="AH78" s="4"/>
      <c r="AI78" s="3"/>
      <c r="AJ78" s="3"/>
      <c r="AK78" s="113"/>
      <c r="AL78" s="4"/>
      <c r="AM78" s="3"/>
      <c r="AN78" s="3"/>
      <c r="AO78" s="3"/>
      <c r="AP78" s="3"/>
      <c r="AQ78" s="113"/>
    </row>
    <row r="79" spans="3:43" ht="15.75" customHeight="1">
      <c r="C79" s="42"/>
      <c r="F79" s="45"/>
      <c r="H79" s="45"/>
      <c r="I79" s="45"/>
      <c r="J79" s="47"/>
      <c r="K79" s="47"/>
      <c r="L79" s="45"/>
      <c r="M79" s="45"/>
      <c r="N79" s="46"/>
      <c r="O79" s="46"/>
      <c r="P79" s="45"/>
      <c r="Q79" s="45"/>
      <c r="R79" s="45"/>
      <c r="T79" s="41">
        <f>A33</f>
        <v>11</v>
      </c>
      <c r="V79" s="133" t="s">
        <v>430</v>
      </c>
      <c r="Y79" s="3"/>
      <c r="Z79" s="1"/>
      <c r="AA79" s="3"/>
      <c r="AB79" s="3"/>
      <c r="AC79" s="155"/>
      <c r="AD79" s="314"/>
      <c r="AE79" s="3"/>
      <c r="AF79" s="3"/>
      <c r="AG79" s="103"/>
      <c r="AH79" s="4"/>
      <c r="AI79" s="3"/>
      <c r="AJ79" s="3"/>
      <c r="AK79" s="113"/>
      <c r="AL79" s="4"/>
      <c r="AM79" s="3"/>
      <c r="AN79" s="3"/>
      <c r="AO79" s="3"/>
      <c r="AP79" s="3"/>
      <c r="AQ79" s="113"/>
    </row>
    <row r="80" spans="3:43" ht="15.75" customHeight="1">
      <c r="C80" s="42"/>
      <c r="F80" s="45"/>
      <c r="H80" s="45"/>
      <c r="I80" s="45"/>
      <c r="J80" s="47"/>
      <c r="K80" s="47"/>
      <c r="L80" s="45"/>
      <c r="M80" s="45"/>
      <c r="N80" s="46"/>
      <c r="O80" s="46"/>
      <c r="P80" s="45"/>
      <c r="Q80" s="45"/>
      <c r="R80" s="45"/>
      <c r="T80" s="41">
        <f>A34</f>
        <v>12</v>
      </c>
      <c r="V80" s="128" t="str">
        <f>C34</f>
        <v>DEMAND SIDE MANAGEMENT RIDER (DSMR)</v>
      </c>
      <c r="Y80" s="3"/>
      <c r="Z80" s="1"/>
      <c r="AA80" s="3"/>
      <c r="AB80" s="3"/>
      <c r="AC80" s="323">
        <f>DSM_TRANS</f>
        <v>5.1400000000000003E-4</v>
      </c>
      <c r="AD80" s="314"/>
      <c r="AE80" s="3">
        <f>ROUND($AA$77*AC80,0)</f>
        <v>6236</v>
      </c>
      <c r="AF80" s="3"/>
      <c r="AG80" s="103">
        <f>ROUND((AE80/AE$85)*100,1)</f>
        <v>1.2</v>
      </c>
      <c r="AH80" s="4"/>
      <c r="AI80" s="3">
        <f>L34-AE80</f>
        <v>0</v>
      </c>
      <c r="AJ80" s="3"/>
      <c r="AK80" s="113">
        <f>IF(AE80=0,"0.0 ",ROUND((AI80/AE80)*100,1))</f>
        <v>0</v>
      </c>
      <c r="AL80" s="4"/>
      <c r="AM80" s="3"/>
      <c r="AN80" s="3"/>
      <c r="AO80" s="3">
        <f>AE80+AM80</f>
        <v>6236</v>
      </c>
      <c r="AP80" s="3"/>
      <c r="AQ80" s="113">
        <f>IF(AO80=0,"0.0 ",ROUND((AI80/AO80)*100,1))</f>
        <v>0</v>
      </c>
    </row>
    <row r="81" spans="3:43" ht="15.75" customHeight="1">
      <c r="C81" s="42"/>
      <c r="F81" s="45"/>
      <c r="H81" s="45"/>
      <c r="I81" s="45"/>
      <c r="J81" s="47"/>
      <c r="K81" s="47"/>
      <c r="L81" s="45"/>
      <c r="M81" s="45"/>
      <c r="N81" s="46"/>
      <c r="O81" s="46"/>
      <c r="P81" s="45"/>
      <c r="Q81" s="45"/>
      <c r="R81" s="45"/>
      <c r="T81" s="41">
        <f>A35</f>
        <v>13</v>
      </c>
      <c r="V81" s="128" t="str">
        <f>C35</f>
        <v>ENVIRONMENTAL SURCHARGE MECHANISM RIDER (ESM)</v>
      </c>
      <c r="Y81" s="3"/>
      <c r="Z81" s="1"/>
      <c r="AA81" s="3"/>
      <c r="AB81" s="3"/>
      <c r="AC81" s="321">
        <f>CUR_ESM_NonRes</f>
        <v>6.4941608437496566E-3</v>
      </c>
      <c r="AD81" s="314"/>
      <c r="AE81" s="3">
        <f>ROUND(AO71*AC81,0)</f>
        <v>29</v>
      </c>
      <c r="AF81" s="3"/>
      <c r="AG81" s="103">
        <f>ROUND((AE81/AE$85)*100,1)</f>
        <v>0</v>
      </c>
      <c r="AH81" s="4"/>
      <c r="AI81" s="3">
        <f>L35-AE81</f>
        <v>918</v>
      </c>
      <c r="AJ81" s="3"/>
      <c r="AK81" s="113">
        <f>IF(AE81=0,"0.0 ",ROUND((AI81/AE81)*100,1))</f>
        <v>3165.5</v>
      </c>
      <c r="AL81" s="4"/>
      <c r="AM81" s="3"/>
      <c r="AN81" s="3"/>
      <c r="AO81" s="3">
        <f>AE81+AM81</f>
        <v>29</v>
      </c>
      <c r="AP81" s="3"/>
      <c r="AQ81" s="113">
        <f>IF(AO81=0,"0.0 ",ROUND((AI81/AO81)*100,1))</f>
        <v>3165.5</v>
      </c>
    </row>
    <row r="82" spans="3:43" ht="15.75" customHeight="1">
      <c r="C82" s="42"/>
      <c r="F82" s="45"/>
      <c r="H82" s="45"/>
      <c r="I82" s="45"/>
      <c r="J82" s="47"/>
      <c r="K82" s="47"/>
      <c r="L82" s="45"/>
      <c r="M82" s="45"/>
      <c r="N82" s="46"/>
      <c r="O82" s="46"/>
      <c r="P82" s="45"/>
      <c r="Q82" s="45"/>
      <c r="R82" s="45"/>
      <c r="T82" s="41">
        <f>A36</f>
        <v>14</v>
      </c>
      <c r="V82" s="128" t="str">
        <f>C36</f>
        <v>PROFIT SHARING MECHANISM (PSM)</v>
      </c>
      <c r="Y82" s="3"/>
      <c r="Z82" s="1"/>
      <c r="AA82" s="3"/>
      <c r="AB82" s="3"/>
      <c r="AC82" s="323">
        <f>RS_PSM</f>
        <v>2.4750000000000002E-3</v>
      </c>
      <c r="AD82" s="314"/>
      <c r="AE82" s="66">
        <f>ROUND(AA77*RS_PSM,0)</f>
        <v>30029</v>
      </c>
      <c r="AF82" s="3"/>
      <c r="AG82" s="104">
        <f>ROUND((AE82/AE$85)*100,1)</f>
        <v>5.6</v>
      </c>
      <c r="AH82" s="4"/>
      <c r="AI82" s="66">
        <f>L36-AE82</f>
        <v>0</v>
      </c>
      <c r="AJ82" s="3"/>
      <c r="AK82" s="112">
        <f>IF(AE82=0,"0.0 ",ROUND((AI82/AE82)*100,1))</f>
        <v>0</v>
      </c>
      <c r="AL82" s="4"/>
      <c r="AM82" s="3"/>
      <c r="AN82" s="3"/>
      <c r="AO82" s="3">
        <f>AE82+AM82</f>
        <v>30029</v>
      </c>
      <c r="AP82" s="3"/>
      <c r="AQ82" s="113">
        <f>IF(AO82=0,"0.0 ",ROUND((AI82/AO82)*100,1))</f>
        <v>0</v>
      </c>
    </row>
    <row r="83" spans="3:43" ht="20.100000000000001" customHeight="1">
      <c r="C83" s="42"/>
      <c r="F83" s="45"/>
      <c r="H83" s="45"/>
      <c r="I83" s="45"/>
      <c r="J83" s="47"/>
      <c r="K83" s="47"/>
      <c r="L83" s="45"/>
      <c r="M83" s="45"/>
      <c r="N83" s="46"/>
      <c r="O83" s="46"/>
      <c r="P83" s="45"/>
      <c r="Q83" s="45"/>
      <c r="R83" s="45"/>
      <c r="T83" s="41">
        <f>A37</f>
        <v>15</v>
      </c>
      <c r="V83" s="133" t="s">
        <v>435</v>
      </c>
      <c r="Y83" s="66"/>
      <c r="Z83" s="1"/>
      <c r="AA83" s="66"/>
      <c r="AB83" s="3"/>
      <c r="AC83" s="314"/>
      <c r="AD83" s="314"/>
      <c r="AE83" s="72">
        <f>SUM(AE80:AE82)</f>
        <v>36294</v>
      </c>
      <c r="AF83" s="3"/>
      <c r="AG83" s="105">
        <f>ROUND((AE83/AE$85)*100,1)</f>
        <v>6.7</v>
      </c>
      <c r="AH83" s="4"/>
      <c r="AI83" s="72">
        <f>SUM(AI80:AI82)</f>
        <v>918</v>
      </c>
      <c r="AJ83" s="3"/>
      <c r="AK83" s="114">
        <f>IF(AE83=0,"0.0 ",ROUND((AI83/AE83)*100,1))</f>
        <v>2.5</v>
      </c>
      <c r="AL83" s="4"/>
      <c r="AM83" s="72">
        <f>SUM(AM80:AM82)</f>
        <v>0</v>
      </c>
      <c r="AN83" s="3"/>
      <c r="AO83" s="72">
        <f>SUM(AO80:AO82)</f>
        <v>36294</v>
      </c>
      <c r="AP83" s="3"/>
      <c r="AQ83" s="113">
        <f>IF(AO83=0,"0.0 ",ROUND((AI83/AO83)*100,1))</f>
        <v>2.5</v>
      </c>
    </row>
    <row r="84" spans="3:43" ht="15.75" customHeight="1">
      <c r="C84" s="42"/>
      <c r="F84" s="45"/>
      <c r="H84" s="45"/>
      <c r="I84" s="45"/>
      <c r="J84" s="47"/>
      <c r="K84" s="47"/>
      <c r="L84" s="45"/>
      <c r="M84" s="45"/>
      <c r="N84" s="46"/>
      <c r="O84" s="46"/>
      <c r="P84" s="45"/>
      <c r="Q84" s="45"/>
      <c r="R84" s="45"/>
      <c r="V84" s="133"/>
      <c r="Y84" s="3"/>
      <c r="Z84" s="1"/>
      <c r="AA84" s="3"/>
      <c r="AB84" s="3"/>
      <c r="AC84" s="314"/>
      <c r="AD84" s="314"/>
      <c r="AE84" s="3"/>
      <c r="AF84" s="3"/>
      <c r="AG84" s="103"/>
      <c r="AH84" s="4"/>
      <c r="AI84" s="3"/>
      <c r="AJ84" s="3"/>
      <c r="AK84" s="113"/>
      <c r="AL84" s="4"/>
      <c r="AM84" s="3"/>
      <c r="AN84" s="3"/>
      <c r="AO84" s="3"/>
      <c r="AP84" s="3"/>
      <c r="AQ84" s="113"/>
    </row>
    <row r="85" spans="3:43" ht="20.100000000000001" customHeight="1" thickBot="1">
      <c r="F85" s="45"/>
      <c r="H85" s="50"/>
      <c r="I85" s="50"/>
      <c r="J85" s="326"/>
      <c r="K85" s="326"/>
      <c r="L85" s="50"/>
      <c r="M85" s="50"/>
      <c r="N85" s="50"/>
      <c r="O85" s="50"/>
      <c r="P85" s="50"/>
      <c r="Q85" s="50"/>
      <c r="R85" s="50"/>
      <c r="T85" s="41">
        <f>A39</f>
        <v>16</v>
      </c>
      <c r="V85" s="310" t="s">
        <v>462</v>
      </c>
      <c r="Y85" s="67">
        <f>Y77</f>
        <v>24</v>
      </c>
      <c r="Z85" s="1"/>
      <c r="AA85" s="67">
        <f>AA77</f>
        <v>12132774</v>
      </c>
      <c r="AB85" s="3"/>
      <c r="AC85" s="1"/>
      <c r="AD85" s="1"/>
      <c r="AE85" s="67">
        <f>AE83+AE77</f>
        <v>539003</v>
      </c>
      <c r="AF85" s="3"/>
      <c r="AG85" s="106">
        <v>100</v>
      </c>
      <c r="AH85" s="4"/>
      <c r="AI85" s="67">
        <f>AI83+AI77</f>
        <v>45239</v>
      </c>
      <c r="AJ85" s="3"/>
      <c r="AK85" s="115">
        <f>IF(AE85=0,"0.0 ",ROUND((AI85/AE85)*100,1))</f>
        <v>8.4</v>
      </c>
      <c r="AL85" s="4"/>
      <c r="AM85" s="67">
        <f>AM83+AM77</f>
        <v>0</v>
      </c>
      <c r="AN85" s="68"/>
      <c r="AO85" s="67">
        <f>AO83+AO77</f>
        <v>539003</v>
      </c>
      <c r="AP85" s="3"/>
      <c r="AQ85" s="113">
        <f>IF(AO85=0,"0.0 ",ROUND((AI85/AO85)*100,1))</f>
        <v>8.4</v>
      </c>
    </row>
    <row r="86" spans="3:43" ht="16.5" thickTop="1">
      <c r="F86" s="45"/>
      <c r="H86" s="50"/>
      <c r="I86" s="50"/>
      <c r="J86" s="326"/>
      <c r="K86" s="326"/>
      <c r="L86" s="50"/>
      <c r="M86" s="50"/>
      <c r="N86" s="50"/>
      <c r="O86" s="50"/>
      <c r="P86" s="50"/>
      <c r="Q86" s="50"/>
      <c r="R86" s="50"/>
      <c r="Y86" s="1"/>
      <c r="Z86" s="1"/>
      <c r="AA86" s="1"/>
      <c r="AB86" s="1"/>
      <c r="AC86" s="1"/>
      <c r="AD86" s="1"/>
      <c r="AE86" s="1"/>
      <c r="AF86" s="1"/>
      <c r="AG86" s="103"/>
      <c r="AH86" s="1"/>
      <c r="AI86" s="1"/>
      <c r="AJ86" s="1"/>
      <c r="AK86" s="103"/>
      <c r="AL86" s="1"/>
      <c r="AM86" s="1"/>
      <c r="AN86" s="1"/>
      <c r="AO86" s="1"/>
      <c r="AP86" s="1"/>
      <c r="AQ86" s="103"/>
    </row>
    <row r="87" spans="3:43">
      <c r="C87" s="42"/>
      <c r="F87" s="45"/>
      <c r="H87" s="45"/>
      <c r="I87" s="45"/>
      <c r="J87" s="326"/>
      <c r="K87" s="326"/>
      <c r="L87" s="45"/>
      <c r="M87" s="45"/>
      <c r="N87" s="45"/>
      <c r="O87" s="45"/>
      <c r="P87" s="45"/>
      <c r="Q87" s="45"/>
      <c r="R87" s="45"/>
      <c r="V87" s="140" t="s">
        <v>59</v>
      </c>
      <c r="AE87" s="45"/>
      <c r="AF87" s="45"/>
      <c r="AH87" s="45"/>
      <c r="AM87" s="45"/>
      <c r="AN87" s="45"/>
      <c r="AO87" s="45"/>
      <c r="AP87" s="45"/>
    </row>
    <row r="88" spans="3:43">
      <c r="C88" s="42"/>
      <c r="F88" s="45"/>
      <c r="H88" s="164"/>
      <c r="I88" s="164"/>
      <c r="J88" s="132"/>
      <c r="K88" s="132"/>
      <c r="L88" s="45"/>
      <c r="M88" s="45"/>
      <c r="N88" s="46"/>
      <c r="O88" s="46"/>
      <c r="P88" s="45"/>
      <c r="Q88" s="45"/>
      <c r="R88" s="45"/>
      <c r="T88" s="42"/>
      <c r="V88" s="42"/>
    </row>
    <row r="89" spans="3:43">
      <c r="C89" s="42"/>
      <c r="H89" s="164"/>
      <c r="I89" s="164"/>
      <c r="J89" s="132"/>
      <c r="K89" s="132"/>
      <c r="L89" s="45"/>
      <c r="M89" s="45"/>
      <c r="N89" s="46"/>
      <c r="O89" s="46"/>
      <c r="P89" s="45"/>
      <c r="Q89" s="45"/>
      <c r="R89" s="45"/>
      <c r="T89" s="42"/>
      <c r="V89" s="164"/>
      <c r="Y89" s="164"/>
      <c r="Z89" s="336"/>
      <c r="AA89" s="45"/>
      <c r="AB89" s="45"/>
      <c r="AC89" s="46"/>
      <c r="AD89" s="46"/>
      <c r="AE89" s="45"/>
      <c r="AF89" s="45"/>
      <c r="AH89" s="46"/>
      <c r="AI89" s="45"/>
      <c r="AJ89" s="45"/>
      <c r="AL89" s="45"/>
      <c r="AM89" s="46"/>
      <c r="AN89" s="46"/>
    </row>
    <row r="90" spans="3:43">
      <c r="F90" s="45"/>
      <c r="H90" s="45"/>
      <c r="I90" s="45"/>
      <c r="J90" s="326"/>
      <c r="K90" s="326"/>
      <c r="L90" s="50"/>
      <c r="M90" s="50"/>
      <c r="N90" s="50"/>
      <c r="O90" s="50"/>
      <c r="P90" s="50"/>
      <c r="Q90" s="50"/>
      <c r="R90" s="50"/>
      <c r="T90" s="42"/>
      <c r="V90" s="164"/>
      <c r="Y90" s="45"/>
      <c r="Z90" s="316"/>
      <c r="AA90" s="45"/>
      <c r="AB90" s="45"/>
      <c r="AC90" s="46"/>
      <c r="AD90" s="46"/>
      <c r="AE90" s="45"/>
      <c r="AF90" s="45"/>
      <c r="AH90" s="51"/>
      <c r="AI90" s="45"/>
      <c r="AJ90" s="45"/>
      <c r="AL90" s="45"/>
      <c r="AM90" s="46"/>
      <c r="AN90" s="46"/>
    </row>
    <row r="91" spans="3:43">
      <c r="C91" s="42"/>
      <c r="F91" s="45"/>
      <c r="H91" s="45"/>
      <c r="I91" s="45"/>
      <c r="J91" s="47"/>
      <c r="K91" s="47"/>
      <c r="L91" s="45"/>
      <c r="M91" s="45"/>
      <c r="N91" s="46"/>
      <c r="O91" s="46"/>
      <c r="P91" s="45"/>
      <c r="Q91" s="45"/>
      <c r="R91" s="45"/>
      <c r="T91" s="42"/>
      <c r="V91" s="164"/>
      <c r="Y91" s="45"/>
      <c r="Z91" s="316"/>
      <c r="AA91" s="45"/>
      <c r="AB91" s="45"/>
      <c r="AC91" s="46"/>
      <c r="AD91" s="46"/>
      <c r="AE91" s="45"/>
      <c r="AF91" s="45"/>
      <c r="AH91" s="51"/>
      <c r="AI91" s="45"/>
      <c r="AJ91" s="45"/>
      <c r="AL91" s="45"/>
      <c r="AM91" s="46"/>
      <c r="AN91" s="46"/>
    </row>
    <row r="92" spans="3:43">
      <c r="F92" s="45"/>
      <c r="H92" s="45"/>
      <c r="I92" s="45"/>
      <c r="J92" s="326"/>
      <c r="K92" s="326"/>
      <c r="L92" s="50"/>
      <c r="M92" s="50"/>
      <c r="N92" s="50"/>
      <c r="O92" s="50"/>
      <c r="P92" s="50"/>
      <c r="Q92" s="50"/>
      <c r="R92" s="50"/>
      <c r="V92" s="45"/>
      <c r="Y92" s="50"/>
      <c r="Z92" s="326"/>
      <c r="AA92" s="50"/>
      <c r="AB92" s="50"/>
      <c r="AC92" s="50"/>
      <c r="AD92" s="50"/>
      <c r="AE92" s="50"/>
      <c r="AF92" s="50"/>
      <c r="AI92" s="50"/>
      <c r="AJ92" s="50"/>
      <c r="AK92" s="111"/>
      <c r="AL92" s="50"/>
      <c r="AM92" s="46"/>
      <c r="AN92" s="46"/>
    </row>
    <row r="93" spans="3:43">
      <c r="C93" s="42"/>
      <c r="F93" s="45"/>
      <c r="H93" s="45"/>
      <c r="I93" s="45"/>
      <c r="J93" s="47"/>
      <c r="K93" s="47"/>
      <c r="L93" s="45"/>
      <c r="M93" s="45"/>
      <c r="N93" s="46"/>
      <c r="O93" s="46"/>
      <c r="P93" s="45"/>
      <c r="Q93" s="45"/>
      <c r="R93" s="45"/>
      <c r="T93" s="42"/>
      <c r="V93" s="45"/>
      <c r="Y93" s="45"/>
      <c r="Z93" s="326"/>
      <c r="AA93" s="45"/>
      <c r="AB93" s="45"/>
      <c r="AC93" s="46"/>
      <c r="AD93" s="46"/>
      <c r="AE93" s="45"/>
      <c r="AF93" s="45"/>
      <c r="AH93" s="51"/>
      <c r="AI93" s="45"/>
      <c r="AJ93" s="45"/>
      <c r="AL93" s="45"/>
      <c r="AM93" s="46"/>
      <c r="AN93" s="46"/>
    </row>
    <row r="94" spans="3:43">
      <c r="C94" s="42"/>
      <c r="F94" s="164"/>
      <c r="H94" s="164"/>
      <c r="I94" s="164"/>
      <c r="J94" s="331"/>
      <c r="K94" s="331"/>
      <c r="L94" s="45"/>
      <c r="M94" s="45"/>
      <c r="N94" s="46"/>
      <c r="O94" s="46"/>
      <c r="P94" s="45"/>
      <c r="Q94" s="45"/>
      <c r="R94" s="45"/>
      <c r="V94" s="45"/>
      <c r="Y94" s="50"/>
      <c r="Z94" s="326"/>
      <c r="AA94" s="50"/>
      <c r="AB94" s="50"/>
      <c r="AC94" s="50"/>
      <c r="AD94" s="50"/>
      <c r="AE94" s="50"/>
      <c r="AF94" s="50"/>
      <c r="AI94" s="50"/>
      <c r="AJ94" s="50"/>
      <c r="AK94" s="111"/>
      <c r="AL94" s="50"/>
      <c r="AM94" s="46"/>
      <c r="AN94" s="46"/>
    </row>
    <row r="95" spans="3:43">
      <c r="F95" s="50"/>
      <c r="H95" s="50"/>
      <c r="I95" s="50"/>
      <c r="J95" s="326"/>
      <c r="K95" s="326"/>
      <c r="L95" s="50"/>
      <c r="M95" s="50"/>
      <c r="N95" s="50"/>
      <c r="O95" s="50"/>
      <c r="P95" s="50"/>
      <c r="Q95" s="50"/>
      <c r="R95" s="50"/>
      <c r="T95" s="42"/>
      <c r="V95" s="45"/>
      <c r="Y95" s="45"/>
      <c r="Z95" s="326"/>
      <c r="AA95" s="45"/>
      <c r="AB95" s="45"/>
      <c r="AC95" s="45"/>
      <c r="AD95" s="45"/>
      <c r="AE95" s="45"/>
      <c r="AF95" s="45"/>
      <c r="AH95" s="51"/>
      <c r="AI95" s="45"/>
      <c r="AJ95" s="45"/>
      <c r="AL95" s="45"/>
      <c r="AM95" s="46"/>
      <c r="AN95" s="46"/>
    </row>
    <row r="96" spans="3:43">
      <c r="C96" s="42"/>
      <c r="F96" s="45"/>
      <c r="H96" s="45"/>
      <c r="I96" s="45"/>
      <c r="J96" s="326"/>
      <c r="K96" s="326"/>
      <c r="L96" s="45"/>
      <c r="M96" s="45"/>
      <c r="N96" s="46"/>
      <c r="O96" s="46"/>
      <c r="P96" s="45"/>
      <c r="Q96" s="45"/>
      <c r="R96" s="45"/>
      <c r="S96" s="45"/>
      <c r="T96" s="42"/>
      <c r="V96" s="45"/>
      <c r="Y96" s="45"/>
      <c r="Z96" s="132"/>
      <c r="AA96" s="45"/>
      <c r="AB96" s="45"/>
      <c r="AC96" s="46"/>
      <c r="AD96" s="46"/>
      <c r="AE96" s="45"/>
      <c r="AF96" s="45"/>
      <c r="AH96" s="51"/>
      <c r="AI96" s="45"/>
      <c r="AJ96" s="45"/>
      <c r="AL96" s="45"/>
      <c r="AM96" s="46"/>
      <c r="AN96" s="46"/>
    </row>
    <row r="97" spans="1:40">
      <c r="F97" s="50"/>
      <c r="H97" s="50"/>
      <c r="I97" s="50"/>
      <c r="J97" s="326"/>
      <c r="K97" s="326"/>
      <c r="L97" s="50"/>
      <c r="M97" s="50"/>
      <c r="N97" s="50"/>
      <c r="O97" s="50"/>
      <c r="P97" s="50"/>
      <c r="Q97" s="50"/>
      <c r="R97" s="50"/>
      <c r="S97" s="45"/>
      <c r="T97" s="42"/>
      <c r="Y97" s="45"/>
      <c r="Z97" s="132"/>
      <c r="AA97" s="45"/>
      <c r="AB97" s="45"/>
      <c r="AC97" s="46"/>
      <c r="AD97" s="46"/>
      <c r="AE97" s="45"/>
      <c r="AF97" s="45"/>
      <c r="AH97" s="51"/>
      <c r="AI97" s="45"/>
      <c r="AJ97" s="45"/>
      <c r="AL97" s="45"/>
      <c r="AM97" s="46"/>
      <c r="AN97" s="46"/>
    </row>
    <row r="98" spans="1:40">
      <c r="C98" s="42"/>
      <c r="V98" s="45"/>
      <c r="Y98" s="45"/>
      <c r="Z98" s="326"/>
      <c r="AA98" s="50"/>
      <c r="AB98" s="50"/>
      <c r="AC98" s="50"/>
      <c r="AD98" s="50"/>
      <c r="AE98" s="50"/>
      <c r="AF98" s="50"/>
      <c r="AI98" s="50"/>
      <c r="AJ98" s="50"/>
      <c r="AK98" s="111"/>
      <c r="AL98" s="50"/>
      <c r="AM98" s="46"/>
      <c r="AN98" s="46"/>
    </row>
    <row r="99" spans="1:40">
      <c r="C99" s="42"/>
      <c r="F99" s="45"/>
      <c r="H99" s="45"/>
      <c r="I99" s="45"/>
      <c r="L99" s="45"/>
      <c r="M99" s="45"/>
      <c r="N99" s="46"/>
      <c r="O99" s="46"/>
      <c r="P99" s="164"/>
      <c r="Q99" s="164"/>
      <c r="R99" s="45"/>
      <c r="T99" s="42"/>
      <c r="V99" s="45"/>
      <c r="Y99" s="45"/>
      <c r="Z99" s="47"/>
      <c r="AA99" s="45"/>
      <c r="AB99" s="45"/>
      <c r="AC99" s="46"/>
      <c r="AD99" s="46"/>
      <c r="AE99" s="45"/>
      <c r="AF99" s="45"/>
      <c r="AH99" s="51"/>
      <c r="AI99" s="45"/>
      <c r="AJ99" s="45"/>
      <c r="AL99" s="45"/>
      <c r="AM99" s="46"/>
      <c r="AN99" s="46"/>
    </row>
    <row r="100" spans="1:40">
      <c r="F100" s="50"/>
      <c r="H100" s="50"/>
      <c r="I100" s="50"/>
      <c r="J100" s="326"/>
      <c r="K100" s="326"/>
      <c r="L100" s="50"/>
      <c r="M100" s="50"/>
      <c r="N100" s="50"/>
      <c r="O100" s="50"/>
      <c r="P100" s="50"/>
      <c r="Q100" s="50"/>
      <c r="R100" s="50"/>
      <c r="V100" s="45"/>
      <c r="Y100" s="45"/>
      <c r="Z100" s="326"/>
      <c r="AA100" s="50"/>
      <c r="AB100" s="50"/>
      <c r="AC100" s="50"/>
      <c r="AD100" s="50"/>
      <c r="AE100" s="50"/>
      <c r="AF100" s="50"/>
      <c r="AI100" s="50"/>
      <c r="AJ100" s="50"/>
      <c r="AK100" s="111"/>
      <c r="AL100" s="50"/>
      <c r="AM100" s="46"/>
      <c r="AN100" s="46"/>
    </row>
    <row r="101" spans="1:40">
      <c r="T101" s="42"/>
      <c r="V101" s="45"/>
      <c r="Y101" s="45"/>
      <c r="Z101" s="47"/>
      <c r="AA101" s="45"/>
      <c r="AB101" s="45"/>
      <c r="AC101" s="46"/>
      <c r="AD101" s="46"/>
      <c r="AE101" s="45"/>
      <c r="AF101" s="45"/>
      <c r="AH101" s="51"/>
      <c r="AI101" s="45"/>
      <c r="AJ101" s="45"/>
      <c r="AL101" s="45"/>
      <c r="AM101" s="46"/>
      <c r="AN101" s="46"/>
    </row>
    <row r="102" spans="1:40">
      <c r="C102" s="42"/>
      <c r="L102" s="45"/>
      <c r="M102" s="45"/>
      <c r="N102" s="45"/>
      <c r="O102" s="45"/>
      <c r="P102" s="45"/>
      <c r="Q102" s="45"/>
      <c r="R102" s="45"/>
      <c r="S102" s="45"/>
      <c r="T102" s="42"/>
      <c r="V102" s="164"/>
      <c r="Y102" s="45"/>
      <c r="Z102" s="331"/>
      <c r="AA102" s="45"/>
      <c r="AB102" s="45"/>
      <c r="AC102" s="46"/>
      <c r="AD102" s="46"/>
      <c r="AE102" s="45"/>
      <c r="AF102" s="45"/>
      <c r="AH102" s="51"/>
      <c r="AI102" s="45"/>
      <c r="AJ102" s="45"/>
      <c r="AL102" s="45"/>
      <c r="AM102" s="46"/>
      <c r="AN102" s="46"/>
    </row>
    <row r="103" spans="1:40">
      <c r="A103" s="42"/>
      <c r="V103" s="50"/>
      <c r="Y103" s="50"/>
      <c r="Z103" s="326"/>
      <c r="AA103" s="50"/>
      <c r="AB103" s="50"/>
      <c r="AC103" s="50"/>
      <c r="AD103" s="50"/>
      <c r="AE103" s="50"/>
      <c r="AF103" s="50"/>
      <c r="AI103" s="50"/>
      <c r="AJ103" s="50"/>
      <c r="AK103" s="111"/>
      <c r="AL103" s="50"/>
      <c r="AM103" s="46"/>
      <c r="AN103" s="46"/>
    </row>
    <row r="104" spans="1:40">
      <c r="T104" s="42"/>
      <c r="V104" s="45"/>
      <c r="Y104" s="45"/>
      <c r="Z104" s="326"/>
      <c r="AA104" s="45"/>
      <c r="AB104" s="45"/>
      <c r="AC104" s="46"/>
      <c r="AD104" s="46"/>
      <c r="AE104" s="45"/>
      <c r="AF104" s="45"/>
      <c r="AH104" s="46"/>
      <c r="AI104" s="45"/>
      <c r="AJ104" s="45"/>
      <c r="AL104" s="45"/>
      <c r="AM104" s="46"/>
      <c r="AN104" s="46"/>
    </row>
    <row r="105" spans="1:40">
      <c r="H105" s="42"/>
      <c r="I105" s="42"/>
      <c r="V105" s="50"/>
      <c r="Y105" s="50"/>
      <c r="Z105" s="326"/>
      <c r="AA105" s="50"/>
      <c r="AB105" s="50"/>
      <c r="AC105" s="50"/>
      <c r="AD105" s="50"/>
      <c r="AE105" s="50"/>
      <c r="AF105" s="50"/>
      <c r="AI105" s="50"/>
      <c r="AJ105" s="50"/>
      <c r="AK105" s="111"/>
      <c r="AL105" s="50"/>
      <c r="AM105" s="46"/>
      <c r="AN105" s="46"/>
    </row>
    <row r="106" spans="1:40">
      <c r="T106" s="42"/>
    </row>
    <row r="107" spans="1:40">
      <c r="L107" s="42"/>
      <c r="M107" s="42"/>
      <c r="AA107" s="42"/>
      <c r="AB107" s="42"/>
    </row>
    <row r="108" spans="1:40">
      <c r="R108" s="42"/>
      <c r="AK108" s="110"/>
      <c r="AL108" s="42"/>
    </row>
    <row r="109" spans="1:40">
      <c r="R109" s="42"/>
      <c r="AK109" s="110"/>
      <c r="AL109" s="42"/>
    </row>
    <row r="110" spans="1:40">
      <c r="A110" s="42"/>
      <c r="R110" s="42"/>
      <c r="AK110" s="110"/>
      <c r="AL110" s="42"/>
    </row>
    <row r="111" spans="1:40">
      <c r="L111" s="42"/>
      <c r="M111" s="42"/>
      <c r="AA111" s="42"/>
      <c r="AB111" s="42"/>
    </row>
    <row r="112" spans="1:40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107"/>
      <c r="AH112" s="49"/>
      <c r="AI112" s="49"/>
      <c r="AJ112" s="49"/>
      <c r="AK112" s="107"/>
      <c r="AL112" s="49"/>
      <c r="AM112" s="49"/>
      <c r="AN112" s="49"/>
    </row>
    <row r="113" spans="1:40">
      <c r="L113" s="44"/>
      <c r="M113" s="44"/>
      <c r="N113" s="44"/>
      <c r="O113" s="44"/>
      <c r="R113" s="44"/>
      <c r="AA113" s="44"/>
      <c r="AB113" s="44"/>
      <c r="AC113" s="44"/>
      <c r="AD113" s="44"/>
      <c r="AE113" s="44"/>
      <c r="AF113" s="44"/>
      <c r="AG113" s="102"/>
      <c r="AH113" s="44"/>
      <c r="AK113" s="102"/>
      <c r="AL113" s="44"/>
      <c r="AM113" s="44"/>
      <c r="AN113" s="44"/>
    </row>
    <row r="114" spans="1:40">
      <c r="L114" s="44"/>
      <c r="M114" s="44"/>
      <c r="N114" s="44"/>
      <c r="O114" s="44"/>
      <c r="R114" s="44"/>
      <c r="Z114" s="44"/>
      <c r="AA114" s="44"/>
      <c r="AB114" s="44"/>
      <c r="AC114" s="44"/>
      <c r="AD114" s="44"/>
      <c r="AE114" s="44"/>
      <c r="AF114" s="44"/>
      <c r="AG114" s="102"/>
      <c r="AH114" s="44"/>
      <c r="AK114" s="102"/>
      <c r="AL114" s="44"/>
      <c r="AM114" s="44"/>
      <c r="AN114" s="44"/>
    </row>
    <row r="115" spans="1:40">
      <c r="A115" s="44"/>
      <c r="C115" s="44"/>
      <c r="D115" s="44"/>
      <c r="E115" s="44"/>
      <c r="F115" s="44"/>
      <c r="J115" s="44"/>
      <c r="K115" s="44"/>
      <c r="L115" s="44"/>
      <c r="M115" s="44"/>
      <c r="N115" s="44"/>
      <c r="O115" s="44"/>
      <c r="P115" s="44"/>
      <c r="Q115" s="44"/>
      <c r="R115" s="44"/>
      <c r="T115" s="44"/>
      <c r="U115" s="44"/>
      <c r="V115" s="44"/>
      <c r="Z115" s="44"/>
      <c r="AA115" s="44"/>
      <c r="AB115" s="44"/>
      <c r="AC115" s="44"/>
      <c r="AD115" s="44"/>
      <c r="AE115" s="44"/>
      <c r="AF115" s="44"/>
      <c r="AG115" s="102"/>
      <c r="AH115" s="44"/>
      <c r="AI115" s="44"/>
      <c r="AJ115" s="44"/>
      <c r="AK115" s="102"/>
      <c r="AL115" s="44"/>
      <c r="AM115" s="44"/>
      <c r="AN115" s="44"/>
    </row>
    <row r="116" spans="1:40">
      <c r="A116" s="44"/>
      <c r="C116" s="44"/>
      <c r="D116" s="44"/>
      <c r="E116" s="44"/>
      <c r="F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T116" s="44"/>
      <c r="U116" s="44"/>
      <c r="V116" s="44"/>
      <c r="Y116" s="44"/>
      <c r="Z116" s="44"/>
      <c r="AA116" s="44"/>
      <c r="AB116" s="44"/>
      <c r="AC116" s="44"/>
      <c r="AD116" s="44"/>
      <c r="AE116" s="44"/>
      <c r="AF116" s="44"/>
      <c r="AG116" s="102"/>
      <c r="AH116" s="44"/>
      <c r="AI116" s="44"/>
      <c r="AJ116" s="44"/>
      <c r="AK116" s="102"/>
      <c r="AL116" s="44"/>
      <c r="AM116" s="44"/>
      <c r="AN116" s="44"/>
    </row>
    <row r="117" spans="1:40">
      <c r="C117" s="44"/>
      <c r="D117" s="44"/>
      <c r="E117" s="44"/>
      <c r="F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T117" s="44"/>
      <c r="U117" s="44"/>
      <c r="V117" s="44"/>
      <c r="Y117" s="44"/>
      <c r="Z117" s="44"/>
      <c r="AA117" s="44"/>
      <c r="AB117" s="44"/>
      <c r="AC117" s="44"/>
      <c r="AD117" s="44"/>
      <c r="AE117" s="44"/>
      <c r="AF117" s="44"/>
      <c r="AG117" s="102"/>
      <c r="AH117" s="44"/>
      <c r="AI117" s="44"/>
      <c r="AJ117" s="44"/>
      <c r="AK117" s="102"/>
      <c r="AL117" s="44"/>
      <c r="AM117" s="44"/>
      <c r="AN117" s="44"/>
    </row>
    <row r="118" spans="1:40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107"/>
      <c r="AH118" s="49"/>
      <c r="AI118" s="49"/>
      <c r="AJ118" s="49"/>
      <c r="AK118" s="107"/>
      <c r="AL118" s="49"/>
      <c r="AM118" s="49"/>
      <c r="AN118" s="49"/>
    </row>
    <row r="119" spans="1:40"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Y119" s="44"/>
      <c r="Z119" s="44"/>
      <c r="AA119" s="44"/>
      <c r="AB119" s="44"/>
      <c r="AC119" s="44"/>
      <c r="AD119" s="44"/>
      <c r="AE119" s="44"/>
      <c r="AF119" s="44"/>
      <c r="AG119" s="102"/>
      <c r="AH119" s="44"/>
      <c r="AI119" s="44"/>
      <c r="AJ119" s="44"/>
      <c r="AK119" s="102"/>
      <c r="AL119" s="44"/>
      <c r="AM119" s="44"/>
      <c r="AN119" s="44"/>
    </row>
    <row r="120" spans="1:40">
      <c r="C120" s="42"/>
      <c r="D120" s="42"/>
      <c r="E120" s="42"/>
      <c r="T120" s="42"/>
      <c r="U120" s="42"/>
    </row>
    <row r="121" spans="1:40">
      <c r="D121" s="42"/>
      <c r="E121" s="42"/>
      <c r="U121" s="42"/>
    </row>
    <row r="123" spans="1:40">
      <c r="C123" s="42"/>
      <c r="F123" s="164"/>
      <c r="H123" s="164"/>
      <c r="I123" s="164"/>
      <c r="J123" s="316"/>
      <c r="K123" s="316"/>
      <c r="L123" s="45"/>
      <c r="M123" s="45"/>
      <c r="N123" s="46"/>
      <c r="O123" s="46"/>
      <c r="R123" s="45"/>
      <c r="T123" s="42"/>
      <c r="V123" s="45"/>
      <c r="Y123" s="164"/>
      <c r="Z123" s="316"/>
      <c r="AA123" s="45"/>
      <c r="AB123" s="45"/>
      <c r="AC123" s="46"/>
      <c r="AD123" s="46"/>
      <c r="AE123" s="45"/>
      <c r="AF123" s="45"/>
      <c r="AG123" s="333"/>
      <c r="AH123" s="334"/>
      <c r="AL123" s="45"/>
      <c r="AM123" s="335"/>
      <c r="AN123" s="335"/>
    </row>
    <row r="124" spans="1:40">
      <c r="C124" s="42"/>
      <c r="F124" s="164"/>
      <c r="H124" s="164"/>
      <c r="I124" s="164"/>
      <c r="J124" s="316"/>
      <c r="K124" s="316"/>
      <c r="L124" s="45"/>
      <c r="M124" s="45"/>
      <c r="N124" s="46"/>
      <c r="O124" s="46"/>
      <c r="R124" s="45"/>
      <c r="T124" s="42"/>
      <c r="V124" s="45"/>
      <c r="Y124" s="164"/>
      <c r="Z124" s="316"/>
      <c r="AA124" s="45"/>
      <c r="AB124" s="45"/>
      <c r="AC124" s="46"/>
      <c r="AD124" s="46"/>
      <c r="AE124" s="45"/>
      <c r="AF124" s="45"/>
      <c r="AH124" s="51"/>
      <c r="AL124" s="45"/>
      <c r="AM124" s="46"/>
      <c r="AN124" s="46"/>
    </row>
    <row r="125" spans="1:40">
      <c r="F125" s="50"/>
      <c r="H125" s="45"/>
      <c r="I125" s="45"/>
      <c r="J125" s="326"/>
      <c r="K125" s="326"/>
      <c r="L125" s="50"/>
      <c r="M125" s="50"/>
      <c r="N125" s="50"/>
      <c r="O125" s="50"/>
      <c r="P125" s="50"/>
      <c r="Q125" s="50"/>
      <c r="R125" s="50"/>
      <c r="V125" s="50"/>
      <c r="Y125" s="45"/>
      <c r="Z125" s="326"/>
      <c r="AA125" s="50"/>
      <c r="AB125" s="50"/>
      <c r="AC125" s="50"/>
      <c r="AD125" s="50"/>
      <c r="AE125" s="50"/>
      <c r="AF125" s="50"/>
      <c r="AI125" s="50"/>
      <c r="AJ125" s="50"/>
      <c r="AK125" s="111"/>
      <c r="AL125" s="50"/>
      <c r="AM125" s="46"/>
      <c r="AN125" s="46"/>
    </row>
    <row r="126" spans="1:40">
      <c r="C126" s="42"/>
      <c r="F126" s="45"/>
      <c r="H126" s="45"/>
      <c r="I126" s="45"/>
      <c r="J126" s="326"/>
      <c r="K126" s="326"/>
      <c r="L126" s="45"/>
      <c r="M126" s="45"/>
      <c r="N126" s="46"/>
      <c r="O126" s="46"/>
      <c r="P126" s="45"/>
      <c r="Q126" s="45"/>
      <c r="R126" s="45"/>
      <c r="T126" s="42"/>
      <c r="V126" s="45"/>
      <c r="Y126" s="45"/>
      <c r="Z126" s="47"/>
      <c r="AA126" s="45"/>
      <c r="AB126" s="45"/>
      <c r="AC126" s="46"/>
      <c r="AD126" s="46"/>
      <c r="AE126" s="45"/>
      <c r="AF126" s="45"/>
      <c r="AH126" s="51"/>
      <c r="AI126" s="45"/>
      <c r="AJ126" s="45"/>
      <c r="AL126" s="45"/>
      <c r="AM126" s="46"/>
      <c r="AN126" s="46"/>
    </row>
    <row r="127" spans="1:40">
      <c r="F127" s="50"/>
      <c r="H127" s="45"/>
      <c r="I127" s="45"/>
      <c r="J127" s="326"/>
      <c r="K127" s="326"/>
      <c r="L127" s="50"/>
      <c r="M127" s="50"/>
      <c r="N127" s="50"/>
      <c r="O127" s="50"/>
      <c r="P127" s="50"/>
      <c r="Q127" s="50"/>
      <c r="R127" s="50"/>
      <c r="V127" s="50"/>
      <c r="Y127" s="45"/>
      <c r="Z127" s="326"/>
      <c r="AA127" s="50"/>
      <c r="AB127" s="50"/>
      <c r="AC127" s="50"/>
      <c r="AD127" s="50"/>
      <c r="AE127" s="50"/>
      <c r="AF127" s="50"/>
      <c r="AI127" s="50"/>
      <c r="AJ127" s="50"/>
      <c r="AK127" s="111"/>
      <c r="AL127" s="50"/>
      <c r="AM127" s="46"/>
      <c r="AN127" s="46"/>
    </row>
    <row r="128" spans="1:40">
      <c r="F128" s="45"/>
      <c r="H128" s="45"/>
      <c r="I128" s="45"/>
      <c r="J128" s="326"/>
      <c r="K128" s="326"/>
      <c r="L128" s="45"/>
      <c r="M128" s="45"/>
      <c r="N128" s="46"/>
      <c r="O128" s="46"/>
      <c r="P128" s="45"/>
      <c r="Q128" s="45"/>
      <c r="R128" s="45"/>
      <c r="V128" s="45"/>
      <c r="Y128" s="45"/>
      <c r="Z128" s="47"/>
      <c r="AA128" s="45"/>
      <c r="AB128" s="45"/>
      <c r="AC128" s="46"/>
      <c r="AD128" s="46"/>
      <c r="AE128" s="45"/>
      <c r="AF128" s="45"/>
      <c r="AH128" s="51"/>
      <c r="AI128" s="45"/>
      <c r="AJ128" s="45"/>
      <c r="AL128" s="45"/>
      <c r="AM128" s="46"/>
      <c r="AN128" s="46"/>
    </row>
    <row r="129" spans="3:40">
      <c r="C129" s="42"/>
      <c r="F129" s="164"/>
      <c r="H129" s="164"/>
      <c r="I129" s="164"/>
      <c r="J129" s="316"/>
      <c r="K129" s="316"/>
      <c r="L129" s="45"/>
      <c r="M129" s="45"/>
      <c r="N129" s="46"/>
      <c r="O129" s="46"/>
      <c r="P129" s="45"/>
      <c r="Q129" s="45"/>
      <c r="R129" s="45"/>
      <c r="T129" s="42"/>
      <c r="V129" s="164"/>
      <c r="Y129" s="45"/>
      <c r="Z129" s="316"/>
      <c r="AA129" s="45"/>
      <c r="AB129" s="45"/>
      <c r="AC129" s="46"/>
      <c r="AD129" s="46"/>
      <c r="AE129" s="45"/>
      <c r="AF129" s="45"/>
      <c r="AG129" s="333"/>
      <c r="AH129" s="334"/>
      <c r="AI129" s="45"/>
      <c r="AJ129" s="45"/>
      <c r="AL129" s="45"/>
      <c r="AM129" s="335"/>
      <c r="AN129" s="335"/>
    </row>
    <row r="130" spans="3:40">
      <c r="C130" s="42"/>
      <c r="F130" s="164"/>
      <c r="H130" s="164"/>
      <c r="I130" s="164"/>
      <c r="J130" s="316"/>
      <c r="K130" s="316"/>
      <c r="L130" s="45"/>
      <c r="M130" s="45"/>
      <c r="N130" s="46"/>
      <c r="O130" s="46"/>
      <c r="P130" s="45"/>
      <c r="Q130" s="45"/>
      <c r="R130" s="45"/>
      <c r="T130" s="42"/>
      <c r="V130" s="164"/>
      <c r="Y130" s="45"/>
      <c r="Z130" s="316"/>
      <c r="AA130" s="45"/>
      <c r="AB130" s="45"/>
      <c r="AC130" s="46"/>
      <c r="AD130" s="46"/>
      <c r="AE130" s="45"/>
      <c r="AF130" s="45"/>
      <c r="AH130" s="51"/>
      <c r="AI130" s="45"/>
      <c r="AJ130" s="45"/>
      <c r="AL130" s="45"/>
      <c r="AM130" s="46"/>
      <c r="AN130" s="46"/>
    </row>
    <row r="131" spans="3:40">
      <c r="F131" s="45"/>
      <c r="H131" s="50"/>
      <c r="I131" s="50"/>
      <c r="J131" s="326"/>
      <c r="K131" s="326"/>
      <c r="L131" s="50"/>
      <c r="M131" s="50"/>
      <c r="N131" s="50"/>
      <c r="O131" s="50"/>
      <c r="P131" s="50"/>
      <c r="Q131" s="50"/>
      <c r="R131" s="50"/>
      <c r="V131" s="45"/>
      <c r="Y131" s="50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3:40">
      <c r="C132" s="42"/>
      <c r="F132" s="45"/>
      <c r="H132" s="45"/>
      <c r="I132" s="45"/>
      <c r="J132" s="326"/>
      <c r="K132" s="326"/>
      <c r="L132" s="45"/>
      <c r="M132" s="45"/>
      <c r="N132" s="46"/>
      <c r="O132" s="46"/>
      <c r="P132" s="45"/>
      <c r="Q132" s="45"/>
      <c r="R132" s="45"/>
      <c r="T132" s="42"/>
      <c r="V132" s="45"/>
      <c r="Y132" s="45"/>
      <c r="Z132" s="326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3:40">
      <c r="F133" s="45"/>
      <c r="H133" s="50"/>
      <c r="I133" s="50"/>
      <c r="J133" s="326"/>
      <c r="K133" s="326"/>
      <c r="L133" s="50"/>
      <c r="M133" s="50"/>
      <c r="N133" s="50"/>
      <c r="O133" s="50"/>
      <c r="P133" s="50"/>
      <c r="Q133" s="50"/>
      <c r="R133" s="50"/>
      <c r="V133" s="45"/>
      <c r="Y133" s="50"/>
      <c r="Z133" s="326"/>
      <c r="AA133" s="50"/>
      <c r="AB133" s="50"/>
      <c r="AC133" s="50"/>
      <c r="AD133" s="50"/>
      <c r="AE133" s="50"/>
      <c r="AF133" s="50"/>
      <c r="AI133" s="50"/>
      <c r="AJ133" s="50"/>
      <c r="AK133" s="111"/>
      <c r="AL133" s="50"/>
      <c r="AM133" s="46"/>
      <c r="AN133" s="46"/>
    </row>
    <row r="134" spans="3:40">
      <c r="F134" s="45"/>
      <c r="H134" s="45"/>
      <c r="I134" s="45"/>
      <c r="J134" s="326"/>
      <c r="K134" s="326"/>
      <c r="L134" s="45"/>
      <c r="M134" s="45"/>
      <c r="N134" s="45"/>
      <c r="O134" s="45"/>
      <c r="P134" s="45"/>
      <c r="Q134" s="45"/>
      <c r="R134" s="45"/>
      <c r="V134" s="45"/>
      <c r="Y134" s="45"/>
      <c r="Z134" s="326"/>
      <c r="AA134" s="45"/>
      <c r="AB134" s="45"/>
      <c r="AC134" s="45"/>
      <c r="AD134" s="45"/>
      <c r="AE134" s="45"/>
      <c r="AF134" s="45"/>
      <c r="AH134" s="51"/>
      <c r="AI134" s="45"/>
      <c r="AJ134" s="45"/>
      <c r="AL134" s="45"/>
      <c r="AM134" s="46"/>
      <c r="AN134" s="46"/>
    </row>
    <row r="135" spans="3:40">
      <c r="C135" s="42"/>
      <c r="F135" s="164"/>
      <c r="H135" s="164"/>
      <c r="I135" s="164"/>
      <c r="J135" s="331"/>
      <c r="K135" s="331"/>
      <c r="L135" s="45"/>
      <c r="M135" s="45"/>
      <c r="N135" s="46"/>
      <c r="O135" s="46"/>
      <c r="P135" s="164"/>
      <c r="Q135" s="164"/>
      <c r="R135" s="45"/>
      <c r="T135" s="42"/>
      <c r="V135" s="164"/>
      <c r="Y135" s="164"/>
      <c r="Z135" s="336"/>
      <c r="AA135" s="45"/>
      <c r="AB135" s="45"/>
      <c r="AC135" s="46"/>
      <c r="AD135" s="46"/>
      <c r="AE135" s="45"/>
      <c r="AF135" s="45"/>
      <c r="AH135" s="51"/>
      <c r="AI135" s="164"/>
      <c r="AJ135" s="164"/>
      <c r="AL135" s="45"/>
      <c r="AM135" s="46"/>
      <c r="AN135" s="46"/>
    </row>
    <row r="136" spans="3:40">
      <c r="C136" s="42"/>
      <c r="F136" s="164"/>
      <c r="H136" s="164"/>
      <c r="I136" s="164"/>
      <c r="J136" s="331"/>
      <c r="K136" s="331"/>
      <c r="L136" s="45"/>
      <c r="M136" s="45"/>
      <c r="N136" s="46"/>
      <c r="O136" s="46"/>
      <c r="P136" s="164"/>
      <c r="Q136" s="164"/>
      <c r="R136" s="45"/>
      <c r="T136" s="42"/>
      <c r="V136" s="164"/>
      <c r="Y136" s="45"/>
      <c r="Z136" s="325"/>
      <c r="AA136" s="45"/>
      <c r="AB136" s="45"/>
      <c r="AC136" s="46"/>
      <c r="AD136" s="46"/>
      <c r="AE136" s="45"/>
      <c r="AF136" s="45"/>
      <c r="AH136" s="51"/>
      <c r="AI136" s="164"/>
      <c r="AJ136" s="164"/>
      <c r="AL136" s="45"/>
      <c r="AM136" s="46"/>
      <c r="AN136" s="46"/>
    </row>
    <row r="137" spans="3:40">
      <c r="C137" s="42"/>
      <c r="F137" s="164"/>
      <c r="H137" s="164"/>
      <c r="I137" s="164"/>
      <c r="J137" s="331"/>
      <c r="K137" s="331"/>
      <c r="L137" s="45"/>
      <c r="M137" s="45"/>
      <c r="N137" s="46"/>
      <c r="O137" s="46"/>
      <c r="P137" s="164"/>
      <c r="Q137" s="164"/>
      <c r="R137" s="45"/>
      <c r="T137" s="42"/>
      <c r="V137" s="164"/>
      <c r="Y137" s="45"/>
      <c r="Z137" s="325"/>
      <c r="AA137" s="45"/>
      <c r="AB137" s="45"/>
      <c r="AC137" s="46"/>
      <c r="AD137" s="46"/>
      <c r="AE137" s="45"/>
      <c r="AF137" s="45"/>
      <c r="AH137" s="51"/>
      <c r="AI137" s="164"/>
      <c r="AJ137" s="164"/>
      <c r="AL137" s="45"/>
      <c r="AM137" s="46"/>
      <c r="AN137" s="46"/>
    </row>
    <row r="138" spans="3:40">
      <c r="F138" s="50"/>
      <c r="H138" s="50"/>
      <c r="I138" s="50"/>
      <c r="J138" s="326"/>
      <c r="K138" s="326"/>
      <c r="L138" s="50"/>
      <c r="M138" s="50"/>
      <c r="N138" s="50"/>
      <c r="O138" s="50"/>
      <c r="P138" s="50"/>
      <c r="Q138" s="50"/>
      <c r="R138" s="50"/>
      <c r="V138" s="50"/>
      <c r="Y138" s="50"/>
      <c r="Z138" s="326"/>
      <c r="AA138" s="50"/>
      <c r="AB138" s="50"/>
      <c r="AC138" s="50"/>
      <c r="AD138" s="50"/>
      <c r="AE138" s="50"/>
      <c r="AF138" s="50"/>
      <c r="AI138" s="50"/>
      <c r="AJ138" s="50"/>
      <c r="AK138" s="111"/>
      <c r="AL138" s="50"/>
      <c r="AM138" s="46"/>
      <c r="AN138" s="46"/>
    </row>
    <row r="139" spans="3:40">
      <c r="C139" s="42"/>
      <c r="F139" s="45"/>
      <c r="H139" s="45"/>
      <c r="I139" s="45"/>
      <c r="J139" s="47"/>
      <c r="K139" s="47"/>
      <c r="L139" s="45"/>
      <c r="M139" s="45"/>
      <c r="N139" s="46"/>
      <c r="O139" s="46"/>
      <c r="P139" s="45"/>
      <c r="Q139" s="45"/>
      <c r="R139" s="45"/>
      <c r="T139" s="42"/>
      <c r="V139" s="45"/>
      <c r="Y139" s="45"/>
      <c r="Z139" s="47"/>
      <c r="AA139" s="45"/>
      <c r="AB139" s="45"/>
      <c r="AC139" s="46"/>
      <c r="AD139" s="46"/>
      <c r="AE139" s="45"/>
      <c r="AF139" s="45"/>
      <c r="AH139" s="51"/>
      <c r="AI139" s="45"/>
      <c r="AJ139" s="45"/>
      <c r="AL139" s="45"/>
      <c r="AM139" s="46"/>
      <c r="AN139" s="46"/>
    </row>
    <row r="140" spans="3:40">
      <c r="F140" s="50"/>
      <c r="H140" s="50"/>
      <c r="I140" s="50"/>
      <c r="J140" s="326"/>
      <c r="K140" s="326"/>
      <c r="L140" s="50"/>
      <c r="M140" s="50"/>
      <c r="N140" s="50"/>
      <c r="O140" s="50"/>
      <c r="P140" s="50"/>
      <c r="Q140" s="50"/>
      <c r="R140" s="50"/>
      <c r="V140" s="50"/>
      <c r="Y140" s="50"/>
      <c r="Z140" s="326"/>
      <c r="AA140" s="50"/>
      <c r="AB140" s="50"/>
      <c r="AC140" s="50"/>
      <c r="AD140" s="50"/>
      <c r="AE140" s="50"/>
      <c r="AF140" s="50"/>
      <c r="AI140" s="50"/>
      <c r="AJ140" s="50"/>
      <c r="AK140" s="111"/>
      <c r="AL140" s="50"/>
      <c r="AM140" s="46"/>
      <c r="AN140" s="46"/>
    </row>
    <row r="141" spans="3:40">
      <c r="C141" s="42"/>
      <c r="F141" s="45"/>
      <c r="H141" s="45"/>
      <c r="I141" s="45"/>
      <c r="J141" s="47"/>
      <c r="K141" s="47"/>
      <c r="L141" s="45"/>
      <c r="M141" s="45"/>
      <c r="N141" s="46"/>
      <c r="O141" s="46"/>
      <c r="P141" s="45"/>
      <c r="Q141" s="45"/>
      <c r="R141" s="45"/>
      <c r="T141" s="42"/>
      <c r="V141" s="45"/>
      <c r="Y141" s="45"/>
      <c r="Z141" s="47"/>
      <c r="AA141" s="45"/>
      <c r="AB141" s="45"/>
      <c r="AC141" s="46"/>
      <c r="AD141" s="46"/>
      <c r="AE141" s="45"/>
      <c r="AF141" s="45"/>
      <c r="AH141" s="51"/>
      <c r="AI141" s="45"/>
      <c r="AJ141" s="45"/>
      <c r="AL141" s="45"/>
      <c r="AM141" s="46"/>
      <c r="AN141" s="46"/>
    </row>
    <row r="142" spans="3:40">
      <c r="C142" s="42"/>
      <c r="F142" s="45"/>
      <c r="H142" s="45"/>
      <c r="I142" s="45"/>
      <c r="J142" s="47"/>
      <c r="K142" s="47"/>
      <c r="L142" s="45"/>
      <c r="M142" s="45"/>
      <c r="N142" s="46"/>
      <c r="O142" s="46"/>
      <c r="P142" s="45"/>
      <c r="Q142" s="45"/>
      <c r="R142" s="45"/>
      <c r="T142" s="42"/>
      <c r="V142" s="45"/>
      <c r="Y142" s="45"/>
      <c r="Z142" s="47"/>
      <c r="AA142" s="45"/>
      <c r="AB142" s="45"/>
      <c r="AC142" s="46"/>
      <c r="AD142" s="46"/>
      <c r="AE142" s="45"/>
      <c r="AF142" s="45"/>
      <c r="AH142" s="51"/>
      <c r="AI142" s="45"/>
      <c r="AJ142" s="45"/>
      <c r="AL142" s="45"/>
      <c r="AM142" s="46"/>
      <c r="AN142" s="46"/>
    </row>
    <row r="143" spans="3:40">
      <c r="F143" s="50"/>
      <c r="H143" s="50"/>
      <c r="I143" s="50"/>
      <c r="J143" s="326"/>
      <c r="K143" s="326"/>
      <c r="L143" s="50"/>
      <c r="M143" s="50"/>
      <c r="N143" s="50"/>
      <c r="O143" s="50"/>
      <c r="P143" s="50"/>
      <c r="Q143" s="50"/>
      <c r="R143" s="50"/>
      <c r="V143" s="50"/>
      <c r="Y143" s="50"/>
      <c r="Z143" s="326"/>
      <c r="AA143" s="50"/>
      <c r="AB143" s="50"/>
      <c r="AC143" s="50"/>
      <c r="AD143" s="50"/>
      <c r="AE143" s="50"/>
      <c r="AF143" s="50"/>
      <c r="AI143" s="50"/>
      <c r="AJ143" s="50"/>
      <c r="AK143" s="111"/>
      <c r="AL143" s="50"/>
      <c r="AM143" s="45"/>
      <c r="AN143" s="45"/>
    </row>
    <row r="144" spans="3:40">
      <c r="F144" s="45"/>
      <c r="H144" s="45"/>
      <c r="I144" s="45"/>
      <c r="J144" s="47"/>
      <c r="K144" s="47"/>
      <c r="L144" s="45"/>
      <c r="M144" s="45"/>
      <c r="N144" s="45"/>
      <c r="O144" s="45"/>
      <c r="P144" s="45"/>
      <c r="Q144" s="45"/>
      <c r="R144" s="45"/>
      <c r="V144" s="45"/>
      <c r="Y144" s="45"/>
      <c r="Z144" s="47"/>
      <c r="AA144" s="45"/>
      <c r="AB144" s="45"/>
      <c r="AC144" s="45"/>
      <c r="AD144" s="45"/>
    </row>
    <row r="145" spans="1:40">
      <c r="C145" s="42"/>
      <c r="F145" s="45"/>
      <c r="H145" s="45"/>
      <c r="I145" s="45"/>
      <c r="J145" s="47"/>
      <c r="K145" s="47"/>
      <c r="L145" s="45"/>
      <c r="M145" s="45"/>
      <c r="N145" s="45"/>
      <c r="O145" s="45"/>
      <c r="P145" s="45"/>
      <c r="Q145" s="45"/>
      <c r="R145" s="45"/>
      <c r="T145" s="42"/>
      <c r="V145" s="45"/>
      <c r="Y145" s="45"/>
      <c r="Z145" s="47"/>
      <c r="AA145" s="45"/>
      <c r="AB145" s="45"/>
      <c r="AC145" s="45"/>
      <c r="AD145" s="45"/>
    </row>
    <row r="146" spans="1:40">
      <c r="A146" s="42"/>
    </row>
    <row r="148" spans="1:40">
      <c r="H148" s="42"/>
      <c r="I148" s="42"/>
      <c r="Y148" s="42"/>
    </row>
    <row r="150" spans="1:40">
      <c r="L150" s="42"/>
      <c r="M150" s="42"/>
      <c r="AA150" s="42"/>
      <c r="AB150" s="42"/>
    </row>
    <row r="151" spans="1:40">
      <c r="R151" s="42"/>
      <c r="AK151" s="110"/>
      <c r="AL151" s="42"/>
    </row>
    <row r="152" spans="1:40">
      <c r="R152" s="42"/>
      <c r="AK152" s="110"/>
      <c r="AL152" s="42"/>
    </row>
    <row r="153" spans="1:40">
      <c r="A153" s="42"/>
      <c r="R153" s="42"/>
      <c r="AK153" s="110"/>
      <c r="AL153" s="42"/>
    </row>
    <row r="154" spans="1:40">
      <c r="L154" s="42"/>
      <c r="M154" s="42"/>
      <c r="AA154" s="42"/>
      <c r="AB154" s="42"/>
    </row>
    <row r="155" spans="1:40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107"/>
      <c r="AH155" s="49"/>
      <c r="AI155" s="49"/>
      <c r="AJ155" s="49"/>
      <c r="AK155" s="107"/>
      <c r="AL155" s="49"/>
      <c r="AM155" s="49"/>
      <c r="AN155" s="49"/>
    </row>
    <row r="156" spans="1:40">
      <c r="L156" s="44"/>
      <c r="M156" s="44"/>
      <c r="N156" s="44"/>
      <c r="O156" s="44"/>
      <c r="R156" s="44"/>
      <c r="AA156" s="44"/>
      <c r="AB156" s="44"/>
      <c r="AC156" s="44"/>
      <c r="AD156" s="44"/>
      <c r="AE156" s="44"/>
      <c r="AF156" s="44"/>
      <c r="AG156" s="102"/>
      <c r="AH156" s="44"/>
      <c r="AK156" s="102"/>
      <c r="AL156" s="44"/>
      <c r="AM156" s="44"/>
      <c r="AN156" s="44"/>
    </row>
    <row r="157" spans="1:40">
      <c r="L157" s="44"/>
      <c r="M157" s="44"/>
      <c r="N157" s="44"/>
      <c r="O157" s="44"/>
      <c r="R157" s="44"/>
      <c r="Z157" s="44"/>
      <c r="AA157" s="44"/>
      <c r="AB157" s="44"/>
      <c r="AC157" s="44"/>
      <c r="AD157" s="44"/>
      <c r="AE157" s="44"/>
      <c r="AF157" s="44"/>
      <c r="AG157" s="102"/>
      <c r="AH157" s="44"/>
      <c r="AK157" s="102"/>
      <c r="AL157" s="44"/>
      <c r="AM157" s="44"/>
      <c r="AN157" s="44"/>
    </row>
    <row r="158" spans="1:40">
      <c r="A158" s="44"/>
      <c r="C158" s="44"/>
      <c r="D158" s="44"/>
      <c r="E158" s="44"/>
      <c r="F158" s="44"/>
      <c r="J158" s="44"/>
      <c r="K158" s="44"/>
      <c r="L158" s="44"/>
      <c r="M158" s="44"/>
      <c r="N158" s="44"/>
      <c r="O158" s="44"/>
      <c r="P158" s="44"/>
      <c r="Q158" s="44"/>
      <c r="R158" s="44"/>
      <c r="T158" s="44"/>
      <c r="U158" s="44"/>
      <c r="V158" s="44"/>
      <c r="Z158" s="44"/>
      <c r="AA158" s="44"/>
      <c r="AB158" s="44"/>
      <c r="AC158" s="44"/>
      <c r="AD158" s="44"/>
      <c r="AE158" s="44"/>
      <c r="AF158" s="44"/>
      <c r="AG158" s="102"/>
      <c r="AH158" s="44"/>
      <c r="AI158" s="44"/>
      <c r="AJ158" s="44"/>
      <c r="AK158" s="102"/>
      <c r="AL158" s="44"/>
      <c r="AM158" s="44"/>
      <c r="AN158" s="44"/>
    </row>
    <row r="159" spans="1:40">
      <c r="A159" s="44"/>
      <c r="C159" s="44"/>
      <c r="D159" s="44"/>
      <c r="E159" s="44"/>
      <c r="F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T159" s="44"/>
      <c r="U159" s="44"/>
      <c r="V159" s="44"/>
      <c r="Y159" s="44"/>
      <c r="Z159" s="44"/>
      <c r="AA159" s="44"/>
      <c r="AB159" s="44"/>
      <c r="AC159" s="44"/>
      <c r="AD159" s="44"/>
      <c r="AE159" s="44"/>
      <c r="AF159" s="44"/>
      <c r="AG159" s="102"/>
      <c r="AH159" s="44"/>
      <c r="AI159" s="44"/>
      <c r="AJ159" s="44"/>
      <c r="AK159" s="102"/>
      <c r="AL159" s="44"/>
      <c r="AM159" s="44"/>
      <c r="AN159" s="44"/>
    </row>
    <row r="160" spans="1:40">
      <c r="C160" s="44"/>
      <c r="D160" s="44"/>
      <c r="E160" s="44"/>
      <c r="F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T160" s="44"/>
      <c r="U160" s="44"/>
      <c r="V160" s="44"/>
      <c r="Y160" s="44"/>
      <c r="Z160" s="44"/>
      <c r="AA160" s="44"/>
      <c r="AB160" s="44"/>
      <c r="AC160" s="44"/>
      <c r="AD160" s="44"/>
      <c r="AE160" s="44"/>
      <c r="AF160" s="44"/>
      <c r="AG160" s="102"/>
      <c r="AH160" s="44"/>
      <c r="AI160" s="44"/>
      <c r="AJ160" s="44"/>
      <c r="AK160" s="102"/>
      <c r="AL160" s="44"/>
      <c r="AM160" s="44"/>
      <c r="AN160" s="44"/>
    </row>
    <row r="161" spans="1:40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107"/>
      <c r="AH161" s="49"/>
      <c r="AI161" s="49"/>
      <c r="AJ161" s="49"/>
      <c r="AK161" s="107"/>
      <c r="AL161" s="49"/>
      <c r="AM161" s="49"/>
      <c r="AN161" s="49"/>
    </row>
    <row r="162" spans="1:40"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Y162" s="44"/>
      <c r="Z162" s="44"/>
      <c r="AA162" s="44"/>
      <c r="AB162" s="44"/>
      <c r="AC162" s="44"/>
      <c r="AD162" s="44"/>
      <c r="AE162" s="44"/>
      <c r="AF162" s="44"/>
      <c r="AG162" s="102"/>
      <c r="AH162" s="44"/>
      <c r="AI162" s="44"/>
      <c r="AJ162" s="44"/>
      <c r="AK162" s="102"/>
      <c r="AL162" s="44"/>
      <c r="AM162" s="44"/>
      <c r="AN162" s="44"/>
    </row>
    <row r="163" spans="1:40">
      <c r="C163" s="42"/>
      <c r="D163" s="42"/>
      <c r="E163" s="42"/>
      <c r="T163" s="42"/>
      <c r="U163" s="42"/>
    </row>
    <row r="165" spans="1:40">
      <c r="C165" s="42"/>
      <c r="F165" s="164"/>
      <c r="H165" s="329"/>
      <c r="I165" s="329"/>
      <c r="J165" s="316"/>
      <c r="K165" s="316"/>
      <c r="L165" s="45"/>
      <c r="M165" s="45"/>
      <c r="R165" s="45"/>
      <c r="T165" s="42"/>
      <c r="V165" s="45"/>
      <c r="Z165" s="316"/>
      <c r="AA165" s="45"/>
      <c r="AB165" s="45"/>
      <c r="AE165" s="45"/>
      <c r="AF165" s="45"/>
      <c r="AG165" s="333"/>
      <c r="AH165" s="334"/>
      <c r="AI165" s="45"/>
      <c r="AJ165" s="45"/>
      <c r="AL165" s="45"/>
      <c r="AM165" s="335"/>
      <c r="AN165" s="335"/>
    </row>
    <row r="166" spans="1:40">
      <c r="F166" s="164"/>
      <c r="H166" s="329"/>
      <c r="I166" s="329"/>
      <c r="J166" s="329"/>
      <c r="K166" s="329"/>
      <c r="R166" s="45"/>
      <c r="V166" s="45"/>
      <c r="Z166" s="329"/>
    </row>
    <row r="167" spans="1:40">
      <c r="C167" s="42"/>
      <c r="F167" s="164"/>
      <c r="H167" s="164"/>
      <c r="I167" s="164"/>
      <c r="J167" s="331"/>
      <c r="K167" s="331"/>
      <c r="L167" s="45"/>
      <c r="M167" s="45"/>
      <c r="N167" s="46"/>
      <c r="O167" s="46"/>
      <c r="P167" s="164"/>
      <c r="Q167" s="164"/>
      <c r="R167" s="45"/>
      <c r="T167" s="42"/>
      <c r="V167" s="45"/>
      <c r="Y167" s="45"/>
      <c r="Z167" s="325"/>
      <c r="AA167" s="45"/>
      <c r="AB167" s="45"/>
      <c r="AC167" s="46"/>
      <c r="AD167" s="46"/>
      <c r="AE167" s="45"/>
      <c r="AF167" s="45"/>
      <c r="AH167" s="51"/>
      <c r="AI167" s="164"/>
      <c r="AJ167" s="164"/>
      <c r="AL167" s="45"/>
      <c r="AM167" s="46"/>
      <c r="AN167" s="46"/>
    </row>
    <row r="168" spans="1:40">
      <c r="F168" s="50"/>
      <c r="H168" s="50"/>
      <c r="I168" s="50"/>
      <c r="J168" s="326"/>
      <c r="K168" s="326"/>
      <c r="L168" s="50"/>
      <c r="M168" s="50"/>
      <c r="N168" s="50"/>
      <c r="O168" s="50"/>
      <c r="P168" s="50"/>
      <c r="Q168" s="50"/>
      <c r="R168" s="50"/>
      <c r="V168" s="50"/>
      <c r="Y168" s="50"/>
      <c r="Z168" s="326"/>
      <c r="AA168" s="50"/>
      <c r="AB168" s="50"/>
      <c r="AC168" s="50"/>
      <c r="AD168" s="50"/>
      <c r="AE168" s="50"/>
      <c r="AF168" s="50"/>
      <c r="AI168" s="50"/>
      <c r="AJ168" s="50"/>
      <c r="AK168" s="111"/>
      <c r="AL168" s="50"/>
    </row>
    <row r="169" spans="1:40">
      <c r="D169" s="42"/>
      <c r="E169" s="42"/>
      <c r="F169" s="45"/>
      <c r="H169" s="45"/>
      <c r="I169" s="45"/>
      <c r="J169" s="47"/>
      <c r="K169" s="47"/>
      <c r="L169" s="45"/>
      <c r="M169" s="45"/>
      <c r="N169" s="46"/>
      <c r="O169" s="46"/>
      <c r="P169" s="45"/>
      <c r="Q169" s="45"/>
      <c r="R169" s="45"/>
      <c r="U169" s="42"/>
      <c r="V169" s="45"/>
      <c r="Y169" s="45"/>
      <c r="Z169" s="47"/>
      <c r="AA169" s="45"/>
      <c r="AB169" s="45"/>
      <c r="AC169" s="46"/>
      <c r="AD169" s="46"/>
      <c r="AE169" s="45"/>
      <c r="AF169" s="45"/>
      <c r="AH169" s="51"/>
      <c r="AI169" s="45"/>
      <c r="AJ169" s="45"/>
      <c r="AL169" s="45"/>
      <c r="AM169" s="46"/>
      <c r="AN169" s="46"/>
    </row>
    <row r="170" spans="1:40">
      <c r="F170" s="50"/>
      <c r="H170" s="50"/>
      <c r="I170" s="50"/>
      <c r="J170" s="326"/>
      <c r="K170" s="326"/>
      <c r="L170" s="50"/>
      <c r="M170" s="50"/>
      <c r="N170" s="50"/>
      <c r="O170" s="50"/>
      <c r="P170" s="50"/>
      <c r="Q170" s="50"/>
      <c r="R170" s="50"/>
      <c r="V170" s="50"/>
      <c r="Y170" s="50"/>
      <c r="Z170" s="326"/>
      <c r="AA170" s="50"/>
      <c r="AB170" s="50"/>
      <c r="AC170" s="50"/>
      <c r="AD170" s="50"/>
      <c r="AE170" s="50"/>
      <c r="AF170" s="50"/>
      <c r="AI170" s="50"/>
      <c r="AJ170" s="50"/>
      <c r="AK170" s="111"/>
      <c r="AL170" s="50"/>
    </row>
    <row r="171" spans="1:40">
      <c r="R171" s="45"/>
    </row>
    <row r="172" spans="1:40">
      <c r="R172" s="45"/>
    </row>
    <row r="173" spans="1:40">
      <c r="R173" s="45"/>
    </row>
    <row r="174" spans="1:40">
      <c r="C174" s="42"/>
      <c r="D174" s="42"/>
      <c r="E174" s="42"/>
      <c r="H174" s="45"/>
      <c r="I174" s="45"/>
      <c r="J174" s="47"/>
      <c r="K174" s="47"/>
      <c r="L174" s="45"/>
      <c r="M174" s="45"/>
      <c r="N174" s="46"/>
      <c r="O174" s="46"/>
      <c r="P174" s="45"/>
      <c r="Q174" s="45"/>
      <c r="R174" s="45"/>
      <c r="T174" s="42"/>
      <c r="U174" s="42"/>
      <c r="Y174" s="45"/>
      <c r="Z174" s="47"/>
      <c r="AA174" s="45"/>
      <c r="AB174" s="45"/>
      <c r="AC174" s="46"/>
      <c r="AD174" s="46"/>
    </row>
    <row r="175" spans="1:40">
      <c r="H175" s="45"/>
      <c r="I175" s="45"/>
      <c r="J175" s="47"/>
      <c r="K175" s="47"/>
      <c r="L175" s="45"/>
      <c r="M175" s="45"/>
      <c r="N175" s="46"/>
      <c r="O175" s="46"/>
      <c r="P175" s="45"/>
      <c r="Q175" s="45"/>
      <c r="R175" s="45"/>
      <c r="Y175" s="45"/>
      <c r="Z175" s="47"/>
      <c r="AA175" s="45"/>
      <c r="AB175" s="45"/>
      <c r="AC175" s="46"/>
      <c r="AD175" s="46"/>
    </row>
    <row r="176" spans="1:40">
      <c r="C176" s="42"/>
      <c r="F176" s="164"/>
      <c r="H176" s="164"/>
      <c r="I176" s="164"/>
      <c r="J176" s="52"/>
      <c r="K176" s="52"/>
      <c r="L176" s="164"/>
      <c r="M176" s="164"/>
      <c r="N176" s="46"/>
      <c r="O176" s="46"/>
      <c r="P176" s="45"/>
      <c r="Q176" s="45"/>
      <c r="R176" s="45"/>
      <c r="T176" s="42"/>
      <c r="V176" s="45"/>
      <c r="Y176" s="45"/>
      <c r="Z176" s="52"/>
      <c r="AA176" s="45"/>
      <c r="AB176" s="45"/>
      <c r="AC176" s="46"/>
      <c r="AD176" s="46"/>
      <c r="AE176" s="45"/>
      <c r="AF176" s="45"/>
      <c r="AH176" s="51"/>
      <c r="AI176" s="45"/>
      <c r="AJ176" s="45"/>
      <c r="AL176" s="45"/>
      <c r="AM176" s="46"/>
      <c r="AN176" s="46"/>
    </row>
    <row r="177" spans="1:40">
      <c r="F177" s="164"/>
      <c r="H177" s="329"/>
      <c r="I177" s="329"/>
      <c r="J177" s="329"/>
      <c r="K177" s="329"/>
      <c r="R177" s="45"/>
      <c r="V177" s="45"/>
      <c r="Z177" s="329"/>
    </row>
    <row r="178" spans="1:40">
      <c r="C178" s="42"/>
      <c r="F178" s="164"/>
      <c r="H178" s="164"/>
      <c r="I178" s="164"/>
      <c r="J178" s="316"/>
      <c r="K178" s="316"/>
      <c r="L178" s="45"/>
      <c r="M178" s="45"/>
      <c r="N178" s="46"/>
      <c r="O178" s="46"/>
      <c r="P178" s="45"/>
      <c r="Q178" s="45"/>
      <c r="R178" s="45"/>
      <c r="T178" s="42"/>
      <c r="V178" s="45"/>
      <c r="Y178" s="45"/>
      <c r="Z178" s="316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1:40">
      <c r="F179" s="164"/>
      <c r="H179" s="329"/>
      <c r="I179" s="329"/>
      <c r="J179" s="329"/>
      <c r="K179" s="329"/>
      <c r="R179" s="45"/>
      <c r="V179" s="45"/>
      <c r="Z179" s="329"/>
    </row>
    <row r="180" spans="1:40">
      <c r="C180" s="42"/>
      <c r="F180" s="164"/>
      <c r="H180" s="164"/>
      <c r="I180" s="164"/>
      <c r="J180" s="331"/>
      <c r="K180" s="331"/>
      <c r="L180" s="45"/>
      <c r="M180" s="45"/>
      <c r="N180" s="46"/>
      <c r="O180" s="46"/>
      <c r="P180" s="45"/>
      <c r="Q180" s="45"/>
      <c r="R180" s="45"/>
      <c r="T180" s="42"/>
      <c r="V180" s="45"/>
      <c r="Y180" s="45"/>
      <c r="Z180" s="325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1:40">
      <c r="F181" s="50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S181" s="45"/>
      <c r="V181" s="50"/>
      <c r="Y181" s="50"/>
      <c r="Z181" s="326"/>
      <c r="AA181" s="50"/>
      <c r="AB181" s="50"/>
      <c r="AC181" s="50"/>
      <c r="AD181" s="50"/>
      <c r="AE181" s="50"/>
      <c r="AF181" s="50"/>
      <c r="AI181" s="50"/>
      <c r="AJ181" s="50"/>
      <c r="AK181" s="111"/>
      <c r="AL181" s="50"/>
    </row>
    <row r="182" spans="1:40">
      <c r="D182" s="42"/>
      <c r="E182" s="42"/>
      <c r="F182" s="45"/>
      <c r="H182" s="45"/>
      <c r="I182" s="45"/>
      <c r="J182" s="47"/>
      <c r="K182" s="47"/>
      <c r="L182" s="45"/>
      <c r="M182" s="45"/>
      <c r="N182" s="46"/>
      <c r="O182" s="46"/>
      <c r="P182" s="164"/>
      <c r="Q182" s="164"/>
      <c r="R182" s="45"/>
      <c r="S182" s="45"/>
      <c r="U182" s="42"/>
      <c r="V182" s="45"/>
      <c r="Y182" s="45"/>
      <c r="Z182" s="47"/>
      <c r="AA182" s="45"/>
      <c r="AB182" s="45"/>
      <c r="AC182" s="46"/>
      <c r="AD182" s="46"/>
      <c r="AE182" s="45"/>
      <c r="AF182" s="45"/>
      <c r="AH182" s="51"/>
      <c r="AI182" s="164"/>
      <c r="AJ182" s="164"/>
      <c r="AL182" s="45"/>
      <c r="AM182" s="46"/>
      <c r="AN182" s="46"/>
    </row>
    <row r="183" spans="1:40">
      <c r="F183" s="50"/>
      <c r="H183" s="50"/>
      <c r="I183" s="50"/>
      <c r="J183" s="326"/>
      <c r="K183" s="326"/>
      <c r="L183" s="50"/>
      <c r="M183" s="50"/>
      <c r="N183" s="50"/>
      <c r="O183" s="50"/>
      <c r="P183" s="50"/>
      <c r="Q183" s="50"/>
      <c r="R183" s="50"/>
      <c r="S183" s="45"/>
      <c r="V183" s="50"/>
      <c r="Y183" s="50"/>
      <c r="Z183" s="326"/>
      <c r="AA183" s="50"/>
      <c r="AB183" s="50"/>
      <c r="AC183" s="50"/>
      <c r="AD183" s="50"/>
      <c r="AE183" s="50"/>
      <c r="AF183" s="50"/>
      <c r="AI183" s="50"/>
      <c r="AJ183" s="50"/>
      <c r="AK183" s="111"/>
      <c r="AL183" s="50"/>
    </row>
    <row r="184" spans="1:40">
      <c r="R184" s="45"/>
    </row>
    <row r="185" spans="1:40">
      <c r="F185" s="45"/>
      <c r="H185" s="45"/>
      <c r="I185" s="45"/>
      <c r="J185" s="47"/>
      <c r="K185" s="47"/>
      <c r="L185" s="45"/>
      <c r="M185" s="45"/>
      <c r="N185" s="45"/>
      <c r="O185" s="45"/>
      <c r="P185" s="45"/>
      <c r="Q185" s="45"/>
      <c r="R185" s="45"/>
      <c r="V185" s="45"/>
      <c r="Y185" s="45"/>
      <c r="Z185" s="47"/>
      <c r="AA185" s="45"/>
      <c r="AB185" s="45"/>
      <c r="AC185" s="45"/>
      <c r="AD185" s="45"/>
    </row>
    <row r="186" spans="1:40">
      <c r="C186" s="42"/>
      <c r="F186" s="45"/>
      <c r="H186" s="45"/>
      <c r="I186" s="45"/>
      <c r="J186" s="47"/>
      <c r="K186" s="47"/>
      <c r="L186" s="45"/>
      <c r="M186" s="45"/>
      <c r="N186" s="45"/>
      <c r="O186" s="45"/>
      <c r="P186" s="45"/>
      <c r="Q186" s="45"/>
      <c r="R186" s="45"/>
      <c r="T186" s="42"/>
      <c r="V186" s="45"/>
      <c r="Y186" s="45"/>
      <c r="Z186" s="47"/>
      <c r="AA186" s="45"/>
      <c r="AB186" s="45"/>
      <c r="AC186" s="45"/>
      <c r="AD186" s="45"/>
    </row>
    <row r="187" spans="1:40">
      <c r="C187" s="42"/>
      <c r="T187" s="42"/>
    </row>
    <row r="188" spans="1:40">
      <c r="A188" s="42"/>
    </row>
    <row r="191" spans="1:40">
      <c r="H191" s="42"/>
      <c r="I191" s="42"/>
      <c r="Y191" s="42"/>
    </row>
    <row r="193" spans="1:40">
      <c r="L193" s="42"/>
      <c r="M193" s="42"/>
      <c r="AA193" s="42"/>
      <c r="AB193" s="42"/>
    </row>
    <row r="194" spans="1:40">
      <c r="R194" s="42"/>
      <c r="AK194" s="110"/>
      <c r="AL194" s="42"/>
    </row>
    <row r="195" spans="1:40">
      <c r="R195" s="42"/>
      <c r="AK195" s="110"/>
      <c r="AL195" s="42"/>
    </row>
    <row r="196" spans="1:40">
      <c r="A196" s="42"/>
      <c r="R196" s="42"/>
      <c r="AK196" s="110"/>
      <c r="AL196" s="42"/>
    </row>
    <row r="197" spans="1:40">
      <c r="L197" s="42"/>
      <c r="M197" s="42"/>
      <c r="AA197" s="42"/>
      <c r="AB197" s="42"/>
    </row>
    <row r="198" spans="1:40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107"/>
      <c r="AH198" s="49"/>
      <c r="AI198" s="49"/>
      <c r="AJ198" s="49"/>
      <c r="AK198" s="107"/>
      <c r="AL198" s="49"/>
      <c r="AM198" s="49"/>
      <c r="AN198" s="49"/>
    </row>
    <row r="199" spans="1:40">
      <c r="L199" s="44"/>
      <c r="M199" s="44"/>
      <c r="N199" s="44"/>
      <c r="O199" s="44"/>
      <c r="R199" s="44"/>
      <c r="AA199" s="44"/>
      <c r="AB199" s="44"/>
      <c r="AC199" s="44"/>
      <c r="AD199" s="44"/>
      <c r="AE199" s="44"/>
      <c r="AF199" s="44"/>
      <c r="AG199" s="102"/>
      <c r="AH199" s="44"/>
      <c r="AK199" s="102"/>
      <c r="AL199" s="44"/>
      <c r="AM199" s="44"/>
      <c r="AN199" s="44"/>
    </row>
    <row r="200" spans="1:40">
      <c r="L200" s="44"/>
      <c r="M200" s="44"/>
      <c r="N200" s="44"/>
      <c r="O200" s="44"/>
      <c r="R200" s="44"/>
      <c r="Z200" s="44"/>
      <c r="AA200" s="44"/>
      <c r="AB200" s="44"/>
      <c r="AC200" s="44"/>
      <c r="AD200" s="44"/>
      <c r="AE200" s="44"/>
      <c r="AF200" s="44"/>
      <c r="AG200" s="102"/>
      <c r="AH200" s="44"/>
      <c r="AK200" s="102"/>
      <c r="AL200" s="44"/>
      <c r="AM200" s="44"/>
      <c r="AN200" s="44"/>
    </row>
    <row r="201" spans="1:40">
      <c r="A201" s="44"/>
      <c r="C201" s="44"/>
      <c r="D201" s="44"/>
      <c r="E201" s="44"/>
      <c r="F201" s="44"/>
      <c r="J201" s="44"/>
      <c r="K201" s="44"/>
      <c r="L201" s="44"/>
      <c r="M201" s="44"/>
      <c r="N201" s="44"/>
      <c r="O201" s="44"/>
      <c r="P201" s="44"/>
      <c r="Q201" s="44"/>
      <c r="R201" s="44"/>
      <c r="T201" s="44"/>
      <c r="U201" s="44"/>
      <c r="V201" s="44"/>
      <c r="Z201" s="44"/>
      <c r="AA201" s="44"/>
      <c r="AB201" s="44"/>
      <c r="AC201" s="44"/>
      <c r="AD201" s="44"/>
      <c r="AE201" s="44"/>
      <c r="AF201" s="44"/>
      <c r="AG201" s="102"/>
      <c r="AH201" s="44"/>
      <c r="AI201" s="44"/>
      <c r="AJ201" s="44"/>
      <c r="AK201" s="102"/>
      <c r="AL201" s="44"/>
      <c r="AM201" s="44"/>
      <c r="AN201" s="44"/>
    </row>
    <row r="202" spans="1:40">
      <c r="A202" s="44"/>
      <c r="C202" s="44"/>
      <c r="D202" s="44"/>
      <c r="E202" s="44"/>
      <c r="F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T202" s="44"/>
      <c r="U202" s="44"/>
      <c r="V202" s="44"/>
      <c r="Y202" s="44"/>
      <c r="Z202" s="44"/>
      <c r="AA202" s="44"/>
      <c r="AB202" s="44"/>
      <c r="AC202" s="44"/>
      <c r="AD202" s="44"/>
      <c r="AE202" s="44"/>
      <c r="AF202" s="44"/>
      <c r="AG202" s="102"/>
      <c r="AH202" s="44"/>
      <c r="AI202" s="44"/>
      <c r="AJ202" s="44"/>
      <c r="AK202" s="102"/>
      <c r="AL202" s="44"/>
      <c r="AM202" s="44"/>
      <c r="AN202" s="44"/>
    </row>
    <row r="203" spans="1:40">
      <c r="C203" s="44"/>
      <c r="D203" s="44"/>
      <c r="E203" s="44"/>
      <c r="F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T203" s="44"/>
      <c r="U203" s="44"/>
      <c r="V203" s="44"/>
      <c r="Y203" s="44"/>
      <c r="Z203" s="44"/>
      <c r="AA203" s="44"/>
      <c r="AB203" s="44"/>
      <c r="AC203" s="44"/>
      <c r="AD203" s="44"/>
      <c r="AE203" s="44"/>
      <c r="AF203" s="44"/>
      <c r="AG203" s="102"/>
      <c r="AH203" s="44"/>
      <c r="AI203" s="44"/>
      <c r="AJ203" s="44"/>
      <c r="AK203" s="102"/>
      <c r="AL203" s="44"/>
      <c r="AM203" s="44"/>
      <c r="AN203" s="44"/>
    </row>
    <row r="204" spans="1:40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107"/>
      <c r="AH204" s="49"/>
      <c r="AI204" s="49"/>
      <c r="AJ204" s="49"/>
      <c r="AK204" s="107"/>
      <c r="AL204" s="49"/>
      <c r="AM204" s="49"/>
      <c r="AN204" s="49"/>
    </row>
    <row r="205" spans="1:40"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Y205" s="44"/>
      <c r="Z205" s="44"/>
      <c r="AA205" s="44"/>
      <c r="AB205" s="44"/>
      <c r="AC205" s="44"/>
      <c r="AD205" s="44"/>
      <c r="AE205" s="44"/>
      <c r="AF205" s="44"/>
      <c r="AG205" s="102"/>
      <c r="AH205" s="44"/>
      <c r="AI205" s="44"/>
      <c r="AJ205" s="44"/>
      <c r="AK205" s="102"/>
      <c r="AL205" s="44"/>
      <c r="AM205" s="44"/>
      <c r="AN205" s="44"/>
    </row>
    <row r="206" spans="1:40">
      <c r="C206" s="42"/>
      <c r="D206" s="42"/>
      <c r="E206" s="42"/>
      <c r="T206" s="42"/>
      <c r="U206" s="42"/>
    </row>
    <row r="207" spans="1:40">
      <c r="D207" s="42"/>
      <c r="E207" s="42"/>
      <c r="U207" s="42"/>
    </row>
    <row r="209" spans="3:40">
      <c r="C209" s="42"/>
      <c r="F209" s="45"/>
      <c r="J209" s="53"/>
      <c r="K209" s="53"/>
      <c r="L209" s="45"/>
      <c r="M209" s="45"/>
      <c r="R209" s="45"/>
      <c r="T209" s="42"/>
      <c r="V209" s="45"/>
      <c r="Z209" s="53"/>
      <c r="AA209" s="45"/>
      <c r="AB209" s="45"/>
      <c r="AL209" s="45"/>
    </row>
    <row r="210" spans="3:40">
      <c r="F210" s="45"/>
      <c r="R210" s="45"/>
      <c r="V210" s="45"/>
      <c r="AL210" s="45"/>
    </row>
    <row r="211" spans="3:40">
      <c r="C211" s="42"/>
      <c r="F211" s="164"/>
      <c r="H211" s="164"/>
      <c r="I211" s="164"/>
      <c r="J211" s="316"/>
      <c r="K211" s="316"/>
      <c r="L211" s="45"/>
      <c r="M211" s="45"/>
      <c r="N211" s="46"/>
      <c r="O211" s="46"/>
      <c r="P211" s="45"/>
      <c r="Q211" s="45"/>
      <c r="R211" s="45"/>
      <c r="T211" s="42"/>
      <c r="V211" s="45"/>
      <c r="Y211" s="45"/>
      <c r="Z211" s="316"/>
      <c r="AA211" s="45"/>
      <c r="AB211" s="45"/>
      <c r="AC211" s="46"/>
      <c r="AD211" s="46"/>
      <c r="AE211" s="45"/>
      <c r="AF211" s="45"/>
      <c r="AH211" s="51"/>
      <c r="AI211" s="45"/>
      <c r="AJ211" s="45"/>
      <c r="AL211" s="45"/>
      <c r="AM211" s="46"/>
      <c r="AN211" s="46"/>
    </row>
    <row r="212" spans="3:40">
      <c r="C212" s="42"/>
      <c r="F212" s="164"/>
      <c r="H212" s="329"/>
      <c r="I212" s="329"/>
      <c r="J212" s="316"/>
      <c r="K212" s="316"/>
      <c r="L212" s="45"/>
      <c r="M212" s="45"/>
      <c r="N212" s="46"/>
      <c r="O212" s="46"/>
      <c r="P212" s="45"/>
      <c r="Q212" s="45"/>
      <c r="R212" s="45"/>
      <c r="T212" s="42"/>
      <c r="V212" s="45"/>
      <c r="Y212" s="45"/>
      <c r="Z212" s="316"/>
      <c r="AA212" s="45"/>
      <c r="AB212" s="45"/>
      <c r="AC212" s="46"/>
      <c r="AD212" s="46"/>
      <c r="AE212" s="45"/>
      <c r="AF212" s="45"/>
      <c r="AH212" s="51"/>
      <c r="AI212" s="45"/>
      <c r="AJ212" s="45"/>
      <c r="AL212" s="45"/>
      <c r="AM212" s="46"/>
      <c r="AN212" s="46"/>
    </row>
    <row r="213" spans="3:40">
      <c r="F213" s="50"/>
      <c r="H213" s="45"/>
      <c r="I213" s="45"/>
      <c r="J213" s="326"/>
      <c r="K213" s="326"/>
      <c r="L213" s="50"/>
      <c r="M213" s="50"/>
      <c r="N213" s="50"/>
      <c r="O213" s="50"/>
      <c r="P213" s="50"/>
      <c r="Q213" s="50"/>
      <c r="R213" s="50"/>
      <c r="V213" s="50"/>
      <c r="Y213" s="45"/>
      <c r="Z213" s="326"/>
      <c r="AA213" s="50"/>
      <c r="AB213" s="50"/>
      <c r="AC213" s="50"/>
      <c r="AD213" s="50"/>
      <c r="AE213" s="50"/>
      <c r="AF213" s="50"/>
      <c r="AI213" s="50"/>
      <c r="AJ213" s="50"/>
      <c r="AK213" s="111"/>
      <c r="AL213" s="50"/>
    </row>
    <row r="214" spans="3:40">
      <c r="C214" s="42"/>
      <c r="F214" s="45"/>
      <c r="H214" s="45"/>
      <c r="I214" s="45"/>
      <c r="J214" s="47"/>
      <c r="K214" s="47"/>
      <c r="L214" s="45"/>
      <c r="M214" s="45"/>
      <c r="N214" s="46"/>
      <c r="O214" s="46"/>
      <c r="P214" s="45"/>
      <c r="Q214" s="45"/>
      <c r="R214" s="45"/>
      <c r="T214" s="42"/>
      <c r="V214" s="45"/>
      <c r="Y214" s="45"/>
      <c r="Z214" s="47"/>
      <c r="AA214" s="45"/>
      <c r="AB214" s="45"/>
      <c r="AC214" s="46"/>
      <c r="AD214" s="46"/>
      <c r="AE214" s="45"/>
      <c r="AF214" s="45"/>
      <c r="AH214" s="51"/>
      <c r="AI214" s="45"/>
      <c r="AJ214" s="45"/>
      <c r="AL214" s="45"/>
      <c r="AM214" s="46"/>
      <c r="AN214" s="46"/>
    </row>
    <row r="215" spans="3:40">
      <c r="F215" s="50"/>
      <c r="H215" s="45"/>
      <c r="I215" s="45"/>
      <c r="J215" s="326"/>
      <c r="K215" s="326"/>
      <c r="L215" s="50"/>
      <c r="M215" s="50"/>
      <c r="N215" s="50"/>
      <c r="O215" s="50"/>
      <c r="P215" s="50"/>
      <c r="Q215" s="50"/>
      <c r="R215" s="50"/>
      <c r="V215" s="50"/>
      <c r="Y215" s="45"/>
      <c r="Z215" s="326"/>
      <c r="AA215" s="50"/>
      <c r="AB215" s="50"/>
      <c r="AC215" s="50"/>
      <c r="AD215" s="50"/>
      <c r="AE215" s="50"/>
      <c r="AF215" s="50"/>
      <c r="AI215" s="50"/>
      <c r="AJ215" s="50"/>
      <c r="AK215" s="111"/>
      <c r="AL215" s="50"/>
    </row>
    <row r="216" spans="3:40">
      <c r="F216" s="45"/>
      <c r="R216" s="45"/>
      <c r="V216" s="45"/>
      <c r="AL216" s="45"/>
    </row>
    <row r="217" spans="3:40">
      <c r="C217" s="42"/>
      <c r="F217" s="45"/>
      <c r="R217" s="45"/>
      <c r="T217" s="42"/>
      <c r="V217" s="45"/>
      <c r="AL217" s="45"/>
    </row>
    <row r="218" spans="3:40">
      <c r="F218" s="45"/>
      <c r="R218" s="45"/>
      <c r="V218" s="45"/>
      <c r="AL218" s="45"/>
    </row>
    <row r="219" spans="3:40">
      <c r="C219" s="42"/>
      <c r="F219" s="45"/>
      <c r="H219" s="164"/>
      <c r="I219" s="164"/>
      <c r="J219" s="331"/>
      <c r="K219" s="331"/>
      <c r="L219" s="45"/>
      <c r="M219" s="45"/>
      <c r="N219" s="46"/>
      <c r="O219" s="46"/>
      <c r="P219" s="164"/>
      <c r="Q219" s="164"/>
      <c r="R219" s="45"/>
      <c r="T219" s="42"/>
      <c r="V219" s="45"/>
      <c r="Y219" s="45"/>
      <c r="Z219" s="325"/>
      <c r="AA219" s="45"/>
      <c r="AB219" s="45"/>
      <c r="AC219" s="46"/>
      <c r="AD219" s="46"/>
      <c r="AE219" s="45"/>
      <c r="AF219" s="45"/>
      <c r="AH219" s="51"/>
      <c r="AI219" s="164"/>
      <c r="AJ219" s="164"/>
      <c r="AL219" s="45"/>
      <c r="AM219" s="46"/>
      <c r="AN219" s="46"/>
    </row>
    <row r="220" spans="3:40">
      <c r="H220" s="50"/>
      <c r="I220" s="50"/>
      <c r="J220" s="326"/>
      <c r="K220" s="326"/>
      <c r="L220" s="50"/>
      <c r="M220" s="50"/>
      <c r="N220" s="50"/>
      <c r="O220" s="50"/>
      <c r="P220" s="50"/>
      <c r="Q220" s="50"/>
      <c r="R220" s="50"/>
      <c r="V220" s="50"/>
      <c r="Y220" s="50"/>
      <c r="Z220" s="326"/>
      <c r="AA220" s="50"/>
      <c r="AB220" s="50"/>
      <c r="AC220" s="50"/>
      <c r="AD220" s="50"/>
      <c r="AE220" s="50"/>
      <c r="AF220" s="50"/>
      <c r="AI220" s="50"/>
      <c r="AJ220" s="50"/>
      <c r="AK220" s="111"/>
      <c r="AL220" s="50"/>
    </row>
    <row r="221" spans="3:40">
      <c r="F221" s="50"/>
    </row>
    <row r="222" spans="3:40">
      <c r="C222" s="42"/>
      <c r="F222" s="45"/>
      <c r="H222" s="45"/>
      <c r="I222" s="45"/>
      <c r="J222" s="53"/>
      <c r="K222" s="53"/>
      <c r="L222" s="45"/>
      <c r="M222" s="45"/>
      <c r="N222" s="46"/>
      <c r="O222" s="46"/>
      <c r="P222" s="45"/>
      <c r="Q222" s="45"/>
      <c r="R222" s="45"/>
      <c r="T222" s="42"/>
      <c r="V222" s="45"/>
      <c r="Y222" s="45"/>
      <c r="Z222" s="53"/>
      <c r="AA222" s="45"/>
      <c r="AB222" s="45"/>
      <c r="AC222" s="46"/>
      <c r="AD222" s="46"/>
      <c r="AE222" s="45"/>
      <c r="AF222" s="45"/>
      <c r="AH222" s="51"/>
      <c r="AI222" s="45"/>
      <c r="AJ222" s="45"/>
      <c r="AL222" s="45"/>
      <c r="AM222" s="46"/>
      <c r="AN222" s="46"/>
    </row>
    <row r="223" spans="3:40">
      <c r="F223" s="50"/>
      <c r="H223" s="50"/>
      <c r="I223" s="50"/>
      <c r="J223" s="326"/>
      <c r="K223" s="326"/>
      <c r="L223" s="50"/>
      <c r="M223" s="50"/>
      <c r="N223" s="50"/>
      <c r="O223" s="50"/>
      <c r="P223" s="50"/>
      <c r="Q223" s="50"/>
      <c r="R223" s="50"/>
      <c r="V223" s="50"/>
      <c r="Y223" s="50"/>
      <c r="Z223" s="326"/>
      <c r="AA223" s="50"/>
      <c r="AB223" s="50"/>
      <c r="AC223" s="50"/>
      <c r="AD223" s="50"/>
      <c r="AE223" s="50"/>
      <c r="AF223" s="50"/>
      <c r="AI223" s="50"/>
      <c r="AJ223" s="50"/>
      <c r="AK223" s="111"/>
      <c r="AL223" s="50"/>
    </row>
    <row r="224" spans="3:40">
      <c r="R224" s="45"/>
      <c r="AH224" s="45"/>
    </row>
    <row r="225" spans="1:40">
      <c r="F225" s="45"/>
      <c r="H225" s="45"/>
      <c r="I225" s="45"/>
      <c r="J225" s="47"/>
      <c r="K225" s="47"/>
      <c r="L225" s="45"/>
      <c r="M225" s="45"/>
      <c r="N225" s="45"/>
      <c r="O225" s="45"/>
      <c r="P225" s="45"/>
      <c r="Q225" s="45"/>
      <c r="R225" s="45"/>
      <c r="V225" s="45"/>
      <c r="Y225" s="45"/>
      <c r="Z225" s="47"/>
      <c r="AA225" s="45"/>
      <c r="AB225" s="45"/>
      <c r="AC225" s="45"/>
      <c r="AD225" s="45"/>
      <c r="AE225" s="45"/>
      <c r="AF225" s="45"/>
      <c r="AH225" s="45"/>
    </row>
    <row r="226" spans="1:40">
      <c r="C226" s="42"/>
      <c r="F226" s="45"/>
      <c r="H226" s="45"/>
      <c r="I226" s="45"/>
      <c r="J226" s="47"/>
      <c r="K226" s="47"/>
      <c r="L226" s="45"/>
      <c r="M226" s="45"/>
      <c r="N226" s="45"/>
      <c r="O226" s="45"/>
      <c r="P226" s="45"/>
      <c r="Q226" s="45"/>
      <c r="R226" s="45"/>
      <c r="T226" s="42"/>
      <c r="V226" s="45"/>
      <c r="Y226" s="45"/>
      <c r="Z226" s="47"/>
      <c r="AA226" s="45"/>
      <c r="AB226" s="45"/>
      <c r="AC226" s="45"/>
      <c r="AD226" s="45"/>
      <c r="AE226" s="45"/>
      <c r="AF226" s="45"/>
      <c r="AH226" s="45"/>
    </row>
    <row r="227" spans="1:40">
      <c r="A227" s="42"/>
    </row>
    <row r="230" spans="1:40">
      <c r="H230" s="42"/>
      <c r="I230" s="42"/>
      <c r="Y230" s="42"/>
    </row>
    <row r="232" spans="1:40">
      <c r="L232" s="42"/>
      <c r="M232" s="42"/>
      <c r="AA232" s="42"/>
      <c r="AB232" s="42"/>
    </row>
    <row r="233" spans="1:40">
      <c r="R233" s="42"/>
      <c r="AK233" s="110"/>
      <c r="AL233" s="42"/>
    </row>
    <row r="234" spans="1:40">
      <c r="R234" s="42"/>
      <c r="AK234" s="110"/>
      <c r="AL234" s="42"/>
    </row>
    <row r="235" spans="1:40">
      <c r="A235" s="42"/>
      <c r="R235" s="42"/>
      <c r="AK235" s="110"/>
      <c r="AL235" s="42"/>
    </row>
    <row r="236" spans="1:40">
      <c r="L236" s="42"/>
      <c r="M236" s="42"/>
      <c r="AA236" s="42"/>
      <c r="AB236" s="42"/>
    </row>
    <row r="237" spans="1:40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107"/>
      <c r="AH237" s="49"/>
      <c r="AI237" s="49"/>
      <c r="AJ237" s="49"/>
      <c r="AK237" s="107"/>
      <c r="AL237" s="49"/>
      <c r="AM237" s="49"/>
      <c r="AN237" s="49"/>
    </row>
    <row r="238" spans="1:40">
      <c r="L238" s="44"/>
      <c r="M238" s="44"/>
      <c r="N238" s="44"/>
      <c r="O238" s="44"/>
      <c r="R238" s="44"/>
      <c r="AA238" s="44"/>
      <c r="AB238" s="44"/>
      <c r="AC238" s="44"/>
      <c r="AD238" s="44"/>
      <c r="AE238" s="44"/>
      <c r="AF238" s="44"/>
      <c r="AG238" s="102"/>
      <c r="AH238" s="44"/>
      <c r="AK238" s="102"/>
      <c r="AL238" s="44"/>
      <c r="AM238" s="44"/>
      <c r="AN238" s="44"/>
    </row>
    <row r="239" spans="1:40">
      <c r="L239" s="44"/>
      <c r="M239" s="44"/>
      <c r="N239" s="44"/>
      <c r="O239" s="44"/>
      <c r="R239" s="44"/>
      <c r="Z239" s="44"/>
      <c r="AA239" s="44"/>
      <c r="AB239" s="44"/>
      <c r="AC239" s="44"/>
      <c r="AD239" s="44"/>
      <c r="AE239" s="44"/>
      <c r="AF239" s="44"/>
      <c r="AG239" s="102"/>
      <c r="AH239" s="44"/>
      <c r="AK239" s="102"/>
      <c r="AL239" s="44"/>
      <c r="AM239" s="44"/>
      <c r="AN239" s="44"/>
    </row>
    <row r="240" spans="1:40">
      <c r="A240" s="44"/>
      <c r="C240" s="44"/>
      <c r="D240" s="44"/>
      <c r="E240" s="44"/>
      <c r="F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Z240" s="44"/>
      <c r="AA240" s="44"/>
      <c r="AB240" s="44"/>
      <c r="AC240" s="44"/>
      <c r="AD240" s="44"/>
      <c r="AE240" s="44"/>
      <c r="AF240" s="44"/>
      <c r="AG240" s="102"/>
      <c r="AH240" s="44"/>
      <c r="AI240" s="44"/>
      <c r="AJ240" s="44"/>
      <c r="AK240" s="102"/>
      <c r="AL240" s="44"/>
      <c r="AM240" s="44"/>
      <c r="AN240" s="44"/>
    </row>
    <row r="241" spans="1:40">
      <c r="A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1:40"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T242" s="44"/>
      <c r="U242" s="44"/>
      <c r="V242" s="44"/>
      <c r="Y242" s="44"/>
      <c r="Z242" s="44"/>
      <c r="AA242" s="44"/>
      <c r="AB242" s="44"/>
      <c r="AC242" s="44"/>
      <c r="AD242" s="44"/>
      <c r="AE242" s="44"/>
      <c r="AF242" s="44"/>
      <c r="AG242" s="102"/>
      <c r="AH242" s="44"/>
      <c r="AI242" s="44"/>
      <c r="AJ242" s="44"/>
      <c r="AK242" s="102"/>
      <c r="AL242" s="44"/>
      <c r="AM242" s="44"/>
      <c r="AN242" s="44"/>
    </row>
    <row r="243" spans="1:40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107"/>
      <c r="AH243" s="49"/>
      <c r="AI243" s="49"/>
      <c r="AJ243" s="49"/>
      <c r="AK243" s="107"/>
      <c r="AL243" s="49"/>
      <c r="AM243" s="49"/>
      <c r="AN243" s="49"/>
    </row>
    <row r="244" spans="1:40"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Y244" s="44"/>
      <c r="Z244" s="44"/>
      <c r="AA244" s="44"/>
      <c r="AB244" s="44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</row>
    <row r="245" spans="1:40">
      <c r="C245" s="42"/>
      <c r="D245" s="42"/>
      <c r="E245" s="42"/>
      <c r="T245" s="42"/>
      <c r="U245" s="42"/>
    </row>
    <row r="246" spans="1:40">
      <c r="C246" s="42"/>
      <c r="T246" s="42"/>
    </row>
    <row r="248" spans="1:40">
      <c r="C248" s="42"/>
      <c r="F248" s="164"/>
      <c r="H248" s="164"/>
      <c r="I248" s="164"/>
      <c r="J248" s="316"/>
      <c r="K248" s="316"/>
      <c r="L248" s="45"/>
      <c r="M248" s="45"/>
      <c r="N248" s="46"/>
      <c r="O248" s="46"/>
      <c r="R248" s="45"/>
      <c r="T248" s="42"/>
      <c r="V248" s="45"/>
      <c r="Y248" s="164"/>
      <c r="Z248" s="316"/>
      <c r="AA248" s="45"/>
      <c r="AB248" s="45"/>
      <c r="AC248" s="46"/>
      <c r="AD248" s="46"/>
      <c r="AE248" s="45"/>
      <c r="AF248" s="45"/>
      <c r="AH248" s="51"/>
      <c r="AL248" s="45"/>
      <c r="AM248" s="46"/>
      <c r="AN248" s="46"/>
    </row>
    <row r="249" spans="1:40">
      <c r="F249" s="50"/>
      <c r="H249" s="45"/>
      <c r="I249" s="45"/>
      <c r="J249" s="326"/>
      <c r="K249" s="326"/>
      <c r="L249" s="50"/>
      <c r="M249" s="50"/>
      <c r="N249" s="50"/>
      <c r="O249" s="50"/>
      <c r="P249" s="50"/>
      <c r="Q249" s="50"/>
      <c r="R249" s="50"/>
      <c r="V249" s="50"/>
      <c r="Y249" s="45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  <c r="AM249" s="46"/>
      <c r="AN249" s="46"/>
    </row>
    <row r="250" spans="1:40">
      <c r="C250" s="42"/>
      <c r="F250" s="164"/>
      <c r="H250" s="164"/>
      <c r="I250" s="164"/>
      <c r="J250" s="336"/>
      <c r="K250" s="336"/>
      <c r="L250" s="45"/>
      <c r="M250" s="45"/>
      <c r="N250" s="46"/>
      <c r="O250" s="46"/>
      <c r="P250" s="45"/>
      <c r="Q250" s="45"/>
      <c r="R250" s="45"/>
      <c r="S250" s="45"/>
      <c r="T250" s="42"/>
      <c r="V250" s="164"/>
      <c r="Y250" s="164"/>
      <c r="Z250" s="336"/>
      <c r="AA250" s="45"/>
      <c r="AB250" s="45"/>
      <c r="AC250" s="46"/>
      <c r="AD250" s="46"/>
      <c r="AE250" s="45"/>
      <c r="AF250" s="45"/>
      <c r="AH250" s="46"/>
      <c r="AI250" s="45"/>
      <c r="AJ250" s="45"/>
      <c r="AL250" s="45"/>
      <c r="AM250" s="46"/>
      <c r="AN250" s="46"/>
    </row>
    <row r="251" spans="1:40">
      <c r="C251" s="42"/>
      <c r="F251" s="164"/>
      <c r="H251" s="164"/>
      <c r="I251" s="164"/>
      <c r="J251" s="316"/>
      <c r="K251" s="316"/>
      <c r="L251" s="45"/>
      <c r="M251" s="45"/>
      <c r="N251" s="46"/>
      <c r="O251" s="46"/>
      <c r="P251" s="45"/>
      <c r="Q251" s="45"/>
      <c r="R251" s="45"/>
      <c r="T251" s="42"/>
      <c r="V251" s="164"/>
      <c r="Y251" s="45"/>
      <c r="Z251" s="316"/>
      <c r="AA251" s="45"/>
      <c r="AB251" s="45"/>
      <c r="AC251" s="46"/>
      <c r="AD251" s="46"/>
      <c r="AE251" s="45"/>
      <c r="AF251" s="45"/>
      <c r="AH251" s="51"/>
      <c r="AI251" s="45"/>
      <c r="AJ251" s="45"/>
      <c r="AL251" s="45"/>
      <c r="AM251" s="46"/>
      <c r="AN251" s="46"/>
    </row>
    <row r="252" spans="1:40">
      <c r="C252" s="42"/>
      <c r="F252" s="164"/>
      <c r="H252" s="164"/>
      <c r="I252" s="164"/>
      <c r="J252" s="316"/>
      <c r="K252" s="316"/>
      <c r="L252" s="45"/>
      <c r="M252" s="45"/>
      <c r="N252" s="46"/>
      <c r="O252" s="46"/>
      <c r="P252" s="45"/>
      <c r="Q252" s="45"/>
      <c r="R252" s="45"/>
      <c r="T252" s="42"/>
      <c r="V252" s="164"/>
      <c r="Y252" s="45"/>
      <c r="Z252" s="316"/>
      <c r="AA252" s="45"/>
      <c r="AB252" s="45"/>
      <c r="AC252" s="46"/>
      <c r="AD252" s="46"/>
      <c r="AE252" s="45"/>
      <c r="AF252" s="45"/>
      <c r="AH252" s="51"/>
      <c r="AI252" s="45"/>
      <c r="AJ252" s="45"/>
      <c r="AL252" s="45"/>
      <c r="AM252" s="46"/>
      <c r="AN252" s="46"/>
    </row>
    <row r="253" spans="1:40">
      <c r="F253" s="50"/>
      <c r="H253" s="50"/>
      <c r="I253" s="50"/>
      <c r="J253" s="326"/>
      <c r="K253" s="326"/>
      <c r="L253" s="50"/>
      <c r="M253" s="50"/>
      <c r="N253" s="50"/>
      <c r="O253" s="50"/>
      <c r="P253" s="50"/>
      <c r="Q253" s="50"/>
      <c r="R253" s="50"/>
      <c r="V253" s="50"/>
      <c r="Y253" s="50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  <c r="AM253" s="46"/>
      <c r="AN253" s="46"/>
    </row>
    <row r="254" spans="1:40">
      <c r="C254" s="42"/>
      <c r="F254" s="45"/>
      <c r="H254" s="45"/>
      <c r="I254" s="45"/>
      <c r="J254" s="47"/>
      <c r="K254" s="47"/>
      <c r="L254" s="45"/>
      <c r="M254" s="45"/>
      <c r="N254" s="46"/>
      <c r="O254" s="46"/>
      <c r="P254" s="45"/>
      <c r="Q254" s="45"/>
      <c r="R254" s="45"/>
      <c r="T254" s="42"/>
      <c r="V254" s="45"/>
      <c r="Y254" s="45"/>
      <c r="Z254" s="47"/>
      <c r="AA254" s="45"/>
      <c r="AB254" s="45"/>
      <c r="AC254" s="46"/>
      <c r="AD254" s="46"/>
      <c r="AE254" s="45"/>
      <c r="AF254" s="45"/>
      <c r="AH254" s="51"/>
      <c r="AI254" s="45"/>
      <c r="AJ254" s="45"/>
      <c r="AL254" s="45"/>
      <c r="AM254" s="46"/>
      <c r="AN254" s="46"/>
    </row>
    <row r="255" spans="1:40">
      <c r="F255" s="50"/>
      <c r="H255" s="50"/>
      <c r="I255" s="50"/>
      <c r="J255" s="326"/>
      <c r="K255" s="326"/>
      <c r="L255" s="50"/>
      <c r="M255" s="50"/>
      <c r="N255" s="50"/>
      <c r="O255" s="50"/>
      <c r="P255" s="50"/>
      <c r="Q255" s="50"/>
      <c r="R255" s="50"/>
      <c r="V255" s="50"/>
      <c r="Y255" s="50"/>
      <c r="Z255" s="326"/>
      <c r="AA255" s="50"/>
      <c r="AB255" s="50"/>
      <c r="AC255" s="50"/>
      <c r="AD255" s="50"/>
      <c r="AE255" s="50"/>
      <c r="AF255" s="50"/>
      <c r="AI255" s="50"/>
      <c r="AJ255" s="50"/>
      <c r="AK255" s="111"/>
      <c r="AL255" s="50"/>
      <c r="AM255" s="46"/>
      <c r="AN255" s="46"/>
    </row>
    <row r="256" spans="1:40">
      <c r="C256" s="42"/>
      <c r="F256" s="45"/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T256" s="42"/>
      <c r="V256" s="45"/>
      <c r="Y256" s="45"/>
      <c r="Z256" s="47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3:40">
      <c r="C257" s="42"/>
      <c r="F257" s="45"/>
      <c r="H257" s="164"/>
      <c r="I257" s="164"/>
      <c r="J257" s="331"/>
      <c r="K257" s="331"/>
      <c r="L257" s="45"/>
      <c r="M257" s="45"/>
      <c r="N257" s="46"/>
      <c r="O257" s="46"/>
      <c r="P257" s="45"/>
      <c r="Q257" s="45"/>
      <c r="R257" s="45"/>
      <c r="T257" s="42"/>
      <c r="V257" s="45"/>
      <c r="Y257" s="45"/>
      <c r="Z257" s="325"/>
      <c r="AA257" s="45"/>
      <c r="AB257" s="45"/>
      <c r="AC257" s="46"/>
      <c r="AD257" s="46"/>
      <c r="AE257" s="45"/>
      <c r="AF257" s="45"/>
      <c r="AH257" s="51"/>
      <c r="AI257" s="45"/>
      <c r="AJ257" s="45"/>
      <c r="AL257" s="45"/>
      <c r="AM257" s="46"/>
      <c r="AN257" s="46"/>
    </row>
    <row r="258" spans="3:40">
      <c r="H258" s="50"/>
      <c r="I258" s="50"/>
      <c r="J258" s="326"/>
      <c r="K258" s="326"/>
      <c r="L258" s="50"/>
      <c r="M258" s="50"/>
      <c r="N258" s="50"/>
      <c r="O258" s="50"/>
      <c r="P258" s="50"/>
      <c r="Q258" s="50"/>
      <c r="R258" s="50"/>
      <c r="V258" s="50"/>
      <c r="Y258" s="50"/>
      <c r="Z258" s="326"/>
      <c r="AA258" s="50"/>
      <c r="AB258" s="50"/>
      <c r="AC258" s="50"/>
      <c r="AD258" s="50"/>
      <c r="AE258" s="50"/>
      <c r="AF258" s="50"/>
      <c r="AI258" s="50"/>
      <c r="AJ258" s="50"/>
      <c r="AK258" s="111"/>
      <c r="AL258" s="50"/>
      <c r="AM258" s="46"/>
      <c r="AN258" s="46"/>
    </row>
    <row r="259" spans="3:40">
      <c r="F259" s="50"/>
    </row>
    <row r="260" spans="3:40">
      <c r="C260" s="42"/>
      <c r="F260" s="45"/>
      <c r="H260" s="45"/>
      <c r="I260" s="45"/>
      <c r="J260" s="326"/>
      <c r="K260" s="326"/>
      <c r="L260" s="45"/>
      <c r="M260" s="45"/>
      <c r="N260" s="46"/>
      <c r="O260" s="46"/>
      <c r="P260" s="45"/>
      <c r="Q260" s="45"/>
      <c r="R260" s="45"/>
      <c r="S260" s="45"/>
      <c r="T260" s="42"/>
      <c r="V260" s="45"/>
      <c r="Y260" s="45"/>
      <c r="Z260" s="326"/>
      <c r="AA260" s="45"/>
      <c r="AB260" s="45"/>
      <c r="AC260" s="46"/>
      <c r="AD260" s="46"/>
      <c r="AE260" s="45"/>
      <c r="AF260" s="45"/>
      <c r="AH260" s="46"/>
      <c r="AI260" s="45"/>
      <c r="AJ260" s="45"/>
      <c r="AL260" s="45"/>
      <c r="AM260" s="46"/>
      <c r="AN260" s="46"/>
    </row>
    <row r="261" spans="3:40">
      <c r="F261" s="50"/>
      <c r="H261" s="50"/>
      <c r="I261" s="50"/>
      <c r="J261" s="326"/>
      <c r="K261" s="326"/>
      <c r="L261" s="50"/>
      <c r="M261" s="50"/>
      <c r="N261" s="50"/>
      <c r="O261" s="50"/>
      <c r="P261" s="50"/>
      <c r="Q261" s="50"/>
      <c r="R261" s="50"/>
      <c r="S261" s="45"/>
      <c r="V261" s="50"/>
      <c r="Y261" s="50"/>
      <c r="Z261" s="326"/>
      <c r="AA261" s="50"/>
      <c r="AB261" s="50"/>
      <c r="AC261" s="50"/>
      <c r="AD261" s="50"/>
      <c r="AE261" s="50"/>
      <c r="AF261" s="50"/>
      <c r="AI261" s="50"/>
      <c r="AJ261" s="50"/>
      <c r="AK261" s="111"/>
      <c r="AL261" s="50"/>
      <c r="AM261" s="46"/>
      <c r="AN261" s="46"/>
    </row>
    <row r="262" spans="3:40">
      <c r="C262" s="42"/>
      <c r="H262" s="164"/>
      <c r="I262" s="164"/>
      <c r="J262" s="326"/>
      <c r="K262" s="326"/>
      <c r="L262" s="45"/>
      <c r="M262" s="45"/>
      <c r="N262" s="46"/>
      <c r="O262" s="46"/>
      <c r="P262" s="45"/>
      <c r="Q262" s="45"/>
      <c r="R262" s="45"/>
      <c r="S262" s="45"/>
      <c r="T262" s="42"/>
      <c r="V262" s="164"/>
      <c r="Y262" s="164"/>
      <c r="Z262" s="326"/>
      <c r="AA262" s="45"/>
      <c r="AB262" s="45"/>
      <c r="AC262" s="46"/>
      <c r="AD262" s="46"/>
      <c r="AE262" s="45"/>
      <c r="AF262" s="45"/>
      <c r="AI262" s="45"/>
      <c r="AJ262" s="45"/>
      <c r="AL262" s="45"/>
      <c r="AM262" s="46"/>
      <c r="AN262" s="46"/>
    </row>
    <row r="263" spans="3:40">
      <c r="F263" s="164"/>
    </row>
    <row r="264" spans="3:40">
      <c r="C264" s="42"/>
      <c r="F264" s="164"/>
      <c r="H264" s="164"/>
      <c r="I264" s="164"/>
      <c r="J264" s="316"/>
      <c r="K264" s="316"/>
      <c r="L264" s="45"/>
      <c r="M264" s="45"/>
      <c r="N264" s="46"/>
      <c r="O264" s="46"/>
      <c r="R264" s="45"/>
      <c r="T264" s="42"/>
      <c r="V264" s="45"/>
      <c r="Y264" s="164"/>
      <c r="Z264" s="316"/>
      <c r="AA264" s="45"/>
      <c r="AB264" s="45"/>
      <c r="AC264" s="46"/>
      <c r="AD264" s="46"/>
      <c r="AE264" s="45"/>
      <c r="AF264" s="45"/>
      <c r="AH264" s="51"/>
      <c r="AL264" s="45"/>
      <c r="AM264" s="46"/>
      <c r="AN264" s="46"/>
    </row>
    <row r="265" spans="3:40">
      <c r="F265" s="50"/>
      <c r="H265" s="45"/>
      <c r="I265" s="45"/>
      <c r="J265" s="326"/>
      <c r="K265" s="326"/>
      <c r="L265" s="50"/>
      <c r="M265" s="50"/>
      <c r="N265" s="50"/>
      <c r="O265" s="50"/>
      <c r="P265" s="50"/>
      <c r="Q265" s="50"/>
      <c r="R265" s="50"/>
      <c r="V265" s="50"/>
      <c r="Y265" s="45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  <c r="AM265" s="46"/>
      <c r="AN265" s="46"/>
    </row>
    <row r="266" spans="3:40">
      <c r="C266" s="42"/>
      <c r="F266" s="164"/>
      <c r="H266" s="164"/>
      <c r="I266" s="164"/>
      <c r="J266" s="336"/>
      <c r="K266" s="336"/>
      <c r="L266" s="45"/>
      <c r="M266" s="45"/>
      <c r="N266" s="46"/>
      <c r="O266" s="46"/>
      <c r="P266" s="45"/>
      <c r="Q266" s="45"/>
      <c r="R266" s="45"/>
      <c r="S266" s="45"/>
      <c r="T266" s="42"/>
      <c r="V266" s="164"/>
      <c r="Y266" s="164"/>
      <c r="Z266" s="336"/>
      <c r="AA266" s="45"/>
      <c r="AB266" s="45"/>
      <c r="AC266" s="46"/>
      <c r="AD266" s="46"/>
      <c r="AE266" s="45"/>
      <c r="AF266" s="45"/>
      <c r="AH266" s="46"/>
      <c r="AI266" s="45"/>
      <c r="AJ266" s="45"/>
      <c r="AL266" s="45"/>
      <c r="AM266" s="46"/>
      <c r="AN266" s="46"/>
    </row>
    <row r="267" spans="3:40">
      <c r="C267" s="42"/>
      <c r="F267" s="164"/>
      <c r="H267" s="164"/>
      <c r="I267" s="164"/>
      <c r="J267" s="316"/>
      <c r="K267" s="316"/>
      <c r="L267" s="45"/>
      <c r="M267" s="45"/>
      <c r="N267" s="46"/>
      <c r="O267" s="46"/>
      <c r="P267" s="45"/>
      <c r="Q267" s="45"/>
      <c r="R267" s="45"/>
      <c r="T267" s="42"/>
      <c r="V267" s="164"/>
      <c r="Y267" s="45"/>
      <c r="Z267" s="316"/>
      <c r="AA267" s="45"/>
      <c r="AB267" s="45"/>
      <c r="AC267" s="46"/>
      <c r="AD267" s="46"/>
      <c r="AE267" s="45"/>
      <c r="AF267" s="45"/>
      <c r="AH267" s="51"/>
      <c r="AI267" s="45"/>
      <c r="AJ267" s="45"/>
      <c r="AL267" s="45"/>
      <c r="AM267" s="46"/>
      <c r="AN267" s="46"/>
    </row>
    <row r="268" spans="3:40">
      <c r="C268" s="42"/>
      <c r="F268" s="164"/>
      <c r="H268" s="164"/>
      <c r="I268" s="164"/>
      <c r="J268" s="316"/>
      <c r="K268" s="316"/>
      <c r="L268" s="45"/>
      <c r="M268" s="45"/>
      <c r="N268" s="46"/>
      <c r="O268" s="46"/>
      <c r="P268" s="45"/>
      <c r="Q268" s="45"/>
      <c r="R268" s="45"/>
      <c r="T268" s="42"/>
      <c r="V268" s="164"/>
      <c r="Y268" s="45"/>
      <c r="Z268" s="316"/>
      <c r="AA268" s="45"/>
      <c r="AB268" s="45"/>
      <c r="AC268" s="46"/>
      <c r="AD268" s="46"/>
      <c r="AE268" s="45"/>
      <c r="AF268" s="45"/>
      <c r="AH268" s="51"/>
      <c r="AI268" s="45"/>
      <c r="AJ268" s="45"/>
      <c r="AL268" s="45"/>
      <c r="AM268" s="46"/>
      <c r="AN268" s="46"/>
    </row>
    <row r="269" spans="3:40">
      <c r="F269" s="50"/>
      <c r="H269" s="50"/>
      <c r="I269" s="50"/>
      <c r="J269" s="326"/>
      <c r="K269" s="326"/>
      <c r="L269" s="50"/>
      <c r="M269" s="50"/>
      <c r="N269" s="50"/>
      <c r="O269" s="50"/>
      <c r="P269" s="50"/>
      <c r="Q269" s="50"/>
      <c r="R269" s="50"/>
      <c r="V269" s="50"/>
      <c r="Y269" s="50"/>
      <c r="Z269" s="326"/>
      <c r="AA269" s="50"/>
      <c r="AB269" s="50"/>
      <c r="AC269" s="50"/>
      <c r="AD269" s="50"/>
      <c r="AE269" s="50"/>
      <c r="AF269" s="50"/>
      <c r="AI269" s="50"/>
      <c r="AJ269" s="50"/>
      <c r="AK269" s="111"/>
      <c r="AL269" s="50"/>
      <c r="AM269" s="46"/>
      <c r="AN269" s="46"/>
    </row>
    <row r="270" spans="3:40">
      <c r="C270" s="42"/>
      <c r="F270" s="45"/>
      <c r="H270" s="45"/>
      <c r="I270" s="45"/>
      <c r="J270" s="47"/>
      <c r="K270" s="47"/>
      <c r="L270" s="45"/>
      <c r="M270" s="45"/>
      <c r="N270" s="46"/>
      <c r="O270" s="46"/>
      <c r="P270" s="45"/>
      <c r="Q270" s="45"/>
      <c r="R270" s="45"/>
      <c r="T270" s="42"/>
      <c r="V270" s="45"/>
      <c r="Y270" s="45"/>
      <c r="Z270" s="47"/>
      <c r="AA270" s="45"/>
      <c r="AB270" s="45"/>
      <c r="AC270" s="46"/>
      <c r="AD270" s="46"/>
      <c r="AE270" s="45"/>
      <c r="AF270" s="45"/>
      <c r="AH270" s="51"/>
      <c r="AI270" s="45"/>
      <c r="AJ270" s="45"/>
      <c r="AL270" s="45"/>
      <c r="AM270" s="46"/>
      <c r="AN270" s="46"/>
    </row>
    <row r="271" spans="3:40">
      <c r="F271" s="50"/>
      <c r="H271" s="50"/>
      <c r="I271" s="50"/>
      <c r="J271" s="326"/>
      <c r="K271" s="326"/>
      <c r="L271" s="50"/>
      <c r="M271" s="50"/>
      <c r="N271" s="50"/>
      <c r="O271" s="50"/>
      <c r="P271" s="50"/>
      <c r="Q271" s="50"/>
      <c r="R271" s="50"/>
      <c r="V271" s="50"/>
      <c r="Y271" s="50"/>
      <c r="Z271" s="326"/>
      <c r="AA271" s="50"/>
      <c r="AB271" s="50"/>
      <c r="AC271" s="50"/>
      <c r="AD271" s="50"/>
      <c r="AE271" s="50"/>
      <c r="AF271" s="50"/>
      <c r="AI271" s="50"/>
      <c r="AJ271" s="50"/>
      <c r="AK271" s="111"/>
      <c r="AL271" s="50"/>
      <c r="AM271" s="46"/>
      <c r="AN271" s="46"/>
    </row>
    <row r="272" spans="3:40">
      <c r="C272" s="42"/>
      <c r="F272" s="45"/>
      <c r="H272" s="45"/>
      <c r="I272" s="45"/>
      <c r="J272" s="47"/>
      <c r="K272" s="47"/>
      <c r="L272" s="45"/>
      <c r="M272" s="45"/>
      <c r="N272" s="46"/>
      <c r="O272" s="46"/>
      <c r="P272" s="45"/>
      <c r="Q272" s="45"/>
      <c r="R272" s="45"/>
      <c r="T272" s="42"/>
      <c r="V272" s="45"/>
      <c r="Y272" s="45"/>
      <c r="Z272" s="47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>
      <c r="C273" s="42"/>
      <c r="F273" s="45"/>
      <c r="H273" s="164"/>
      <c r="I273" s="164"/>
      <c r="J273" s="331"/>
      <c r="K273" s="331"/>
      <c r="L273" s="45"/>
      <c r="M273" s="45"/>
      <c r="N273" s="46"/>
      <c r="O273" s="46"/>
      <c r="P273" s="45"/>
      <c r="Q273" s="45"/>
      <c r="R273" s="45"/>
      <c r="T273" s="42"/>
      <c r="V273" s="45"/>
      <c r="Y273" s="45"/>
      <c r="Z273" s="325"/>
      <c r="AA273" s="45"/>
      <c r="AB273" s="45"/>
      <c r="AC273" s="46"/>
      <c r="AD273" s="46"/>
      <c r="AE273" s="45"/>
      <c r="AF273" s="45"/>
      <c r="AH273" s="51"/>
      <c r="AI273" s="45"/>
      <c r="AJ273" s="45"/>
      <c r="AL273" s="45"/>
      <c r="AM273" s="46"/>
      <c r="AN273" s="46"/>
    </row>
    <row r="274" spans="1:40">
      <c r="H274" s="50"/>
      <c r="I274" s="50"/>
      <c r="J274" s="326"/>
      <c r="K274" s="326"/>
      <c r="L274" s="50"/>
      <c r="M274" s="50"/>
      <c r="N274" s="50"/>
      <c r="O274" s="50"/>
      <c r="P274" s="50"/>
      <c r="Q274" s="50"/>
      <c r="R274" s="50"/>
      <c r="V274" s="50"/>
      <c r="Y274" s="50"/>
      <c r="Z274" s="326"/>
      <c r="AA274" s="50"/>
      <c r="AB274" s="50"/>
      <c r="AC274" s="50"/>
      <c r="AD274" s="50"/>
      <c r="AE274" s="50"/>
      <c r="AF274" s="50"/>
      <c r="AI274" s="50"/>
      <c r="AJ274" s="50"/>
      <c r="AK274" s="111"/>
      <c r="AL274" s="50"/>
      <c r="AM274" s="46"/>
      <c r="AN274" s="46"/>
    </row>
    <row r="275" spans="1:40">
      <c r="F275" s="50"/>
    </row>
    <row r="276" spans="1:40">
      <c r="C276" s="42"/>
      <c r="F276" s="45"/>
      <c r="H276" s="45"/>
      <c r="I276" s="45"/>
      <c r="J276" s="326"/>
      <c r="K276" s="326"/>
      <c r="L276" s="45"/>
      <c r="M276" s="45"/>
      <c r="N276" s="46"/>
      <c r="O276" s="46"/>
      <c r="P276" s="45"/>
      <c r="Q276" s="45"/>
      <c r="R276" s="45"/>
      <c r="S276" s="45"/>
      <c r="T276" s="42"/>
      <c r="V276" s="45"/>
      <c r="Y276" s="45"/>
      <c r="Z276" s="326"/>
      <c r="AA276" s="45"/>
      <c r="AB276" s="45"/>
      <c r="AC276" s="46"/>
      <c r="AD276" s="46"/>
      <c r="AE276" s="45"/>
      <c r="AF276" s="45"/>
      <c r="AH276" s="46"/>
      <c r="AI276" s="45"/>
      <c r="AJ276" s="45"/>
      <c r="AL276" s="45"/>
      <c r="AM276" s="46"/>
      <c r="AN276" s="46"/>
    </row>
    <row r="277" spans="1:40">
      <c r="F277" s="50"/>
      <c r="H277" s="50"/>
      <c r="I277" s="50"/>
      <c r="J277" s="326"/>
      <c r="K277" s="326"/>
      <c r="L277" s="50"/>
      <c r="M277" s="50"/>
      <c r="N277" s="50"/>
      <c r="O277" s="50"/>
      <c r="P277" s="50"/>
      <c r="Q277" s="50"/>
      <c r="R277" s="50"/>
      <c r="S277" s="45"/>
      <c r="V277" s="50"/>
      <c r="Y277" s="50"/>
      <c r="Z277" s="326"/>
      <c r="AA277" s="50"/>
      <c r="AB277" s="50"/>
      <c r="AC277" s="50"/>
      <c r="AD277" s="50"/>
      <c r="AE277" s="50"/>
      <c r="AF277" s="50"/>
      <c r="AI277" s="50"/>
      <c r="AJ277" s="50"/>
      <c r="AK277" s="111"/>
      <c r="AL277" s="50"/>
      <c r="AM277" s="46"/>
      <c r="AN277" s="46"/>
    </row>
    <row r="278" spans="1:40">
      <c r="C278" s="42"/>
      <c r="T278" s="42"/>
    </row>
    <row r="279" spans="1:40">
      <c r="C279" s="42"/>
      <c r="F279" s="45"/>
      <c r="H279" s="45"/>
      <c r="I279" s="45"/>
      <c r="L279" s="45"/>
      <c r="M279" s="45"/>
      <c r="N279" s="46"/>
      <c r="O279" s="46"/>
      <c r="P279" s="164"/>
      <c r="Q279" s="164"/>
      <c r="R279" s="45"/>
      <c r="T279" s="42"/>
      <c r="V279" s="45"/>
      <c r="Y279" s="45"/>
      <c r="AA279" s="45"/>
      <c r="AB279" s="45"/>
      <c r="AC279" s="46"/>
      <c r="AD279" s="46"/>
      <c r="AE279" s="45"/>
      <c r="AF279" s="45"/>
      <c r="AH279" s="46"/>
      <c r="AI279" s="164"/>
      <c r="AJ279" s="164"/>
      <c r="AL279" s="45"/>
      <c r="AM279" s="46"/>
      <c r="AN279" s="46"/>
    </row>
    <row r="280" spans="1:40">
      <c r="H280" s="50"/>
      <c r="I280" s="50"/>
      <c r="J280" s="326"/>
      <c r="K280" s="326"/>
      <c r="L280" s="50"/>
      <c r="M280" s="50"/>
      <c r="N280" s="50"/>
      <c r="O280" s="50"/>
      <c r="P280" s="50"/>
      <c r="Q280" s="50"/>
      <c r="R280" s="50"/>
      <c r="V280" s="50"/>
      <c r="Y280" s="50"/>
      <c r="Z280" s="326"/>
      <c r="AA280" s="50"/>
      <c r="AB280" s="50"/>
      <c r="AC280" s="50"/>
      <c r="AD280" s="50"/>
      <c r="AE280" s="50"/>
      <c r="AF280" s="50"/>
      <c r="AI280" s="50"/>
      <c r="AJ280" s="50"/>
      <c r="AK280" s="111"/>
      <c r="AL280" s="50"/>
    </row>
    <row r="281" spans="1:40">
      <c r="F281" s="50"/>
    </row>
    <row r="282" spans="1:40">
      <c r="C282" s="42"/>
      <c r="L282" s="45"/>
      <c r="M282" s="45"/>
      <c r="N282" s="45"/>
      <c r="O282" s="45"/>
      <c r="P282" s="45"/>
      <c r="Q282" s="45"/>
      <c r="R282" s="45"/>
      <c r="S282" s="45"/>
      <c r="T282" s="42"/>
      <c r="AA282" s="45"/>
      <c r="AB282" s="45"/>
      <c r="AC282" s="45"/>
      <c r="AD282" s="45"/>
      <c r="AI282" s="45"/>
      <c r="AJ282" s="45"/>
      <c r="AL282" s="45"/>
    </row>
    <row r="283" spans="1:40">
      <c r="A283" s="42"/>
    </row>
    <row r="285" spans="1:40">
      <c r="H285" s="42"/>
      <c r="I285" s="42"/>
      <c r="Y285" s="42"/>
    </row>
    <row r="287" spans="1:40">
      <c r="L287" s="42"/>
      <c r="M287" s="42"/>
      <c r="AA287" s="42"/>
      <c r="AB287" s="42"/>
    </row>
    <row r="288" spans="1:40">
      <c r="R288" s="42"/>
      <c r="AK288" s="110"/>
      <c r="AL288" s="42"/>
    </row>
    <row r="289" spans="1:40">
      <c r="R289" s="42"/>
      <c r="AK289" s="110"/>
      <c r="AL289" s="42"/>
    </row>
    <row r="290" spans="1:40">
      <c r="A290" s="42"/>
      <c r="R290" s="42"/>
      <c r="AK290" s="110"/>
      <c r="AL290" s="42"/>
    </row>
    <row r="291" spans="1:40">
      <c r="L291" s="42"/>
      <c r="M291" s="42"/>
      <c r="AA291" s="42"/>
      <c r="AB291" s="42"/>
    </row>
    <row r="292" spans="1:40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107"/>
      <c r="AH292" s="49"/>
      <c r="AI292" s="49"/>
      <c r="AJ292" s="49"/>
      <c r="AK292" s="107"/>
      <c r="AL292" s="49"/>
      <c r="AM292" s="49"/>
      <c r="AN292" s="49"/>
    </row>
    <row r="293" spans="1:40">
      <c r="L293" s="44"/>
      <c r="M293" s="44"/>
      <c r="N293" s="44"/>
      <c r="O293" s="44"/>
      <c r="R293" s="44"/>
      <c r="AA293" s="44"/>
      <c r="AB293" s="44"/>
      <c r="AC293" s="44"/>
      <c r="AD293" s="44"/>
      <c r="AE293" s="44"/>
      <c r="AF293" s="44"/>
      <c r="AG293" s="102"/>
      <c r="AH293" s="44"/>
      <c r="AK293" s="102"/>
      <c r="AL293" s="44"/>
      <c r="AM293" s="44"/>
      <c r="AN293" s="44"/>
    </row>
    <row r="294" spans="1:40">
      <c r="L294" s="44"/>
      <c r="M294" s="44"/>
      <c r="N294" s="44"/>
      <c r="O294" s="44"/>
      <c r="R294" s="44"/>
      <c r="Z294" s="44"/>
      <c r="AA294" s="44"/>
      <c r="AB294" s="44"/>
      <c r="AC294" s="44"/>
      <c r="AD294" s="44"/>
      <c r="AE294" s="44"/>
      <c r="AF294" s="44"/>
      <c r="AG294" s="102"/>
      <c r="AH294" s="44"/>
      <c r="AK294" s="102"/>
      <c r="AL294" s="44"/>
      <c r="AM294" s="44"/>
      <c r="AN294" s="44"/>
    </row>
    <row r="295" spans="1:40">
      <c r="A295" s="44"/>
      <c r="C295" s="44"/>
      <c r="D295" s="44"/>
      <c r="E295" s="44"/>
      <c r="F295" s="44"/>
      <c r="J295" s="44"/>
      <c r="K295" s="44"/>
      <c r="L295" s="44"/>
      <c r="M295" s="44"/>
      <c r="N295" s="44"/>
      <c r="O295" s="44"/>
      <c r="P295" s="44"/>
      <c r="Q295" s="44"/>
      <c r="R295" s="44"/>
      <c r="T295" s="44"/>
      <c r="U295" s="44"/>
      <c r="V295" s="44"/>
      <c r="Z295" s="44"/>
      <c r="AA295" s="44"/>
      <c r="AB295" s="44"/>
      <c r="AC295" s="44"/>
      <c r="AD295" s="44"/>
      <c r="AE295" s="44"/>
      <c r="AF295" s="44"/>
      <c r="AG295" s="102"/>
      <c r="AH295" s="44"/>
      <c r="AI295" s="44"/>
      <c r="AJ295" s="44"/>
      <c r="AK295" s="102"/>
      <c r="AL295" s="44"/>
      <c r="AM295" s="44"/>
      <c r="AN295" s="44"/>
    </row>
    <row r="296" spans="1:40">
      <c r="A296" s="44"/>
      <c r="C296" s="44"/>
      <c r="D296" s="44"/>
      <c r="E296" s="44"/>
      <c r="F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T296" s="44"/>
      <c r="U296" s="44"/>
      <c r="V296" s="44"/>
      <c r="Y296" s="44"/>
      <c r="Z296" s="44"/>
      <c r="AA296" s="44"/>
      <c r="AB296" s="44"/>
      <c r="AC296" s="44"/>
      <c r="AD296" s="44"/>
      <c r="AE296" s="44"/>
      <c r="AF296" s="44"/>
      <c r="AG296" s="102"/>
      <c r="AH296" s="44"/>
      <c r="AI296" s="44"/>
      <c r="AJ296" s="44"/>
      <c r="AK296" s="102"/>
      <c r="AL296" s="44"/>
      <c r="AM296" s="44"/>
      <c r="AN296" s="44"/>
    </row>
    <row r="297" spans="1:40">
      <c r="C297" s="44"/>
      <c r="D297" s="44"/>
      <c r="E297" s="44"/>
      <c r="F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T297" s="44"/>
      <c r="U297" s="44"/>
      <c r="V297" s="44"/>
      <c r="Y297" s="44"/>
      <c r="Z297" s="44"/>
      <c r="AA297" s="44"/>
      <c r="AB297" s="44"/>
      <c r="AC297" s="44"/>
      <c r="AD297" s="44"/>
      <c r="AE297" s="44"/>
      <c r="AF297" s="44"/>
      <c r="AG297" s="102"/>
      <c r="AH297" s="44"/>
      <c r="AI297" s="44"/>
      <c r="AJ297" s="44"/>
      <c r="AK297" s="102"/>
      <c r="AL297" s="44"/>
      <c r="AM297" s="44"/>
      <c r="AN297" s="44"/>
    </row>
    <row r="298" spans="1:40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107"/>
      <c r="AH298" s="49"/>
      <c r="AI298" s="49"/>
      <c r="AJ298" s="49"/>
      <c r="AK298" s="107"/>
      <c r="AL298" s="49"/>
      <c r="AM298" s="49"/>
      <c r="AN298" s="49"/>
    </row>
    <row r="299" spans="1:40"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Y299" s="44"/>
      <c r="Z299" s="44"/>
      <c r="AA299" s="44"/>
      <c r="AB299" s="44"/>
      <c r="AC299" s="44"/>
      <c r="AD299" s="44"/>
      <c r="AE299" s="44"/>
      <c r="AF299" s="44"/>
      <c r="AG299" s="102"/>
      <c r="AH299" s="44"/>
      <c r="AI299" s="44"/>
      <c r="AJ299" s="44"/>
      <c r="AK299" s="102"/>
      <c r="AL299" s="44"/>
      <c r="AM299" s="44"/>
      <c r="AN299" s="44"/>
    </row>
    <row r="300" spans="1:40">
      <c r="C300" s="42"/>
      <c r="D300" s="42"/>
      <c r="E300" s="42"/>
      <c r="T300" s="42"/>
      <c r="U300" s="42"/>
    </row>
    <row r="301" spans="1:40">
      <c r="D301" s="42"/>
      <c r="E301" s="42"/>
      <c r="U301" s="42"/>
    </row>
    <row r="303" spans="1:40">
      <c r="C303" s="42"/>
      <c r="T303" s="42"/>
    </row>
    <row r="304" spans="1:40">
      <c r="C304" s="42"/>
      <c r="F304" s="164"/>
      <c r="H304" s="164"/>
      <c r="I304" s="164"/>
      <c r="J304" s="132"/>
      <c r="K304" s="132"/>
      <c r="L304" s="45"/>
      <c r="M304" s="45"/>
      <c r="N304" s="46"/>
      <c r="O304" s="46"/>
      <c r="P304" s="45"/>
      <c r="Q304" s="45"/>
      <c r="R304" s="45"/>
      <c r="T304" s="42"/>
      <c r="V304" s="164"/>
      <c r="W304" s="45"/>
      <c r="X304" s="45"/>
      <c r="Y304" s="164"/>
      <c r="Z304" s="132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3:40">
      <c r="C305" s="42"/>
      <c r="F305" s="45"/>
      <c r="H305" s="45"/>
      <c r="I305" s="45"/>
      <c r="J305" s="326"/>
      <c r="K305" s="326"/>
      <c r="L305" s="45"/>
      <c r="M305" s="45"/>
      <c r="N305" s="46"/>
      <c r="O305" s="46"/>
      <c r="P305" s="45"/>
      <c r="Q305" s="45"/>
      <c r="R305" s="45"/>
      <c r="T305" s="42"/>
      <c r="V305" s="164"/>
      <c r="W305" s="45"/>
      <c r="X305" s="45"/>
      <c r="Y305" s="164"/>
      <c r="Z305" s="326"/>
      <c r="AA305" s="45"/>
      <c r="AB305" s="45"/>
      <c r="AC305" s="46"/>
      <c r="AD305" s="46"/>
      <c r="AE305" s="45"/>
      <c r="AF305" s="45"/>
      <c r="AH305" s="51"/>
      <c r="AI305" s="45"/>
      <c r="AJ305" s="45"/>
      <c r="AL305" s="45"/>
      <c r="AM305" s="46"/>
      <c r="AN305" s="46"/>
    </row>
    <row r="306" spans="3:40">
      <c r="C306" s="42"/>
      <c r="F306" s="164"/>
      <c r="H306" s="164"/>
      <c r="I306" s="164"/>
      <c r="J306" s="132"/>
      <c r="K306" s="132"/>
      <c r="L306" s="45"/>
      <c r="M306" s="45"/>
      <c r="N306" s="46"/>
      <c r="O306" s="46"/>
      <c r="P306" s="45"/>
      <c r="Q306" s="45"/>
      <c r="R306" s="45"/>
      <c r="T306" s="42"/>
      <c r="V306" s="164"/>
      <c r="W306" s="45"/>
      <c r="X306" s="45"/>
      <c r="Y306" s="164"/>
      <c r="Z306" s="132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3:40">
      <c r="C307" s="42"/>
      <c r="F307" s="164"/>
      <c r="H307" s="164"/>
      <c r="I307" s="164"/>
      <c r="J307" s="132"/>
      <c r="K307" s="132"/>
      <c r="L307" s="45"/>
      <c r="M307" s="45"/>
      <c r="N307" s="46"/>
      <c r="O307" s="46"/>
      <c r="P307" s="45"/>
      <c r="Q307" s="45"/>
      <c r="R307" s="45"/>
      <c r="T307" s="42"/>
      <c r="V307" s="164"/>
      <c r="W307" s="45"/>
      <c r="X307" s="45"/>
      <c r="Y307" s="164"/>
      <c r="Z307" s="132"/>
      <c r="AA307" s="45"/>
      <c r="AB307" s="45"/>
      <c r="AC307" s="46"/>
      <c r="AD307" s="46"/>
      <c r="AE307" s="45"/>
      <c r="AF307" s="45"/>
      <c r="AH307" s="51"/>
      <c r="AI307" s="45"/>
      <c r="AJ307" s="45"/>
      <c r="AL307" s="45"/>
      <c r="AM307" s="46"/>
      <c r="AN307" s="46"/>
    </row>
    <row r="308" spans="3:40">
      <c r="C308" s="42"/>
      <c r="F308" s="164"/>
      <c r="H308" s="164"/>
      <c r="I308" s="164"/>
      <c r="J308" s="132"/>
      <c r="K308" s="132"/>
      <c r="L308" s="45"/>
      <c r="M308" s="45"/>
      <c r="N308" s="46"/>
      <c r="O308" s="46"/>
      <c r="P308" s="45"/>
      <c r="Q308" s="45"/>
      <c r="R308" s="45"/>
      <c r="T308" s="42"/>
      <c r="V308" s="164"/>
      <c r="W308" s="45"/>
      <c r="X308" s="45"/>
      <c r="Y308" s="164"/>
      <c r="Z308" s="132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>
      <c r="C309" s="42"/>
      <c r="F309" s="45"/>
      <c r="H309" s="45"/>
      <c r="I309" s="45"/>
      <c r="J309" s="132"/>
      <c r="K309" s="132"/>
      <c r="L309" s="45"/>
      <c r="M309" s="45"/>
      <c r="N309" s="46"/>
      <c r="O309" s="46"/>
      <c r="P309" s="45"/>
      <c r="Q309" s="45"/>
      <c r="R309" s="45"/>
      <c r="T309" s="42"/>
      <c r="V309" s="164"/>
      <c r="W309" s="45"/>
      <c r="X309" s="45"/>
      <c r="Y309" s="164"/>
      <c r="Z309" s="132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>
      <c r="C310" s="42"/>
      <c r="F310" s="45"/>
      <c r="H310" s="45"/>
      <c r="I310" s="45"/>
      <c r="J310" s="132"/>
      <c r="K310" s="132"/>
      <c r="L310" s="45"/>
      <c r="M310" s="45"/>
      <c r="N310" s="46"/>
      <c r="O310" s="46"/>
      <c r="P310" s="45"/>
      <c r="Q310" s="45"/>
      <c r="R310" s="45"/>
      <c r="T310" s="42"/>
      <c r="V310" s="164"/>
      <c r="W310" s="45"/>
      <c r="X310" s="45"/>
      <c r="Y310" s="164"/>
      <c r="Z310" s="132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>
      <c r="F311" s="54"/>
      <c r="H311" s="338"/>
      <c r="I311" s="338"/>
      <c r="J311" s="132"/>
      <c r="K311" s="132"/>
      <c r="L311" s="54"/>
      <c r="M311" s="54"/>
      <c r="N311" s="50"/>
      <c r="O311" s="50"/>
      <c r="P311" s="54"/>
      <c r="Q311" s="54"/>
      <c r="R311" s="54"/>
      <c r="V311" s="54"/>
      <c r="W311" s="45"/>
      <c r="X311" s="45"/>
      <c r="Y311" s="54"/>
      <c r="Z311" s="132"/>
      <c r="AA311" s="54"/>
      <c r="AB311" s="54"/>
      <c r="AC311" s="55"/>
      <c r="AD311" s="55"/>
      <c r="AE311" s="54"/>
      <c r="AF311" s="54"/>
      <c r="AH311" s="51"/>
      <c r="AI311" s="54"/>
      <c r="AJ311" s="54"/>
      <c r="AK311" s="107"/>
      <c r="AL311" s="54"/>
      <c r="AM311" s="46"/>
      <c r="AN311" s="46"/>
    </row>
    <row r="312" spans="3:40">
      <c r="C312" s="42"/>
      <c r="F312" s="45"/>
      <c r="H312" s="45"/>
      <c r="I312" s="45"/>
      <c r="J312" s="132"/>
      <c r="K312" s="132"/>
      <c r="L312" s="45"/>
      <c r="M312" s="45"/>
      <c r="N312" s="51"/>
      <c r="O312" s="51"/>
      <c r="P312" s="45"/>
      <c r="Q312" s="45"/>
      <c r="R312" s="45"/>
      <c r="T312" s="44"/>
      <c r="V312" s="45"/>
      <c r="W312" s="45"/>
      <c r="X312" s="45"/>
      <c r="Y312" s="45"/>
      <c r="Z312" s="132"/>
      <c r="AA312" s="45"/>
      <c r="AB312" s="45"/>
      <c r="AC312" s="51"/>
      <c r="AD312" s="51"/>
      <c r="AE312" s="45"/>
      <c r="AF312" s="45"/>
      <c r="AH312" s="51"/>
      <c r="AI312" s="45"/>
      <c r="AJ312" s="45"/>
      <c r="AL312" s="45"/>
      <c r="AM312" s="46"/>
      <c r="AN312" s="46"/>
    </row>
    <row r="313" spans="3:40">
      <c r="F313" s="49"/>
      <c r="H313" s="49"/>
      <c r="I313" s="49"/>
      <c r="L313" s="49"/>
      <c r="M313" s="49"/>
      <c r="N313" s="55"/>
      <c r="O313" s="55"/>
      <c r="P313" s="54"/>
      <c r="Q313" s="54"/>
      <c r="R313" s="54"/>
      <c r="V313" s="54"/>
      <c r="Y313" s="54"/>
      <c r="Z313" s="326"/>
      <c r="AA313" s="54"/>
      <c r="AB313" s="54"/>
      <c r="AC313" s="54"/>
      <c r="AD313" s="54"/>
      <c r="AE313" s="54"/>
      <c r="AF313" s="54"/>
      <c r="AI313" s="54"/>
      <c r="AJ313" s="54"/>
      <c r="AK313" s="107"/>
      <c r="AL313" s="54"/>
      <c r="AM313" s="55"/>
      <c r="AN313" s="55"/>
    </row>
    <row r="318" spans="3:40">
      <c r="N318" s="45"/>
      <c r="O318" s="45"/>
      <c r="P318" s="45"/>
      <c r="Q318" s="45"/>
      <c r="R318" s="45"/>
      <c r="V318" s="45"/>
      <c r="Y318" s="45"/>
      <c r="Z318" s="47"/>
      <c r="AA318" s="45"/>
      <c r="AB318" s="45"/>
      <c r="AC318" s="46"/>
      <c r="AD318" s="46"/>
      <c r="AE318" s="45"/>
      <c r="AF318" s="45"/>
      <c r="AH318" s="51"/>
      <c r="AI318" s="45"/>
      <c r="AJ318" s="45"/>
      <c r="AL318" s="45"/>
      <c r="AM318" s="46"/>
      <c r="AN318" s="46"/>
    </row>
    <row r="319" spans="3:40">
      <c r="C319" s="42"/>
      <c r="D319" s="42"/>
      <c r="E319" s="42"/>
      <c r="J319" s="56"/>
      <c r="K319" s="56"/>
      <c r="T319" s="42"/>
      <c r="U319" s="42"/>
      <c r="Z319" s="56"/>
      <c r="AE319" s="45"/>
      <c r="AF319" s="45"/>
      <c r="AI319" s="45"/>
      <c r="AJ319" s="45"/>
      <c r="AL319" s="45"/>
      <c r="AM319" s="46"/>
      <c r="AN319" s="46"/>
    </row>
    <row r="320" spans="3:40">
      <c r="D320" s="42"/>
      <c r="E320" s="42"/>
      <c r="F320" s="45"/>
      <c r="H320" s="45"/>
      <c r="I320" s="45"/>
      <c r="J320" s="132"/>
      <c r="K320" s="132"/>
      <c r="L320" s="45"/>
      <c r="M320" s="45"/>
      <c r="N320" s="46"/>
      <c r="O320" s="46"/>
      <c r="P320" s="45"/>
      <c r="Q320" s="45"/>
      <c r="R320" s="45"/>
      <c r="U320" s="42"/>
      <c r="V320" s="45"/>
      <c r="Y320" s="45"/>
      <c r="Z320" s="132"/>
      <c r="AA320" s="45"/>
      <c r="AB320" s="45"/>
      <c r="AC320" s="46"/>
      <c r="AD320" s="46"/>
      <c r="AE320" s="45"/>
      <c r="AF320" s="45"/>
      <c r="AH320" s="51"/>
      <c r="AI320" s="45"/>
      <c r="AJ320" s="45"/>
      <c r="AL320" s="45"/>
      <c r="AM320" s="46"/>
      <c r="AN320" s="46"/>
    </row>
    <row r="321" spans="1:40">
      <c r="F321" s="45"/>
      <c r="H321" s="45"/>
      <c r="I321" s="45"/>
      <c r="J321" s="326"/>
      <c r="K321" s="326"/>
      <c r="L321" s="45"/>
      <c r="M321" s="45"/>
      <c r="N321" s="45"/>
      <c r="O321" s="45"/>
      <c r="P321" s="45"/>
      <c r="Q321" s="45"/>
      <c r="R321" s="45"/>
      <c r="V321" s="45"/>
      <c r="Y321" s="45"/>
      <c r="Z321" s="326"/>
      <c r="AA321" s="45"/>
      <c r="AB321" s="45"/>
      <c r="AC321" s="45"/>
      <c r="AD321" s="45"/>
      <c r="AE321" s="45"/>
      <c r="AF321" s="45"/>
      <c r="AH321" s="51"/>
      <c r="AI321" s="164"/>
      <c r="AJ321" s="164"/>
      <c r="AL321" s="45"/>
      <c r="AM321" s="46"/>
      <c r="AN321" s="46"/>
    </row>
    <row r="322" spans="1:40">
      <c r="C322" s="42"/>
      <c r="F322" s="164"/>
      <c r="H322" s="164"/>
      <c r="I322" s="164"/>
      <c r="J322" s="325"/>
      <c r="K322" s="325"/>
      <c r="L322" s="45"/>
      <c r="M322" s="45"/>
      <c r="N322" s="46"/>
      <c r="O322" s="46"/>
      <c r="P322" s="45"/>
      <c r="Q322" s="45"/>
      <c r="R322" s="45"/>
      <c r="T322" s="42"/>
      <c r="V322" s="164"/>
      <c r="Y322" s="164"/>
      <c r="Z322" s="325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>
      <c r="F323" s="49"/>
      <c r="H323" s="49"/>
      <c r="I323" s="49"/>
      <c r="L323" s="49"/>
      <c r="M323" s="49"/>
      <c r="N323" s="49"/>
      <c r="O323" s="49"/>
      <c r="P323" s="49"/>
      <c r="Q323" s="49"/>
      <c r="R323" s="49"/>
      <c r="V323" s="49"/>
      <c r="Y323" s="49"/>
      <c r="AA323" s="49"/>
      <c r="AB323" s="49"/>
      <c r="AC323" s="49"/>
      <c r="AD323" s="49"/>
      <c r="AE323" s="49"/>
      <c r="AF323" s="49"/>
      <c r="AG323" s="107"/>
      <c r="AH323" s="49"/>
      <c r="AI323" s="49"/>
      <c r="AJ323" s="49"/>
      <c r="AK323" s="107"/>
      <c r="AL323" s="49"/>
      <c r="AM323" s="49"/>
      <c r="AN323" s="49"/>
    </row>
    <row r="324" spans="1:40">
      <c r="C324" s="44"/>
      <c r="F324" s="164"/>
      <c r="H324" s="164"/>
      <c r="I324" s="164"/>
      <c r="J324" s="316"/>
      <c r="K324" s="316"/>
      <c r="L324" s="164"/>
      <c r="M324" s="164"/>
      <c r="N324" s="46"/>
      <c r="O324" s="46"/>
      <c r="P324" s="164"/>
      <c r="Q324" s="164"/>
      <c r="R324" s="164"/>
      <c r="T324" s="44"/>
      <c r="V324" s="45"/>
      <c r="Y324" s="45"/>
      <c r="Z324" s="47"/>
      <c r="AA324" s="45"/>
      <c r="AB324" s="45"/>
      <c r="AC324" s="46"/>
      <c r="AD324" s="46"/>
      <c r="AH324" s="51"/>
      <c r="AI324" s="45"/>
      <c r="AJ324" s="45"/>
      <c r="AL324" s="45"/>
      <c r="AM324" s="46"/>
      <c r="AN324" s="46"/>
    </row>
    <row r="325" spans="1:40">
      <c r="F325" s="54"/>
      <c r="H325" s="54"/>
      <c r="I325" s="54"/>
      <c r="J325" s="326"/>
      <c r="K325" s="326"/>
      <c r="L325" s="54"/>
      <c r="M325" s="54"/>
      <c r="N325" s="54"/>
      <c r="O325" s="54"/>
      <c r="P325" s="54"/>
      <c r="Q325" s="54"/>
      <c r="R325" s="54"/>
      <c r="V325" s="49"/>
      <c r="Y325" s="49"/>
      <c r="AA325" s="49"/>
      <c r="AB325" s="49"/>
      <c r="AC325" s="49"/>
      <c r="AD325" s="49"/>
      <c r="AE325" s="49"/>
      <c r="AF325" s="49"/>
      <c r="AG325" s="107"/>
      <c r="AH325" s="49"/>
      <c r="AI325" s="49"/>
      <c r="AJ325" s="49"/>
      <c r="AK325" s="107"/>
      <c r="AL325" s="49"/>
      <c r="AM325" s="49"/>
      <c r="AN325" s="49"/>
    </row>
    <row r="326" spans="1:40">
      <c r="F326" s="164"/>
      <c r="H326" s="164"/>
      <c r="I326" s="164"/>
      <c r="J326" s="336"/>
      <c r="K326" s="336"/>
      <c r="L326" s="45"/>
      <c r="M326" s="45"/>
      <c r="N326" s="46"/>
      <c r="O326" s="46"/>
      <c r="P326" s="45"/>
      <c r="Q326" s="45"/>
      <c r="R326" s="45"/>
    </row>
    <row r="327" spans="1:40">
      <c r="A327" s="42"/>
      <c r="F327" s="164"/>
      <c r="H327" s="164"/>
      <c r="I327" s="164"/>
      <c r="J327" s="316"/>
      <c r="K327" s="316"/>
      <c r="L327" s="45"/>
      <c r="M327" s="45"/>
      <c r="N327" s="46"/>
      <c r="O327" s="46"/>
      <c r="P327" s="45"/>
      <c r="Q327" s="45"/>
      <c r="R327" s="45"/>
    </row>
    <row r="328" spans="1:40">
      <c r="F328" s="164"/>
      <c r="H328" s="164"/>
      <c r="I328" s="164"/>
      <c r="J328" s="316"/>
      <c r="K328" s="316"/>
      <c r="L328" s="45"/>
      <c r="M328" s="45"/>
      <c r="N328" s="46"/>
      <c r="O328" s="46"/>
      <c r="P328" s="45"/>
      <c r="Q328" s="45"/>
      <c r="R328" s="45"/>
    </row>
    <row r="329" spans="1:40">
      <c r="A329" s="42"/>
    </row>
    <row r="332" spans="1:40">
      <c r="H332" s="42"/>
      <c r="I332" s="42"/>
      <c r="Y332" s="42"/>
    </row>
    <row r="334" spans="1:40">
      <c r="L334" s="42"/>
      <c r="M334" s="42"/>
      <c r="AA334" s="42"/>
      <c r="AB334" s="42"/>
    </row>
    <row r="335" spans="1:40">
      <c r="R335" s="42"/>
      <c r="AK335" s="110"/>
      <c r="AL335" s="42"/>
    </row>
    <row r="336" spans="1:40">
      <c r="R336" s="42"/>
      <c r="AK336" s="110"/>
      <c r="AL336" s="42"/>
    </row>
    <row r="337" spans="1:40">
      <c r="A337" s="42"/>
      <c r="R337" s="42"/>
      <c r="AK337" s="110"/>
      <c r="AL337" s="42"/>
    </row>
    <row r="338" spans="1:40">
      <c r="L338" s="42"/>
      <c r="M338" s="42"/>
      <c r="AA338" s="42"/>
      <c r="AB338" s="42"/>
    </row>
    <row r="339" spans="1:40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107"/>
      <c r="AH339" s="49"/>
      <c r="AI339" s="49"/>
      <c r="AJ339" s="49"/>
      <c r="AK339" s="107"/>
      <c r="AL339" s="49"/>
      <c r="AM339" s="49"/>
      <c r="AN339" s="49"/>
    </row>
    <row r="340" spans="1:40">
      <c r="L340" s="44"/>
      <c r="M340" s="44"/>
      <c r="N340" s="44"/>
      <c r="O340" s="44"/>
      <c r="R340" s="44"/>
      <c r="AA340" s="44"/>
      <c r="AB340" s="44"/>
      <c r="AC340" s="44"/>
      <c r="AD340" s="44"/>
      <c r="AE340" s="44"/>
      <c r="AF340" s="44"/>
      <c r="AG340" s="102"/>
      <c r="AH340" s="44"/>
      <c r="AK340" s="102"/>
      <c r="AL340" s="44"/>
      <c r="AM340" s="44"/>
      <c r="AN340" s="44"/>
    </row>
    <row r="341" spans="1:40">
      <c r="L341" s="44"/>
      <c r="M341" s="44"/>
      <c r="N341" s="44"/>
      <c r="O341" s="44"/>
      <c r="R341" s="44"/>
      <c r="Z341" s="44"/>
      <c r="AA341" s="44"/>
      <c r="AB341" s="44"/>
      <c r="AC341" s="44"/>
      <c r="AD341" s="44"/>
      <c r="AE341" s="44"/>
      <c r="AF341" s="44"/>
      <c r="AG341" s="102"/>
      <c r="AH341" s="44"/>
      <c r="AK341" s="102"/>
      <c r="AL341" s="44"/>
      <c r="AM341" s="44"/>
      <c r="AN341" s="44"/>
    </row>
    <row r="342" spans="1:40">
      <c r="A342" s="44"/>
      <c r="C342" s="44"/>
      <c r="D342" s="44"/>
      <c r="E342" s="44"/>
      <c r="F342" s="44"/>
      <c r="J342" s="44"/>
      <c r="K342" s="44"/>
      <c r="L342" s="44"/>
      <c r="M342" s="44"/>
      <c r="N342" s="44"/>
      <c r="O342" s="44"/>
      <c r="P342" s="44"/>
      <c r="Q342" s="44"/>
      <c r="R342" s="44"/>
      <c r="T342" s="44"/>
      <c r="U342" s="44"/>
      <c r="V342" s="44"/>
      <c r="Z342" s="44"/>
      <c r="AA342" s="44"/>
      <c r="AB342" s="44"/>
      <c r="AC342" s="44"/>
      <c r="AD342" s="44"/>
      <c r="AE342" s="44"/>
      <c r="AF342" s="44"/>
      <c r="AG342" s="102"/>
      <c r="AH342" s="44"/>
      <c r="AI342" s="44"/>
      <c r="AJ342" s="44"/>
      <c r="AK342" s="102"/>
      <c r="AL342" s="44"/>
      <c r="AM342" s="44"/>
      <c r="AN342" s="44"/>
    </row>
    <row r="343" spans="1:40">
      <c r="A343" s="44"/>
      <c r="C343" s="44"/>
      <c r="D343" s="44"/>
      <c r="E343" s="44"/>
      <c r="F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T343" s="44"/>
      <c r="U343" s="44"/>
      <c r="V343" s="44"/>
      <c r="Y343" s="44"/>
      <c r="Z343" s="44"/>
      <c r="AA343" s="44"/>
      <c r="AB343" s="44"/>
      <c r="AC343" s="44"/>
      <c r="AD343" s="44"/>
      <c r="AE343" s="44"/>
      <c r="AF343" s="44"/>
      <c r="AG343" s="102"/>
      <c r="AH343" s="44"/>
      <c r="AI343" s="44"/>
      <c r="AJ343" s="44"/>
      <c r="AK343" s="102"/>
      <c r="AL343" s="44"/>
      <c r="AM343" s="44"/>
      <c r="AN343" s="44"/>
    </row>
    <row r="344" spans="1:40">
      <c r="C344" s="44"/>
      <c r="D344" s="44"/>
      <c r="E344" s="44"/>
      <c r="F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T344" s="44"/>
      <c r="U344" s="44"/>
      <c r="V344" s="44"/>
      <c r="Y344" s="44"/>
      <c r="Z344" s="44"/>
      <c r="AA344" s="44"/>
      <c r="AB344" s="44"/>
      <c r="AC344" s="44"/>
      <c r="AD344" s="44"/>
      <c r="AE344" s="44"/>
      <c r="AF344" s="44"/>
      <c r="AG344" s="102"/>
      <c r="AH344" s="44"/>
      <c r="AI344" s="44"/>
      <c r="AJ344" s="44"/>
      <c r="AK344" s="102"/>
      <c r="AL344" s="44"/>
      <c r="AM344" s="44"/>
      <c r="AN344" s="44"/>
    </row>
    <row r="345" spans="1:40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107"/>
      <c r="AH345" s="49"/>
      <c r="AI345" s="49"/>
      <c r="AJ345" s="49"/>
      <c r="AK345" s="107"/>
      <c r="AL345" s="49"/>
      <c r="AM345" s="49"/>
      <c r="AN345" s="49"/>
    </row>
    <row r="346" spans="1:40"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Y346" s="44"/>
      <c r="Z346" s="44"/>
      <c r="AA346" s="44"/>
      <c r="AB346" s="44"/>
      <c r="AC346" s="44"/>
      <c r="AD346" s="44"/>
      <c r="AE346" s="44"/>
      <c r="AF346" s="44"/>
      <c r="AG346" s="102"/>
      <c r="AH346" s="44"/>
      <c r="AI346" s="44"/>
      <c r="AJ346" s="44"/>
      <c r="AK346" s="102"/>
      <c r="AL346" s="44"/>
      <c r="AM346" s="44"/>
      <c r="AN346" s="44"/>
    </row>
    <row r="347" spans="1:40">
      <c r="C347" s="42"/>
      <c r="D347" s="42"/>
      <c r="E347" s="42"/>
      <c r="T347" s="42"/>
      <c r="U347" s="42"/>
    </row>
    <row r="349" spans="1:40">
      <c r="C349" s="42"/>
      <c r="T349" s="42"/>
    </row>
    <row r="350" spans="1:40">
      <c r="C350" s="42"/>
      <c r="F350" s="164"/>
      <c r="H350" s="164"/>
      <c r="I350" s="164"/>
      <c r="J350" s="326"/>
      <c r="K350" s="326"/>
      <c r="L350" s="45"/>
      <c r="M350" s="45"/>
      <c r="N350" s="46"/>
      <c r="O350" s="46"/>
      <c r="P350" s="45"/>
      <c r="Q350" s="45"/>
      <c r="R350" s="45"/>
      <c r="T350" s="42"/>
      <c r="V350" s="164"/>
      <c r="Y350" s="164"/>
      <c r="Z350" s="326"/>
      <c r="AA350" s="45"/>
      <c r="AB350" s="45"/>
      <c r="AC350" s="46"/>
      <c r="AD350" s="46"/>
      <c r="AE350" s="45"/>
      <c r="AF350" s="45"/>
      <c r="AH350" s="51"/>
      <c r="AI350" s="45"/>
      <c r="AJ350" s="45"/>
      <c r="AL350" s="45"/>
      <c r="AM350" s="46"/>
      <c r="AN350" s="46"/>
    </row>
    <row r="351" spans="1:40">
      <c r="C351" s="42"/>
      <c r="T351" s="42"/>
    </row>
    <row r="352" spans="1:40">
      <c r="C352" s="42"/>
      <c r="F352" s="164"/>
      <c r="H352" s="164"/>
      <c r="I352" s="164"/>
      <c r="J352" s="132"/>
      <c r="K352" s="132"/>
      <c r="L352" s="45"/>
      <c r="M352" s="45"/>
      <c r="N352" s="46"/>
      <c r="O352" s="46"/>
      <c r="P352" s="45"/>
      <c r="Q352" s="45"/>
      <c r="R352" s="45"/>
      <c r="T352" s="42"/>
      <c r="V352" s="45"/>
      <c r="Y352" s="45"/>
      <c r="Z352" s="132"/>
      <c r="AA352" s="45"/>
      <c r="AB352" s="45"/>
      <c r="AC352" s="46"/>
      <c r="AD352" s="46"/>
      <c r="AE352" s="45"/>
      <c r="AF352" s="45"/>
      <c r="AH352" s="51"/>
      <c r="AI352" s="45"/>
      <c r="AJ352" s="45"/>
      <c r="AL352" s="45"/>
      <c r="AM352" s="46"/>
      <c r="AN352" s="46"/>
    </row>
    <row r="353" spans="3:40">
      <c r="C353" s="42"/>
      <c r="F353" s="164"/>
      <c r="H353" s="164"/>
      <c r="I353" s="164"/>
      <c r="J353" s="132"/>
      <c r="K353" s="132"/>
      <c r="L353" s="45"/>
      <c r="M353" s="45"/>
      <c r="N353" s="46"/>
      <c r="O353" s="46"/>
      <c r="P353" s="45"/>
      <c r="Q353" s="45"/>
      <c r="R353" s="45"/>
      <c r="T353" s="42"/>
      <c r="V353" s="45"/>
      <c r="Y353" s="45"/>
      <c r="Z353" s="132"/>
      <c r="AA353" s="45"/>
      <c r="AB353" s="45"/>
      <c r="AC353" s="46"/>
      <c r="AD353" s="46"/>
      <c r="AE353" s="45"/>
      <c r="AF353" s="45"/>
      <c r="AH353" s="51"/>
      <c r="AI353" s="45"/>
      <c r="AJ353" s="45"/>
      <c r="AL353" s="45"/>
      <c r="AM353" s="46"/>
      <c r="AN353" s="46"/>
    </row>
    <row r="354" spans="3:40">
      <c r="C354" s="42"/>
      <c r="F354" s="164"/>
      <c r="H354" s="164"/>
      <c r="I354" s="164"/>
      <c r="J354" s="132"/>
      <c r="K354" s="132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132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>
      <c r="C355" s="42"/>
      <c r="F355" s="164"/>
      <c r="H355" s="164"/>
      <c r="I355" s="164"/>
      <c r="J355" s="132"/>
      <c r="K355" s="132"/>
      <c r="L355" s="45"/>
      <c r="M355" s="45"/>
      <c r="N355" s="46"/>
      <c r="O355" s="46"/>
      <c r="P355" s="45"/>
      <c r="Q355" s="45"/>
      <c r="R355" s="45"/>
      <c r="T355" s="42"/>
      <c r="V355" s="45"/>
      <c r="Y355" s="45"/>
      <c r="Z355" s="132"/>
      <c r="AA355" s="45"/>
      <c r="AB355" s="45"/>
      <c r="AC355" s="46"/>
      <c r="AD355" s="46"/>
      <c r="AE355" s="45"/>
      <c r="AF355" s="45"/>
      <c r="AH355" s="51"/>
      <c r="AI355" s="45"/>
      <c r="AJ355" s="45"/>
      <c r="AL355" s="45"/>
      <c r="AM355" s="46"/>
      <c r="AN355" s="46"/>
    </row>
    <row r="356" spans="3:40">
      <c r="C356" s="42"/>
      <c r="J356" s="56"/>
      <c r="K356" s="56"/>
      <c r="T356" s="42"/>
      <c r="Z356" s="56"/>
    </row>
    <row r="357" spans="3:40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>
      <c r="C360" s="42"/>
      <c r="J360" s="56"/>
      <c r="K360" s="56"/>
      <c r="T360" s="42"/>
      <c r="Z360" s="56"/>
    </row>
    <row r="361" spans="3:40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Y361" s="45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>
      <c r="C363" s="42"/>
      <c r="J363" s="56"/>
      <c r="K363" s="56"/>
      <c r="T363" s="42"/>
      <c r="Z363" s="56"/>
    </row>
    <row r="364" spans="3:40">
      <c r="C364" s="42"/>
      <c r="F364" s="164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T364" s="42"/>
      <c r="V364" s="45"/>
      <c r="Y364" s="45"/>
      <c r="Z364" s="132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3:40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>
      <c r="F367" s="50"/>
      <c r="H367" s="50"/>
      <c r="I367" s="50"/>
      <c r="J367" s="132"/>
      <c r="K367" s="132"/>
      <c r="L367" s="50"/>
      <c r="M367" s="50"/>
      <c r="N367" s="50"/>
      <c r="O367" s="50"/>
      <c r="P367" s="50"/>
      <c r="Q367" s="50"/>
      <c r="R367" s="50"/>
      <c r="V367" s="50"/>
      <c r="Y367" s="50"/>
      <c r="Z367" s="132"/>
      <c r="AA367" s="50"/>
      <c r="AB367" s="50"/>
      <c r="AC367" s="50"/>
      <c r="AD367" s="50"/>
      <c r="AE367" s="50"/>
      <c r="AF367" s="50"/>
      <c r="AI367" s="50"/>
      <c r="AJ367" s="50"/>
      <c r="AK367" s="111"/>
      <c r="AL367" s="50"/>
    </row>
    <row r="368" spans="3:40">
      <c r="C368" s="44"/>
      <c r="F368" s="45"/>
      <c r="H368" s="45"/>
      <c r="I368" s="45"/>
      <c r="J368" s="56"/>
      <c r="K368" s="56"/>
      <c r="L368" s="45"/>
      <c r="M368" s="45"/>
      <c r="N368" s="51"/>
      <c r="O368" s="51"/>
      <c r="P368" s="45"/>
      <c r="Q368" s="45"/>
      <c r="R368" s="45"/>
      <c r="T368" s="44"/>
      <c r="V368" s="45"/>
      <c r="Y368" s="45"/>
      <c r="Z368" s="56"/>
      <c r="AA368" s="45"/>
      <c r="AB368" s="45"/>
      <c r="AC368" s="45"/>
      <c r="AD368" s="45"/>
      <c r="AE368" s="45"/>
      <c r="AF368" s="45"/>
      <c r="AH368" s="51"/>
      <c r="AI368" s="45"/>
      <c r="AJ368" s="45"/>
      <c r="AL368" s="45"/>
      <c r="AM368" s="46"/>
      <c r="AN368" s="46"/>
    </row>
    <row r="369" spans="3:40">
      <c r="F369" s="50"/>
      <c r="H369" s="50"/>
      <c r="I369" s="50"/>
      <c r="J369" s="132"/>
      <c r="K369" s="132"/>
      <c r="L369" s="50"/>
      <c r="M369" s="50"/>
      <c r="N369" s="50"/>
      <c r="O369" s="50"/>
      <c r="P369" s="50"/>
      <c r="Q369" s="50"/>
      <c r="R369" s="50"/>
      <c r="V369" s="50"/>
      <c r="Y369" s="50"/>
      <c r="Z369" s="132"/>
      <c r="AA369" s="50"/>
      <c r="AB369" s="50"/>
      <c r="AC369" s="50"/>
      <c r="AD369" s="50"/>
      <c r="AE369" s="50"/>
      <c r="AF369" s="50"/>
      <c r="AI369" s="50"/>
      <c r="AJ369" s="50"/>
      <c r="AK369" s="111"/>
      <c r="AL369" s="50"/>
    </row>
    <row r="370" spans="3:40">
      <c r="C370" s="42"/>
      <c r="J370" s="56"/>
      <c r="K370" s="56"/>
      <c r="T370" s="42"/>
      <c r="Z370" s="56"/>
    </row>
    <row r="371" spans="3:40">
      <c r="C371" s="42"/>
      <c r="J371" s="56"/>
      <c r="K371" s="56"/>
      <c r="T371" s="42"/>
      <c r="Z371" s="56"/>
    </row>
    <row r="372" spans="3:40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45"/>
      <c r="Y372" s="45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3:40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Y373" s="45"/>
      <c r="Z373" s="132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Y374" s="45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45"/>
      <c r="Y375" s="45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>
      <c r="C377" s="42"/>
      <c r="F377" s="164"/>
      <c r="H377" s="164"/>
      <c r="I377" s="164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>
      <c r="C379" s="42"/>
      <c r="J379" s="56"/>
      <c r="K379" s="56"/>
      <c r="T379" s="42"/>
      <c r="Z379" s="56"/>
    </row>
    <row r="380" spans="3:40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132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>
      <c r="C383" s="42"/>
      <c r="F383" s="164"/>
      <c r="H383" s="164"/>
      <c r="I383" s="164"/>
      <c r="J383" s="132"/>
      <c r="K383" s="132"/>
      <c r="L383" s="45"/>
      <c r="M383" s="45"/>
      <c r="N383" s="46"/>
      <c r="O383" s="46"/>
      <c r="P383" s="45"/>
      <c r="Q383" s="45"/>
      <c r="R383" s="45"/>
      <c r="T383" s="42"/>
      <c r="V383" s="45"/>
      <c r="Y383" s="45"/>
      <c r="Z383" s="132"/>
      <c r="AA383" s="45"/>
      <c r="AB383" s="45"/>
      <c r="AC383" s="46"/>
      <c r="AD383" s="46"/>
      <c r="AE383" s="45"/>
      <c r="AF383" s="45"/>
      <c r="AH383" s="51"/>
      <c r="AI383" s="45"/>
      <c r="AJ383" s="45"/>
      <c r="AL383" s="45"/>
      <c r="AM383" s="46"/>
      <c r="AN383" s="46"/>
    </row>
    <row r="384" spans="3:40">
      <c r="C384" s="42"/>
      <c r="J384" s="56"/>
      <c r="K384" s="56"/>
      <c r="T384" s="42"/>
      <c r="Z384" s="56"/>
    </row>
    <row r="385" spans="3:40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Y385" s="45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Y386" s="45"/>
      <c r="Z386" s="132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45"/>
      <c r="Y387" s="45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45"/>
      <c r="Y388" s="45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Y389" s="45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>
      <c r="F390" s="50"/>
      <c r="H390" s="50"/>
      <c r="I390" s="50"/>
      <c r="J390" s="326"/>
      <c r="K390" s="326"/>
      <c r="L390" s="50"/>
      <c r="M390" s="50"/>
      <c r="N390" s="50"/>
      <c r="O390" s="50"/>
      <c r="P390" s="50"/>
      <c r="Q390" s="50"/>
      <c r="R390" s="50"/>
      <c r="V390" s="50"/>
      <c r="Y390" s="50"/>
      <c r="Z390" s="132"/>
      <c r="AA390" s="50"/>
      <c r="AB390" s="50"/>
      <c r="AC390" s="50"/>
      <c r="AD390" s="50"/>
      <c r="AE390" s="50"/>
      <c r="AF390" s="50"/>
      <c r="AI390" s="50"/>
      <c r="AJ390" s="50"/>
      <c r="AK390" s="111"/>
      <c r="AL390" s="50"/>
    </row>
    <row r="391" spans="3:40">
      <c r="C391" s="42"/>
      <c r="F391" s="45"/>
      <c r="H391" s="45"/>
      <c r="I391" s="45"/>
      <c r="L391" s="45"/>
      <c r="M391" s="45"/>
      <c r="N391" s="51"/>
      <c r="O391" s="51"/>
      <c r="P391" s="45"/>
      <c r="Q391" s="45"/>
      <c r="R391" s="45"/>
      <c r="T391" s="42"/>
      <c r="V391" s="45"/>
      <c r="Y391" s="45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>
      <c r="F392" s="50"/>
      <c r="H392" s="50"/>
      <c r="I392" s="50"/>
      <c r="J392" s="326"/>
      <c r="K392" s="326"/>
      <c r="L392" s="50"/>
      <c r="M392" s="50"/>
      <c r="N392" s="50"/>
      <c r="O392" s="50"/>
      <c r="P392" s="50"/>
      <c r="Q392" s="50"/>
      <c r="R392" s="50"/>
      <c r="V392" s="50"/>
      <c r="Y392" s="50"/>
      <c r="Z392" s="326"/>
      <c r="AA392" s="50"/>
      <c r="AB392" s="50"/>
      <c r="AC392" s="50"/>
      <c r="AD392" s="50"/>
      <c r="AE392" s="50"/>
      <c r="AF392" s="50"/>
      <c r="AI392" s="50"/>
      <c r="AJ392" s="50"/>
      <c r="AK392" s="111"/>
      <c r="AL392" s="50"/>
    </row>
    <row r="393" spans="3:40">
      <c r="C393" s="42"/>
      <c r="T393" s="42"/>
    </row>
    <row r="394" spans="3:40">
      <c r="C394" s="42"/>
      <c r="F394" s="164"/>
      <c r="H394" s="164"/>
      <c r="I394" s="164"/>
      <c r="J394" s="316"/>
      <c r="K394" s="316"/>
      <c r="L394" s="45"/>
      <c r="M394" s="45"/>
      <c r="N394" s="46"/>
      <c r="O394" s="46"/>
      <c r="P394" s="45"/>
      <c r="Q394" s="45"/>
      <c r="R394" s="45"/>
      <c r="T394" s="42"/>
      <c r="V394" s="45"/>
      <c r="Y394" s="45"/>
      <c r="Z394" s="316"/>
      <c r="AA394" s="45"/>
      <c r="AB394" s="45"/>
      <c r="AC394" s="46"/>
      <c r="AD394" s="46"/>
      <c r="AE394" s="45"/>
      <c r="AF394" s="45"/>
      <c r="AH394" s="51"/>
      <c r="AI394" s="45"/>
      <c r="AJ394" s="45"/>
      <c r="AL394" s="45"/>
      <c r="AM394" s="46"/>
      <c r="AN394" s="46"/>
    </row>
    <row r="395" spans="3:40">
      <c r="C395" s="42"/>
      <c r="F395" s="164"/>
      <c r="H395" s="164"/>
      <c r="I395" s="164"/>
      <c r="J395" s="316"/>
      <c r="K395" s="316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316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>
      <c r="F396" s="50"/>
      <c r="H396" s="45"/>
      <c r="I396" s="45"/>
      <c r="J396" s="326"/>
      <c r="K396" s="326"/>
      <c r="L396" s="50"/>
      <c r="M396" s="50"/>
      <c r="N396" s="50"/>
      <c r="O396" s="50"/>
      <c r="P396" s="50"/>
      <c r="Q396" s="50"/>
      <c r="R396" s="50"/>
      <c r="V396" s="50"/>
      <c r="Y396" s="45"/>
      <c r="Z396" s="326"/>
      <c r="AA396" s="50"/>
      <c r="AB396" s="50"/>
      <c r="AC396" s="50"/>
      <c r="AD396" s="50"/>
      <c r="AE396" s="50"/>
      <c r="AF396" s="50"/>
      <c r="AI396" s="50"/>
      <c r="AJ396" s="50"/>
      <c r="AK396" s="111"/>
      <c r="AL396" s="50"/>
    </row>
    <row r="397" spans="3:40">
      <c r="F397" s="45"/>
      <c r="H397" s="45"/>
      <c r="I397" s="45"/>
      <c r="J397" s="326"/>
      <c r="K397" s="326"/>
      <c r="L397" s="45"/>
      <c r="M397" s="45"/>
      <c r="N397" s="45"/>
      <c r="O397" s="45"/>
      <c r="P397" s="45"/>
      <c r="Q397" s="45"/>
      <c r="R397" s="45"/>
      <c r="V397" s="45"/>
      <c r="Y397" s="45"/>
      <c r="Z397" s="326"/>
      <c r="AA397" s="45"/>
      <c r="AB397" s="45"/>
      <c r="AC397" s="45"/>
      <c r="AD397" s="45"/>
      <c r="AE397" s="45"/>
      <c r="AF397" s="45"/>
      <c r="AI397" s="45"/>
      <c r="AJ397" s="45"/>
      <c r="AL397" s="45"/>
    </row>
    <row r="398" spans="3:40">
      <c r="C398" s="42"/>
      <c r="F398" s="45"/>
      <c r="H398" s="45"/>
      <c r="I398" s="45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AA398" s="45"/>
      <c r="AB398" s="45"/>
      <c r="AC398" s="46"/>
      <c r="AD398" s="46"/>
      <c r="AE398" s="45"/>
      <c r="AF398" s="45"/>
      <c r="AH398" s="51"/>
      <c r="AI398" s="164"/>
      <c r="AJ398" s="164"/>
      <c r="AL398" s="45"/>
      <c r="AM398" s="46"/>
      <c r="AN398" s="46"/>
    </row>
    <row r="399" spans="3:40">
      <c r="H399" s="50"/>
      <c r="I399" s="50"/>
      <c r="J399" s="326"/>
      <c r="K399" s="326"/>
      <c r="L399" s="50"/>
      <c r="M399" s="50"/>
      <c r="N399" s="50"/>
      <c r="O399" s="50"/>
      <c r="P399" s="50"/>
      <c r="Q399" s="50"/>
      <c r="R399" s="50"/>
      <c r="V399" s="50"/>
      <c r="Y399" s="50"/>
      <c r="Z399" s="326"/>
      <c r="AA399" s="50"/>
      <c r="AB399" s="50"/>
      <c r="AC399" s="50"/>
      <c r="AD399" s="50"/>
      <c r="AE399" s="50"/>
      <c r="AF399" s="50"/>
      <c r="AI399" s="50"/>
      <c r="AJ399" s="50"/>
      <c r="AK399" s="111"/>
      <c r="AL399" s="50"/>
    </row>
    <row r="400" spans="3:40">
      <c r="F400" s="50"/>
    </row>
    <row r="401" spans="1:38">
      <c r="A401" s="42"/>
      <c r="T401" s="42"/>
    </row>
    <row r="402" spans="1:38">
      <c r="A402" s="42"/>
      <c r="T402" s="42"/>
    </row>
    <row r="403" spans="1:38">
      <c r="A403" s="42"/>
      <c r="T403" s="42"/>
    </row>
    <row r="404" spans="1:38">
      <c r="A404" s="42"/>
      <c r="T404" s="42"/>
    </row>
    <row r="405" spans="1:38">
      <c r="A405" s="42"/>
      <c r="T405" s="42"/>
    </row>
    <row r="406" spans="1:38">
      <c r="A406" s="42"/>
      <c r="T406" s="42"/>
    </row>
    <row r="407" spans="1:38">
      <c r="A407" s="42"/>
      <c r="T407" s="42"/>
    </row>
    <row r="408" spans="1:38">
      <c r="A408" s="42"/>
      <c r="T408" s="42"/>
    </row>
    <row r="409" spans="1:38">
      <c r="A409" s="42"/>
      <c r="T409" s="42"/>
    </row>
    <row r="411" spans="1:38">
      <c r="A411" s="42"/>
    </row>
    <row r="413" spans="1:38">
      <c r="H413" s="42"/>
      <c r="I413" s="42"/>
      <c r="Y413" s="42"/>
    </row>
    <row r="415" spans="1:38">
      <c r="L415" s="42"/>
      <c r="M415" s="42"/>
      <c r="AA415" s="42"/>
      <c r="AB415" s="42"/>
    </row>
    <row r="416" spans="1:38">
      <c r="R416" s="42"/>
      <c r="AK416" s="110"/>
      <c r="AL416" s="42"/>
    </row>
    <row r="417" spans="1:40">
      <c r="R417" s="42"/>
      <c r="AK417" s="110"/>
      <c r="AL417" s="42"/>
    </row>
    <row r="418" spans="1:40">
      <c r="A418" s="42"/>
      <c r="R418" s="42"/>
      <c r="AK418" s="110"/>
      <c r="AL418" s="42"/>
    </row>
    <row r="419" spans="1:40">
      <c r="L419" s="42"/>
      <c r="M419" s="42"/>
      <c r="AA419" s="42"/>
      <c r="AB419" s="42"/>
    </row>
    <row r="420" spans="1:40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107"/>
      <c r="AH420" s="49"/>
      <c r="AI420" s="49"/>
      <c r="AJ420" s="49"/>
      <c r="AK420" s="107"/>
      <c r="AL420" s="49"/>
      <c r="AM420" s="49"/>
      <c r="AN420" s="49"/>
    </row>
    <row r="421" spans="1:40">
      <c r="L421" s="44"/>
      <c r="M421" s="44"/>
      <c r="N421" s="44"/>
      <c r="O421" s="44"/>
      <c r="R421" s="44"/>
      <c r="AA421" s="44"/>
      <c r="AB421" s="44"/>
      <c r="AC421" s="44"/>
      <c r="AD421" s="44"/>
      <c r="AE421" s="44"/>
      <c r="AF421" s="44"/>
      <c r="AG421" s="102"/>
      <c r="AH421" s="44"/>
      <c r="AK421" s="102"/>
      <c r="AL421" s="44"/>
      <c r="AM421" s="44"/>
      <c r="AN421" s="44"/>
    </row>
    <row r="422" spans="1:40">
      <c r="L422" s="44"/>
      <c r="M422" s="44"/>
      <c r="N422" s="44"/>
      <c r="O422" s="44"/>
      <c r="R422" s="44"/>
      <c r="Z422" s="44"/>
      <c r="AA422" s="44"/>
      <c r="AB422" s="44"/>
      <c r="AC422" s="44"/>
      <c r="AD422" s="44"/>
      <c r="AE422" s="44"/>
      <c r="AF422" s="44"/>
      <c r="AG422" s="102"/>
      <c r="AH422" s="44"/>
      <c r="AK422" s="102"/>
      <c r="AL422" s="44"/>
      <c r="AM422" s="44"/>
      <c r="AN422" s="44"/>
    </row>
    <row r="423" spans="1:40">
      <c r="A423" s="44"/>
      <c r="C423" s="44"/>
      <c r="D423" s="44"/>
      <c r="E423" s="44"/>
      <c r="F423" s="44"/>
      <c r="J423" s="44"/>
      <c r="K423" s="44"/>
      <c r="L423" s="44"/>
      <c r="M423" s="44"/>
      <c r="N423" s="44"/>
      <c r="O423" s="44"/>
      <c r="P423" s="44"/>
      <c r="Q423" s="44"/>
      <c r="R423" s="44"/>
      <c r="T423" s="44"/>
      <c r="U423" s="44"/>
      <c r="V423" s="44"/>
      <c r="Z423" s="44"/>
      <c r="AA423" s="44"/>
      <c r="AB423" s="44"/>
      <c r="AC423" s="44"/>
      <c r="AD423" s="44"/>
      <c r="AE423" s="44"/>
      <c r="AF423" s="44"/>
      <c r="AG423" s="102"/>
      <c r="AH423" s="44"/>
      <c r="AI423" s="44"/>
      <c r="AJ423" s="44"/>
      <c r="AK423" s="102"/>
      <c r="AL423" s="44"/>
      <c r="AM423" s="44"/>
      <c r="AN423" s="44"/>
    </row>
    <row r="424" spans="1:40">
      <c r="A424" s="44"/>
      <c r="C424" s="44"/>
      <c r="D424" s="44"/>
      <c r="E424" s="44"/>
      <c r="F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T424" s="44"/>
      <c r="U424" s="44"/>
      <c r="V424" s="44"/>
      <c r="Y424" s="44"/>
      <c r="Z424" s="44"/>
      <c r="AA424" s="44"/>
      <c r="AB424" s="44"/>
      <c r="AC424" s="44"/>
      <c r="AD424" s="44"/>
      <c r="AE424" s="44"/>
      <c r="AF424" s="44"/>
      <c r="AG424" s="102"/>
      <c r="AH424" s="44"/>
      <c r="AI424" s="44"/>
      <c r="AJ424" s="44"/>
      <c r="AK424" s="102"/>
      <c r="AL424" s="44"/>
      <c r="AM424" s="44"/>
      <c r="AN424" s="44"/>
    </row>
    <row r="425" spans="1:40">
      <c r="C425" s="44"/>
      <c r="D425" s="44"/>
      <c r="E425" s="44"/>
      <c r="F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T425" s="44"/>
      <c r="U425" s="44"/>
      <c r="V425" s="44"/>
      <c r="Y425" s="44"/>
      <c r="Z425" s="44"/>
      <c r="AA425" s="44"/>
      <c r="AB425" s="44"/>
      <c r="AC425" s="44"/>
      <c r="AD425" s="44"/>
      <c r="AE425" s="44"/>
      <c r="AF425" s="44"/>
      <c r="AG425" s="102"/>
      <c r="AH425" s="44"/>
      <c r="AI425" s="44"/>
      <c r="AJ425" s="44"/>
      <c r="AK425" s="102"/>
      <c r="AL425" s="44"/>
      <c r="AM425" s="44"/>
      <c r="AN425" s="44"/>
    </row>
    <row r="426" spans="1:40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107"/>
      <c r="AH426" s="49"/>
      <c r="AI426" s="49"/>
      <c r="AJ426" s="49"/>
      <c r="AK426" s="107"/>
      <c r="AL426" s="49"/>
      <c r="AM426" s="49"/>
      <c r="AN426" s="49"/>
    </row>
    <row r="427" spans="1:40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Y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>
      <c r="C428" s="42"/>
      <c r="D428" s="42"/>
      <c r="E428" s="42"/>
      <c r="T428" s="42"/>
      <c r="U428" s="42"/>
    </row>
    <row r="429" spans="1:40">
      <c r="D429" s="42"/>
      <c r="E429" s="42"/>
      <c r="U429" s="42"/>
    </row>
    <row r="431" spans="1:40">
      <c r="C431" s="42"/>
      <c r="F431" s="45"/>
      <c r="J431" s="53"/>
      <c r="K431" s="53"/>
      <c r="L431" s="45"/>
      <c r="M431" s="45"/>
      <c r="R431" s="45"/>
      <c r="T431" s="42"/>
      <c r="V431" s="45"/>
      <c r="Z431" s="53"/>
      <c r="AA431" s="45"/>
      <c r="AB431" s="45"/>
      <c r="AH431" s="45"/>
      <c r="AL431" s="45"/>
    </row>
    <row r="432" spans="1:40">
      <c r="C432" s="42"/>
      <c r="F432" s="45"/>
      <c r="R432" s="45"/>
      <c r="T432" s="42"/>
      <c r="V432" s="45"/>
      <c r="AH432" s="45"/>
      <c r="AL432" s="45"/>
    </row>
    <row r="433" spans="3:40">
      <c r="AI433" s="45"/>
      <c r="AJ433" s="45"/>
      <c r="AL433" s="45"/>
      <c r="AM433" s="46"/>
      <c r="AN433" s="46"/>
    </row>
    <row r="434" spans="3:40">
      <c r="C434" s="42"/>
      <c r="F434" s="164"/>
      <c r="H434" s="164"/>
      <c r="I434" s="164"/>
      <c r="J434" s="336"/>
      <c r="K434" s="336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336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>
      <c r="F435" s="45"/>
      <c r="H435" s="45"/>
      <c r="I435" s="45"/>
      <c r="J435" s="47"/>
      <c r="K435" s="47"/>
      <c r="L435" s="45"/>
      <c r="M435" s="45"/>
      <c r="P435" s="45"/>
      <c r="Q435" s="45"/>
      <c r="R435" s="45"/>
      <c r="V435" s="45"/>
      <c r="Y435" s="45"/>
      <c r="Z435" s="47"/>
      <c r="AA435" s="45"/>
      <c r="AB435" s="45"/>
      <c r="AI435" s="45"/>
      <c r="AJ435" s="45"/>
      <c r="AL435" s="45"/>
      <c r="AM435" s="46"/>
      <c r="AN435" s="46"/>
    </row>
    <row r="436" spans="3:40">
      <c r="F436" s="45"/>
      <c r="R436" s="45"/>
      <c r="V436" s="45"/>
      <c r="AL436" s="45"/>
      <c r="AM436" s="46"/>
      <c r="AN436" s="46"/>
    </row>
    <row r="437" spans="3:40">
      <c r="C437" s="42"/>
      <c r="F437" s="45"/>
      <c r="J437" s="53"/>
      <c r="K437" s="53"/>
      <c r="L437" s="45"/>
      <c r="M437" s="45"/>
      <c r="N437" s="46"/>
      <c r="O437" s="46"/>
      <c r="R437" s="45"/>
      <c r="T437" s="42"/>
      <c r="V437" s="45"/>
      <c r="Z437" s="53"/>
      <c r="AA437" s="45"/>
      <c r="AB437" s="45"/>
      <c r="AC437" s="46"/>
      <c r="AD437" s="46"/>
      <c r="AL437" s="45"/>
      <c r="AM437" s="46"/>
      <c r="AN437" s="46"/>
    </row>
    <row r="438" spans="3:40">
      <c r="C438" s="42"/>
      <c r="F438" s="45"/>
      <c r="H438" s="45"/>
      <c r="I438" s="45"/>
      <c r="J438" s="53"/>
      <c r="K438" s="53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53"/>
      <c r="AA438" s="45"/>
      <c r="AB438" s="45"/>
      <c r="AC438" s="46"/>
      <c r="AD438" s="46"/>
      <c r="AI438" s="45"/>
      <c r="AJ438" s="45"/>
      <c r="AL438" s="45"/>
      <c r="AM438" s="46"/>
      <c r="AN438" s="46"/>
    </row>
    <row r="439" spans="3:40">
      <c r="C439" s="42"/>
      <c r="T439" s="42"/>
      <c r="AM439" s="46"/>
      <c r="AN439" s="46"/>
    </row>
    <row r="440" spans="3:40">
      <c r="C440" s="42"/>
      <c r="T440" s="42"/>
      <c r="AM440" s="46"/>
      <c r="AN440" s="46"/>
    </row>
    <row r="441" spans="3:40">
      <c r="AM441" s="46"/>
      <c r="AN441" s="46"/>
    </row>
    <row r="442" spans="3:40">
      <c r="C442" s="42"/>
      <c r="F442" s="164"/>
      <c r="H442" s="164"/>
      <c r="I442" s="164"/>
      <c r="J442" s="336"/>
      <c r="K442" s="336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336"/>
      <c r="AA442" s="45"/>
      <c r="AB442" s="45"/>
      <c r="AC442" s="46"/>
      <c r="AD442" s="46"/>
      <c r="AE442" s="45"/>
      <c r="AF442" s="45"/>
      <c r="AH442" s="51"/>
      <c r="AI442" s="45"/>
      <c r="AJ442" s="45"/>
      <c r="AL442" s="45"/>
      <c r="AM442" s="46"/>
      <c r="AN442" s="46"/>
    </row>
    <row r="443" spans="3:40">
      <c r="F443" s="50"/>
      <c r="H443" s="50"/>
      <c r="I443" s="50"/>
      <c r="J443" s="326"/>
      <c r="K443" s="326"/>
      <c r="L443" s="50"/>
      <c r="M443" s="50"/>
      <c r="N443" s="50"/>
      <c r="O443" s="50"/>
      <c r="P443" s="50"/>
      <c r="Q443" s="50"/>
      <c r="R443" s="50"/>
      <c r="V443" s="50"/>
      <c r="Y443" s="50"/>
      <c r="Z443" s="326"/>
      <c r="AA443" s="50"/>
      <c r="AB443" s="50"/>
      <c r="AC443" s="50"/>
      <c r="AD443" s="50"/>
      <c r="AE443" s="50"/>
      <c r="AF443" s="50"/>
      <c r="AI443" s="50"/>
      <c r="AJ443" s="50"/>
      <c r="AK443" s="111"/>
      <c r="AL443" s="50"/>
      <c r="AM443" s="46"/>
      <c r="AN443" s="46"/>
    </row>
    <row r="444" spans="3:40">
      <c r="H444" s="45"/>
      <c r="I444" s="45"/>
      <c r="Y444" s="45"/>
      <c r="AM444" s="46"/>
      <c r="AN444" s="46"/>
    </row>
    <row r="445" spans="3:40">
      <c r="C445" s="42"/>
      <c r="F445" s="45"/>
      <c r="H445" s="45"/>
      <c r="I445" s="45"/>
      <c r="L445" s="45"/>
      <c r="M445" s="45"/>
      <c r="N445" s="46"/>
      <c r="O445" s="46"/>
      <c r="P445" s="164"/>
      <c r="Q445" s="164"/>
      <c r="R445" s="45"/>
      <c r="T445" s="42"/>
      <c r="V445" s="45"/>
      <c r="Y445" s="45"/>
      <c r="AA445" s="45"/>
      <c r="AB445" s="45"/>
      <c r="AC445" s="46"/>
      <c r="AD445" s="46"/>
      <c r="AE445" s="45"/>
      <c r="AF445" s="45"/>
      <c r="AH445" s="51"/>
      <c r="AI445" s="164"/>
      <c r="AJ445" s="164"/>
      <c r="AL445" s="45"/>
      <c r="AM445" s="46"/>
      <c r="AN445" s="46"/>
    </row>
    <row r="446" spans="3:40">
      <c r="H446" s="50"/>
      <c r="I446" s="50"/>
      <c r="J446" s="326"/>
      <c r="K446" s="326"/>
      <c r="L446" s="50"/>
      <c r="M446" s="50"/>
      <c r="N446" s="50"/>
      <c r="O446" s="50"/>
      <c r="P446" s="50"/>
      <c r="Q446" s="50"/>
      <c r="R446" s="50"/>
      <c r="V446" s="50"/>
      <c r="Y446" s="50"/>
      <c r="Z446" s="326"/>
      <c r="AA446" s="50"/>
      <c r="AB446" s="50"/>
      <c r="AC446" s="50"/>
      <c r="AD446" s="50"/>
      <c r="AE446" s="50"/>
      <c r="AF446" s="50"/>
      <c r="AI446" s="50"/>
      <c r="AJ446" s="50"/>
      <c r="AK446" s="111"/>
      <c r="AL446" s="50"/>
      <c r="AM446" s="46"/>
      <c r="AN446" s="46"/>
    </row>
    <row r="447" spans="3:40">
      <c r="F447" s="50"/>
    </row>
    <row r="448" spans="3:40">
      <c r="F448" s="45"/>
      <c r="H448" s="45"/>
      <c r="I448" s="45"/>
      <c r="J448" s="47"/>
      <c r="K448" s="47"/>
      <c r="L448" s="45"/>
      <c r="M448" s="45"/>
      <c r="N448" s="45"/>
      <c r="O448" s="45"/>
      <c r="P448" s="45"/>
      <c r="Q448" s="45"/>
      <c r="R448" s="45"/>
      <c r="V448" s="45"/>
      <c r="Y448" s="45"/>
      <c r="Z448" s="47"/>
      <c r="AA448" s="45"/>
      <c r="AB448" s="45"/>
      <c r="AC448" s="45"/>
      <c r="AD448" s="45"/>
      <c r="AE448" s="45"/>
      <c r="AF448" s="45"/>
      <c r="AH448" s="45"/>
      <c r="AI448" s="45"/>
      <c r="AJ448" s="45"/>
      <c r="AL448" s="45"/>
    </row>
    <row r="449" spans="1:40">
      <c r="A449" s="42"/>
    </row>
    <row r="451" spans="1:40">
      <c r="H451" s="42"/>
      <c r="I451" s="42"/>
      <c r="Y451" s="42"/>
    </row>
    <row r="453" spans="1:40">
      <c r="L453" s="42"/>
      <c r="M453" s="42"/>
      <c r="AA453" s="42"/>
      <c r="AB453" s="42"/>
    </row>
    <row r="454" spans="1:40">
      <c r="R454" s="42"/>
      <c r="AK454" s="110"/>
      <c r="AL454" s="42"/>
    </row>
    <row r="455" spans="1:40">
      <c r="R455" s="42"/>
      <c r="AK455" s="110"/>
      <c r="AL455" s="42"/>
    </row>
    <row r="456" spans="1:40">
      <c r="A456" s="42"/>
      <c r="R456" s="42"/>
      <c r="AK456" s="110"/>
      <c r="AL456" s="42"/>
    </row>
    <row r="457" spans="1:40">
      <c r="L457" s="42"/>
      <c r="M457" s="42"/>
      <c r="AA457" s="42"/>
      <c r="AB457" s="42"/>
    </row>
    <row r="458" spans="1:40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107"/>
      <c r="AH458" s="49"/>
      <c r="AI458" s="49"/>
      <c r="AJ458" s="49"/>
      <c r="AK458" s="107"/>
      <c r="AL458" s="49"/>
      <c r="AM458" s="49"/>
      <c r="AN458" s="49"/>
    </row>
    <row r="459" spans="1:40">
      <c r="L459" s="44"/>
      <c r="M459" s="44"/>
      <c r="N459" s="44"/>
      <c r="O459" s="44"/>
      <c r="R459" s="44"/>
      <c r="AA459" s="44"/>
      <c r="AB459" s="44"/>
      <c r="AC459" s="44"/>
      <c r="AD459" s="44"/>
      <c r="AE459" s="44"/>
      <c r="AF459" s="44"/>
      <c r="AG459" s="102"/>
      <c r="AH459" s="44"/>
      <c r="AK459" s="102"/>
      <c r="AL459" s="44"/>
      <c r="AM459" s="44"/>
      <c r="AN459" s="44"/>
    </row>
    <row r="460" spans="1:40">
      <c r="L460" s="44"/>
      <c r="M460" s="44"/>
      <c r="N460" s="44"/>
      <c r="O460" s="44"/>
      <c r="R460" s="44"/>
      <c r="Z460" s="44"/>
      <c r="AA460" s="44"/>
      <c r="AB460" s="44"/>
      <c r="AC460" s="44"/>
      <c r="AD460" s="44"/>
      <c r="AE460" s="44"/>
      <c r="AF460" s="44"/>
      <c r="AG460" s="102"/>
      <c r="AH460" s="44"/>
      <c r="AK460" s="102"/>
      <c r="AL460" s="44"/>
      <c r="AM460" s="44"/>
      <c r="AN460" s="44"/>
    </row>
    <row r="461" spans="1:40">
      <c r="A461" s="44"/>
      <c r="C461" s="44"/>
      <c r="D461" s="44"/>
      <c r="E461" s="44"/>
      <c r="F461" s="44"/>
      <c r="J461" s="44"/>
      <c r="K461" s="44"/>
      <c r="L461" s="44"/>
      <c r="M461" s="44"/>
      <c r="N461" s="44"/>
      <c r="O461" s="44"/>
      <c r="P461" s="44"/>
      <c r="Q461" s="44"/>
      <c r="R461" s="44"/>
      <c r="T461" s="44"/>
      <c r="U461" s="44"/>
      <c r="V461" s="44"/>
      <c r="Z461" s="44"/>
      <c r="AA461" s="44"/>
      <c r="AB461" s="44"/>
      <c r="AC461" s="44"/>
      <c r="AD461" s="44"/>
      <c r="AE461" s="44"/>
      <c r="AF461" s="44"/>
      <c r="AG461" s="102"/>
      <c r="AH461" s="44"/>
      <c r="AI461" s="44"/>
      <c r="AJ461" s="44"/>
      <c r="AK461" s="102"/>
      <c r="AL461" s="44"/>
      <c r="AM461" s="44"/>
      <c r="AN461" s="44"/>
    </row>
    <row r="462" spans="1:40">
      <c r="A462" s="44"/>
      <c r="C462" s="44"/>
      <c r="D462" s="44"/>
      <c r="E462" s="44"/>
      <c r="F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T462" s="44"/>
      <c r="U462" s="44"/>
      <c r="V462" s="44"/>
      <c r="Y462" s="44"/>
      <c r="Z462" s="44"/>
      <c r="AA462" s="44"/>
      <c r="AB462" s="44"/>
      <c r="AC462" s="44"/>
      <c r="AD462" s="44"/>
      <c r="AE462" s="44"/>
      <c r="AF462" s="44"/>
      <c r="AG462" s="102"/>
      <c r="AH462" s="44"/>
      <c r="AI462" s="44"/>
      <c r="AJ462" s="44"/>
      <c r="AK462" s="102"/>
      <c r="AL462" s="44"/>
      <c r="AM462" s="44"/>
      <c r="AN462" s="44"/>
    </row>
    <row r="463" spans="1:40">
      <c r="C463" s="44"/>
      <c r="D463" s="44"/>
      <c r="E463" s="44"/>
      <c r="F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T463" s="44"/>
      <c r="U463" s="44"/>
      <c r="V463" s="44"/>
      <c r="Y463" s="44"/>
      <c r="Z463" s="44"/>
      <c r="AA463" s="44"/>
      <c r="AB463" s="44"/>
      <c r="AC463" s="44"/>
      <c r="AD463" s="44"/>
      <c r="AE463" s="44"/>
      <c r="AF463" s="44"/>
      <c r="AG463" s="102"/>
      <c r="AH463" s="44"/>
      <c r="AI463" s="44"/>
      <c r="AJ463" s="44"/>
      <c r="AK463" s="102"/>
      <c r="AL463" s="44"/>
      <c r="AM463" s="44"/>
      <c r="AN463" s="44"/>
    </row>
    <row r="464" spans="1:40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107"/>
      <c r="AH464" s="49"/>
      <c r="AI464" s="49"/>
      <c r="AJ464" s="49"/>
      <c r="AK464" s="107"/>
      <c r="AL464" s="49"/>
      <c r="AM464" s="49"/>
      <c r="AN464" s="49"/>
    </row>
    <row r="465" spans="3:40"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Y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3:40">
      <c r="C466" s="42"/>
      <c r="D466" s="42"/>
      <c r="E466" s="42"/>
      <c r="T466" s="42"/>
      <c r="U466" s="42"/>
      <c r="V466" s="45"/>
      <c r="W466" s="45"/>
      <c r="X466" s="45"/>
      <c r="Y466" s="45"/>
      <c r="Z466" s="336"/>
    </row>
    <row r="468" spans="3:40">
      <c r="C468" s="42"/>
      <c r="T468" s="42"/>
      <c r="V468" s="45"/>
      <c r="W468" s="45"/>
      <c r="X468" s="45"/>
      <c r="Y468" s="45"/>
      <c r="Z468" s="336"/>
    </row>
    <row r="469" spans="3:40">
      <c r="C469" s="42"/>
      <c r="F469" s="164"/>
      <c r="H469" s="164"/>
      <c r="I469" s="164"/>
      <c r="J469" s="132"/>
      <c r="K469" s="132"/>
      <c r="L469" s="45"/>
      <c r="M469" s="45"/>
      <c r="N469" s="46"/>
      <c r="O469" s="46"/>
      <c r="P469" s="45"/>
      <c r="Q469" s="45"/>
      <c r="R469" s="45"/>
      <c r="T469" s="42"/>
      <c r="V469" s="45"/>
      <c r="W469" s="45"/>
      <c r="X469" s="45"/>
      <c r="Y469" s="45"/>
      <c r="Z469" s="132"/>
      <c r="AA469" s="45"/>
      <c r="AB469" s="45"/>
      <c r="AC469" s="46"/>
      <c r="AD469" s="46"/>
      <c r="AE469" s="45"/>
      <c r="AF469" s="45"/>
      <c r="AH469" s="51"/>
      <c r="AI469" s="45"/>
      <c r="AJ469" s="45"/>
      <c r="AL469" s="45"/>
      <c r="AM469" s="46"/>
      <c r="AN469" s="46"/>
    </row>
    <row r="470" spans="3:40">
      <c r="C470" s="42"/>
      <c r="F470" s="164"/>
      <c r="H470" s="164"/>
      <c r="I470" s="164"/>
      <c r="J470" s="132"/>
      <c r="K470" s="132"/>
      <c r="L470" s="45"/>
      <c r="M470" s="45"/>
      <c r="N470" s="46"/>
      <c r="O470" s="46"/>
      <c r="P470" s="45"/>
      <c r="Q470" s="45"/>
      <c r="R470" s="45"/>
      <c r="T470" s="42"/>
      <c r="V470" s="45"/>
      <c r="W470" s="45"/>
      <c r="X470" s="45"/>
      <c r="Y470" s="45"/>
      <c r="Z470" s="132"/>
      <c r="AA470" s="45"/>
      <c r="AB470" s="45"/>
      <c r="AC470" s="46"/>
      <c r="AD470" s="46"/>
      <c r="AE470" s="45"/>
      <c r="AF470" s="45"/>
      <c r="AH470" s="51"/>
      <c r="AI470" s="45"/>
      <c r="AJ470" s="45"/>
      <c r="AL470" s="45"/>
      <c r="AM470" s="46"/>
      <c r="AN470" s="46"/>
    </row>
    <row r="471" spans="3:40">
      <c r="C471" s="42"/>
      <c r="F471" s="164"/>
      <c r="H471" s="164"/>
      <c r="I471" s="164"/>
      <c r="J471" s="132"/>
      <c r="K471" s="132"/>
      <c r="L471" s="45"/>
      <c r="M471" s="45"/>
      <c r="N471" s="46"/>
      <c r="O471" s="46"/>
      <c r="P471" s="45"/>
      <c r="Q471" s="45"/>
      <c r="R471" s="45"/>
      <c r="T471" s="42"/>
      <c r="V471" s="45"/>
      <c r="W471" s="45"/>
      <c r="X471" s="45"/>
      <c r="Y471" s="45"/>
      <c r="Z471" s="132"/>
      <c r="AA471" s="45"/>
      <c r="AB471" s="45"/>
      <c r="AC471" s="46"/>
      <c r="AD471" s="46"/>
      <c r="AE471" s="45"/>
      <c r="AF471" s="45"/>
      <c r="AH471" s="51"/>
      <c r="AI471" s="45"/>
      <c r="AJ471" s="45"/>
      <c r="AL471" s="45"/>
      <c r="AM471" s="46"/>
      <c r="AN471" s="46"/>
    </row>
    <row r="472" spans="3:40">
      <c r="C472" s="42"/>
      <c r="F472" s="164"/>
      <c r="H472" s="164"/>
      <c r="I472" s="164"/>
      <c r="J472" s="132"/>
      <c r="K472" s="132"/>
      <c r="L472" s="45"/>
      <c r="M472" s="45"/>
      <c r="N472" s="46"/>
      <c r="O472" s="46"/>
      <c r="P472" s="45"/>
      <c r="Q472" s="45"/>
      <c r="R472" s="45"/>
      <c r="T472" s="42"/>
      <c r="V472" s="45"/>
      <c r="W472" s="45"/>
      <c r="X472" s="45"/>
      <c r="Y472" s="45"/>
      <c r="Z472" s="132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46"/>
      <c r="AN472" s="46"/>
    </row>
    <row r="473" spans="3:40">
      <c r="J473" s="56"/>
      <c r="K473" s="56"/>
      <c r="V473" s="45"/>
      <c r="W473" s="45"/>
      <c r="X473" s="45"/>
      <c r="Y473" s="45"/>
      <c r="Z473" s="132"/>
    </row>
    <row r="474" spans="3:40">
      <c r="C474" s="42"/>
      <c r="F474" s="164"/>
      <c r="H474" s="164"/>
      <c r="I474" s="164"/>
      <c r="J474" s="132"/>
      <c r="K474" s="132"/>
      <c r="L474" s="45"/>
      <c r="M474" s="45"/>
      <c r="N474" s="46"/>
      <c r="O474" s="46"/>
      <c r="P474" s="45"/>
      <c r="Q474" s="45"/>
      <c r="R474" s="45"/>
      <c r="T474" s="42"/>
      <c r="V474" s="45"/>
      <c r="W474" s="45"/>
      <c r="X474" s="45"/>
      <c r="Y474" s="45"/>
      <c r="Z474" s="132"/>
      <c r="AA474" s="45"/>
      <c r="AB474" s="45"/>
      <c r="AC474" s="46"/>
      <c r="AD474" s="46"/>
      <c r="AE474" s="45"/>
      <c r="AF474" s="45"/>
      <c r="AH474" s="51"/>
      <c r="AI474" s="45"/>
      <c r="AJ474" s="45"/>
      <c r="AL474" s="45"/>
      <c r="AM474" s="51"/>
      <c r="AN474" s="51"/>
    </row>
    <row r="475" spans="3:40">
      <c r="C475" s="42"/>
      <c r="J475" s="56"/>
      <c r="K475" s="56"/>
      <c r="T475" s="42"/>
      <c r="V475" s="45"/>
      <c r="W475" s="45"/>
      <c r="X475" s="45"/>
      <c r="Y475" s="45"/>
      <c r="Z475" s="132"/>
    </row>
    <row r="476" spans="3:40">
      <c r="C476" s="42"/>
      <c r="F476" s="164"/>
      <c r="H476" s="164"/>
      <c r="I476" s="164"/>
      <c r="J476" s="132"/>
      <c r="K476" s="132"/>
      <c r="L476" s="45"/>
      <c r="M476" s="45"/>
      <c r="N476" s="46"/>
      <c r="O476" s="46"/>
      <c r="P476" s="45"/>
      <c r="Q476" s="45"/>
      <c r="R476" s="45"/>
      <c r="T476" s="42"/>
      <c r="V476" s="45"/>
      <c r="W476" s="45"/>
      <c r="X476" s="45"/>
      <c r="Y476" s="45"/>
      <c r="Z476" s="132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51"/>
      <c r="AN476" s="51"/>
    </row>
    <row r="477" spans="3:40">
      <c r="J477" s="56"/>
      <c r="K477" s="56"/>
      <c r="Z477" s="56"/>
    </row>
    <row r="478" spans="3:40">
      <c r="C478" s="42"/>
      <c r="J478" s="56"/>
      <c r="K478" s="56"/>
      <c r="T478" s="42"/>
      <c r="V478" s="45"/>
      <c r="W478" s="45"/>
      <c r="X478" s="45"/>
      <c r="Y478" s="45"/>
      <c r="Z478" s="132"/>
    </row>
    <row r="479" spans="3:40">
      <c r="C479" s="42"/>
      <c r="F479" s="164"/>
      <c r="H479" s="164"/>
      <c r="I479" s="164"/>
      <c r="J479" s="132"/>
      <c r="K479" s="132"/>
      <c r="L479" s="45"/>
      <c r="M479" s="45"/>
      <c r="N479" s="46"/>
      <c r="O479" s="46"/>
      <c r="P479" s="45"/>
      <c r="Q479" s="45"/>
      <c r="R479" s="45"/>
      <c r="T479" s="42"/>
      <c r="V479" s="45"/>
      <c r="W479" s="45"/>
      <c r="X479" s="45"/>
      <c r="Y479" s="45"/>
      <c r="Z479" s="132"/>
      <c r="AA479" s="45"/>
      <c r="AB479" s="45"/>
      <c r="AC479" s="46"/>
      <c r="AD479" s="46"/>
      <c r="AE479" s="45"/>
      <c r="AF479" s="45"/>
      <c r="AH479" s="51"/>
      <c r="AI479" s="45"/>
      <c r="AJ479" s="45"/>
      <c r="AL479" s="45"/>
      <c r="AM479" s="51"/>
      <c r="AN479" s="51"/>
    </row>
    <row r="480" spans="3:40">
      <c r="C480" s="42"/>
      <c r="F480" s="164"/>
      <c r="H480" s="164"/>
      <c r="I480" s="164"/>
      <c r="J480" s="132"/>
      <c r="K480" s="132"/>
      <c r="L480" s="45"/>
      <c r="M480" s="45"/>
      <c r="N480" s="46"/>
      <c r="O480" s="46"/>
      <c r="P480" s="45"/>
      <c r="Q480" s="45"/>
      <c r="R480" s="45"/>
      <c r="T480" s="42"/>
      <c r="V480" s="45"/>
      <c r="W480" s="45"/>
      <c r="X480" s="45"/>
      <c r="Y480" s="45"/>
      <c r="Z480" s="132"/>
      <c r="AA480" s="45"/>
      <c r="AB480" s="45"/>
      <c r="AC480" s="46"/>
      <c r="AD480" s="46"/>
      <c r="AE480" s="45"/>
      <c r="AF480" s="45"/>
      <c r="AH480" s="51"/>
      <c r="AI480" s="45"/>
      <c r="AJ480" s="45"/>
      <c r="AL480" s="45"/>
      <c r="AM480" s="51"/>
      <c r="AN480" s="51"/>
    </row>
    <row r="481" spans="1:40">
      <c r="F481" s="50"/>
      <c r="H481" s="50"/>
      <c r="I481" s="50"/>
      <c r="J481" s="132"/>
      <c r="K481" s="132"/>
      <c r="L481" s="50"/>
      <c r="M481" s="50"/>
      <c r="N481" s="50"/>
      <c r="O481" s="50"/>
      <c r="P481" s="50"/>
      <c r="Q481" s="50"/>
      <c r="R481" s="50"/>
      <c r="V481" s="50"/>
      <c r="Y481" s="50"/>
      <c r="Z481" s="326"/>
      <c r="AA481" s="50"/>
      <c r="AB481" s="50"/>
      <c r="AC481" s="50"/>
      <c r="AD481" s="50"/>
      <c r="AE481" s="50"/>
      <c r="AF481" s="50"/>
      <c r="AI481" s="50"/>
      <c r="AJ481" s="50"/>
      <c r="AK481" s="111"/>
      <c r="AL481" s="50"/>
    </row>
    <row r="482" spans="1:40">
      <c r="C482" s="42"/>
      <c r="F482" s="45"/>
      <c r="H482" s="45"/>
      <c r="I482" s="45"/>
      <c r="L482" s="45"/>
      <c r="M482" s="45"/>
      <c r="N482" s="46"/>
      <c r="O482" s="46"/>
      <c r="P482" s="164"/>
      <c r="Q482" s="164"/>
      <c r="R482" s="45"/>
      <c r="T482" s="42"/>
      <c r="V482" s="45"/>
      <c r="W482" s="45"/>
      <c r="X482" s="45"/>
      <c r="Y482" s="45"/>
      <c r="Z482" s="336"/>
      <c r="AA482" s="45"/>
      <c r="AB482" s="45"/>
      <c r="AC482" s="46"/>
      <c r="AD482" s="46"/>
      <c r="AE482" s="45"/>
      <c r="AF482" s="45"/>
      <c r="AH482" s="51"/>
      <c r="AI482" s="164"/>
      <c r="AJ482" s="164"/>
      <c r="AL482" s="45"/>
      <c r="AM482" s="51"/>
      <c r="AN482" s="51"/>
    </row>
    <row r="483" spans="1:40">
      <c r="H483" s="50"/>
      <c r="I483" s="50"/>
      <c r="J483" s="326"/>
      <c r="K483" s="326"/>
      <c r="L483" s="50"/>
      <c r="M483" s="50"/>
      <c r="N483" s="50"/>
      <c r="O483" s="50"/>
      <c r="P483" s="50"/>
      <c r="Q483" s="50"/>
      <c r="R483" s="50"/>
      <c r="V483" s="50"/>
      <c r="Y483" s="50"/>
      <c r="Z483" s="326"/>
      <c r="AA483" s="50"/>
      <c r="AB483" s="50"/>
      <c r="AC483" s="50"/>
      <c r="AD483" s="50"/>
      <c r="AE483" s="50"/>
      <c r="AF483" s="50"/>
      <c r="AI483" s="50"/>
      <c r="AJ483" s="50"/>
      <c r="AK483" s="111"/>
      <c r="AL483" s="50"/>
    </row>
    <row r="484" spans="1:40">
      <c r="F484" s="50"/>
    </row>
    <row r="486" spans="1:40">
      <c r="A486" s="42"/>
    </row>
    <row r="488" spans="1:40">
      <c r="H488" s="42"/>
      <c r="I488" s="42"/>
      <c r="Y488" s="42"/>
    </row>
    <row r="490" spans="1:40">
      <c r="L490" s="42"/>
      <c r="M490" s="42"/>
      <c r="AA490" s="42"/>
      <c r="AB490" s="42"/>
    </row>
    <row r="491" spans="1:40">
      <c r="R491" s="42"/>
      <c r="AK491" s="110"/>
      <c r="AL491" s="42"/>
    </row>
    <row r="492" spans="1:40">
      <c r="R492" s="42"/>
      <c r="AK492" s="110"/>
      <c r="AL492" s="42"/>
    </row>
    <row r="493" spans="1:40">
      <c r="A493" s="42"/>
      <c r="R493" s="42"/>
      <c r="AK493" s="110"/>
      <c r="AL493" s="42"/>
    </row>
    <row r="494" spans="1:40">
      <c r="L494" s="42"/>
      <c r="M494" s="42"/>
      <c r="AA494" s="42"/>
      <c r="AB494" s="42"/>
    </row>
    <row r="495" spans="1:40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107"/>
      <c r="AH495" s="49"/>
      <c r="AI495" s="49"/>
      <c r="AJ495" s="49"/>
      <c r="AK495" s="107"/>
      <c r="AL495" s="49"/>
      <c r="AM495" s="49"/>
      <c r="AN495" s="49"/>
    </row>
    <row r="496" spans="1:40">
      <c r="L496" s="44"/>
      <c r="M496" s="44"/>
      <c r="N496" s="44"/>
      <c r="O496" s="44"/>
      <c r="R496" s="44"/>
      <c r="AA496" s="44"/>
      <c r="AB496" s="44"/>
      <c r="AC496" s="44"/>
      <c r="AD496" s="44"/>
      <c r="AE496" s="44"/>
      <c r="AF496" s="44"/>
      <c r="AG496" s="102"/>
      <c r="AH496" s="44"/>
      <c r="AK496" s="102"/>
      <c r="AL496" s="44"/>
      <c r="AM496" s="44"/>
      <c r="AN496" s="44"/>
    </row>
    <row r="497" spans="1:40">
      <c r="L497" s="44"/>
      <c r="M497" s="44"/>
      <c r="N497" s="44"/>
      <c r="O497" s="44"/>
      <c r="R497" s="44"/>
      <c r="Z497" s="44"/>
      <c r="AA497" s="44"/>
      <c r="AB497" s="44"/>
      <c r="AC497" s="44"/>
      <c r="AD497" s="44"/>
      <c r="AE497" s="44"/>
      <c r="AF497" s="44"/>
      <c r="AG497" s="102"/>
      <c r="AH497" s="44"/>
      <c r="AK497" s="102"/>
      <c r="AL497" s="44"/>
      <c r="AM497" s="44"/>
      <c r="AN497" s="44"/>
    </row>
    <row r="498" spans="1:40">
      <c r="A498" s="44"/>
      <c r="C498" s="44"/>
      <c r="D498" s="44"/>
      <c r="E498" s="44"/>
      <c r="F498" s="44"/>
      <c r="J498" s="44"/>
      <c r="K498" s="44"/>
      <c r="L498" s="44"/>
      <c r="M498" s="44"/>
      <c r="N498" s="44"/>
      <c r="O498" s="44"/>
      <c r="P498" s="44"/>
      <c r="Q498" s="44"/>
      <c r="R498" s="44"/>
      <c r="T498" s="44"/>
      <c r="U498" s="44"/>
      <c r="V498" s="44"/>
      <c r="Z498" s="44"/>
      <c r="AA498" s="44"/>
      <c r="AB498" s="44"/>
      <c r="AC498" s="44"/>
      <c r="AD498" s="44"/>
      <c r="AE498" s="44"/>
      <c r="AF498" s="44"/>
      <c r="AG498" s="102"/>
      <c r="AH498" s="44"/>
      <c r="AI498" s="44"/>
      <c r="AJ498" s="44"/>
      <c r="AK498" s="102"/>
      <c r="AL498" s="44"/>
      <c r="AM498" s="44"/>
      <c r="AN498" s="44"/>
    </row>
    <row r="499" spans="1:40">
      <c r="A499" s="44"/>
      <c r="C499" s="44"/>
      <c r="D499" s="44"/>
      <c r="E499" s="44"/>
      <c r="F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T499" s="44"/>
      <c r="U499" s="44"/>
      <c r="V499" s="44"/>
      <c r="Y499" s="44"/>
      <c r="Z499" s="44"/>
      <c r="AA499" s="44"/>
      <c r="AB499" s="44"/>
      <c r="AC499" s="44"/>
      <c r="AD499" s="44"/>
      <c r="AE499" s="44"/>
      <c r="AF499" s="44"/>
      <c r="AG499" s="102"/>
      <c r="AH499" s="44"/>
      <c r="AI499" s="44"/>
      <c r="AJ499" s="44"/>
      <c r="AK499" s="102"/>
      <c r="AL499" s="44"/>
      <c r="AM499" s="44"/>
      <c r="AN499" s="44"/>
    </row>
    <row r="500" spans="1:40">
      <c r="C500" s="44"/>
      <c r="D500" s="44"/>
      <c r="E500" s="44"/>
      <c r="F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T500" s="44"/>
      <c r="U500" s="44"/>
      <c r="V500" s="44"/>
      <c r="Y500" s="44"/>
      <c r="Z500" s="44"/>
      <c r="AA500" s="44"/>
      <c r="AB500" s="44"/>
      <c r="AC500" s="44"/>
      <c r="AD500" s="44"/>
      <c r="AE500" s="44"/>
      <c r="AF500" s="44"/>
      <c r="AG500" s="102"/>
      <c r="AH500" s="44"/>
      <c r="AI500" s="44"/>
      <c r="AJ500" s="44"/>
      <c r="AK500" s="102"/>
      <c r="AL500" s="44"/>
      <c r="AM500" s="44"/>
      <c r="AN500" s="44"/>
    </row>
    <row r="501" spans="1:40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107"/>
      <c r="AH501" s="49"/>
      <c r="AI501" s="49"/>
      <c r="AJ501" s="49"/>
      <c r="AK501" s="107"/>
      <c r="AL501" s="49"/>
      <c r="AM501" s="49"/>
      <c r="AN501" s="49"/>
    </row>
    <row r="502" spans="1:40"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Y502" s="44"/>
      <c r="Z502" s="44"/>
      <c r="AA502" s="44"/>
      <c r="AB502" s="44"/>
      <c r="AC502" s="44"/>
      <c r="AD502" s="44"/>
      <c r="AE502" s="44"/>
      <c r="AF502" s="44"/>
      <c r="AG502" s="102"/>
      <c r="AH502" s="44"/>
      <c r="AI502" s="44"/>
      <c r="AJ502" s="44"/>
      <c r="AK502" s="102"/>
      <c r="AL502" s="44"/>
      <c r="AM502" s="44"/>
      <c r="AN502" s="44"/>
    </row>
    <row r="503" spans="1:40">
      <c r="C503" s="42"/>
      <c r="D503" s="42"/>
      <c r="E503" s="42"/>
      <c r="T503" s="42"/>
      <c r="U503" s="42"/>
    </row>
    <row r="505" spans="1:40">
      <c r="C505" s="42"/>
      <c r="T505" s="42"/>
    </row>
    <row r="506" spans="1:40">
      <c r="C506" s="42"/>
      <c r="T506" s="42"/>
    </row>
    <row r="507" spans="1:40">
      <c r="C507" s="42"/>
      <c r="F507" s="164"/>
      <c r="H507" s="164"/>
      <c r="I507" s="164"/>
      <c r="J507" s="132"/>
      <c r="K507" s="132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132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51"/>
      <c r="AN507" s="51"/>
    </row>
    <row r="508" spans="1:40">
      <c r="C508" s="42"/>
      <c r="F508" s="45"/>
      <c r="H508" s="45"/>
      <c r="I508" s="45"/>
      <c r="J508" s="56"/>
      <c r="K508" s="56"/>
      <c r="L508" s="45"/>
      <c r="M508" s="45"/>
      <c r="N508" s="46"/>
      <c r="O508" s="46"/>
      <c r="P508" s="45"/>
      <c r="Q508" s="45"/>
      <c r="R508" s="45"/>
      <c r="T508" s="42"/>
      <c r="V508" s="45"/>
      <c r="W508" s="45"/>
      <c r="X508" s="45"/>
      <c r="Y508" s="45"/>
      <c r="Z508" s="56"/>
      <c r="AA508" s="45"/>
      <c r="AB508" s="45"/>
      <c r="AC508" s="46"/>
      <c r="AD508" s="46"/>
      <c r="AE508" s="45"/>
      <c r="AF508" s="45"/>
      <c r="AH508" s="51"/>
      <c r="AI508" s="45"/>
      <c r="AJ508" s="45"/>
      <c r="AL508" s="45"/>
      <c r="AM508" s="51"/>
      <c r="AN508" s="51"/>
    </row>
    <row r="509" spans="1:40">
      <c r="C509" s="42"/>
      <c r="F509" s="45"/>
      <c r="H509" s="45"/>
      <c r="I509" s="45"/>
      <c r="J509" s="56"/>
      <c r="K509" s="56"/>
      <c r="L509" s="45"/>
      <c r="M509" s="45"/>
      <c r="N509" s="46"/>
      <c r="O509" s="46"/>
      <c r="P509" s="45"/>
      <c r="Q509" s="45"/>
      <c r="R509" s="45"/>
      <c r="T509" s="42"/>
      <c r="V509" s="45"/>
      <c r="W509" s="45"/>
      <c r="X509" s="45"/>
      <c r="Y509" s="45"/>
      <c r="Z509" s="56"/>
      <c r="AA509" s="45"/>
      <c r="AB509" s="45"/>
      <c r="AC509" s="46"/>
      <c r="AD509" s="46"/>
      <c r="AE509" s="45"/>
      <c r="AF509" s="45"/>
      <c r="AH509" s="51"/>
      <c r="AI509" s="45"/>
      <c r="AJ509" s="45"/>
      <c r="AL509" s="45"/>
      <c r="AM509" s="51"/>
      <c r="AN509" s="51"/>
    </row>
    <row r="510" spans="1:40">
      <c r="C510" s="42"/>
      <c r="F510" s="45"/>
      <c r="H510" s="45"/>
      <c r="I510" s="45"/>
      <c r="J510" s="56"/>
      <c r="K510" s="56"/>
      <c r="T510" s="42"/>
      <c r="V510" s="45"/>
      <c r="Z510" s="56"/>
    </row>
    <row r="511" spans="1:40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51"/>
      <c r="AN511" s="51"/>
    </row>
    <row r="512" spans="1:40">
      <c r="C512" s="42"/>
      <c r="F512" s="45"/>
      <c r="H512" s="45"/>
      <c r="I512" s="45"/>
      <c r="J512" s="56"/>
      <c r="K512" s="56"/>
      <c r="T512" s="42"/>
      <c r="V512" s="45"/>
      <c r="W512" s="45"/>
      <c r="X512" s="45"/>
      <c r="Y512" s="45"/>
      <c r="Z512" s="56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3:40">
      <c r="C513" s="42"/>
      <c r="F513" s="164"/>
      <c r="H513" s="164"/>
      <c r="I513" s="164"/>
      <c r="J513" s="132"/>
      <c r="K513" s="132"/>
      <c r="L513" s="45"/>
      <c r="M513" s="45"/>
      <c r="N513" s="46"/>
      <c r="O513" s="46"/>
      <c r="P513" s="45"/>
      <c r="Q513" s="45"/>
      <c r="R513" s="45"/>
      <c r="T513" s="42"/>
      <c r="V513" s="45"/>
      <c r="W513" s="45"/>
      <c r="X513" s="45"/>
      <c r="Y513" s="45"/>
      <c r="Z513" s="132"/>
      <c r="AA513" s="45"/>
      <c r="AB513" s="45"/>
      <c r="AC513" s="46"/>
      <c r="AD513" s="46"/>
      <c r="AE513" s="45"/>
      <c r="AF513" s="45"/>
      <c r="AH513" s="51"/>
      <c r="AI513" s="45"/>
      <c r="AJ513" s="45"/>
      <c r="AL513" s="45"/>
      <c r="AM513" s="51"/>
      <c r="AN513" s="51"/>
    </row>
    <row r="514" spans="3:40">
      <c r="C514" s="42"/>
      <c r="F514" s="45"/>
      <c r="H514" s="45"/>
      <c r="I514" s="45"/>
      <c r="J514" s="56"/>
      <c r="K514" s="56"/>
      <c r="L514" s="45"/>
      <c r="M514" s="45"/>
      <c r="N514" s="46"/>
      <c r="O514" s="46"/>
      <c r="P514" s="45"/>
      <c r="Q514" s="45"/>
      <c r="R514" s="45"/>
      <c r="T514" s="42"/>
      <c r="V514" s="45"/>
      <c r="W514" s="45"/>
      <c r="X514" s="45"/>
      <c r="Y514" s="45"/>
      <c r="Z514" s="56"/>
      <c r="AA514" s="45"/>
      <c r="AB514" s="45"/>
      <c r="AC514" s="46"/>
      <c r="AD514" s="46"/>
      <c r="AE514" s="45"/>
      <c r="AF514" s="45"/>
      <c r="AH514" s="51"/>
      <c r="AI514" s="45"/>
      <c r="AJ514" s="45"/>
      <c r="AL514" s="45"/>
      <c r="AM514" s="51"/>
      <c r="AN514" s="51"/>
    </row>
    <row r="515" spans="3:40">
      <c r="F515" s="45"/>
      <c r="H515" s="45"/>
      <c r="I515" s="45"/>
      <c r="J515" s="56"/>
      <c r="K515" s="56"/>
      <c r="Z515" s="56"/>
    </row>
    <row r="516" spans="3:40">
      <c r="C516" s="42"/>
      <c r="F516" s="45"/>
      <c r="H516" s="164"/>
      <c r="I516" s="164"/>
      <c r="J516" s="132"/>
      <c r="K516" s="132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132"/>
      <c r="AA516" s="45"/>
      <c r="AB516" s="45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3:40">
      <c r="F517" s="50"/>
      <c r="H517" s="50"/>
      <c r="I517" s="50"/>
      <c r="J517" s="132"/>
      <c r="K517" s="132"/>
      <c r="L517" s="50"/>
      <c r="M517" s="50"/>
      <c r="N517" s="50"/>
      <c r="O517" s="50"/>
      <c r="P517" s="50"/>
      <c r="Q517" s="50"/>
      <c r="R517" s="50"/>
      <c r="V517" s="50"/>
      <c r="Y517" s="50"/>
      <c r="Z517" s="132"/>
      <c r="AA517" s="50"/>
      <c r="AB517" s="50"/>
      <c r="AC517" s="50"/>
      <c r="AD517" s="50"/>
      <c r="AE517" s="50"/>
      <c r="AF517" s="50"/>
      <c r="AI517" s="50"/>
      <c r="AJ517" s="50"/>
      <c r="AK517" s="111"/>
      <c r="AL517" s="50"/>
    </row>
    <row r="518" spans="3:40">
      <c r="C518" s="42"/>
      <c r="F518" s="45"/>
      <c r="H518" s="45"/>
      <c r="I518" s="45"/>
      <c r="J518" s="56"/>
      <c r="K518" s="56"/>
      <c r="L518" s="45"/>
      <c r="M518" s="45"/>
      <c r="P518" s="45"/>
      <c r="Q518" s="45"/>
      <c r="R518" s="45"/>
      <c r="T518" s="42"/>
      <c r="V518" s="45"/>
      <c r="Y518" s="45"/>
      <c r="Z518" s="56"/>
      <c r="AA518" s="45"/>
      <c r="AB518" s="45"/>
      <c r="AC518" s="51"/>
      <c r="AD518" s="51"/>
      <c r="AE518" s="45"/>
      <c r="AF518" s="45"/>
      <c r="AH518" s="51"/>
      <c r="AI518" s="45"/>
      <c r="AJ518" s="45"/>
      <c r="AL518" s="45"/>
      <c r="AM518" s="51"/>
      <c r="AN518" s="51"/>
    </row>
    <row r="519" spans="3:40">
      <c r="F519" s="50"/>
      <c r="H519" s="50"/>
      <c r="I519" s="50"/>
      <c r="J519" s="132"/>
      <c r="K519" s="132"/>
      <c r="L519" s="50"/>
      <c r="M519" s="50"/>
      <c r="N519" s="50"/>
      <c r="O519" s="50"/>
      <c r="P519" s="50"/>
      <c r="Q519" s="50"/>
      <c r="R519" s="50"/>
      <c r="V519" s="50"/>
      <c r="Y519" s="50"/>
      <c r="Z519" s="132"/>
      <c r="AA519" s="50"/>
      <c r="AB519" s="50"/>
      <c r="AC519" s="50"/>
      <c r="AD519" s="50"/>
      <c r="AE519" s="50"/>
      <c r="AF519" s="50"/>
      <c r="AI519" s="50"/>
      <c r="AJ519" s="50"/>
      <c r="AK519" s="111"/>
      <c r="AL519" s="50"/>
    </row>
    <row r="520" spans="3:40">
      <c r="J520" s="56"/>
      <c r="K520" s="56"/>
      <c r="Z520" s="56"/>
    </row>
    <row r="521" spans="3:40">
      <c r="C521" s="42"/>
      <c r="J521" s="56"/>
      <c r="K521" s="56"/>
      <c r="T521" s="42"/>
      <c r="Z521" s="56"/>
    </row>
    <row r="522" spans="3:40">
      <c r="C522" s="42"/>
      <c r="J522" s="56"/>
      <c r="K522" s="56"/>
      <c r="T522" s="42"/>
      <c r="Z522" s="56"/>
    </row>
    <row r="523" spans="3:40">
      <c r="C523" s="42"/>
      <c r="F523" s="164"/>
      <c r="H523" s="164"/>
      <c r="I523" s="164"/>
      <c r="J523" s="132"/>
      <c r="K523" s="132"/>
      <c r="L523" s="45"/>
      <c r="M523" s="45"/>
      <c r="N523" s="46"/>
      <c r="O523" s="46"/>
      <c r="P523" s="45"/>
      <c r="Q523" s="45"/>
      <c r="R523" s="45"/>
      <c r="T523" s="42"/>
      <c r="V523" s="45"/>
      <c r="W523" s="45"/>
      <c r="X523" s="45"/>
      <c r="Y523" s="45"/>
      <c r="Z523" s="132"/>
      <c r="AA523" s="45"/>
      <c r="AB523" s="45"/>
      <c r="AC523" s="46"/>
      <c r="AD523" s="46"/>
      <c r="AE523" s="45"/>
      <c r="AF523" s="45"/>
      <c r="AH523" s="51"/>
      <c r="AI523" s="45"/>
      <c r="AJ523" s="45"/>
      <c r="AL523" s="45"/>
      <c r="AM523" s="51"/>
      <c r="AN523" s="51"/>
    </row>
    <row r="524" spans="3:40">
      <c r="C524" s="42"/>
      <c r="J524" s="56"/>
      <c r="K524" s="56"/>
      <c r="T524" s="42"/>
      <c r="Z524" s="56"/>
    </row>
    <row r="525" spans="3:40">
      <c r="C525" s="42"/>
      <c r="F525" s="164"/>
      <c r="H525" s="164"/>
      <c r="I525" s="164"/>
      <c r="J525" s="132"/>
      <c r="K525" s="132"/>
      <c r="L525" s="45"/>
      <c r="M525" s="45"/>
      <c r="N525" s="46"/>
      <c r="O525" s="46"/>
      <c r="P525" s="45"/>
      <c r="Q525" s="45"/>
      <c r="R525" s="45"/>
      <c r="T525" s="42"/>
      <c r="V525" s="45"/>
      <c r="W525" s="45"/>
      <c r="X525" s="45"/>
      <c r="Y525" s="45"/>
      <c r="Z525" s="132"/>
      <c r="AA525" s="45"/>
      <c r="AB525" s="45"/>
      <c r="AC525" s="46"/>
      <c r="AD525" s="46"/>
      <c r="AE525" s="45"/>
      <c r="AF525" s="45"/>
      <c r="AH525" s="51"/>
      <c r="AI525" s="45"/>
      <c r="AJ525" s="45"/>
      <c r="AL525" s="45"/>
      <c r="AM525" s="51"/>
      <c r="AN525" s="51"/>
    </row>
    <row r="526" spans="3:40">
      <c r="F526" s="50"/>
      <c r="H526" s="50"/>
      <c r="I526" s="50"/>
      <c r="J526" s="132"/>
      <c r="K526" s="132"/>
      <c r="L526" s="50"/>
      <c r="M526" s="50"/>
      <c r="N526" s="50"/>
      <c r="O526" s="50"/>
      <c r="P526" s="50"/>
      <c r="Q526" s="50"/>
      <c r="R526" s="50"/>
      <c r="V526" s="50"/>
      <c r="Y526" s="50"/>
      <c r="Z526" s="132"/>
      <c r="AA526" s="50"/>
      <c r="AB526" s="50"/>
      <c r="AC526" s="50"/>
      <c r="AD526" s="50"/>
      <c r="AE526" s="50"/>
      <c r="AF526" s="50"/>
      <c r="AI526" s="50"/>
      <c r="AJ526" s="50"/>
      <c r="AK526" s="111"/>
      <c r="AL526" s="50"/>
    </row>
    <row r="527" spans="3:40">
      <c r="C527" s="42"/>
      <c r="F527" s="45"/>
      <c r="H527" s="45"/>
      <c r="I527" s="45"/>
      <c r="J527" s="56"/>
      <c r="K527" s="56"/>
      <c r="L527" s="45"/>
      <c r="M527" s="45"/>
      <c r="N527" s="51"/>
      <c r="O527" s="51"/>
      <c r="P527" s="45"/>
      <c r="Q527" s="45"/>
      <c r="R527" s="45"/>
      <c r="T527" s="42"/>
      <c r="V527" s="45"/>
      <c r="Y527" s="45"/>
      <c r="Z527" s="56"/>
      <c r="AA527" s="45"/>
      <c r="AB527" s="45"/>
      <c r="AC527" s="51"/>
      <c r="AD527" s="51"/>
      <c r="AE527" s="45"/>
      <c r="AF527" s="45"/>
      <c r="AH527" s="51"/>
      <c r="AI527" s="45"/>
      <c r="AJ527" s="45"/>
      <c r="AL527" s="45"/>
      <c r="AM527" s="51"/>
      <c r="AN527" s="51"/>
    </row>
    <row r="528" spans="3:40">
      <c r="F528" s="50"/>
      <c r="H528" s="50"/>
      <c r="I528" s="50"/>
      <c r="J528" s="132"/>
      <c r="K528" s="132"/>
      <c r="L528" s="50"/>
      <c r="M528" s="50"/>
      <c r="N528" s="50"/>
      <c r="O528" s="50"/>
      <c r="P528" s="50"/>
      <c r="Q528" s="50"/>
      <c r="R528" s="50"/>
      <c r="V528" s="50"/>
      <c r="Y528" s="50"/>
      <c r="Z528" s="326"/>
      <c r="AA528" s="50"/>
      <c r="AB528" s="50"/>
      <c r="AC528" s="50"/>
      <c r="AD528" s="50"/>
      <c r="AE528" s="50"/>
      <c r="AF528" s="50"/>
      <c r="AI528" s="50"/>
      <c r="AJ528" s="50"/>
      <c r="AK528" s="111"/>
      <c r="AL528" s="50"/>
    </row>
    <row r="529" spans="1:40">
      <c r="J529" s="56"/>
      <c r="K529" s="56"/>
    </row>
    <row r="530" spans="1:40">
      <c r="C530" s="42"/>
      <c r="F530" s="45"/>
      <c r="H530" s="45"/>
      <c r="I530" s="45"/>
      <c r="J530" s="56"/>
      <c r="K530" s="56"/>
      <c r="L530" s="45"/>
      <c r="M530" s="45"/>
      <c r="N530" s="46"/>
      <c r="O530" s="46"/>
      <c r="P530" s="164"/>
      <c r="Q530" s="164"/>
      <c r="R530" s="45"/>
      <c r="T530" s="42"/>
      <c r="V530" s="45"/>
      <c r="Y530" s="45"/>
      <c r="AA530" s="45"/>
      <c r="AB530" s="45"/>
      <c r="AC530" s="51"/>
      <c r="AD530" s="51"/>
      <c r="AE530" s="45"/>
      <c r="AF530" s="45"/>
      <c r="AH530" s="51"/>
      <c r="AI530" s="164"/>
      <c r="AJ530" s="164"/>
      <c r="AL530" s="45"/>
      <c r="AM530" s="51"/>
      <c r="AN530" s="51"/>
    </row>
    <row r="531" spans="1:40">
      <c r="H531" s="50"/>
      <c r="I531" s="50"/>
      <c r="J531" s="132"/>
      <c r="K531" s="132"/>
      <c r="L531" s="50"/>
      <c r="M531" s="50"/>
      <c r="N531" s="50"/>
      <c r="O531" s="50"/>
      <c r="P531" s="50"/>
      <c r="Q531" s="50"/>
      <c r="R531" s="50"/>
      <c r="V531" s="50"/>
      <c r="Y531" s="50"/>
      <c r="Z531" s="326"/>
      <c r="AA531" s="50"/>
      <c r="AB531" s="50"/>
      <c r="AC531" s="50"/>
      <c r="AD531" s="50"/>
      <c r="AE531" s="50"/>
      <c r="AF531" s="50"/>
      <c r="AI531" s="50"/>
      <c r="AJ531" s="50"/>
      <c r="AK531" s="111"/>
      <c r="AL531" s="50"/>
    </row>
    <row r="532" spans="1:40">
      <c r="F532" s="50"/>
    </row>
    <row r="534" spans="1:40">
      <c r="A534" s="42"/>
    </row>
    <row r="536" spans="1:40">
      <c r="H536" s="42"/>
      <c r="I536" s="42"/>
      <c r="Y536" s="42"/>
    </row>
    <row r="538" spans="1:40">
      <c r="L538" s="42"/>
      <c r="M538" s="42"/>
      <c r="AA538" s="42"/>
      <c r="AB538" s="42"/>
    </row>
    <row r="539" spans="1:40">
      <c r="R539" s="42"/>
      <c r="AK539" s="110"/>
      <c r="AL539" s="42"/>
    </row>
    <row r="540" spans="1:40">
      <c r="R540" s="42"/>
      <c r="AK540" s="110"/>
      <c r="AL540" s="42"/>
    </row>
    <row r="541" spans="1:40">
      <c r="A541" s="42"/>
      <c r="R541" s="42"/>
      <c r="AK541" s="110"/>
      <c r="AL541" s="42"/>
    </row>
    <row r="542" spans="1:40">
      <c r="L542" s="42"/>
      <c r="M542" s="42"/>
      <c r="AA542" s="42"/>
      <c r="AB542" s="42"/>
    </row>
    <row r="543" spans="1:40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107"/>
      <c r="AH543" s="49"/>
      <c r="AI543" s="49"/>
      <c r="AJ543" s="49"/>
      <c r="AK543" s="107"/>
      <c r="AL543" s="49"/>
      <c r="AM543" s="49"/>
      <c r="AN543" s="49"/>
    </row>
    <row r="544" spans="1:40">
      <c r="L544" s="44"/>
      <c r="M544" s="44"/>
      <c r="N544" s="44"/>
      <c r="O544" s="44"/>
      <c r="R544" s="44"/>
      <c r="AA544" s="44"/>
      <c r="AB544" s="44"/>
      <c r="AC544" s="44"/>
      <c r="AD544" s="44"/>
      <c r="AE544" s="44"/>
      <c r="AF544" s="44"/>
      <c r="AG544" s="102"/>
      <c r="AH544" s="44"/>
      <c r="AK544" s="102"/>
      <c r="AL544" s="44"/>
      <c r="AM544" s="44"/>
      <c r="AN544" s="44"/>
    </row>
    <row r="545" spans="1:40">
      <c r="L545" s="44"/>
      <c r="M545" s="44"/>
      <c r="N545" s="44"/>
      <c r="O545" s="44"/>
      <c r="R545" s="44"/>
      <c r="Z545" s="44"/>
      <c r="AA545" s="44"/>
      <c r="AB545" s="44"/>
      <c r="AC545" s="44"/>
      <c r="AD545" s="44"/>
      <c r="AE545" s="44"/>
      <c r="AF545" s="44"/>
      <c r="AG545" s="102"/>
      <c r="AH545" s="44"/>
      <c r="AK545" s="102"/>
      <c r="AL545" s="44"/>
      <c r="AM545" s="44"/>
      <c r="AN545" s="44"/>
    </row>
    <row r="546" spans="1:40">
      <c r="A546" s="44"/>
      <c r="C546" s="44"/>
      <c r="D546" s="44"/>
      <c r="E546" s="44"/>
      <c r="F546" s="44"/>
      <c r="J546" s="44"/>
      <c r="K546" s="44"/>
      <c r="L546" s="44"/>
      <c r="M546" s="44"/>
      <c r="N546" s="44"/>
      <c r="O546" s="44"/>
      <c r="P546" s="44"/>
      <c r="Q546" s="44"/>
      <c r="R546" s="44"/>
      <c r="T546" s="44"/>
      <c r="U546" s="44"/>
      <c r="V546" s="44"/>
      <c r="Z546" s="44"/>
      <c r="AA546" s="44"/>
      <c r="AB546" s="44"/>
      <c r="AC546" s="44"/>
      <c r="AD546" s="44"/>
      <c r="AE546" s="44"/>
      <c r="AF546" s="44"/>
      <c r="AG546" s="102"/>
      <c r="AH546" s="44"/>
      <c r="AI546" s="44"/>
      <c r="AJ546" s="44"/>
      <c r="AK546" s="102"/>
      <c r="AL546" s="44"/>
      <c r="AM546" s="44"/>
      <c r="AN546" s="44"/>
    </row>
    <row r="547" spans="1:40">
      <c r="A547" s="44"/>
      <c r="C547" s="44"/>
      <c r="D547" s="44"/>
      <c r="E547" s="44"/>
      <c r="F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T547" s="44"/>
      <c r="U547" s="44"/>
      <c r="V547" s="44"/>
      <c r="Y547" s="44"/>
      <c r="Z547" s="44"/>
      <c r="AA547" s="44"/>
      <c r="AB547" s="44"/>
      <c r="AC547" s="44"/>
      <c r="AD547" s="44"/>
      <c r="AE547" s="44"/>
      <c r="AF547" s="44"/>
      <c r="AG547" s="102"/>
      <c r="AH547" s="44"/>
      <c r="AI547" s="44"/>
      <c r="AJ547" s="44"/>
      <c r="AK547" s="102"/>
      <c r="AL547" s="44"/>
      <c r="AM547" s="44"/>
      <c r="AN547" s="44"/>
    </row>
    <row r="548" spans="1:40">
      <c r="C548" s="44"/>
      <c r="D548" s="44"/>
      <c r="E548" s="44"/>
      <c r="F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T548" s="44"/>
      <c r="U548" s="44"/>
      <c r="V548" s="44"/>
      <c r="Y548" s="44"/>
      <c r="Z548" s="44"/>
      <c r="AA548" s="44"/>
      <c r="AB548" s="44"/>
      <c r="AC548" s="44"/>
      <c r="AD548" s="44"/>
      <c r="AE548" s="44"/>
      <c r="AF548" s="44"/>
      <c r="AG548" s="102"/>
      <c r="AH548" s="44"/>
      <c r="AI548" s="44"/>
      <c r="AJ548" s="44"/>
      <c r="AK548" s="102"/>
      <c r="AL548" s="44"/>
      <c r="AM548" s="44"/>
      <c r="AN548" s="44"/>
    </row>
    <row r="549" spans="1:40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107"/>
      <c r="AH549" s="49"/>
      <c r="AI549" s="49"/>
      <c r="AJ549" s="49"/>
      <c r="AK549" s="107"/>
      <c r="AL549" s="49"/>
      <c r="AM549" s="49"/>
      <c r="AN549" s="49"/>
    </row>
    <row r="550" spans="1:40"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Y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>
      <c r="C551" s="42"/>
      <c r="D551" s="42"/>
      <c r="E551" s="42"/>
      <c r="T551" s="42"/>
      <c r="U551" s="42"/>
    </row>
    <row r="553" spans="1:40">
      <c r="C553" s="42"/>
      <c r="D553" s="42"/>
      <c r="E553" s="42"/>
      <c r="T553" s="42"/>
      <c r="U553" s="42"/>
    </row>
    <row r="554" spans="1:40">
      <c r="C554" s="42"/>
      <c r="T554" s="42"/>
    </row>
    <row r="555" spans="1:40">
      <c r="C555" s="42"/>
      <c r="T555" s="42"/>
    </row>
    <row r="556" spans="1:40">
      <c r="C556" s="42"/>
      <c r="H556" s="164"/>
      <c r="I556" s="164"/>
      <c r="J556" s="132"/>
      <c r="K556" s="132"/>
      <c r="L556" s="45"/>
      <c r="M556" s="45"/>
      <c r="N556" s="46"/>
      <c r="O556" s="46"/>
      <c r="P556" s="45"/>
      <c r="Q556" s="45"/>
      <c r="R556" s="45"/>
      <c r="T556" s="42"/>
      <c r="V556" s="45"/>
      <c r="W556" s="45"/>
      <c r="X556" s="45"/>
      <c r="Y556" s="45"/>
      <c r="Z556" s="132"/>
      <c r="AA556" s="45"/>
      <c r="AB556" s="45"/>
      <c r="AC556" s="46"/>
      <c r="AD556" s="46"/>
      <c r="AE556" s="45"/>
      <c r="AF556" s="45"/>
      <c r="AH556" s="51"/>
      <c r="AI556" s="45"/>
      <c r="AJ556" s="45"/>
      <c r="AL556" s="45"/>
      <c r="AM556" s="46"/>
      <c r="AN556" s="46"/>
    </row>
    <row r="557" spans="1:40">
      <c r="C557" s="42"/>
      <c r="F557" s="164"/>
      <c r="J557" s="56"/>
      <c r="K557" s="56"/>
      <c r="T557" s="42"/>
      <c r="V557" s="45"/>
      <c r="W557" s="45"/>
      <c r="X557" s="45"/>
      <c r="Y557" s="45"/>
      <c r="Z557" s="132"/>
    </row>
    <row r="558" spans="1:40">
      <c r="C558" s="42"/>
      <c r="H558" s="164"/>
      <c r="I558" s="164"/>
      <c r="J558" s="132"/>
      <c r="K558" s="132"/>
      <c r="L558" s="45"/>
      <c r="M558" s="45"/>
      <c r="N558" s="46"/>
      <c r="O558" s="46"/>
      <c r="P558" s="45"/>
      <c r="Q558" s="45"/>
      <c r="R558" s="45"/>
      <c r="T558" s="42"/>
      <c r="V558" s="45"/>
      <c r="W558" s="45"/>
      <c r="X558" s="45"/>
      <c r="Y558" s="45"/>
      <c r="Z558" s="132"/>
      <c r="AA558" s="45"/>
      <c r="AB558" s="45"/>
      <c r="AC558" s="46"/>
      <c r="AD558" s="46"/>
      <c r="AE558" s="45"/>
      <c r="AF558" s="45"/>
      <c r="AH558" s="51"/>
      <c r="AI558" s="45"/>
      <c r="AJ558" s="45"/>
      <c r="AL558" s="45"/>
      <c r="AM558" s="46"/>
      <c r="AN558" s="46"/>
    </row>
    <row r="559" spans="1:40">
      <c r="C559" s="42"/>
      <c r="F559" s="164"/>
      <c r="J559" s="56"/>
      <c r="K559" s="56"/>
      <c r="T559" s="42"/>
      <c r="V559" s="45"/>
      <c r="W559" s="45"/>
      <c r="X559" s="45"/>
      <c r="Y559" s="45"/>
      <c r="Z559" s="132"/>
    </row>
    <row r="560" spans="1:40">
      <c r="C560" s="42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46"/>
      <c r="AN560" s="46"/>
    </row>
    <row r="561" spans="3:40">
      <c r="C561" s="42"/>
      <c r="F561" s="164"/>
      <c r="J561" s="56"/>
      <c r="K561" s="56"/>
      <c r="T561" s="42"/>
      <c r="V561" s="45"/>
      <c r="W561" s="45"/>
      <c r="X561" s="45"/>
      <c r="Y561" s="45"/>
      <c r="Z561" s="132"/>
    </row>
    <row r="562" spans="3:40">
      <c r="C562" s="42"/>
      <c r="H562" s="164"/>
      <c r="I562" s="164"/>
      <c r="J562" s="132"/>
      <c r="K562" s="132"/>
      <c r="L562" s="45"/>
      <c r="M562" s="45"/>
      <c r="N562" s="46"/>
      <c r="O562" s="46"/>
      <c r="P562" s="45"/>
      <c r="Q562" s="45"/>
      <c r="R562" s="45"/>
      <c r="T562" s="42"/>
      <c r="V562" s="45"/>
      <c r="W562" s="45"/>
      <c r="X562" s="45"/>
      <c r="Y562" s="45"/>
      <c r="Z562" s="132"/>
      <c r="AA562" s="45"/>
      <c r="AB562" s="45"/>
      <c r="AC562" s="46"/>
      <c r="AD562" s="46"/>
      <c r="AE562" s="45"/>
      <c r="AF562" s="45"/>
      <c r="AH562" s="51"/>
      <c r="AI562" s="45"/>
      <c r="AJ562" s="45"/>
      <c r="AL562" s="45"/>
      <c r="AM562" s="46"/>
      <c r="AN562" s="46"/>
    </row>
    <row r="563" spans="3:40">
      <c r="C563" s="42"/>
      <c r="F563" s="164"/>
      <c r="J563" s="56"/>
      <c r="K563" s="56"/>
      <c r="T563" s="42"/>
      <c r="V563" s="45"/>
      <c r="W563" s="45"/>
      <c r="X563" s="45"/>
      <c r="Y563" s="45"/>
      <c r="Z563" s="132"/>
    </row>
    <row r="564" spans="3:40">
      <c r="C564" s="42"/>
      <c r="H564" s="164"/>
      <c r="I564" s="164"/>
      <c r="J564" s="132"/>
      <c r="K564" s="132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132"/>
      <c r="AA564" s="45"/>
      <c r="AB564" s="45"/>
      <c r="AC564" s="46"/>
      <c r="AD564" s="46"/>
      <c r="AE564" s="45"/>
      <c r="AF564" s="45"/>
      <c r="AH564" s="51"/>
      <c r="AI564" s="45"/>
      <c r="AJ564" s="45"/>
      <c r="AL564" s="45"/>
      <c r="AM564" s="46"/>
      <c r="AN564" s="46"/>
    </row>
    <row r="565" spans="3:40">
      <c r="C565" s="42"/>
      <c r="F565" s="164"/>
      <c r="J565" s="56"/>
      <c r="K565" s="56"/>
      <c r="T565" s="42"/>
      <c r="V565" s="45"/>
      <c r="W565" s="45"/>
      <c r="X565" s="45"/>
      <c r="Y565" s="45"/>
      <c r="Z565" s="132"/>
    </row>
    <row r="566" spans="3:40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46"/>
      <c r="AN566" s="46"/>
    </row>
    <row r="567" spans="3:40">
      <c r="F567" s="164"/>
      <c r="H567" s="50"/>
      <c r="I567" s="50"/>
      <c r="J567" s="132"/>
      <c r="K567" s="132"/>
      <c r="L567" s="50"/>
      <c r="M567" s="50"/>
      <c r="N567" s="50"/>
      <c r="O567" s="50"/>
      <c r="P567" s="50"/>
      <c r="Q567" s="50"/>
      <c r="R567" s="50"/>
      <c r="V567" s="50"/>
      <c r="Y567" s="50"/>
      <c r="Z567" s="132"/>
      <c r="AA567" s="50"/>
      <c r="AB567" s="50"/>
      <c r="AC567" s="50"/>
      <c r="AD567" s="50"/>
      <c r="AE567" s="50"/>
      <c r="AF567" s="50"/>
      <c r="AI567" s="50"/>
      <c r="AJ567" s="50"/>
      <c r="AK567" s="111"/>
      <c r="AL567" s="50"/>
      <c r="AM567" s="46"/>
      <c r="AN567" s="46"/>
    </row>
    <row r="568" spans="3:40">
      <c r="C568" s="42"/>
      <c r="F568" s="50"/>
      <c r="H568" s="45"/>
      <c r="I568" s="45"/>
      <c r="J568" s="56"/>
      <c r="K568" s="56"/>
      <c r="L568" s="45"/>
      <c r="M568" s="45"/>
      <c r="N568" s="46"/>
      <c r="O568" s="46"/>
      <c r="P568" s="164"/>
      <c r="Q568" s="164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164"/>
      <c r="AJ568" s="164"/>
      <c r="AL568" s="45"/>
      <c r="AM568" s="46"/>
      <c r="AN568" s="46"/>
    </row>
    <row r="569" spans="3:40">
      <c r="F569" s="45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132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0" spans="3:40">
      <c r="C570" s="42"/>
      <c r="D570" s="42"/>
      <c r="E570" s="42"/>
      <c r="F570" s="50"/>
      <c r="J570" s="56"/>
      <c r="K570" s="56"/>
      <c r="T570" s="42"/>
      <c r="U570" s="42"/>
      <c r="V570" s="45"/>
      <c r="W570" s="45"/>
      <c r="X570" s="45"/>
      <c r="Y570" s="45"/>
      <c r="Z570" s="132"/>
    </row>
    <row r="571" spans="3:40">
      <c r="C571" s="42"/>
      <c r="J571" s="56"/>
      <c r="K571" s="56"/>
      <c r="T571" s="42"/>
      <c r="V571" s="45"/>
      <c r="W571" s="45"/>
      <c r="X571" s="45"/>
      <c r="Y571" s="45"/>
      <c r="Z571" s="132"/>
    </row>
    <row r="572" spans="3:40">
      <c r="C572" s="42"/>
      <c r="J572" s="56"/>
      <c r="K572" s="56"/>
      <c r="T572" s="42"/>
      <c r="V572" s="45"/>
      <c r="W572" s="45"/>
      <c r="X572" s="45"/>
      <c r="Y572" s="45"/>
      <c r="Z572" s="132"/>
    </row>
    <row r="573" spans="3:40">
      <c r="C573" s="42"/>
      <c r="H573" s="164"/>
      <c r="I573" s="164"/>
      <c r="J573" s="132"/>
      <c r="K573" s="132"/>
      <c r="L573" s="45"/>
      <c r="M573" s="45"/>
      <c r="N573" s="46"/>
      <c r="O573" s="46"/>
      <c r="P573" s="45"/>
      <c r="Q573" s="45"/>
      <c r="R573" s="45"/>
      <c r="T573" s="42"/>
      <c r="V573" s="45"/>
      <c r="W573" s="45"/>
      <c r="X573" s="45"/>
      <c r="Y573" s="45"/>
      <c r="Z573" s="132"/>
      <c r="AA573" s="45"/>
      <c r="AB573" s="45"/>
      <c r="AC573" s="46"/>
      <c r="AD573" s="46"/>
      <c r="AE573" s="45"/>
      <c r="AF573" s="45"/>
      <c r="AH573" s="51"/>
      <c r="AI573" s="45"/>
      <c r="AJ573" s="45"/>
      <c r="AL573" s="45"/>
      <c r="AM573" s="46"/>
      <c r="AN573" s="46"/>
    </row>
    <row r="574" spans="3:40">
      <c r="C574" s="42"/>
      <c r="F574" s="164"/>
      <c r="J574" s="56"/>
      <c r="K574" s="56"/>
      <c r="T574" s="42"/>
      <c r="V574" s="45"/>
      <c r="W574" s="45"/>
      <c r="X574" s="45"/>
      <c r="Y574" s="45"/>
      <c r="Z574" s="132"/>
    </row>
    <row r="575" spans="3:40">
      <c r="C575" s="42"/>
      <c r="H575" s="164"/>
      <c r="I575" s="164"/>
      <c r="J575" s="132"/>
      <c r="K575" s="132"/>
      <c r="L575" s="45"/>
      <c r="M575" s="45"/>
      <c r="N575" s="46"/>
      <c r="O575" s="46"/>
      <c r="P575" s="45"/>
      <c r="Q575" s="45"/>
      <c r="R575" s="45"/>
      <c r="T575" s="42"/>
      <c r="V575" s="45"/>
      <c r="W575" s="45"/>
      <c r="X575" s="45"/>
      <c r="Y575" s="45"/>
      <c r="Z575" s="132"/>
      <c r="AA575" s="45"/>
      <c r="AB575" s="45"/>
      <c r="AC575" s="46"/>
      <c r="AD575" s="46"/>
      <c r="AE575" s="45"/>
      <c r="AF575" s="45"/>
      <c r="AH575" s="51"/>
      <c r="AI575" s="45"/>
      <c r="AJ575" s="45"/>
      <c r="AL575" s="45"/>
      <c r="AM575" s="46"/>
      <c r="AN575" s="46"/>
    </row>
    <row r="576" spans="3:40">
      <c r="F576" s="164"/>
      <c r="H576" s="50"/>
      <c r="I576" s="50"/>
      <c r="J576" s="132"/>
      <c r="K576" s="132"/>
      <c r="L576" s="50"/>
      <c r="M576" s="50"/>
      <c r="N576" s="50"/>
      <c r="O576" s="50"/>
      <c r="P576" s="50"/>
      <c r="Q576" s="50"/>
      <c r="R576" s="50"/>
      <c r="V576" s="50"/>
      <c r="Y576" s="50"/>
      <c r="Z576" s="326"/>
      <c r="AA576" s="50"/>
      <c r="AB576" s="50"/>
      <c r="AC576" s="50"/>
      <c r="AD576" s="50"/>
      <c r="AE576" s="50"/>
      <c r="AF576" s="50"/>
      <c r="AI576" s="50"/>
      <c r="AJ576" s="50"/>
      <c r="AK576" s="111"/>
      <c r="AL576" s="50"/>
    </row>
    <row r="577" spans="3:40">
      <c r="C577" s="42"/>
      <c r="F577" s="50"/>
      <c r="H577" s="45"/>
      <c r="I577" s="45"/>
      <c r="L577" s="45"/>
      <c r="M577" s="45"/>
      <c r="N577" s="46"/>
      <c r="O577" s="46"/>
      <c r="P577" s="164"/>
      <c r="Q577" s="164"/>
      <c r="R577" s="45"/>
      <c r="T577" s="42"/>
      <c r="V577" s="45"/>
      <c r="W577" s="45"/>
      <c r="X577" s="45"/>
      <c r="Y577" s="45"/>
      <c r="Z577" s="336"/>
      <c r="AA577" s="45"/>
      <c r="AB577" s="45"/>
      <c r="AC577" s="46"/>
      <c r="AD577" s="46"/>
      <c r="AE577" s="45"/>
      <c r="AF577" s="45"/>
      <c r="AH577" s="51"/>
      <c r="AI577" s="164"/>
      <c r="AJ577" s="164"/>
      <c r="AL577" s="45"/>
      <c r="AM577" s="46"/>
      <c r="AN577" s="46"/>
    </row>
    <row r="578" spans="3:40">
      <c r="F578" s="45"/>
      <c r="H578" s="50"/>
      <c r="I578" s="50"/>
      <c r="J578" s="326"/>
      <c r="K578" s="326"/>
      <c r="L578" s="50"/>
      <c r="M578" s="50"/>
      <c r="N578" s="50"/>
      <c r="O578" s="50"/>
      <c r="P578" s="50"/>
      <c r="Q578" s="50"/>
      <c r="R578" s="50"/>
      <c r="V578" s="50"/>
      <c r="Y578" s="50"/>
      <c r="Z578" s="326"/>
      <c r="AA578" s="50"/>
      <c r="AB578" s="50"/>
      <c r="AC578" s="50"/>
      <c r="AD578" s="50"/>
      <c r="AE578" s="50"/>
      <c r="AF578" s="50"/>
      <c r="AI578" s="50"/>
      <c r="AJ578" s="50"/>
      <c r="AK578" s="111"/>
      <c r="AL578" s="50"/>
    </row>
    <row r="579" spans="3:40">
      <c r="C579" s="42"/>
      <c r="D579" s="42"/>
      <c r="E579" s="42"/>
      <c r="F579" s="50"/>
      <c r="T579" s="42"/>
      <c r="U579" s="42"/>
      <c r="V579" s="45"/>
      <c r="W579" s="45"/>
      <c r="X579" s="45"/>
      <c r="Y579" s="45"/>
      <c r="Z579" s="336"/>
    </row>
    <row r="580" spans="3:40">
      <c r="C580" s="42"/>
      <c r="T580" s="42"/>
      <c r="V580" s="45"/>
      <c r="W580" s="45"/>
      <c r="X580" s="45"/>
      <c r="Y580" s="45"/>
      <c r="Z580" s="336"/>
    </row>
    <row r="581" spans="3:40">
      <c r="C581" s="42"/>
      <c r="H581" s="164"/>
      <c r="I581" s="164"/>
      <c r="J581" s="336"/>
      <c r="K581" s="336"/>
      <c r="L581" s="45"/>
      <c r="M581" s="45"/>
      <c r="N581" s="46"/>
      <c r="O581" s="46"/>
      <c r="P581" s="45"/>
      <c r="Q581" s="45"/>
      <c r="R581" s="45"/>
      <c r="T581" s="42"/>
      <c r="V581" s="45"/>
      <c r="W581" s="45"/>
      <c r="X581" s="45"/>
      <c r="Y581" s="45"/>
      <c r="Z581" s="336"/>
      <c r="AA581" s="45"/>
      <c r="AB581" s="45"/>
      <c r="AC581" s="46"/>
      <c r="AD581" s="46"/>
      <c r="AE581" s="45"/>
      <c r="AF581" s="45"/>
      <c r="AH581" s="51"/>
      <c r="AI581" s="45"/>
      <c r="AJ581" s="45"/>
      <c r="AL581" s="45"/>
      <c r="AM581" s="46"/>
      <c r="AN581" s="46"/>
    </row>
    <row r="582" spans="3:40">
      <c r="C582" s="42"/>
      <c r="F582" s="164"/>
      <c r="T582" s="42"/>
      <c r="V582" s="45"/>
      <c r="W582" s="45"/>
      <c r="X582" s="45"/>
      <c r="Y582" s="45"/>
      <c r="Z582" s="336"/>
    </row>
    <row r="583" spans="3:40">
      <c r="C583" s="42"/>
      <c r="H583" s="164"/>
      <c r="I583" s="164"/>
      <c r="J583" s="336"/>
      <c r="K583" s="336"/>
      <c r="L583" s="45"/>
      <c r="M583" s="45"/>
      <c r="N583" s="46"/>
      <c r="O583" s="46"/>
      <c r="P583" s="45"/>
      <c r="Q583" s="45"/>
      <c r="R583" s="45"/>
      <c r="T583" s="42"/>
      <c r="V583" s="45"/>
      <c r="W583" s="45"/>
      <c r="X583" s="45"/>
      <c r="Y583" s="45"/>
      <c r="Z583" s="336"/>
      <c r="AA583" s="45"/>
      <c r="AB583" s="45"/>
      <c r="AC583" s="46"/>
      <c r="AD583" s="46"/>
      <c r="AE583" s="45"/>
      <c r="AF583" s="45"/>
      <c r="AH583" s="51"/>
      <c r="AI583" s="45"/>
      <c r="AJ583" s="45"/>
      <c r="AL583" s="45"/>
      <c r="AM583" s="46"/>
      <c r="AN583" s="46"/>
    </row>
    <row r="584" spans="3:40">
      <c r="C584" s="42"/>
      <c r="F584" s="164"/>
      <c r="T584" s="42"/>
      <c r="V584" s="45"/>
      <c r="W584" s="45"/>
      <c r="X584" s="45"/>
      <c r="Y584" s="45"/>
      <c r="Z584" s="336"/>
    </row>
    <row r="585" spans="3:40">
      <c r="C585" s="42"/>
      <c r="H585" s="164"/>
      <c r="I585" s="164"/>
      <c r="J585" s="336"/>
      <c r="K585" s="336"/>
      <c r="L585" s="45"/>
      <c r="M585" s="45"/>
      <c r="N585" s="46"/>
      <c r="O585" s="46"/>
      <c r="P585" s="45"/>
      <c r="Q585" s="45"/>
      <c r="R585" s="45"/>
      <c r="T585" s="42"/>
      <c r="V585" s="45"/>
      <c r="W585" s="45"/>
      <c r="X585" s="45"/>
      <c r="Y585" s="45"/>
      <c r="Z585" s="336"/>
      <c r="AA585" s="45"/>
      <c r="AB585" s="45"/>
      <c r="AC585" s="46"/>
      <c r="AD585" s="46"/>
      <c r="AE585" s="45"/>
      <c r="AF585" s="45"/>
      <c r="AH585" s="51"/>
      <c r="AI585" s="45"/>
      <c r="AJ585" s="45"/>
      <c r="AL585" s="45"/>
      <c r="AM585" s="46"/>
      <c r="AN585" s="46"/>
    </row>
    <row r="586" spans="3:40">
      <c r="C586" s="42"/>
      <c r="F586" s="164"/>
      <c r="T586" s="42"/>
      <c r="V586" s="45"/>
      <c r="W586" s="45"/>
      <c r="X586" s="45"/>
      <c r="Y586" s="45"/>
      <c r="Z586" s="336"/>
    </row>
    <row r="587" spans="3:40">
      <c r="C587" s="42"/>
      <c r="H587" s="164"/>
      <c r="I587" s="164"/>
      <c r="J587" s="336"/>
      <c r="K587" s="336"/>
      <c r="L587" s="45"/>
      <c r="M587" s="45"/>
      <c r="N587" s="46"/>
      <c r="O587" s="46"/>
      <c r="P587" s="45"/>
      <c r="Q587" s="45"/>
      <c r="R587" s="45"/>
      <c r="T587" s="42"/>
      <c r="V587" s="45"/>
      <c r="W587" s="45"/>
      <c r="X587" s="45"/>
      <c r="Y587" s="45"/>
      <c r="Z587" s="336"/>
      <c r="AA587" s="45"/>
      <c r="AB587" s="45"/>
      <c r="AC587" s="46"/>
      <c r="AD587" s="46"/>
      <c r="AE587" s="45"/>
      <c r="AF587" s="45"/>
      <c r="AH587" s="51"/>
      <c r="AI587" s="45"/>
      <c r="AJ587" s="45"/>
      <c r="AL587" s="45"/>
      <c r="AM587" s="46"/>
      <c r="AN587" s="46"/>
    </row>
    <row r="588" spans="3:40">
      <c r="F588" s="164"/>
      <c r="H588" s="50"/>
      <c r="I588" s="50"/>
      <c r="J588" s="326"/>
      <c r="K588" s="326"/>
      <c r="L588" s="50"/>
      <c r="M588" s="50"/>
      <c r="N588" s="50"/>
      <c r="O588" s="50"/>
      <c r="P588" s="50"/>
      <c r="Q588" s="50"/>
      <c r="R588" s="50"/>
      <c r="V588" s="50"/>
      <c r="Y588" s="50"/>
      <c r="Z588" s="326"/>
      <c r="AA588" s="50"/>
      <c r="AB588" s="50"/>
      <c r="AC588" s="50"/>
      <c r="AD588" s="50"/>
      <c r="AE588" s="50"/>
      <c r="AF588" s="50"/>
      <c r="AI588" s="50"/>
      <c r="AJ588" s="50"/>
      <c r="AK588" s="111"/>
      <c r="AL588" s="50"/>
    </row>
    <row r="589" spans="3:40">
      <c r="C589" s="42"/>
      <c r="F589" s="50"/>
      <c r="H589" s="45"/>
      <c r="I589" s="45"/>
      <c r="L589" s="45"/>
      <c r="M589" s="45"/>
      <c r="N589" s="46"/>
      <c r="O589" s="46"/>
      <c r="P589" s="164"/>
      <c r="Q589" s="164"/>
      <c r="R589" s="45"/>
      <c r="T589" s="42"/>
      <c r="V589" s="45"/>
      <c r="W589" s="45"/>
      <c r="X589" s="45"/>
      <c r="Y589" s="45"/>
      <c r="Z589" s="336"/>
      <c r="AA589" s="45"/>
      <c r="AB589" s="45"/>
      <c r="AC589" s="46"/>
      <c r="AD589" s="46"/>
      <c r="AE589" s="45"/>
      <c r="AF589" s="45"/>
      <c r="AH589" s="51"/>
      <c r="AI589" s="164"/>
      <c r="AJ589" s="164"/>
      <c r="AL589" s="45"/>
      <c r="AM589" s="46"/>
      <c r="AN589" s="46"/>
    </row>
    <row r="590" spans="3:40">
      <c r="F590" s="45"/>
      <c r="H590" s="50"/>
      <c r="I590" s="50"/>
      <c r="J590" s="326"/>
      <c r="K590" s="326"/>
      <c r="L590" s="50"/>
      <c r="M590" s="50"/>
      <c r="N590" s="50"/>
      <c r="O590" s="50"/>
      <c r="P590" s="50"/>
      <c r="Q590" s="50"/>
      <c r="R590" s="50"/>
      <c r="V590" s="50"/>
      <c r="Y590" s="50"/>
      <c r="Z590" s="326"/>
      <c r="AA590" s="50"/>
      <c r="AB590" s="50"/>
      <c r="AC590" s="50"/>
      <c r="AD590" s="50"/>
      <c r="AE590" s="50"/>
      <c r="AF590" s="50"/>
      <c r="AI590" s="50"/>
      <c r="AJ590" s="50"/>
      <c r="AK590" s="111"/>
      <c r="AL590" s="50"/>
    </row>
    <row r="591" spans="3:40">
      <c r="C591" s="42"/>
      <c r="F591" s="50"/>
      <c r="H591" s="45"/>
      <c r="I591" s="45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AA591" s="45"/>
      <c r="AB591" s="45"/>
      <c r="AC591" s="46"/>
      <c r="AD591" s="46"/>
      <c r="AE591" s="45"/>
      <c r="AF591" s="45"/>
      <c r="AH591" s="51"/>
      <c r="AI591" s="45"/>
      <c r="AJ591" s="45"/>
      <c r="AL591" s="45"/>
      <c r="AM591" s="51"/>
      <c r="AN591" s="51"/>
    </row>
    <row r="592" spans="3:40">
      <c r="F592" s="45"/>
      <c r="H592" s="50"/>
      <c r="I592" s="50"/>
      <c r="J592" s="326"/>
      <c r="K592" s="326"/>
      <c r="L592" s="50"/>
      <c r="M592" s="50"/>
      <c r="N592" s="50"/>
      <c r="O592" s="50"/>
      <c r="P592" s="50"/>
      <c r="Q592" s="50"/>
      <c r="R592" s="50"/>
      <c r="V592" s="50"/>
      <c r="Y592" s="50"/>
      <c r="Z592" s="326"/>
      <c r="AA592" s="50"/>
      <c r="AB592" s="50"/>
      <c r="AC592" s="50"/>
      <c r="AD592" s="50"/>
      <c r="AE592" s="50"/>
      <c r="AF592" s="50"/>
      <c r="AI592" s="50"/>
      <c r="AJ592" s="50"/>
      <c r="AK592" s="111"/>
      <c r="AL592" s="50"/>
    </row>
    <row r="594" spans="1:40">
      <c r="F594" s="50"/>
    </row>
    <row r="595" spans="1:40">
      <c r="A595" s="42"/>
    </row>
    <row r="597" spans="1:40">
      <c r="H597" s="42"/>
      <c r="I597" s="42"/>
      <c r="Y597" s="42"/>
    </row>
    <row r="599" spans="1:40">
      <c r="L599" s="42"/>
      <c r="M599" s="42"/>
      <c r="AA599" s="42"/>
      <c r="AB599" s="42"/>
    </row>
    <row r="600" spans="1:40">
      <c r="R600" s="42"/>
      <c r="AK600" s="110"/>
      <c r="AL600" s="42"/>
    </row>
    <row r="601" spans="1:40">
      <c r="R601" s="42"/>
      <c r="AK601" s="110"/>
      <c r="AL601" s="42"/>
    </row>
    <row r="602" spans="1:40">
      <c r="A602" s="42"/>
      <c r="R602" s="42"/>
      <c r="AK602" s="110"/>
      <c r="AL602" s="42"/>
    </row>
    <row r="603" spans="1:40">
      <c r="L603" s="42"/>
      <c r="M603" s="42"/>
      <c r="AA603" s="42"/>
      <c r="AB603" s="42"/>
    </row>
    <row r="604" spans="1:40">
      <c r="A604" s="49"/>
      <c r="B604" s="49"/>
      <c r="C604" s="49"/>
      <c r="D604" s="49"/>
      <c r="E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107"/>
      <c r="AH604" s="49"/>
      <c r="AI604" s="49"/>
      <c r="AJ604" s="49"/>
      <c r="AK604" s="107"/>
      <c r="AL604" s="49"/>
      <c r="AM604" s="49"/>
      <c r="AN604" s="49"/>
    </row>
    <row r="605" spans="1:40">
      <c r="F605" s="49"/>
      <c r="L605" s="44"/>
      <c r="M605" s="44"/>
      <c r="N605" s="44"/>
      <c r="O605" s="44"/>
      <c r="R605" s="44"/>
      <c r="AA605" s="44"/>
      <c r="AB605" s="44"/>
      <c r="AC605" s="44"/>
      <c r="AD605" s="44"/>
      <c r="AE605" s="44"/>
      <c r="AF605" s="44"/>
      <c r="AG605" s="102"/>
      <c r="AH605" s="44"/>
      <c r="AK605" s="102"/>
      <c r="AL605" s="44"/>
      <c r="AM605" s="44"/>
      <c r="AN605" s="44"/>
    </row>
    <row r="606" spans="1:40">
      <c r="L606" s="44"/>
      <c r="M606" s="44"/>
      <c r="N606" s="44"/>
      <c r="O606" s="44"/>
      <c r="R606" s="44"/>
      <c r="Z606" s="44"/>
      <c r="AA606" s="44"/>
      <c r="AB606" s="44"/>
      <c r="AC606" s="44"/>
      <c r="AD606" s="44"/>
      <c r="AE606" s="44"/>
      <c r="AF606" s="44"/>
      <c r="AG606" s="102"/>
      <c r="AH606" s="44"/>
      <c r="AK606" s="102"/>
      <c r="AL606" s="44"/>
      <c r="AM606" s="44"/>
      <c r="AN606" s="44"/>
    </row>
    <row r="607" spans="1:40">
      <c r="A607" s="44"/>
      <c r="C607" s="44"/>
      <c r="D607" s="44"/>
      <c r="E607" s="44"/>
      <c r="J607" s="44"/>
      <c r="K607" s="44"/>
      <c r="L607" s="44"/>
      <c r="M607" s="44"/>
      <c r="N607" s="44"/>
      <c r="O607" s="44"/>
      <c r="P607" s="44"/>
      <c r="Q607" s="44"/>
      <c r="R607" s="44"/>
      <c r="T607" s="44"/>
      <c r="U607" s="44"/>
      <c r="V607" s="44"/>
      <c r="Z607" s="44"/>
      <c r="AA607" s="44"/>
      <c r="AB607" s="44"/>
      <c r="AC607" s="44"/>
      <c r="AD607" s="44"/>
      <c r="AE607" s="44"/>
      <c r="AF607" s="44"/>
      <c r="AG607" s="102"/>
      <c r="AH607" s="44"/>
      <c r="AI607" s="44"/>
      <c r="AJ607" s="44"/>
      <c r="AK607" s="102"/>
      <c r="AL607" s="44"/>
      <c r="AM607" s="44"/>
      <c r="AN607" s="44"/>
    </row>
    <row r="608" spans="1:40">
      <c r="A608" s="44"/>
      <c r="C608" s="44"/>
      <c r="D608" s="44"/>
      <c r="E608" s="44"/>
      <c r="F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T608" s="44"/>
      <c r="U608" s="44"/>
      <c r="V608" s="44"/>
      <c r="Y608" s="44"/>
      <c r="Z608" s="44"/>
      <c r="AA608" s="44"/>
      <c r="AB608" s="44"/>
      <c r="AC608" s="44"/>
      <c r="AD608" s="44"/>
      <c r="AE608" s="44"/>
      <c r="AF608" s="44"/>
      <c r="AG608" s="102"/>
      <c r="AH608" s="44"/>
      <c r="AI608" s="44"/>
      <c r="AJ608" s="44"/>
      <c r="AK608" s="102"/>
      <c r="AL608" s="44"/>
      <c r="AM608" s="44"/>
      <c r="AN608" s="44"/>
    </row>
    <row r="609" spans="1:40">
      <c r="C609" s="44"/>
      <c r="D609" s="44"/>
      <c r="E609" s="44"/>
      <c r="F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T609" s="44"/>
      <c r="U609" s="44"/>
      <c r="V609" s="44"/>
      <c r="Y609" s="44"/>
      <c r="Z609" s="44"/>
      <c r="AA609" s="44"/>
      <c r="AB609" s="44"/>
      <c r="AC609" s="44"/>
      <c r="AD609" s="44"/>
      <c r="AE609" s="44"/>
      <c r="AF609" s="44"/>
      <c r="AG609" s="102"/>
      <c r="AH609" s="44"/>
      <c r="AI609" s="44"/>
      <c r="AJ609" s="44"/>
      <c r="AK609" s="102"/>
      <c r="AL609" s="44"/>
      <c r="AM609" s="44"/>
      <c r="AN609" s="44"/>
    </row>
    <row r="610" spans="1:40">
      <c r="A610" s="49"/>
      <c r="B610" s="49"/>
      <c r="C610" s="49"/>
      <c r="D610" s="49"/>
      <c r="E610" s="49"/>
      <c r="F610" s="44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107"/>
      <c r="AH610" s="49"/>
      <c r="AI610" s="49"/>
      <c r="AJ610" s="49"/>
      <c r="AK610" s="107"/>
      <c r="AL610" s="49"/>
      <c r="AM610" s="49"/>
      <c r="AN610" s="49"/>
    </row>
    <row r="611" spans="1:40">
      <c r="F611" s="49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Y611" s="44"/>
      <c r="Z611" s="44"/>
      <c r="AA611" s="44"/>
      <c r="AB611" s="44"/>
      <c r="AC611" s="44"/>
      <c r="AD611" s="44"/>
      <c r="AE611" s="44"/>
      <c r="AF611" s="44"/>
      <c r="AG611" s="102"/>
      <c r="AH611" s="44"/>
      <c r="AI611" s="44"/>
      <c r="AJ611" s="44"/>
      <c r="AK611" s="102"/>
      <c r="AL611" s="44"/>
      <c r="AM611" s="44"/>
      <c r="AN611" s="44"/>
    </row>
    <row r="612" spans="1:40">
      <c r="C612" s="42"/>
      <c r="D612" s="42"/>
      <c r="E612" s="42"/>
      <c r="H612" s="45"/>
      <c r="I612" s="45"/>
      <c r="J612" s="47"/>
      <c r="K612" s="47"/>
      <c r="L612" s="45"/>
      <c r="M612" s="45"/>
      <c r="N612" s="47"/>
      <c r="O612" s="47"/>
      <c r="P612" s="45"/>
      <c r="Q612" s="45"/>
      <c r="R612" s="45"/>
      <c r="T612" s="42"/>
      <c r="U612" s="42"/>
      <c r="V612" s="45"/>
      <c r="Y612" s="45"/>
      <c r="Z612" s="47"/>
      <c r="AA612" s="45"/>
      <c r="AB612" s="45"/>
      <c r="AC612" s="47"/>
      <c r="AD612" s="47"/>
      <c r="AE612" s="45"/>
      <c r="AF612" s="45"/>
      <c r="AH612" s="51"/>
      <c r="AI612" s="45"/>
      <c r="AJ612" s="45"/>
      <c r="AL612" s="45"/>
      <c r="AM612" s="46"/>
      <c r="AN612" s="46"/>
    </row>
    <row r="613" spans="1:40">
      <c r="F613" s="45"/>
      <c r="H613" s="50"/>
      <c r="I613" s="50"/>
      <c r="J613" s="326"/>
      <c r="K613" s="326"/>
      <c r="L613" s="50"/>
      <c r="M613" s="50"/>
      <c r="N613" s="50"/>
      <c r="O613" s="50"/>
      <c r="P613" s="50"/>
      <c r="Q613" s="50"/>
      <c r="R613" s="50"/>
      <c r="V613" s="50"/>
      <c r="Y613" s="50"/>
      <c r="Z613" s="326"/>
      <c r="AA613" s="50"/>
      <c r="AB613" s="50"/>
      <c r="AC613" s="50"/>
      <c r="AD613" s="50"/>
      <c r="AE613" s="50"/>
      <c r="AF613" s="50"/>
      <c r="AI613" s="50"/>
      <c r="AJ613" s="50"/>
      <c r="AK613" s="111"/>
      <c r="AL613" s="50"/>
      <c r="AM613" s="46"/>
      <c r="AN613" s="46"/>
    </row>
    <row r="614" spans="1:40">
      <c r="C614" s="42"/>
      <c r="F614" s="50"/>
      <c r="H614" s="45"/>
      <c r="I614" s="45"/>
      <c r="J614" s="47"/>
      <c r="K614" s="47"/>
      <c r="L614" s="45"/>
      <c r="M614" s="45"/>
      <c r="N614" s="47"/>
      <c r="O614" s="47"/>
      <c r="P614" s="45"/>
      <c r="Q614" s="45"/>
      <c r="R614" s="45"/>
      <c r="T614" s="42"/>
      <c r="V614" s="45"/>
      <c r="Y614" s="45"/>
      <c r="Z614" s="47"/>
      <c r="AA614" s="45"/>
      <c r="AB614" s="45"/>
      <c r="AC614" s="47"/>
      <c r="AD614" s="47"/>
      <c r="AE614" s="45"/>
      <c r="AF614" s="45"/>
      <c r="AH614" s="51"/>
      <c r="AI614" s="45"/>
      <c r="AJ614" s="45"/>
      <c r="AL614" s="45"/>
      <c r="AM614" s="46"/>
      <c r="AN614" s="46"/>
    </row>
    <row r="615" spans="1:40">
      <c r="F615" s="45"/>
      <c r="H615" s="45"/>
      <c r="I615" s="45"/>
      <c r="J615" s="47"/>
      <c r="K615" s="47"/>
      <c r="L615" s="45"/>
      <c r="M615" s="45"/>
      <c r="N615" s="47"/>
      <c r="O615" s="47"/>
      <c r="P615" s="45"/>
      <c r="Q615" s="45"/>
      <c r="R615" s="45"/>
      <c r="V615" s="45"/>
      <c r="Y615" s="45"/>
      <c r="Z615" s="47"/>
      <c r="AA615" s="45"/>
      <c r="AB615" s="45"/>
      <c r="AC615" s="47"/>
      <c r="AD615" s="47"/>
      <c r="AH615" s="51"/>
      <c r="AI615" s="45"/>
      <c r="AJ615" s="45"/>
      <c r="AL615" s="45"/>
      <c r="AM615" s="46"/>
      <c r="AN615" s="46"/>
    </row>
    <row r="616" spans="1:40">
      <c r="C616" s="42"/>
      <c r="D616" s="42"/>
      <c r="E616" s="42"/>
      <c r="F616" s="45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1:40">
      <c r="C617" s="42"/>
      <c r="D617" s="42"/>
      <c r="E617" s="42"/>
      <c r="F617" s="45"/>
      <c r="H617" s="45"/>
      <c r="I617" s="45"/>
      <c r="J617" s="47"/>
      <c r="K617" s="47"/>
      <c r="L617" s="45"/>
      <c r="M617" s="45"/>
      <c r="N617" s="47"/>
      <c r="O617" s="47"/>
      <c r="P617" s="45"/>
      <c r="Q617" s="45"/>
      <c r="R617" s="45"/>
      <c r="T617" s="42"/>
      <c r="U617" s="42"/>
      <c r="V617" s="45"/>
      <c r="Y617" s="45"/>
      <c r="Z617" s="47"/>
      <c r="AA617" s="45"/>
      <c r="AB617" s="45"/>
      <c r="AC617" s="47"/>
      <c r="AD617" s="47"/>
      <c r="AE617" s="45"/>
      <c r="AF617" s="45"/>
      <c r="AH617" s="51"/>
      <c r="AI617" s="45"/>
      <c r="AJ617" s="45"/>
      <c r="AL617" s="45"/>
      <c r="AM617" s="46"/>
      <c r="AN617" s="46"/>
    </row>
    <row r="618" spans="1:40">
      <c r="C618" s="42"/>
      <c r="D618" s="42"/>
      <c r="E618" s="42"/>
      <c r="F618" s="45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U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1:40">
      <c r="C619" s="42"/>
      <c r="D619" s="42"/>
      <c r="E619" s="42"/>
      <c r="F619" s="45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T619" s="42"/>
      <c r="U619" s="42"/>
      <c r="V619" s="45"/>
      <c r="Y619" s="45"/>
      <c r="Z619" s="47"/>
      <c r="AA619" s="45"/>
      <c r="AB619" s="45"/>
      <c r="AC619" s="47"/>
      <c r="AD619" s="47"/>
      <c r="AE619" s="45"/>
      <c r="AF619" s="45"/>
      <c r="AH619" s="51"/>
      <c r="AI619" s="45"/>
      <c r="AJ619" s="45"/>
      <c r="AL619" s="45"/>
      <c r="AM619" s="46"/>
      <c r="AN619" s="46"/>
    </row>
    <row r="620" spans="1:40">
      <c r="C620" s="42"/>
      <c r="D620" s="42"/>
      <c r="E620" s="42"/>
      <c r="F620" s="45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1:40">
      <c r="C621" s="42"/>
      <c r="D621" s="42"/>
      <c r="E621" s="42"/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T621" s="42"/>
      <c r="U621" s="42"/>
      <c r="V621" s="45"/>
      <c r="Y621" s="45"/>
      <c r="Z621" s="47"/>
      <c r="AA621" s="45"/>
      <c r="AB621" s="45"/>
      <c r="AC621" s="47"/>
      <c r="AD621" s="47"/>
      <c r="AE621" s="45"/>
      <c r="AF621" s="45"/>
      <c r="AH621" s="51"/>
      <c r="AI621" s="45"/>
      <c r="AJ621" s="45"/>
      <c r="AL621" s="45"/>
      <c r="AM621" s="46"/>
      <c r="AN621" s="46"/>
    </row>
    <row r="622" spans="1:40">
      <c r="F622" s="45"/>
      <c r="H622" s="50"/>
      <c r="I622" s="50"/>
      <c r="J622" s="326"/>
      <c r="K622" s="326"/>
      <c r="L622" s="50"/>
      <c r="M622" s="50"/>
      <c r="N622" s="50"/>
      <c r="O622" s="50"/>
      <c r="P622" s="50"/>
      <c r="Q622" s="50"/>
      <c r="R622" s="50"/>
      <c r="V622" s="50"/>
      <c r="Y622" s="50"/>
      <c r="Z622" s="326"/>
      <c r="AA622" s="50"/>
      <c r="AB622" s="50"/>
      <c r="AC622" s="50"/>
      <c r="AD622" s="50"/>
      <c r="AE622" s="50"/>
      <c r="AF622" s="50"/>
      <c r="AI622" s="50"/>
      <c r="AJ622" s="50"/>
      <c r="AK622" s="111"/>
      <c r="AL622" s="50"/>
      <c r="AM622" s="46"/>
      <c r="AN622" s="46"/>
    </row>
    <row r="623" spans="1:40">
      <c r="C623" s="42"/>
      <c r="F623" s="50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V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1:40">
      <c r="F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V624" s="45"/>
      <c r="Y624" s="45"/>
      <c r="Z624" s="47"/>
      <c r="AA624" s="45"/>
      <c r="AB624" s="45"/>
      <c r="AC624" s="47"/>
      <c r="AD624" s="47"/>
      <c r="AH624" s="51"/>
      <c r="AI624" s="45"/>
      <c r="AJ624" s="45"/>
      <c r="AL624" s="45"/>
      <c r="AM624" s="46"/>
      <c r="AN624" s="46"/>
    </row>
    <row r="625" spans="3:40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Y625" s="45"/>
      <c r="Z625" s="47"/>
      <c r="AA625" s="45"/>
      <c r="AB625" s="45"/>
      <c r="AC625" s="47"/>
      <c r="AD625" s="47"/>
      <c r="AE625" s="45"/>
      <c r="AF625" s="45"/>
      <c r="AH625" s="51"/>
      <c r="AI625" s="45"/>
      <c r="AJ625" s="45"/>
      <c r="AL625" s="45"/>
      <c r="AM625" s="46"/>
      <c r="AN625" s="46"/>
    </row>
    <row r="626" spans="3:40">
      <c r="F626" s="45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  <c r="AM626" s="46"/>
      <c r="AN626" s="46"/>
    </row>
    <row r="627" spans="3:40">
      <c r="C627" s="42"/>
      <c r="F627" s="50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V627" s="45"/>
      <c r="Y627" s="45"/>
      <c r="Z627" s="47"/>
      <c r="AA627" s="45"/>
      <c r="AB627" s="45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3:40"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V628" s="45"/>
      <c r="Y628" s="45"/>
      <c r="Z628" s="47"/>
      <c r="AA628" s="45"/>
      <c r="AB628" s="45"/>
      <c r="AC628" s="47"/>
      <c r="AD628" s="47"/>
      <c r="AH628" s="51"/>
      <c r="AI628" s="45"/>
      <c r="AJ628" s="45"/>
      <c r="AL628" s="45"/>
      <c r="AM628" s="46"/>
      <c r="AN628" s="46"/>
    </row>
    <row r="629" spans="3:40">
      <c r="C629" s="42"/>
      <c r="D629" s="42"/>
      <c r="E629" s="42"/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T629" s="42"/>
      <c r="U629" s="42"/>
      <c r="V629" s="45"/>
      <c r="Y629" s="45"/>
      <c r="Z629" s="47"/>
      <c r="AA629" s="45"/>
      <c r="AB629" s="45"/>
      <c r="AC629" s="47"/>
      <c r="AD629" s="47"/>
      <c r="AE629" s="45"/>
      <c r="AF629" s="45"/>
      <c r="AH629" s="51"/>
      <c r="AI629" s="45"/>
      <c r="AJ629" s="45"/>
      <c r="AL629" s="45"/>
      <c r="AM629" s="46"/>
      <c r="AN629" s="46"/>
    </row>
    <row r="630" spans="3:40">
      <c r="C630" s="42"/>
      <c r="D630" s="42"/>
      <c r="E630" s="42"/>
      <c r="F630" s="45"/>
      <c r="G630" s="45"/>
      <c r="H630" s="45"/>
      <c r="I630" s="45"/>
      <c r="J630" s="47"/>
      <c r="K630" s="47"/>
      <c r="L630" s="45"/>
      <c r="M630" s="45"/>
      <c r="N630" s="47"/>
      <c r="O630" s="47"/>
      <c r="P630" s="45"/>
      <c r="Q630" s="45"/>
      <c r="R630" s="45"/>
      <c r="T630" s="42"/>
      <c r="U630" s="42"/>
      <c r="V630" s="45"/>
      <c r="W630" s="45"/>
      <c r="X630" s="45"/>
      <c r="Y630" s="45"/>
      <c r="Z630" s="47"/>
      <c r="AA630" s="45"/>
      <c r="AB630" s="45"/>
      <c r="AC630" s="47"/>
      <c r="AD630" s="47"/>
      <c r="AE630" s="45"/>
      <c r="AF630" s="45"/>
      <c r="AH630" s="51"/>
      <c r="AI630" s="45"/>
      <c r="AJ630" s="45"/>
      <c r="AL630" s="45"/>
      <c r="AM630" s="46"/>
      <c r="AN630" s="46"/>
    </row>
    <row r="631" spans="3:40">
      <c r="C631" s="42"/>
      <c r="D631" s="42"/>
      <c r="E631" s="42"/>
      <c r="F631" s="45"/>
      <c r="G631" s="45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T631" s="42"/>
      <c r="U631" s="42"/>
      <c r="V631" s="45"/>
      <c r="W631" s="45"/>
      <c r="X631" s="45"/>
      <c r="Y631" s="45"/>
      <c r="Z631" s="47"/>
      <c r="AA631" s="45"/>
      <c r="AB631" s="45"/>
      <c r="AC631" s="47"/>
      <c r="AD631" s="47"/>
      <c r="AE631" s="45"/>
      <c r="AF631" s="45"/>
      <c r="AH631" s="51"/>
      <c r="AI631" s="45"/>
      <c r="AJ631" s="45"/>
      <c r="AL631" s="45"/>
      <c r="AM631" s="46"/>
      <c r="AN631" s="46"/>
    </row>
    <row r="632" spans="3:40">
      <c r="C632" s="42"/>
      <c r="D632" s="42"/>
      <c r="E632" s="42"/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T632" s="42"/>
      <c r="U632" s="42"/>
      <c r="V632" s="45"/>
      <c r="Y632" s="45"/>
      <c r="Z632" s="47"/>
      <c r="AA632" s="45"/>
      <c r="AB632" s="45"/>
      <c r="AC632" s="47"/>
      <c r="AD632" s="47"/>
      <c r="AE632" s="45"/>
      <c r="AF632" s="45"/>
      <c r="AH632" s="51"/>
      <c r="AI632" s="45"/>
      <c r="AJ632" s="45"/>
      <c r="AL632" s="45"/>
      <c r="AM632" s="46"/>
      <c r="AN632" s="46"/>
    </row>
    <row r="633" spans="3:40">
      <c r="C633" s="42"/>
      <c r="D633" s="42"/>
      <c r="E633" s="42"/>
      <c r="F633" s="45"/>
      <c r="H633" s="45"/>
      <c r="I633" s="45"/>
      <c r="J633" s="47"/>
      <c r="K633" s="47"/>
      <c r="L633" s="45"/>
      <c r="M633" s="45"/>
      <c r="N633" s="47"/>
      <c r="O633" s="47"/>
      <c r="P633" s="45"/>
      <c r="Q633" s="45"/>
      <c r="R633" s="45"/>
      <c r="T633" s="42"/>
      <c r="U633" s="42"/>
      <c r="V633" s="45"/>
      <c r="Y633" s="45"/>
      <c r="Z633" s="47"/>
      <c r="AA633" s="45"/>
      <c r="AB633" s="45"/>
      <c r="AC633" s="47"/>
      <c r="AD633" s="47"/>
      <c r="AE633" s="45"/>
      <c r="AF633" s="45"/>
      <c r="AH633" s="51"/>
      <c r="AI633" s="45"/>
      <c r="AJ633" s="45"/>
      <c r="AL633" s="45"/>
      <c r="AM633" s="46"/>
      <c r="AN633" s="46"/>
    </row>
    <row r="634" spans="3:40">
      <c r="C634" s="42"/>
      <c r="D634" s="42"/>
      <c r="E634" s="42"/>
      <c r="F634" s="45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U634" s="42"/>
      <c r="V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3:40">
      <c r="C635" s="42"/>
      <c r="D635" s="42"/>
      <c r="E635" s="42"/>
      <c r="F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U635" s="42"/>
      <c r="V635" s="45"/>
      <c r="Y635" s="45"/>
      <c r="Z635" s="47"/>
      <c r="AA635" s="45"/>
      <c r="AB635" s="45"/>
      <c r="AC635" s="47"/>
      <c r="AD635" s="47"/>
      <c r="AE635" s="45"/>
      <c r="AF635" s="45"/>
      <c r="AH635" s="51"/>
      <c r="AI635" s="45"/>
      <c r="AJ635" s="45"/>
      <c r="AL635" s="45"/>
      <c r="AM635" s="46"/>
      <c r="AN635" s="46"/>
    </row>
    <row r="636" spans="3:40">
      <c r="F636" s="45"/>
      <c r="H636" s="50"/>
      <c r="I636" s="50"/>
      <c r="J636" s="326"/>
      <c r="K636" s="326"/>
      <c r="L636" s="50"/>
      <c r="M636" s="50"/>
      <c r="N636" s="50"/>
      <c r="O636" s="50"/>
      <c r="P636" s="50"/>
      <c r="Q636" s="50"/>
      <c r="R636" s="50"/>
      <c r="V636" s="50"/>
      <c r="Y636" s="50"/>
      <c r="Z636" s="326"/>
      <c r="AA636" s="50"/>
      <c r="AB636" s="50"/>
      <c r="AC636" s="50"/>
      <c r="AD636" s="50"/>
      <c r="AE636" s="50"/>
      <c r="AF636" s="50"/>
      <c r="AI636" s="50"/>
      <c r="AJ636" s="50"/>
      <c r="AK636" s="111"/>
      <c r="AL636" s="50"/>
      <c r="AM636" s="46"/>
      <c r="AN636" s="46"/>
    </row>
    <row r="637" spans="3:40">
      <c r="C637" s="42"/>
      <c r="F637" s="50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V637" s="45"/>
      <c r="Y637" s="45"/>
      <c r="Z637" s="47"/>
      <c r="AA637" s="45"/>
      <c r="AB637" s="45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3:40">
      <c r="F638" s="45"/>
      <c r="V638" s="45"/>
      <c r="Y638" s="45"/>
      <c r="Z638" s="326"/>
      <c r="AA638" s="45"/>
      <c r="AB638" s="45"/>
      <c r="AC638" s="45"/>
      <c r="AD638" s="45"/>
      <c r="AE638" s="45"/>
      <c r="AF638" s="45"/>
      <c r="AI638" s="45"/>
      <c r="AJ638" s="45"/>
      <c r="AL638" s="45"/>
      <c r="AM638" s="46"/>
      <c r="AN638" s="46"/>
    </row>
    <row r="639" spans="3:40">
      <c r="C639" s="42"/>
      <c r="D639" s="42"/>
      <c r="E639" s="42"/>
      <c r="L639" s="45"/>
      <c r="M639" s="45"/>
      <c r="N639" s="47"/>
      <c r="O639" s="47"/>
      <c r="R639" s="45"/>
      <c r="T639" s="42"/>
      <c r="U639" s="42"/>
      <c r="AA639" s="45"/>
      <c r="AB639" s="45"/>
      <c r="AC639" s="47"/>
      <c r="AD639" s="47"/>
      <c r="AE639" s="45"/>
      <c r="AF639" s="45"/>
      <c r="AH639" s="51"/>
      <c r="AL639" s="45"/>
      <c r="AM639" s="46"/>
      <c r="AN639" s="46"/>
    </row>
    <row r="640" spans="3:40">
      <c r="D640" s="42"/>
      <c r="E640" s="42"/>
      <c r="H640" s="164"/>
      <c r="I640" s="164"/>
      <c r="J640" s="47"/>
      <c r="K640" s="47"/>
      <c r="L640" s="45"/>
      <c r="M640" s="45"/>
      <c r="N640" s="47"/>
      <c r="O640" s="47"/>
      <c r="P640" s="164"/>
      <c r="Q640" s="164"/>
      <c r="R640" s="45"/>
      <c r="U640" s="42"/>
      <c r="V640" s="45"/>
      <c r="Y640" s="45"/>
      <c r="Z640" s="47"/>
      <c r="AA640" s="45"/>
      <c r="AB640" s="45"/>
      <c r="AC640" s="47"/>
      <c r="AD640" s="47"/>
      <c r="AE640" s="45"/>
      <c r="AF640" s="45"/>
      <c r="AH640" s="51"/>
      <c r="AI640" s="45"/>
      <c r="AJ640" s="45"/>
      <c r="AL640" s="45"/>
      <c r="AM640" s="46"/>
      <c r="AN640" s="46"/>
    </row>
    <row r="641" spans="1:40">
      <c r="F641" s="164"/>
      <c r="H641" s="50"/>
      <c r="I641" s="50"/>
      <c r="J641" s="326"/>
      <c r="K641" s="326"/>
      <c r="L641" s="50"/>
      <c r="M641" s="50"/>
      <c r="N641" s="50"/>
      <c r="O641" s="50"/>
      <c r="P641" s="50"/>
      <c r="Q641" s="50"/>
      <c r="R641" s="50"/>
      <c r="V641" s="50"/>
      <c r="Y641" s="50"/>
      <c r="Z641" s="326"/>
      <c r="AA641" s="50"/>
      <c r="AB641" s="50"/>
      <c r="AC641" s="50"/>
      <c r="AD641" s="50"/>
      <c r="AE641" s="50"/>
      <c r="AF641" s="50"/>
      <c r="AI641" s="50"/>
      <c r="AJ641" s="50"/>
      <c r="AK641" s="111"/>
      <c r="AL641" s="50"/>
      <c r="AM641" s="46"/>
      <c r="AN641" s="46"/>
    </row>
    <row r="642" spans="1:40">
      <c r="C642" s="42"/>
      <c r="F642" s="50"/>
      <c r="H642" s="45"/>
      <c r="I642" s="45"/>
      <c r="J642" s="47"/>
      <c r="K642" s="47"/>
      <c r="L642" s="45"/>
      <c r="M642" s="45"/>
      <c r="N642" s="47"/>
      <c r="O642" s="47"/>
      <c r="P642" s="45"/>
      <c r="Q642" s="45"/>
      <c r="R642" s="45"/>
      <c r="T642" s="42"/>
      <c r="V642" s="45"/>
      <c r="Y642" s="45"/>
      <c r="Z642" s="47"/>
      <c r="AA642" s="45"/>
      <c r="AB642" s="45"/>
      <c r="AC642" s="47"/>
      <c r="AD642" s="47"/>
      <c r="AE642" s="45"/>
      <c r="AF642" s="45"/>
      <c r="AH642" s="51"/>
      <c r="AI642" s="45"/>
      <c r="AJ642" s="45"/>
      <c r="AL642" s="45"/>
      <c r="AM642" s="46"/>
      <c r="AN642" s="46"/>
    </row>
    <row r="643" spans="1:40">
      <c r="F643" s="45"/>
      <c r="H643" s="45"/>
      <c r="I643" s="45"/>
      <c r="J643" s="47"/>
      <c r="K643" s="47"/>
      <c r="L643" s="45"/>
      <c r="M643" s="45"/>
      <c r="N643" s="47"/>
      <c r="O643" s="47"/>
      <c r="P643" s="45"/>
      <c r="Q643" s="45"/>
      <c r="R643" s="45"/>
      <c r="V643" s="45"/>
      <c r="Y643" s="45"/>
      <c r="Z643" s="47"/>
      <c r="AA643" s="45"/>
      <c r="AB643" s="45"/>
      <c r="AC643" s="47"/>
      <c r="AD643" s="47"/>
      <c r="AH643" s="51"/>
      <c r="AI643" s="45"/>
      <c r="AJ643" s="45"/>
      <c r="AL643" s="45"/>
      <c r="AM643" s="46"/>
      <c r="AN643" s="46"/>
    </row>
    <row r="644" spans="1:40">
      <c r="D644" s="42"/>
      <c r="E644" s="42"/>
      <c r="F644" s="45"/>
      <c r="H644" s="45"/>
      <c r="I644" s="45"/>
      <c r="J644" s="47"/>
      <c r="K644" s="47"/>
      <c r="L644" s="164"/>
      <c r="M644" s="164"/>
      <c r="N644" s="47"/>
      <c r="O644" s="47"/>
      <c r="P644" s="45"/>
      <c r="Q644" s="45"/>
      <c r="R644" s="45"/>
      <c r="U644" s="42"/>
      <c r="V644" s="45"/>
      <c r="Y644" s="45"/>
      <c r="Z644" s="47"/>
      <c r="AA644" s="164"/>
      <c r="AB644" s="164"/>
      <c r="AC644" s="47"/>
      <c r="AD644" s="47"/>
      <c r="AE644" s="45"/>
      <c r="AF644" s="45"/>
      <c r="AH644" s="51"/>
      <c r="AI644" s="45"/>
      <c r="AJ644" s="45"/>
      <c r="AL644" s="45"/>
      <c r="AM644" s="46"/>
      <c r="AN644" s="46"/>
    </row>
    <row r="645" spans="1:40">
      <c r="D645" s="42"/>
      <c r="E645" s="42"/>
      <c r="F645" s="45"/>
      <c r="H645" s="45"/>
      <c r="I645" s="45"/>
      <c r="J645" s="47"/>
      <c r="K645" s="47"/>
      <c r="L645" s="164"/>
      <c r="M645" s="164"/>
      <c r="N645" s="47"/>
      <c r="O645" s="47"/>
      <c r="P645" s="45"/>
      <c r="Q645" s="45"/>
      <c r="R645" s="45"/>
      <c r="U645" s="42"/>
      <c r="V645" s="45"/>
      <c r="Y645" s="45"/>
      <c r="Z645" s="47"/>
      <c r="AA645" s="164"/>
      <c r="AB645" s="164"/>
      <c r="AC645" s="47"/>
      <c r="AD645" s="47"/>
      <c r="AE645" s="45"/>
      <c r="AF645" s="45"/>
      <c r="AH645" s="51"/>
      <c r="AI645" s="45"/>
      <c r="AJ645" s="45"/>
      <c r="AL645" s="45"/>
      <c r="AM645" s="46"/>
      <c r="AN645" s="46"/>
    </row>
    <row r="646" spans="1:40">
      <c r="D646" s="42"/>
      <c r="E646" s="42"/>
      <c r="F646" s="45"/>
      <c r="H646" s="45"/>
      <c r="I646" s="45"/>
      <c r="J646" s="47"/>
      <c r="K646" s="47"/>
      <c r="L646" s="164"/>
      <c r="M646" s="164"/>
      <c r="N646" s="47"/>
      <c r="O646" s="47"/>
      <c r="P646" s="45"/>
      <c r="Q646" s="45"/>
      <c r="R646" s="45"/>
      <c r="U646" s="42"/>
      <c r="V646" s="45"/>
      <c r="Y646" s="45"/>
      <c r="Z646" s="47"/>
      <c r="AA646" s="164"/>
      <c r="AB646" s="164"/>
      <c r="AC646" s="47"/>
      <c r="AD646" s="47"/>
      <c r="AE646" s="45"/>
      <c r="AF646" s="45"/>
      <c r="AH646" s="51"/>
      <c r="AI646" s="45"/>
      <c r="AJ646" s="45"/>
      <c r="AL646" s="45"/>
      <c r="AM646" s="46"/>
      <c r="AN646" s="46"/>
    </row>
    <row r="647" spans="1:40">
      <c r="F647" s="45"/>
      <c r="H647" s="50"/>
      <c r="I647" s="50"/>
      <c r="J647" s="326"/>
      <c r="K647" s="326"/>
      <c r="L647" s="50"/>
      <c r="M647" s="50"/>
      <c r="N647" s="50"/>
      <c r="O647" s="50"/>
      <c r="P647" s="50"/>
      <c r="Q647" s="50"/>
      <c r="R647" s="50"/>
      <c r="V647" s="50"/>
      <c r="Y647" s="50"/>
      <c r="Z647" s="326"/>
      <c r="AA647" s="50"/>
      <c r="AB647" s="50"/>
      <c r="AC647" s="50"/>
      <c r="AD647" s="50"/>
      <c r="AE647" s="50"/>
      <c r="AF647" s="50"/>
      <c r="AI647" s="50"/>
      <c r="AJ647" s="50"/>
      <c r="AK647" s="111"/>
      <c r="AL647" s="50"/>
      <c r="AM647" s="46"/>
      <c r="AN647" s="46"/>
    </row>
    <row r="648" spans="1:40">
      <c r="C648" s="42"/>
      <c r="F648" s="50"/>
      <c r="H648" s="45"/>
      <c r="I648" s="45"/>
      <c r="J648" s="47"/>
      <c r="K648" s="47"/>
      <c r="L648" s="45"/>
      <c r="M648" s="45"/>
      <c r="N648" s="47"/>
      <c r="O648" s="47"/>
      <c r="P648" s="45"/>
      <c r="Q648" s="45"/>
      <c r="R648" s="45"/>
      <c r="T648" s="42"/>
      <c r="V648" s="45"/>
      <c r="Y648" s="45"/>
      <c r="Z648" s="47"/>
      <c r="AA648" s="45"/>
      <c r="AB648" s="45"/>
      <c r="AC648" s="47"/>
      <c r="AD648" s="47"/>
      <c r="AE648" s="45"/>
      <c r="AF648" s="45"/>
      <c r="AH648" s="51"/>
      <c r="AI648" s="45"/>
      <c r="AJ648" s="45"/>
      <c r="AL648" s="45"/>
      <c r="AM648" s="46"/>
      <c r="AN648" s="46"/>
    </row>
    <row r="649" spans="1:40">
      <c r="F649" s="45"/>
      <c r="H649" s="45"/>
      <c r="I649" s="45"/>
      <c r="J649" s="47"/>
      <c r="K649" s="47"/>
      <c r="L649" s="45"/>
      <c r="M649" s="45"/>
      <c r="N649" s="47"/>
      <c r="O649" s="47"/>
      <c r="P649" s="45"/>
      <c r="Q649" s="45"/>
      <c r="R649" s="45"/>
      <c r="V649" s="45"/>
      <c r="Y649" s="45"/>
      <c r="Z649" s="47"/>
      <c r="AA649" s="45"/>
      <c r="AB649" s="45"/>
      <c r="AC649" s="47"/>
      <c r="AD649" s="47"/>
      <c r="AH649" s="51"/>
      <c r="AI649" s="45"/>
      <c r="AJ649" s="45"/>
      <c r="AL649" s="45"/>
      <c r="AM649" s="46"/>
      <c r="AN649" s="46"/>
    </row>
    <row r="650" spans="1:40">
      <c r="C650" s="42"/>
      <c r="F650" s="45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V650" s="45"/>
      <c r="Y650" s="45"/>
      <c r="Z650" s="47"/>
      <c r="AA650" s="45"/>
      <c r="AB650" s="45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1:40">
      <c r="F651" s="45"/>
      <c r="H651" s="50"/>
      <c r="I651" s="50"/>
      <c r="J651" s="326"/>
      <c r="K651" s="326"/>
      <c r="L651" s="50"/>
      <c r="M651" s="50"/>
      <c r="N651" s="50"/>
      <c r="O651" s="50"/>
      <c r="P651" s="50"/>
      <c r="Q651" s="50"/>
      <c r="R651" s="50"/>
      <c r="V651" s="50"/>
      <c r="Y651" s="50"/>
      <c r="Z651" s="326"/>
      <c r="AA651" s="50"/>
      <c r="AB651" s="50"/>
      <c r="AC651" s="50"/>
      <c r="AD651" s="50"/>
      <c r="AE651" s="50"/>
      <c r="AF651" s="50"/>
      <c r="AI651" s="50"/>
      <c r="AJ651" s="50"/>
      <c r="AK651" s="111"/>
      <c r="AL651" s="50"/>
    </row>
    <row r="653" spans="1:40">
      <c r="C653" s="42"/>
      <c r="F653" s="50"/>
      <c r="L653" s="45"/>
      <c r="M653" s="45"/>
      <c r="P653" s="45"/>
      <c r="Q653" s="45"/>
      <c r="R653" s="45"/>
      <c r="T653" s="42"/>
    </row>
    <row r="654" spans="1:40">
      <c r="A654" s="42"/>
      <c r="L654" s="45"/>
      <c r="M654" s="45"/>
      <c r="P654" s="45"/>
      <c r="Q654" s="45"/>
      <c r="R654" s="45"/>
    </row>
    <row r="655" spans="1:40">
      <c r="L655" s="45"/>
      <c r="M655" s="45"/>
      <c r="P655" s="45"/>
      <c r="Q655" s="45"/>
      <c r="R655" s="45"/>
    </row>
    <row r="656" spans="1:40">
      <c r="L656" s="45"/>
      <c r="M656" s="45"/>
      <c r="P656" s="45"/>
      <c r="Q656" s="45"/>
      <c r="R656" s="45"/>
    </row>
    <row r="657" spans="12:18">
      <c r="L657" s="45"/>
      <c r="M657" s="45"/>
      <c r="P657" s="45"/>
      <c r="Q657" s="45"/>
      <c r="R657" s="45"/>
    </row>
    <row r="658" spans="12:18">
      <c r="L658" s="45"/>
      <c r="M658" s="45"/>
      <c r="P658" s="45"/>
      <c r="Q658" s="45"/>
      <c r="R658" s="45"/>
    </row>
    <row r="659" spans="12:18">
      <c r="L659" s="45"/>
      <c r="M659" s="45"/>
      <c r="P659" s="45"/>
      <c r="Q659" s="45"/>
      <c r="R659" s="45"/>
    </row>
    <row r="692" spans="49:49">
      <c r="AW692" s="45"/>
    </row>
    <row r="693" spans="49:49">
      <c r="AW693" s="45"/>
    </row>
    <row r="694" spans="49:49">
      <c r="AW694" s="45"/>
    </row>
    <row r="695" spans="49:49">
      <c r="AW695" s="45"/>
    </row>
    <row r="696" spans="49:49">
      <c r="AW696" s="45"/>
    </row>
    <row r="697" spans="49:49">
      <c r="AW697" s="45"/>
    </row>
    <row r="700" spans="49:49">
      <c r="AW700" s="45"/>
    </row>
    <row r="701" spans="49:49">
      <c r="AW701" s="45"/>
    </row>
    <row r="702" spans="49:49">
      <c r="AW702" s="45"/>
    </row>
    <row r="703" spans="49:49">
      <c r="AW703" s="45"/>
    </row>
    <row r="704" spans="49:49">
      <c r="AW704" s="45"/>
    </row>
    <row r="705" spans="49:49">
      <c r="AW705" s="45"/>
    </row>
    <row r="706" spans="49:49">
      <c r="AW706" s="45"/>
    </row>
    <row r="707" spans="49:49">
      <c r="AW707" s="45"/>
    </row>
    <row r="710" spans="49:49">
      <c r="AW710" s="45"/>
    </row>
    <row r="711" spans="49:49">
      <c r="AW711" s="45"/>
    </row>
    <row r="714" spans="49:49">
      <c r="AW714" s="45"/>
    </row>
    <row r="715" spans="49:49">
      <c r="AW715" s="45"/>
    </row>
    <row r="716" spans="49:49">
      <c r="AW716" s="45"/>
    </row>
    <row r="717" spans="49:49">
      <c r="AW717" s="45"/>
    </row>
    <row r="725" spans="45:69">
      <c r="AY725" s="42"/>
    </row>
    <row r="726" spans="45:69">
      <c r="AY726" s="42"/>
    </row>
    <row r="727" spans="45:69">
      <c r="BD727" s="42"/>
    </row>
    <row r="728" spans="45:69">
      <c r="BD728" s="42"/>
    </row>
    <row r="729" spans="45:69">
      <c r="AS729" s="42"/>
      <c r="BD729" s="42"/>
    </row>
    <row r="731" spans="45:69"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</row>
    <row r="732" spans="45:69">
      <c r="AX732" s="42"/>
    </row>
    <row r="733" spans="45:69">
      <c r="AX733" s="49"/>
      <c r="AY733" s="49"/>
      <c r="AZ733" s="49"/>
      <c r="BA733" s="49"/>
      <c r="BC733" s="44"/>
      <c r="BD733" s="44"/>
    </row>
    <row r="734" spans="45:69">
      <c r="AV734" s="44"/>
      <c r="AW734" s="44"/>
      <c r="AZ734" s="44"/>
      <c r="BA734" s="44"/>
      <c r="BC734" s="44"/>
      <c r="BD734" s="44"/>
      <c r="BE734" s="44"/>
      <c r="BG734" s="49"/>
      <c r="BH734" s="42"/>
      <c r="BK734" s="49"/>
      <c r="BM734" s="49"/>
      <c r="BN734" s="42"/>
      <c r="BQ734" s="49"/>
    </row>
    <row r="735" spans="45:69"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H735" s="44"/>
      <c r="BI735" s="44"/>
      <c r="BJ735" s="44"/>
      <c r="BN735" s="44"/>
      <c r="BO735" s="44"/>
      <c r="BP735" s="44"/>
    </row>
    <row r="736" spans="45:69">
      <c r="AS736" s="44"/>
      <c r="AU736" s="42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G736" s="44"/>
      <c r="BH736" s="44"/>
      <c r="BI736" s="44"/>
      <c r="BJ736" s="44"/>
      <c r="BK736" s="44"/>
      <c r="BM736" s="44"/>
      <c r="BN736" s="44"/>
      <c r="BO736" s="44"/>
      <c r="BP736" s="44"/>
      <c r="BQ736" s="44"/>
    </row>
    <row r="737" spans="45:69">
      <c r="AS737" s="44"/>
      <c r="AU737" s="42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G737" s="44"/>
      <c r="BH737" s="44"/>
      <c r="BI737" s="44"/>
      <c r="BJ737" s="44"/>
      <c r="BK737" s="44"/>
      <c r="BM737" s="44"/>
      <c r="BN737" s="44"/>
      <c r="BO737" s="44"/>
      <c r="BP737" s="44"/>
      <c r="BQ737" s="44"/>
    </row>
    <row r="738" spans="45:69"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G738" s="49"/>
      <c r="BH738" s="49"/>
      <c r="BI738" s="49"/>
      <c r="BJ738" s="49"/>
      <c r="BK738" s="49"/>
      <c r="BM738" s="49"/>
      <c r="BN738" s="49"/>
      <c r="BO738" s="49"/>
      <c r="BP738" s="49"/>
      <c r="BQ738" s="49"/>
    </row>
    <row r="739" spans="45:69"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</row>
    <row r="740" spans="45:69">
      <c r="AU740" s="42"/>
      <c r="AV740" s="44"/>
      <c r="AY740" s="47"/>
    </row>
    <row r="741" spans="45:69">
      <c r="AV741" s="44"/>
      <c r="AW741" s="45"/>
      <c r="AX741" s="56"/>
      <c r="AY741" s="56"/>
      <c r="AZ741" s="56"/>
      <c r="BA741" s="46"/>
      <c r="BB741" s="56"/>
      <c r="BC741" s="47"/>
      <c r="BD741" s="47"/>
      <c r="BE741" s="46"/>
      <c r="BG741" s="56"/>
      <c r="BH741" s="56"/>
      <c r="BI741" s="56"/>
      <c r="BJ741" s="56"/>
      <c r="BK741" s="56"/>
      <c r="BM741" s="56"/>
      <c r="BN741" s="56"/>
      <c r="BO741" s="56"/>
      <c r="BP741" s="56"/>
      <c r="BQ741" s="56"/>
    </row>
    <row r="742" spans="45:69">
      <c r="AV742" s="44"/>
      <c r="AW742" s="45"/>
      <c r="AX742" s="56"/>
      <c r="AY742" s="56"/>
      <c r="AZ742" s="56"/>
      <c r="BA742" s="46"/>
      <c r="BB742" s="56"/>
      <c r="BC742" s="47"/>
      <c r="BD742" s="47"/>
      <c r="BE742" s="46"/>
      <c r="BG742" s="56"/>
      <c r="BH742" s="56"/>
      <c r="BI742" s="56"/>
      <c r="BJ742" s="56"/>
      <c r="BK742" s="56"/>
      <c r="BM742" s="56"/>
      <c r="BN742" s="56"/>
      <c r="BO742" s="56"/>
      <c r="BP742" s="56"/>
      <c r="BQ742" s="56"/>
    </row>
    <row r="743" spans="45:69">
      <c r="AV743" s="44"/>
      <c r="AW743" s="45"/>
      <c r="AX743" s="56"/>
      <c r="AY743" s="56"/>
      <c r="AZ743" s="56"/>
      <c r="BA743" s="46"/>
      <c r="BB743" s="56"/>
      <c r="BC743" s="47"/>
      <c r="BD743" s="47"/>
      <c r="BE743" s="46"/>
      <c r="BG743" s="56"/>
      <c r="BH743" s="56"/>
      <c r="BI743" s="56"/>
      <c r="BJ743" s="56"/>
      <c r="BK743" s="56"/>
      <c r="BM743" s="56"/>
      <c r="BN743" s="56"/>
      <c r="BO743" s="56"/>
      <c r="BP743" s="56"/>
      <c r="BQ743" s="56"/>
    </row>
    <row r="744" spans="45:69">
      <c r="AV744" s="44"/>
      <c r="AW744" s="45"/>
      <c r="AX744" s="56"/>
      <c r="AY744" s="56"/>
      <c r="AZ744" s="56"/>
      <c r="BA744" s="46"/>
      <c r="BB744" s="56"/>
      <c r="BC744" s="47"/>
      <c r="BD744" s="47"/>
      <c r="BE744" s="46"/>
      <c r="BG744" s="56"/>
      <c r="BH744" s="56"/>
      <c r="BI744" s="56"/>
      <c r="BJ744" s="56"/>
      <c r="BK744" s="56"/>
      <c r="BM744" s="56"/>
      <c r="BN744" s="56"/>
      <c r="BO744" s="56"/>
      <c r="BP744" s="56"/>
      <c r="BQ744" s="56"/>
    </row>
    <row r="745" spans="45:69">
      <c r="AV745" s="44"/>
      <c r="AW745" s="45"/>
      <c r="AX745" s="56"/>
      <c r="AY745" s="56"/>
      <c r="AZ745" s="56"/>
      <c r="BA745" s="46"/>
      <c r="BB745" s="56"/>
      <c r="BC745" s="47"/>
      <c r="BD745" s="47"/>
      <c r="BE745" s="46"/>
      <c r="BG745" s="56"/>
      <c r="BH745" s="56"/>
      <c r="BI745" s="56"/>
      <c r="BJ745" s="56"/>
      <c r="BK745" s="56"/>
      <c r="BM745" s="56"/>
      <c r="BN745" s="56"/>
      <c r="BO745" s="56"/>
      <c r="BP745" s="56"/>
      <c r="BQ745" s="56"/>
    </row>
    <row r="746" spans="45:69">
      <c r="AV746" s="44"/>
      <c r="AW746" s="45"/>
      <c r="AX746" s="56"/>
      <c r="AY746" s="56"/>
      <c r="AZ746" s="56"/>
      <c r="BA746" s="46"/>
      <c r="BB746" s="56"/>
      <c r="BC746" s="47"/>
      <c r="BD746" s="47"/>
      <c r="BE746" s="46"/>
      <c r="BG746" s="56"/>
      <c r="BH746" s="56"/>
      <c r="BI746" s="56"/>
      <c r="BJ746" s="56"/>
      <c r="BK746" s="56"/>
      <c r="BM746" s="56"/>
      <c r="BN746" s="56"/>
      <c r="BO746" s="56"/>
      <c r="BP746" s="56"/>
      <c r="BQ746" s="56"/>
    </row>
    <row r="747" spans="45:69">
      <c r="AV747" s="44"/>
      <c r="AW747" s="45"/>
      <c r="AX747" s="56"/>
      <c r="AY747" s="56"/>
      <c r="AZ747" s="56"/>
      <c r="BA747" s="46"/>
      <c r="BB747" s="56"/>
      <c r="BC747" s="47"/>
      <c r="BD747" s="47"/>
      <c r="BE747" s="46"/>
      <c r="BG747" s="56"/>
      <c r="BH747" s="56"/>
      <c r="BI747" s="56"/>
      <c r="BJ747" s="56"/>
      <c r="BK747" s="56"/>
      <c r="BM747" s="56"/>
      <c r="BN747" s="56"/>
      <c r="BO747" s="56"/>
      <c r="BP747" s="56"/>
      <c r="BQ747" s="56"/>
    </row>
    <row r="748" spans="45:69">
      <c r="AY748" s="47"/>
      <c r="AZ748" s="56"/>
      <c r="BA748" s="46"/>
      <c r="BB748" s="56"/>
      <c r="BC748" s="47"/>
      <c r="BD748" s="47"/>
      <c r="BE748" s="46"/>
      <c r="BK748" s="56"/>
      <c r="BQ748" s="56"/>
    </row>
    <row r="749" spans="45:69">
      <c r="AV749" s="44"/>
      <c r="AY749" s="47"/>
      <c r="AZ749" s="56"/>
      <c r="BA749" s="46"/>
      <c r="BB749" s="56"/>
      <c r="BC749" s="47"/>
      <c r="BD749" s="47"/>
      <c r="BE749" s="46"/>
      <c r="BK749" s="56"/>
      <c r="BQ749" s="56"/>
    </row>
    <row r="750" spans="45:69">
      <c r="AV750" s="44"/>
      <c r="AW750" s="45"/>
      <c r="AX750" s="56"/>
      <c r="AY750" s="56"/>
      <c r="AZ750" s="56"/>
      <c r="BA750" s="46"/>
      <c r="BB750" s="56"/>
      <c r="BC750" s="47"/>
      <c r="BD750" s="47"/>
      <c r="BE750" s="46"/>
      <c r="BG750" s="56"/>
      <c r="BH750" s="56"/>
      <c r="BI750" s="56"/>
      <c r="BJ750" s="56"/>
      <c r="BK750" s="56"/>
      <c r="BM750" s="56"/>
      <c r="BN750" s="56"/>
      <c r="BO750" s="56"/>
      <c r="BP750" s="56"/>
      <c r="BQ750" s="56"/>
    </row>
    <row r="751" spans="45:69">
      <c r="AV751" s="44"/>
      <c r="AW751" s="45"/>
      <c r="AX751" s="56"/>
      <c r="AY751" s="56"/>
      <c r="AZ751" s="56"/>
      <c r="BA751" s="46"/>
      <c r="BB751" s="56"/>
      <c r="BC751" s="47"/>
      <c r="BD751" s="47"/>
      <c r="BE751" s="46"/>
      <c r="BG751" s="56"/>
      <c r="BH751" s="56"/>
      <c r="BI751" s="56"/>
      <c r="BJ751" s="56"/>
      <c r="BK751" s="56"/>
      <c r="BM751" s="56"/>
      <c r="BN751" s="56"/>
      <c r="BO751" s="56"/>
      <c r="BP751" s="56"/>
      <c r="BQ751" s="56"/>
    </row>
    <row r="752" spans="45:69">
      <c r="AV752" s="44"/>
      <c r="AW752" s="45"/>
      <c r="AX752" s="56"/>
      <c r="AY752" s="56"/>
      <c r="AZ752" s="56"/>
      <c r="BA752" s="46"/>
      <c r="BB752" s="56"/>
      <c r="BC752" s="47"/>
      <c r="BD752" s="47"/>
      <c r="BE752" s="46"/>
      <c r="BG752" s="56"/>
      <c r="BH752" s="56"/>
      <c r="BI752" s="56"/>
      <c r="BJ752" s="56"/>
      <c r="BK752" s="56"/>
      <c r="BM752" s="56"/>
      <c r="BN752" s="56"/>
      <c r="BO752" s="56"/>
      <c r="BP752" s="56"/>
      <c r="BQ752" s="56"/>
    </row>
    <row r="753" spans="45:69">
      <c r="AV753" s="44"/>
      <c r="AW753" s="45"/>
      <c r="AX753" s="56"/>
      <c r="AY753" s="56"/>
      <c r="AZ753" s="56"/>
      <c r="BA753" s="46"/>
      <c r="BB753" s="56"/>
      <c r="BC753" s="47"/>
      <c r="BD753" s="47"/>
      <c r="BE753" s="46"/>
      <c r="BG753" s="56"/>
      <c r="BH753" s="56"/>
      <c r="BI753" s="56"/>
      <c r="BJ753" s="56"/>
      <c r="BK753" s="56"/>
      <c r="BM753" s="56"/>
      <c r="BN753" s="56"/>
      <c r="BO753" s="56"/>
      <c r="BP753" s="56"/>
      <c r="BQ753" s="56"/>
    </row>
    <row r="754" spans="45:69">
      <c r="AV754" s="44"/>
      <c r="AW754" s="45"/>
      <c r="AX754" s="56"/>
      <c r="AY754" s="56"/>
      <c r="AZ754" s="56"/>
      <c r="BA754" s="46"/>
      <c r="BB754" s="56"/>
      <c r="BC754" s="47"/>
      <c r="BD754" s="47"/>
      <c r="BE754" s="46"/>
      <c r="BG754" s="56"/>
      <c r="BH754" s="56"/>
      <c r="BI754" s="56"/>
      <c r="BJ754" s="56"/>
      <c r="BK754" s="56"/>
      <c r="BM754" s="56"/>
      <c r="BN754" s="56"/>
      <c r="BO754" s="56"/>
      <c r="BP754" s="56"/>
      <c r="BQ754" s="56"/>
    </row>
    <row r="755" spans="45:69">
      <c r="AV755" s="44"/>
      <c r="AW755" s="45"/>
      <c r="AX755" s="56"/>
      <c r="AY755" s="56"/>
      <c r="AZ755" s="56"/>
      <c r="BA755" s="46"/>
      <c r="BB755" s="56"/>
      <c r="BC755" s="47"/>
      <c r="BD755" s="47"/>
      <c r="BE755" s="46"/>
      <c r="BG755" s="56"/>
      <c r="BH755" s="56"/>
      <c r="BI755" s="56"/>
      <c r="BJ755" s="56"/>
      <c r="BK755" s="56"/>
      <c r="BM755" s="56"/>
      <c r="BN755" s="56"/>
      <c r="BO755" s="56"/>
      <c r="BP755" s="56"/>
      <c r="BQ755" s="56"/>
    </row>
    <row r="756" spans="45:69">
      <c r="AV756" s="44"/>
      <c r="AW756" s="45"/>
      <c r="AX756" s="56"/>
      <c r="AY756" s="56"/>
      <c r="AZ756" s="56"/>
      <c r="BA756" s="46"/>
      <c r="BB756" s="56"/>
      <c r="BC756" s="47"/>
      <c r="BD756" s="47"/>
      <c r="BE756" s="46"/>
      <c r="BG756" s="56"/>
      <c r="BH756" s="56"/>
      <c r="BI756" s="56"/>
      <c r="BJ756" s="56"/>
      <c r="BK756" s="56"/>
      <c r="BM756" s="56"/>
      <c r="BN756" s="56"/>
      <c r="BO756" s="56"/>
      <c r="BP756" s="56"/>
      <c r="BQ756" s="56"/>
    </row>
    <row r="757" spans="45:69">
      <c r="AV757" s="44"/>
      <c r="AW757" s="45"/>
      <c r="AX757" s="56"/>
      <c r="AY757" s="56"/>
      <c r="AZ757" s="56"/>
      <c r="BA757" s="46"/>
      <c r="BB757" s="56"/>
      <c r="BC757" s="47"/>
      <c r="BD757" s="47"/>
      <c r="BE757" s="46"/>
      <c r="BG757" s="56"/>
      <c r="BH757" s="56"/>
      <c r="BI757" s="56"/>
      <c r="BJ757" s="56"/>
      <c r="BK757" s="56"/>
      <c r="BM757" s="56"/>
      <c r="BN757" s="56"/>
      <c r="BO757" s="56"/>
      <c r="BP757" s="56"/>
      <c r="BQ757" s="56"/>
    </row>
    <row r="758" spans="45:69">
      <c r="AY758" s="47"/>
      <c r="AZ758" s="56"/>
      <c r="BA758" s="46"/>
      <c r="BB758" s="56"/>
      <c r="BC758" s="47"/>
      <c r="BD758" s="47"/>
      <c r="BE758" s="46"/>
      <c r="BK758" s="56"/>
      <c r="BQ758" s="56"/>
    </row>
    <row r="759" spans="45:69">
      <c r="AU759" s="42"/>
      <c r="AZ759" s="56"/>
      <c r="BB759" s="56"/>
      <c r="BG759" s="56"/>
      <c r="BH759" s="56"/>
      <c r="BJ759" s="56"/>
      <c r="BK759" s="56"/>
    </row>
    <row r="760" spans="45:69">
      <c r="AZ760" s="56"/>
      <c r="BB760" s="56"/>
    </row>
    <row r="761" spans="45:69">
      <c r="AS761" s="42"/>
      <c r="AZ761" s="56"/>
      <c r="BB761" s="56"/>
      <c r="BI761" s="56"/>
    </row>
    <row r="762" spans="45:69">
      <c r="AZ762" s="56"/>
      <c r="BB762" s="56"/>
    </row>
    <row r="763" spans="45:69">
      <c r="AY763" s="56"/>
      <c r="BB763" s="56"/>
    </row>
    <row r="764" spans="45:69">
      <c r="AY764" s="42"/>
      <c r="AZ764" s="56"/>
      <c r="BB764" s="56"/>
    </row>
    <row r="765" spans="45:69">
      <c r="AY765" s="42"/>
      <c r="AZ765" s="56"/>
      <c r="BB765" s="56"/>
    </row>
    <row r="766" spans="45:69">
      <c r="AZ766" s="56"/>
      <c r="BB766" s="56"/>
      <c r="BD766" s="42"/>
    </row>
    <row r="767" spans="45:69">
      <c r="AZ767" s="56"/>
      <c r="BB767" s="56"/>
      <c r="BD767" s="42"/>
    </row>
    <row r="768" spans="45:69">
      <c r="AS768" s="42"/>
      <c r="AZ768" s="56"/>
      <c r="BB768" s="56"/>
      <c r="BD768" s="42"/>
    </row>
    <row r="769" spans="45:75">
      <c r="AZ769" s="56"/>
      <c r="BB769" s="56"/>
    </row>
    <row r="770" spans="45:75">
      <c r="AS770" s="49"/>
      <c r="AT770" s="49"/>
      <c r="AU770" s="49"/>
      <c r="AV770" s="49"/>
      <c r="AW770" s="49"/>
      <c r="AX770" s="49"/>
      <c r="AY770" s="49"/>
      <c r="AZ770" s="57"/>
      <c r="BA770" s="49"/>
      <c r="BB770" s="57"/>
      <c r="BC770" s="49"/>
      <c r="BD770" s="49"/>
      <c r="BE770" s="49"/>
    </row>
    <row r="771" spans="45:75">
      <c r="AX771" s="42"/>
      <c r="AZ771" s="56"/>
      <c r="BB771" s="56"/>
    </row>
    <row r="772" spans="45:75">
      <c r="AX772" s="49"/>
      <c r="AY772" s="49"/>
      <c r="AZ772" s="57"/>
      <c r="BA772" s="49"/>
      <c r="BB772" s="56"/>
      <c r="BC772" s="44"/>
      <c r="BD772" s="44"/>
    </row>
    <row r="773" spans="45:75">
      <c r="AV773" s="44"/>
      <c r="AW773" s="44"/>
      <c r="AZ773" s="58"/>
      <c r="BA773" s="44"/>
      <c r="BB773" s="56"/>
      <c r="BC773" s="44"/>
      <c r="BD773" s="44"/>
      <c r="BE773" s="44"/>
      <c r="BG773" s="49"/>
      <c r="BH773" s="49"/>
      <c r="BI773" s="42"/>
      <c r="BM773" s="49"/>
      <c r="BN773" s="49"/>
      <c r="BP773" s="49"/>
      <c r="BQ773" s="49"/>
      <c r="BR773" s="42"/>
      <c r="BV773" s="49"/>
      <c r="BW773" s="49"/>
    </row>
    <row r="774" spans="45:75">
      <c r="AV774" s="44"/>
      <c r="AW774" s="44"/>
      <c r="AX774" s="44"/>
      <c r="AY774" s="44"/>
      <c r="AZ774" s="58"/>
      <c r="BA774" s="44"/>
      <c r="BB774" s="58"/>
      <c r="BC774" s="44"/>
      <c r="BD774" s="44"/>
      <c r="BE774" s="44"/>
      <c r="BH774" s="44"/>
      <c r="BI774" s="44"/>
      <c r="BJ774" s="44"/>
      <c r="BK774" s="44"/>
      <c r="BL774" s="44"/>
      <c r="BM774" s="44"/>
      <c r="BQ774" s="44"/>
      <c r="BR774" s="44"/>
      <c r="BS774" s="44"/>
      <c r="BT774" s="44"/>
      <c r="BU774" s="44"/>
      <c r="BV774" s="44"/>
    </row>
    <row r="775" spans="45:75">
      <c r="AS775" s="44"/>
      <c r="AU775" s="42"/>
      <c r="AV775" s="44"/>
      <c r="AW775" s="44"/>
      <c r="AX775" s="44"/>
      <c r="AY775" s="44"/>
      <c r="AZ775" s="58"/>
      <c r="BA775" s="44"/>
      <c r="BB775" s="58"/>
      <c r="BC775" s="44"/>
      <c r="BD775" s="44"/>
      <c r="BE775" s="44"/>
      <c r="BG775" s="44"/>
      <c r="BH775" s="44"/>
      <c r="BI775" s="44"/>
      <c r="BJ775" s="44"/>
      <c r="BK775" s="44"/>
      <c r="BL775" s="44"/>
      <c r="BM775" s="44"/>
      <c r="BN775" s="44"/>
      <c r="BP775" s="44"/>
      <c r="BQ775" s="44"/>
      <c r="BR775" s="44"/>
      <c r="BS775" s="44"/>
      <c r="BT775" s="44"/>
      <c r="BU775" s="44"/>
      <c r="BV775" s="44"/>
      <c r="BW775" s="44"/>
    </row>
    <row r="776" spans="45:75">
      <c r="AS776" s="44"/>
      <c r="AU776" s="42"/>
      <c r="AV776" s="44"/>
      <c r="AW776" s="44"/>
      <c r="AX776" s="44"/>
      <c r="AY776" s="44"/>
      <c r="AZ776" s="58"/>
      <c r="BA776" s="44"/>
      <c r="BB776" s="58"/>
      <c r="BC776" s="44"/>
      <c r="BD776" s="44"/>
      <c r="BE776" s="44"/>
      <c r="BG776" s="44"/>
      <c r="BH776" s="44"/>
      <c r="BI776" s="44"/>
      <c r="BJ776" s="44"/>
      <c r="BK776" s="44"/>
      <c r="BL776" s="44"/>
      <c r="BM776" s="44"/>
      <c r="BN776" s="44"/>
      <c r="BP776" s="44"/>
      <c r="BQ776" s="44"/>
      <c r="BR776" s="44"/>
      <c r="BS776" s="44"/>
      <c r="BT776" s="44"/>
      <c r="BU776" s="44"/>
      <c r="BV776" s="44"/>
      <c r="BW776" s="44"/>
    </row>
    <row r="777" spans="45:75">
      <c r="AS777" s="49"/>
      <c r="AT777" s="49"/>
      <c r="AU777" s="49"/>
      <c r="AV777" s="49"/>
      <c r="AW777" s="49"/>
      <c r="AX777" s="49"/>
      <c r="AY777" s="49"/>
      <c r="AZ777" s="57"/>
      <c r="BA777" s="49"/>
      <c r="BB777" s="57"/>
      <c r="BC777" s="49"/>
      <c r="BD777" s="49"/>
      <c r="BE777" s="49"/>
      <c r="BG777" s="49"/>
      <c r="BH777" s="49"/>
      <c r="BI777" s="49"/>
      <c r="BJ777" s="49"/>
      <c r="BK777" s="49"/>
      <c r="BL777" s="49"/>
      <c r="BM777" s="49"/>
      <c r="BN777" s="49"/>
      <c r="BP777" s="49"/>
      <c r="BQ777" s="49"/>
      <c r="BR777" s="49"/>
      <c r="BS777" s="49"/>
      <c r="BT777" s="49"/>
      <c r="BU777" s="49"/>
      <c r="BV777" s="49"/>
      <c r="BW777" s="49"/>
    </row>
    <row r="778" spans="45:75">
      <c r="AV778" s="44"/>
      <c r="AW778" s="44"/>
      <c r="AX778" s="44"/>
      <c r="AY778" s="44"/>
      <c r="AZ778" s="58"/>
      <c r="BA778" s="44"/>
      <c r="BB778" s="58"/>
      <c r="BC778" s="44"/>
      <c r="BD778" s="44"/>
      <c r="BE778" s="44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</row>
    <row r="779" spans="45:75">
      <c r="AU779" s="42"/>
      <c r="AW779" s="45"/>
      <c r="AX779" s="56"/>
      <c r="AY779" s="56"/>
      <c r="AZ779" s="56"/>
      <c r="BA779" s="51"/>
      <c r="BB779" s="56"/>
      <c r="BC779" s="56"/>
      <c r="BD779" s="56"/>
      <c r="BE779" s="51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</row>
    <row r="780" spans="45:75">
      <c r="AW780" s="45"/>
      <c r="AX780" s="56"/>
      <c r="AY780" s="56"/>
      <c r="AZ780" s="56"/>
      <c r="BA780" s="51"/>
      <c r="BB780" s="56"/>
      <c r="BC780" s="56"/>
      <c r="BD780" s="56"/>
      <c r="BE780" s="51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</row>
    <row r="781" spans="45:75">
      <c r="AW781" s="45"/>
      <c r="AX781" s="56"/>
      <c r="AY781" s="56"/>
      <c r="AZ781" s="56"/>
      <c r="BA781" s="51"/>
      <c r="BB781" s="56"/>
      <c r="BC781" s="56"/>
      <c r="BD781" s="56"/>
      <c r="BE781" s="51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</row>
    <row r="782" spans="45:75">
      <c r="AW782" s="45"/>
      <c r="AX782" s="56"/>
      <c r="AY782" s="56"/>
      <c r="AZ782" s="56"/>
      <c r="BA782" s="51"/>
      <c r="BB782" s="56"/>
      <c r="BC782" s="56"/>
      <c r="BD782" s="56"/>
      <c r="BE782" s="51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5:75"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5:75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9:75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9:75"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</row>
    <row r="787" spans="49:75">
      <c r="AW787" s="45"/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</row>
    <row r="788" spans="49:75"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</row>
    <row r="789" spans="49:75"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</row>
    <row r="790" spans="49:75"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</row>
    <row r="791" spans="49:75">
      <c r="AW791" s="45"/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</row>
    <row r="792" spans="49:75">
      <c r="AW792" s="45"/>
      <c r="AX792" s="56"/>
      <c r="AY792" s="56"/>
      <c r="AZ792" s="56"/>
      <c r="BA792" s="51"/>
      <c r="BB792" s="56"/>
      <c r="BC792" s="56"/>
      <c r="BD792" s="56"/>
      <c r="BE792" s="51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</row>
    <row r="793" spans="49:75">
      <c r="AW793" s="45"/>
      <c r="AX793" s="56"/>
      <c r="AY793" s="56"/>
      <c r="AZ793" s="56"/>
      <c r="BA793" s="51"/>
      <c r="BB793" s="56"/>
      <c r="BC793" s="56"/>
      <c r="BD793" s="56"/>
      <c r="BE793" s="51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</row>
    <row r="794" spans="49:75">
      <c r="AW794" s="45"/>
      <c r="AX794" s="56"/>
      <c r="AY794" s="56"/>
      <c r="AZ794" s="56"/>
      <c r="BA794" s="51"/>
      <c r="BB794" s="56"/>
      <c r="BC794" s="56"/>
      <c r="BD794" s="56"/>
      <c r="BE794" s="51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</row>
    <row r="795" spans="49:75">
      <c r="AW795" s="45"/>
      <c r="AX795" s="56"/>
      <c r="AY795" s="56"/>
      <c r="AZ795" s="56"/>
      <c r="BA795" s="51"/>
      <c r="BB795" s="56"/>
      <c r="BC795" s="56"/>
      <c r="BD795" s="56"/>
      <c r="BE795" s="51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</row>
    <row r="796" spans="49:75">
      <c r="AW796" s="45"/>
      <c r="AX796" s="56"/>
      <c r="AY796" s="56"/>
      <c r="AZ796" s="56"/>
      <c r="BA796" s="51"/>
      <c r="BB796" s="56"/>
      <c r="BC796" s="56"/>
      <c r="BD796" s="56"/>
      <c r="BE796" s="51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</row>
    <row r="797" spans="49:75">
      <c r="AW797" s="45"/>
      <c r="AX797" s="56"/>
      <c r="AY797" s="56"/>
      <c r="AZ797" s="56"/>
      <c r="BA797" s="51"/>
      <c r="BB797" s="56"/>
      <c r="BC797" s="56"/>
      <c r="BD797" s="56"/>
      <c r="BE797" s="51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</row>
    <row r="798" spans="49:75">
      <c r="AW798" s="45"/>
      <c r="AX798" s="56"/>
      <c r="AY798" s="56"/>
      <c r="AZ798" s="56"/>
      <c r="BA798" s="51"/>
      <c r="BB798" s="56"/>
      <c r="BC798" s="56"/>
      <c r="BD798" s="56"/>
      <c r="BE798" s="51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</row>
    <row r="799" spans="49:75">
      <c r="AW799" s="45"/>
      <c r="AX799" s="56"/>
      <c r="AY799" s="56"/>
      <c r="AZ799" s="56"/>
      <c r="BA799" s="51"/>
      <c r="BB799" s="56"/>
      <c r="BC799" s="56"/>
      <c r="BD799" s="56"/>
      <c r="BE799" s="51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</row>
    <row r="800" spans="49:75">
      <c r="AW800" s="45"/>
      <c r="AX800" s="56"/>
      <c r="AY800" s="56"/>
      <c r="AZ800" s="56"/>
      <c r="BA800" s="51"/>
      <c r="BB800" s="56"/>
      <c r="BC800" s="56"/>
      <c r="BD800" s="56"/>
      <c r="BE800" s="51"/>
      <c r="BG800" s="49"/>
      <c r="BH800" s="49"/>
      <c r="BI800" s="42"/>
      <c r="BM800" s="49"/>
      <c r="BN800" s="49"/>
      <c r="BO800" s="56"/>
      <c r="BP800" s="49"/>
      <c r="BQ800" s="49"/>
      <c r="BR800" s="42"/>
      <c r="BV800" s="49"/>
      <c r="BW800" s="49"/>
    </row>
    <row r="801" spans="45:75">
      <c r="AU801" s="42"/>
      <c r="AV801" s="44"/>
      <c r="AW801" s="45"/>
      <c r="AX801" s="56"/>
      <c r="AY801" s="56"/>
      <c r="AZ801" s="56"/>
      <c r="BA801" s="51"/>
      <c r="BB801" s="56"/>
      <c r="BC801" s="56"/>
      <c r="BD801" s="56"/>
      <c r="BE801" s="51"/>
      <c r="BG801" s="58"/>
      <c r="BH801" s="56"/>
      <c r="BI801" s="56"/>
      <c r="BJ801" s="56"/>
      <c r="BK801" s="58"/>
      <c r="BL801" s="59"/>
      <c r="BM801" s="56"/>
      <c r="BN801" s="58"/>
      <c r="BO801" s="56"/>
      <c r="BP801" s="58"/>
      <c r="BQ801" s="56"/>
      <c r="BR801" s="56"/>
      <c r="BS801" s="56"/>
      <c r="BT801" s="58"/>
      <c r="BU801" s="59"/>
      <c r="BV801" s="56"/>
      <c r="BW801" s="58"/>
    </row>
    <row r="802" spans="45:75">
      <c r="AV802" s="44"/>
      <c r="AW802" s="45"/>
      <c r="AX802" s="56"/>
      <c r="AY802" s="56"/>
      <c r="AZ802" s="56"/>
      <c r="BA802" s="51"/>
      <c r="BB802" s="56"/>
      <c r="BC802" s="56"/>
      <c r="BD802" s="56"/>
      <c r="BE802" s="51"/>
      <c r="BG802" s="56"/>
      <c r="BH802" s="56"/>
      <c r="BI802" s="56"/>
      <c r="BJ802" s="56"/>
      <c r="BK802" s="56"/>
      <c r="BL802" s="59"/>
      <c r="BM802" s="56"/>
      <c r="BN802" s="56"/>
      <c r="BO802" s="56"/>
      <c r="BP802" s="56"/>
      <c r="BQ802" s="56"/>
      <c r="BR802" s="56"/>
      <c r="BS802" s="56"/>
      <c r="BT802" s="56"/>
      <c r="BU802" s="59"/>
      <c r="BV802" s="56"/>
      <c r="BW802" s="56"/>
    </row>
    <row r="803" spans="45:75">
      <c r="AV803" s="44"/>
      <c r="AW803" s="45"/>
      <c r="AX803" s="56"/>
      <c r="AY803" s="56"/>
      <c r="AZ803" s="56"/>
      <c r="BA803" s="51"/>
      <c r="BB803" s="56"/>
      <c r="BC803" s="56"/>
      <c r="BD803" s="56"/>
      <c r="BE803" s="51"/>
      <c r="BG803" s="56"/>
      <c r="BH803" s="56"/>
      <c r="BI803" s="56"/>
      <c r="BJ803" s="56"/>
      <c r="BK803" s="56"/>
      <c r="BL803" s="59"/>
      <c r="BM803" s="56"/>
      <c r="BN803" s="56"/>
      <c r="BO803" s="56"/>
      <c r="BP803" s="56"/>
      <c r="BQ803" s="56"/>
      <c r="BR803" s="56"/>
      <c r="BS803" s="56"/>
      <c r="BT803" s="56"/>
      <c r="BU803" s="59"/>
      <c r="BV803" s="56"/>
      <c r="BW803" s="56"/>
    </row>
    <row r="804" spans="45:75">
      <c r="AV804" s="44"/>
      <c r="AW804" s="45"/>
      <c r="AX804" s="56"/>
      <c r="AY804" s="56"/>
      <c r="AZ804" s="56"/>
      <c r="BA804" s="51"/>
      <c r="BB804" s="56"/>
      <c r="BC804" s="56"/>
      <c r="BD804" s="56"/>
      <c r="BE804" s="51"/>
      <c r="BG804" s="56"/>
      <c r="BH804" s="56"/>
      <c r="BI804" s="56"/>
      <c r="BJ804" s="56"/>
      <c r="BK804" s="56"/>
      <c r="BL804" s="59"/>
      <c r="BM804" s="56"/>
      <c r="BN804" s="56"/>
      <c r="BO804" s="56"/>
      <c r="BP804" s="56"/>
      <c r="BQ804" s="56"/>
      <c r="BR804" s="56"/>
      <c r="BS804" s="56"/>
      <c r="BT804" s="56"/>
      <c r="BU804" s="59"/>
      <c r="BV804" s="56"/>
      <c r="BW804" s="56"/>
    </row>
    <row r="805" spans="45:75">
      <c r="AX805" s="56"/>
      <c r="AY805" s="56"/>
      <c r="AZ805" s="56"/>
      <c r="BA805" s="51"/>
      <c r="BB805" s="56"/>
      <c r="BC805" s="56"/>
      <c r="BD805" s="56"/>
      <c r="BE805" s="51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</row>
    <row r="806" spans="45:75">
      <c r="AU806" s="42"/>
    </row>
    <row r="807" spans="45:75">
      <c r="AU807" s="42"/>
      <c r="AZ807" s="56"/>
      <c r="BA807" s="51"/>
      <c r="BB807" s="56"/>
      <c r="BC807" s="56"/>
      <c r="BD807" s="56"/>
      <c r="BE807" s="51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</row>
    <row r="808" spans="45:75">
      <c r="AS808" s="42"/>
      <c r="AZ808" s="56"/>
      <c r="BB808" s="56"/>
    </row>
    <row r="809" spans="45:75">
      <c r="AZ809" s="56"/>
      <c r="BB809" s="56"/>
      <c r="BO809" s="56"/>
      <c r="BP809" s="56"/>
      <c r="BQ809" s="56"/>
      <c r="BR809" s="56"/>
      <c r="BS809" s="56"/>
      <c r="BT809" s="56"/>
      <c r="BU809" s="56"/>
      <c r="BV809" s="56"/>
    </row>
    <row r="810" spans="45:75">
      <c r="AY810" s="56"/>
      <c r="AZ810" s="56"/>
      <c r="BB810" s="56"/>
      <c r="BO810" s="56"/>
      <c r="BP810" s="56"/>
      <c r="BQ810" s="56"/>
      <c r="BR810" s="56"/>
      <c r="BS810" s="56"/>
      <c r="BT810" s="56"/>
      <c r="BU810" s="56"/>
      <c r="BV810" s="56"/>
    </row>
    <row r="811" spans="45:75">
      <c r="AY811" s="42"/>
      <c r="AZ811" s="56"/>
      <c r="BB811" s="56"/>
      <c r="BO811" s="56"/>
      <c r="BP811" s="56"/>
      <c r="BQ811" s="56"/>
      <c r="BR811" s="56"/>
      <c r="BS811" s="56"/>
      <c r="BT811" s="56"/>
      <c r="BU811" s="56"/>
      <c r="BV811" s="56"/>
    </row>
    <row r="812" spans="45:75">
      <c r="AY812" s="42"/>
      <c r="AZ812" s="56"/>
      <c r="BB812" s="56"/>
      <c r="BO812" s="56"/>
      <c r="BP812" s="56"/>
      <c r="BQ812" s="56"/>
      <c r="BR812" s="56"/>
      <c r="BS812" s="56"/>
      <c r="BT812" s="56"/>
      <c r="BU812" s="56"/>
      <c r="BV812" s="56"/>
    </row>
    <row r="813" spans="45:75">
      <c r="AZ813" s="56"/>
      <c r="BB813" s="56"/>
      <c r="BD813" s="42"/>
      <c r="BO813" s="56"/>
      <c r="BP813" s="56"/>
      <c r="BQ813" s="56"/>
      <c r="BR813" s="56"/>
      <c r="BS813" s="56"/>
      <c r="BT813" s="56"/>
      <c r="BU813" s="56"/>
      <c r="BV813" s="56"/>
    </row>
    <row r="814" spans="45:75">
      <c r="AZ814" s="56"/>
      <c r="BB814" s="56"/>
      <c r="BD814" s="42"/>
      <c r="BO814" s="56"/>
      <c r="BP814" s="56"/>
      <c r="BQ814" s="56"/>
      <c r="BR814" s="56"/>
      <c r="BS814" s="56"/>
      <c r="BT814" s="56"/>
      <c r="BU814" s="56"/>
      <c r="BV814" s="56"/>
    </row>
    <row r="815" spans="45:75">
      <c r="AS815" s="42"/>
      <c r="AZ815" s="56"/>
      <c r="BB815" s="56"/>
      <c r="BD815" s="42"/>
      <c r="BO815" s="56"/>
      <c r="BP815" s="56"/>
      <c r="BQ815" s="56"/>
      <c r="BR815" s="56"/>
      <c r="BS815" s="56"/>
      <c r="BT815" s="56"/>
      <c r="BU815" s="56"/>
      <c r="BV815" s="56"/>
    </row>
    <row r="816" spans="45:75">
      <c r="AZ816" s="56"/>
      <c r="BB816" s="56"/>
      <c r="BO816" s="56"/>
      <c r="BP816" s="56"/>
      <c r="BQ816" s="56"/>
      <c r="BR816" s="56"/>
      <c r="BS816" s="56"/>
      <c r="BT816" s="56"/>
      <c r="BU816" s="56"/>
      <c r="BV816" s="56"/>
    </row>
    <row r="817" spans="45:74">
      <c r="AS817" s="49"/>
      <c r="AT817" s="49"/>
      <c r="AU817" s="49"/>
      <c r="AV817" s="49"/>
      <c r="AW817" s="49"/>
      <c r="AX817" s="49"/>
      <c r="AY817" s="49"/>
      <c r="AZ817" s="57"/>
      <c r="BA817" s="49"/>
      <c r="BB817" s="57"/>
      <c r="BC817" s="49"/>
      <c r="BD817" s="49"/>
      <c r="BE817" s="49"/>
      <c r="BO817" s="56"/>
      <c r="BP817" s="56"/>
      <c r="BQ817" s="56"/>
      <c r="BR817" s="56"/>
      <c r="BS817" s="56"/>
      <c r="BT817" s="56"/>
      <c r="BU817" s="56"/>
      <c r="BV817" s="56"/>
    </row>
    <row r="818" spans="45:74">
      <c r="AX818" s="42"/>
      <c r="AZ818" s="56"/>
      <c r="BB818" s="56"/>
      <c r="BO818" s="56"/>
      <c r="BP818" s="56"/>
      <c r="BQ818" s="56"/>
      <c r="BR818" s="56"/>
      <c r="BS818" s="56"/>
      <c r="BT818" s="56"/>
      <c r="BU818" s="56"/>
      <c r="BV818" s="56"/>
    </row>
    <row r="819" spans="45:74">
      <c r="AX819" s="49"/>
      <c r="AY819" s="49"/>
      <c r="AZ819" s="57"/>
      <c r="BA819" s="49"/>
      <c r="BB819" s="56"/>
      <c r="BC819" s="44"/>
      <c r="BD819" s="44"/>
      <c r="BO819" s="56"/>
      <c r="BP819" s="56"/>
      <c r="BQ819" s="56"/>
      <c r="BR819" s="56"/>
      <c r="BS819" s="56"/>
      <c r="BT819" s="56"/>
      <c r="BU819" s="56"/>
      <c r="BV819" s="56"/>
    </row>
    <row r="820" spans="45:74">
      <c r="AV820" s="44"/>
      <c r="AW820" s="44"/>
      <c r="AZ820" s="58"/>
      <c r="BA820" s="44"/>
      <c r="BB820" s="56"/>
      <c r="BC820" s="44"/>
      <c r="BD820" s="44"/>
      <c r="BE820" s="44"/>
      <c r="BG820" s="49"/>
      <c r="BH820" s="42"/>
      <c r="BK820" s="49"/>
      <c r="BM820" s="49"/>
      <c r="BN820" s="42"/>
      <c r="BQ820" s="49"/>
    </row>
    <row r="821" spans="45:74">
      <c r="AV821" s="44"/>
      <c r="AW821" s="44"/>
      <c r="AX821" s="44"/>
      <c r="AY821" s="44"/>
      <c r="AZ821" s="58"/>
      <c r="BA821" s="44"/>
      <c r="BB821" s="58"/>
      <c r="BC821" s="44"/>
      <c r="BD821" s="44"/>
      <c r="BE821" s="44"/>
      <c r="BH821" s="44"/>
      <c r="BI821" s="44"/>
      <c r="BN821" s="44"/>
      <c r="BO821" s="44"/>
    </row>
    <row r="822" spans="45:74">
      <c r="AS822" s="44"/>
      <c r="AU822" s="42"/>
      <c r="AV822" s="44"/>
      <c r="AW822" s="44"/>
      <c r="AX822" s="44"/>
      <c r="AY822" s="44"/>
      <c r="AZ822" s="58"/>
      <c r="BA822" s="44"/>
      <c r="BB822" s="58"/>
      <c r="BC822" s="44"/>
      <c r="BD822" s="44"/>
      <c r="BE822" s="44"/>
      <c r="BG822" s="44"/>
      <c r="BH822" s="44"/>
      <c r="BI822" s="44"/>
      <c r="BJ822" s="44"/>
      <c r="BK822" s="44"/>
      <c r="BM822" s="44"/>
      <c r="BN822" s="44"/>
      <c r="BO822" s="44"/>
      <c r="BP822" s="44"/>
      <c r="BQ822" s="44"/>
    </row>
    <row r="823" spans="45:74">
      <c r="AS823" s="44"/>
      <c r="AU823" s="42"/>
      <c r="AV823" s="44"/>
      <c r="AW823" s="44"/>
      <c r="AX823" s="44"/>
      <c r="AY823" s="44"/>
      <c r="AZ823" s="58"/>
      <c r="BA823" s="44"/>
      <c r="BB823" s="58"/>
      <c r="BC823" s="44"/>
      <c r="BD823" s="44"/>
      <c r="BE823" s="44"/>
      <c r="BG823" s="44"/>
      <c r="BH823" s="44"/>
      <c r="BI823" s="44"/>
      <c r="BJ823" s="44"/>
      <c r="BK823" s="44"/>
      <c r="BM823" s="44"/>
      <c r="BN823" s="44"/>
      <c r="BO823" s="44"/>
      <c r="BP823" s="44"/>
      <c r="BQ823" s="44"/>
    </row>
    <row r="824" spans="45:74">
      <c r="AS824" s="49"/>
      <c r="AT824" s="49"/>
      <c r="AU824" s="49"/>
      <c r="AV824" s="49"/>
      <c r="AW824" s="49"/>
      <c r="AX824" s="49"/>
      <c r="AY824" s="49"/>
      <c r="AZ824" s="57"/>
      <c r="BA824" s="49"/>
      <c r="BB824" s="57"/>
      <c r="BC824" s="49"/>
      <c r="BD824" s="49"/>
      <c r="BE824" s="49"/>
      <c r="BG824" s="49"/>
      <c r="BH824" s="49"/>
      <c r="BI824" s="49"/>
      <c r="BJ824" s="49"/>
      <c r="BK824" s="49"/>
      <c r="BM824" s="49"/>
      <c r="BN824" s="49"/>
      <c r="BO824" s="49"/>
      <c r="BP824" s="49"/>
      <c r="BQ824" s="49"/>
    </row>
    <row r="825" spans="45:74">
      <c r="AV825" s="44"/>
      <c r="AW825" s="44"/>
      <c r="AX825" s="44"/>
      <c r="AY825" s="44"/>
      <c r="AZ825" s="58"/>
      <c r="BA825" s="44"/>
      <c r="BB825" s="58"/>
      <c r="BC825" s="44"/>
      <c r="BD825" s="44"/>
      <c r="BE825" s="44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</row>
    <row r="826" spans="45:74">
      <c r="AT826" s="42"/>
      <c r="AV826" s="45"/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</row>
    <row r="827" spans="45:74">
      <c r="AV827" s="45"/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</row>
    <row r="828" spans="45:74">
      <c r="AV828" s="45"/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</row>
    <row r="829" spans="45:74">
      <c r="AV829" s="45"/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</row>
    <row r="830" spans="45:74"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5:74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</row>
    <row r="832" spans="45:74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</row>
    <row r="833" spans="46:71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6:71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</row>
    <row r="835" spans="46:71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</row>
    <row r="836" spans="46:71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</row>
    <row r="837" spans="46:71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</row>
    <row r="838" spans="46:71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</row>
    <row r="839" spans="46:71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</row>
    <row r="840" spans="46:71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</row>
    <row r="841" spans="46:71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</row>
    <row r="842" spans="46:71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</row>
    <row r="843" spans="46:71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</row>
    <row r="844" spans="46:71">
      <c r="AZ844" s="56"/>
      <c r="BB844" s="56"/>
      <c r="BC844" s="56"/>
      <c r="BD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</row>
    <row r="845" spans="46:71">
      <c r="AT845" s="42"/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</row>
    <row r="846" spans="46:71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</row>
    <row r="847" spans="46:71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</row>
    <row r="848" spans="46:71">
      <c r="AV848" s="45"/>
      <c r="AW848" s="45"/>
      <c r="AX848" s="56"/>
      <c r="AY848" s="56"/>
      <c r="AZ848" s="56"/>
      <c r="BA848" s="51"/>
      <c r="BB848" s="56"/>
      <c r="BC848" s="56"/>
      <c r="BD848" s="56"/>
      <c r="BE848" s="51"/>
    </row>
    <row r="849" spans="47:57"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</row>
    <row r="850" spans="47:57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</row>
    <row r="851" spans="47:57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</row>
    <row r="852" spans="47:57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</row>
    <row r="853" spans="47:57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</row>
    <row r="854" spans="47:57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</row>
    <row r="855" spans="47:57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</row>
    <row r="856" spans="47:57">
      <c r="AV856" s="45"/>
      <c r="AW856" s="45"/>
      <c r="AX856" s="56"/>
      <c r="AY856" s="56"/>
      <c r="AZ856" s="56"/>
      <c r="BA856" s="51"/>
      <c r="BB856" s="56"/>
      <c r="BC856" s="56"/>
      <c r="BD856" s="56"/>
      <c r="BE856" s="51"/>
    </row>
    <row r="857" spans="47:57">
      <c r="AV857" s="45"/>
      <c r="AW857" s="45"/>
      <c r="AX857" s="56"/>
      <c r="AY857" s="56"/>
      <c r="AZ857" s="56"/>
      <c r="BA857" s="51"/>
      <c r="BB857" s="56"/>
      <c r="BC857" s="56"/>
      <c r="BD857" s="56"/>
      <c r="BE857" s="51"/>
    </row>
    <row r="858" spans="47:57">
      <c r="AV858" s="45"/>
      <c r="AW858" s="45"/>
      <c r="AX858" s="56"/>
      <c r="AY858" s="56"/>
      <c r="AZ858" s="56"/>
      <c r="BA858" s="51"/>
      <c r="BB858" s="56"/>
      <c r="BC858" s="56"/>
      <c r="BD858" s="56"/>
      <c r="BE858" s="51"/>
    </row>
    <row r="859" spans="47:57">
      <c r="AV859" s="45"/>
      <c r="AW859" s="45"/>
      <c r="AX859" s="56"/>
      <c r="AY859" s="56"/>
      <c r="AZ859" s="56"/>
      <c r="BA859" s="51"/>
      <c r="BB859" s="56"/>
      <c r="BC859" s="56"/>
      <c r="BD859" s="56"/>
      <c r="BE859" s="51"/>
    </row>
    <row r="860" spans="47:57">
      <c r="AV860" s="45"/>
      <c r="AW860" s="45"/>
      <c r="AX860" s="56"/>
      <c r="AY860" s="56"/>
      <c r="AZ860" s="56"/>
      <c r="BA860" s="51"/>
      <c r="BB860" s="56"/>
      <c r="BC860" s="56"/>
      <c r="BD860" s="56"/>
      <c r="BE860" s="51"/>
    </row>
    <row r="861" spans="47:57">
      <c r="AV861" s="45"/>
      <c r="AW861" s="45"/>
      <c r="AX861" s="56"/>
      <c r="AY861" s="56"/>
      <c r="AZ861" s="56"/>
      <c r="BA861" s="51"/>
      <c r="BB861" s="56"/>
      <c r="BC861" s="56"/>
      <c r="BD861" s="56"/>
      <c r="BE861" s="51"/>
    </row>
    <row r="862" spans="47:57"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</row>
    <row r="863" spans="47:57">
      <c r="BB863" s="56"/>
    </row>
    <row r="864" spans="47:57">
      <c r="AU864" s="42"/>
      <c r="BB864" s="56"/>
    </row>
    <row r="865" spans="45:57">
      <c r="AU865" s="42"/>
    </row>
    <row r="866" spans="45:57">
      <c r="AU866" s="42"/>
      <c r="BB866" s="56"/>
    </row>
    <row r="867" spans="45:57">
      <c r="AS867" s="42"/>
      <c r="AZ867" s="56"/>
      <c r="BB867" s="56"/>
    </row>
    <row r="868" spans="45:57">
      <c r="AZ868" s="56"/>
      <c r="BB868" s="56"/>
    </row>
    <row r="869" spans="45:57">
      <c r="AY869" s="56"/>
      <c r="AZ869" s="56"/>
      <c r="BB869" s="56"/>
    </row>
    <row r="870" spans="45:57">
      <c r="AY870" s="42"/>
      <c r="AZ870" s="56"/>
      <c r="BB870" s="56"/>
    </row>
    <row r="871" spans="45:57">
      <c r="AY871" s="42"/>
      <c r="AZ871" s="56"/>
      <c r="BB871" s="56"/>
    </row>
    <row r="872" spans="45:57">
      <c r="AZ872" s="56"/>
      <c r="BB872" s="56"/>
      <c r="BD872" s="42"/>
    </row>
    <row r="873" spans="45:57">
      <c r="AZ873" s="56"/>
      <c r="BB873" s="56"/>
      <c r="BD873" s="42"/>
    </row>
    <row r="874" spans="45:57">
      <c r="AS874" s="42"/>
      <c r="AZ874" s="56"/>
      <c r="BB874" s="56"/>
      <c r="BD874" s="42"/>
    </row>
    <row r="875" spans="45:57">
      <c r="AZ875" s="56"/>
      <c r="BB875" s="56"/>
    </row>
    <row r="876" spans="45:57">
      <c r="AS876" s="49"/>
      <c r="AT876" s="49"/>
      <c r="AU876" s="49"/>
      <c r="AV876" s="49"/>
      <c r="AW876" s="49"/>
      <c r="AX876" s="49"/>
      <c r="AY876" s="49"/>
      <c r="AZ876" s="57"/>
      <c r="BA876" s="49"/>
      <c r="BB876" s="57"/>
      <c r="BC876" s="49"/>
      <c r="BD876" s="49"/>
      <c r="BE876" s="49"/>
    </row>
    <row r="877" spans="45:57">
      <c r="AX877" s="42"/>
      <c r="AZ877" s="56"/>
      <c r="BB877" s="56"/>
    </row>
    <row r="878" spans="45:57">
      <c r="AX878" s="49"/>
      <c r="AY878" s="49"/>
      <c r="AZ878" s="57"/>
      <c r="BA878" s="49"/>
      <c r="BB878" s="56"/>
      <c r="BC878" s="44"/>
      <c r="BD878" s="44"/>
    </row>
    <row r="879" spans="45:57">
      <c r="AV879" s="44"/>
      <c r="AW879" s="44"/>
      <c r="AZ879" s="58"/>
      <c r="BA879" s="44"/>
      <c r="BB879" s="56"/>
      <c r="BC879" s="44"/>
      <c r="BD879" s="44"/>
      <c r="BE879" s="44"/>
    </row>
    <row r="880" spans="45:57">
      <c r="AV880" s="44"/>
      <c r="AW880" s="44"/>
      <c r="AX880" s="44"/>
      <c r="AY880" s="44"/>
      <c r="AZ880" s="58"/>
      <c r="BA880" s="44"/>
      <c r="BB880" s="58"/>
      <c r="BC880" s="44"/>
      <c r="BD880" s="44"/>
      <c r="BE880" s="44"/>
    </row>
    <row r="881" spans="45:57">
      <c r="AS881" s="44"/>
      <c r="AU881" s="42"/>
      <c r="AV881" s="44"/>
      <c r="AW881" s="44"/>
      <c r="AX881" s="44"/>
      <c r="AY881" s="44"/>
      <c r="AZ881" s="58"/>
      <c r="BA881" s="44"/>
      <c r="BB881" s="58"/>
      <c r="BC881" s="44"/>
      <c r="BD881" s="44"/>
      <c r="BE881" s="44"/>
    </row>
    <row r="882" spans="45:57">
      <c r="AS882" s="44"/>
      <c r="AU882" s="42"/>
      <c r="AV882" s="44"/>
      <c r="AW882" s="44"/>
      <c r="AX882" s="44"/>
      <c r="AY882" s="44"/>
      <c r="AZ882" s="58"/>
      <c r="BA882" s="44"/>
      <c r="BB882" s="58"/>
      <c r="BC882" s="44"/>
      <c r="BD882" s="44"/>
      <c r="BE882" s="44"/>
    </row>
    <row r="883" spans="45:57">
      <c r="AS883" s="49"/>
      <c r="AT883" s="49"/>
      <c r="AU883" s="49"/>
      <c r="AV883" s="49"/>
      <c r="AW883" s="49"/>
      <c r="AX883" s="49"/>
      <c r="AY883" s="49"/>
      <c r="AZ883" s="57"/>
      <c r="BA883" s="49"/>
      <c r="BB883" s="57"/>
      <c r="BC883" s="49"/>
      <c r="BD883" s="49"/>
      <c r="BE883" s="49"/>
    </row>
    <row r="884" spans="45:57">
      <c r="AV884" s="44"/>
      <c r="AW884" s="44"/>
      <c r="AX884" s="44"/>
      <c r="AY884" s="44"/>
      <c r="AZ884" s="58"/>
      <c r="BA884" s="44"/>
      <c r="BB884" s="58"/>
      <c r="BC884" s="44"/>
      <c r="BD884" s="44"/>
      <c r="BE884" s="44"/>
    </row>
    <row r="885" spans="45:57">
      <c r="AT885" s="42"/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5:57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5:57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5:57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5:57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5:57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5:57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5:57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5:57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5:57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5:57">
      <c r="AV895" s="45"/>
      <c r="AW895" s="45"/>
      <c r="BB895" s="56"/>
    </row>
    <row r="896" spans="45:57">
      <c r="AT896" s="42"/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5:57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5:57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5:57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5:57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5:57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5:57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5:57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7" spans="45:57">
      <c r="AU907" s="42"/>
    </row>
    <row r="908" spans="45:57">
      <c r="AU908" s="42"/>
    </row>
    <row r="909" spans="45:57">
      <c r="AU909" s="42"/>
    </row>
    <row r="910" spans="45:57">
      <c r="AS910" s="42"/>
    </row>
    <row r="931" spans="52:71">
      <c r="AZ931" s="56"/>
      <c r="BB931" s="56"/>
      <c r="BC931" s="56"/>
      <c r="BD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</row>
    <row r="932" spans="52:71">
      <c r="AZ932" s="56"/>
      <c r="BB932" s="56"/>
      <c r="BC932" s="56"/>
      <c r="BD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</row>
    <row r="933" spans="52:71">
      <c r="AZ933" s="56"/>
      <c r="BB933" s="56"/>
      <c r="BC933" s="56"/>
      <c r="BD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</row>
    <row r="934" spans="52:71">
      <c r="AZ934" s="56"/>
      <c r="BB934" s="56"/>
      <c r="BC934" s="56"/>
      <c r="BD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</row>
    <row r="935" spans="52:71">
      <c r="AZ935" s="56"/>
      <c r="BB935" s="56"/>
      <c r="BC935" s="56"/>
      <c r="BD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>
      <c r="AZ936" s="56"/>
      <c r="BB936" s="56"/>
      <c r="BC936" s="56"/>
      <c r="BD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</row>
    <row r="937" spans="52:71">
      <c r="AZ937" s="56"/>
      <c r="BB937" s="56"/>
      <c r="BC937" s="56"/>
      <c r="BD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</row>
    <row r="938" spans="52:71">
      <c r="AZ938" s="56"/>
      <c r="BB938" s="56"/>
      <c r="BC938" s="56"/>
      <c r="BD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</row>
    <row r="939" spans="52:71">
      <c r="AZ939" s="56"/>
      <c r="BB939" s="56"/>
      <c r="BC939" s="56"/>
      <c r="BD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</row>
    <row r="940" spans="52:71">
      <c r="AZ940" s="56"/>
      <c r="BB940" s="56"/>
      <c r="BC940" s="56"/>
      <c r="BD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</row>
    <row r="941" spans="52:71">
      <c r="AZ941" s="56"/>
      <c r="BB941" s="56"/>
      <c r="BC941" s="56"/>
      <c r="BD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</row>
    <row r="942" spans="52:71">
      <c r="AZ942" s="56"/>
      <c r="BB942" s="56"/>
      <c r="BC942" s="56"/>
      <c r="BD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</row>
    <row r="943" spans="52:71">
      <c r="AZ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</row>
    <row r="944" spans="52:71">
      <c r="AZ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</row>
    <row r="945" spans="52:71">
      <c r="AZ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</row>
    <row r="946" spans="52:71">
      <c r="AZ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</row>
    <row r="947" spans="52:71">
      <c r="AZ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</row>
    <row r="948" spans="52:71">
      <c r="AZ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</row>
    <row r="949" spans="52:71">
      <c r="AZ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</row>
    <row r="950" spans="52:71">
      <c r="AZ950" s="56"/>
    </row>
    <row r="951" spans="52:71">
      <c r="AZ951" s="56"/>
    </row>
    <row r="965" spans="1:28">
      <c r="A965" s="42"/>
    </row>
    <row r="968" spans="1:28">
      <c r="Y968" s="42"/>
    </row>
    <row r="969" spans="1:28">
      <c r="A969" s="42"/>
      <c r="H969" s="42"/>
      <c r="I969" s="42"/>
    </row>
    <row r="970" spans="1:28">
      <c r="A970" s="42"/>
      <c r="V970" s="44"/>
      <c r="AA970" s="44"/>
      <c r="AB970" s="44"/>
    </row>
    <row r="971" spans="1:28">
      <c r="A971" s="42"/>
      <c r="V971" s="49"/>
      <c r="AA971" s="49"/>
      <c r="AB971" s="49"/>
    </row>
    <row r="972" spans="1:28">
      <c r="A972" s="42"/>
      <c r="U972" s="42"/>
      <c r="AA972" s="44"/>
      <c r="AB972" s="44"/>
    </row>
    <row r="973" spans="1:28">
      <c r="A973" s="42"/>
    </row>
    <row r="974" spans="1:28">
      <c r="A974" s="42"/>
      <c r="U974" s="42"/>
      <c r="AA974" s="44"/>
      <c r="AB974" s="44"/>
    </row>
    <row r="975" spans="1:28">
      <c r="A975" s="42"/>
    </row>
    <row r="976" spans="1:28">
      <c r="A976" s="42"/>
      <c r="U976" s="42"/>
      <c r="V976" s="339"/>
      <c r="AA976" s="44"/>
      <c r="AB976" s="44"/>
    </row>
    <row r="977" spans="1:28">
      <c r="A977" s="42"/>
    </row>
    <row r="978" spans="1:28">
      <c r="A978" s="42"/>
      <c r="U978" s="42"/>
      <c r="AA978" s="44"/>
      <c r="AB978" s="44"/>
    </row>
    <row r="979" spans="1:28">
      <c r="A979" s="42"/>
    </row>
    <row r="980" spans="1:28">
      <c r="A980" s="42"/>
      <c r="U980" s="42"/>
      <c r="AA980" s="44"/>
      <c r="AB980" s="44"/>
    </row>
    <row r="981" spans="1:28">
      <c r="A981" s="42"/>
    </row>
    <row r="982" spans="1:28">
      <c r="A982" s="42"/>
    </row>
    <row r="983" spans="1:28">
      <c r="A983" s="42"/>
    </row>
    <row r="984" spans="1:28">
      <c r="A984" s="42"/>
    </row>
    <row r="985" spans="1:28">
      <c r="A985" s="42"/>
    </row>
    <row r="986" spans="1:28">
      <c r="A986" s="42"/>
    </row>
    <row r="987" spans="1:28">
      <c r="A987" s="42"/>
    </row>
    <row r="988" spans="1:28">
      <c r="A988" s="42"/>
    </row>
    <row r="989" spans="1:28">
      <c r="A989" s="42"/>
    </row>
    <row r="990" spans="1:28">
      <c r="A990" s="42"/>
    </row>
    <row r="991" spans="1:28">
      <c r="A991" s="42"/>
      <c r="H991" s="42"/>
      <c r="I991" s="42"/>
    </row>
    <row r="994" spans="1:1">
      <c r="A994" s="42"/>
    </row>
    <row r="997" spans="1:1">
      <c r="A997" s="42"/>
    </row>
    <row r="1000" spans="1:1">
      <c r="A1000" s="42"/>
    </row>
    <row r="1001" spans="1:1">
      <c r="A1001" s="42"/>
    </row>
    <row r="1002" spans="1:1">
      <c r="A1002" s="42"/>
    </row>
    <row r="1003" spans="1:1">
      <c r="A1003" s="42"/>
    </row>
    <row r="1004" spans="1:1">
      <c r="A1004" s="42"/>
    </row>
    <row r="1005" spans="1:1">
      <c r="A1005" s="42"/>
    </row>
    <row r="1006" spans="1:1">
      <c r="A1006" s="42"/>
    </row>
    <row r="1007" spans="1:1">
      <c r="A1007" s="42"/>
    </row>
    <row r="1008" spans="1:1">
      <c r="A1008" s="42"/>
    </row>
    <row r="1009" spans="1:1">
      <c r="A1009" s="42"/>
    </row>
    <row r="1010" spans="1:1">
      <c r="A1010" s="42"/>
    </row>
    <row r="1011" spans="1:1">
      <c r="A1011" s="42"/>
    </row>
    <row r="1012" spans="1:1">
      <c r="A1012" s="42"/>
    </row>
    <row r="1013" spans="1:1">
      <c r="A1013" s="42"/>
    </row>
    <row r="1014" spans="1:1">
      <c r="A1014" s="42"/>
    </row>
    <row r="1015" spans="1:1">
      <c r="A1015" s="42"/>
    </row>
    <row r="1016" spans="1:1">
      <c r="A1016" s="42"/>
    </row>
    <row r="1017" spans="1:1">
      <c r="A1017" s="42"/>
    </row>
    <row r="1018" spans="1:1">
      <c r="A1018" s="42"/>
    </row>
    <row r="1019" spans="1:1">
      <c r="A1019" s="42"/>
    </row>
    <row r="1020" spans="1:1">
      <c r="A1020" s="42"/>
    </row>
    <row r="1021" spans="1:1">
      <c r="A1021" s="42"/>
    </row>
    <row r="1022" spans="1:1">
      <c r="A1022" s="42"/>
    </row>
    <row r="1023" spans="1:1">
      <c r="A1023" s="42"/>
    </row>
    <row r="1024" spans="1:1">
      <c r="A1024" s="42"/>
    </row>
    <row r="1025" spans="1:1">
      <c r="A1025" s="42"/>
    </row>
    <row r="1026" spans="1:1">
      <c r="A1026" s="42"/>
    </row>
    <row r="1027" spans="1:1">
      <c r="A1027" s="42"/>
    </row>
    <row r="1028" spans="1:1">
      <c r="A1028" s="42"/>
    </row>
    <row r="1029" spans="1:1">
      <c r="A1029" s="42"/>
    </row>
    <row r="1030" spans="1:1">
      <c r="A1030" s="42"/>
    </row>
    <row r="1031" spans="1:1">
      <c r="A1031" s="42"/>
    </row>
    <row r="1032" spans="1:1">
      <c r="A1032" s="42"/>
    </row>
    <row r="1033" spans="1:1">
      <c r="A1033" s="42"/>
    </row>
    <row r="1034" spans="1:1">
      <c r="A1034" s="42"/>
    </row>
    <row r="1039" spans="1:1">
      <c r="A1039" s="42"/>
    </row>
    <row r="1040" spans="1:1">
      <c r="A1040" s="42"/>
    </row>
    <row r="1043" spans="1:1">
      <c r="A1043" s="42"/>
    </row>
    <row r="1045" spans="1:1">
      <c r="A1045" s="42"/>
    </row>
    <row r="1047" spans="1:1">
      <c r="A1047" s="42"/>
    </row>
    <row r="1049" spans="1:1">
      <c r="A1049" s="42"/>
    </row>
    <row r="1052" spans="1:1">
      <c r="A1052" s="42"/>
    </row>
    <row r="1053" spans="1:1">
      <c r="A1053" s="42"/>
    </row>
    <row r="1054" spans="1:1">
      <c r="A1054" s="42"/>
    </row>
    <row r="1055" spans="1:1">
      <c r="A1055" s="42"/>
    </row>
    <row r="1056" spans="1:1">
      <c r="A1056" s="42"/>
    </row>
    <row r="1057" spans="1:1">
      <c r="A1057" s="42"/>
    </row>
    <row r="1058" spans="1:1">
      <c r="A1058" s="42"/>
    </row>
    <row r="1059" spans="1:1">
      <c r="A1059" s="42"/>
    </row>
  </sheetData>
  <pageMargins left="0.5" right="0.5" top="1" bottom="0" header="0" footer="0"/>
  <pageSetup scale="53" orientation="landscape" r:id="rId1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transitionEntry="1" codeName="Sheet13">
    <pageSetUpPr fitToPage="1"/>
  </sheetPr>
  <dimension ref="A1:BY1067"/>
  <sheetViews>
    <sheetView workbookViewId="0"/>
  </sheetViews>
  <sheetFormatPr defaultColWidth="8.8984375" defaultRowHeight="15.75"/>
  <cols>
    <col min="1" max="1" width="5.09765625" style="41" customWidth="1"/>
    <col min="2" max="2" width="0.3984375" style="41" customWidth="1"/>
    <col min="3" max="3" width="9.3984375" style="41" customWidth="1"/>
    <col min="4" max="4" width="36.69921875" style="41" customWidth="1"/>
    <col min="5" max="5" width="0.5976562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1.0976562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5" style="41" customWidth="1"/>
    <col min="15" max="15" width="0.59765625" style="41" customWidth="1"/>
    <col min="16" max="16" width="15.69921875" style="41" customWidth="1"/>
    <col min="17" max="17" width="0.59765625" style="41" customWidth="1"/>
    <col min="18" max="18" width="16.3984375" style="41" customWidth="1"/>
    <col min="19" max="19" width="6.69921875" style="41" customWidth="1"/>
    <col min="20" max="20" width="6.09765625" style="41" customWidth="1"/>
    <col min="21" max="21" width="0.59765625" style="41" customWidth="1"/>
    <col min="22" max="22" width="7.09765625" style="41" customWidth="1"/>
    <col min="23" max="23" width="33" style="41" customWidth="1"/>
    <col min="24" max="24" width="0.59765625" style="41" customWidth="1"/>
    <col min="25" max="25" width="13.09765625" style="41" customWidth="1"/>
    <col min="26" max="26" width="1" style="41" customWidth="1"/>
    <col min="27" max="27" width="14.59765625" style="41" customWidth="1"/>
    <col min="28" max="28" width="0.69921875" style="41" customWidth="1"/>
    <col min="29" max="29" width="13.296875" style="41" customWidth="1"/>
    <col min="30" max="30" width="0.69921875" style="41" customWidth="1"/>
    <col min="31" max="31" width="14.296875" style="41" customWidth="1"/>
    <col min="32" max="32" width="0.8984375" style="41" customWidth="1"/>
    <col min="33" max="33" width="12.8984375" style="99" customWidth="1"/>
    <col min="34" max="34" width="0.69921875" style="41" customWidth="1"/>
    <col min="35" max="35" width="14.69921875" style="41" customWidth="1"/>
    <col min="36" max="36" width="0.69921875" style="41" customWidth="1"/>
    <col min="37" max="37" width="14.296875" style="99" customWidth="1"/>
    <col min="38" max="38" width="0.69921875" style="41" customWidth="1"/>
    <col min="39" max="39" width="12.3984375" style="41" customWidth="1"/>
    <col min="40" max="40" width="0.59765625" style="41" customWidth="1"/>
    <col min="41" max="41" width="12.09765625" style="41" customWidth="1"/>
    <col min="42" max="42" width="0.59765625" style="41" customWidth="1"/>
    <col min="43" max="43" width="13.09765625" style="111" customWidth="1"/>
    <col min="44" max="44" width="0.69921875" style="41" customWidth="1"/>
    <col min="45" max="45" width="11.09765625" style="41" customWidth="1"/>
    <col min="46" max="46" width="14.69921875" style="41" customWidth="1"/>
    <col min="47" max="47" width="4.69921875" style="41" customWidth="1"/>
    <col min="48" max="48" width="5.69921875" style="41" customWidth="1"/>
    <col min="49" max="49" width="10.69921875" style="41" customWidth="1"/>
    <col min="50" max="50" width="11.69921875" style="41" customWidth="1"/>
    <col min="51" max="51" width="12.69921875" style="41" customWidth="1"/>
    <col min="52" max="54" width="15.69921875" style="41" customWidth="1"/>
    <col min="55" max="55" width="12.69921875" style="41" customWidth="1"/>
    <col min="56" max="58" width="15.69921875" style="41" customWidth="1"/>
    <col min="59" max="59" width="12.69921875" style="41" customWidth="1"/>
    <col min="60" max="61" width="9.69921875" style="41"/>
    <col min="62" max="64" width="12.69921875" style="41" customWidth="1"/>
    <col min="65" max="65" width="14.69921875" style="41" customWidth="1"/>
    <col min="66" max="67" width="9.69921875" style="41"/>
    <col min="68" max="70" width="12.69921875" style="41" customWidth="1"/>
    <col min="71" max="71" width="14.69921875" style="41" customWidth="1"/>
    <col min="72" max="78" width="9.69921875" style="41"/>
    <col min="79" max="79" width="1.69921875" style="41" customWidth="1"/>
    <col min="80" max="81" width="9.69921875" style="41"/>
    <col min="82" max="82" width="10.69921875" style="41" customWidth="1"/>
    <col min="83" max="84" width="9.69921875" style="41"/>
    <col min="85" max="85" width="7.69921875" style="41" customWidth="1"/>
    <col min="86" max="16384" width="8.8984375" style="41"/>
  </cols>
  <sheetData>
    <row r="1" spans="1:42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AA1" s="41" t="s">
        <v>643</v>
      </c>
      <c r="AG1" s="386">
        <f>'Proposed Rates'!AT11</f>
        <v>0.14260999999999999</v>
      </c>
    </row>
    <row r="2" spans="1:42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AC2" s="347"/>
      <c r="AE2" s="42"/>
    </row>
    <row r="3" spans="1:42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AC3" s="348"/>
      <c r="AE3" s="42"/>
    </row>
    <row r="4" spans="1:42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AA4" s="41" t="s">
        <v>282</v>
      </c>
      <c r="AI4" s="41" t="s">
        <v>297</v>
      </c>
    </row>
    <row r="5" spans="1:42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93" t="s">
        <v>283</v>
      </c>
      <c r="AC5" s="56">
        <v>4.84</v>
      </c>
      <c r="AE5" s="176">
        <f t="shared" ref="AE5:AE18" si="0">ROUND(AC5*$AG$1,2)</f>
        <v>0.69</v>
      </c>
      <c r="AG5" s="349">
        <f t="shared" ref="AG5:AG18" si="1">AC5+AE5</f>
        <v>5.5299999999999994</v>
      </c>
      <c r="AI5" s="41">
        <v>3</v>
      </c>
      <c r="AM5" s="42"/>
      <c r="AN5" s="42"/>
    </row>
    <row r="6" spans="1:42">
      <c r="A6" s="41" t="str">
        <f>DATA_PERIOD</f>
        <v>DATA: ____ BASE PERIOD   __X__FORECASTED PERIOD</v>
      </c>
      <c r="R6" s="42" t="s">
        <v>156</v>
      </c>
      <c r="AA6" s="93" t="s">
        <v>284</v>
      </c>
      <c r="AC6" s="56">
        <v>4.78</v>
      </c>
      <c r="AE6" s="176">
        <f t="shared" si="0"/>
        <v>0.68</v>
      </c>
      <c r="AG6" s="349">
        <f t="shared" si="1"/>
        <v>5.46</v>
      </c>
      <c r="AI6" s="41">
        <v>4</v>
      </c>
      <c r="AM6" s="42"/>
      <c r="AN6" s="42"/>
    </row>
    <row r="7" spans="1:42">
      <c r="A7" s="41" t="str">
        <f>TYPE</f>
        <v>TYPE OF FILING: _X_ ORIGINAL   ___UPDATED  ___ REVISED</v>
      </c>
      <c r="R7" s="48" t="str">
        <f>"PAGE 13 OF "&amp;TEXT(Page_Num_2.3,"00")</f>
        <v>PAGE 13 OF 24</v>
      </c>
      <c r="AA7" s="93" t="s">
        <v>285</v>
      </c>
      <c r="AC7" s="56">
        <v>4.84</v>
      </c>
      <c r="AE7" s="176">
        <f t="shared" si="0"/>
        <v>0.69</v>
      </c>
      <c r="AG7" s="349">
        <f t="shared" si="1"/>
        <v>5.5299999999999994</v>
      </c>
      <c r="AI7" s="41">
        <v>5</v>
      </c>
      <c r="AM7" s="42"/>
      <c r="AN7" s="42"/>
    </row>
    <row r="8" spans="1:42">
      <c r="A8" s="42" t="s">
        <v>170</v>
      </c>
      <c r="R8" s="42" t="s">
        <v>3</v>
      </c>
      <c r="AA8" s="93" t="s">
        <v>286</v>
      </c>
      <c r="AC8" s="56">
        <v>5.8</v>
      </c>
      <c r="AE8" s="176">
        <f t="shared" si="0"/>
        <v>0.83</v>
      </c>
      <c r="AG8" s="349">
        <f t="shared" si="1"/>
        <v>6.63</v>
      </c>
      <c r="AI8" s="41">
        <v>6</v>
      </c>
      <c r="AM8" s="42"/>
      <c r="AN8" s="42"/>
    </row>
    <row r="9" spans="1:42">
      <c r="A9" s="130" t="str">
        <f>TIME</f>
        <v>12 Months Projected with Riders</v>
      </c>
      <c r="M9" s="42"/>
      <c r="R9" s="41" t="str">
        <f>WIT</f>
        <v>B. L. Sailers</v>
      </c>
      <c r="AA9" s="93" t="s">
        <v>287</v>
      </c>
      <c r="AC9" s="56">
        <v>13.16</v>
      </c>
      <c r="AE9" s="176">
        <f t="shared" si="0"/>
        <v>1.88</v>
      </c>
      <c r="AG9" s="349">
        <f t="shared" si="1"/>
        <v>15.04</v>
      </c>
      <c r="AI9" s="41">
        <v>7</v>
      </c>
    </row>
    <row r="10" spans="1:42" ht="15" customHeight="1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AA10" s="93" t="s">
        <v>288</v>
      </c>
      <c r="AC10" s="56">
        <v>7.63</v>
      </c>
      <c r="AE10" s="176">
        <f t="shared" si="0"/>
        <v>1.0900000000000001</v>
      </c>
      <c r="AG10" s="349">
        <f t="shared" si="1"/>
        <v>8.7200000000000006</v>
      </c>
      <c r="AI10" s="41">
        <v>8</v>
      </c>
    </row>
    <row r="11" spans="1:42">
      <c r="A11" s="49"/>
      <c r="B11" s="49"/>
      <c r="C11" s="49"/>
      <c r="D11" s="49"/>
      <c r="E11" s="49"/>
      <c r="G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T11" s="49"/>
      <c r="U11" s="49"/>
      <c r="V11" s="49"/>
      <c r="W11" s="49"/>
      <c r="X11" s="49"/>
      <c r="Y11" s="49"/>
      <c r="Z11" s="49"/>
      <c r="AA11" s="93" t="s">
        <v>289</v>
      </c>
      <c r="AB11" s="49"/>
      <c r="AC11" s="56">
        <v>7.71</v>
      </c>
      <c r="AD11" s="49"/>
      <c r="AE11" s="176">
        <f t="shared" si="0"/>
        <v>1.1000000000000001</v>
      </c>
      <c r="AF11" s="49"/>
      <c r="AG11" s="349">
        <f t="shared" si="1"/>
        <v>8.81</v>
      </c>
      <c r="AH11" s="49"/>
      <c r="AI11" s="350" t="s">
        <v>330</v>
      </c>
      <c r="AJ11" s="49"/>
      <c r="AL11" s="49"/>
      <c r="AM11" s="49"/>
      <c r="AN11" s="49"/>
      <c r="AO11" s="49"/>
      <c r="AP11" s="49"/>
    </row>
    <row r="12" spans="1:42" ht="18" customHeight="1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AA12" s="93" t="s">
        <v>290</v>
      </c>
      <c r="AC12" s="56">
        <v>15.24</v>
      </c>
      <c r="AE12" s="176">
        <f t="shared" si="0"/>
        <v>2.17</v>
      </c>
      <c r="AG12" s="349">
        <f t="shared" si="1"/>
        <v>17.41</v>
      </c>
      <c r="AH12" s="44"/>
      <c r="AI12" s="93">
        <v>9</v>
      </c>
      <c r="AJ12" s="44"/>
      <c r="AM12" s="44"/>
      <c r="AN12" s="44"/>
      <c r="AO12" s="44"/>
      <c r="AP12" s="44"/>
    </row>
    <row r="13" spans="1:42">
      <c r="L13" s="44" t="s">
        <v>12</v>
      </c>
      <c r="M13" s="44"/>
      <c r="N13" s="44" t="s">
        <v>13</v>
      </c>
      <c r="O13" s="44"/>
      <c r="R13" s="44" t="s">
        <v>11</v>
      </c>
      <c r="AA13" s="93" t="s">
        <v>291</v>
      </c>
      <c r="AC13" s="56">
        <v>4.84</v>
      </c>
      <c r="AE13" s="176">
        <f t="shared" si="0"/>
        <v>0.69</v>
      </c>
      <c r="AF13" s="44"/>
      <c r="AG13" s="349">
        <f t="shared" si="1"/>
        <v>5.5299999999999994</v>
      </c>
      <c r="AH13" s="44"/>
      <c r="AI13" s="93">
        <v>10</v>
      </c>
      <c r="AJ13" s="44"/>
      <c r="AM13" s="44"/>
      <c r="AN13" s="44"/>
      <c r="AO13" s="44"/>
      <c r="AP13" s="44"/>
    </row>
    <row r="14" spans="1:42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AA14" s="93" t="s">
        <v>296</v>
      </c>
      <c r="AC14" s="56">
        <v>14.15</v>
      </c>
      <c r="AE14" s="176">
        <f t="shared" si="0"/>
        <v>2.02</v>
      </c>
      <c r="AF14" s="44"/>
      <c r="AG14" s="349">
        <f t="shared" si="1"/>
        <v>16.170000000000002</v>
      </c>
      <c r="AH14" s="44"/>
      <c r="AI14" s="93">
        <v>11</v>
      </c>
      <c r="AJ14" s="44"/>
      <c r="AL14" s="44"/>
      <c r="AM14" s="44"/>
      <c r="AN14" s="44"/>
      <c r="AO14" s="44"/>
      <c r="AP14" s="44"/>
    </row>
    <row r="15" spans="1:42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325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4"/>
      <c r="U15" s="44"/>
      <c r="V15" s="44"/>
      <c r="AA15" s="93" t="s">
        <v>292</v>
      </c>
      <c r="AC15" s="56">
        <v>9.2100000000000009</v>
      </c>
      <c r="AE15" s="176">
        <f t="shared" si="0"/>
        <v>1.31</v>
      </c>
      <c r="AF15" s="44"/>
      <c r="AG15" s="349">
        <f t="shared" si="1"/>
        <v>10.520000000000001</v>
      </c>
      <c r="AH15" s="44"/>
      <c r="AI15" s="93">
        <v>12</v>
      </c>
      <c r="AJ15" s="44"/>
      <c r="AL15" s="44"/>
      <c r="AM15" s="44"/>
      <c r="AN15" s="44"/>
      <c r="AO15" s="44"/>
      <c r="AP15" s="44"/>
    </row>
    <row r="16" spans="1:42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T16" s="49"/>
      <c r="U16" s="49"/>
      <c r="V16" s="49"/>
      <c r="W16" s="49"/>
      <c r="X16" s="49"/>
      <c r="Y16" s="49"/>
      <c r="Z16" s="49"/>
      <c r="AA16" s="93" t="s">
        <v>293</v>
      </c>
      <c r="AC16" s="56">
        <v>9.4600000000000009</v>
      </c>
      <c r="AE16" s="176">
        <f t="shared" si="0"/>
        <v>1.35</v>
      </c>
      <c r="AF16" s="44"/>
      <c r="AG16" s="349">
        <f t="shared" si="1"/>
        <v>10.81</v>
      </c>
      <c r="AH16" s="49"/>
      <c r="AI16" s="93">
        <v>13</v>
      </c>
      <c r="AJ16" s="49"/>
      <c r="AL16" s="49"/>
      <c r="AM16" s="49"/>
      <c r="AN16" s="49"/>
      <c r="AO16" s="49"/>
      <c r="AP16" s="49"/>
    </row>
    <row r="17" spans="1:45" ht="17.100000000000001" customHeight="1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69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Y17" s="44"/>
      <c r="AA17" s="93" t="s">
        <v>294</v>
      </c>
      <c r="AC17" s="56">
        <v>12.44</v>
      </c>
      <c r="AE17" s="176">
        <f t="shared" si="0"/>
        <v>1.77</v>
      </c>
      <c r="AF17" s="44"/>
      <c r="AG17" s="349">
        <f t="shared" si="1"/>
        <v>14.209999999999999</v>
      </c>
      <c r="AH17" s="44"/>
      <c r="AI17" s="93">
        <v>16</v>
      </c>
      <c r="AJ17" s="44"/>
      <c r="AL17" s="44"/>
      <c r="AM17" s="44"/>
      <c r="AN17" s="44"/>
      <c r="AO17" s="44"/>
      <c r="AP17" s="44"/>
    </row>
    <row r="18" spans="1:45">
      <c r="A18" s="351">
        <v>1</v>
      </c>
      <c r="C18" s="133" t="s">
        <v>77</v>
      </c>
      <c r="D18" s="310" t="s">
        <v>259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2"/>
      <c r="U18" s="42"/>
      <c r="Y18" s="44"/>
      <c r="AA18" s="93" t="s">
        <v>295</v>
      </c>
      <c r="AC18" s="56">
        <v>18.36</v>
      </c>
      <c r="AE18" s="176">
        <f t="shared" si="0"/>
        <v>2.62</v>
      </c>
      <c r="AG18" s="349">
        <f t="shared" si="1"/>
        <v>20.98</v>
      </c>
      <c r="AI18" s="41">
        <v>17</v>
      </c>
    </row>
    <row r="19" spans="1:45">
      <c r="A19" s="351">
        <v>2</v>
      </c>
      <c r="C19" s="133" t="s">
        <v>79</v>
      </c>
      <c r="D19" s="130"/>
      <c r="F19" s="68"/>
      <c r="G19" s="1"/>
      <c r="H19" s="68"/>
      <c r="I19" s="68"/>
      <c r="J19" s="314"/>
      <c r="K19" s="314"/>
      <c r="L19" s="3"/>
      <c r="M19" s="3"/>
      <c r="N19" s="4"/>
      <c r="O19" s="4"/>
      <c r="P19" s="3"/>
      <c r="Q19" s="3"/>
      <c r="R19" s="3"/>
      <c r="S19" s="45"/>
      <c r="V19" s="50"/>
      <c r="Y19" s="44"/>
      <c r="AH19" s="45"/>
      <c r="AL19" s="45"/>
      <c r="AM19" s="45"/>
      <c r="AN19" s="45"/>
    </row>
    <row r="20" spans="1:45">
      <c r="A20" s="351">
        <v>3</v>
      </c>
      <c r="C20" s="310" t="s">
        <v>201</v>
      </c>
      <c r="D20" s="13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45"/>
      <c r="V20" s="50"/>
      <c r="AA20" s="44"/>
      <c r="AC20" s="41" t="s">
        <v>522</v>
      </c>
      <c r="AF20" s="164"/>
      <c r="AG20" s="110"/>
      <c r="AH20" s="50"/>
      <c r="AK20" s="111"/>
      <c r="AL20" s="50"/>
      <c r="AM20" s="50"/>
      <c r="AN20" s="50"/>
      <c r="AO20" s="46"/>
      <c r="AP20" s="46"/>
    </row>
    <row r="21" spans="1:45">
      <c r="A21" s="351">
        <v>4</v>
      </c>
      <c r="C21" s="48" t="s">
        <v>206</v>
      </c>
      <c r="F21" s="164">
        <v>45142</v>
      </c>
      <c r="G21" s="1"/>
      <c r="H21" s="164">
        <f>ROUND(F21*AC21/12,0)</f>
        <v>3020752</v>
      </c>
      <c r="I21" s="68"/>
      <c r="J21" s="132">
        <f>ROUND(AC175+(AC175*$AG$1),2)</f>
        <v>13.13</v>
      </c>
      <c r="K21" s="342"/>
      <c r="L21" s="3">
        <f>ROUND((F21*J21),0)</f>
        <v>592714</v>
      </c>
      <c r="M21" s="3"/>
      <c r="N21" s="4">
        <f>ROUND((L21/L$139)*100,1)</f>
        <v>36.6</v>
      </c>
      <c r="O21" s="4"/>
      <c r="P21" s="3">
        <f>ROUND($P$139/$H$139*H21,0)</f>
        <v>10534</v>
      </c>
      <c r="Q21" s="3"/>
      <c r="R21" s="3">
        <f>L21+P21</f>
        <v>603248</v>
      </c>
      <c r="S21" s="5"/>
      <c r="V21" s="132"/>
      <c r="Y21" s="387"/>
      <c r="AA21" s="164"/>
      <c r="AB21" s="326"/>
      <c r="AC21" s="50">
        <v>803</v>
      </c>
      <c r="AD21" s="50"/>
      <c r="AE21" s="50"/>
      <c r="AF21" s="50"/>
      <c r="AG21" s="111"/>
      <c r="AH21" s="50"/>
      <c r="AK21" s="111"/>
      <c r="AL21" s="50"/>
      <c r="AM21" s="50"/>
      <c r="AN21" s="50"/>
      <c r="AO21" s="352"/>
      <c r="AP21" s="46"/>
    </row>
    <row r="22" spans="1:45">
      <c r="A22" s="351">
        <v>5</v>
      </c>
      <c r="C22" s="48" t="s">
        <v>205</v>
      </c>
      <c r="F22" s="164">
        <v>48</v>
      </c>
      <c r="G22" s="1"/>
      <c r="H22" s="164">
        <f t="shared" ref="H22:H40" si="2">ROUND(F22*AC22/12,0)</f>
        <v>3412</v>
      </c>
      <c r="I22" s="68"/>
      <c r="J22" s="132">
        <f>ROUND(AC176+(AC176*$AG$1),2)</f>
        <v>11.16</v>
      </c>
      <c r="K22" s="342"/>
      <c r="L22" s="3">
        <f>ROUND((F22*J22),0)</f>
        <v>536</v>
      </c>
      <c r="M22" s="3"/>
      <c r="N22" s="4">
        <f>ROUND((L22/L$139)*100,1)</f>
        <v>0</v>
      </c>
      <c r="O22" s="4"/>
      <c r="P22" s="3">
        <f>ROUND($P$139/$H$139*H22,0)</f>
        <v>12</v>
      </c>
      <c r="Q22" s="3"/>
      <c r="R22" s="3">
        <f>L22+P22</f>
        <v>548</v>
      </c>
      <c r="S22" s="5"/>
      <c r="V22" s="132"/>
      <c r="Y22" s="387"/>
      <c r="AA22" s="164"/>
      <c r="AB22" s="326"/>
      <c r="AC22" s="45">
        <v>853</v>
      </c>
      <c r="AD22" s="45"/>
      <c r="AE22" s="46"/>
      <c r="AF22" s="46"/>
      <c r="AH22" s="45"/>
      <c r="AL22" s="45"/>
      <c r="AM22" s="45"/>
      <c r="AN22" s="45"/>
      <c r="AO22" s="352"/>
      <c r="AP22" s="46"/>
    </row>
    <row r="23" spans="1:45">
      <c r="A23" s="351">
        <v>6</v>
      </c>
      <c r="C23" s="48" t="s">
        <v>207</v>
      </c>
      <c r="F23" s="164">
        <v>1453</v>
      </c>
      <c r="G23" s="1"/>
      <c r="H23" s="164">
        <f t="shared" si="2"/>
        <v>138519</v>
      </c>
      <c r="I23" s="68"/>
      <c r="J23" s="132">
        <f>ROUND(AC177+(AC177*$AG$1),2)</f>
        <v>15.39</v>
      </c>
      <c r="K23" s="342"/>
      <c r="L23" s="3">
        <f>ROUND((F23*J23),0)</f>
        <v>22362</v>
      </c>
      <c r="M23" s="3"/>
      <c r="N23" s="4">
        <f>ROUND((L23/L$139)*100,1)</f>
        <v>1.4</v>
      </c>
      <c r="O23" s="4"/>
      <c r="P23" s="3">
        <f>ROUND($P$139/$H$139*H23,0)</f>
        <v>483</v>
      </c>
      <c r="Q23" s="3"/>
      <c r="R23" s="3">
        <f>L23+P23</f>
        <v>22845</v>
      </c>
      <c r="S23" s="5"/>
      <c r="V23" s="132"/>
      <c r="Y23" s="387"/>
      <c r="AA23" s="164"/>
      <c r="AB23" s="326"/>
      <c r="AC23" s="45">
        <v>1144</v>
      </c>
      <c r="AD23" s="45"/>
      <c r="AE23" s="46"/>
      <c r="AF23" s="46"/>
      <c r="AH23" s="45"/>
      <c r="AL23" s="45"/>
      <c r="AM23" s="45"/>
      <c r="AN23" s="45"/>
      <c r="AO23" s="352"/>
      <c r="AP23" s="46"/>
    </row>
    <row r="24" spans="1:45">
      <c r="A24" s="351">
        <v>7</v>
      </c>
      <c r="C24" s="48" t="s">
        <v>208</v>
      </c>
      <c r="F24" s="164">
        <v>4963</v>
      </c>
      <c r="G24" s="1"/>
      <c r="H24" s="164">
        <f t="shared" si="2"/>
        <v>739901</v>
      </c>
      <c r="I24" s="68"/>
      <c r="J24" s="132">
        <f>ROUND(AC178+(AC178*$AG$1),2)</f>
        <v>20.88</v>
      </c>
      <c r="K24" s="342"/>
      <c r="L24" s="3">
        <f>ROUND((F24*J24),0)</f>
        <v>103627</v>
      </c>
      <c r="M24" s="3"/>
      <c r="N24" s="4">
        <f>ROUND((L24/L$139)*100,1)</f>
        <v>6.4</v>
      </c>
      <c r="O24" s="4"/>
      <c r="P24" s="3">
        <f>ROUND($P$139/$H$139*H24,0)</f>
        <v>2580</v>
      </c>
      <c r="Q24" s="3"/>
      <c r="R24" s="3">
        <f>L24+P24</f>
        <v>106207</v>
      </c>
      <c r="S24" s="5"/>
      <c r="U24" s="40"/>
      <c r="V24" s="132"/>
      <c r="W24" s="40"/>
      <c r="X24" s="40"/>
      <c r="Y24" s="387"/>
      <c r="Z24" s="40"/>
      <c r="AA24" s="164"/>
      <c r="AB24" s="40"/>
      <c r="AC24" s="45">
        <v>1789</v>
      </c>
      <c r="AD24" s="40"/>
      <c r="AE24" s="40"/>
      <c r="AF24" s="40"/>
      <c r="AG24" s="100"/>
      <c r="AH24" s="40"/>
      <c r="AI24" s="40"/>
      <c r="AJ24" s="40"/>
      <c r="AK24" s="100"/>
      <c r="AL24" s="40"/>
      <c r="AM24" s="40"/>
      <c r="AN24" s="40"/>
      <c r="AO24" s="352"/>
      <c r="AP24" s="40"/>
      <c r="AR24" s="40"/>
      <c r="AS24" s="40"/>
    </row>
    <row r="25" spans="1:45">
      <c r="A25" s="351">
        <v>8</v>
      </c>
      <c r="C25" s="133" t="s">
        <v>267</v>
      </c>
      <c r="F25" s="164"/>
      <c r="G25" s="1"/>
      <c r="H25" s="164"/>
      <c r="I25" s="68"/>
      <c r="J25" s="342"/>
      <c r="K25" s="342"/>
      <c r="L25" s="3"/>
      <c r="M25" s="3"/>
      <c r="N25" s="4"/>
      <c r="O25" s="4"/>
      <c r="P25" s="3"/>
      <c r="Q25" s="3"/>
      <c r="R25" s="3"/>
      <c r="S25" s="5"/>
      <c r="U25" s="40"/>
      <c r="V25" s="132"/>
      <c r="W25" s="42"/>
      <c r="X25" s="40"/>
      <c r="Y25" s="387"/>
      <c r="Z25" s="40"/>
      <c r="AA25" s="164"/>
      <c r="AB25" s="40"/>
      <c r="AC25" s="45"/>
      <c r="AD25" s="40"/>
      <c r="AE25" s="40"/>
      <c r="AF25" s="40"/>
      <c r="AG25" s="100"/>
      <c r="AH25" s="40"/>
      <c r="AI25" s="40"/>
      <c r="AJ25" s="40"/>
      <c r="AK25" s="100"/>
      <c r="AL25" s="40"/>
      <c r="AM25" s="40"/>
      <c r="AN25" s="40"/>
      <c r="AO25" s="352"/>
      <c r="AP25" s="40"/>
      <c r="AR25" s="40"/>
      <c r="AS25" s="40"/>
    </row>
    <row r="26" spans="1:45">
      <c r="A26" s="351">
        <v>9</v>
      </c>
      <c r="C26" s="42" t="s">
        <v>270</v>
      </c>
      <c r="F26" s="164">
        <v>292</v>
      </c>
      <c r="G26" s="1"/>
      <c r="H26" s="164">
        <f t="shared" si="2"/>
        <v>19540</v>
      </c>
      <c r="I26" s="68"/>
      <c r="J26" s="132">
        <f>ROUND(AC180+(AC180*$AG$1),2)</f>
        <v>13.13</v>
      </c>
      <c r="K26" s="342"/>
      <c r="L26" s="3">
        <f>ROUND((F26*J26),0)</f>
        <v>3834</v>
      </c>
      <c r="M26" s="3"/>
      <c r="N26" s="4">
        <f>ROUND((L26/L$139)*100,1)</f>
        <v>0.2</v>
      </c>
      <c r="O26" s="4"/>
      <c r="P26" s="3">
        <f>ROUND($P$139/$H$139*H26,0)</f>
        <v>68</v>
      </c>
      <c r="Q26" s="3"/>
      <c r="R26" s="3">
        <f>L26+P26</f>
        <v>3902</v>
      </c>
      <c r="S26" s="353"/>
      <c r="U26" s="40"/>
      <c r="V26" s="132"/>
      <c r="W26" s="40"/>
      <c r="X26" s="40"/>
      <c r="Y26" s="387"/>
      <c r="Z26" s="40"/>
      <c r="AA26" s="164"/>
      <c r="AB26" s="40"/>
      <c r="AC26" s="45">
        <v>803</v>
      </c>
      <c r="AD26" s="40"/>
      <c r="AE26" s="40"/>
      <c r="AF26" s="40"/>
      <c r="AG26" s="100"/>
      <c r="AH26" s="40"/>
      <c r="AI26" s="40"/>
      <c r="AJ26" s="40"/>
      <c r="AK26" s="100"/>
      <c r="AL26" s="40"/>
      <c r="AM26" s="40"/>
      <c r="AN26" s="40"/>
      <c r="AO26" s="352"/>
      <c r="AP26" s="40"/>
      <c r="AR26" s="40"/>
      <c r="AS26" s="40"/>
    </row>
    <row r="27" spans="1:45">
      <c r="A27" s="351">
        <v>10</v>
      </c>
      <c r="C27" s="42" t="s">
        <v>271</v>
      </c>
      <c r="F27" s="164">
        <v>155</v>
      </c>
      <c r="G27" s="1"/>
      <c r="H27" s="164">
        <f t="shared" si="2"/>
        <v>14777</v>
      </c>
      <c r="I27" s="68"/>
      <c r="J27" s="132">
        <f>ROUND(AC181+(AC181*$AG$1),2)</f>
        <v>15.39</v>
      </c>
      <c r="K27" s="342"/>
      <c r="L27" s="3">
        <f>ROUND((F27*J27),0)</f>
        <v>2385</v>
      </c>
      <c r="M27" s="3"/>
      <c r="N27" s="4">
        <f>ROUND((L27/L$139)*100,1)</f>
        <v>0.1</v>
      </c>
      <c r="O27" s="4"/>
      <c r="P27" s="3">
        <f>ROUND($P$139/$H$139*H27,0)</f>
        <v>52</v>
      </c>
      <c r="Q27" s="3"/>
      <c r="R27" s="3">
        <f>L27+P27</f>
        <v>2437</v>
      </c>
      <c r="S27" s="5"/>
      <c r="U27" s="40"/>
      <c r="V27" s="132"/>
      <c r="W27" s="42"/>
      <c r="X27" s="40"/>
      <c r="Y27" s="387"/>
      <c r="Z27" s="40"/>
      <c r="AA27" s="164"/>
      <c r="AB27" s="40"/>
      <c r="AC27" s="354">
        <v>1144</v>
      </c>
      <c r="AD27" s="40"/>
      <c r="AE27" s="40"/>
      <c r="AF27" s="40"/>
      <c r="AG27" s="100"/>
      <c r="AH27" s="40"/>
      <c r="AI27" s="40"/>
      <c r="AJ27" s="40"/>
      <c r="AK27" s="100"/>
      <c r="AL27" s="40"/>
      <c r="AM27" s="40"/>
      <c r="AN27" s="40"/>
      <c r="AO27" s="352"/>
      <c r="AP27" s="40"/>
      <c r="AR27" s="40"/>
      <c r="AS27" s="40"/>
    </row>
    <row r="28" spans="1:45">
      <c r="A28" s="351">
        <v>11</v>
      </c>
      <c r="C28" s="42" t="s">
        <v>269</v>
      </c>
      <c r="F28" s="164">
        <v>0</v>
      </c>
      <c r="G28" s="1"/>
      <c r="H28" s="164">
        <f t="shared" si="2"/>
        <v>0</v>
      </c>
      <c r="I28" s="68"/>
      <c r="J28" s="132">
        <f>ROUND(AC182+(AC182*$AG$1),2)</f>
        <v>20.88</v>
      </c>
      <c r="K28" s="342"/>
      <c r="L28" s="3">
        <f>ROUND((F28*J28),0)</f>
        <v>0</v>
      </c>
      <c r="M28" s="3"/>
      <c r="N28" s="4">
        <f>ROUND((L28/L$139)*100,1)</f>
        <v>0</v>
      </c>
      <c r="O28" s="4"/>
      <c r="P28" s="3">
        <f>ROUND($P$139/$H$139*H28,0)</f>
        <v>0</v>
      </c>
      <c r="Q28" s="3"/>
      <c r="R28" s="3">
        <f>L28+P28</f>
        <v>0</v>
      </c>
      <c r="S28" s="5"/>
      <c r="V28" s="132"/>
      <c r="Y28" s="387"/>
      <c r="AA28" s="164"/>
      <c r="AC28" s="45">
        <v>1789</v>
      </c>
      <c r="AD28" s="45"/>
      <c r="AE28" s="45"/>
      <c r="AF28" s="45"/>
      <c r="AL28" s="45"/>
      <c r="AM28" s="45"/>
      <c r="AN28" s="45"/>
      <c r="AO28" s="352"/>
    </row>
    <row r="29" spans="1:45">
      <c r="A29" s="351">
        <v>12</v>
      </c>
      <c r="C29" s="310" t="s">
        <v>202</v>
      </c>
      <c r="F29" s="388"/>
      <c r="G29" s="1"/>
      <c r="H29" s="164"/>
      <c r="I29" s="1"/>
      <c r="J29" s="5"/>
      <c r="K29" s="5"/>
      <c r="L29" s="3"/>
      <c r="M29" s="1"/>
      <c r="N29" s="1"/>
      <c r="O29" s="1"/>
      <c r="P29" s="1"/>
      <c r="Q29" s="1"/>
      <c r="R29" s="1"/>
      <c r="S29" s="5"/>
      <c r="V29" s="132"/>
      <c r="Y29" s="387"/>
      <c r="AA29" s="164"/>
      <c r="AC29" s="45"/>
      <c r="AD29" s="45"/>
      <c r="AE29" s="45"/>
      <c r="AF29" s="45"/>
      <c r="AL29" s="45"/>
      <c r="AM29" s="45"/>
      <c r="AN29" s="45"/>
      <c r="AO29" s="352"/>
    </row>
    <row r="30" spans="1:45" ht="15" customHeight="1">
      <c r="A30" s="351">
        <v>13</v>
      </c>
      <c r="C30" s="48" t="s">
        <v>210</v>
      </c>
      <c r="F30" s="164">
        <v>17891</v>
      </c>
      <c r="G30" s="1"/>
      <c r="H30" s="164">
        <f t="shared" si="2"/>
        <v>726076</v>
      </c>
      <c r="I30" s="68"/>
      <c r="J30" s="132">
        <f t="shared" ref="J30:J35" si="3">ROUND(AC184+(AC184*$AG$1),2)</f>
        <v>14.1</v>
      </c>
      <c r="K30" s="342"/>
      <c r="L30" s="3">
        <f t="shared" ref="L30:L35" si="4">ROUND((F30*J30),0)</f>
        <v>252263</v>
      </c>
      <c r="M30" s="3"/>
      <c r="N30" s="4">
        <f t="shared" ref="N30:N35" si="5">ROUND((L30/L$139)*100,1)</f>
        <v>15.6</v>
      </c>
      <c r="O30" s="4"/>
      <c r="P30" s="3">
        <f t="shared" ref="P30:P35" si="6">ROUND($P$139/$H$139*H30,0)</f>
        <v>2532</v>
      </c>
      <c r="Q30" s="3"/>
      <c r="R30" s="3">
        <f t="shared" ref="R30:R35" si="7">L30+P30</f>
        <v>254795</v>
      </c>
      <c r="S30" s="5"/>
      <c r="V30" s="132"/>
      <c r="Y30" s="387"/>
      <c r="AA30" s="164"/>
      <c r="AC30" s="45">
        <v>487</v>
      </c>
      <c r="AO30" s="352"/>
    </row>
    <row r="31" spans="1:45" ht="15.75" customHeight="1">
      <c r="A31" s="351">
        <v>14</v>
      </c>
      <c r="C31" s="48" t="s">
        <v>209</v>
      </c>
      <c r="F31" s="164">
        <v>96</v>
      </c>
      <c r="G31" s="1"/>
      <c r="H31" s="164">
        <f t="shared" si="2"/>
        <v>3896</v>
      </c>
      <c r="I31" s="68"/>
      <c r="J31" s="132">
        <f t="shared" si="3"/>
        <v>10.72</v>
      </c>
      <c r="K31" s="342"/>
      <c r="L31" s="3">
        <f t="shared" si="4"/>
        <v>1029</v>
      </c>
      <c r="M31" s="3"/>
      <c r="N31" s="4">
        <f t="shared" si="5"/>
        <v>0.1</v>
      </c>
      <c r="O31" s="4"/>
      <c r="P31" s="3">
        <f t="shared" si="6"/>
        <v>14</v>
      </c>
      <c r="Q31" s="3"/>
      <c r="R31" s="3">
        <f t="shared" si="7"/>
        <v>1043</v>
      </c>
      <c r="S31" s="5"/>
      <c r="U31" s="40"/>
      <c r="V31" s="132"/>
      <c r="W31" s="40"/>
      <c r="X31" s="40"/>
      <c r="Y31" s="387"/>
      <c r="Z31" s="40"/>
      <c r="AA31" s="164"/>
      <c r="AB31" s="40"/>
      <c r="AC31" s="45">
        <v>487</v>
      </c>
      <c r="AD31" s="40"/>
      <c r="AE31" s="40"/>
      <c r="AF31" s="40"/>
      <c r="AG31" s="100"/>
      <c r="AH31" s="40"/>
      <c r="AI31" s="40"/>
      <c r="AJ31" s="40"/>
      <c r="AK31" s="100"/>
      <c r="AL31" s="40"/>
      <c r="AM31" s="40"/>
      <c r="AN31" s="40"/>
      <c r="AO31" s="352"/>
      <c r="AP31" s="40"/>
      <c r="AR31" s="40"/>
      <c r="AS31" s="40"/>
    </row>
    <row r="32" spans="1:45" ht="15.75" customHeight="1">
      <c r="A32" s="351">
        <v>15</v>
      </c>
      <c r="C32" s="48" t="s">
        <v>211</v>
      </c>
      <c r="F32" s="164">
        <v>362</v>
      </c>
      <c r="G32" s="1"/>
      <c r="H32" s="164">
        <f t="shared" si="2"/>
        <v>21449</v>
      </c>
      <c r="I32" s="68"/>
      <c r="J32" s="132">
        <f t="shared" si="3"/>
        <v>15.59</v>
      </c>
      <c r="K32" s="342"/>
      <c r="L32" s="3">
        <f t="shared" si="4"/>
        <v>5644</v>
      </c>
      <c r="M32" s="3"/>
      <c r="N32" s="4">
        <f t="shared" si="5"/>
        <v>0.3</v>
      </c>
      <c r="O32" s="4"/>
      <c r="P32" s="3">
        <f t="shared" si="6"/>
        <v>75</v>
      </c>
      <c r="Q32" s="3"/>
      <c r="R32" s="3">
        <f t="shared" si="7"/>
        <v>5719</v>
      </c>
      <c r="S32" s="5"/>
      <c r="U32" s="40"/>
      <c r="V32" s="132"/>
      <c r="W32" s="40"/>
      <c r="X32" s="40"/>
      <c r="Y32" s="387"/>
      <c r="Z32" s="40"/>
      <c r="AA32" s="68"/>
      <c r="AB32" s="40"/>
      <c r="AC32" s="40">
        <v>711</v>
      </c>
      <c r="AD32" s="40"/>
      <c r="AE32" s="40"/>
      <c r="AF32" s="40"/>
      <c r="AG32" s="100"/>
      <c r="AH32" s="40"/>
      <c r="AI32" s="40"/>
      <c r="AJ32" s="40"/>
      <c r="AK32" s="100"/>
      <c r="AL32" s="40"/>
      <c r="AM32" s="40"/>
      <c r="AN32" s="40"/>
      <c r="AO32" s="352"/>
      <c r="AP32" s="40"/>
      <c r="AR32" s="40"/>
      <c r="AS32" s="40"/>
    </row>
    <row r="33" spans="1:45" ht="15.75" customHeight="1">
      <c r="A33" s="351">
        <v>16</v>
      </c>
      <c r="C33" s="48" t="s">
        <v>212</v>
      </c>
      <c r="F33" s="164">
        <v>3660</v>
      </c>
      <c r="G33" s="1"/>
      <c r="H33" s="164">
        <f t="shared" si="2"/>
        <v>289140</v>
      </c>
      <c r="I33" s="68"/>
      <c r="J33" s="132">
        <f t="shared" si="3"/>
        <v>20.22</v>
      </c>
      <c r="K33" s="342"/>
      <c r="L33" s="3">
        <f t="shared" si="4"/>
        <v>74005</v>
      </c>
      <c r="M33" s="3"/>
      <c r="N33" s="4">
        <f t="shared" si="5"/>
        <v>4.5999999999999996</v>
      </c>
      <c r="O33" s="4"/>
      <c r="P33" s="3">
        <f t="shared" si="6"/>
        <v>1008</v>
      </c>
      <c r="Q33" s="3"/>
      <c r="R33" s="3">
        <f t="shared" si="7"/>
        <v>75013</v>
      </c>
      <c r="S33" s="5"/>
      <c r="U33" s="40"/>
      <c r="V33" s="132"/>
      <c r="W33" s="40"/>
      <c r="X33" s="40"/>
      <c r="Y33" s="387"/>
      <c r="Z33" s="40"/>
      <c r="AA33" s="164"/>
      <c r="AB33" s="40"/>
      <c r="AC33" s="45">
        <v>948</v>
      </c>
      <c r="AD33" s="40"/>
      <c r="AE33" s="40"/>
      <c r="AF33" s="40"/>
      <c r="AG33" s="100"/>
      <c r="AH33" s="40"/>
      <c r="AI33" s="40"/>
      <c r="AJ33" s="40"/>
      <c r="AK33" s="100"/>
      <c r="AL33" s="40"/>
      <c r="AM33" s="40"/>
      <c r="AN33" s="40"/>
      <c r="AO33" s="352"/>
      <c r="AP33" s="40"/>
      <c r="AR33" s="40"/>
      <c r="AS33" s="40"/>
    </row>
    <row r="34" spans="1:45" ht="15.75" customHeight="1">
      <c r="A34" s="351">
        <v>17</v>
      </c>
      <c r="B34" s="355"/>
      <c r="C34" s="48" t="s">
        <v>278</v>
      </c>
      <c r="F34" s="164">
        <v>96</v>
      </c>
      <c r="G34" s="1"/>
      <c r="H34" s="164">
        <f t="shared" si="2"/>
        <v>7584</v>
      </c>
      <c r="I34" s="68"/>
      <c r="J34" s="132">
        <f t="shared" si="3"/>
        <v>20.22</v>
      </c>
      <c r="K34" s="342"/>
      <c r="L34" s="3">
        <f t="shared" si="4"/>
        <v>1941</v>
      </c>
      <c r="M34" s="3"/>
      <c r="N34" s="4">
        <f t="shared" si="5"/>
        <v>0.1</v>
      </c>
      <c r="O34" s="4"/>
      <c r="P34" s="3">
        <f t="shared" si="6"/>
        <v>26</v>
      </c>
      <c r="Q34" s="3"/>
      <c r="R34" s="3">
        <f t="shared" si="7"/>
        <v>1967</v>
      </c>
      <c r="S34" s="5"/>
      <c r="U34" s="40"/>
      <c r="V34" s="132"/>
      <c r="W34" s="40"/>
      <c r="X34" s="40"/>
      <c r="Y34" s="387"/>
      <c r="Z34" s="40"/>
      <c r="AA34" s="164"/>
      <c r="AB34" s="40"/>
      <c r="AC34" s="45">
        <v>948</v>
      </c>
      <c r="AD34" s="40"/>
      <c r="AE34" s="40"/>
      <c r="AF34" s="40"/>
      <c r="AG34" s="100"/>
      <c r="AH34" s="40"/>
      <c r="AI34" s="40"/>
      <c r="AJ34" s="40"/>
      <c r="AK34" s="100"/>
      <c r="AL34" s="40"/>
      <c r="AM34" s="40"/>
      <c r="AN34" s="40"/>
      <c r="AO34" s="352"/>
      <c r="AP34" s="40"/>
      <c r="AR34" s="40"/>
      <c r="AS34" s="40"/>
    </row>
    <row r="35" spans="1:45" ht="15.75" customHeight="1">
      <c r="A35" s="351">
        <v>18</v>
      </c>
      <c r="B35" s="355"/>
      <c r="C35" s="48" t="s">
        <v>213</v>
      </c>
      <c r="F35" s="164">
        <v>7299</v>
      </c>
      <c r="G35" s="1"/>
      <c r="H35" s="164">
        <f t="shared" si="2"/>
        <v>1191562</v>
      </c>
      <c r="I35" s="68"/>
      <c r="J35" s="132">
        <f t="shared" si="3"/>
        <v>27.91</v>
      </c>
      <c r="K35" s="342"/>
      <c r="L35" s="3">
        <f t="shared" si="4"/>
        <v>203715</v>
      </c>
      <c r="M35" s="3"/>
      <c r="N35" s="4">
        <f t="shared" si="5"/>
        <v>12.6</v>
      </c>
      <c r="O35" s="4"/>
      <c r="P35" s="3">
        <f t="shared" si="6"/>
        <v>4155</v>
      </c>
      <c r="Q35" s="3"/>
      <c r="R35" s="3">
        <f t="shared" si="7"/>
        <v>207870</v>
      </c>
      <c r="S35" s="5"/>
      <c r="U35" s="40"/>
      <c r="V35" s="132"/>
      <c r="W35" s="40"/>
      <c r="X35" s="40"/>
      <c r="Y35" s="387"/>
      <c r="Z35" s="40"/>
      <c r="AA35" s="164"/>
      <c r="AB35" s="40"/>
      <c r="AC35" s="45">
        <v>1959</v>
      </c>
      <c r="AD35" s="40"/>
      <c r="AE35" s="40"/>
      <c r="AF35" s="40"/>
      <c r="AG35" s="100"/>
      <c r="AH35" s="40"/>
      <c r="AI35" s="40"/>
      <c r="AJ35" s="40"/>
      <c r="AK35" s="100"/>
      <c r="AL35" s="40"/>
      <c r="AM35" s="40"/>
      <c r="AN35" s="40"/>
      <c r="AO35" s="352"/>
      <c r="AP35" s="40"/>
      <c r="AR35" s="40"/>
      <c r="AS35" s="40"/>
    </row>
    <row r="36" spans="1:45" ht="15.75" customHeight="1">
      <c r="A36" s="351">
        <v>19</v>
      </c>
      <c r="B36" s="355"/>
      <c r="C36" s="133" t="s">
        <v>203</v>
      </c>
      <c r="F36" s="164"/>
      <c r="G36" s="1"/>
      <c r="H36" s="164"/>
      <c r="I36" s="68"/>
      <c r="J36" s="342"/>
      <c r="K36" s="342"/>
      <c r="L36" s="3"/>
      <c r="M36" s="3"/>
      <c r="N36" s="4"/>
      <c r="O36" s="4"/>
      <c r="P36" s="3"/>
      <c r="Q36" s="3"/>
      <c r="R36" s="3"/>
      <c r="S36" s="5"/>
      <c r="U36" s="40"/>
      <c r="V36" s="132"/>
      <c r="W36" s="40"/>
      <c r="X36" s="40"/>
      <c r="Y36" s="387"/>
      <c r="Z36" s="40"/>
      <c r="AA36" s="164"/>
      <c r="AB36" s="40"/>
      <c r="AC36" s="45"/>
      <c r="AD36" s="40"/>
      <c r="AE36" s="40"/>
      <c r="AF36" s="40"/>
      <c r="AG36" s="100"/>
      <c r="AH36" s="40"/>
      <c r="AI36" s="40"/>
      <c r="AJ36" s="40"/>
      <c r="AK36" s="100"/>
      <c r="AL36" s="40"/>
      <c r="AM36" s="40"/>
      <c r="AN36" s="40"/>
      <c r="AO36" s="352"/>
      <c r="AP36" s="40"/>
      <c r="AR36" s="40"/>
      <c r="AS36" s="40"/>
    </row>
    <row r="37" spans="1:45" ht="15.75" customHeight="1">
      <c r="A37" s="351">
        <v>20</v>
      </c>
      <c r="C37" s="48" t="s">
        <v>390</v>
      </c>
      <c r="F37" s="164">
        <v>0</v>
      </c>
      <c r="G37" s="1"/>
      <c r="H37" s="164">
        <f t="shared" si="2"/>
        <v>0</v>
      </c>
      <c r="I37" s="68"/>
      <c r="J37" s="132">
        <f>ROUND(AC191+(AC191*$AG$1),2)</f>
        <v>17.41</v>
      </c>
      <c r="K37" s="342"/>
      <c r="L37" s="3">
        <f>ROUND((F37*J37),0)</f>
        <v>0</v>
      </c>
      <c r="M37" s="3"/>
      <c r="N37" s="4">
        <f>ROUND((L37/L$139)*100,1)</f>
        <v>0</v>
      </c>
      <c r="O37" s="4"/>
      <c r="P37" s="3">
        <f>ROUND($P$139/$H$139*H37,0)</f>
        <v>0</v>
      </c>
      <c r="Q37" s="3"/>
      <c r="R37" s="3">
        <f>L37+P37</f>
        <v>0</v>
      </c>
      <c r="S37" s="5"/>
      <c r="U37" s="40"/>
      <c r="V37" s="132"/>
      <c r="W37" s="40"/>
      <c r="X37" s="40"/>
      <c r="Y37" s="387"/>
      <c r="Z37" s="40"/>
      <c r="AA37" s="164"/>
      <c r="AB37" s="40"/>
      <c r="AC37" s="45">
        <v>487</v>
      </c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352"/>
      <c r="AP37" s="40"/>
      <c r="AR37" s="40"/>
      <c r="AS37" s="40"/>
    </row>
    <row r="38" spans="1:45" ht="15.75" customHeight="1">
      <c r="A38" s="351">
        <v>21</v>
      </c>
      <c r="B38" s="356"/>
      <c r="C38" s="48" t="s">
        <v>391</v>
      </c>
      <c r="F38" s="388">
        <v>12</v>
      </c>
      <c r="G38" s="1"/>
      <c r="H38" s="164">
        <f t="shared" si="2"/>
        <v>1023</v>
      </c>
      <c r="I38" s="68"/>
      <c r="J38" s="132">
        <f>ROUND(AC192+(AC192*$AG$1),2)</f>
        <v>21.96</v>
      </c>
      <c r="K38" s="342"/>
      <c r="L38" s="3">
        <f>ROUND((F38*J38),0)</f>
        <v>264</v>
      </c>
      <c r="M38" s="3"/>
      <c r="N38" s="4">
        <f>ROUND((L38/L$139)*100,1)</f>
        <v>0</v>
      </c>
      <c r="O38" s="4"/>
      <c r="P38" s="3">
        <f>ROUND($P$139/$H$139*H38,0)</f>
        <v>4</v>
      </c>
      <c r="Q38" s="3"/>
      <c r="R38" s="3">
        <f>L38+P38</f>
        <v>268</v>
      </c>
      <c r="S38" s="5"/>
      <c r="U38" s="40"/>
      <c r="V38" s="132"/>
      <c r="W38" s="40"/>
      <c r="X38" s="40"/>
      <c r="Y38" s="387"/>
      <c r="Z38" s="40"/>
      <c r="AA38" s="164"/>
      <c r="AB38" s="40"/>
      <c r="AC38" s="45">
        <v>1023</v>
      </c>
      <c r="AD38" s="40"/>
      <c r="AE38" s="40"/>
      <c r="AF38" s="40"/>
      <c r="AG38" s="100"/>
      <c r="AH38" s="40"/>
      <c r="AI38" s="40"/>
      <c r="AJ38" s="40"/>
      <c r="AK38" s="100"/>
      <c r="AL38" s="40"/>
      <c r="AM38" s="40"/>
      <c r="AN38" s="40"/>
      <c r="AO38" s="352"/>
      <c r="AP38" s="40"/>
      <c r="AR38" s="40"/>
      <c r="AS38" s="40"/>
    </row>
    <row r="39" spans="1:45" ht="15.75" customHeight="1">
      <c r="A39" s="351">
        <v>22</v>
      </c>
      <c r="C39" s="48" t="s">
        <v>392</v>
      </c>
      <c r="F39" s="164">
        <v>204</v>
      </c>
      <c r="G39" s="1"/>
      <c r="H39" s="164">
        <f t="shared" si="2"/>
        <v>33303</v>
      </c>
      <c r="I39" s="68"/>
      <c r="J39" s="132">
        <f>ROUND(AC193+(AC193*$AG$1),2)</f>
        <v>29.72</v>
      </c>
      <c r="K39" s="342"/>
      <c r="L39" s="3">
        <f>ROUND((F39*J39),0)</f>
        <v>6063</v>
      </c>
      <c r="M39" s="3"/>
      <c r="N39" s="4">
        <f>ROUND((L39/L$139)*100,1)</f>
        <v>0.4</v>
      </c>
      <c r="O39" s="4"/>
      <c r="P39" s="3">
        <f>ROUND($P$139/$H$139*H39,0)</f>
        <v>116</v>
      </c>
      <c r="Q39" s="3"/>
      <c r="R39" s="3">
        <f>L39+P39</f>
        <v>6179</v>
      </c>
      <c r="S39" s="5"/>
      <c r="U39" s="40"/>
      <c r="V39" s="132"/>
      <c r="W39" s="40"/>
      <c r="X39" s="40"/>
      <c r="Y39" s="387"/>
      <c r="Z39" s="40"/>
      <c r="AA39" s="164"/>
      <c r="AB39" s="40"/>
      <c r="AC39" s="45">
        <v>1959</v>
      </c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352"/>
      <c r="AP39" s="40"/>
      <c r="AR39" s="40"/>
      <c r="AS39" s="40"/>
    </row>
    <row r="40" spans="1:45">
      <c r="A40" s="351">
        <v>23</v>
      </c>
      <c r="C40" s="48" t="s">
        <v>389</v>
      </c>
      <c r="F40" s="164">
        <v>241</v>
      </c>
      <c r="G40" s="1"/>
      <c r="H40" s="164">
        <f t="shared" si="2"/>
        <v>39343</v>
      </c>
      <c r="I40" s="68"/>
      <c r="J40" s="132">
        <f>ROUND(AC194+(AC194*$AG$1),2)</f>
        <v>43.19</v>
      </c>
      <c r="K40" s="342"/>
      <c r="L40" s="3">
        <f>ROUND((F40*J40),0)</f>
        <v>10409</v>
      </c>
      <c r="M40" s="3"/>
      <c r="N40" s="4">
        <f>ROUND((L40/L$139)*100,1)</f>
        <v>0.6</v>
      </c>
      <c r="O40" s="4"/>
      <c r="P40" s="3">
        <f>ROUND($P$139/$H$139*H40,0)</f>
        <v>137</v>
      </c>
      <c r="Q40" s="3"/>
      <c r="R40" s="3">
        <f>L40+P40</f>
        <v>10546</v>
      </c>
      <c r="S40" s="5"/>
      <c r="V40" s="132"/>
      <c r="Y40" s="387"/>
      <c r="AA40" s="45"/>
      <c r="AC40" s="45">
        <v>1959</v>
      </c>
      <c r="AO40" s="352"/>
    </row>
    <row r="41" spans="1:45">
      <c r="A41" s="351">
        <v>24</v>
      </c>
      <c r="S41" s="5"/>
      <c r="V41" s="132"/>
      <c r="Y41" s="387"/>
      <c r="AA41" s="164"/>
      <c r="AO41" s="352"/>
    </row>
    <row r="42" spans="1:45">
      <c r="A42" s="351">
        <v>25</v>
      </c>
      <c r="C42" s="310" t="s">
        <v>264</v>
      </c>
      <c r="F42" s="72">
        <f>SUM(F21:F40)</f>
        <v>81914</v>
      </c>
      <c r="G42" s="1"/>
      <c r="H42" s="72">
        <f>SUM(H21:H40)</f>
        <v>6250277</v>
      </c>
      <c r="I42" s="3"/>
      <c r="J42" s="5"/>
      <c r="K42" s="5"/>
      <c r="L42" s="72">
        <f>SUM(L21:L40)</f>
        <v>1280791</v>
      </c>
      <c r="M42" s="3"/>
      <c r="N42" s="74">
        <f>ROUND((L42/L$139)*100,1)</f>
        <v>79.2</v>
      </c>
      <c r="O42" s="6"/>
      <c r="P42" s="279">
        <f>ROUND(H42*CUR_FAC,0)</f>
        <v>21796</v>
      </c>
      <c r="Q42" s="3"/>
      <c r="R42" s="72">
        <f>SUM(R21:R40)</f>
        <v>1302587</v>
      </c>
      <c r="S42" s="5"/>
      <c r="V42" s="132"/>
      <c r="Y42" s="387"/>
      <c r="AA42" s="164"/>
      <c r="AO42" s="352"/>
    </row>
    <row r="43" spans="1:45">
      <c r="A43" s="351">
        <v>26</v>
      </c>
      <c r="C43" s="48"/>
      <c r="F43" s="164"/>
      <c r="G43" s="1"/>
      <c r="H43" s="164"/>
      <c r="I43" s="68"/>
      <c r="J43" s="132"/>
      <c r="K43" s="342"/>
      <c r="L43" s="3"/>
      <c r="M43" s="3"/>
      <c r="N43" s="4"/>
      <c r="O43" s="4"/>
      <c r="P43" s="3"/>
      <c r="Q43" s="3"/>
      <c r="R43" s="3"/>
      <c r="S43" s="5"/>
      <c r="V43" s="132"/>
      <c r="Y43" s="387"/>
      <c r="AA43" s="164"/>
      <c r="AO43" s="352"/>
      <c r="AR43" s="42"/>
    </row>
    <row r="44" spans="1:45">
      <c r="A44" s="351">
        <v>27</v>
      </c>
      <c r="C44" s="133" t="s">
        <v>80</v>
      </c>
      <c r="F44" s="1"/>
      <c r="G44" s="1"/>
      <c r="H44" s="1"/>
      <c r="I44" s="1"/>
      <c r="J44" s="5"/>
      <c r="K44" s="5"/>
      <c r="L44" s="1"/>
      <c r="M44" s="1"/>
      <c r="N44" s="1"/>
      <c r="O44" s="1"/>
      <c r="P44" s="1"/>
      <c r="Q44" s="1"/>
      <c r="R44" s="1"/>
      <c r="S44" s="5"/>
      <c r="V44" s="132"/>
      <c r="Y44" s="387"/>
      <c r="AA44" s="164"/>
      <c r="AO44" s="352"/>
      <c r="AR44" s="42"/>
    </row>
    <row r="45" spans="1:45">
      <c r="A45" s="351">
        <v>28</v>
      </c>
      <c r="C45" s="310" t="s">
        <v>204</v>
      </c>
      <c r="F45" s="1"/>
      <c r="G45" s="1"/>
      <c r="H45" s="1"/>
      <c r="I45" s="1"/>
      <c r="J45" s="5"/>
      <c r="K45" s="5"/>
      <c r="L45" s="1"/>
      <c r="M45" s="1"/>
      <c r="N45" s="1"/>
      <c r="O45" s="1"/>
      <c r="P45" s="1"/>
      <c r="Q45" s="1"/>
      <c r="R45" s="1"/>
      <c r="S45" s="5"/>
      <c r="V45" s="132"/>
      <c r="Y45" s="387"/>
      <c r="AA45" s="164"/>
      <c r="AO45" s="352"/>
      <c r="AR45" s="42"/>
    </row>
    <row r="46" spans="1:45">
      <c r="A46" s="351">
        <v>29</v>
      </c>
      <c r="C46" s="48" t="s">
        <v>206</v>
      </c>
      <c r="F46" s="164">
        <v>272</v>
      </c>
      <c r="G46" s="1"/>
      <c r="H46" s="164">
        <f t="shared" ref="H46:H53" si="8">ROUND(F46*AC46/12,0)</f>
        <v>19811</v>
      </c>
      <c r="I46" s="68"/>
      <c r="J46" s="132">
        <f>ROUND(AC200+(AC200*$AG$1),2)</f>
        <v>13.41</v>
      </c>
      <c r="K46" s="342"/>
      <c r="L46" s="3">
        <f>ROUND((F46*J46),0)</f>
        <v>3648</v>
      </c>
      <c r="M46" s="3"/>
      <c r="N46" s="4">
        <f>ROUND((L46/L$139)*100,1)</f>
        <v>0.2</v>
      </c>
      <c r="O46" s="4"/>
      <c r="P46" s="3">
        <f>ROUND($P$139/$H$139*H46,0)</f>
        <v>69</v>
      </c>
      <c r="Q46" s="3"/>
      <c r="R46" s="3">
        <f>L46+P46</f>
        <v>3717</v>
      </c>
      <c r="S46" s="5"/>
      <c r="V46" s="132"/>
      <c r="Y46" s="387"/>
      <c r="AA46" s="164"/>
      <c r="AC46" s="41">
        <v>874</v>
      </c>
      <c r="AO46" s="352"/>
    </row>
    <row r="47" spans="1:45">
      <c r="A47" s="351">
        <v>30</v>
      </c>
      <c r="C47" s="48" t="s">
        <v>205</v>
      </c>
      <c r="F47" s="164">
        <v>0</v>
      </c>
      <c r="G47" s="1"/>
      <c r="H47" s="164">
        <f t="shared" si="8"/>
        <v>0</v>
      </c>
      <c r="I47" s="68"/>
      <c r="J47" s="132">
        <f>ROUND(AC201+(AC201*$AG$1),2)</f>
        <v>11.16</v>
      </c>
      <c r="K47" s="342"/>
      <c r="L47" s="3">
        <f>ROUND((F47*J47),0)</f>
        <v>0</v>
      </c>
      <c r="M47" s="3"/>
      <c r="N47" s="4">
        <f>ROUND((L47/L$139)*100,1)</f>
        <v>0</v>
      </c>
      <c r="O47" s="4"/>
      <c r="P47" s="3">
        <f>ROUND($P$139/$H$139*H47,0)</f>
        <v>0</v>
      </c>
      <c r="Q47" s="3"/>
      <c r="R47" s="3">
        <f>L47+P47</f>
        <v>0</v>
      </c>
      <c r="S47" s="5"/>
      <c r="V47" s="132"/>
      <c r="Y47" s="387"/>
      <c r="AA47" s="164"/>
      <c r="AC47" s="41">
        <v>853</v>
      </c>
      <c r="AO47" s="352"/>
    </row>
    <row r="48" spans="1:45">
      <c r="A48" s="351">
        <v>31</v>
      </c>
      <c r="B48" s="357"/>
      <c r="C48" s="48" t="s">
        <v>214</v>
      </c>
      <c r="F48" s="164">
        <v>132</v>
      </c>
      <c r="G48" s="1"/>
      <c r="H48" s="164">
        <f t="shared" si="8"/>
        <v>13365</v>
      </c>
      <c r="I48" s="68"/>
      <c r="J48" s="132">
        <f>ROUND(AC202+(AC202*$AG$1),2)</f>
        <v>15.72</v>
      </c>
      <c r="K48" s="342"/>
      <c r="L48" s="3">
        <f>ROUND((F48*J48),0)</f>
        <v>2075</v>
      </c>
      <c r="M48" s="3"/>
      <c r="N48" s="4">
        <f>ROUND((L48/L$139)*100,1)</f>
        <v>0.1</v>
      </c>
      <c r="O48" s="4"/>
      <c r="P48" s="3">
        <f>ROUND($P$139/$H$139*H48,0)</f>
        <v>47</v>
      </c>
      <c r="Q48" s="3"/>
      <c r="R48" s="3">
        <f>L48+P48</f>
        <v>2122</v>
      </c>
      <c r="S48" s="5"/>
      <c r="V48" s="132"/>
      <c r="Y48" s="387"/>
      <c r="AA48" s="164"/>
      <c r="AC48" s="41">
        <v>1215</v>
      </c>
      <c r="AO48" s="352"/>
    </row>
    <row r="49" spans="1:45">
      <c r="A49" s="351">
        <v>32</v>
      </c>
      <c r="C49" s="48" t="s">
        <v>89</v>
      </c>
      <c r="F49" s="164">
        <v>228</v>
      </c>
      <c r="G49" s="1"/>
      <c r="H49" s="164">
        <f t="shared" si="8"/>
        <v>36366</v>
      </c>
      <c r="I49" s="68"/>
      <c r="J49" s="132">
        <f>ROUND(AC203+(AC203*$AG$1),2)</f>
        <v>21.48</v>
      </c>
      <c r="K49" s="342"/>
      <c r="L49" s="3">
        <f>ROUND((F49*J49),0)</f>
        <v>4897</v>
      </c>
      <c r="M49" s="3"/>
      <c r="N49" s="4">
        <f>ROUND((L49/L$139)*100,1)</f>
        <v>0.3</v>
      </c>
      <c r="O49" s="4"/>
      <c r="P49" s="3">
        <f>ROUND($P$139/$H$139*H49,0)</f>
        <v>127</v>
      </c>
      <c r="Q49" s="3"/>
      <c r="R49" s="3">
        <f>L49+P49</f>
        <v>5024</v>
      </c>
      <c r="S49" s="5"/>
      <c r="V49" s="132"/>
      <c r="Y49" s="387"/>
      <c r="AA49" s="164"/>
      <c r="AC49" s="41">
        <v>1914</v>
      </c>
      <c r="AO49" s="352"/>
    </row>
    <row r="50" spans="1:45">
      <c r="A50" s="351">
        <v>33</v>
      </c>
      <c r="C50" s="133" t="s">
        <v>267</v>
      </c>
      <c r="F50" s="164"/>
      <c r="G50" s="1"/>
      <c r="H50" s="164"/>
      <c r="I50" s="68"/>
      <c r="J50" s="342"/>
      <c r="K50" s="342"/>
      <c r="L50" s="3"/>
      <c r="M50" s="3"/>
      <c r="N50" s="4"/>
      <c r="O50" s="4"/>
      <c r="P50" s="3"/>
      <c r="Q50" s="3"/>
      <c r="R50" s="3"/>
      <c r="S50" s="5"/>
      <c r="V50" s="132"/>
      <c r="Y50" s="387"/>
      <c r="AA50" s="164"/>
      <c r="AO50" s="352"/>
    </row>
    <row r="51" spans="1:45">
      <c r="A51" s="351">
        <v>34</v>
      </c>
      <c r="C51" s="42" t="s">
        <v>270</v>
      </c>
      <c r="F51" s="164">
        <v>0</v>
      </c>
      <c r="G51" s="1"/>
      <c r="H51" s="164">
        <f t="shared" si="8"/>
        <v>0</v>
      </c>
      <c r="I51" s="68"/>
      <c r="J51" s="132">
        <f>ROUND(AC205+(AC205*$AG$1),2)</f>
        <v>13.41</v>
      </c>
      <c r="K51" s="342"/>
      <c r="L51" s="3">
        <f>ROUND((F51*J51),0)</f>
        <v>0</v>
      </c>
      <c r="M51" s="3"/>
      <c r="N51" s="4">
        <f>ROUND((L51/L$139)*100,1)</f>
        <v>0</v>
      </c>
      <c r="O51" s="4"/>
      <c r="P51" s="3">
        <f>ROUND($P$139/$H$139*H51,0)</f>
        <v>0</v>
      </c>
      <c r="Q51" s="3"/>
      <c r="R51" s="3">
        <f>L51+P51</f>
        <v>0</v>
      </c>
      <c r="S51" s="5"/>
      <c r="V51" s="132"/>
      <c r="Y51" s="387"/>
      <c r="AA51" s="164"/>
      <c r="AC51" s="41">
        <v>874</v>
      </c>
      <c r="AO51" s="352"/>
    </row>
    <row r="52" spans="1:45">
      <c r="A52" s="351">
        <v>35</v>
      </c>
      <c r="C52" s="42" t="s">
        <v>271</v>
      </c>
      <c r="F52" s="164">
        <v>0</v>
      </c>
      <c r="G52" s="1"/>
      <c r="H52" s="164">
        <f t="shared" si="8"/>
        <v>0</v>
      </c>
      <c r="I52" s="68"/>
      <c r="J52" s="132">
        <f>ROUND(AC206+(AC206*$AG$1),2)</f>
        <v>15.72</v>
      </c>
      <c r="K52" s="342"/>
      <c r="L52" s="3">
        <f>ROUND((F52*J52),0)</f>
        <v>0</v>
      </c>
      <c r="M52" s="3"/>
      <c r="N52" s="4">
        <f>ROUND((L52/L$139)*100,1)</f>
        <v>0</v>
      </c>
      <c r="O52" s="4"/>
      <c r="P52" s="3">
        <f>ROUND($P$139/$H$139*H52,0)</f>
        <v>0</v>
      </c>
      <c r="Q52" s="3"/>
      <c r="R52" s="3">
        <f>L52+P52</f>
        <v>0</v>
      </c>
      <c r="S52" s="5"/>
      <c r="V52" s="132"/>
      <c r="Y52" s="387"/>
      <c r="AA52" s="164"/>
      <c r="AC52" s="41">
        <v>1215</v>
      </c>
      <c r="AO52" s="352"/>
    </row>
    <row r="53" spans="1:45">
      <c r="A53" s="351">
        <v>36</v>
      </c>
      <c r="C53" s="42" t="s">
        <v>269</v>
      </c>
      <c r="F53" s="164">
        <v>0</v>
      </c>
      <c r="G53" s="1"/>
      <c r="H53" s="164">
        <f t="shared" si="8"/>
        <v>0</v>
      </c>
      <c r="I53" s="68"/>
      <c r="J53" s="132">
        <f>ROUND(AC207+(AC207*$AG$1),2)</f>
        <v>21.48</v>
      </c>
      <c r="K53" s="342"/>
      <c r="L53" s="3">
        <f>ROUND((F53*J53),0)</f>
        <v>0</v>
      </c>
      <c r="M53" s="3"/>
      <c r="N53" s="4">
        <f>ROUND((L53/L$139)*100,1)</f>
        <v>0</v>
      </c>
      <c r="O53" s="4"/>
      <c r="P53" s="3">
        <f>ROUND($P$139/$H$139*H53,0)</f>
        <v>0</v>
      </c>
      <c r="Q53" s="3"/>
      <c r="R53" s="3">
        <f>L53+P53</f>
        <v>0</v>
      </c>
      <c r="S53" s="5"/>
      <c r="V53" s="132"/>
      <c r="Y53" s="387"/>
      <c r="AA53" s="164"/>
      <c r="AC53" s="41">
        <v>1914</v>
      </c>
      <c r="AO53" s="352"/>
    </row>
    <row r="54" spans="1:45">
      <c r="A54" s="351">
        <v>37</v>
      </c>
      <c r="S54" s="5"/>
      <c r="V54" s="132"/>
      <c r="Y54" s="387"/>
      <c r="AA54" s="164"/>
      <c r="AO54" s="352"/>
    </row>
    <row r="55" spans="1:45">
      <c r="A55" s="351">
        <v>38</v>
      </c>
      <c r="C55" s="310" t="s">
        <v>202</v>
      </c>
      <c r="G55" s="1"/>
      <c r="H55" s="1"/>
      <c r="I55" s="1"/>
      <c r="J55" s="5"/>
      <c r="K55" s="5"/>
      <c r="L55" s="3">
        <f t="shared" ref="L55:L61" si="9">ROUND((F55*J55),0)</f>
        <v>0</v>
      </c>
      <c r="M55" s="1"/>
      <c r="N55" s="1"/>
      <c r="O55" s="1"/>
      <c r="P55" s="1"/>
      <c r="Q55" s="1"/>
      <c r="R55" s="1"/>
      <c r="S55" s="5"/>
      <c r="V55" s="132"/>
      <c r="AO55" s="352"/>
    </row>
    <row r="56" spans="1:45">
      <c r="A56" s="351">
        <v>39</v>
      </c>
      <c r="C56" s="48" t="s">
        <v>396</v>
      </c>
      <c r="F56" s="164">
        <v>282</v>
      </c>
      <c r="G56" s="1"/>
      <c r="H56" s="164">
        <f t="shared" ref="H56:H61" si="10">ROUND(F56*AC56/12,0)</f>
        <v>11445</v>
      </c>
      <c r="I56" s="68"/>
      <c r="J56" s="132">
        <f t="shared" ref="J56:J61" si="11">ROUND(AC210+(AC210*$AG$1),2)</f>
        <v>14.1</v>
      </c>
      <c r="K56" s="342"/>
      <c r="L56" s="3">
        <f t="shared" si="9"/>
        <v>3976</v>
      </c>
      <c r="M56" s="3"/>
      <c r="N56" s="4">
        <f t="shared" ref="N56:N61" si="12">ROUND((L56/L$139)*100,1)</f>
        <v>0.2</v>
      </c>
      <c r="O56" s="4"/>
      <c r="P56" s="3">
        <f t="shared" ref="P56:P61" si="13">ROUND($P$139/$H$139*H56,0)</f>
        <v>40</v>
      </c>
      <c r="Q56" s="3"/>
      <c r="R56" s="3">
        <f t="shared" ref="R56:R61" si="14">L56+P56</f>
        <v>4016</v>
      </c>
      <c r="S56" s="5"/>
      <c r="V56" s="132"/>
      <c r="Y56" s="387"/>
      <c r="AA56" s="164"/>
      <c r="AC56" s="41">
        <v>487</v>
      </c>
      <c r="AO56" s="352"/>
    </row>
    <row r="57" spans="1:45">
      <c r="A57" s="351">
        <v>40</v>
      </c>
      <c r="C57" s="358" t="s">
        <v>209</v>
      </c>
      <c r="D57" s="359"/>
      <c r="F57" s="164">
        <v>0</v>
      </c>
      <c r="G57" s="1"/>
      <c r="H57" s="164">
        <f t="shared" si="10"/>
        <v>0</v>
      </c>
      <c r="I57" s="68"/>
      <c r="J57" s="132">
        <f t="shared" si="11"/>
        <v>10.87</v>
      </c>
      <c r="K57" s="342"/>
      <c r="L57" s="3">
        <f t="shared" si="9"/>
        <v>0</v>
      </c>
      <c r="M57" s="3"/>
      <c r="N57" s="4">
        <f t="shared" si="12"/>
        <v>0</v>
      </c>
      <c r="O57" s="4"/>
      <c r="P57" s="3">
        <f t="shared" si="13"/>
        <v>0</v>
      </c>
      <c r="Q57" s="3"/>
      <c r="R57" s="3">
        <f t="shared" si="14"/>
        <v>0</v>
      </c>
      <c r="S57" s="5"/>
      <c r="V57" s="132"/>
      <c r="Y57" s="387"/>
      <c r="AA57" s="45"/>
      <c r="AC57" s="41">
        <v>487</v>
      </c>
      <c r="AO57" s="352"/>
    </row>
    <row r="58" spans="1:45">
      <c r="A58" s="351">
        <v>41</v>
      </c>
      <c r="C58" s="358" t="s">
        <v>211</v>
      </c>
      <c r="D58" s="359"/>
      <c r="F58" s="164">
        <v>24</v>
      </c>
      <c r="G58" s="1"/>
      <c r="H58" s="164">
        <f t="shared" si="10"/>
        <v>1422</v>
      </c>
      <c r="I58" s="68"/>
      <c r="J58" s="132">
        <f t="shared" si="11"/>
        <v>15.54</v>
      </c>
      <c r="K58" s="342"/>
      <c r="L58" s="3">
        <f t="shared" si="9"/>
        <v>373</v>
      </c>
      <c r="M58" s="3"/>
      <c r="N58" s="4">
        <f t="shared" si="12"/>
        <v>0</v>
      </c>
      <c r="O58" s="4"/>
      <c r="P58" s="3">
        <f t="shared" si="13"/>
        <v>5</v>
      </c>
      <c r="Q58" s="3"/>
      <c r="R58" s="3">
        <f t="shared" si="14"/>
        <v>378</v>
      </c>
      <c r="S58" s="5"/>
      <c r="V58" s="132"/>
      <c r="Y58" s="387"/>
      <c r="AA58" s="164"/>
      <c r="AC58" s="41">
        <v>711</v>
      </c>
      <c r="AO58" s="352"/>
    </row>
    <row r="59" spans="1:45">
      <c r="A59" s="351">
        <v>42</v>
      </c>
      <c r="C59" s="48" t="s">
        <v>212</v>
      </c>
      <c r="F59" s="164">
        <v>204</v>
      </c>
      <c r="G59" s="1"/>
      <c r="H59" s="164">
        <f t="shared" si="10"/>
        <v>16116</v>
      </c>
      <c r="I59" s="68"/>
      <c r="J59" s="132">
        <f t="shared" si="11"/>
        <v>20.22</v>
      </c>
      <c r="K59" s="342"/>
      <c r="L59" s="3">
        <f t="shared" si="9"/>
        <v>4125</v>
      </c>
      <c r="M59" s="3"/>
      <c r="N59" s="4">
        <f t="shared" si="12"/>
        <v>0.3</v>
      </c>
      <c r="O59" s="4"/>
      <c r="P59" s="3">
        <f t="shared" si="13"/>
        <v>56</v>
      </c>
      <c r="Q59" s="3"/>
      <c r="R59" s="3">
        <f t="shared" si="14"/>
        <v>4181</v>
      </c>
      <c r="S59" s="5"/>
      <c r="V59" s="132"/>
      <c r="Y59" s="387"/>
      <c r="AA59" s="164"/>
      <c r="AC59" s="41">
        <v>948</v>
      </c>
      <c r="AO59" s="352"/>
    </row>
    <row r="60" spans="1:45">
      <c r="A60" s="351">
        <v>43</v>
      </c>
      <c r="C60" s="360" t="s">
        <v>278</v>
      </c>
      <c r="D60" s="361"/>
      <c r="F60" s="164">
        <v>12</v>
      </c>
      <c r="G60" s="1"/>
      <c r="H60" s="164">
        <f t="shared" si="10"/>
        <v>1323</v>
      </c>
      <c r="I60" s="68"/>
      <c r="J60" s="132">
        <f t="shared" si="11"/>
        <v>20.61</v>
      </c>
      <c r="K60" s="342"/>
      <c r="L60" s="3">
        <f t="shared" si="9"/>
        <v>247</v>
      </c>
      <c r="M60" s="3"/>
      <c r="N60" s="4">
        <f t="shared" si="12"/>
        <v>0</v>
      </c>
      <c r="O60" s="4"/>
      <c r="P60" s="3">
        <f t="shared" si="13"/>
        <v>5</v>
      </c>
      <c r="Q60" s="3"/>
      <c r="R60" s="3">
        <f t="shared" si="14"/>
        <v>252</v>
      </c>
      <c r="S60" s="5"/>
      <c r="V60" s="132"/>
      <c r="Y60" s="387"/>
      <c r="AA60" s="164"/>
      <c r="AC60" s="41">
        <v>1323</v>
      </c>
      <c r="AO60" s="352"/>
    </row>
    <row r="61" spans="1:45">
      <c r="A61" s="351">
        <v>44</v>
      </c>
      <c r="C61" s="48" t="s">
        <v>213</v>
      </c>
      <c r="F61" s="164">
        <v>96</v>
      </c>
      <c r="G61" s="1"/>
      <c r="H61" s="164">
        <f t="shared" si="10"/>
        <v>15672</v>
      </c>
      <c r="I61" s="68"/>
      <c r="J61" s="132">
        <f t="shared" si="11"/>
        <v>27.91</v>
      </c>
      <c r="K61" s="342"/>
      <c r="L61" s="3">
        <f t="shared" si="9"/>
        <v>2679</v>
      </c>
      <c r="M61" s="3"/>
      <c r="N61" s="4">
        <f t="shared" si="12"/>
        <v>0.2</v>
      </c>
      <c r="O61" s="4"/>
      <c r="P61" s="3">
        <f t="shared" si="13"/>
        <v>55</v>
      </c>
      <c r="Q61" s="3"/>
      <c r="R61" s="3">
        <f t="shared" si="14"/>
        <v>2734</v>
      </c>
      <c r="S61" s="5"/>
      <c r="V61" s="132"/>
      <c r="Y61" s="387"/>
      <c r="AA61" s="164"/>
      <c r="AC61" s="41">
        <v>1959</v>
      </c>
      <c r="AO61" s="352"/>
    </row>
    <row r="63" spans="1:45">
      <c r="A63" s="140" t="s">
        <v>76</v>
      </c>
      <c r="B63" s="362"/>
      <c r="C63" s="362"/>
      <c r="D63" s="362"/>
      <c r="E63" s="362"/>
      <c r="F63" s="362"/>
      <c r="G63" s="362"/>
      <c r="H63" s="362"/>
      <c r="I63" s="362"/>
      <c r="J63" s="141"/>
      <c r="K63" s="362"/>
      <c r="L63" s="363"/>
      <c r="M63" s="362"/>
      <c r="N63" s="362"/>
      <c r="O63" s="362"/>
      <c r="P63" s="141"/>
      <c r="Q63" s="130"/>
      <c r="R63" s="130"/>
      <c r="V63" s="42"/>
      <c r="AA63" s="45"/>
      <c r="AC63" s="45"/>
      <c r="AD63" s="45"/>
      <c r="AE63" s="47"/>
      <c r="AF63" s="47"/>
      <c r="AH63" s="45"/>
      <c r="AI63" s="46"/>
      <c r="AJ63" s="46"/>
      <c r="AL63" s="45"/>
      <c r="AM63" s="51"/>
      <c r="AN63" s="51"/>
      <c r="AO63" s="45"/>
      <c r="AP63" s="45"/>
      <c r="AR63" s="45"/>
      <c r="AS63" s="46"/>
    </row>
    <row r="64" spans="1:45">
      <c r="A64" s="140" t="str">
        <f>"(1A) REFLECTS FUEL COST RECOVERY INCLUDED IN BASE RATES OF "&amp;TEXT(CUR_BASE_FUEL,"$0.000000;($0.000000)")&amp;"  PER KWH."</f>
        <v>(1A) REFLECTS FUEL COST RECOVERY INCLUDED IN BASE RATES OF $0.033780  PER KWH.</v>
      </c>
      <c r="B64" s="362"/>
      <c r="C64" s="362"/>
      <c r="D64" s="362"/>
      <c r="E64" s="362"/>
      <c r="F64" s="364"/>
      <c r="G64" s="362"/>
      <c r="H64" s="362"/>
      <c r="I64" s="362"/>
      <c r="J64" s="141"/>
      <c r="K64" s="362"/>
      <c r="L64" s="363"/>
      <c r="M64" s="362"/>
      <c r="N64" s="362"/>
      <c r="O64" s="362"/>
      <c r="P64" s="141"/>
      <c r="Q64" s="130"/>
      <c r="R64" s="130"/>
      <c r="V64" s="42"/>
      <c r="AA64" s="45"/>
      <c r="AC64" s="45"/>
      <c r="AD64" s="45"/>
      <c r="AE64" s="47"/>
      <c r="AF64" s="47"/>
      <c r="AH64" s="45"/>
      <c r="AI64" s="46"/>
      <c r="AJ64" s="46"/>
      <c r="AL64" s="45"/>
      <c r="AM64" s="51"/>
      <c r="AN64" s="51"/>
      <c r="AO64" s="45"/>
      <c r="AP64" s="45"/>
      <c r="AR64" s="45"/>
      <c r="AS64" s="46"/>
    </row>
    <row r="65" spans="1:45">
      <c r="A65" s="140" t="str">
        <f>"(2) REFLECTS FUEL COMPONENT OF "&amp;TEXT(CUR_FAC,"$0.000000;($0.000000)")&amp;"  PER KWH."</f>
        <v>(2) REFLECTS FUEL COMPONENT OF $0.003487  PER KWH.</v>
      </c>
      <c r="B65" s="362"/>
      <c r="C65" s="362"/>
      <c r="D65" s="362"/>
      <c r="E65" s="362"/>
      <c r="F65" s="364"/>
      <c r="G65" s="362"/>
      <c r="H65" s="362"/>
      <c r="I65" s="362"/>
      <c r="J65" s="141"/>
      <c r="K65" s="362"/>
      <c r="L65" s="363"/>
      <c r="M65" s="362"/>
      <c r="N65" s="362"/>
      <c r="O65" s="362"/>
      <c r="P65" s="141"/>
      <c r="Q65" s="130"/>
      <c r="R65" s="130"/>
      <c r="V65" s="42"/>
      <c r="AA65" s="45"/>
      <c r="AC65" s="45"/>
      <c r="AD65" s="45"/>
      <c r="AE65" s="47"/>
      <c r="AF65" s="47"/>
      <c r="AH65" s="45"/>
      <c r="AI65" s="46"/>
      <c r="AJ65" s="46"/>
      <c r="AL65" s="45"/>
      <c r="AM65" s="51"/>
      <c r="AN65" s="51"/>
      <c r="AO65" s="45"/>
      <c r="AP65" s="45"/>
      <c r="AR65" s="45"/>
      <c r="AS65" s="46"/>
    </row>
    <row r="66" spans="1:45">
      <c r="A66" s="141"/>
      <c r="B66" s="362"/>
      <c r="C66" s="362"/>
      <c r="D66" s="362"/>
      <c r="E66" s="362"/>
      <c r="F66" s="364"/>
      <c r="G66" s="362"/>
      <c r="H66" s="362"/>
      <c r="I66" s="362"/>
      <c r="J66" s="141"/>
      <c r="K66" s="362"/>
      <c r="L66" s="363"/>
      <c r="M66" s="362"/>
      <c r="N66" s="362"/>
      <c r="O66" s="362"/>
      <c r="P66" s="141"/>
      <c r="Q66" s="130"/>
      <c r="R66" s="130"/>
      <c r="V66" s="42"/>
      <c r="AA66" s="45"/>
      <c r="AC66" s="45"/>
      <c r="AD66" s="45"/>
      <c r="AE66" s="325"/>
      <c r="AF66" s="325"/>
      <c r="AH66" s="45"/>
      <c r="AI66" s="46"/>
      <c r="AJ66" s="46"/>
      <c r="AL66" s="45"/>
      <c r="AM66" s="51"/>
      <c r="AN66" s="51"/>
      <c r="AO66" s="45"/>
      <c r="AP66" s="45"/>
      <c r="AR66" s="45"/>
      <c r="AS66" s="46"/>
    </row>
    <row r="67" spans="1:45">
      <c r="A67" s="141"/>
      <c r="B67" s="362"/>
      <c r="C67" s="362"/>
      <c r="D67" s="362"/>
      <c r="E67" s="362"/>
      <c r="F67" s="364"/>
      <c r="G67" s="362"/>
      <c r="H67" s="362"/>
      <c r="I67" s="362"/>
      <c r="J67" s="141"/>
      <c r="K67" s="362"/>
      <c r="L67" s="363"/>
      <c r="M67" s="362"/>
      <c r="N67" s="362"/>
      <c r="O67" s="362"/>
      <c r="P67" s="141"/>
      <c r="Q67" s="130"/>
      <c r="R67" s="130"/>
    </row>
    <row r="68" spans="1:45">
      <c r="A68" s="48"/>
      <c r="F68" s="56"/>
      <c r="J68" s="48"/>
      <c r="V68" s="42"/>
      <c r="AA68" s="45"/>
      <c r="AC68" s="45"/>
      <c r="AD68" s="45"/>
      <c r="AE68" s="326"/>
      <c r="AF68" s="326"/>
      <c r="AH68" s="45"/>
      <c r="AI68" s="46"/>
      <c r="AJ68" s="46"/>
      <c r="AL68" s="45"/>
      <c r="AM68" s="46"/>
      <c r="AN68" s="46"/>
      <c r="AO68" s="45"/>
      <c r="AP68" s="45"/>
      <c r="AR68" s="45"/>
      <c r="AS68" s="46"/>
    </row>
    <row r="69" spans="1:45">
      <c r="A69" s="48"/>
      <c r="F69" s="56"/>
      <c r="J69" s="48"/>
      <c r="N69" s="56"/>
      <c r="P69" s="48"/>
      <c r="V69" s="42"/>
      <c r="AA69" s="45"/>
      <c r="AC69" s="45"/>
      <c r="AD69" s="45"/>
      <c r="AE69" s="326"/>
      <c r="AF69" s="326"/>
      <c r="AH69" s="45"/>
      <c r="AI69" s="46"/>
      <c r="AJ69" s="46"/>
      <c r="AL69" s="45"/>
      <c r="AM69" s="46"/>
      <c r="AN69" s="46"/>
      <c r="AO69" s="45"/>
      <c r="AP69" s="45"/>
      <c r="AR69" s="45"/>
      <c r="AS69" s="46"/>
    </row>
    <row r="70" spans="1:45">
      <c r="A70" s="40" t="str">
        <f>NAME</f>
        <v>DUKE ENERGY KENTUCKY, INC.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AA70" s="42"/>
    </row>
    <row r="71" spans="1:45">
      <c r="A71" s="40" t="str">
        <f>CASE_NO</f>
        <v>CASE NO.   2024-00354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AA71" s="42"/>
    </row>
    <row r="72" spans="1:45">
      <c r="A72" s="40" t="str">
        <f>TITLE</f>
        <v>ANNUALIZED TEST YEAR REVENUES AT PROPOSED VS. MOST CURRENT RATES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</row>
    <row r="73" spans="1:45">
      <c r="A73" s="40" t="str">
        <f>DATE</f>
        <v>FOR THE TWELVE MONTHS ENDED June 30, 2026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AC73" s="42"/>
      <c r="AD73" s="42"/>
    </row>
    <row r="74" spans="1:45">
      <c r="A74" s="40" t="str">
        <f>SERVICE</f>
        <v>(ELECTRIC SERVICE)</v>
      </c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AM74" s="42"/>
      <c r="AN74" s="42"/>
    </row>
    <row r="75" spans="1:45">
      <c r="A75" s="41" t="str">
        <f>DATA_PERIOD</f>
        <v>DATA: ____ BASE PERIOD   __X__FORECASTED PERIOD</v>
      </c>
      <c r="R75" s="42" t="s">
        <v>156</v>
      </c>
      <c r="AM75" s="42"/>
      <c r="AN75" s="42"/>
    </row>
    <row r="76" spans="1:45">
      <c r="A76" s="41" t="str">
        <f>TYPE</f>
        <v>TYPE OF FILING: _X_ ORIGINAL   ___UPDATED  ___ REVISED</v>
      </c>
      <c r="R76" s="48" t="str">
        <f>"PAGE 14 OF "&amp;TEXT(Page_Num_2.3,"00")</f>
        <v>PAGE 14 OF 24</v>
      </c>
      <c r="AM76" s="42"/>
      <c r="AN76" s="42"/>
    </row>
    <row r="77" spans="1:45">
      <c r="A77" s="42" t="s">
        <v>170</v>
      </c>
      <c r="R77" s="42" t="s">
        <v>3</v>
      </c>
      <c r="AM77" s="42"/>
      <c r="AN77" s="42"/>
    </row>
    <row r="78" spans="1:45">
      <c r="A78" s="130" t="str">
        <f>TIME</f>
        <v>12 Months Projected with Riders</v>
      </c>
      <c r="M78" s="42"/>
      <c r="R78" s="41" t="str">
        <f>WIT</f>
        <v>B. L. Sailers</v>
      </c>
      <c r="AC78" s="42"/>
      <c r="AD78" s="42"/>
    </row>
    <row r="79" spans="1:45">
      <c r="A79" s="40" t="s">
        <v>129</v>
      </c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AC79" s="42"/>
      <c r="AD79" s="42"/>
    </row>
    <row r="80" spans="1:45">
      <c r="A80" s="49"/>
      <c r="B80" s="49"/>
      <c r="C80" s="49"/>
      <c r="D80" s="49"/>
      <c r="E80" s="49"/>
      <c r="G80" s="49"/>
      <c r="H80" s="49"/>
      <c r="I80" s="49"/>
      <c r="J80" s="49"/>
      <c r="K80" s="49"/>
      <c r="L80" s="43"/>
      <c r="M80" s="43"/>
      <c r="N80" s="43"/>
      <c r="O80" s="43"/>
      <c r="P80" s="43"/>
      <c r="Q80" s="43"/>
      <c r="R80" s="43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107"/>
      <c r="AH80" s="49"/>
      <c r="AI80" s="49"/>
      <c r="AJ80" s="49"/>
      <c r="AK80" s="107"/>
      <c r="AL80" s="49"/>
      <c r="AM80" s="49"/>
      <c r="AN80" s="49"/>
      <c r="AO80" s="49"/>
      <c r="AP80" s="49"/>
    </row>
    <row r="81" spans="1:49" ht="18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44" t="s">
        <v>6</v>
      </c>
      <c r="M81" s="44"/>
      <c r="N81" s="44" t="s">
        <v>7</v>
      </c>
      <c r="O81" s="44"/>
      <c r="R81" s="44" t="s">
        <v>6</v>
      </c>
      <c r="AC81" s="44"/>
      <c r="AD81" s="44"/>
      <c r="AE81" s="44"/>
      <c r="AF81" s="44"/>
      <c r="AG81" s="102"/>
      <c r="AH81" s="44"/>
      <c r="AI81" s="44"/>
      <c r="AJ81" s="44"/>
      <c r="AM81" s="44"/>
      <c r="AN81" s="44"/>
      <c r="AO81" s="44"/>
      <c r="AP81" s="44"/>
    </row>
    <row r="82" spans="1:49">
      <c r="L82" s="44" t="s">
        <v>12</v>
      </c>
      <c r="M82" s="44"/>
      <c r="N82" s="44" t="s">
        <v>13</v>
      </c>
      <c r="O82" s="44"/>
      <c r="R82" s="44" t="s">
        <v>11</v>
      </c>
      <c r="AB82" s="44"/>
      <c r="AC82" s="44"/>
      <c r="AD82" s="44"/>
      <c r="AE82" s="44"/>
      <c r="AF82" s="44"/>
      <c r="AG82" s="102"/>
      <c r="AH82" s="44"/>
      <c r="AI82" s="44"/>
      <c r="AJ82" s="44"/>
      <c r="AM82" s="44"/>
      <c r="AN82" s="44"/>
      <c r="AO82" s="44"/>
      <c r="AP82" s="44"/>
    </row>
    <row r="83" spans="1:49">
      <c r="A83" s="44" t="s">
        <v>17</v>
      </c>
      <c r="C83" s="44" t="s">
        <v>18</v>
      </c>
      <c r="D83" s="44" t="s">
        <v>19</v>
      </c>
      <c r="E83" s="44"/>
      <c r="F83" s="44" t="s">
        <v>20</v>
      </c>
      <c r="J83" s="44" t="s">
        <v>6</v>
      </c>
      <c r="K83" s="44"/>
      <c r="L83" s="44" t="s">
        <v>841</v>
      </c>
      <c r="M83" s="44"/>
      <c r="N83" s="44" t="s">
        <v>841</v>
      </c>
      <c r="O83" s="44"/>
      <c r="P83" s="44" t="s">
        <v>841</v>
      </c>
      <c r="Q83" s="44"/>
      <c r="R83" s="44" t="s">
        <v>9</v>
      </c>
      <c r="U83" s="44"/>
      <c r="V83" s="44"/>
      <c r="AB83" s="44"/>
      <c r="AC83" s="44"/>
      <c r="AD83" s="44"/>
      <c r="AE83" s="44"/>
      <c r="AF83" s="44"/>
      <c r="AG83" s="102"/>
      <c r="AH83" s="44"/>
      <c r="AI83" s="44"/>
      <c r="AJ83" s="44"/>
      <c r="AK83" s="102"/>
      <c r="AL83" s="44"/>
      <c r="AM83" s="44"/>
      <c r="AN83" s="44"/>
      <c r="AO83" s="44"/>
      <c r="AP83" s="44"/>
    </row>
    <row r="84" spans="1:49">
      <c r="A84" s="44" t="s">
        <v>22</v>
      </c>
      <c r="C84" s="44" t="s">
        <v>23</v>
      </c>
      <c r="D84" s="44" t="s">
        <v>24</v>
      </c>
      <c r="E84" s="44"/>
      <c r="F84" s="44" t="s">
        <v>25</v>
      </c>
      <c r="H84" s="44" t="s">
        <v>26</v>
      </c>
      <c r="I84" s="44"/>
      <c r="J84" s="60" t="s">
        <v>325</v>
      </c>
      <c r="K84" s="44"/>
      <c r="L84" s="44" t="s">
        <v>9</v>
      </c>
      <c r="M84" s="44"/>
      <c r="N84" s="44" t="s">
        <v>9</v>
      </c>
      <c r="O84" s="44"/>
      <c r="P84" s="44" t="s">
        <v>323</v>
      </c>
      <c r="Q84" s="44"/>
      <c r="R84" s="304" t="s">
        <v>28</v>
      </c>
      <c r="U84" s="44"/>
      <c r="V84" s="44"/>
      <c r="AA84" s="44"/>
      <c r="AB84" s="44"/>
      <c r="AC84" s="44"/>
      <c r="AD84" s="44"/>
      <c r="AE84" s="44"/>
      <c r="AF84" s="44"/>
      <c r="AG84" s="102"/>
      <c r="AH84" s="44"/>
      <c r="AI84" s="44"/>
      <c r="AJ84" s="44"/>
      <c r="AK84" s="102"/>
      <c r="AL84" s="44"/>
      <c r="AM84" s="44"/>
      <c r="AN84" s="44"/>
      <c r="AO84" s="44"/>
      <c r="AP84" s="44"/>
    </row>
    <row r="85" spans="1:49">
      <c r="C85" s="304" t="s">
        <v>33</v>
      </c>
      <c r="D85" s="304" t="s">
        <v>34</v>
      </c>
      <c r="E85" s="304"/>
      <c r="F85" s="304" t="s">
        <v>35</v>
      </c>
      <c r="G85" s="130"/>
      <c r="H85" s="304" t="s">
        <v>36</v>
      </c>
      <c r="I85" s="304"/>
      <c r="J85" s="304" t="s">
        <v>37</v>
      </c>
      <c r="K85" s="304"/>
      <c r="L85" s="304" t="s">
        <v>38</v>
      </c>
      <c r="M85" s="304"/>
      <c r="N85" s="304" t="s">
        <v>39</v>
      </c>
      <c r="O85" s="304"/>
      <c r="P85" s="304" t="s">
        <v>40</v>
      </c>
      <c r="Q85" s="304"/>
      <c r="R85" s="304" t="s">
        <v>41</v>
      </c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107"/>
      <c r="AH85" s="49"/>
      <c r="AI85" s="49"/>
      <c r="AJ85" s="49"/>
      <c r="AK85" s="107"/>
      <c r="AL85" s="49"/>
      <c r="AM85" s="49"/>
      <c r="AN85" s="49"/>
      <c r="AO85" s="49"/>
      <c r="AP85" s="49"/>
    </row>
    <row r="86" spans="1:49" ht="17.100000000000001" customHeight="1">
      <c r="A86" s="62"/>
      <c r="B86" s="62"/>
      <c r="C86" s="62"/>
      <c r="D86" s="62"/>
      <c r="E86" s="62"/>
      <c r="F86" s="62"/>
      <c r="G86" s="62"/>
      <c r="H86" s="345" t="s">
        <v>49</v>
      </c>
      <c r="I86" s="345"/>
      <c r="J86" s="344" t="s">
        <v>69</v>
      </c>
      <c r="K86" s="345"/>
      <c r="L86" s="345" t="s">
        <v>50</v>
      </c>
      <c r="M86" s="345"/>
      <c r="N86" s="345" t="s">
        <v>51</v>
      </c>
      <c r="O86" s="345"/>
      <c r="P86" s="345" t="s">
        <v>50</v>
      </c>
      <c r="Q86" s="345"/>
      <c r="R86" s="345" t="s">
        <v>50</v>
      </c>
      <c r="AA86" s="44"/>
      <c r="AB86" s="44"/>
      <c r="AC86" s="44"/>
      <c r="AD86" s="44"/>
      <c r="AE86" s="44"/>
      <c r="AF86" s="44"/>
      <c r="AG86" s="102"/>
      <c r="AH86" s="44"/>
      <c r="AI86" s="44"/>
      <c r="AJ86" s="44"/>
      <c r="AK86" s="102"/>
      <c r="AL86" s="44"/>
      <c r="AM86" s="44"/>
      <c r="AN86" s="44"/>
      <c r="AO86" s="44"/>
      <c r="AP86" s="44"/>
    </row>
    <row r="87" spans="1:49">
      <c r="A87" s="365">
        <v>45</v>
      </c>
      <c r="C87" s="133" t="s">
        <v>77</v>
      </c>
      <c r="D87" s="48" t="s">
        <v>265</v>
      </c>
      <c r="E87" s="4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U87" s="42"/>
    </row>
    <row r="88" spans="1:49">
      <c r="A88" s="365">
        <v>46</v>
      </c>
      <c r="C88" s="133" t="s">
        <v>405</v>
      </c>
      <c r="D88" s="48"/>
      <c r="E88" s="4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U88" s="42"/>
    </row>
    <row r="89" spans="1:49">
      <c r="A89" s="365">
        <v>47</v>
      </c>
      <c r="C89" s="310" t="s">
        <v>275</v>
      </c>
      <c r="G89" s="1"/>
      <c r="H89" s="164"/>
      <c r="I89" s="1"/>
      <c r="J89" s="5"/>
      <c r="K89" s="5"/>
      <c r="L89" s="3"/>
      <c r="M89" s="1"/>
      <c r="N89" s="1"/>
      <c r="O89" s="1"/>
      <c r="P89" s="1"/>
      <c r="Q89" s="1"/>
      <c r="R89" s="1"/>
      <c r="U89" s="42"/>
      <c r="Y89" s="387"/>
      <c r="AA89" s="164"/>
      <c r="AO89" s="352"/>
    </row>
    <row r="90" spans="1:49" ht="20.100000000000001" customHeight="1">
      <c r="A90" s="365">
        <v>48</v>
      </c>
      <c r="C90" s="42" t="s">
        <v>272</v>
      </c>
      <c r="F90" s="164">
        <v>2743</v>
      </c>
      <c r="G90" s="1"/>
      <c r="H90" s="164">
        <f t="shared" ref="H90:H110" si="15">ROUND(F90*AC90/12,0)</f>
        <v>194982</v>
      </c>
      <c r="I90" s="68"/>
      <c r="J90" s="132">
        <f>ROUND(AC244+(AC244*$AG$1),2)</f>
        <v>13.84</v>
      </c>
      <c r="K90" s="342"/>
      <c r="L90" s="3">
        <f>ROUND((F90*J90),0)</f>
        <v>37963</v>
      </c>
      <c r="M90" s="3"/>
      <c r="N90" s="4">
        <f>ROUND((L90/L$139)*100,1)</f>
        <v>2.2999999999999998</v>
      </c>
      <c r="O90" s="4"/>
      <c r="P90" s="3">
        <f>ROUND($P$139/$H$139*H90,0)</f>
        <v>680</v>
      </c>
      <c r="Q90" s="3"/>
      <c r="R90" s="3">
        <f>L90+P90</f>
        <v>38643</v>
      </c>
      <c r="V90" s="44"/>
      <c r="W90" s="44"/>
      <c r="AA90" s="164"/>
      <c r="AC90" s="41">
        <v>853</v>
      </c>
      <c r="AE90" s="44"/>
      <c r="AF90" s="44"/>
      <c r="AG90" s="102"/>
      <c r="AH90" s="44"/>
      <c r="AI90" s="44"/>
      <c r="AJ90" s="44"/>
      <c r="AK90" s="102"/>
      <c r="AL90" s="44"/>
      <c r="AM90" s="44"/>
      <c r="AN90" s="44"/>
      <c r="AR90" s="44"/>
      <c r="AS90" s="44"/>
    </row>
    <row r="91" spans="1:49">
      <c r="A91" s="365">
        <v>49</v>
      </c>
      <c r="C91" s="42" t="s">
        <v>273</v>
      </c>
      <c r="F91" s="164">
        <v>904</v>
      </c>
      <c r="G91" s="1"/>
      <c r="H91" s="164">
        <f t="shared" si="15"/>
        <v>65841</v>
      </c>
      <c r="I91" s="68"/>
      <c r="J91" s="132">
        <f>ROUND(AC245+(AC245*$AG$1),2)</f>
        <v>17.149999999999999</v>
      </c>
      <c r="K91" s="342"/>
      <c r="L91" s="3">
        <f>ROUND((F91*J91),0)</f>
        <v>15504</v>
      </c>
      <c r="M91" s="3"/>
      <c r="N91" s="4">
        <f>ROUND((L91/L$139)*100,1)</f>
        <v>1</v>
      </c>
      <c r="O91" s="4"/>
      <c r="P91" s="3">
        <f>ROUND($P$139/$H$139*H91,0)</f>
        <v>230</v>
      </c>
      <c r="Q91" s="3"/>
      <c r="R91" s="3">
        <f>L91+P91</f>
        <v>15734</v>
      </c>
      <c r="AA91" s="164"/>
      <c r="AC91" s="41">
        <v>874</v>
      </c>
    </row>
    <row r="92" spans="1:49">
      <c r="A92" s="365">
        <v>50</v>
      </c>
      <c r="C92" s="48" t="s">
        <v>1073</v>
      </c>
      <c r="F92" s="388">
        <v>27</v>
      </c>
      <c r="G92" s="1"/>
      <c r="H92" s="164">
        <f t="shared" si="15"/>
        <v>1967</v>
      </c>
      <c r="I92" s="68"/>
      <c r="J92" s="132">
        <f>ROUND(AC246+(AC246*$AG$1),2)</f>
        <v>38.049999999999997</v>
      </c>
      <c r="K92" s="342"/>
      <c r="L92" s="3">
        <f>ROUND((F92*J92),0)</f>
        <v>1027</v>
      </c>
      <c r="M92" s="3"/>
      <c r="N92" s="4">
        <f>ROUND((L92/L$139)*100,1)</f>
        <v>0.1</v>
      </c>
      <c r="O92" s="4"/>
      <c r="P92" s="3">
        <f>ROUND($P$139/$H$139*H92,0)</f>
        <v>7</v>
      </c>
      <c r="Q92" s="3"/>
      <c r="R92" s="3">
        <f>L92+P92</f>
        <v>1034</v>
      </c>
      <c r="S92" s="1"/>
      <c r="T92" s="176"/>
      <c r="V92" s="132"/>
      <c r="W92" s="42"/>
      <c r="X92" s="44"/>
      <c r="Y92" s="44"/>
      <c r="Z92" s="44"/>
      <c r="AA92" s="164"/>
      <c r="AC92" s="44">
        <v>874</v>
      </c>
      <c r="AD92" s="44"/>
      <c r="AE92" s="44"/>
      <c r="AF92" s="44"/>
      <c r="AG92" s="102"/>
      <c r="AH92" s="44"/>
      <c r="AI92" s="44"/>
      <c r="AJ92" s="44"/>
      <c r="AK92" s="102"/>
      <c r="AL92" s="44"/>
      <c r="AM92" s="44"/>
      <c r="AN92" s="44"/>
      <c r="AO92" s="44"/>
      <c r="AP92" s="44"/>
      <c r="AR92" s="44"/>
      <c r="AS92" s="44"/>
      <c r="AU92" s="45"/>
      <c r="AV92" s="45"/>
      <c r="AW92" s="46"/>
    </row>
    <row r="93" spans="1:49">
      <c r="A93" s="365">
        <v>51</v>
      </c>
      <c r="C93" s="42" t="s">
        <v>397</v>
      </c>
      <c r="F93" s="388">
        <v>0</v>
      </c>
      <c r="G93" s="1"/>
      <c r="H93" s="164">
        <f t="shared" si="15"/>
        <v>0</v>
      </c>
      <c r="I93" s="68"/>
      <c r="J93" s="132">
        <f>ROUND(AC247+(AC247*$AG$1),2)</f>
        <v>13.97</v>
      </c>
      <c r="K93" s="342"/>
      <c r="L93" s="3">
        <f>ROUND((F93*J93),0)</f>
        <v>0</v>
      </c>
      <c r="M93" s="3"/>
      <c r="N93" s="4">
        <f>ROUND((L93/L$139)*100,1)</f>
        <v>0</v>
      </c>
      <c r="O93" s="4"/>
      <c r="P93" s="3">
        <f>ROUND($P$139/$H$139*H93,0)</f>
        <v>0</v>
      </c>
      <c r="Q93" s="3"/>
      <c r="R93" s="3">
        <f>L93+P93</f>
        <v>0</v>
      </c>
      <c r="S93" s="1"/>
      <c r="V93" s="132"/>
      <c r="W93" s="42"/>
      <c r="AA93" s="1"/>
      <c r="AC93" s="44">
        <v>853</v>
      </c>
      <c r="AD93" s="44"/>
      <c r="AE93" s="44"/>
      <c r="AF93" s="44"/>
      <c r="AG93" s="102"/>
      <c r="AH93" s="44"/>
      <c r="AI93" s="44"/>
      <c r="AJ93" s="44"/>
      <c r="AK93" s="102"/>
      <c r="AL93" s="44"/>
      <c r="AM93" s="44"/>
      <c r="AN93" s="44"/>
      <c r="AO93" s="44"/>
      <c r="AP93" s="44"/>
      <c r="AR93" s="44"/>
      <c r="AS93" s="44"/>
      <c r="AU93" s="45"/>
      <c r="AV93" s="45"/>
      <c r="AW93" s="335"/>
    </row>
    <row r="94" spans="1:49">
      <c r="A94" s="365">
        <v>52</v>
      </c>
      <c r="C94" s="42" t="s">
        <v>274</v>
      </c>
      <c r="F94" s="388">
        <v>24</v>
      </c>
      <c r="G94" s="1"/>
      <c r="H94" s="164">
        <f t="shared" si="15"/>
        <v>1748</v>
      </c>
      <c r="I94" s="68"/>
      <c r="J94" s="132">
        <f>ROUND(AC248+(AC248*$AG$1),2)</f>
        <v>24.44</v>
      </c>
      <c r="K94" s="342"/>
      <c r="L94" s="3">
        <f>ROUND((F94*J94),0)</f>
        <v>587</v>
      </c>
      <c r="M94" s="3"/>
      <c r="N94" s="4">
        <f>ROUND((L94/L$139)*100,1)</f>
        <v>0</v>
      </c>
      <c r="O94" s="4"/>
      <c r="P94" s="3">
        <f>ROUND($P$139/$H$139*H94,0)</f>
        <v>6</v>
      </c>
      <c r="Q94" s="3"/>
      <c r="R94" s="3">
        <f>L94+P94</f>
        <v>593</v>
      </c>
      <c r="S94" s="1"/>
      <c r="V94" s="132"/>
      <c r="W94" s="42"/>
      <c r="X94" s="42"/>
      <c r="Y94" s="387"/>
      <c r="Z94" s="42"/>
      <c r="AA94" s="164"/>
      <c r="AC94" s="41">
        <v>874</v>
      </c>
      <c r="AU94" s="45"/>
      <c r="AV94" s="45"/>
      <c r="AW94" s="46"/>
    </row>
    <row r="95" spans="1:49">
      <c r="A95" s="365">
        <v>53</v>
      </c>
      <c r="C95" s="133" t="s">
        <v>279</v>
      </c>
      <c r="F95" s="388"/>
      <c r="G95" s="1"/>
      <c r="H95" s="164"/>
      <c r="I95" s="68"/>
      <c r="J95" s="342"/>
      <c r="K95" s="342"/>
      <c r="L95" s="3"/>
      <c r="M95" s="3"/>
      <c r="N95" s="4"/>
      <c r="O95" s="4"/>
      <c r="P95" s="3"/>
      <c r="Q95" s="3"/>
      <c r="R95" s="3"/>
      <c r="V95" s="132"/>
      <c r="X95" s="42"/>
      <c r="Y95" s="387"/>
      <c r="Z95" s="42"/>
      <c r="AA95" s="164"/>
      <c r="AU95" s="45"/>
      <c r="AV95" s="45"/>
      <c r="AW95" s="46"/>
    </row>
    <row r="96" spans="1:49">
      <c r="A96" s="365">
        <v>54</v>
      </c>
      <c r="C96" s="366" t="s">
        <v>398</v>
      </c>
      <c r="D96" s="367"/>
      <c r="F96" s="388">
        <v>132</v>
      </c>
      <c r="G96" s="1"/>
      <c r="H96" s="164">
        <f t="shared" si="15"/>
        <v>9383</v>
      </c>
      <c r="I96" s="68"/>
      <c r="J96" s="132">
        <f>ROUND(AC250+(AC250*$AG$1),2)</f>
        <v>13.81</v>
      </c>
      <c r="K96" s="342"/>
      <c r="L96" s="3">
        <f>ROUND((F96*J96),0)</f>
        <v>1823</v>
      </c>
      <c r="M96" s="3"/>
      <c r="N96" s="4">
        <f>ROUND((L96/L$139)*100,1)</f>
        <v>0.1</v>
      </c>
      <c r="O96" s="4"/>
      <c r="P96" s="3">
        <f>ROUND($P$139/$H$139*H96,0)</f>
        <v>33</v>
      </c>
      <c r="Q96" s="3"/>
      <c r="R96" s="3">
        <f>L96+P96</f>
        <v>1856</v>
      </c>
      <c r="V96" s="132"/>
      <c r="X96" s="42"/>
      <c r="Y96" s="387"/>
      <c r="Z96" s="42"/>
      <c r="AA96" s="164"/>
      <c r="AC96" s="41">
        <v>853</v>
      </c>
      <c r="AU96" s="45"/>
      <c r="AV96" s="45"/>
      <c r="AW96" s="46"/>
    </row>
    <row r="97" spans="1:49">
      <c r="A97" s="365">
        <v>55</v>
      </c>
      <c r="C97" s="366" t="s">
        <v>280</v>
      </c>
      <c r="D97" s="367"/>
      <c r="F97" s="388">
        <v>0</v>
      </c>
      <c r="G97" s="1"/>
      <c r="H97" s="164">
        <f t="shared" si="15"/>
        <v>0</v>
      </c>
      <c r="I97" s="68"/>
      <c r="J97" s="132">
        <f>ROUND(AC251+(AC251*$AG$1),2)</f>
        <v>24.44</v>
      </c>
      <c r="K97" s="342"/>
      <c r="L97" s="3">
        <f>ROUND((F97*J97),0)</f>
        <v>0</v>
      </c>
      <c r="M97" s="3"/>
      <c r="N97" s="4">
        <f>ROUND((L97/L$139)*100,1)</f>
        <v>0</v>
      </c>
      <c r="O97" s="4"/>
      <c r="P97" s="3">
        <f>ROUND($P$139/$H$139*H97,0)</f>
        <v>0</v>
      </c>
      <c r="Q97" s="3"/>
      <c r="R97" s="3">
        <f>L97+P97</f>
        <v>0</v>
      </c>
      <c r="S97" s="1"/>
      <c r="V97" s="132"/>
      <c r="W97" s="42"/>
      <c r="Y97" s="387"/>
      <c r="AA97" s="164"/>
      <c r="AC97" s="41">
        <v>874</v>
      </c>
      <c r="AE97" s="53"/>
      <c r="AF97" s="53"/>
      <c r="AH97" s="45"/>
      <c r="AR97" s="45"/>
      <c r="AU97" s="45"/>
      <c r="AV97" s="45"/>
      <c r="AW97" s="46"/>
    </row>
    <row r="98" spans="1:49">
      <c r="A98" s="365">
        <v>56</v>
      </c>
      <c r="C98" s="368" t="s">
        <v>401</v>
      </c>
      <c r="D98" s="367"/>
      <c r="F98" s="388">
        <v>0</v>
      </c>
      <c r="G98" s="1"/>
      <c r="H98" s="164">
        <f t="shared" si="15"/>
        <v>0</v>
      </c>
      <c r="I98" s="68"/>
      <c r="J98" s="132">
        <f>ROUND(AC252+(AC252*$AG$1),2)</f>
        <v>38.19</v>
      </c>
      <c r="K98" s="342"/>
      <c r="L98" s="3">
        <f>ROUND((F98*J98),0)</f>
        <v>0</v>
      </c>
      <c r="M98" s="3"/>
      <c r="N98" s="4">
        <f>ROUND((L98/L$139)*100,1)</f>
        <v>0</v>
      </c>
      <c r="O98" s="4"/>
      <c r="P98" s="3">
        <f>ROUND($P$139/$H$139*H98,0)</f>
        <v>0</v>
      </c>
      <c r="Q98" s="3"/>
      <c r="R98" s="3">
        <f>L98+P98</f>
        <v>0</v>
      </c>
      <c r="V98" s="132"/>
      <c r="Y98" s="387"/>
      <c r="AA98" s="164"/>
      <c r="AC98" s="41">
        <v>874</v>
      </c>
      <c r="AD98" s="45"/>
      <c r="AE98" s="316"/>
      <c r="AF98" s="316"/>
      <c r="AH98" s="45"/>
      <c r="AI98" s="46"/>
      <c r="AJ98" s="46"/>
      <c r="AL98" s="45"/>
      <c r="AM98" s="51"/>
      <c r="AN98" s="51"/>
      <c r="AO98" s="45"/>
      <c r="AP98" s="45"/>
      <c r="AR98" s="45"/>
      <c r="AS98" s="46"/>
      <c r="AT98" s="45"/>
      <c r="AU98" s="45"/>
      <c r="AV98" s="45"/>
      <c r="AW98" s="46"/>
    </row>
    <row r="99" spans="1:49">
      <c r="A99" s="365">
        <v>57</v>
      </c>
      <c r="C99" s="366" t="s">
        <v>477</v>
      </c>
      <c r="D99" s="367"/>
      <c r="F99" s="388">
        <v>298</v>
      </c>
      <c r="G99" s="1"/>
      <c r="H99" s="164">
        <f t="shared" si="15"/>
        <v>21382</v>
      </c>
      <c r="I99" s="68"/>
      <c r="J99" s="132">
        <f>ROUND(AC253+(AC253*$AG$1),2)</f>
        <v>38.17</v>
      </c>
      <c r="K99" s="342"/>
      <c r="L99" s="3">
        <f>ROUND((F99*J99),0)</f>
        <v>11375</v>
      </c>
      <c r="M99" s="3"/>
      <c r="N99" s="4">
        <f>ROUND((L99/L$139)*100,1)</f>
        <v>0.7</v>
      </c>
      <c r="O99" s="4"/>
      <c r="P99" s="3">
        <f>ROUND($P$139/$H$139*H99,0)</f>
        <v>75</v>
      </c>
      <c r="Q99" s="3"/>
      <c r="R99" s="3">
        <f>L99+P99</f>
        <v>11450</v>
      </c>
      <c r="S99" s="1"/>
      <c r="U99" s="40"/>
      <c r="V99" s="132"/>
      <c r="W99" s="40"/>
      <c r="X99" s="42"/>
      <c r="Y99" s="387"/>
      <c r="Z99" s="42"/>
      <c r="AA99" s="164"/>
      <c r="AC99" s="41">
        <v>861</v>
      </c>
      <c r="AU99" s="45"/>
      <c r="AV99" s="45"/>
      <c r="AW99" s="46"/>
    </row>
    <row r="100" spans="1:49">
      <c r="A100" s="365">
        <v>58</v>
      </c>
      <c r="C100" s="310" t="s">
        <v>203</v>
      </c>
      <c r="G100" s="1"/>
      <c r="H100" s="164"/>
      <c r="I100" s="1"/>
      <c r="J100" s="5"/>
      <c r="K100" s="5"/>
      <c r="L100" s="1"/>
      <c r="M100" s="1"/>
      <c r="N100" s="1"/>
      <c r="O100" s="1"/>
      <c r="P100" s="1"/>
      <c r="Q100" s="1"/>
      <c r="R100" s="1"/>
      <c r="V100" s="369"/>
      <c r="Y100" s="387"/>
      <c r="AA100" s="164"/>
      <c r="AR100" s="45"/>
      <c r="AU100" s="45"/>
      <c r="AV100" s="45"/>
      <c r="AW100" s="46"/>
    </row>
    <row r="101" spans="1:49">
      <c r="A101" s="365">
        <v>59</v>
      </c>
      <c r="C101" s="42" t="s">
        <v>276</v>
      </c>
      <c r="F101" s="388">
        <v>1598</v>
      </c>
      <c r="G101" s="1"/>
      <c r="H101" s="164">
        <f t="shared" si="15"/>
        <v>64852</v>
      </c>
      <c r="I101" s="1"/>
      <c r="J101" s="132">
        <f t="shared" ref="J101:J110" si="16">ROUND(AC255+(AC255*$AG$1),2)</f>
        <v>19.39</v>
      </c>
      <c r="K101" s="5"/>
      <c r="L101" s="3">
        <f>ROUND((F101*J101),0)</f>
        <v>30985</v>
      </c>
      <c r="M101" s="1"/>
      <c r="N101" s="4">
        <f t="shared" ref="N101:N111" si="17">ROUND((L101/L$139)*100,1)</f>
        <v>1.9</v>
      </c>
      <c r="O101" s="1"/>
      <c r="P101" s="3">
        <f t="shared" ref="P101:P110" si="18">ROUND($P$139/$H$139*H101,0)</f>
        <v>226</v>
      </c>
      <c r="Q101" s="1"/>
      <c r="R101" s="3">
        <f t="shared" ref="R101:R110" si="19">L101+P101</f>
        <v>31211</v>
      </c>
      <c r="S101" s="1"/>
      <c r="V101" s="132"/>
      <c r="X101" s="40"/>
      <c r="Y101" s="387"/>
      <c r="Z101" s="40"/>
      <c r="AA101" s="164"/>
      <c r="AB101" s="40"/>
      <c r="AC101" s="41">
        <v>487</v>
      </c>
      <c r="AD101" s="40"/>
      <c r="AE101" s="40"/>
      <c r="AF101" s="40"/>
      <c r="AG101" s="100"/>
      <c r="AH101" s="40"/>
      <c r="AI101" s="40"/>
      <c r="AJ101" s="40"/>
      <c r="AK101" s="100"/>
      <c r="AL101" s="40"/>
      <c r="AM101" s="40"/>
      <c r="AT101" s="45"/>
      <c r="AU101" s="45"/>
      <c r="AV101" s="45"/>
      <c r="AW101" s="46"/>
    </row>
    <row r="102" spans="1:49">
      <c r="A102" s="365">
        <v>60</v>
      </c>
      <c r="C102" s="42" t="s">
        <v>277</v>
      </c>
      <c r="F102" s="388">
        <v>868</v>
      </c>
      <c r="G102" s="1"/>
      <c r="H102" s="164">
        <f t="shared" si="15"/>
        <v>38481</v>
      </c>
      <c r="I102" s="1"/>
      <c r="J102" s="132">
        <f t="shared" si="16"/>
        <v>21.01</v>
      </c>
      <c r="K102" s="5"/>
      <c r="L102" s="3">
        <f>ROUND((F102*J102),0)</f>
        <v>18237</v>
      </c>
      <c r="M102" s="1"/>
      <c r="N102" s="4">
        <f t="shared" si="17"/>
        <v>1.1000000000000001</v>
      </c>
      <c r="O102" s="1"/>
      <c r="P102" s="3">
        <f t="shared" si="18"/>
        <v>134</v>
      </c>
      <c r="Q102" s="1"/>
      <c r="R102" s="3">
        <f t="shared" si="19"/>
        <v>18371</v>
      </c>
      <c r="S102" s="1"/>
      <c r="V102" s="132"/>
      <c r="Y102" s="387"/>
      <c r="AA102" s="164"/>
      <c r="AC102" s="41">
        <v>532</v>
      </c>
      <c r="AU102" s="45"/>
      <c r="AV102" s="45"/>
      <c r="AW102" s="46"/>
    </row>
    <row r="103" spans="1:49">
      <c r="A103" s="365">
        <v>61</v>
      </c>
      <c r="C103" s="48" t="s">
        <v>1074</v>
      </c>
      <c r="F103" s="388">
        <v>0</v>
      </c>
      <c r="G103" s="1"/>
      <c r="H103" s="164">
        <f t="shared" si="15"/>
        <v>0</v>
      </c>
      <c r="I103" s="1"/>
      <c r="J103" s="132">
        <f t="shared" si="16"/>
        <v>15.95</v>
      </c>
      <c r="K103" s="5"/>
      <c r="L103" s="3">
        <f>ROUND((F103*J103),0)</f>
        <v>0</v>
      </c>
      <c r="M103" s="1"/>
      <c r="N103" s="4">
        <f t="shared" si="17"/>
        <v>0</v>
      </c>
      <c r="O103" s="1"/>
      <c r="P103" s="3">
        <f t="shared" si="18"/>
        <v>0</v>
      </c>
      <c r="Q103" s="1"/>
      <c r="R103" s="3">
        <f t="shared" si="19"/>
        <v>0</v>
      </c>
      <c r="S103" s="1"/>
      <c r="V103" s="132"/>
      <c r="Y103" s="387"/>
      <c r="AA103" s="164"/>
      <c r="AC103" s="41">
        <v>487</v>
      </c>
      <c r="AU103" s="45"/>
      <c r="AV103" s="45"/>
      <c r="AW103" s="46"/>
    </row>
    <row r="104" spans="1:49">
      <c r="A104" s="365">
        <v>62</v>
      </c>
      <c r="C104" s="48" t="s">
        <v>1075</v>
      </c>
      <c r="F104" s="388">
        <v>252</v>
      </c>
      <c r="G104" s="1"/>
      <c r="H104" s="164">
        <f t="shared" si="15"/>
        <v>11172</v>
      </c>
      <c r="I104" s="1"/>
      <c r="J104" s="132">
        <f t="shared" si="16"/>
        <v>40.25</v>
      </c>
      <c r="K104" s="5"/>
      <c r="L104" s="3">
        <f t="shared" ref="L104:L110" si="20">ROUND((F104*J104),0)</f>
        <v>10143</v>
      </c>
      <c r="M104" s="1"/>
      <c r="N104" s="4">
        <f t="shared" si="17"/>
        <v>0.6</v>
      </c>
      <c r="O104" s="1"/>
      <c r="P104" s="3">
        <f t="shared" si="18"/>
        <v>39</v>
      </c>
      <c r="Q104" s="1"/>
      <c r="R104" s="3">
        <f t="shared" si="19"/>
        <v>10182</v>
      </c>
      <c r="S104" s="1"/>
      <c r="T104" s="132"/>
      <c r="W104" s="132"/>
      <c r="Y104" s="387"/>
      <c r="AA104" s="164"/>
      <c r="AC104" s="41">
        <v>532</v>
      </c>
      <c r="AU104" s="45"/>
      <c r="AV104" s="45"/>
      <c r="AW104" s="46"/>
    </row>
    <row r="105" spans="1:49">
      <c r="A105" s="365">
        <v>63</v>
      </c>
      <c r="C105" s="42" t="s">
        <v>762</v>
      </c>
      <c r="F105" s="388">
        <v>696</v>
      </c>
      <c r="G105" s="1"/>
      <c r="H105" s="164">
        <f t="shared" si="15"/>
        <v>30856</v>
      </c>
      <c r="I105" s="1"/>
      <c r="J105" s="132">
        <f t="shared" si="16"/>
        <v>24.38</v>
      </c>
      <c r="K105" s="5"/>
      <c r="L105" s="3">
        <f t="shared" si="20"/>
        <v>16968</v>
      </c>
      <c r="M105" s="1"/>
      <c r="N105" s="4">
        <f t="shared" si="17"/>
        <v>1</v>
      </c>
      <c r="O105" s="1"/>
      <c r="P105" s="3">
        <f t="shared" si="18"/>
        <v>108</v>
      </c>
      <c r="Q105" s="1"/>
      <c r="R105" s="3">
        <f t="shared" si="19"/>
        <v>17076</v>
      </c>
      <c r="S105" s="1"/>
      <c r="V105" s="132"/>
      <c r="Y105" s="387"/>
      <c r="AA105" s="68"/>
      <c r="AC105" s="41">
        <v>532</v>
      </c>
      <c r="AU105" s="45"/>
      <c r="AV105" s="45"/>
      <c r="AW105" s="46"/>
    </row>
    <row r="106" spans="1:49">
      <c r="A106" s="365">
        <v>64</v>
      </c>
      <c r="C106" s="42" t="s">
        <v>399</v>
      </c>
      <c r="F106" s="388">
        <v>622</v>
      </c>
      <c r="G106" s="1"/>
      <c r="H106" s="164">
        <f t="shared" si="15"/>
        <v>25243</v>
      </c>
      <c r="I106" s="1"/>
      <c r="J106" s="132">
        <f t="shared" si="16"/>
        <v>19.39</v>
      </c>
      <c r="K106" s="5"/>
      <c r="L106" s="3">
        <f t="shared" si="20"/>
        <v>12061</v>
      </c>
      <c r="M106" s="1"/>
      <c r="N106" s="4">
        <f t="shared" si="17"/>
        <v>0.7</v>
      </c>
      <c r="O106" s="1"/>
      <c r="P106" s="3">
        <f t="shared" si="18"/>
        <v>88</v>
      </c>
      <c r="Q106" s="1"/>
      <c r="R106" s="3">
        <f t="shared" si="19"/>
        <v>12149</v>
      </c>
      <c r="Y106" s="387"/>
      <c r="AA106" s="164"/>
      <c r="AC106" s="41">
        <v>487</v>
      </c>
      <c r="AU106" s="45"/>
      <c r="AV106" s="45"/>
      <c r="AW106" s="46"/>
    </row>
    <row r="107" spans="1:49">
      <c r="A107" s="365">
        <v>65</v>
      </c>
      <c r="C107" s="42" t="s">
        <v>400</v>
      </c>
      <c r="F107" s="388">
        <v>0</v>
      </c>
      <c r="G107" s="1"/>
      <c r="H107" s="164">
        <f t="shared" si="15"/>
        <v>0</v>
      </c>
      <c r="I107" s="1"/>
      <c r="J107" s="132">
        <f t="shared" si="16"/>
        <v>24.38</v>
      </c>
      <c r="K107" s="5"/>
      <c r="L107" s="3">
        <f t="shared" si="20"/>
        <v>0</v>
      </c>
      <c r="M107" s="1"/>
      <c r="N107" s="4">
        <f t="shared" si="17"/>
        <v>0</v>
      </c>
      <c r="O107" s="1"/>
      <c r="P107" s="3">
        <f t="shared" si="18"/>
        <v>0</v>
      </c>
      <c r="Q107" s="1"/>
      <c r="R107" s="3">
        <f t="shared" si="19"/>
        <v>0</v>
      </c>
      <c r="S107" s="1"/>
      <c r="V107" s="132"/>
      <c r="Y107" s="387"/>
      <c r="AA107" s="164"/>
      <c r="AC107" s="41">
        <v>532</v>
      </c>
      <c r="AU107" s="45"/>
      <c r="AV107" s="45"/>
      <c r="AW107" s="46"/>
    </row>
    <row r="108" spans="1:49">
      <c r="A108" s="365">
        <v>66</v>
      </c>
      <c r="C108" s="48" t="s">
        <v>393</v>
      </c>
      <c r="F108" s="164">
        <v>168</v>
      </c>
      <c r="G108" s="1"/>
      <c r="H108" s="164">
        <f t="shared" si="15"/>
        <v>14322</v>
      </c>
      <c r="I108" s="68"/>
      <c r="J108" s="132">
        <f t="shared" si="16"/>
        <v>22.08</v>
      </c>
      <c r="K108" s="342"/>
      <c r="L108" s="3">
        <f t="shared" si="20"/>
        <v>3709</v>
      </c>
      <c r="M108" s="3"/>
      <c r="N108" s="4">
        <f t="shared" si="17"/>
        <v>0.2</v>
      </c>
      <c r="O108" s="4"/>
      <c r="P108" s="3">
        <f t="shared" si="18"/>
        <v>50</v>
      </c>
      <c r="Q108" s="3"/>
      <c r="R108" s="3">
        <f t="shared" si="19"/>
        <v>3759</v>
      </c>
      <c r="S108" s="1"/>
      <c r="V108" s="132"/>
      <c r="Y108" s="387"/>
      <c r="AA108" s="164"/>
      <c r="AC108" s="41">
        <v>1023</v>
      </c>
      <c r="AU108" s="45"/>
      <c r="AV108" s="45"/>
      <c r="AW108" s="46"/>
    </row>
    <row r="109" spans="1:49">
      <c r="A109" s="365">
        <v>67</v>
      </c>
      <c r="C109" s="48" t="s">
        <v>394</v>
      </c>
      <c r="F109" s="164">
        <v>60</v>
      </c>
      <c r="G109" s="1"/>
      <c r="H109" s="164">
        <f t="shared" si="15"/>
        <v>9795</v>
      </c>
      <c r="I109" s="68"/>
      <c r="J109" s="132">
        <f t="shared" si="16"/>
        <v>29.82</v>
      </c>
      <c r="K109" s="342"/>
      <c r="L109" s="3">
        <f t="shared" si="20"/>
        <v>1789</v>
      </c>
      <c r="M109" s="3"/>
      <c r="N109" s="4">
        <f t="shared" si="17"/>
        <v>0.1</v>
      </c>
      <c r="O109" s="4"/>
      <c r="P109" s="3">
        <f t="shared" si="18"/>
        <v>34</v>
      </c>
      <c r="Q109" s="3"/>
      <c r="R109" s="3">
        <f t="shared" si="19"/>
        <v>1823</v>
      </c>
      <c r="S109" s="1"/>
      <c r="V109" s="132"/>
      <c r="Y109" s="387"/>
      <c r="AA109" s="1"/>
      <c r="AC109" s="41">
        <v>1959</v>
      </c>
    </row>
    <row r="110" spans="1:49">
      <c r="A110" s="365">
        <v>68</v>
      </c>
      <c r="C110" s="48" t="s">
        <v>395</v>
      </c>
      <c r="F110" s="164">
        <v>12</v>
      </c>
      <c r="G110" s="1"/>
      <c r="H110" s="164">
        <f t="shared" si="15"/>
        <v>1959</v>
      </c>
      <c r="I110" s="68"/>
      <c r="J110" s="132">
        <f t="shared" si="16"/>
        <v>43.19</v>
      </c>
      <c r="K110" s="342"/>
      <c r="L110" s="3">
        <f t="shared" si="20"/>
        <v>518</v>
      </c>
      <c r="M110" s="3"/>
      <c r="N110" s="70">
        <f t="shared" si="17"/>
        <v>0</v>
      </c>
      <c r="O110" s="4"/>
      <c r="P110" s="66">
        <f t="shared" si="18"/>
        <v>7</v>
      </c>
      <c r="Q110" s="3"/>
      <c r="R110" s="3">
        <f t="shared" si="19"/>
        <v>525</v>
      </c>
      <c r="S110" s="1"/>
      <c r="V110" s="132"/>
      <c r="Y110" s="387"/>
      <c r="AA110" s="164"/>
      <c r="AC110" s="41">
        <v>1959</v>
      </c>
    </row>
    <row r="111" spans="1:49">
      <c r="A111" s="365">
        <v>69</v>
      </c>
      <c r="B111" s="359"/>
      <c r="C111" s="310" t="s">
        <v>266</v>
      </c>
      <c r="F111" s="72">
        <f>SUM(F46:F110)</f>
        <v>9654</v>
      </c>
      <c r="G111" s="1"/>
      <c r="H111" s="72">
        <f>SUM(H46:H110)</f>
        <v>607503</v>
      </c>
      <c r="I111" s="3"/>
      <c r="J111" s="1"/>
      <c r="K111" s="1"/>
      <c r="L111" s="72">
        <f>SUM(L46:L110)</f>
        <v>184709</v>
      </c>
      <c r="M111" s="3"/>
      <c r="N111" s="74">
        <f t="shared" si="17"/>
        <v>11.4</v>
      </c>
      <c r="O111" s="6"/>
      <c r="P111" s="72">
        <f>ROUND(H111*CUR_FAC,0)</f>
        <v>2118</v>
      </c>
      <c r="Q111" s="3"/>
      <c r="R111" s="72">
        <f>SUM(R46:R110)</f>
        <v>186830</v>
      </c>
      <c r="Y111" s="387"/>
      <c r="AA111" s="164"/>
    </row>
    <row r="112" spans="1:49">
      <c r="A112" s="365">
        <v>70</v>
      </c>
      <c r="B112" s="359"/>
      <c r="Y112" s="387"/>
      <c r="AA112" s="164"/>
    </row>
    <row r="113" spans="1:46">
      <c r="A113" s="365">
        <v>71</v>
      </c>
      <c r="B113" s="359"/>
      <c r="C113" s="310" t="s">
        <v>1058</v>
      </c>
      <c r="F113" s="3"/>
      <c r="G113" s="1"/>
      <c r="H113" s="3"/>
      <c r="I113" s="3"/>
      <c r="J113" s="1"/>
      <c r="K113" s="1"/>
      <c r="L113" s="3"/>
      <c r="M113" s="3"/>
      <c r="N113" s="4"/>
      <c r="O113" s="6"/>
      <c r="P113" s="3"/>
      <c r="Q113" s="3"/>
      <c r="R113" s="3"/>
      <c r="S113" s="1"/>
      <c r="V113" s="132"/>
      <c r="Y113" s="387"/>
      <c r="AA113" s="164"/>
    </row>
    <row r="114" spans="1:46">
      <c r="A114" s="365">
        <v>72</v>
      </c>
      <c r="B114" s="359"/>
      <c r="C114" s="48" t="s">
        <v>1059</v>
      </c>
      <c r="F114" s="388">
        <v>204</v>
      </c>
      <c r="G114" s="1"/>
      <c r="H114" s="3"/>
      <c r="I114" s="3"/>
      <c r="J114" s="132">
        <f t="shared" ref="J114:J127" si="21">ROUND(AC268+(AC268*$AG$1),2)</f>
        <v>7.14</v>
      </c>
      <c r="K114" s="1"/>
      <c r="L114" s="3">
        <f>ROUND((F114*J114),0)</f>
        <v>1457</v>
      </c>
      <c r="M114" s="1"/>
      <c r="N114" s="4">
        <f t="shared" ref="N114:N128" si="22">ROUND((L114/L$139)*100,1)</f>
        <v>0.1</v>
      </c>
      <c r="O114" s="1"/>
      <c r="P114" s="3"/>
      <c r="Q114" s="1"/>
      <c r="R114" s="3">
        <f>L114+P114</f>
        <v>1457</v>
      </c>
      <c r="S114" s="1"/>
      <c r="V114" s="132"/>
      <c r="Y114" s="387"/>
      <c r="AA114" s="164"/>
    </row>
    <row r="115" spans="1:46">
      <c r="A115" s="365">
        <v>73</v>
      </c>
      <c r="B115" s="359"/>
      <c r="C115" s="48" t="s">
        <v>1060</v>
      </c>
      <c r="F115" s="388">
        <v>212</v>
      </c>
      <c r="G115" s="1"/>
      <c r="H115" s="3"/>
      <c r="I115" s="3"/>
      <c r="J115" s="132">
        <f t="shared" si="21"/>
        <v>7.05</v>
      </c>
      <c r="K115" s="1"/>
      <c r="L115" s="3">
        <f t="shared" ref="L115:L127" si="23">ROUND((F115*J115),0)</f>
        <v>1495</v>
      </c>
      <c r="M115" s="1"/>
      <c r="N115" s="4">
        <f t="shared" si="22"/>
        <v>0.1</v>
      </c>
      <c r="O115" s="1"/>
      <c r="P115" s="3"/>
      <c r="Q115" s="1"/>
      <c r="R115" s="3">
        <f t="shared" ref="R115:R127" si="24">L115+P115</f>
        <v>1495</v>
      </c>
      <c r="S115" s="1"/>
      <c r="V115" s="132"/>
      <c r="Y115" s="387"/>
      <c r="AA115" s="164"/>
    </row>
    <row r="116" spans="1:46">
      <c r="A116" s="365">
        <v>74</v>
      </c>
      <c r="B116" s="359"/>
      <c r="C116" s="48" t="s">
        <v>1061</v>
      </c>
      <c r="F116" s="388">
        <v>1525</v>
      </c>
      <c r="G116" s="1"/>
      <c r="H116" s="3"/>
      <c r="I116" s="3"/>
      <c r="J116" s="132">
        <f t="shared" si="21"/>
        <v>7.14</v>
      </c>
      <c r="K116" s="1"/>
      <c r="L116" s="3">
        <f t="shared" si="23"/>
        <v>10889</v>
      </c>
      <c r="M116" s="1"/>
      <c r="N116" s="4">
        <f t="shared" si="22"/>
        <v>0.7</v>
      </c>
      <c r="O116" s="1"/>
      <c r="P116" s="3"/>
      <c r="Q116" s="1"/>
      <c r="R116" s="3">
        <f t="shared" si="24"/>
        <v>10889</v>
      </c>
      <c r="S116" s="1"/>
      <c r="V116" s="132"/>
      <c r="Y116" s="387"/>
      <c r="AA116" s="164"/>
    </row>
    <row r="117" spans="1:46">
      <c r="A117" s="365">
        <v>75</v>
      </c>
      <c r="B117" s="359"/>
      <c r="C117" s="48" t="s">
        <v>1062</v>
      </c>
      <c r="F117" s="388">
        <v>1611</v>
      </c>
      <c r="G117" s="1"/>
      <c r="H117" s="3"/>
      <c r="I117" s="3"/>
      <c r="J117" s="132">
        <f t="shared" si="21"/>
        <v>8.5500000000000007</v>
      </c>
      <c r="K117" s="1"/>
      <c r="L117" s="3">
        <f t="shared" si="23"/>
        <v>13774</v>
      </c>
      <c r="M117" s="1"/>
      <c r="N117" s="4">
        <f t="shared" si="22"/>
        <v>0.9</v>
      </c>
      <c r="O117" s="1"/>
      <c r="P117" s="3"/>
      <c r="Q117" s="1"/>
      <c r="R117" s="3">
        <f t="shared" si="24"/>
        <v>13774</v>
      </c>
      <c r="S117" s="1"/>
      <c r="V117" s="132"/>
      <c r="Y117" s="387"/>
      <c r="AA117" s="164"/>
    </row>
    <row r="118" spans="1:46">
      <c r="A118" s="365">
        <v>76</v>
      </c>
      <c r="C118" s="48" t="s">
        <v>1063</v>
      </c>
      <c r="F118" s="388">
        <v>780</v>
      </c>
      <c r="G118" s="1"/>
      <c r="H118" s="3"/>
      <c r="I118" s="3"/>
      <c r="J118" s="132">
        <f t="shared" si="21"/>
        <v>19.399999999999999</v>
      </c>
      <c r="K118" s="1"/>
      <c r="L118" s="3">
        <f t="shared" si="23"/>
        <v>15132</v>
      </c>
      <c r="M118" s="1"/>
      <c r="N118" s="4">
        <f t="shared" si="22"/>
        <v>0.9</v>
      </c>
      <c r="O118" s="1"/>
      <c r="P118" s="3"/>
      <c r="Q118" s="1"/>
      <c r="R118" s="3">
        <f t="shared" si="24"/>
        <v>15132</v>
      </c>
      <c r="S118" s="1"/>
      <c r="V118" s="132"/>
      <c r="Y118" s="387"/>
      <c r="AA118" s="164"/>
    </row>
    <row r="119" spans="1:46">
      <c r="A119" s="365">
        <v>77</v>
      </c>
      <c r="C119" s="48" t="s">
        <v>1064</v>
      </c>
      <c r="F119" s="388">
        <v>708</v>
      </c>
      <c r="G119" s="1"/>
      <c r="H119" s="3"/>
      <c r="I119" s="3"/>
      <c r="J119" s="132">
        <f t="shared" si="21"/>
        <v>11.24</v>
      </c>
      <c r="K119" s="1"/>
      <c r="L119" s="3">
        <f t="shared" si="23"/>
        <v>7958</v>
      </c>
      <c r="M119" s="1"/>
      <c r="N119" s="4">
        <f t="shared" si="22"/>
        <v>0.5</v>
      </c>
      <c r="O119" s="1"/>
      <c r="P119" s="3"/>
      <c r="Q119" s="1"/>
      <c r="R119" s="3">
        <f t="shared" si="24"/>
        <v>7958</v>
      </c>
      <c r="S119" s="1"/>
      <c r="V119" s="132"/>
      <c r="Y119" s="387"/>
      <c r="AA119" s="164"/>
    </row>
    <row r="120" spans="1:46">
      <c r="A120" s="365">
        <v>78</v>
      </c>
      <c r="C120" s="48" t="s">
        <v>1065</v>
      </c>
      <c r="F120" s="388">
        <v>168</v>
      </c>
      <c r="G120" s="1"/>
      <c r="H120" s="3"/>
      <c r="I120" s="3"/>
      <c r="J120" s="132">
        <f t="shared" si="21"/>
        <v>11.37</v>
      </c>
      <c r="K120" s="1"/>
      <c r="L120" s="3">
        <f t="shared" si="23"/>
        <v>1910</v>
      </c>
      <c r="M120" s="1"/>
      <c r="N120" s="4">
        <f t="shared" si="22"/>
        <v>0.1</v>
      </c>
      <c r="O120" s="1"/>
      <c r="P120" s="3"/>
      <c r="Q120" s="1"/>
      <c r="R120" s="3">
        <f t="shared" si="24"/>
        <v>1910</v>
      </c>
      <c r="S120" s="1"/>
      <c r="U120" s="49"/>
      <c r="V120" s="132"/>
      <c r="W120" s="49"/>
      <c r="Y120" s="387"/>
      <c r="AA120" s="164"/>
    </row>
    <row r="121" spans="1:46">
      <c r="A121" s="365">
        <v>79</v>
      </c>
      <c r="C121" s="48" t="s">
        <v>1066</v>
      </c>
      <c r="F121" s="388">
        <v>84</v>
      </c>
      <c r="G121" s="1"/>
      <c r="H121" s="3"/>
      <c r="I121" s="3"/>
      <c r="J121" s="132">
        <f t="shared" si="21"/>
        <v>22.46</v>
      </c>
      <c r="K121" s="1"/>
      <c r="L121" s="3">
        <f t="shared" si="23"/>
        <v>1887</v>
      </c>
      <c r="M121" s="1"/>
      <c r="N121" s="4">
        <f t="shared" si="22"/>
        <v>0.1</v>
      </c>
      <c r="O121" s="1"/>
      <c r="P121" s="3"/>
      <c r="Q121" s="1"/>
      <c r="R121" s="3">
        <f t="shared" si="24"/>
        <v>1887</v>
      </c>
      <c r="S121" s="1"/>
      <c r="U121" s="49"/>
      <c r="V121" s="132"/>
      <c r="W121" s="49"/>
      <c r="Y121" s="387"/>
      <c r="AA121" s="164"/>
    </row>
    <row r="122" spans="1:46">
      <c r="A122" s="365">
        <v>80</v>
      </c>
      <c r="B122" s="361"/>
      <c r="C122" s="48" t="s">
        <v>1067</v>
      </c>
      <c r="F122" s="388">
        <v>6003</v>
      </c>
      <c r="G122" s="1"/>
      <c r="H122" s="3"/>
      <c r="I122" s="3"/>
      <c r="J122" s="132">
        <f t="shared" si="21"/>
        <v>7.14</v>
      </c>
      <c r="K122" s="1"/>
      <c r="L122" s="3">
        <f t="shared" si="23"/>
        <v>42861</v>
      </c>
      <c r="M122" s="1"/>
      <c r="N122" s="4">
        <f t="shared" si="22"/>
        <v>2.6</v>
      </c>
      <c r="O122" s="1"/>
      <c r="P122" s="3"/>
      <c r="Q122" s="1"/>
      <c r="R122" s="3">
        <f t="shared" si="24"/>
        <v>42861</v>
      </c>
      <c r="S122" s="1"/>
      <c r="U122" s="49"/>
      <c r="V122" s="132"/>
      <c r="W122" s="49"/>
      <c r="Y122" s="387"/>
      <c r="AA122" s="164"/>
    </row>
    <row r="123" spans="1:46">
      <c r="A123" s="365">
        <v>81</v>
      </c>
      <c r="B123" s="361"/>
      <c r="C123" s="48" t="s">
        <v>1068</v>
      </c>
      <c r="F123" s="388">
        <v>216</v>
      </c>
      <c r="G123" s="1"/>
      <c r="H123" s="3"/>
      <c r="I123" s="3"/>
      <c r="J123" s="132">
        <f t="shared" si="21"/>
        <v>20.86</v>
      </c>
      <c r="K123" s="1"/>
      <c r="L123" s="3">
        <f t="shared" si="23"/>
        <v>4506</v>
      </c>
      <c r="M123" s="1"/>
      <c r="N123" s="4">
        <f t="shared" si="22"/>
        <v>0.3</v>
      </c>
      <c r="O123" s="1"/>
      <c r="P123" s="3"/>
      <c r="Q123" s="1"/>
      <c r="R123" s="3">
        <f t="shared" si="24"/>
        <v>4506</v>
      </c>
      <c r="S123" s="1"/>
      <c r="U123" s="49"/>
      <c r="V123" s="132"/>
      <c r="W123" s="49"/>
      <c r="Y123" s="387"/>
      <c r="AA123" s="164"/>
    </row>
    <row r="124" spans="1:46">
      <c r="A124" s="365">
        <v>82</v>
      </c>
      <c r="C124" s="48" t="s">
        <v>1069</v>
      </c>
      <c r="F124" s="388">
        <v>204</v>
      </c>
      <c r="G124" s="1"/>
      <c r="H124" s="3"/>
      <c r="I124" s="3"/>
      <c r="J124" s="132">
        <f t="shared" si="21"/>
        <v>13.57</v>
      </c>
      <c r="K124" s="1"/>
      <c r="L124" s="3">
        <f t="shared" si="23"/>
        <v>2768</v>
      </c>
      <c r="M124" s="1"/>
      <c r="N124" s="4">
        <f t="shared" si="22"/>
        <v>0.2</v>
      </c>
      <c r="O124" s="1"/>
      <c r="P124" s="3"/>
      <c r="Q124" s="1"/>
      <c r="R124" s="3">
        <f t="shared" si="24"/>
        <v>2768</v>
      </c>
      <c r="S124" s="1"/>
      <c r="V124" s="132"/>
      <c r="Y124" s="387"/>
      <c r="AA124" s="164"/>
    </row>
    <row r="125" spans="1:46">
      <c r="A125" s="365">
        <v>83</v>
      </c>
      <c r="C125" s="48" t="s">
        <v>1070</v>
      </c>
      <c r="F125" s="388">
        <v>27</v>
      </c>
      <c r="G125" s="1"/>
      <c r="H125" s="3"/>
      <c r="I125" s="3"/>
      <c r="J125" s="132">
        <f t="shared" si="21"/>
        <v>13.95</v>
      </c>
      <c r="K125" s="1"/>
      <c r="L125" s="3">
        <f t="shared" si="23"/>
        <v>377</v>
      </c>
      <c r="M125" s="1"/>
      <c r="N125" s="4">
        <f t="shared" si="22"/>
        <v>0</v>
      </c>
      <c r="O125" s="1"/>
      <c r="P125" s="3"/>
      <c r="Q125" s="1"/>
      <c r="R125" s="3">
        <f t="shared" si="24"/>
        <v>377</v>
      </c>
      <c r="S125" s="1"/>
      <c r="V125" s="132"/>
      <c r="Y125" s="387"/>
      <c r="AA125" s="164"/>
    </row>
    <row r="126" spans="1:46">
      <c r="A126" s="365">
        <v>84</v>
      </c>
      <c r="C126" s="48" t="s">
        <v>1071</v>
      </c>
      <c r="F126" s="388">
        <v>0</v>
      </c>
      <c r="G126" s="1"/>
      <c r="H126" s="3"/>
      <c r="I126" s="3"/>
      <c r="J126" s="132">
        <f t="shared" si="21"/>
        <v>18.34</v>
      </c>
      <c r="K126" s="1"/>
      <c r="L126" s="3">
        <f t="shared" si="23"/>
        <v>0</v>
      </c>
      <c r="M126" s="1"/>
      <c r="N126" s="4">
        <f t="shared" si="22"/>
        <v>0</v>
      </c>
      <c r="O126" s="1"/>
      <c r="P126" s="3"/>
      <c r="Q126" s="1"/>
      <c r="R126" s="3">
        <f t="shared" si="24"/>
        <v>0</v>
      </c>
      <c r="S126" s="1"/>
      <c r="V126" s="132"/>
      <c r="Y126" s="387"/>
      <c r="AA126" s="164"/>
    </row>
    <row r="127" spans="1:46">
      <c r="A127" s="365">
        <v>85</v>
      </c>
      <c r="C127" s="48" t="s">
        <v>1072</v>
      </c>
      <c r="F127" s="388">
        <v>0</v>
      </c>
      <c r="G127" s="1"/>
      <c r="H127" s="3"/>
      <c r="I127" s="3"/>
      <c r="J127" s="132">
        <f t="shared" si="21"/>
        <v>27.07</v>
      </c>
      <c r="K127" s="1"/>
      <c r="L127" s="3">
        <f t="shared" si="23"/>
        <v>0</v>
      </c>
      <c r="M127" s="1"/>
      <c r="N127" s="4">
        <f t="shared" si="22"/>
        <v>0</v>
      </c>
      <c r="O127" s="1"/>
      <c r="P127" s="3"/>
      <c r="Q127" s="1"/>
      <c r="R127" s="3">
        <f t="shared" si="24"/>
        <v>0</v>
      </c>
      <c r="U127" s="40"/>
      <c r="V127" s="369"/>
      <c r="W127" s="40"/>
      <c r="X127" s="40"/>
      <c r="Y127" s="387"/>
      <c r="Z127" s="40"/>
      <c r="AA127" s="1"/>
      <c r="AB127" s="40"/>
      <c r="AC127" s="40"/>
      <c r="AD127" s="40"/>
      <c r="AE127" s="40"/>
      <c r="AF127" s="40"/>
      <c r="AG127" s="100"/>
      <c r="AH127" s="40"/>
      <c r="AI127" s="40"/>
      <c r="AJ127" s="40"/>
      <c r="AK127" s="100"/>
      <c r="AL127" s="40"/>
      <c r="AM127" s="40"/>
      <c r="AT127" s="45"/>
    </row>
    <row r="128" spans="1:46">
      <c r="A128" s="365">
        <v>86</v>
      </c>
      <c r="C128" s="310" t="s">
        <v>1057</v>
      </c>
      <c r="F128" s="72">
        <f>SUM(F113:F127)</f>
        <v>11742</v>
      </c>
      <c r="G128" s="1"/>
      <c r="H128" s="72"/>
      <c r="I128" s="3"/>
      <c r="J128" s="1"/>
      <c r="K128" s="1"/>
      <c r="L128" s="72">
        <f>SUM(L113:L127)</f>
        <v>105014</v>
      </c>
      <c r="M128" s="3"/>
      <c r="N128" s="74">
        <f t="shared" si="22"/>
        <v>6.5</v>
      </c>
      <c r="O128" s="6"/>
      <c r="P128" s="72"/>
      <c r="Q128" s="3"/>
      <c r="R128" s="72">
        <f>SUM(R113:R127)</f>
        <v>105014</v>
      </c>
      <c r="S128" s="1"/>
      <c r="U128" s="40"/>
      <c r="V128" s="132"/>
      <c r="W128" s="40"/>
      <c r="X128" s="40"/>
      <c r="Y128" s="387"/>
      <c r="Z128" s="40"/>
      <c r="AA128" s="164"/>
      <c r="AB128" s="40"/>
      <c r="AD128" s="40"/>
      <c r="AE128" s="40"/>
      <c r="AF128" s="40"/>
      <c r="AG128" s="100"/>
      <c r="AH128" s="40"/>
      <c r="AI128" s="40"/>
      <c r="AJ128" s="40"/>
      <c r="AK128" s="100"/>
      <c r="AL128" s="40"/>
      <c r="AM128" s="40"/>
      <c r="AT128" s="164"/>
    </row>
    <row r="129" spans="1:46">
      <c r="A129" s="365">
        <v>87</v>
      </c>
      <c r="S129" s="1"/>
      <c r="U129" s="40"/>
      <c r="V129" s="132"/>
      <c r="W129" s="40"/>
      <c r="X129" s="40"/>
      <c r="Y129" s="387"/>
      <c r="Z129" s="40"/>
      <c r="AA129" s="164"/>
      <c r="AB129" s="40"/>
      <c r="AD129" s="40"/>
      <c r="AE129" s="40"/>
      <c r="AF129" s="40"/>
      <c r="AG129" s="100"/>
      <c r="AH129" s="40"/>
      <c r="AI129" s="40"/>
      <c r="AJ129" s="40"/>
      <c r="AK129" s="100"/>
      <c r="AL129" s="40"/>
      <c r="AM129" s="40"/>
      <c r="AT129" s="164"/>
    </row>
    <row r="130" spans="1:46">
      <c r="A130" s="365">
        <v>88</v>
      </c>
      <c r="C130" s="389" t="s">
        <v>1133</v>
      </c>
      <c r="F130" s="3"/>
      <c r="G130" s="1"/>
      <c r="H130" s="3"/>
      <c r="I130" s="3"/>
      <c r="J130" s="1"/>
      <c r="K130" s="1"/>
      <c r="L130" s="3"/>
      <c r="M130" s="3"/>
      <c r="N130" s="4"/>
      <c r="O130" s="6"/>
      <c r="P130" s="45"/>
      <c r="Q130" s="3"/>
      <c r="R130" s="3"/>
      <c r="S130" s="1"/>
      <c r="U130" s="40"/>
      <c r="V130" s="132"/>
      <c r="W130" s="40"/>
      <c r="X130" s="40"/>
      <c r="Y130" s="387"/>
      <c r="Z130" s="40"/>
      <c r="AA130" s="164"/>
      <c r="AB130" s="40"/>
      <c r="AD130" s="40"/>
      <c r="AE130" s="40"/>
      <c r="AF130" s="40"/>
      <c r="AG130" s="100"/>
      <c r="AH130" s="40"/>
      <c r="AI130" s="40"/>
      <c r="AJ130" s="40"/>
      <c r="AK130" s="100"/>
      <c r="AL130" s="40"/>
      <c r="AM130" s="40"/>
      <c r="AT130" s="164"/>
    </row>
    <row r="131" spans="1:46">
      <c r="A131" s="365">
        <v>89</v>
      </c>
      <c r="C131" s="128" t="str">
        <f>ESM_Name</f>
        <v>ENVIRONMENTAL SURCHARGE MECHANISM RIDER (ESM)</v>
      </c>
      <c r="F131" s="3"/>
      <c r="G131" s="1"/>
      <c r="H131" s="3"/>
      <c r="I131" s="3"/>
      <c r="J131" s="387">
        <f>PRO_ESM_NONRES</f>
        <v>5.4606095773317587E-3</v>
      </c>
      <c r="K131" s="1"/>
      <c r="L131" s="3">
        <f>ROUND((R42-(PRO_BASE_FUEL*H42)-P42+R111-(PRO_BASE_FUEL*H111)-P111+R132+R128)*J131,0)</f>
        <v>7404</v>
      </c>
      <c r="M131" s="3"/>
      <c r="N131" s="4">
        <f>ROUND((L131/L$139)*100,1)</f>
        <v>0.5</v>
      </c>
      <c r="O131" s="6"/>
      <c r="P131" s="45"/>
      <c r="Q131" s="3"/>
      <c r="R131" s="3">
        <f>L131+P131</f>
        <v>7404</v>
      </c>
      <c r="S131" s="1"/>
      <c r="V131" s="132"/>
      <c r="Y131" s="387"/>
      <c r="AA131" s="164"/>
      <c r="AM131" s="42"/>
      <c r="AR131" s="42"/>
      <c r="AT131" s="45"/>
    </row>
    <row r="132" spans="1:46">
      <c r="A132" s="365">
        <v>90</v>
      </c>
      <c r="C132" s="128" t="str">
        <f>PSM_Name</f>
        <v>PROFIT SHARING MECHANISM (PSM)</v>
      </c>
      <c r="F132" s="3"/>
      <c r="G132" s="1"/>
      <c r="H132" s="3"/>
      <c r="I132" s="3"/>
      <c r="J132" s="390">
        <f>PRO_PSM</f>
        <v>2.4750000000000002E-3</v>
      </c>
      <c r="K132" s="1"/>
      <c r="L132" s="66">
        <f>ROUND(($H$111+$H$42)*J132,0)</f>
        <v>16973</v>
      </c>
      <c r="M132" s="3"/>
      <c r="N132" s="104">
        <f>ROUND((L132/L$139)*100,1)</f>
        <v>1</v>
      </c>
      <c r="O132" s="6"/>
      <c r="P132" s="343"/>
      <c r="Q132" s="3"/>
      <c r="R132" s="66">
        <f>L132+P132</f>
        <v>16973</v>
      </c>
      <c r="S132" s="1"/>
      <c r="V132" s="132"/>
      <c r="Y132" s="387"/>
      <c r="AA132" s="164"/>
      <c r="AM132" s="42"/>
      <c r="AR132" s="42"/>
      <c r="AT132" s="45"/>
    </row>
    <row r="133" spans="1:46">
      <c r="A133" s="365">
        <v>91</v>
      </c>
      <c r="C133" s="133" t="s">
        <v>463</v>
      </c>
      <c r="F133" s="3"/>
      <c r="G133" s="1"/>
      <c r="H133" s="3"/>
      <c r="I133" s="3"/>
      <c r="J133" s="1"/>
      <c r="K133" s="1"/>
      <c r="L133" s="72">
        <f>SUM(L131:L132)</f>
        <v>24377</v>
      </c>
      <c r="M133" s="3"/>
      <c r="N133" s="105">
        <f>ROUND((L133/L$139)*100,1)</f>
        <v>1.5</v>
      </c>
      <c r="O133" s="6"/>
      <c r="P133" s="279"/>
      <c r="Q133" s="3"/>
      <c r="R133" s="72">
        <f>SUM(R131:R132)</f>
        <v>24377</v>
      </c>
      <c r="S133" s="1"/>
      <c r="V133" s="132"/>
      <c r="Y133" s="387"/>
      <c r="AA133" s="164"/>
      <c r="AM133" s="42"/>
      <c r="AR133" s="42"/>
      <c r="AT133" s="45"/>
    </row>
    <row r="134" spans="1:46">
      <c r="A134" s="365">
        <v>92</v>
      </c>
      <c r="S134" s="1"/>
      <c r="V134" s="132"/>
      <c r="Y134" s="387"/>
      <c r="AA134" s="164"/>
      <c r="AM134" s="42"/>
      <c r="AR134" s="42"/>
      <c r="AT134" s="45"/>
    </row>
    <row r="135" spans="1:46">
      <c r="A135" s="365">
        <v>93</v>
      </c>
      <c r="C135" s="133" t="s">
        <v>303</v>
      </c>
      <c r="F135" s="3"/>
      <c r="G135" s="1"/>
      <c r="H135" s="45"/>
      <c r="I135" s="3"/>
      <c r="J135" s="1"/>
      <c r="K135" s="1"/>
      <c r="L135" s="1"/>
      <c r="M135" s="1"/>
      <c r="N135" s="4"/>
      <c r="O135" s="1"/>
      <c r="P135" s="3"/>
      <c r="Q135" s="3"/>
      <c r="R135" s="4"/>
      <c r="S135" s="1"/>
      <c r="V135" s="132"/>
      <c r="Y135" s="387"/>
      <c r="AA135" s="164"/>
      <c r="AM135" s="42"/>
      <c r="AR135" s="42"/>
      <c r="AT135" s="45"/>
    </row>
    <row r="136" spans="1:46">
      <c r="A136" s="365">
        <v>94</v>
      </c>
      <c r="C136" s="42" t="s">
        <v>1122</v>
      </c>
      <c r="F136" s="164">
        <f>ROUND((F42/88045)*4932,0)</f>
        <v>4589</v>
      </c>
      <c r="G136" s="1"/>
      <c r="H136" s="3"/>
      <c r="I136" s="68"/>
      <c r="J136" s="132">
        <f>ROUND(AC290+(AC290*$AG$1),2)</f>
        <v>0.87</v>
      </c>
      <c r="K136" s="342"/>
      <c r="L136" s="3">
        <f>ROUND((F136*J136),0)</f>
        <v>3992</v>
      </c>
      <c r="M136" s="3"/>
      <c r="N136" s="4">
        <f>ROUND((L136/L$139)*100,1)</f>
        <v>0.2</v>
      </c>
      <c r="O136" s="4"/>
      <c r="P136" s="3"/>
      <c r="Q136" s="3"/>
      <c r="R136" s="3">
        <f>L136+P136</f>
        <v>3992</v>
      </c>
      <c r="S136" s="1"/>
      <c r="V136" s="132"/>
      <c r="Y136" s="387"/>
      <c r="AA136" s="164"/>
      <c r="AM136" s="42"/>
      <c r="AR136" s="42"/>
      <c r="AT136" s="45"/>
    </row>
    <row r="137" spans="1:46">
      <c r="A137" s="365">
        <v>95</v>
      </c>
      <c r="C137" s="42" t="s">
        <v>1123</v>
      </c>
      <c r="F137" s="318">
        <f>ROUND(20364*(F111/12995),0)</f>
        <v>15128</v>
      </c>
      <c r="G137" s="1"/>
      <c r="H137" s="68"/>
      <c r="I137" s="68"/>
      <c r="J137" s="132">
        <f>ROUND(AC291+(AC291*$AG$1),2)</f>
        <v>1.26</v>
      </c>
      <c r="K137" s="342"/>
      <c r="L137" s="3">
        <f>ROUND((F137*J137),0)</f>
        <v>19061</v>
      </c>
      <c r="M137" s="3"/>
      <c r="N137" s="70">
        <f>ROUND((L137/L$139)*100,1)</f>
        <v>1.2</v>
      </c>
      <c r="O137" s="4"/>
      <c r="P137" s="3"/>
      <c r="Q137" s="3"/>
      <c r="R137" s="66">
        <f>L137+P137</f>
        <v>19061</v>
      </c>
      <c r="S137" s="1"/>
      <c r="V137" s="132"/>
      <c r="Y137" s="387"/>
      <c r="AA137" s="164"/>
      <c r="AM137" s="42"/>
      <c r="AR137" s="42"/>
      <c r="AT137" s="45"/>
    </row>
    <row r="138" spans="1:46">
      <c r="A138" s="365">
        <v>96</v>
      </c>
      <c r="C138" s="133" t="s">
        <v>304</v>
      </c>
      <c r="F138" s="71">
        <f>SUM(F136:F137)</f>
        <v>19717</v>
      </c>
      <c r="G138" s="1"/>
      <c r="H138" s="68"/>
      <c r="I138" s="68"/>
      <c r="J138" s="342"/>
      <c r="K138" s="342"/>
      <c r="L138" s="71">
        <f>SUM(L136:L137)</f>
        <v>23053</v>
      </c>
      <c r="M138" s="342"/>
      <c r="N138" s="74">
        <f>ROUND((L138/L$139)*100,1)</f>
        <v>1.4</v>
      </c>
      <c r="O138" s="342"/>
      <c r="P138" s="72">
        <v>0</v>
      </c>
      <c r="Q138" s="3"/>
      <c r="R138" s="66">
        <f>SUM(R136:R137)</f>
        <v>23053</v>
      </c>
      <c r="S138" s="1"/>
      <c r="V138" s="132"/>
      <c r="Y138" s="387"/>
      <c r="AA138" s="164"/>
      <c r="AM138" s="42"/>
      <c r="AR138" s="42"/>
      <c r="AT138" s="45"/>
    </row>
    <row r="139" spans="1:46" ht="16.5" thickBot="1">
      <c r="A139" s="365">
        <v>97</v>
      </c>
      <c r="C139" s="133" t="s">
        <v>475</v>
      </c>
      <c r="F139" s="83">
        <f>F42+F111+F128</f>
        <v>103310</v>
      </c>
      <c r="G139" s="1"/>
      <c r="H139" s="83">
        <f>H42+H111</f>
        <v>6857780</v>
      </c>
      <c r="I139" s="3"/>
      <c r="J139" s="1"/>
      <c r="K139" s="1"/>
      <c r="L139" s="83">
        <f>L42+L111+L133+L138+L128</f>
        <v>1617944</v>
      </c>
      <c r="M139" s="3"/>
      <c r="N139" s="370">
        <v>100</v>
      </c>
      <c r="O139" s="4"/>
      <c r="P139" s="67">
        <f>ROUND(H139*CUR_FAC,0)</f>
        <v>23915</v>
      </c>
      <c r="Q139" s="3"/>
      <c r="R139" s="83">
        <f>R42+R111+R133+R138+R128</f>
        <v>1641861</v>
      </c>
      <c r="S139" s="1"/>
      <c r="V139" s="132"/>
      <c r="Y139" s="387"/>
      <c r="AA139" s="164"/>
      <c r="AM139" s="42"/>
      <c r="AR139" s="42"/>
      <c r="AT139" s="45"/>
    </row>
    <row r="140" spans="1:46" ht="16.5" thickTop="1">
      <c r="C140" s="42"/>
      <c r="F140" s="388"/>
      <c r="G140" s="1"/>
      <c r="H140" s="164"/>
      <c r="I140" s="68"/>
      <c r="J140" s="132"/>
      <c r="K140" s="342"/>
      <c r="L140" s="3"/>
      <c r="M140" s="3"/>
      <c r="N140" s="4"/>
      <c r="O140" s="4"/>
      <c r="P140" s="3"/>
      <c r="Q140" s="3"/>
      <c r="R140" s="3"/>
      <c r="S140" s="1"/>
      <c r="V140" s="132"/>
      <c r="Y140" s="56"/>
      <c r="AM140" s="42"/>
      <c r="AR140" s="42"/>
      <c r="AT140" s="45"/>
    </row>
    <row r="141" spans="1:46">
      <c r="A141" s="140" t="s">
        <v>76</v>
      </c>
      <c r="B141" s="362"/>
      <c r="C141" s="362"/>
      <c r="D141" s="362"/>
      <c r="E141" s="362"/>
      <c r="F141" s="362"/>
      <c r="G141" s="362"/>
      <c r="H141" s="362"/>
      <c r="I141" s="362"/>
      <c r="J141" s="141"/>
      <c r="K141" s="362"/>
      <c r="L141" s="363"/>
      <c r="M141" s="362"/>
      <c r="N141" s="362"/>
      <c r="O141" s="362"/>
      <c r="P141" s="141"/>
      <c r="Q141" s="130"/>
      <c r="R141" s="130"/>
      <c r="V141" s="42"/>
      <c r="AA141" s="45"/>
      <c r="AC141" s="45"/>
      <c r="AD141" s="45"/>
      <c r="AE141" s="47"/>
      <c r="AF141" s="47"/>
      <c r="AH141" s="45"/>
      <c r="AI141" s="46"/>
      <c r="AJ141" s="46"/>
      <c r="AL141" s="45"/>
      <c r="AM141" s="51"/>
      <c r="AN141" s="51"/>
      <c r="AO141" s="45"/>
      <c r="AP141" s="45"/>
      <c r="AR141" s="45"/>
      <c r="AS141" s="46"/>
    </row>
    <row r="142" spans="1:46">
      <c r="A142" s="140" t="str">
        <f>"(1A) REFLECTS FUEL COST RECOVERY INCLUDED IN BASE RATES OF "&amp;TEXT(CUR_BASE_FUEL,"$0.000000;($0.000000)")&amp;"  PER KWH."</f>
        <v>(1A) REFLECTS FUEL COST RECOVERY INCLUDED IN BASE RATES OF $0.033780  PER KWH.</v>
      </c>
      <c r="B142" s="362"/>
      <c r="C142" s="362"/>
      <c r="D142" s="362"/>
      <c r="E142" s="362"/>
      <c r="F142" s="364"/>
      <c r="G142" s="362"/>
      <c r="H142" s="362"/>
      <c r="I142" s="362"/>
      <c r="J142" s="141"/>
      <c r="K142" s="362"/>
      <c r="L142" s="363"/>
      <c r="M142" s="362"/>
      <c r="N142" s="362"/>
      <c r="O142" s="362"/>
      <c r="P142" s="141"/>
      <c r="Q142" s="130"/>
      <c r="R142" s="130"/>
      <c r="V142" s="42"/>
      <c r="AA142" s="45"/>
      <c r="AC142" s="45"/>
      <c r="AD142" s="45"/>
      <c r="AE142" s="47"/>
      <c r="AF142" s="47"/>
      <c r="AH142" s="45"/>
      <c r="AI142" s="46"/>
      <c r="AJ142" s="46"/>
      <c r="AL142" s="45"/>
      <c r="AM142" s="51"/>
      <c r="AN142" s="51"/>
      <c r="AO142" s="45"/>
      <c r="AP142" s="45"/>
      <c r="AR142" s="45"/>
      <c r="AS142" s="46"/>
    </row>
    <row r="143" spans="1:46">
      <c r="A143" s="140" t="str">
        <f>"(2) REFLECTS FUEL COMPONENT OF "&amp;TEXT(CUR_FAC,"$0.000000;($0.000000)")&amp;"  PER KWH."</f>
        <v>(2) REFLECTS FUEL COMPONENT OF $0.003487  PER KWH.</v>
      </c>
      <c r="B143" s="362"/>
      <c r="C143" s="362"/>
      <c r="D143" s="362"/>
      <c r="E143" s="362"/>
      <c r="F143" s="364"/>
      <c r="G143" s="362"/>
      <c r="H143" s="362"/>
      <c r="I143" s="362"/>
      <c r="J143" s="141"/>
      <c r="K143" s="362"/>
      <c r="L143" s="363"/>
      <c r="M143" s="362"/>
      <c r="N143" s="362"/>
      <c r="O143" s="362"/>
      <c r="P143" s="141"/>
      <c r="Q143" s="130"/>
      <c r="R143" s="130"/>
      <c r="V143" s="42"/>
      <c r="AA143" s="45"/>
      <c r="AC143" s="45"/>
      <c r="AD143" s="45"/>
      <c r="AE143" s="47"/>
      <c r="AF143" s="47"/>
      <c r="AH143" s="45"/>
      <c r="AI143" s="46"/>
      <c r="AJ143" s="46"/>
      <c r="AL143" s="45"/>
      <c r="AM143" s="51"/>
      <c r="AN143" s="51"/>
      <c r="AO143" s="45"/>
      <c r="AP143" s="45"/>
      <c r="AR143" s="45"/>
      <c r="AS143" s="46"/>
    </row>
    <row r="144" spans="1:46">
      <c r="A144" s="140" t="str">
        <f>"(3) REFLECTS REDUCTION IN LIGHTING SYSTEMS."</f>
        <v>(3) REFLECTS REDUCTION IN LIGHTING SYSTEMS.</v>
      </c>
      <c r="B144" s="362"/>
      <c r="C144" s="362"/>
      <c r="D144" s="362"/>
      <c r="E144" s="362"/>
      <c r="F144" s="364"/>
      <c r="G144" s="362"/>
      <c r="H144" s="362"/>
      <c r="I144" s="362"/>
      <c r="J144" s="141"/>
      <c r="K144" s="362"/>
      <c r="L144" s="363"/>
      <c r="M144" s="362"/>
      <c r="N144" s="362"/>
      <c r="O144" s="362"/>
      <c r="P144" s="141"/>
      <c r="Q144" s="130"/>
      <c r="R144" s="130"/>
      <c r="V144" s="42"/>
      <c r="AA144" s="45"/>
      <c r="AC144" s="45"/>
      <c r="AD144" s="45"/>
      <c r="AE144" s="325"/>
      <c r="AF144" s="325"/>
      <c r="AH144" s="45"/>
      <c r="AI144" s="46"/>
      <c r="AJ144" s="46"/>
      <c r="AL144" s="45"/>
      <c r="AM144" s="51"/>
      <c r="AN144" s="51"/>
      <c r="AO144" s="45"/>
      <c r="AP144" s="45"/>
      <c r="AR144" s="45"/>
      <c r="AS144" s="46"/>
    </row>
    <row r="145" spans="1:53">
      <c r="A145" s="141"/>
      <c r="B145" s="362"/>
      <c r="C145" s="362"/>
      <c r="D145" s="362"/>
      <c r="E145" s="362"/>
      <c r="F145" s="364"/>
      <c r="G145" s="362"/>
      <c r="H145" s="362"/>
      <c r="I145" s="362"/>
      <c r="J145" s="141"/>
      <c r="K145" s="362"/>
      <c r="L145" s="363"/>
      <c r="M145" s="362"/>
      <c r="N145" s="362"/>
      <c r="O145" s="362"/>
      <c r="P145" s="141"/>
      <c r="Q145" s="130"/>
      <c r="R145" s="130"/>
    </row>
    <row r="146" spans="1:53">
      <c r="C146" s="42"/>
      <c r="F146" s="388"/>
      <c r="G146" s="1"/>
      <c r="H146" s="164"/>
      <c r="I146" s="68"/>
      <c r="J146" s="132"/>
      <c r="K146" s="342"/>
      <c r="L146" s="3"/>
      <c r="M146" s="3"/>
      <c r="N146" s="4"/>
      <c r="O146" s="4"/>
      <c r="P146" s="3"/>
      <c r="Q146" s="3"/>
      <c r="R146" s="3"/>
      <c r="S146" s="1"/>
      <c r="V146" s="132"/>
      <c r="Y146" s="56"/>
      <c r="AM146" s="42"/>
      <c r="AR146" s="42"/>
      <c r="AT146" s="45"/>
    </row>
    <row r="147" spans="1:53">
      <c r="C147" s="42"/>
      <c r="F147" s="388"/>
      <c r="G147" s="1"/>
      <c r="H147" s="164"/>
      <c r="I147" s="68"/>
      <c r="J147" s="132"/>
      <c r="K147" s="342"/>
      <c r="L147" s="3"/>
      <c r="M147" s="3"/>
      <c r="N147" s="4"/>
      <c r="O147" s="4"/>
      <c r="P147" s="3"/>
      <c r="Q147" s="3"/>
      <c r="R147" s="3"/>
      <c r="S147" s="1"/>
      <c r="V147" s="132"/>
      <c r="Y147" s="56"/>
      <c r="AM147" s="42"/>
      <c r="AR147" s="42"/>
      <c r="AT147" s="45"/>
    </row>
    <row r="148" spans="1:53">
      <c r="A148" s="141"/>
      <c r="B148" s="362"/>
      <c r="C148" s="362"/>
      <c r="D148" s="362"/>
      <c r="E148" s="362"/>
      <c r="F148" s="364"/>
      <c r="G148" s="362"/>
      <c r="H148" s="362"/>
      <c r="I148" s="362"/>
      <c r="J148" s="141"/>
      <c r="K148" s="362"/>
      <c r="L148" s="363"/>
      <c r="M148" s="362"/>
      <c r="N148" s="362"/>
      <c r="O148" s="362"/>
      <c r="P148" s="141"/>
      <c r="Q148" s="130"/>
      <c r="R148" s="130"/>
      <c r="AA148" s="45"/>
      <c r="AC148" s="45"/>
      <c r="AD148" s="45"/>
      <c r="AE148" s="325"/>
      <c r="AF148" s="325"/>
      <c r="AH148" s="45"/>
      <c r="AI148" s="46"/>
      <c r="AJ148" s="46"/>
      <c r="AL148" s="45"/>
      <c r="AM148" s="51"/>
      <c r="AN148" s="51"/>
      <c r="AO148" s="45"/>
      <c r="AP148" s="45"/>
      <c r="AR148" s="45"/>
      <c r="AS148" s="46"/>
    </row>
    <row r="149" spans="1:53">
      <c r="A149" s="141"/>
      <c r="B149" s="362"/>
      <c r="C149" s="362"/>
      <c r="D149" s="362"/>
      <c r="E149" s="362"/>
      <c r="F149" s="364"/>
      <c r="G149" s="362"/>
      <c r="H149" s="362"/>
      <c r="I149" s="362"/>
      <c r="J149" s="141"/>
      <c r="K149" s="362"/>
      <c r="L149" s="363"/>
      <c r="M149" s="362"/>
      <c r="N149" s="362"/>
      <c r="O149" s="362"/>
      <c r="P149" s="141"/>
      <c r="Q149" s="130"/>
      <c r="R149" s="130"/>
    </row>
    <row r="150" spans="1:53" ht="18" customHeight="1">
      <c r="A150" s="48"/>
      <c r="F150" s="56"/>
      <c r="J150" s="48"/>
      <c r="V150" s="42"/>
      <c r="AA150" s="45"/>
      <c r="AC150" s="45"/>
      <c r="AD150" s="45"/>
      <c r="AE150" s="326"/>
      <c r="AF150" s="326"/>
      <c r="AH150" s="45"/>
      <c r="AI150" s="46"/>
      <c r="AJ150" s="46"/>
      <c r="AL150" s="45"/>
      <c r="AM150" s="46"/>
      <c r="AN150" s="46"/>
      <c r="AO150" s="45"/>
      <c r="AP150" s="45"/>
      <c r="AR150" s="45"/>
      <c r="AS150" s="46"/>
    </row>
    <row r="151" spans="1:53" ht="15" customHeight="1">
      <c r="A151" s="48"/>
      <c r="F151" s="45"/>
      <c r="H151" s="45"/>
      <c r="J151" s="48"/>
      <c r="N151" s="56"/>
      <c r="P151" s="48"/>
      <c r="V151" s="42"/>
      <c r="AA151" s="164"/>
      <c r="AC151" s="164"/>
      <c r="AD151" s="164"/>
      <c r="AE151" s="326"/>
      <c r="AF151" s="326"/>
      <c r="AH151" s="45"/>
      <c r="AI151" s="46"/>
      <c r="AJ151" s="46"/>
      <c r="AL151" s="45"/>
      <c r="AO151" s="45"/>
      <c r="AP151" s="45"/>
      <c r="AR151" s="45"/>
      <c r="AS151" s="46"/>
    </row>
    <row r="153" spans="1:53">
      <c r="V153" s="42"/>
      <c r="AA153" s="45"/>
      <c r="AC153" s="164"/>
      <c r="AD153" s="164"/>
      <c r="AE153" s="316"/>
      <c r="AF153" s="316"/>
      <c r="AH153" s="45"/>
      <c r="AI153" s="46"/>
      <c r="AJ153" s="46"/>
      <c r="AL153" s="45"/>
      <c r="AM153" s="51"/>
      <c r="AN153" s="51"/>
      <c r="AR153" s="45"/>
      <c r="AS153" s="46"/>
    </row>
    <row r="154" spans="1:53">
      <c r="C154" s="42"/>
      <c r="F154" s="3"/>
      <c r="G154" s="1"/>
      <c r="H154" s="45"/>
      <c r="I154" s="3"/>
      <c r="J154" s="1"/>
      <c r="K154" s="1"/>
      <c r="L154" s="1"/>
      <c r="M154" s="1"/>
      <c r="N154" s="1"/>
      <c r="O154" s="1"/>
      <c r="P154" s="3"/>
      <c r="Q154" s="3"/>
      <c r="R154" s="4"/>
      <c r="S154" s="6"/>
      <c r="T154" s="3"/>
      <c r="U154" s="3"/>
      <c r="V154" s="3"/>
      <c r="Z154" s="44"/>
      <c r="AA154" s="44"/>
      <c r="AB154" s="44"/>
      <c r="AC154" s="44"/>
      <c r="AD154" s="44"/>
      <c r="AE154" s="44"/>
      <c r="AG154" s="102"/>
      <c r="AH154" s="44"/>
      <c r="AI154" s="44"/>
      <c r="AJ154" s="44"/>
      <c r="AK154" s="102"/>
      <c r="AL154" s="44"/>
      <c r="AM154" s="44"/>
      <c r="AN154" s="44"/>
      <c r="AO154" s="44"/>
      <c r="AP154" s="44"/>
      <c r="AQ154" s="102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</row>
    <row r="155" spans="1:53">
      <c r="C155" s="42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4"/>
      <c r="T155" s="760" t="str">
        <f>NAME</f>
        <v>DUKE ENERGY KENTUCKY, INC.</v>
      </c>
      <c r="U155" s="760"/>
      <c r="V155" s="760"/>
      <c r="W155" s="76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</row>
    <row r="156" spans="1:53">
      <c r="C156" s="42"/>
      <c r="F156" s="68"/>
      <c r="G156" s="3"/>
      <c r="H156" s="68"/>
      <c r="I156" s="68"/>
      <c r="J156" s="68"/>
      <c r="K156" s="68"/>
      <c r="L156" s="342"/>
      <c r="M156" s="68"/>
      <c r="N156" s="68"/>
      <c r="O156" s="68"/>
      <c r="P156" s="3"/>
      <c r="Q156" s="3"/>
      <c r="R156" s="3"/>
      <c r="S156" s="4"/>
      <c r="T156" s="40" t="str">
        <f>CASE_NO</f>
        <v>CASE NO.   2024-00354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</row>
    <row r="157" spans="1:53">
      <c r="C157" s="42"/>
      <c r="F157" s="68"/>
      <c r="G157" s="3"/>
      <c r="H157" s="68"/>
      <c r="I157" s="68"/>
      <c r="J157" s="68"/>
      <c r="K157" s="68"/>
      <c r="L157" s="68"/>
      <c r="M157" s="68"/>
      <c r="N157" s="68"/>
      <c r="O157" s="68"/>
      <c r="P157" s="68"/>
      <c r="Q157" s="3"/>
      <c r="R157" s="68"/>
      <c r="S157" s="4"/>
      <c r="T157" s="40" t="str">
        <f>TITLE</f>
        <v>ANNUALIZED TEST YEAR REVENUES AT PROPOSED VS. MOST CURRENT RATES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</row>
    <row r="158" spans="1:53">
      <c r="C158" s="42"/>
      <c r="F158" s="164"/>
      <c r="G158" s="45"/>
      <c r="H158" s="164"/>
      <c r="I158" s="164"/>
      <c r="J158" s="164"/>
      <c r="K158" s="164"/>
      <c r="L158" s="45"/>
      <c r="M158" s="45"/>
      <c r="N158" s="45"/>
      <c r="O158" s="45"/>
      <c r="P158" s="45"/>
      <c r="Q158" s="45"/>
      <c r="R158" s="45"/>
      <c r="T158" s="40" t="str">
        <f>DATE</f>
        <v>FOR THE TWELVE MONTHS ENDED June 30, 2026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5"/>
      <c r="AS158" s="46"/>
    </row>
    <row r="159" spans="1:53">
      <c r="F159" s="50"/>
      <c r="H159" s="45"/>
      <c r="I159" s="45"/>
      <c r="J159" s="326"/>
      <c r="K159" s="326"/>
      <c r="L159" s="50"/>
      <c r="M159" s="50"/>
      <c r="N159" s="50"/>
      <c r="O159" s="50"/>
      <c r="P159" s="50"/>
      <c r="Q159" s="50"/>
      <c r="R159" s="50"/>
      <c r="T159" s="40" t="str">
        <f>SERVICE</f>
        <v>(ELECTRIC SERVICE)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5"/>
      <c r="AS159" s="46"/>
    </row>
    <row r="160" spans="1:53">
      <c r="F160" s="50"/>
      <c r="H160" s="45"/>
      <c r="I160" s="45"/>
      <c r="J160" s="326"/>
      <c r="K160" s="326"/>
      <c r="L160" s="50"/>
      <c r="M160" s="50"/>
      <c r="N160" s="50"/>
      <c r="O160" s="50"/>
      <c r="P160" s="50"/>
      <c r="Q160" s="50"/>
      <c r="R160" s="50"/>
      <c r="T160" s="41" t="str">
        <f>DATA_PERIOD</f>
        <v>DATA: ____ BASE PERIOD   __X__FORECASTED PERIOD</v>
      </c>
      <c r="AG160" s="41"/>
      <c r="AK160" s="41"/>
      <c r="AO160" s="42" t="s">
        <v>157</v>
      </c>
      <c r="AQ160" s="41"/>
    </row>
    <row r="161" spans="3:51">
      <c r="C161" s="42"/>
      <c r="F161" s="164"/>
      <c r="H161" s="164"/>
      <c r="I161" s="164"/>
      <c r="J161" s="336"/>
      <c r="K161" s="336"/>
      <c r="L161" s="45"/>
      <c r="M161" s="45"/>
      <c r="N161" s="46"/>
      <c r="O161" s="46"/>
      <c r="P161" s="45"/>
      <c r="Q161" s="45"/>
      <c r="R161" s="45"/>
      <c r="S161" s="45"/>
      <c r="T161" s="41" t="str">
        <f>TYPE</f>
        <v>TYPE OF FILING: _X_ ORIGINAL   ___UPDATED  ___ REVISED</v>
      </c>
      <c r="AG161" s="41"/>
      <c r="AK161" s="41"/>
      <c r="AO161" s="48" t="str">
        <f>"PAGE 13 OF "&amp;TEXT(Page_Num_2.2,"00")</f>
        <v>PAGE 13 OF 24</v>
      </c>
      <c r="AQ161" s="41"/>
      <c r="AR161" s="45"/>
      <c r="AS161" s="46"/>
    </row>
    <row r="162" spans="3:51">
      <c r="C162" s="42"/>
      <c r="F162" s="164"/>
      <c r="H162" s="164"/>
      <c r="I162" s="164"/>
      <c r="J162" s="316"/>
      <c r="K162" s="316"/>
      <c r="L162" s="45"/>
      <c r="M162" s="45"/>
      <c r="N162" s="46"/>
      <c r="O162" s="46"/>
      <c r="P162" s="45"/>
      <c r="Q162" s="45"/>
      <c r="R162" s="45"/>
      <c r="T162" s="42" t="s">
        <v>170</v>
      </c>
      <c r="AO162" s="42" t="s">
        <v>4</v>
      </c>
      <c r="AP162" s="42"/>
    </row>
    <row r="163" spans="3:51">
      <c r="F163" s="45"/>
      <c r="H163" s="50"/>
      <c r="I163" s="50"/>
      <c r="J163" s="326"/>
      <c r="K163" s="326"/>
      <c r="L163" s="50"/>
      <c r="M163" s="50"/>
      <c r="N163" s="50"/>
      <c r="O163" s="50"/>
      <c r="P163" s="50"/>
      <c r="Q163" s="50"/>
      <c r="R163" s="50"/>
      <c r="T163" s="130" t="str">
        <f>TIME</f>
        <v>12 Months Projected with Riders</v>
      </c>
      <c r="AF163" s="42"/>
      <c r="AO163" s="45" t="str">
        <f>WIT</f>
        <v>B. L. Sailers</v>
      </c>
      <c r="AR163" s="45"/>
      <c r="AS163" s="46"/>
    </row>
    <row r="164" spans="3:51">
      <c r="F164" s="45"/>
      <c r="H164" s="50"/>
      <c r="I164" s="50"/>
      <c r="J164" s="326"/>
      <c r="K164" s="326"/>
      <c r="L164" s="50"/>
      <c r="M164" s="50"/>
      <c r="N164" s="50"/>
      <c r="O164" s="50"/>
      <c r="P164" s="50"/>
      <c r="Q164" s="50"/>
      <c r="R164" s="50"/>
      <c r="T164" s="40" t="s">
        <v>130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100"/>
      <c r="AH164" s="40"/>
      <c r="AI164" s="40"/>
      <c r="AJ164" s="40"/>
      <c r="AK164" s="100"/>
      <c r="AL164" s="40"/>
      <c r="AM164" s="40"/>
      <c r="AN164" s="40"/>
      <c r="AO164" s="40"/>
      <c r="AP164" s="40"/>
      <c r="AR164" s="45"/>
      <c r="AS164" s="46"/>
    </row>
    <row r="165" spans="3:51">
      <c r="F165" s="45"/>
      <c r="H165" s="50"/>
      <c r="I165" s="50"/>
      <c r="J165" s="326"/>
      <c r="K165" s="326"/>
      <c r="L165" s="50"/>
      <c r="M165" s="50"/>
      <c r="N165" s="50"/>
      <c r="O165" s="50"/>
      <c r="P165" s="50"/>
      <c r="Q165" s="50"/>
      <c r="R165" s="50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3"/>
      <c r="AF165" s="43"/>
      <c r="AG165" s="101"/>
      <c r="AH165" s="43"/>
      <c r="AI165" s="43"/>
      <c r="AJ165" s="43"/>
      <c r="AK165" s="101"/>
      <c r="AL165" s="43"/>
      <c r="AM165" s="43"/>
      <c r="AN165" s="49"/>
      <c r="AO165" s="49"/>
      <c r="AP165" s="49"/>
    </row>
    <row r="166" spans="3:51" ht="18" customHeight="1">
      <c r="C166" s="42"/>
      <c r="F166" s="45"/>
      <c r="H166" s="45"/>
      <c r="I166" s="45"/>
      <c r="J166" s="326"/>
      <c r="K166" s="326"/>
      <c r="L166" s="45"/>
      <c r="M166" s="45"/>
      <c r="N166" s="45"/>
      <c r="O166" s="45"/>
      <c r="P166" s="45"/>
      <c r="Q166" s="45"/>
      <c r="R166" s="45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44" t="s">
        <v>8</v>
      </c>
      <c r="AF166" s="44"/>
      <c r="AG166" s="102" t="s">
        <v>7</v>
      </c>
      <c r="AH166" s="44"/>
      <c r="AI166" s="44" t="s">
        <v>9</v>
      </c>
      <c r="AJ166" s="44"/>
      <c r="AK166" s="102" t="s">
        <v>10</v>
      </c>
      <c r="AL166" s="44"/>
      <c r="AN166" s="62"/>
      <c r="AO166" s="63" t="s">
        <v>8</v>
      </c>
      <c r="AP166" s="63"/>
      <c r="AQ166" s="109" t="s">
        <v>11</v>
      </c>
      <c r="AR166" s="45"/>
    </row>
    <row r="167" spans="3:51">
      <c r="C167" s="42"/>
      <c r="F167" s="45"/>
      <c r="H167" s="164"/>
      <c r="I167" s="164"/>
      <c r="J167" s="132"/>
      <c r="K167" s="132"/>
      <c r="L167" s="45"/>
      <c r="M167" s="45"/>
      <c r="N167" s="46"/>
      <c r="O167" s="46"/>
      <c r="P167" s="45"/>
      <c r="Q167" s="45"/>
      <c r="R167" s="45"/>
      <c r="AC167" s="44" t="s">
        <v>14</v>
      </c>
      <c r="AD167" s="44"/>
      <c r="AE167" s="44" t="s">
        <v>12</v>
      </c>
      <c r="AF167" s="44"/>
      <c r="AG167" s="102" t="s">
        <v>13</v>
      </c>
      <c r="AH167" s="44"/>
      <c r="AI167" s="44" t="s">
        <v>15</v>
      </c>
      <c r="AJ167" s="44"/>
      <c r="AK167" s="102" t="s">
        <v>16</v>
      </c>
      <c r="AL167" s="44"/>
      <c r="AO167" s="44" t="s">
        <v>11</v>
      </c>
      <c r="AP167" s="44"/>
      <c r="AQ167" s="102" t="s">
        <v>9</v>
      </c>
    </row>
    <row r="168" spans="3:51">
      <c r="C168" s="42"/>
      <c r="H168" s="164"/>
      <c r="I168" s="164"/>
      <c r="J168" s="132"/>
      <c r="K168" s="132"/>
      <c r="L168" s="45"/>
      <c r="M168" s="45"/>
      <c r="N168" s="46"/>
      <c r="O168" s="46"/>
      <c r="P168" s="45"/>
      <c r="Q168" s="45"/>
      <c r="R168" s="45"/>
      <c r="T168" s="44" t="s">
        <v>17</v>
      </c>
      <c r="V168" s="44" t="s">
        <v>18</v>
      </c>
      <c r="W168" s="44" t="s">
        <v>19</v>
      </c>
      <c r="X168" s="44"/>
      <c r="Y168" s="44" t="s">
        <v>20</v>
      </c>
      <c r="AC168" s="44" t="s">
        <v>8</v>
      </c>
      <c r="AD168" s="44"/>
      <c r="AE168" s="44" t="s">
        <v>841</v>
      </c>
      <c r="AF168" s="44"/>
      <c r="AG168" s="102" t="s">
        <v>841</v>
      </c>
      <c r="AH168" s="44"/>
      <c r="AI168" s="60" t="s">
        <v>964</v>
      </c>
      <c r="AJ168" s="44"/>
      <c r="AK168" s="277" t="s">
        <v>964</v>
      </c>
      <c r="AL168" s="44"/>
      <c r="AM168" s="44" t="s">
        <v>841</v>
      </c>
      <c r="AN168" s="44"/>
      <c r="AO168" s="44" t="s">
        <v>9</v>
      </c>
      <c r="AP168" s="44"/>
      <c r="AQ168" s="102" t="s">
        <v>21</v>
      </c>
      <c r="AT168" s="44" t="s">
        <v>402</v>
      </c>
      <c r="AX168" s="41" t="s">
        <v>300</v>
      </c>
      <c r="AY168" s="41" t="s">
        <v>301</v>
      </c>
    </row>
    <row r="169" spans="3:51">
      <c r="F169" s="45"/>
      <c r="H169" s="45"/>
      <c r="I169" s="45"/>
      <c r="J169" s="326"/>
      <c r="K169" s="326"/>
      <c r="L169" s="50"/>
      <c r="M169" s="50"/>
      <c r="N169" s="50"/>
      <c r="O169" s="50"/>
      <c r="P169" s="50"/>
      <c r="Q169" s="50"/>
      <c r="R169" s="50"/>
      <c r="T169" s="44" t="s">
        <v>22</v>
      </c>
      <c r="V169" s="44" t="s">
        <v>23</v>
      </c>
      <c r="W169" s="44" t="s">
        <v>24</v>
      </c>
      <c r="X169" s="44"/>
      <c r="Y169" s="44" t="s">
        <v>25</v>
      </c>
      <c r="AA169" s="44" t="s">
        <v>26</v>
      </c>
      <c r="AB169" s="44"/>
      <c r="AC169" s="60" t="s">
        <v>325</v>
      </c>
      <c r="AD169" s="44"/>
      <c r="AE169" s="44" t="s">
        <v>9</v>
      </c>
      <c r="AF169" s="44"/>
      <c r="AG169" s="102" t="s">
        <v>9</v>
      </c>
      <c r="AH169" s="44"/>
      <c r="AI169" s="304" t="s">
        <v>29</v>
      </c>
      <c r="AJ169" s="304"/>
      <c r="AK169" s="311" t="s">
        <v>30</v>
      </c>
      <c r="AL169" s="44"/>
      <c r="AM169" s="44" t="s">
        <v>323</v>
      </c>
      <c r="AN169" s="44"/>
      <c r="AO169" s="304" t="s">
        <v>31</v>
      </c>
      <c r="AP169" s="304"/>
      <c r="AQ169" s="311" t="s">
        <v>32</v>
      </c>
      <c r="AT169" s="44" t="s">
        <v>403</v>
      </c>
      <c r="AW169" s="41" t="s">
        <v>299</v>
      </c>
      <c r="AX169" s="41" t="s">
        <v>298</v>
      </c>
      <c r="AY169" s="41" t="s">
        <v>298</v>
      </c>
    </row>
    <row r="170" spans="3:51">
      <c r="C170" s="42"/>
      <c r="F170" s="45"/>
      <c r="H170" s="45"/>
      <c r="I170" s="45"/>
      <c r="J170" s="47"/>
      <c r="K170" s="47"/>
      <c r="L170" s="45"/>
      <c r="M170" s="45"/>
      <c r="N170" s="46"/>
      <c r="O170" s="46"/>
      <c r="P170" s="45"/>
      <c r="Q170" s="45"/>
      <c r="R170" s="45"/>
      <c r="V170" s="304" t="s">
        <v>33</v>
      </c>
      <c r="W170" s="304" t="s">
        <v>34</v>
      </c>
      <c r="X170" s="304"/>
      <c r="Y170" s="304" t="s">
        <v>35</v>
      </c>
      <c r="Z170" s="130"/>
      <c r="AA170" s="304" t="s">
        <v>36</v>
      </c>
      <c r="AB170" s="304"/>
      <c r="AC170" s="304" t="s">
        <v>42</v>
      </c>
      <c r="AD170" s="304"/>
      <c r="AE170" s="304" t="s">
        <v>43</v>
      </c>
      <c r="AF170" s="304"/>
      <c r="AG170" s="311" t="s">
        <v>44</v>
      </c>
      <c r="AH170" s="304"/>
      <c r="AI170" s="304" t="s">
        <v>45</v>
      </c>
      <c r="AJ170" s="304"/>
      <c r="AK170" s="311" t="s">
        <v>46</v>
      </c>
      <c r="AL170" s="304"/>
      <c r="AM170" s="304" t="s">
        <v>40</v>
      </c>
      <c r="AN170" s="304"/>
      <c r="AO170" s="304" t="s">
        <v>47</v>
      </c>
      <c r="AP170" s="304"/>
      <c r="AQ170" s="311" t="s">
        <v>48</v>
      </c>
      <c r="AT170" s="44" t="s">
        <v>404</v>
      </c>
    </row>
    <row r="171" spans="3:51" ht="17.100000000000001" customHeight="1">
      <c r="F171" s="45"/>
      <c r="H171" s="45"/>
      <c r="I171" s="45"/>
      <c r="J171" s="326"/>
      <c r="K171" s="326"/>
      <c r="L171" s="50"/>
      <c r="M171" s="50"/>
      <c r="N171" s="50"/>
      <c r="O171" s="50"/>
      <c r="P171" s="50"/>
      <c r="Q171" s="50"/>
      <c r="R171" s="50"/>
      <c r="T171" s="62"/>
      <c r="U171" s="62"/>
      <c r="V171" s="62"/>
      <c r="W171" s="62"/>
      <c r="X171" s="62"/>
      <c r="Y171" s="62"/>
      <c r="Z171" s="62"/>
      <c r="AA171" s="345" t="s">
        <v>49</v>
      </c>
      <c r="AB171" s="345"/>
      <c r="AC171" s="344" t="s">
        <v>69</v>
      </c>
      <c r="AD171" s="345"/>
      <c r="AE171" s="345" t="s">
        <v>50</v>
      </c>
      <c r="AF171" s="345"/>
      <c r="AG171" s="346" t="s">
        <v>51</v>
      </c>
      <c r="AH171" s="345"/>
      <c r="AI171" s="345" t="s">
        <v>50</v>
      </c>
      <c r="AJ171" s="345"/>
      <c r="AK171" s="346" t="s">
        <v>51</v>
      </c>
      <c r="AL171" s="345"/>
      <c r="AM171" s="345" t="s">
        <v>50</v>
      </c>
      <c r="AN171" s="345"/>
      <c r="AO171" s="345" t="s">
        <v>50</v>
      </c>
      <c r="AP171" s="345"/>
      <c r="AQ171" s="346" t="s">
        <v>51</v>
      </c>
      <c r="AX171" s="41">
        <f>CUR_BASE_FUEL</f>
        <v>3.3779999999999998E-2</v>
      </c>
      <c r="AY171" s="41">
        <f>PRO_BASE_FUEL</f>
        <v>3.3779999999999998E-2</v>
      </c>
    </row>
    <row r="172" spans="3:51">
      <c r="C172" s="42"/>
      <c r="F172" s="164"/>
      <c r="H172" s="164"/>
      <c r="I172" s="164"/>
      <c r="J172" s="331"/>
      <c r="K172" s="331"/>
      <c r="L172" s="45"/>
      <c r="M172" s="45"/>
      <c r="N172" s="46"/>
      <c r="O172" s="46"/>
      <c r="P172" s="45"/>
      <c r="Q172" s="45"/>
      <c r="R172" s="45"/>
      <c r="T172" s="351">
        <v>1</v>
      </c>
      <c r="V172" s="133" t="s">
        <v>77</v>
      </c>
      <c r="W172" s="310" t="s">
        <v>259</v>
      </c>
      <c r="X172" s="42"/>
      <c r="Y172" s="1"/>
      <c r="Z172" s="1"/>
      <c r="AA172" s="1"/>
      <c r="AB172" s="1"/>
      <c r="AC172" s="1"/>
      <c r="AD172" s="1"/>
      <c r="AE172" s="1"/>
      <c r="AF172" s="1"/>
      <c r="AG172" s="103"/>
      <c r="AH172" s="1"/>
      <c r="AI172" s="1"/>
      <c r="AJ172" s="1"/>
      <c r="AK172" s="103"/>
      <c r="AL172" s="1"/>
      <c r="AM172" s="1"/>
      <c r="AN172" s="1"/>
      <c r="AO172" s="1"/>
      <c r="AP172" s="1"/>
      <c r="AQ172" s="113"/>
    </row>
    <row r="173" spans="3:51">
      <c r="C173" s="42"/>
      <c r="F173" s="45"/>
      <c r="H173" s="45"/>
      <c r="I173" s="45"/>
      <c r="J173" s="326"/>
      <c r="K173" s="326"/>
      <c r="L173" s="45"/>
      <c r="M173" s="45"/>
      <c r="N173" s="46"/>
      <c r="O173" s="46"/>
      <c r="P173" s="45"/>
      <c r="Q173" s="45"/>
      <c r="R173" s="45"/>
      <c r="S173" s="45"/>
      <c r="T173" s="351">
        <v>2</v>
      </c>
      <c r="V173" s="133" t="s">
        <v>79</v>
      </c>
      <c r="W173" s="130"/>
      <c r="Y173" s="68"/>
      <c r="Z173" s="1"/>
      <c r="AA173" s="68"/>
      <c r="AB173" s="1"/>
      <c r="AC173" s="1"/>
      <c r="AD173" s="1"/>
      <c r="AE173" s="1"/>
      <c r="AF173" s="1"/>
      <c r="AG173" s="103"/>
      <c r="AH173" s="1"/>
      <c r="AI173" s="1"/>
      <c r="AJ173" s="1"/>
      <c r="AK173" s="103"/>
      <c r="AL173" s="1"/>
      <c r="AM173" s="1"/>
      <c r="AN173" s="1"/>
      <c r="AO173" s="1"/>
      <c r="AP173" s="1"/>
      <c r="AQ173" s="113"/>
    </row>
    <row r="174" spans="3:51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S174" s="45"/>
      <c r="T174" s="351">
        <v>3</v>
      </c>
      <c r="V174" s="310" t="s">
        <v>201</v>
      </c>
      <c r="W174" s="130"/>
      <c r="Y174" s="1"/>
      <c r="Z174" s="1"/>
      <c r="AA174" s="1"/>
      <c r="AB174" s="68"/>
      <c r="AC174" s="314"/>
      <c r="AD174" s="314"/>
      <c r="AE174" s="3"/>
      <c r="AF174" s="3"/>
      <c r="AG174" s="103"/>
      <c r="AH174" s="4"/>
      <c r="AI174" s="3"/>
      <c r="AJ174" s="3"/>
      <c r="AK174" s="103"/>
      <c r="AL174" s="6"/>
      <c r="AM174" s="3"/>
      <c r="AN174" s="3"/>
      <c r="AO174" s="3"/>
      <c r="AP174" s="3"/>
      <c r="AQ174" s="113"/>
    </row>
    <row r="175" spans="3:51">
      <c r="F175" s="50"/>
      <c r="H175" s="50"/>
      <c r="I175" s="50"/>
      <c r="J175" s="326"/>
      <c r="K175" s="326"/>
      <c r="L175" s="50"/>
      <c r="M175" s="50"/>
      <c r="N175" s="50"/>
      <c r="O175" s="50"/>
      <c r="P175" s="50"/>
      <c r="Q175" s="50"/>
      <c r="R175" s="50"/>
      <c r="T175" s="351">
        <v>4</v>
      </c>
      <c r="V175" s="48" t="str">
        <f>C21</f>
        <v xml:space="preserve">     7,000 LUMEN</v>
      </c>
      <c r="Y175" s="68">
        <f>F21</f>
        <v>45142</v>
      </c>
      <c r="Z175" s="1"/>
      <c r="AA175" s="68">
        <f>H21</f>
        <v>3020752</v>
      </c>
      <c r="AB175" s="68"/>
      <c r="AC175" s="132">
        <v>11.49</v>
      </c>
      <c r="AD175" s="342"/>
      <c r="AE175" s="3">
        <f>ROUND((Y175*AC175),0)</f>
        <v>518682</v>
      </c>
      <c r="AF175" s="3"/>
      <c r="AG175" s="103">
        <f>ROUND((AE175/AE$293)*100,1)</f>
        <v>36.5</v>
      </c>
      <c r="AH175" s="4"/>
      <c r="AI175" s="3">
        <f>L21-AE175</f>
        <v>74032</v>
      </c>
      <c r="AJ175" s="3"/>
      <c r="AK175" s="113">
        <f>IF(AE175=0,"0.0 ",ROUND((AI175/AE175)*100,1))</f>
        <v>14.3</v>
      </c>
      <c r="AL175" s="6"/>
      <c r="AM175" s="3">
        <f>ROUND(CUR_FAC*AA175,0)</f>
        <v>10534</v>
      </c>
      <c r="AN175" s="3"/>
      <c r="AO175" s="3">
        <f>AE175+AM175</f>
        <v>529216</v>
      </c>
      <c r="AP175" s="3"/>
      <c r="AQ175" s="113">
        <f>IF(AO175=0,"0.0 ",ROUND((AI175/AO175)*100,1))</f>
        <v>14</v>
      </c>
      <c r="AS175" s="45"/>
      <c r="AT175" s="56">
        <f>AC175-AX175</f>
        <v>9.23</v>
      </c>
      <c r="AW175" s="164">
        <f>803</f>
        <v>803</v>
      </c>
      <c r="AX175" s="41">
        <f>ROUND((AW175/12)*CUR_BASE_FUEL,2)</f>
        <v>2.2599999999999998</v>
      </c>
      <c r="AY175" s="41">
        <f>ROUND((AW175/12)*PRO_BASE_FUEL,2)</f>
        <v>2.2599999999999998</v>
      </c>
    </row>
    <row r="176" spans="3:51">
      <c r="C176" s="42"/>
      <c r="T176" s="351">
        <v>5</v>
      </c>
      <c r="V176" s="48" t="str">
        <f>C22</f>
        <v xml:space="preserve">     7,000 LUMEN (OPEN)</v>
      </c>
      <c r="Y176" s="68">
        <f>F22</f>
        <v>48</v>
      </c>
      <c r="Z176" s="1"/>
      <c r="AA176" s="68">
        <f>H22</f>
        <v>3412</v>
      </c>
      <c r="AB176" s="68"/>
      <c r="AC176" s="132">
        <v>9.77</v>
      </c>
      <c r="AD176" s="1"/>
      <c r="AE176" s="3">
        <f>ROUND((Y176*AC176),0)</f>
        <v>469</v>
      </c>
      <c r="AF176" s="1"/>
      <c r="AG176" s="103">
        <f>ROUND((AE176/AE$293)*100,1)</f>
        <v>0</v>
      </c>
      <c r="AH176" s="1"/>
      <c r="AI176" s="3">
        <f>L22-AE176</f>
        <v>67</v>
      </c>
      <c r="AJ176" s="1"/>
      <c r="AK176" s="103">
        <f>IF(AE176=0,"0.0 ",ROUND((AI176/AE176)*100,1))</f>
        <v>14.3</v>
      </c>
      <c r="AL176" s="1"/>
      <c r="AM176" s="3">
        <f>ROUND(CUR_FAC*AA176,0)</f>
        <v>12</v>
      </c>
      <c r="AN176" s="1"/>
      <c r="AO176" s="3">
        <f>AE176+AM176</f>
        <v>481</v>
      </c>
      <c r="AP176" s="1"/>
      <c r="AQ176" s="113">
        <f>IF(AO176=0,"0.0 ",ROUND((AI176/AO176)*100,1))</f>
        <v>13.9</v>
      </c>
      <c r="AS176" s="45"/>
      <c r="AT176" s="56">
        <f>AC176-AX176</f>
        <v>7.3699999999999992</v>
      </c>
      <c r="AW176" s="164">
        <f>853</f>
        <v>853</v>
      </c>
      <c r="AX176" s="41">
        <f>ROUND((AW176/12)*CUR_BASE_FUEL,2)</f>
        <v>2.4</v>
      </c>
      <c r="AY176" s="41">
        <f>ROUND((AW176/12)*PRO_BASE_FUEL,2)</f>
        <v>2.4</v>
      </c>
    </row>
    <row r="177" spans="1:51">
      <c r="C177" s="42"/>
      <c r="F177" s="45"/>
      <c r="H177" s="45"/>
      <c r="I177" s="45"/>
      <c r="L177" s="45"/>
      <c r="M177" s="45"/>
      <c r="N177" s="46"/>
      <c r="O177" s="46"/>
      <c r="P177" s="164"/>
      <c r="Q177" s="164"/>
      <c r="R177" s="45"/>
      <c r="T177" s="351">
        <v>6</v>
      </c>
      <c r="V177" s="48" t="str">
        <f>C23</f>
        <v xml:space="preserve">    10,000 LUMEN</v>
      </c>
      <c r="Y177" s="68">
        <f>F23</f>
        <v>1453</v>
      </c>
      <c r="Z177" s="1"/>
      <c r="AA177" s="68">
        <f>H23</f>
        <v>138519</v>
      </c>
      <c r="AB177" s="68"/>
      <c r="AC177" s="132">
        <v>13.47</v>
      </c>
      <c r="AD177" s="342"/>
      <c r="AE177" s="3">
        <f>ROUND((Y177*AC177),0)</f>
        <v>19572</v>
      </c>
      <c r="AF177" s="3"/>
      <c r="AG177" s="103">
        <f>ROUND((AE177/AE$293)*100,1)</f>
        <v>1.4</v>
      </c>
      <c r="AH177" s="4"/>
      <c r="AI177" s="3">
        <f>L23-AE177</f>
        <v>2790</v>
      </c>
      <c r="AJ177" s="3"/>
      <c r="AK177" s="113">
        <f>IF(AE177=0,"0.0 ",ROUND((AI177/AE177)*100,1))</f>
        <v>14.3</v>
      </c>
      <c r="AL177" s="6"/>
      <c r="AM177" s="3">
        <f>ROUND(CUR_FAC*AA177,0)</f>
        <v>483</v>
      </c>
      <c r="AN177" s="3"/>
      <c r="AO177" s="3">
        <f>AE177+AM177</f>
        <v>20055</v>
      </c>
      <c r="AP177" s="3"/>
      <c r="AQ177" s="113">
        <f>IF(AO177=0,"0.0 ",ROUND((AI177/AO177)*100,1))</f>
        <v>13.9</v>
      </c>
      <c r="AS177" s="45"/>
      <c r="AT177" s="56">
        <f>AC177-AX177</f>
        <v>10.25</v>
      </c>
      <c r="AW177" s="164">
        <v>1144</v>
      </c>
      <c r="AX177" s="41">
        <f>ROUND((AW177/12)*CUR_BASE_FUEL,2)</f>
        <v>3.22</v>
      </c>
      <c r="AY177" s="41">
        <f>ROUND((AW177/12)*PRO_BASE_FUEL,2)</f>
        <v>3.22</v>
      </c>
    </row>
    <row r="178" spans="1:51">
      <c r="F178" s="50"/>
      <c r="H178" s="50"/>
      <c r="I178" s="50"/>
      <c r="J178" s="326"/>
      <c r="K178" s="326"/>
      <c r="L178" s="50"/>
      <c r="M178" s="50"/>
      <c r="N178" s="50"/>
      <c r="O178" s="50"/>
      <c r="P178" s="50"/>
      <c r="Q178" s="50"/>
      <c r="R178" s="50"/>
      <c r="T178" s="351">
        <v>7</v>
      </c>
      <c r="V178" s="48" t="str">
        <f>C24</f>
        <v xml:space="preserve">    21,000 LUMEN</v>
      </c>
      <c r="Y178" s="68">
        <f>F24</f>
        <v>4963</v>
      </c>
      <c r="Z178" s="1"/>
      <c r="AA178" s="68">
        <f>H24</f>
        <v>739901</v>
      </c>
      <c r="AB178" s="68"/>
      <c r="AC178" s="132">
        <v>18.27</v>
      </c>
      <c r="AD178" s="342"/>
      <c r="AE178" s="3">
        <f>ROUND((Y178*AC178),0)</f>
        <v>90674</v>
      </c>
      <c r="AF178" s="3"/>
      <c r="AG178" s="103">
        <f>ROUND((AE178/AE$293)*100,1)</f>
        <v>6.4</v>
      </c>
      <c r="AH178" s="4"/>
      <c r="AI178" s="3">
        <f>L24-AE178</f>
        <v>12953</v>
      </c>
      <c r="AJ178" s="3"/>
      <c r="AK178" s="113">
        <f>IF(AE178=0,"0.0 ",ROUND((AI178/AE178)*100,1))</f>
        <v>14.3</v>
      </c>
      <c r="AL178" s="6"/>
      <c r="AM178" s="3">
        <f>ROUND(CUR_FAC*AA178,0)</f>
        <v>2580</v>
      </c>
      <c r="AN178" s="3"/>
      <c r="AO178" s="3">
        <f>AE178+AM178</f>
        <v>93254</v>
      </c>
      <c r="AP178" s="3"/>
      <c r="AQ178" s="113">
        <f>IF(AO178=0,"0.0 ",ROUND((AI178/AO178)*100,1))</f>
        <v>13.9</v>
      </c>
      <c r="AS178" s="45"/>
      <c r="AT178" s="56">
        <f>AC178-AX178</f>
        <v>13.23</v>
      </c>
      <c r="AW178" s="164">
        <v>1789</v>
      </c>
      <c r="AX178" s="41">
        <f>ROUND((AW178/12)*CUR_BASE_FUEL,2)</f>
        <v>5.04</v>
      </c>
      <c r="AY178" s="41">
        <f>ROUND((AW178/12)*PRO_BASE_FUEL,2)</f>
        <v>5.04</v>
      </c>
    </row>
    <row r="179" spans="1:51">
      <c r="T179" s="351">
        <v>8</v>
      </c>
      <c r="V179" s="133" t="s">
        <v>267</v>
      </c>
      <c r="Y179" s="68"/>
      <c r="Z179" s="1"/>
      <c r="AA179" s="68"/>
      <c r="AB179" s="68"/>
      <c r="AC179" s="342"/>
      <c r="AD179" s="342"/>
      <c r="AE179" s="3"/>
      <c r="AF179" s="3"/>
      <c r="AG179" s="103"/>
      <c r="AH179" s="4"/>
      <c r="AI179" s="3"/>
      <c r="AJ179" s="3"/>
      <c r="AK179" s="113"/>
      <c r="AL179" s="6"/>
      <c r="AM179" s="3"/>
      <c r="AN179" s="3"/>
      <c r="AO179" s="3"/>
      <c r="AP179" s="3"/>
      <c r="AQ179" s="113"/>
      <c r="AS179" s="45"/>
      <c r="AW179" s="164"/>
    </row>
    <row r="180" spans="1:51">
      <c r="C180" s="42"/>
      <c r="L180" s="45"/>
      <c r="M180" s="45"/>
      <c r="N180" s="45"/>
      <c r="O180" s="45"/>
      <c r="P180" s="45"/>
      <c r="Q180" s="45"/>
      <c r="R180" s="45"/>
      <c r="S180" s="45"/>
      <c r="T180" s="351">
        <v>9</v>
      </c>
      <c r="V180" s="48" t="str">
        <f>C26</f>
        <v xml:space="preserve">    14,000 LUMEN</v>
      </c>
      <c r="Y180" s="68">
        <f>F26</f>
        <v>292</v>
      </c>
      <c r="Z180" s="1"/>
      <c r="AA180" s="68">
        <f>H26</f>
        <v>19540</v>
      </c>
      <c r="AB180" s="68"/>
      <c r="AC180" s="132">
        <v>11.49</v>
      </c>
      <c r="AD180" s="342"/>
      <c r="AE180" s="3">
        <f>ROUND((Y180*AC180),0)</f>
        <v>3355</v>
      </c>
      <c r="AF180" s="3"/>
      <c r="AG180" s="103">
        <f>ROUND((AE180/AE$293)*100,1)</f>
        <v>0.2</v>
      </c>
      <c r="AH180" s="4"/>
      <c r="AI180" s="3">
        <f>L26-AE180</f>
        <v>479</v>
      </c>
      <c r="AJ180" s="3"/>
      <c r="AK180" s="113">
        <f>IF(AE180=0,"0.0 ",ROUND((AI180/AE180)*100,1))</f>
        <v>14.3</v>
      </c>
      <c r="AL180" s="6"/>
      <c r="AM180" s="3">
        <f>ROUND(CUR_FAC*AA180,0)</f>
        <v>68</v>
      </c>
      <c r="AN180" s="3"/>
      <c r="AO180" s="3">
        <f>AE180+AM180</f>
        <v>3423</v>
      </c>
      <c r="AP180" s="3"/>
      <c r="AQ180" s="113">
        <f>IF(AO180=0,"0.0 ",ROUND((AI180/AO180)*100,1))</f>
        <v>14</v>
      </c>
      <c r="AS180" s="45"/>
      <c r="AT180" s="56">
        <f>AC180-AX180</f>
        <v>9.23</v>
      </c>
      <c r="AW180" s="164">
        <v>803</v>
      </c>
      <c r="AX180" s="41">
        <f>ROUND((AW180/12)*CUR_BASE_FUEL,2)</f>
        <v>2.2599999999999998</v>
      </c>
      <c r="AY180" s="41">
        <f>ROUND((AW180/12)*PRO_BASE_FUEL,2)</f>
        <v>2.2599999999999998</v>
      </c>
    </row>
    <row r="181" spans="1:51">
      <c r="C181" s="42"/>
      <c r="L181" s="45"/>
      <c r="M181" s="45"/>
      <c r="N181" s="45"/>
      <c r="O181" s="45"/>
      <c r="P181" s="45"/>
      <c r="Q181" s="45"/>
      <c r="R181" s="45"/>
      <c r="S181" s="45"/>
      <c r="T181" s="351">
        <v>10</v>
      </c>
      <c r="V181" s="48" t="str">
        <f>C27</f>
        <v xml:space="preserve">    20,500 LUMEN</v>
      </c>
      <c r="Y181" s="68">
        <f>F27</f>
        <v>155</v>
      </c>
      <c r="Z181" s="1"/>
      <c r="AA181" s="68">
        <f>H27</f>
        <v>14777</v>
      </c>
      <c r="AB181" s="68"/>
      <c r="AC181" s="132">
        <v>13.47</v>
      </c>
      <c r="AD181" s="342"/>
      <c r="AE181" s="3">
        <f>ROUND((Y181*AC181),0)</f>
        <v>2088</v>
      </c>
      <c r="AF181" s="3"/>
      <c r="AG181" s="103">
        <f>ROUND((AE181/AE$293)*100,1)</f>
        <v>0.1</v>
      </c>
      <c r="AH181" s="4"/>
      <c r="AI181" s="3">
        <f>L27-AE181</f>
        <v>297</v>
      </c>
      <c r="AJ181" s="3"/>
      <c r="AK181" s="113">
        <f>IF(AE181=0,"0.0 ",ROUND((AI181/AE181)*100,1))</f>
        <v>14.2</v>
      </c>
      <c r="AL181" s="6"/>
      <c r="AM181" s="3">
        <f>ROUND(CUR_FAC*AA181,0)</f>
        <v>52</v>
      </c>
      <c r="AN181" s="3"/>
      <c r="AO181" s="3">
        <f>AE181+AM181</f>
        <v>2140</v>
      </c>
      <c r="AP181" s="3"/>
      <c r="AQ181" s="113">
        <f>IF(AO181=0,"0.0 ",ROUND((AI181/AO181)*100,1))</f>
        <v>13.9</v>
      </c>
      <c r="AS181" s="45"/>
      <c r="AT181" s="56">
        <f>AC181-AX181</f>
        <v>10.25</v>
      </c>
      <c r="AW181" s="164">
        <v>1144</v>
      </c>
      <c r="AX181" s="41">
        <f>ROUND((AW181/12)*CUR_BASE_FUEL,2)</f>
        <v>3.22</v>
      </c>
      <c r="AY181" s="41">
        <f>ROUND((AW181/12)*PRO_BASE_FUEL,2)</f>
        <v>3.22</v>
      </c>
    </row>
    <row r="182" spans="1:51">
      <c r="C182" s="42"/>
      <c r="L182" s="45"/>
      <c r="M182" s="45"/>
      <c r="N182" s="45"/>
      <c r="O182" s="45"/>
      <c r="P182" s="45"/>
      <c r="Q182" s="45"/>
      <c r="R182" s="45"/>
      <c r="S182" s="45"/>
      <c r="T182" s="351">
        <v>11</v>
      </c>
      <c r="V182" s="48" t="str">
        <f>C28</f>
        <v xml:space="preserve">    36,000 LUMEN</v>
      </c>
      <c r="Y182" s="68">
        <f>F28</f>
        <v>0</v>
      </c>
      <c r="Z182" s="1"/>
      <c r="AA182" s="68">
        <f>H28</f>
        <v>0</v>
      </c>
      <c r="AB182" s="68"/>
      <c r="AC182" s="132">
        <v>18.27</v>
      </c>
      <c r="AD182" s="342"/>
      <c r="AE182" s="3">
        <f>ROUND((Y182*AC182),0)</f>
        <v>0</v>
      </c>
      <c r="AF182" s="3"/>
      <c r="AG182" s="103">
        <f>ROUND((AE182/AE$293)*100,1)</f>
        <v>0</v>
      </c>
      <c r="AH182" s="4"/>
      <c r="AI182" s="3">
        <f>L28-AE182</f>
        <v>0</v>
      </c>
      <c r="AJ182" s="3"/>
      <c r="AK182" s="113" t="str">
        <f>IF(AE182=0,"0.0 ",ROUND((AI182/AE182)*100,1))</f>
        <v xml:space="preserve">0.0 </v>
      </c>
      <c r="AL182" s="6"/>
      <c r="AM182" s="3">
        <f>ROUND(CUR_FAC*AA182,0)</f>
        <v>0</v>
      </c>
      <c r="AN182" s="3"/>
      <c r="AO182" s="3">
        <f>AE182+AM182</f>
        <v>0</v>
      </c>
      <c r="AP182" s="3"/>
      <c r="AQ182" s="113" t="str">
        <f>IF(AO182=0,"0.0 ",ROUND((AI182/AO182)*100,1))</f>
        <v xml:space="preserve">0.0 </v>
      </c>
      <c r="AS182" s="45"/>
      <c r="AT182" s="56">
        <f>AC182-AX182</f>
        <v>13.23</v>
      </c>
      <c r="AW182" s="164">
        <v>1789</v>
      </c>
      <c r="AX182" s="41">
        <f>ROUND((AW182/12)*CUR_BASE_FUEL,2)</f>
        <v>5.04</v>
      </c>
      <c r="AY182" s="41">
        <f>ROUND((AW182/12)*PRO_BASE_FUEL,2)</f>
        <v>5.04</v>
      </c>
    </row>
    <row r="183" spans="1:51">
      <c r="C183" s="42"/>
      <c r="L183" s="45"/>
      <c r="M183" s="45"/>
      <c r="N183" s="45"/>
      <c r="O183" s="45"/>
      <c r="P183" s="45"/>
      <c r="Q183" s="45"/>
      <c r="R183" s="45"/>
      <c r="S183" s="45"/>
      <c r="T183" s="351">
        <v>12</v>
      </c>
      <c r="V183" s="310" t="s">
        <v>202</v>
      </c>
      <c r="Y183" s="371"/>
      <c r="Z183" s="1"/>
      <c r="AA183" s="3"/>
      <c r="AB183" s="1"/>
      <c r="AC183" s="5"/>
      <c r="AD183" s="342"/>
      <c r="AE183" s="3"/>
      <c r="AF183" s="3"/>
      <c r="AG183" s="103"/>
      <c r="AH183" s="4"/>
      <c r="AI183" s="3"/>
      <c r="AJ183" s="3"/>
      <c r="AK183" s="113"/>
      <c r="AL183" s="6"/>
      <c r="AM183" s="3"/>
      <c r="AN183" s="3"/>
      <c r="AO183" s="3"/>
      <c r="AP183" s="3"/>
      <c r="AQ183" s="113"/>
      <c r="AS183" s="45"/>
      <c r="AW183" s="164"/>
    </row>
    <row r="184" spans="1:51">
      <c r="A184" s="42"/>
      <c r="T184" s="351">
        <v>13</v>
      </c>
      <c r="V184" s="48" t="str">
        <f t="shared" ref="V184:V189" si="25">C30</f>
        <v xml:space="preserve">     9,500 LUMEN</v>
      </c>
      <c r="Y184" s="68">
        <f t="shared" ref="Y184:Y189" si="26">F30</f>
        <v>17891</v>
      </c>
      <c r="Z184" s="1"/>
      <c r="AA184" s="68">
        <f t="shared" ref="AA184:AA189" si="27">H30</f>
        <v>726076</v>
      </c>
      <c r="AB184" s="68"/>
      <c r="AC184" s="132">
        <v>12.34</v>
      </c>
      <c r="AD184" s="342"/>
      <c r="AE184" s="3">
        <f t="shared" ref="AE184:AE189" si="28">ROUND((Y184*AC184),0)</f>
        <v>220775</v>
      </c>
      <c r="AF184" s="3"/>
      <c r="AG184" s="103">
        <f t="shared" ref="AG184:AG189" si="29">ROUND((AE184/AE$293)*100,1)</f>
        <v>15.6</v>
      </c>
      <c r="AH184" s="4"/>
      <c r="AI184" s="3">
        <f t="shared" ref="AI184:AI189" si="30">L30-AE184</f>
        <v>31488</v>
      </c>
      <c r="AJ184" s="3"/>
      <c r="AK184" s="113">
        <f t="shared" ref="AK184:AK189" si="31">IF(AE184=0,"0.0 ",ROUND((AI184/AE184)*100,1))</f>
        <v>14.3</v>
      </c>
      <c r="AL184" s="6"/>
      <c r="AM184" s="3">
        <f t="shared" ref="AM184:AM189" si="32">ROUND(CUR_FAC*AA184,0)</f>
        <v>2532</v>
      </c>
      <c r="AN184" s="3"/>
      <c r="AO184" s="3">
        <f t="shared" ref="AO184:AO189" si="33">AE184+AM184</f>
        <v>223307</v>
      </c>
      <c r="AP184" s="3"/>
      <c r="AQ184" s="113">
        <f t="shared" ref="AQ184:AQ189" si="34">IF(AO184=0,"0.0 ",ROUND((AI184/AO184)*100,1))</f>
        <v>14.1</v>
      </c>
      <c r="AS184" s="45"/>
      <c r="AT184" s="56">
        <f t="shared" ref="AT184:AT189" si="35">AC184-AX184</f>
        <v>10.969999999999999</v>
      </c>
      <c r="AW184" s="164">
        <v>487</v>
      </c>
      <c r="AX184" s="41">
        <f t="shared" ref="AX184:AX189" si="36">ROUND((AW184/12)*CUR_BASE_FUEL,2)</f>
        <v>1.37</v>
      </c>
      <c r="AY184" s="41">
        <f t="shared" ref="AY184:AY189" si="37">ROUND((AW184/12)*PRO_BASE_FUEL,2)</f>
        <v>1.37</v>
      </c>
    </row>
    <row r="185" spans="1:51">
      <c r="A185" s="42"/>
      <c r="T185" s="351">
        <v>14</v>
      </c>
      <c r="V185" s="48" t="str">
        <f t="shared" si="25"/>
        <v xml:space="preserve">     9,500 LUMEN (OPEN)</v>
      </c>
      <c r="Y185" s="68">
        <f t="shared" si="26"/>
        <v>96</v>
      </c>
      <c r="Z185" s="1"/>
      <c r="AA185" s="68">
        <f t="shared" si="27"/>
        <v>3896</v>
      </c>
      <c r="AB185" s="68"/>
      <c r="AC185" s="132">
        <v>9.3800000000000008</v>
      </c>
      <c r="AD185" s="342"/>
      <c r="AE185" s="3">
        <f t="shared" si="28"/>
        <v>900</v>
      </c>
      <c r="AF185" s="3"/>
      <c r="AG185" s="103">
        <f t="shared" si="29"/>
        <v>0.1</v>
      </c>
      <c r="AH185" s="4"/>
      <c r="AI185" s="3">
        <f t="shared" si="30"/>
        <v>129</v>
      </c>
      <c r="AJ185" s="3"/>
      <c r="AK185" s="113">
        <f t="shared" si="31"/>
        <v>14.3</v>
      </c>
      <c r="AL185" s="6"/>
      <c r="AM185" s="3">
        <f t="shared" si="32"/>
        <v>14</v>
      </c>
      <c r="AN185" s="3"/>
      <c r="AO185" s="3">
        <f t="shared" si="33"/>
        <v>914</v>
      </c>
      <c r="AP185" s="3"/>
      <c r="AQ185" s="113">
        <f t="shared" si="34"/>
        <v>14.1</v>
      </c>
      <c r="AS185" s="45"/>
      <c r="AT185" s="56">
        <f t="shared" si="35"/>
        <v>8.0100000000000016</v>
      </c>
      <c r="AW185" s="164">
        <v>487</v>
      </c>
      <c r="AX185" s="41">
        <f t="shared" si="36"/>
        <v>1.37</v>
      </c>
      <c r="AY185" s="41">
        <f t="shared" si="37"/>
        <v>1.37</v>
      </c>
    </row>
    <row r="186" spans="1:51">
      <c r="A186" s="42"/>
      <c r="T186" s="351">
        <v>15</v>
      </c>
      <c r="V186" s="48" t="str">
        <f t="shared" si="25"/>
        <v xml:space="preserve">   16,000 LUMEN</v>
      </c>
      <c r="Y186" s="68">
        <f t="shared" si="26"/>
        <v>362</v>
      </c>
      <c r="Z186" s="1"/>
      <c r="AA186" s="68">
        <f t="shared" si="27"/>
        <v>21449</v>
      </c>
      <c r="AB186" s="68"/>
      <c r="AC186" s="132">
        <v>13.64</v>
      </c>
      <c r="AD186" s="342"/>
      <c r="AE186" s="3">
        <f t="shared" si="28"/>
        <v>4938</v>
      </c>
      <c r="AF186" s="3"/>
      <c r="AG186" s="103">
        <f t="shared" si="29"/>
        <v>0.3</v>
      </c>
      <c r="AH186" s="4"/>
      <c r="AI186" s="3">
        <f t="shared" si="30"/>
        <v>706</v>
      </c>
      <c r="AJ186" s="3"/>
      <c r="AK186" s="113">
        <f t="shared" si="31"/>
        <v>14.3</v>
      </c>
      <c r="AL186" s="6"/>
      <c r="AM186" s="3">
        <f t="shared" si="32"/>
        <v>75</v>
      </c>
      <c r="AN186" s="3"/>
      <c r="AO186" s="3">
        <f t="shared" si="33"/>
        <v>5013</v>
      </c>
      <c r="AP186" s="3"/>
      <c r="AQ186" s="113">
        <f t="shared" si="34"/>
        <v>14.1</v>
      </c>
      <c r="AS186" s="45"/>
      <c r="AT186" s="56">
        <f t="shared" si="35"/>
        <v>11.64</v>
      </c>
      <c r="AW186" s="164">
        <v>711</v>
      </c>
      <c r="AX186" s="41">
        <f t="shared" si="36"/>
        <v>2</v>
      </c>
      <c r="AY186" s="41">
        <f t="shared" si="37"/>
        <v>2</v>
      </c>
    </row>
    <row r="187" spans="1:51">
      <c r="A187" s="42"/>
      <c r="T187" s="351">
        <v>16</v>
      </c>
      <c r="V187" s="48" t="str">
        <f t="shared" si="25"/>
        <v xml:space="preserve">   22,000 LUMEN</v>
      </c>
      <c r="Y187" s="68">
        <f t="shared" si="26"/>
        <v>3660</v>
      </c>
      <c r="Z187" s="1"/>
      <c r="AA187" s="68">
        <f t="shared" si="27"/>
        <v>289140</v>
      </c>
      <c r="AB187" s="68"/>
      <c r="AC187" s="132">
        <v>17.7</v>
      </c>
      <c r="AD187" s="5"/>
      <c r="AE187" s="3">
        <f t="shared" si="28"/>
        <v>64782</v>
      </c>
      <c r="AF187" s="1"/>
      <c r="AG187" s="103">
        <f t="shared" si="29"/>
        <v>4.5999999999999996</v>
      </c>
      <c r="AH187" s="1"/>
      <c r="AI187" s="3">
        <f t="shared" si="30"/>
        <v>9223</v>
      </c>
      <c r="AJ187" s="1"/>
      <c r="AK187" s="103">
        <f t="shared" si="31"/>
        <v>14.2</v>
      </c>
      <c r="AL187" s="1"/>
      <c r="AM187" s="3">
        <f t="shared" si="32"/>
        <v>1008</v>
      </c>
      <c r="AN187" s="1"/>
      <c r="AO187" s="3">
        <f t="shared" si="33"/>
        <v>65790</v>
      </c>
      <c r="AP187" s="1"/>
      <c r="AQ187" s="113">
        <f t="shared" si="34"/>
        <v>14</v>
      </c>
      <c r="AS187" s="45"/>
      <c r="AT187" s="56">
        <f t="shared" si="35"/>
        <v>15.03</v>
      </c>
      <c r="AW187" s="164">
        <v>948</v>
      </c>
      <c r="AX187" s="41">
        <f t="shared" si="36"/>
        <v>2.67</v>
      </c>
      <c r="AY187" s="41">
        <f t="shared" si="37"/>
        <v>2.67</v>
      </c>
    </row>
    <row r="188" spans="1:51">
      <c r="A188" s="42"/>
      <c r="T188" s="351">
        <v>17</v>
      </c>
      <c r="U188" s="372"/>
      <c r="V188" s="48" t="str">
        <f t="shared" si="25"/>
        <v xml:space="preserve">   27,500 LUMEN</v>
      </c>
      <c r="Y188" s="68">
        <f t="shared" si="26"/>
        <v>96</v>
      </c>
      <c r="Z188" s="1"/>
      <c r="AA188" s="68">
        <f t="shared" si="27"/>
        <v>7584</v>
      </c>
      <c r="AB188" s="68"/>
      <c r="AC188" s="132">
        <v>17.7</v>
      </c>
      <c r="AD188" s="342"/>
      <c r="AE188" s="3">
        <f t="shared" si="28"/>
        <v>1699</v>
      </c>
      <c r="AF188" s="3"/>
      <c r="AG188" s="103">
        <f t="shared" si="29"/>
        <v>0.1</v>
      </c>
      <c r="AH188" s="4"/>
      <c r="AI188" s="3">
        <f t="shared" si="30"/>
        <v>242</v>
      </c>
      <c r="AJ188" s="3"/>
      <c r="AK188" s="113">
        <f t="shared" si="31"/>
        <v>14.2</v>
      </c>
      <c r="AL188" s="6"/>
      <c r="AM188" s="3">
        <f t="shared" si="32"/>
        <v>26</v>
      </c>
      <c r="AN188" s="3"/>
      <c r="AO188" s="3">
        <f t="shared" si="33"/>
        <v>1725</v>
      </c>
      <c r="AP188" s="3"/>
      <c r="AQ188" s="113">
        <f t="shared" si="34"/>
        <v>14</v>
      </c>
      <c r="AS188" s="45"/>
      <c r="AT188" s="56">
        <f t="shared" si="35"/>
        <v>15.03</v>
      </c>
      <c r="AW188" s="164">
        <v>948</v>
      </c>
      <c r="AX188" s="41">
        <f t="shared" si="36"/>
        <v>2.67</v>
      </c>
      <c r="AY188" s="41">
        <f t="shared" si="37"/>
        <v>2.67</v>
      </c>
    </row>
    <row r="189" spans="1:51">
      <c r="A189" s="42"/>
      <c r="T189" s="351">
        <v>18</v>
      </c>
      <c r="U189" s="372"/>
      <c r="V189" s="48" t="str">
        <f t="shared" si="25"/>
        <v xml:space="preserve">   50,000 LUMEN</v>
      </c>
      <c r="Y189" s="68">
        <f t="shared" si="26"/>
        <v>7299</v>
      </c>
      <c r="Z189" s="1"/>
      <c r="AA189" s="68">
        <f t="shared" si="27"/>
        <v>1191562</v>
      </c>
      <c r="AB189" s="68"/>
      <c r="AC189" s="132">
        <v>24.43</v>
      </c>
      <c r="AD189" s="342"/>
      <c r="AE189" s="3">
        <f t="shared" si="28"/>
        <v>178315</v>
      </c>
      <c r="AF189" s="3"/>
      <c r="AG189" s="103">
        <f t="shared" si="29"/>
        <v>12.6</v>
      </c>
      <c r="AH189" s="4"/>
      <c r="AI189" s="3">
        <f t="shared" si="30"/>
        <v>25400</v>
      </c>
      <c r="AJ189" s="3"/>
      <c r="AK189" s="113">
        <f t="shared" si="31"/>
        <v>14.2</v>
      </c>
      <c r="AL189" s="6"/>
      <c r="AM189" s="3">
        <f t="shared" si="32"/>
        <v>4155</v>
      </c>
      <c r="AN189" s="3"/>
      <c r="AO189" s="3">
        <f t="shared" si="33"/>
        <v>182470</v>
      </c>
      <c r="AP189" s="3"/>
      <c r="AQ189" s="113">
        <f t="shared" si="34"/>
        <v>13.9</v>
      </c>
      <c r="AS189" s="45"/>
      <c r="AT189" s="56">
        <f t="shared" si="35"/>
        <v>18.920000000000002</v>
      </c>
      <c r="AW189" s="164">
        <v>1959</v>
      </c>
      <c r="AX189" s="41">
        <f t="shared" si="36"/>
        <v>5.51</v>
      </c>
      <c r="AY189" s="41">
        <f t="shared" si="37"/>
        <v>5.51</v>
      </c>
    </row>
    <row r="190" spans="1:51">
      <c r="A190" s="42"/>
      <c r="T190" s="351">
        <v>19</v>
      </c>
      <c r="U190" s="372"/>
      <c r="V190" s="133" t="s">
        <v>203</v>
      </c>
      <c r="Y190" s="68"/>
      <c r="Z190" s="1"/>
      <c r="AA190" s="68"/>
      <c r="AB190" s="68"/>
      <c r="AC190" s="342"/>
      <c r="AD190" s="5"/>
      <c r="AE190" s="1"/>
      <c r="AF190" s="1"/>
      <c r="AG190" s="103"/>
      <c r="AH190" s="1"/>
      <c r="AI190" s="1"/>
      <c r="AJ190" s="1"/>
      <c r="AK190" s="103"/>
      <c r="AL190" s="1"/>
      <c r="AM190" s="1"/>
      <c r="AN190" s="1"/>
      <c r="AO190" s="1"/>
      <c r="AP190" s="1"/>
      <c r="AQ190" s="113"/>
      <c r="AS190" s="45"/>
      <c r="AW190" s="164"/>
    </row>
    <row r="191" spans="1:51">
      <c r="A191" s="42"/>
      <c r="T191" s="351">
        <v>20</v>
      </c>
      <c r="V191" s="48" t="str">
        <f>C37</f>
        <v xml:space="preserve">     9,500 LUMEN RECTILINEAR</v>
      </c>
      <c r="Y191" s="68">
        <f>F37</f>
        <v>0</v>
      </c>
      <c r="Z191" s="1"/>
      <c r="AA191" s="68">
        <f>H37</f>
        <v>0</v>
      </c>
      <c r="AB191" s="68"/>
      <c r="AC191" s="132">
        <v>15.24</v>
      </c>
      <c r="AD191" s="5"/>
      <c r="AE191" s="3">
        <f>ROUND((Y191*AC191),0)</f>
        <v>0</v>
      </c>
      <c r="AF191" s="3"/>
      <c r="AG191" s="103">
        <f>ROUND((AE191/AE$293)*100,1)</f>
        <v>0</v>
      </c>
      <c r="AH191" s="4"/>
      <c r="AI191" s="3">
        <f>L37-AE191</f>
        <v>0</v>
      </c>
      <c r="AJ191" s="3"/>
      <c r="AK191" s="113" t="str">
        <f>IF(AE191=0,"0.0 ",ROUND((AI191/AE191)*100,1))</f>
        <v xml:space="preserve">0.0 </v>
      </c>
      <c r="AL191" s="6"/>
      <c r="AM191" s="3">
        <f>ROUND(CUR_FAC*AA191,0)</f>
        <v>0</v>
      </c>
      <c r="AN191" s="3"/>
      <c r="AO191" s="3">
        <f>AE191+AM191</f>
        <v>0</v>
      </c>
      <c r="AP191" s="3"/>
      <c r="AQ191" s="113" t="str">
        <f>IF(AO191=0,"0.0 ",ROUND((AI191/AO191)*100,1))</f>
        <v xml:space="preserve">0.0 </v>
      </c>
      <c r="AS191" s="45"/>
      <c r="AT191" s="56">
        <f>AC191-AX191</f>
        <v>13.870000000000001</v>
      </c>
      <c r="AW191" s="164">
        <v>487</v>
      </c>
      <c r="AX191" s="41">
        <f>ROUND((AW191/12)*CUR_BASE_FUEL,2)</f>
        <v>1.37</v>
      </c>
      <c r="AY191" s="41">
        <f>ROUND((AW191/12)*PRO_BASE_FUEL,2)</f>
        <v>1.37</v>
      </c>
    </row>
    <row r="192" spans="1:51">
      <c r="A192" s="42"/>
      <c r="T192" s="351">
        <v>21</v>
      </c>
      <c r="U192" s="373"/>
      <c r="V192" s="48" t="str">
        <f>C38</f>
        <v xml:space="preserve">   22,000 LUMEN RECTILINEAR</v>
      </c>
      <c r="Y192" s="68">
        <f>F38</f>
        <v>12</v>
      </c>
      <c r="Z192" s="1"/>
      <c r="AA192" s="68">
        <f>H38</f>
        <v>1023</v>
      </c>
      <c r="AB192" s="68"/>
      <c r="AC192" s="132">
        <v>19.22</v>
      </c>
      <c r="AD192" s="342"/>
      <c r="AE192" s="3">
        <f>ROUND((Y192*AC192),0)</f>
        <v>231</v>
      </c>
      <c r="AF192" s="3"/>
      <c r="AG192" s="103">
        <f>ROUND((AE192/AE$293)*100,1)</f>
        <v>0</v>
      </c>
      <c r="AH192" s="4"/>
      <c r="AI192" s="3">
        <f>L38-AE192</f>
        <v>33</v>
      </c>
      <c r="AJ192" s="3"/>
      <c r="AK192" s="113">
        <f>IF(AE192=0,"0.0 ",ROUND((AI192/AE192)*100,1))</f>
        <v>14.3</v>
      </c>
      <c r="AL192" s="6"/>
      <c r="AM192" s="3">
        <f>ROUND(CUR_FAC*AA192,0)</f>
        <v>4</v>
      </c>
      <c r="AN192" s="3"/>
      <c r="AO192" s="3">
        <f>AE192+AM192</f>
        <v>235</v>
      </c>
      <c r="AP192" s="3"/>
      <c r="AQ192" s="113">
        <f>IF(AO192=0,"0.0 ",ROUND((AI192/AO192)*100,1))</f>
        <v>14</v>
      </c>
      <c r="AS192" s="45"/>
      <c r="AT192" s="56">
        <f>AC192-AX192</f>
        <v>16.34</v>
      </c>
      <c r="AW192" s="45">
        <v>1023</v>
      </c>
      <c r="AX192" s="41">
        <f>ROUND((AW192/12)*CUR_BASE_FUEL,2)</f>
        <v>2.88</v>
      </c>
      <c r="AY192" s="41">
        <f>ROUND((AW192/12)*PRO_BASE_FUEL,2)</f>
        <v>2.88</v>
      </c>
    </row>
    <row r="193" spans="1:51">
      <c r="A193" s="42"/>
      <c r="T193" s="351">
        <v>22</v>
      </c>
      <c r="V193" s="48" t="str">
        <f>C39</f>
        <v xml:space="preserve">   50,000 LUMEN RECTILINEAR</v>
      </c>
      <c r="Y193" s="68">
        <f>F39</f>
        <v>204</v>
      </c>
      <c r="Z193" s="1"/>
      <c r="AA193" s="68">
        <f>H39</f>
        <v>33303</v>
      </c>
      <c r="AB193" s="68"/>
      <c r="AC193" s="132">
        <v>26.01</v>
      </c>
      <c r="AD193" s="342"/>
      <c r="AE193" s="3">
        <f>ROUND((Y193*AC193),0)</f>
        <v>5306</v>
      </c>
      <c r="AF193" s="3"/>
      <c r="AG193" s="103">
        <f>ROUND((AE193/AE$293)*100,1)</f>
        <v>0.4</v>
      </c>
      <c r="AH193" s="4"/>
      <c r="AI193" s="3">
        <f>L39-AE193</f>
        <v>757</v>
      </c>
      <c r="AJ193" s="3"/>
      <c r="AK193" s="113">
        <f>IF(AE193=0,"0.0 ",ROUND((AI193/AE193)*100,1))</f>
        <v>14.3</v>
      </c>
      <c r="AL193" s="6"/>
      <c r="AM193" s="3">
        <f>ROUND(CUR_FAC*AA193,0)</f>
        <v>116</v>
      </c>
      <c r="AN193" s="3"/>
      <c r="AO193" s="3">
        <f>AE193+AM193</f>
        <v>5422</v>
      </c>
      <c r="AP193" s="3"/>
      <c r="AQ193" s="113">
        <f>IF(AO193=0,"0.0 ",ROUND((AI193/AO193)*100,1))</f>
        <v>14</v>
      </c>
      <c r="AS193" s="45"/>
      <c r="AT193" s="56">
        <f>AC193-AX193</f>
        <v>20.5</v>
      </c>
      <c r="AW193" s="164">
        <v>1959</v>
      </c>
      <c r="AX193" s="41">
        <f>ROUND((AW193/12)*CUR_BASE_FUEL,2)</f>
        <v>5.51</v>
      </c>
      <c r="AY193" s="41">
        <f>ROUND((AW193/12)*PRO_BASE_FUEL,2)</f>
        <v>5.51</v>
      </c>
    </row>
    <row r="194" spans="1:51">
      <c r="T194" s="351">
        <v>23</v>
      </c>
      <c r="V194" s="48" t="str">
        <f>C40</f>
        <v xml:space="preserve">   50,000 LUMEN SETBACK</v>
      </c>
      <c r="Y194" s="68">
        <f>F40</f>
        <v>241</v>
      </c>
      <c r="Z194" s="1"/>
      <c r="AA194" s="68">
        <f>H40</f>
        <v>39343</v>
      </c>
      <c r="AB194" s="68"/>
      <c r="AC194" s="132">
        <v>37.799999999999997</v>
      </c>
      <c r="AD194" s="342"/>
      <c r="AE194" s="3">
        <f>ROUND((Y194*AC194),0)</f>
        <v>9110</v>
      </c>
      <c r="AF194" s="3"/>
      <c r="AG194" s="103">
        <f>ROUND((AE194/AE$293)*100,1)</f>
        <v>0.6</v>
      </c>
      <c r="AH194" s="4"/>
      <c r="AI194" s="3">
        <f>L40-AE194</f>
        <v>1299</v>
      </c>
      <c r="AJ194" s="3"/>
      <c r="AK194" s="113">
        <f>IF(AE194=0,"0.0 ",ROUND((AI194/AE194)*100,1))</f>
        <v>14.3</v>
      </c>
      <c r="AL194" s="6"/>
      <c r="AM194" s="3">
        <f>ROUND(CUR_FAC*AA194,0)</f>
        <v>137</v>
      </c>
      <c r="AN194" s="3"/>
      <c r="AO194" s="3">
        <f>AE194+AM194</f>
        <v>9247</v>
      </c>
      <c r="AP194" s="3"/>
      <c r="AQ194" s="113">
        <f>IF(AO194=0,"0.0 ",ROUND((AI194/AO194)*100,1))</f>
        <v>14</v>
      </c>
      <c r="AS194" s="45"/>
      <c r="AT194" s="56">
        <f>AC194-AX194</f>
        <v>32.29</v>
      </c>
      <c r="AW194" s="164">
        <v>1959</v>
      </c>
      <c r="AX194" s="41">
        <f>ROUND((AW194/12)*CUR_BASE_FUEL,2)</f>
        <v>5.51</v>
      </c>
      <c r="AY194" s="41">
        <f>ROUND((AW194/12)*PRO_BASE_FUEL,2)</f>
        <v>5.51</v>
      </c>
    </row>
    <row r="195" spans="1:51">
      <c r="T195" s="351">
        <v>24</v>
      </c>
      <c r="V195" s="48"/>
      <c r="Y195" s="68"/>
      <c r="Z195" s="1"/>
      <c r="AA195" s="68"/>
      <c r="AB195" s="68"/>
      <c r="AC195" s="132"/>
      <c r="AD195" s="342"/>
      <c r="AE195" s="3"/>
      <c r="AF195" s="3"/>
      <c r="AG195" s="103"/>
      <c r="AH195" s="4"/>
      <c r="AI195" s="3"/>
      <c r="AJ195" s="3"/>
      <c r="AK195" s="113"/>
      <c r="AL195" s="6"/>
      <c r="AM195" s="3"/>
      <c r="AN195" s="3"/>
      <c r="AO195" s="3"/>
      <c r="AP195" s="3"/>
      <c r="AQ195" s="113"/>
      <c r="AS195" s="45"/>
      <c r="AT195" s="56"/>
      <c r="AW195" s="164"/>
    </row>
    <row r="196" spans="1:51">
      <c r="T196" s="351">
        <v>25</v>
      </c>
      <c r="V196" s="310" t="s">
        <v>264</v>
      </c>
      <c r="Y196" s="72">
        <f>SUM(Y175:Y194)</f>
        <v>81914</v>
      </c>
      <c r="Z196" s="1"/>
      <c r="AA196" s="72">
        <f>SUM(AA175:AA194)</f>
        <v>6250277</v>
      </c>
      <c r="AB196" s="3"/>
      <c r="AC196" s="5"/>
      <c r="AD196" s="342"/>
      <c r="AE196" s="72">
        <f>SUM(AE175:AE194)</f>
        <v>1120896</v>
      </c>
      <c r="AF196" s="3"/>
      <c r="AG196" s="105">
        <f>ROUND((AE196/AE$293)*100,1)</f>
        <v>79</v>
      </c>
      <c r="AH196" s="4"/>
      <c r="AI196" s="72">
        <f>SUM(AI175:AI194)</f>
        <v>159895</v>
      </c>
      <c r="AJ196" s="3"/>
      <c r="AK196" s="114">
        <f>IF(AE196=0,"0.0 ",ROUND((AI196/AE196)*100,1))</f>
        <v>14.3</v>
      </c>
      <c r="AL196" s="6"/>
      <c r="AM196" s="72">
        <f>SUM(AM175:AM194)</f>
        <v>21796</v>
      </c>
      <c r="AN196" s="3"/>
      <c r="AO196" s="72">
        <f>SUM(AO175:AO194)</f>
        <v>1142692</v>
      </c>
      <c r="AP196" s="3"/>
      <c r="AQ196" s="114">
        <f>IF(AO196=0,"0.0 ",ROUND((AI196/AO196)*100,1))</f>
        <v>14</v>
      </c>
      <c r="AS196" s="45"/>
    </row>
    <row r="197" spans="1:51">
      <c r="T197" s="351">
        <v>26</v>
      </c>
      <c r="AS197" s="45"/>
    </row>
    <row r="198" spans="1:51">
      <c r="H198" s="42"/>
      <c r="I198" s="42"/>
      <c r="T198" s="351">
        <v>27</v>
      </c>
      <c r="V198" s="133" t="s">
        <v>80</v>
      </c>
      <c r="W198" s="130"/>
      <c r="Y198" s="1"/>
      <c r="Z198" s="1"/>
      <c r="AA198" s="1"/>
      <c r="AB198" s="1"/>
      <c r="AC198" s="5"/>
      <c r="AD198" s="342"/>
      <c r="AE198" s="3"/>
      <c r="AF198" s="3"/>
      <c r="AG198" s="103"/>
      <c r="AH198" s="4"/>
      <c r="AI198" s="3"/>
      <c r="AJ198" s="3"/>
      <c r="AK198" s="113"/>
      <c r="AL198" s="6"/>
      <c r="AM198" s="3"/>
      <c r="AN198" s="3"/>
      <c r="AO198" s="3"/>
      <c r="AP198" s="3"/>
      <c r="AQ198" s="113"/>
      <c r="AS198" s="45"/>
      <c r="AW198" s="1"/>
    </row>
    <row r="199" spans="1:51">
      <c r="H199" s="42"/>
      <c r="I199" s="42"/>
      <c r="T199" s="351">
        <v>28</v>
      </c>
      <c r="V199" s="310" t="s">
        <v>204</v>
      </c>
      <c r="W199" s="130"/>
      <c r="Y199" s="1"/>
      <c r="Z199" s="1"/>
      <c r="AA199" s="1"/>
      <c r="AB199" s="1"/>
      <c r="AC199" s="5"/>
      <c r="AD199" s="342"/>
      <c r="AE199" s="3"/>
      <c r="AF199" s="3"/>
      <c r="AG199" s="103"/>
      <c r="AH199" s="4"/>
      <c r="AI199" s="3"/>
      <c r="AJ199" s="3"/>
      <c r="AK199" s="103"/>
      <c r="AL199" s="6"/>
      <c r="AM199" s="3"/>
      <c r="AN199" s="3"/>
      <c r="AO199" s="3"/>
      <c r="AP199" s="3"/>
      <c r="AQ199" s="113"/>
      <c r="AS199" s="45"/>
      <c r="AW199" s="1"/>
    </row>
    <row r="200" spans="1:51">
      <c r="T200" s="351">
        <v>29</v>
      </c>
      <c r="V200" s="48" t="str">
        <f>C46</f>
        <v xml:space="preserve">     7,000 LUMEN</v>
      </c>
      <c r="Y200" s="68">
        <f>F46</f>
        <v>272</v>
      </c>
      <c r="Z200" s="1"/>
      <c r="AA200" s="68">
        <f>H46</f>
        <v>19811</v>
      </c>
      <c r="AB200" s="68"/>
      <c r="AC200" s="132">
        <v>11.74</v>
      </c>
      <c r="AD200" s="342"/>
      <c r="AE200" s="3">
        <f>ROUND((Y200*AC200),0)</f>
        <v>3193</v>
      </c>
      <c r="AF200" s="3"/>
      <c r="AG200" s="103">
        <f>ROUND((AE200/AE$293)*100,1)</f>
        <v>0.2</v>
      </c>
      <c r="AH200" s="4"/>
      <c r="AI200" s="3">
        <f>L46-AE200</f>
        <v>455</v>
      </c>
      <c r="AJ200" s="3"/>
      <c r="AK200" s="113">
        <f>IF(AE200=0,"0.0 ",ROUND((AI200/AE200)*100,1))</f>
        <v>14.2</v>
      </c>
      <c r="AL200" s="6"/>
      <c r="AM200" s="3">
        <f>ROUND(CUR_FAC*AA200,0)</f>
        <v>69</v>
      </c>
      <c r="AN200" s="3"/>
      <c r="AO200" s="3">
        <f>AE200+AM200</f>
        <v>3262</v>
      </c>
      <c r="AP200" s="3"/>
      <c r="AQ200" s="113">
        <f>IF(AO200=0,"0.0 ",ROUND((AI200/AO200)*100,1))</f>
        <v>13.9</v>
      </c>
      <c r="AS200" s="45"/>
      <c r="AT200" s="56">
        <f>AC200-AX200</f>
        <v>9.2800000000000011</v>
      </c>
      <c r="AW200" s="164">
        <v>874</v>
      </c>
      <c r="AX200" s="41">
        <f>ROUND((AW200/12)*CUR_BASE_FUEL,2)</f>
        <v>2.46</v>
      </c>
      <c r="AY200" s="41">
        <f>ROUND((AW200/12)*PRO_BASE_FUEL,2)</f>
        <v>2.46</v>
      </c>
    </row>
    <row r="201" spans="1:51">
      <c r="T201" s="351">
        <v>30</v>
      </c>
      <c r="V201" s="48" t="str">
        <f>C47</f>
        <v xml:space="preserve">     7,000 LUMEN (OPEN)</v>
      </c>
      <c r="Y201" s="68">
        <f>F47</f>
        <v>0</v>
      </c>
      <c r="Z201" s="1"/>
      <c r="AA201" s="68">
        <f>H47</f>
        <v>0</v>
      </c>
      <c r="AB201" s="68"/>
      <c r="AC201" s="132">
        <v>9.77</v>
      </c>
      <c r="AD201" s="342"/>
      <c r="AE201" s="3">
        <f>ROUND((Y201*AC201),0)</f>
        <v>0</v>
      </c>
      <c r="AF201" s="3"/>
      <c r="AG201" s="103">
        <f>ROUND((AE201/AE$293)*100,1)</f>
        <v>0</v>
      </c>
      <c r="AH201" s="4"/>
      <c r="AI201" s="3">
        <f>L47-AE201</f>
        <v>0</v>
      </c>
      <c r="AJ201" s="3"/>
      <c r="AK201" s="113" t="str">
        <f>IF(AE201=0,"0.0 ",ROUND((AI201/AE201)*100,1))</f>
        <v xml:space="preserve">0.0 </v>
      </c>
      <c r="AL201" s="6"/>
      <c r="AM201" s="3">
        <f>ROUND(CUR_FAC*AA201,0)</f>
        <v>0</v>
      </c>
      <c r="AN201" s="3"/>
      <c r="AO201" s="3">
        <f>AE201+AM201</f>
        <v>0</v>
      </c>
      <c r="AP201" s="3"/>
      <c r="AQ201" s="113" t="str">
        <f>IF(AO201=0,"0.0 ",ROUND((AI201/AO201)*100,1))</f>
        <v xml:space="preserve">0.0 </v>
      </c>
      <c r="AS201" s="45"/>
      <c r="AT201" s="56">
        <f>AC201-AX201</f>
        <v>7.3699999999999992</v>
      </c>
      <c r="AW201" s="164">
        <v>853</v>
      </c>
      <c r="AX201" s="41">
        <f>ROUND((AW201/12)*CUR_BASE_FUEL,2)</f>
        <v>2.4</v>
      </c>
      <c r="AY201" s="41">
        <f>ROUND((AW201/12)*PRO_BASE_FUEL,2)</f>
        <v>2.4</v>
      </c>
    </row>
    <row r="202" spans="1:51">
      <c r="T202" s="351">
        <v>31</v>
      </c>
      <c r="V202" s="48" t="str">
        <f>C48</f>
        <v xml:space="preserve">  10,000 LUMEN</v>
      </c>
      <c r="Y202" s="68">
        <f>F48</f>
        <v>132</v>
      </c>
      <c r="Z202" s="1"/>
      <c r="AA202" s="68">
        <f>H48</f>
        <v>13365</v>
      </c>
      <c r="AB202" s="68"/>
      <c r="AC202" s="132">
        <v>13.76</v>
      </c>
      <c r="AD202" s="342"/>
      <c r="AE202" s="3">
        <f>ROUND((Y202*AC202),0)</f>
        <v>1816</v>
      </c>
      <c r="AF202" s="3"/>
      <c r="AG202" s="103">
        <f>ROUND((AE202/AE$293)*100,1)</f>
        <v>0.1</v>
      </c>
      <c r="AH202" s="4"/>
      <c r="AI202" s="3">
        <f>L48-AE202</f>
        <v>259</v>
      </c>
      <c r="AJ202" s="3"/>
      <c r="AK202" s="113">
        <f>IF(AE202=0,"0.0 ",ROUND((AI202/AE202)*100,1))</f>
        <v>14.3</v>
      </c>
      <c r="AL202" s="6"/>
      <c r="AM202" s="3">
        <f>ROUND(CUR_FAC*AA202,0)</f>
        <v>47</v>
      </c>
      <c r="AN202" s="3"/>
      <c r="AO202" s="3">
        <f>AE202+AM202</f>
        <v>1863</v>
      </c>
      <c r="AP202" s="3"/>
      <c r="AQ202" s="113">
        <f>IF(AO202=0,"0.0 ",ROUND((AI202/AO202)*100,1))</f>
        <v>13.9</v>
      </c>
      <c r="AS202" s="45"/>
      <c r="AT202" s="56">
        <f>AC202-AX202</f>
        <v>10.34</v>
      </c>
      <c r="AW202" s="164">
        <v>1215</v>
      </c>
      <c r="AX202" s="41">
        <f>ROUND((AW202/12)*CUR_BASE_FUEL,2)</f>
        <v>3.42</v>
      </c>
      <c r="AY202" s="41">
        <f>ROUND((AW202/12)*PRO_BASE_FUEL,2)</f>
        <v>3.42</v>
      </c>
    </row>
    <row r="203" spans="1:51">
      <c r="T203" s="351">
        <v>32</v>
      </c>
      <c r="U203" s="374"/>
      <c r="V203" s="48" t="str">
        <f>C49</f>
        <v xml:space="preserve">  21,000 LUMEN</v>
      </c>
      <c r="Y203" s="68">
        <f>F49</f>
        <v>228</v>
      </c>
      <c r="Z203" s="1"/>
      <c r="AA203" s="68">
        <f>H49</f>
        <v>36366</v>
      </c>
      <c r="AB203" s="68"/>
      <c r="AC203" s="132">
        <v>18.8</v>
      </c>
      <c r="AD203" s="342"/>
      <c r="AE203" s="3">
        <f>ROUND((Y203*AC203),0)</f>
        <v>4286</v>
      </c>
      <c r="AF203" s="3"/>
      <c r="AG203" s="103">
        <f>ROUND((AE203/AE$293)*100,1)</f>
        <v>0.3</v>
      </c>
      <c r="AH203" s="4"/>
      <c r="AI203" s="3">
        <f>L49-AE203</f>
        <v>611</v>
      </c>
      <c r="AJ203" s="3"/>
      <c r="AK203" s="113">
        <f>IF(AE203=0,"0.0 ",ROUND((AI203/AE203)*100,1))</f>
        <v>14.3</v>
      </c>
      <c r="AL203" s="6"/>
      <c r="AM203" s="3">
        <f>ROUND(CUR_FAC*AA203,0)</f>
        <v>127</v>
      </c>
      <c r="AN203" s="3"/>
      <c r="AO203" s="3">
        <f>AE203+AM203</f>
        <v>4413</v>
      </c>
      <c r="AP203" s="3"/>
      <c r="AQ203" s="113">
        <f>IF(AO203=0,"0.0 ",ROUND((AI203/AO203)*100,1))</f>
        <v>13.8</v>
      </c>
      <c r="AS203" s="45"/>
      <c r="AT203" s="56">
        <f>AC203-AX203</f>
        <v>13.41</v>
      </c>
      <c r="AW203" s="164">
        <v>1914</v>
      </c>
      <c r="AX203" s="41">
        <f>ROUND((AW203/12)*CUR_BASE_FUEL,2)</f>
        <v>5.39</v>
      </c>
      <c r="AY203" s="41">
        <f>ROUND((AW203/12)*PRO_BASE_FUEL,2)</f>
        <v>5.39</v>
      </c>
    </row>
    <row r="204" spans="1:51">
      <c r="L204" s="42"/>
      <c r="M204" s="42"/>
      <c r="T204" s="351">
        <v>33</v>
      </c>
      <c r="V204" s="133" t="s">
        <v>267</v>
      </c>
      <c r="Y204" s="68"/>
      <c r="Z204" s="1"/>
      <c r="AA204" s="68"/>
      <c r="AB204" s="68"/>
      <c r="AC204" s="342"/>
      <c r="AD204" s="342"/>
      <c r="AE204" s="3"/>
      <c r="AF204" s="3"/>
      <c r="AG204" s="103"/>
      <c r="AH204" s="4"/>
      <c r="AI204" s="3"/>
      <c r="AJ204" s="3"/>
      <c r="AK204" s="113"/>
      <c r="AL204" s="6"/>
      <c r="AM204" s="3"/>
      <c r="AN204" s="3"/>
      <c r="AO204" s="3"/>
      <c r="AP204" s="3"/>
      <c r="AQ204" s="113"/>
      <c r="AS204" s="45"/>
      <c r="AW204" s="164"/>
    </row>
    <row r="205" spans="1:51">
      <c r="L205" s="42"/>
      <c r="M205" s="42"/>
      <c r="T205" s="351">
        <v>34</v>
      </c>
      <c r="V205" s="48" t="str">
        <f>C51</f>
        <v xml:space="preserve">    14,000 LUMEN</v>
      </c>
      <c r="Y205" s="68">
        <f>F51</f>
        <v>0</v>
      </c>
      <c r="Z205" s="1"/>
      <c r="AA205" s="68">
        <f>H51</f>
        <v>0</v>
      </c>
      <c r="AB205" s="68"/>
      <c r="AC205" s="132">
        <v>11.74</v>
      </c>
      <c r="AD205" s="342"/>
      <c r="AE205" s="3">
        <f>ROUND((Y205*AC205),0)</f>
        <v>0</v>
      </c>
      <c r="AF205" s="3"/>
      <c r="AG205" s="103">
        <f>ROUND((AE205/AE$293)*100,1)</f>
        <v>0</v>
      </c>
      <c r="AH205" s="4"/>
      <c r="AI205" s="3">
        <f>L51-AE205</f>
        <v>0</v>
      </c>
      <c r="AJ205" s="3"/>
      <c r="AK205" s="113" t="str">
        <f>IF(AE205=0,"0.0 ",ROUND((AI205/AE205)*100,1))</f>
        <v xml:space="preserve">0.0 </v>
      </c>
      <c r="AL205" s="6"/>
      <c r="AM205" s="3">
        <f>ROUND(CUR_FAC*AA205,0)</f>
        <v>0</v>
      </c>
      <c r="AN205" s="3"/>
      <c r="AO205" s="3">
        <f>AE205+AM205</f>
        <v>0</v>
      </c>
      <c r="AP205" s="3"/>
      <c r="AQ205" s="113" t="str">
        <f>IF(AO205=0,"0.0 ",ROUND((AI205/AO205)*100,1))</f>
        <v xml:space="preserve">0.0 </v>
      </c>
      <c r="AS205" s="45"/>
      <c r="AT205" s="56">
        <f>AC205-AX205</f>
        <v>9.2800000000000011</v>
      </c>
      <c r="AW205" s="164">
        <v>874</v>
      </c>
      <c r="AX205" s="41">
        <f>ROUND((AW205/12)*CUR_BASE_FUEL,2)</f>
        <v>2.46</v>
      </c>
      <c r="AY205" s="41">
        <f>ROUND((AW205/12)*PRO_BASE_FUEL,2)</f>
        <v>2.46</v>
      </c>
    </row>
    <row r="206" spans="1:51">
      <c r="R206" s="42"/>
      <c r="T206" s="351">
        <v>35</v>
      </c>
      <c r="V206" s="48" t="str">
        <f>C52</f>
        <v xml:space="preserve">    20,500 LUMEN</v>
      </c>
      <c r="Y206" s="68">
        <f>F52</f>
        <v>0</v>
      </c>
      <c r="Z206" s="1"/>
      <c r="AA206" s="68">
        <f>H52</f>
        <v>0</v>
      </c>
      <c r="AB206" s="68"/>
      <c r="AC206" s="132">
        <v>13.76</v>
      </c>
      <c r="AD206" s="342"/>
      <c r="AE206" s="3">
        <f>ROUND((Y206*AC206),0)</f>
        <v>0</v>
      </c>
      <c r="AF206" s="3"/>
      <c r="AG206" s="103">
        <f>ROUND((AE206/AE$293)*100,1)</f>
        <v>0</v>
      </c>
      <c r="AH206" s="4"/>
      <c r="AI206" s="3">
        <f>L52-AE206</f>
        <v>0</v>
      </c>
      <c r="AJ206" s="3"/>
      <c r="AK206" s="113" t="str">
        <f>IF(AE206=0,"0.0 ",ROUND((AI206/AE206)*100,1))</f>
        <v xml:space="preserve">0.0 </v>
      </c>
      <c r="AL206" s="6"/>
      <c r="AM206" s="3">
        <f>ROUND(CUR_FAC*AA206,0)</f>
        <v>0</v>
      </c>
      <c r="AN206" s="3"/>
      <c r="AO206" s="3">
        <f>AE206+AM206</f>
        <v>0</v>
      </c>
      <c r="AP206" s="3"/>
      <c r="AQ206" s="113" t="str">
        <f>IF(AO206=0,"0.0 ",ROUND((AI206/AO206)*100,1))</f>
        <v xml:space="preserve">0.0 </v>
      </c>
      <c r="AS206" s="45"/>
      <c r="AT206" s="56">
        <f>AC206-AX206</f>
        <v>10.34</v>
      </c>
      <c r="AW206" s="164">
        <v>1215</v>
      </c>
      <c r="AX206" s="41">
        <f>ROUND((AW206/12)*CUR_BASE_FUEL,2)</f>
        <v>3.42</v>
      </c>
      <c r="AY206" s="41">
        <f>ROUND((AW206/12)*PRO_BASE_FUEL,2)</f>
        <v>3.42</v>
      </c>
    </row>
    <row r="207" spans="1:51">
      <c r="R207" s="42"/>
      <c r="T207" s="351">
        <v>36</v>
      </c>
      <c r="V207" s="48" t="str">
        <f>C53</f>
        <v xml:space="preserve">    36,000 LUMEN</v>
      </c>
      <c r="Y207" s="68">
        <f>F53</f>
        <v>0</v>
      </c>
      <c r="Z207" s="1"/>
      <c r="AA207" s="68">
        <f>H53</f>
        <v>0</v>
      </c>
      <c r="AB207" s="68"/>
      <c r="AC207" s="132">
        <v>18.8</v>
      </c>
      <c r="AD207" s="342"/>
      <c r="AE207" s="3">
        <f>ROUND((Y207*AC207),0)</f>
        <v>0</v>
      </c>
      <c r="AF207" s="3"/>
      <c r="AG207" s="103">
        <f>ROUND((AE207/AE$293)*100,1)</f>
        <v>0</v>
      </c>
      <c r="AH207" s="4"/>
      <c r="AI207" s="3">
        <f>L53-AE207</f>
        <v>0</v>
      </c>
      <c r="AJ207" s="3"/>
      <c r="AK207" s="113" t="str">
        <f>IF(AE207=0,"0.0 ",ROUND((AI207/AE207)*100,1))</f>
        <v xml:space="preserve">0.0 </v>
      </c>
      <c r="AL207" s="6"/>
      <c r="AM207" s="3">
        <f>ROUND(CUR_FAC*AA207,0)</f>
        <v>0</v>
      </c>
      <c r="AN207" s="3"/>
      <c r="AO207" s="3">
        <f>AE207+AM207</f>
        <v>0</v>
      </c>
      <c r="AP207" s="3"/>
      <c r="AQ207" s="113" t="str">
        <f>IF(AO207=0,"0.0 ",ROUND((AI207/AO207)*100,1))</f>
        <v xml:space="preserve">0.0 </v>
      </c>
      <c r="AS207" s="45"/>
      <c r="AT207" s="56">
        <f>AC207-AX207</f>
        <v>13.41</v>
      </c>
      <c r="AW207" s="164">
        <v>1914</v>
      </c>
      <c r="AX207" s="41">
        <f>ROUND((AW207/12)*CUR_BASE_FUEL,2)</f>
        <v>5.39</v>
      </c>
      <c r="AY207" s="41">
        <f>ROUND((AW207/12)*PRO_BASE_FUEL,2)</f>
        <v>5.39</v>
      </c>
    </row>
    <row r="208" spans="1:51">
      <c r="R208" s="42"/>
      <c r="T208" s="351">
        <v>37</v>
      </c>
      <c r="V208" s="48"/>
      <c r="Y208" s="68"/>
      <c r="Z208" s="1"/>
      <c r="AA208" s="68"/>
      <c r="AB208" s="68"/>
      <c r="AC208" s="132"/>
      <c r="AD208" s="342"/>
      <c r="AE208" s="3"/>
      <c r="AF208" s="3"/>
      <c r="AG208" s="103"/>
      <c r="AH208" s="4"/>
      <c r="AI208" s="3"/>
      <c r="AJ208" s="3"/>
      <c r="AK208" s="113"/>
      <c r="AL208" s="6"/>
      <c r="AM208" s="3"/>
      <c r="AN208" s="3"/>
      <c r="AO208" s="3"/>
      <c r="AP208" s="3"/>
      <c r="AQ208" s="113"/>
      <c r="AS208" s="45"/>
      <c r="AW208" s="164"/>
    </row>
    <row r="209" spans="1:51">
      <c r="R209" s="42"/>
      <c r="T209" s="351">
        <v>38</v>
      </c>
      <c r="V209" s="310" t="s">
        <v>202</v>
      </c>
      <c r="AG209" s="41"/>
      <c r="AK209" s="41"/>
      <c r="AQ209" s="41"/>
    </row>
    <row r="210" spans="1:51">
      <c r="R210" s="42"/>
      <c r="T210" s="351">
        <v>39</v>
      </c>
      <c r="V210" s="48" t="str">
        <f t="shared" ref="V210:V215" si="38">C56</f>
        <v xml:space="preserve">     9,500 LUMEN </v>
      </c>
      <c r="Y210" s="68">
        <f t="shared" ref="Y210:Y215" si="39">F56</f>
        <v>282</v>
      </c>
      <c r="Z210" s="1"/>
      <c r="AA210" s="68">
        <f t="shared" ref="AA210:AA215" si="40">H56</f>
        <v>11445</v>
      </c>
      <c r="AB210" s="68"/>
      <c r="AC210" s="132">
        <v>12.34</v>
      </c>
      <c r="AD210" s="342"/>
      <c r="AE210" s="3">
        <f t="shared" ref="AE210:AE215" si="41">ROUND((Y210*AC210),0)</f>
        <v>3480</v>
      </c>
      <c r="AF210" s="3"/>
      <c r="AG210" s="103">
        <f t="shared" ref="AG210:AG215" si="42">ROUND((AE210/AE$293)*100,1)</f>
        <v>0.2</v>
      </c>
      <c r="AH210" s="4"/>
      <c r="AI210" s="3">
        <f t="shared" ref="AI210:AI215" si="43">L56-AE210</f>
        <v>496</v>
      </c>
      <c r="AJ210" s="3"/>
      <c r="AK210" s="113">
        <f t="shared" ref="AK210:AK215" si="44">IF(AE210=0,"0.0 ",ROUND((AI210/AE210)*100,1))</f>
        <v>14.3</v>
      </c>
      <c r="AL210" s="6"/>
      <c r="AM210" s="3">
        <f t="shared" ref="AM210:AM215" si="45">ROUND(CUR_FAC*AA210,0)</f>
        <v>40</v>
      </c>
      <c r="AN210" s="3"/>
      <c r="AO210" s="3">
        <f t="shared" ref="AO210:AO215" si="46">AE210+AM210</f>
        <v>3520</v>
      </c>
      <c r="AP210" s="3"/>
      <c r="AQ210" s="113">
        <f t="shared" ref="AQ210:AQ215" si="47">IF(AO210=0,"0.0 ",ROUND((AI210/AO210)*100,1))</f>
        <v>14.1</v>
      </c>
      <c r="AS210" s="45"/>
      <c r="AT210" s="56">
        <f t="shared" ref="AT210:AT215" si="48">AC210-AX210</f>
        <v>10.969999999999999</v>
      </c>
      <c r="AW210" s="164">
        <v>487</v>
      </c>
      <c r="AX210" s="41">
        <f t="shared" ref="AX210:AX215" si="49">ROUND((AW210/12)*CUR_BASE_FUEL,2)</f>
        <v>1.37</v>
      </c>
      <c r="AY210" s="41">
        <f t="shared" ref="AY210:AY215" si="50">ROUND((AW210/12)*PRO_BASE_FUEL,2)</f>
        <v>1.37</v>
      </c>
    </row>
    <row r="211" spans="1:51">
      <c r="R211" s="42"/>
      <c r="T211" s="351">
        <v>40</v>
      </c>
      <c r="V211" s="48" t="str">
        <f t="shared" si="38"/>
        <v xml:space="preserve">     9,500 LUMEN (OPEN)</v>
      </c>
      <c r="Y211" s="68">
        <f t="shared" si="39"/>
        <v>0</v>
      </c>
      <c r="Z211" s="1"/>
      <c r="AA211" s="68">
        <f t="shared" si="40"/>
        <v>0</v>
      </c>
      <c r="AB211" s="68"/>
      <c r="AC211" s="132">
        <v>9.51</v>
      </c>
      <c r="AD211" s="342"/>
      <c r="AE211" s="3">
        <f t="shared" si="41"/>
        <v>0</v>
      </c>
      <c r="AF211" s="3"/>
      <c r="AG211" s="103">
        <f t="shared" si="42"/>
        <v>0</v>
      </c>
      <c r="AH211" s="4"/>
      <c r="AI211" s="3">
        <f t="shared" si="43"/>
        <v>0</v>
      </c>
      <c r="AJ211" s="3"/>
      <c r="AK211" s="113" t="str">
        <f t="shared" si="44"/>
        <v xml:space="preserve">0.0 </v>
      </c>
      <c r="AL211" s="6"/>
      <c r="AM211" s="3">
        <f t="shared" si="45"/>
        <v>0</v>
      </c>
      <c r="AN211" s="3"/>
      <c r="AO211" s="3">
        <f t="shared" si="46"/>
        <v>0</v>
      </c>
      <c r="AP211" s="3"/>
      <c r="AQ211" s="113" t="str">
        <f t="shared" si="47"/>
        <v xml:space="preserve">0.0 </v>
      </c>
      <c r="AS211" s="45"/>
      <c r="AT211" s="56">
        <f t="shared" si="48"/>
        <v>8.14</v>
      </c>
      <c r="AW211" s="164">
        <v>487</v>
      </c>
      <c r="AX211" s="41">
        <f t="shared" si="49"/>
        <v>1.37</v>
      </c>
      <c r="AY211" s="41">
        <f t="shared" si="50"/>
        <v>1.37</v>
      </c>
    </row>
    <row r="212" spans="1:51">
      <c r="R212" s="42"/>
      <c r="T212" s="351">
        <v>41</v>
      </c>
      <c r="V212" s="48" t="str">
        <f t="shared" si="38"/>
        <v xml:space="preserve">   16,000 LUMEN</v>
      </c>
      <c r="Y212" s="68">
        <f t="shared" si="39"/>
        <v>24</v>
      </c>
      <c r="Z212" s="1"/>
      <c r="AA212" s="68">
        <f t="shared" si="40"/>
        <v>1422</v>
      </c>
      <c r="AB212" s="68"/>
      <c r="AC212" s="132">
        <v>13.6</v>
      </c>
      <c r="AD212" s="342"/>
      <c r="AE212" s="3">
        <f t="shared" si="41"/>
        <v>326</v>
      </c>
      <c r="AF212" s="3"/>
      <c r="AG212" s="103">
        <f t="shared" si="42"/>
        <v>0</v>
      </c>
      <c r="AH212" s="4"/>
      <c r="AI212" s="3">
        <f t="shared" si="43"/>
        <v>47</v>
      </c>
      <c r="AJ212" s="3"/>
      <c r="AK212" s="113">
        <f t="shared" si="44"/>
        <v>14.4</v>
      </c>
      <c r="AL212" s="6"/>
      <c r="AM212" s="3">
        <f t="shared" si="45"/>
        <v>5</v>
      </c>
      <c r="AN212" s="3"/>
      <c r="AO212" s="3">
        <f t="shared" si="46"/>
        <v>331</v>
      </c>
      <c r="AP212" s="3"/>
      <c r="AQ212" s="113">
        <f t="shared" si="47"/>
        <v>14.2</v>
      </c>
      <c r="AS212" s="45"/>
      <c r="AT212" s="56">
        <f t="shared" si="48"/>
        <v>11.6</v>
      </c>
      <c r="AW212" s="164">
        <v>711</v>
      </c>
      <c r="AX212" s="41">
        <f t="shared" si="49"/>
        <v>2</v>
      </c>
      <c r="AY212" s="41">
        <f t="shared" si="50"/>
        <v>2</v>
      </c>
    </row>
    <row r="213" spans="1:51">
      <c r="R213" s="42"/>
      <c r="T213" s="351">
        <v>42</v>
      </c>
      <c r="V213" s="48" t="str">
        <f t="shared" si="38"/>
        <v xml:space="preserve">   22,000 LUMEN</v>
      </c>
      <c r="Y213" s="68">
        <f t="shared" si="39"/>
        <v>204</v>
      </c>
      <c r="Z213" s="1"/>
      <c r="AA213" s="68">
        <f t="shared" si="40"/>
        <v>16116</v>
      </c>
      <c r="AB213" s="68"/>
      <c r="AC213" s="132">
        <v>17.7</v>
      </c>
      <c r="AD213" s="342"/>
      <c r="AE213" s="3">
        <f t="shared" si="41"/>
        <v>3611</v>
      </c>
      <c r="AF213" s="3"/>
      <c r="AG213" s="103">
        <f t="shared" si="42"/>
        <v>0.3</v>
      </c>
      <c r="AH213" s="4"/>
      <c r="AI213" s="3">
        <f t="shared" si="43"/>
        <v>514</v>
      </c>
      <c r="AJ213" s="3"/>
      <c r="AK213" s="113">
        <f t="shared" si="44"/>
        <v>14.2</v>
      </c>
      <c r="AL213" s="6"/>
      <c r="AM213" s="3">
        <f t="shared" si="45"/>
        <v>56</v>
      </c>
      <c r="AN213" s="3"/>
      <c r="AO213" s="3">
        <f t="shared" si="46"/>
        <v>3667</v>
      </c>
      <c r="AP213" s="3"/>
      <c r="AQ213" s="113">
        <f t="shared" si="47"/>
        <v>14</v>
      </c>
      <c r="AS213" s="45"/>
      <c r="AT213" s="56">
        <f t="shared" si="48"/>
        <v>15.03</v>
      </c>
      <c r="AW213" s="164">
        <v>948</v>
      </c>
      <c r="AX213" s="41">
        <f t="shared" si="49"/>
        <v>2.67</v>
      </c>
      <c r="AY213" s="41">
        <f t="shared" si="50"/>
        <v>2.67</v>
      </c>
    </row>
    <row r="214" spans="1:51">
      <c r="R214" s="42"/>
      <c r="T214" s="351">
        <v>43</v>
      </c>
      <c r="V214" s="48" t="str">
        <f t="shared" si="38"/>
        <v xml:space="preserve">   27,500 LUMEN</v>
      </c>
      <c r="W214" s="375"/>
      <c r="Y214" s="68">
        <f t="shared" si="39"/>
        <v>12</v>
      </c>
      <c r="Z214" s="1"/>
      <c r="AA214" s="68">
        <f t="shared" si="40"/>
        <v>1323</v>
      </c>
      <c r="AB214" s="68"/>
      <c r="AC214" s="132">
        <v>18.04</v>
      </c>
      <c r="AD214" s="5"/>
      <c r="AE214" s="3">
        <f t="shared" si="41"/>
        <v>216</v>
      </c>
      <c r="AF214" s="3"/>
      <c r="AG214" s="103">
        <f t="shared" si="42"/>
        <v>0</v>
      </c>
      <c r="AH214" s="4"/>
      <c r="AI214" s="3">
        <f t="shared" si="43"/>
        <v>31</v>
      </c>
      <c r="AJ214" s="3"/>
      <c r="AK214" s="113">
        <f t="shared" si="44"/>
        <v>14.4</v>
      </c>
      <c r="AL214" s="6"/>
      <c r="AM214" s="3">
        <f t="shared" si="45"/>
        <v>5</v>
      </c>
      <c r="AN214" s="3"/>
      <c r="AO214" s="3">
        <f t="shared" si="46"/>
        <v>221</v>
      </c>
      <c r="AP214" s="3"/>
      <c r="AQ214" s="113">
        <f t="shared" si="47"/>
        <v>14</v>
      </c>
      <c r="AS214" s="45"/>
      <c r="AT214" s="56">
        <f t="shared" si="48"/>
        <v>16.669999999999998</v>
      </c>
      <c r="AW214" s="164">
        <v>487</v>
      </c>
      <c r="AX214" s="41">
        <f t="shared" si="49"/>
        <v>1.37</v>
      </c>
      <c r="AY214" s="41">
        <f t="shared" si="50"/>
        <v>1.37</v>
      </c>
    </row>
    <row r="215" spans="1:51">
      <c r="A215" s="44"/>
      <c r="C215" s="44"/>
      <c r="D215" s="44"/>
      <c r="E215" s="44"/>
      <c r="F215" s="44"/>
      <c r="J215" s="44"/>
      <c r="K215" s="44"/>
      <c r="L215" s="44"/>
      <c r="M215" s="44"/>
      <c r="N215" s="44"/>
      <c r="O215" s="44"/>
      <c r="P215" s="44"/>
      <c r="Q215" s="44"/>
      <c r="R215" s="44"/>
      <c r="T215" s="351">
        <v>44</v>
      </c>
      <c r="V215" s="48" t="str">
        <f t="shared" si="38"/>
        <v xml:space="preserve">   50,000 LUMEN</v>
      </c>
      <c r="Y215" s="68">
        <f t="shared" si="39"/>
        <v>96</v>
      </c>
      <c r="Z215" s="1"/>
      <c r="AA215" s="68">
        <f t="shared" si="40"/>
        <v>15672</v>
      </c>
      <c r="AB215" s="68"/>
      <c r="AC215" s="132">
        <v>24.43</v>
      </c>
      <c r="AD215" s="342"/>
      <c r="AE215" s="3">
        <f t="shared" si="41"/>
        <v>2345</v>
      </c>
      <c r="AF215" s="1"/>
      <c r="AG215" s="103">
        <f t="shared" si="42"/>
        <v>0.2</v>
      </c>
      <c r="AH215" s="1"/>
      <c r="AI215" s="3">
        <f t="shared" si="43"/>
        <v>334</v>
      </c>
      <c r="AJ215" s="1"/>
      <c r="AK215" s="113">
        <f t="shared" si="44"/>
        <v>14.2</v>
      </c>
      <c r="AL215" s="1"/>
      <c r="AM215" s="3">
        <f t="shared" si="45"/>
        <v>55</v>
      </c>
      <c r="AN215" s="1"/>
      <c r="AO215" s="3">
        <f t="shared" si="46"/>
        <v>2400</v>
      </c>
      <c r="AP215" s="1"/>
      <c r="AQ215" s="113">
        <f t="shared" si="47"/>
        <v>13.9</v>
      </c>
      <c r="AS215" s="45"/>
      <c r="AT215" s="56">
        <f t="shared" si="48"/>
        <v>18.920000000000002</v>
      </c>
      <c r="AW215" s="164">
        <v>1959</v>
      </c>
      <c r="AX215" s="41">
        <f t="shared" si="49"/>
        <v>5.51</v>
      </c>
      <c r="AY215" s="41">
        <f t="shared" si="50"/>
        <v>5.51</v>
      </c>
    </row>
    <row r="216" spans="1:51">
      <c r="AS216" s="45"/>
    </row>
    <row r="217" spans="1:51">
      <c r="C217" s="42"/>
      <c r="D217" s="42"/>
      <c r="E217" s="42"/>
      <c r="T217" s="140" t="s">
        <v>76</v>
      </c>
      <c r="U217" s="362"/>
      <c r="V217" s="362"/>
      <c r="W217" s="362"/>
      <c r="X217" s="362"/>
      <c r="Y217" s="362"/>
      <c r="Z217" s="362"/>
      <c r="AA217" s="362"/>
      <c r="AB217" s="362"/>
      <c r="AC217" s="362"/>
      <c r="AD217" s="362"/>
      <c r="AE217" s="141"/>
      <c r="AF217" s="362"/>
      <c r="AG217" s="363"/>
      <c r="AH217" s="362"/>
      <c r="AI217" s="362"/>
      <c r="AJ217" s="362"/>
      <c r="AK217" s="141"/>
      <c r="AL217" s="362"/>
      <c r="AM217" s="362"/>
      <c r="AN217" s="376"/>
      <c r="AO217" s="376"/>
      <c r="AP217" s="376"/>
      <c r="AQ217" s="377"/>
      <c r="AS217" s="45"/>
    </row>
    <row r="218" spans="1:51">
      <c r="C218" s="42"/>
      <c r="D218" s="42"/>
      <c r="E218" s="42"/>
      <c r="T218" s="140" t="str">
        <f>"(1A) REFLECTS FUEL COST RECOVERY INCLUDED IN BASE RATES OF "&amp;TEXT(CUR_BASE_FUEL,"$0.000000;($0.000000)")&amp;"  PER KWH."</f>
        <v>(1A) REFLECTS FUEL COST RECOVERY INCLUDED IN BASE RATES OF $0.033780  PER KWH.</v>
      </c>
      <c r="U218" s="362"/>
      <c r="V218" s="362"/>
      <c r="W218" s="362"/>
      <c r="X218" s="362"/>
      <c r="Y218" s="364"/>
      <c r="Z218" s="362"/>
      <c r="AA218" s="362"/>
      <c r="AB218" s="362"/>
      <c r="AC218" s="362"/>
      <c r="AD218" s="362"/>
      <c r="AE218" s="141"/>
      <c r="AF218" s="362"/>
      <c r="AG218" s="363"/>
      <c r="AH218" s="362"/>
      <c r="AI218" s="362"/>
      <c r="AJ218" s="362"/>
      <c r="AK218" s="141"/>
      <c r="AL218" s="362"/>
      <c r="AM218" s="362"/>
      <c r="AN218" s="376"/>
      <c r="AO218" s="376"/>
      <c r="AP218" s="376"/>
      <c r="AQ218" s="377"/>
      <c r="AS218" s="45"/>
    </row>
    <row r="219" spans="1:51">
      <c r="C219" s="42"/>
      <c r="D219" s="42"/>
      <c r="E219" s="42"/>
      <c r="T219" s="140" t="str">
        <f>"(2) REFLECTS FUEL COMPONENT OF "&amp;TEXT(CUR_FAC,"$0.000000;($0.000000)")&amp;"  PER KWH."</f>
        <v>(2) REFLECTS FUEL COMPONENT OF $0.003487  PER KWH.</v>
      </c>
      <c r="U219" s="362"/>
      <c r="V219" s="362"/>
      <c r="W219" s="362"/>
      <c r="X219" s="362"/>
      <c r="Y219" s="364"/>
      <c r="Z219" s="362"/>
      <c r="AA219" s="362"/>
      <c r="AB219" s="362"/>
      <c r="AC219" s="362"/>
      <c r="AD219" s="362"/>
      <c r="AE219" s="141"/>
      <c r="AF219" s="362"/>
      <c r="AG219" s="363"/>
      <c r="AH219" s="362"/>
      <c r="AI219" s="362"/>
      <c r="AJ219" s="362"/>
      <c r="AK219" s="141"/>
      <c r="AL219" s="362"/>
      <c r="AM219" s="362"/>
      <c r="AN219" s="376"/>
      <c r="AO219" s="376"/>
      <c r="AP219" s="376"/>
      <c r="AQ219" s="377"/>
      <c r="AS219" s="45"/>
    </row>
    <row r="220" spans="1:51">
      <c r="C220" s="42"/>
      <c r="D220" s="42"/>
      <c r="E220" s="42"/>
      <c r="T220" s="141"/>
      <c r="U220" s="362"/>
      <c r="V220" s="362"/>
      <c r="W220" s="362"/>
      <c r="X220" s="362"/>
      <c r="Y220" s="364"/>
      <c r="Z220" s="362"/>
      <c r="AA220" s="362"/>
      <c r="AB220" s="362"/>
      <c r="AC220" s="362"/>
      <c r="AD220" s="362"/>
      <c r="AE220" s="141"/>
      <c r="AF220" s="362"/>
      <c r="AG220" s="363"/>
      <c r="AH220" s="362"/>
      <c r="AI220" s="362"/>
      <c r="AJ220" s="362"/>
      <c r="AK220" s="141"/>
      <c r="AL220" s="362"/>
      <c r="AM220" s="362"/>
      <c r="AN220" s="376"/>
      <c r="AO220" s="376"/>
      <c r="AP220" s="376"/>
      <c r="AQ220" s="377"/>
      <c r="AS220" s="45"/>
    </row>
    <row r="221" spans="1:51">
      <c r="C221" s="42"/>
      <c r="D221" s="42"/>
      <c r="E221" s="42"/>
      <c r="T221" s="141"/>
      <c r="U221" s="362"/>
      <c r="V221" s="362"/>
      <c r="W221" s="362"/>
      <c r="X221" s="362"/>
      <c r="Y221" s="364"/>
      <c r="Z221" s="362"/>
      <c r="AA221" s="362"/>
      <c r="AB221" s="362"/>
      <c r="AC221" s="362"/>
      <c r="AD221" s="362"/>
      <c r="AE221" s="141"/>
      <c r="AF221" s="362"/>
      <c r="AG221" s="363"/>
      <c r="AH221" s="362"/>
      <c r="AI221" s="362"/>
      <c r="AJ221" s="362"/>
      <c r="AK221" s="141"/>
      <c r="AL221" s="362"/>
      <c r="AM221" s="362"/>
      <c r="AN221" s="376"/>
      <c r="AO221" s="376"/>
      <c r="AP221" s="376"/>
      <c r="AQ221" s="377"/>
      <c r="AS221" s="45"/>
    </row>
    <row r="222" spans="1:51">
      <c r="C222" s="42"/>
      <c r="D222" s="42"/>
      <c r="E222" s="42"/>
      <c r="T222" s="48"/>
      <c r="Y222" s="56"/>
      <c r="AC222" s="48"/>
      <c r="AS222" s="45"/>
    </row>
    <row r="223" spans="1:51">
      <c r="C223" s="42"/>
      <c r="D223" s="42"/>
      <c r="E223" s="42"/>
      <c r="T223" s="44"/>
      <c r="U223" s="44"/>
      <c r="V223" s="44"/>
      <c r="AA223" s="44"/>
      <c r="AB223" s="44"/>
      <c r="AC223" s="44"/>
      <c r="AD223" s="44"/>
      <c r="AE223" s="44"/>
      <c r="AF223" s="44"/>
      <c r="AG223" s="102"/>
      <c r="AH223" s="44"/>
      <c r="AI223" s="44"/>
      <c r="AJ223" s="44"/>
      <c r="AK223" s="102"/>
      <c r="AL223" s="44"/>
      <c r="AM223" s="44"/>
      <c r="AN223" s="44"/>
      <c r="AO223" s="44"/>
      <c r="AP223" s="44"/>
      <c r="AS223" s="45"/>
    </row>
    <row r="224" spans="1:51">
      <c r="C224" s="42"/>
      <c r="D224" s="42"/>
      <c r="E224" s="42"/>
      <c r="T224" s="760" t="str">
        <f>NAME</f>
        <v>DUKE ENERGY KENTUCKY, INC.</v>
      </c>
      <c r="U224" s="760"/>
      <c r="V224" s="760"/>
      <c r="W224" s="76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  <c r="AS224" s="45"/>
      <c r="AW224" s="40"/>
    </row>
    <row r="225" spans="3:51">
      <c r="C225" s="42"/>
      <c r="D225" s="42"/>
      <c r="E225" s="42"/>
      <c r="T225" s="40" t="str">
        <f>CASE_NO</f>
        <v>CASE NO.   2024-00354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S225" s="45"/>
      <c r="AW225" s="40"/>
    </row>
    <row r="226" spans="3:51">
      <c r="C226" s="42"/>
      <c r="D226" s="42"/>
      <c r="E226" s="42"/>
      <c r="T226" s="40" t="str">
        <f>TITLE</f>
        <v>ANNUALIZED TEST YEAR REVENUES AT PROPOSED VS. MOST CURRENT RATES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S226" s="45"/>
      <c r="AW226" s="40"/>
    </row>
    <row r="227" spans="3:51">
      <c r="C227" s="42"/>
      <c r="D227" s="42"/>
      <c r="E227" s="42"/>
      <c r="T227" s="40" t="str">
        <f>DATE</f>
        <v>FOR THE TWELVE MONTHS ENDED June 30, 2026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S227" s="45"/>
      <c r="AW227" s="40"/>
    </row>
    <row r="228" spans="3:51">
      <c r="C228" s="42"/>
      <c r="D228" s="42"/>
      <c r="E228" s="42"/>
      <c r="T228" s="40" t="str">
        <f>SERVICE</f>
        <v>(ELECTRIC SERVICE)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S228" s="45"/>
      <c r="AW228" s="40"/>
    </row>
    <row r="229" spans="3:51">
      <c r="C229" s="42"/>
      <c r="D229" s="42"/>
      <c r="E229" s="42"/>
      <c r="T229" s="41" t="str">
        <f>DATA_PERIOD</f>
        <v>DATA: ____ BASE PERIOD   __X__FORECASTED PERIOD</v>
      </c>
      <c r="AO229" s="42" t="s">
        <v>157</v>
      </c>
      <c r="AP229" s="42"/>
      <c r="AS229" s="45"/>
    </row>
    <row r="230" spans="3:51">
      <c r="C230" s="42"/>
      <c r="D230" s="42"/>
      <c r="E230" s="42"/>
      <c r="T230" s="41" t="str">
        <f>TYPE</f>
        <v>TYPE OF FILING: _X_ ORIGINAL   ___UPDATED  ___ REVISED</v>
      </c>
      <c r="AO230" s="48" t="str">
        <f>"PAGE 14 OF "&amp;TEXT(Page_Num_2.2,"00")</f>
        <v>PAGE 14 OF 24</v>
      </c>
      <c r="AP230" s="42"/>
      <c r="AS230" s="45"/>
    </row>
    <row r="231" spans="3:51">
      <c r="C231" s="42"/>
      <c r="D231" s="42"/>
      <c r="E231" s="42"/>
      <c r="T231" s="42" t="s">
        <v>170</v>
      </c>
      <c r="AO231" s="42" t="s">
        <v>4</v>
      </c>
      <c r="AP231" s="42"/>
      <c r="AS231" s="45"/>
    </row>
    <row r="232" spans="3:51">
      <c r="C232" s="42"/>
      <c r="D232" s="42"/>
      <c r="E232" s="42"/>
      <c r="T232" s="130" t="str">
        <f>TIME</f>
        <v>12 Months Projected with Riders</v>
      </c>
      <c r="AF232" s="42"/>
      <c r="AO232" s="45" t="str">
        <f>WIT</f>
        <v>B. L. Sailers</v>
      </c>
      <c r="AS232" s="45"/>
    </row>
    <row r="233" spans="3:51">
      <c r="C233" s="42"/>
      <c r="D233" s="42"/>
      <c r="E233" s="42"/>
      <c r="T233" s="40" t="s">
        <v>130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100"/>
      <c r="AH233" s="40"/>
      <c r="AI233" s="40"/>
      <c r="AJ233" s="40"/>
      <c r="AK233" s="100"/>
      <c r="AL233" s="40"/>
      <c r="AM233" s="40"/>
      <c r="AN233" s="40"/>
      <c r="AO233" s="40"/>
      <c r="AP233" s="40"/>
      <c r="AS233" s="45"/>
      <c r="AW233" s="40"/>
    </row>
    <row r="234" spans="3:51">
      <c r="C234" s="42"/>
      <c r="D234" s="42"/>
      <c r="E234" s="42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3"/>
      <c r="AF234" s="43"/>
      <c r="AG234" s="101"/>
      <c r="AH234" s="43"/>
      <c r="AI234" s="43"/>
      <c r="AJ234" s="43"/>
      <c r="AK234" s="101"/>
      <c r="AL234" s="43"/>
      <c r="AM234" s="43"/>
      <c r="AN234" s="49"/>
      <c r="AO234" s="49"/>
      <c r="AP234" s="49"/>
      <c r="AS234" s="45"/>
      <c r="AW234" s="49"/>
    </row>
    <row r="235" spans="3:51" ht="18" customHeight="1">
      <c r="C235" s="42"/>
      <c r="D235" s="42"/>
      <c r="E235" s="4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44" t="s">
        <v>8</v>
      </c>
      <c r="AF235" s="44"/>
      <c r="AG235" s="102" t="s">
        <v>7</v>
      </c>
      <c r="AH235" s="44"/>
      <c r="AI235" s="44" t="s">
        <v>9</v>
      </c>
      <c r="AJ235" s="44"/>
      <c r="AK235" s="102" t="s">
        <v>10</v>
      </c>
      <c r="AL235" s="44"/>
      <c r="AN235" s="62"/>
      <c r="AO235" s="63" t="s">
        <v>8</v>
      </c>
      <c r="AP235" s="63"/>
      <c r="AQ235" s="109" t="s">
        <v>11</v>
      </c>
      <c r="AS235" s="45"/>
    </row>
    <row r="236" spans="3:51">
      <c r="C236" s="42"/>
      <c r="D236" s="42"/>
      <c r="E236" s="42"/>
      <c r="AC236" s="44" t="s">
        <v>14</v>
      </c>
      <c r="AD236" s="44"/>
      <c r="AE236" s="44" t="s">
        <v>12</v>
      </c>
      <c r="AF236" s="44"/>
      <c r="AG236" s="102" t="s">
        <v>13</v>
      </c>
      <c r="AH236" s="44"/>
      <c r="AI236" s="44" t="s">
        <v>15</v>
      </c>
      <c r="AJ236" s="44"/>
      <c r="AK236" s="102" t="s">
        <v>16</v>
      </c>
      <c r="AL236" s="44"/>
      <c r="AO236" s="44" t="s">
        <v>11</v>
      </c>
      <c r="AP236" s="44"/>
      <c r="AQ236" s="102" t="s">
        <v>9</v>
      </c>
      <c r="AS236" s="45"/>
      <c r="AT236" s="44" t="s">
        <v>402</v>
      </c>
    </row>
    <row r="237" spans="3:51">
      <c r="C237" s="42"/>
      <c r="D237" s="42"/>
      <c r="E237" s="42"/>
      <c r="T237" s="44" t="s">
        <v>17</v>
      </c>
      <c r="V237" s="44" t="s">
        <v>18</v>
      </c>
      <c r="W237" s="44" t="s">
        <v>19</v>
      </c>
      <c r="X237" s="44"/>
      <c r="Y237" s="44" t="s">
        <v>20</v>
      </c>
      <c r="AC237" s="44" t="s">
        <v>8</v>
      </c>
      <c r="AD237" s="44"/>
      <c r="AE237" s="44" t="s">
        <v>841</v>
      </c>
      <c r="AF237" s="44"/>
      <c r="AG237" s="102" t="s">
        <v>841</v>
      </c>
      <c r="AH237" s="44"/>
      <c r="AI237" s="60" t="s">
        <v>964</v>
      </c>
      <c r="AJ237" s="44"/>
      <c r="AK237" s="277" t="s">
        <v>964</v>
      </c>
      <c r="AL237" s="44"/>
      <c r="AM237" s="44" t="s">
        <v>841</v>
      </c>
      <c r="AN237" s="44"/>
      <c r="AO237" s="44" t="s">
        <v>9</v>
      </c>
      <c r="AP237" s="44"/>
      <c r="AQ237" s="102" t="s">
        <v>21</v>
      </c>
      <c r="AS237" s="45"/>
      <c r="AT237" s="44" t="s">
        <v>403</v>
      </c>
    </row>
    <row r="238" spans="3:51">
      <c r="C238" s="42"/>
      <c r="D238" s="42"/>
      <c r="E238" s="42"/>
      <c r="T238" s="44" t="s">
        <v>22</v>
      </c>
      <c r="V238" s="44" t="s">
        <v>23</v>
      </c>
      <c r="W238" s="44" t="s">
        <v>24</v>
      </c>
      <c r="X238" s="44"/>
      <c r="Y238" s="44" t="s">
        <v>25</v>
      </c>
      <c r="AA238" s="44" t="s">
        <v>26</v>
      </c>
      <c r="AB238" s="44"/>
      <c r="AC238" s="60" t="s">
        <v>325</v>
      </c>
      <c r="AD238" s="44"/>
      <c r="AE238" s="44" t="s">
        <v>9</v>
      </c>
      <c r="AF238" s="44"/>
      <c r="AG238" s="102" t="s">
        <v>9</v>
      </c>
      <c r="AH238" s="44"/>
      <c r="AI238" s="304" t="s">
        <v>29</v>
      </c>
      <c r="AJ238" s="304"/>
      <c r="AK238" s="311" t="s">
        <v>30</v>
      </c>
      <c r="AL238" s="44"/>
      <c r="AM238" s="44" t="s">
        <v>323</v>
      </c>
      <c r="AN238" s="44"/>
      <c r="AO238" s="304" t="s">
        <v>31</v>
      </c>
      <c r="AP238" s="304"/>
      <c r="AQ238" s="311" t="s">
        <v>32</v>
      </c>
      <c r="AS238" s="45"/>
      <c r="AT238" s="44" t="s">
        <v>404</v>
      </c>
      <c r="AW238" s="44"/>
      <c r="AX238" s="41" t="s">
        <v>300</v>
      </c>
      <c r="AY238" s="41" t="s">
        <v>301</v>
      </c>
    </row>
    <row r="239" spans="3:51">
      <c r="C239" s="42"/>
      <c r="D239" s="42"/>
      <c r="E239" s="42"/>
      <c r="V239" s="304" t="s">
        <v>33</v>
      </c>
      <c r="W239" s="304" t="s">
        <v>34</v>
      </c>
      <c r="X239" s="304"/>
      <c r="Y239" s="304" t="s">
        <v>35</v>
      </c>
      <c r="Z239" s="130"/>
      <c r="AA239" s="304" t="s">
        <v>36</v>
      </c>
      <c r="AB239" s="304"/>
      <c r="AC239" s="304" t="s">
        <v>42</v>
      </c>
      <c r="AD239" s="304"/>
      <c r="AE239" s="304" t="s">
        <v>43</v>
      </c>
      <c r="AF239" s="304"/>
      <c r="AG239" s="311" t="s">
        <v>44</v>
      </c>
      <c r="AH239" s="304"/>
      <c r="AI239" s="304" t="s">
        <v>45</v>
      </c>
      <c r="AJ239" s="304"/>
      <c r="AK239" s="311" t="s">
        <v>46</v>
      </c>
      <c r="AL239" s="304"/>
      <c r="AM239" s="304" t="s">
        <v>40</v>
      </c>
      <c r="AN239" s="304"/>
      <c r="AO239" s="304" t="s">
        <v>47</v>
      </c>
      <c r="AP239" s="304"/>
      <c r="AQ239" s="311" t="s">
        <v>48</v>
      </c>
      <c r="AS239" s="45"/>
      <c r="AW239" s="41" t="s">
        <v>299</v>
      </c>
      <c r="AX239" s="41" t="s">
        <v>298</v>
      </c>
      <c r="AY239" s="41" t="s">
        <v>298</v>
      </c>
    </row>
    <row r="240" spans="3:51" ht="17.100000000000001" customHeight="1">
      <c r="C240" s="42"/>
      <c r="D240" s="42"/>
      <c r="E240" s="42"/>
      <c r="T240" s="62"/>
      <c r="U240" s="62"/>
      <c r="V240" s="62"/>
      <c r="W240" s="62"/>
      <c r="X240" s="62"/>
      <c r="Y240" s="62"/>
      <c r="Z240" s="62"/>
      <c r="AA240" s="345" t="s">
        <v>49</v>
      </c>
      <c r="AB240" s="345"/>
      <c r="AC240" s="344" t="s">
        <v>69</v>
      </c>
      <c r="AD240" s="345"/>
      <c r="AE240" s="345" t="s">
        <v>50</v>
      </c>
      <c r="AF240" s="345"/>
      <c r="AG240" s="346" t="s">
        <v>51</v>
      </c>
      <c r="AH240" s="345"/>
      <c r="AI240" s="345" t="s">
        <v>50</v>
      </c>
      <c r="AJ240" s="345"/>
      <c r="AK240" s="346" t="s">
        <v>51</v>
      </c>
      <c r="AL240" s="345"/>
      <c r="AM240" s="345" t="s">
        <v>50</v>
      </c>
      <c r="AN240" s="345"/>
      <c r="AO240" s="345" t="s">
        <v>50</v>
      </c>
      <c r="AP240" s="345"/>
      <c r="AQ240" s="346" t="s">
        <v>51</v>
      </c>
      <c r="AS240" s="45"/>
      <c r="AW240" s="44"/>
    </row>
    <row r="241" spans="3:51">
      <c r="C241" s="42"/>
      <c r="D241" s="42"/>
      <c r="E241" s="42"/>
      <c r="T241" s="365">
        <v>45</v>
      </c>
      <c r="V241" s="133" t="s">
        <v>77</v>
      </c>
      <c r="W241" s="310" t="s">
        <v>265</v>
      </c>
      <c r="X241" s="42"/>
      <c r="Y241" s="1"/>
      <c r="Z241" s="1"/>
      <c r="AA241" s="1"/>
      <c r="AB241" s="1"/>
      <c r="AC241" s="1"/>
      <c r="AD241" s="1"/>
      <c r="AE241" s="1"/>
      <c r="AF241" s="1"/>
      <c r="AG241" s="103"/>
      <c r="AH241" s="1"/>
      <c r="AI241" s="1"/>
      <c r="AJ241" s="1"/>
      <c r="AK241" s="103"/>
      <c r="AL241" s="1"/>
      <c r="AM241" s="1"/>
      <c r="AN241" s="1"/>
      <c r="AO241" s="1"/>
      <c r="AP241" s="1"/>
      <c r="AQ241" s="113"/>
      <c r="AS241" s="45"/>
      <c r="AW241" s="1"/>
    </row>
    <row r="242" spans="3:51">
      <c r="C242" s="42"/>
      <c r="D242" s="42"/>
      <c r="E242" s="42"/>
      <c r="T242" s="365">
        <v>46</v>
      </c>
      <c r="V242" s="133" t="s">
        <v>405</v>
      </c>
      <c r="W242" s="310"/>
      <c r="X242" s="42"/>
      <c r="Y242" s="1"/>
      <c r="Z242" s="1"/>
      <c r="AA242" s="1"/>
      <c r="AB242" s="1"/>
      <c r="AC242" s="1"/>
      <c r="AD242" s="1"/>
      <c r="AE242" s="1"/>
      <c r="AF242" s="1"/>
      <c r="AG242" s="103"/>
      <c r="AH242" s="1"/>
      <c r="AI242" s="1"/>
      <c r="AJ242" s="1"/>
      <c r="AK242" s="103"/>
      <c r="AL242" s="1"/>
      <c r="AM242" s="1"/>
      <c r="AN242" s="1"/>
      <c r="AO242" s="1"/>
      <c r="AP242" s="1"/>
      <c r="AQ242" s="113"/>
      <c r="AS242" s="45"/>
      <c r="AW242" s="1"/>
    </row>
    <row r="243" spans="3:51">
      <c r="C243" s="42"/>
      <c r="D243" s="42"/>
      <c r="E243" s="42"/>
      <c r="T243" s="365">
        <v>47</v>
      </c>
      <c r="V243" s="310" t="s">
        <v>275</v>
      </c>
      <c r="Y243" s="68"/>
      <c r="Z243" s="1"/>
      <c r="AA243" s="68"/>
      <c r="AB243" s="1"/>
      <c r="AC243" s="5"/>
      <c r="AD243" s="342"/>
      <c r="AE243" s="3"/>
      <c r="AF243" s="3"/>
      <c r="AG243" s="103"/>
      <c r="AH243" s="4"/>
      <c r="AI243" s="3"/>
      <c r="AJ243" s="3"/>
      <c r="AK243" s="113"/>
      <c r="AL243" s="6"/>
      <c r="AM243" s="3"/>
      <c r="AN243" s="3"/>
      <c r="AO243" s="3"/>
      <c r="AP243" s="3"/>
      <c r="AQ243" s="113"/>
      <c r="AS243" s="45"/>
    </row>
    <row r="244" spans="3:51" ht="20.100000000000001" customHeight="1">
      <c r="C244" s="42"/>
      <c r="D244" s="42"/>
      <c r="E244" s="42"/>
      <c r="T244" s="365">
        <v>48</v>
      </c>
      <c r="V244" s="48" t="str">
        <f>C90</f>
        <v xml:space="preserve">  7,000 LUMEN  TOWN &amp; COUNTRY</v>
      </c>
      <c r="Y244" s="68">
        <f>F90</f>
        <v>2743</v>
      </c>
      <c r="Z244" s="1"/>
      <c r="AA244" s="68">
        <f>H90</f>
        <v>194982</v>
      </c>
      <c r="AB244" s="68"/>
      <c r="AC244" s="132">
        <v>12.11</v>
      </c>
      <c r="AD244" s="342"/>
      <c r="AE244" s="3">
        <f>ROUND((Y244*AC244),0)</f>
        <v>33218</v>
      </c>
      <c r="AF244" s="3"/>
      <c r="AG244" s="103">
        <f>ROUND((AE244/AE$293)*100,1)</f>
        <v>2.2999999999999998</v>
      </c>
      <c r="AH244" s="4"/>
      <c r="AI244" s="3">
        <f>L90-AE244</f>
        <v>4745</v>
      </c>
      <c r="AJ244" s="3"/>
      <c r="AK244" s="113">
        <f>IF(AE244=0,"0.0 ",ROUND((AI244/AE244)*100,1))</f>
        <v>14.3</v>
      </c>
      <c r="AL244" s="6"/>
      <c r="AM244" s="3">
        <f>ROUND(CUR_FAC*AA244,0)</f>
        <v>680</v>
      </c>
      <c r="AN244" s="3"/>
      <c r="AO244" s="3">
        <f>AE244+AM244</f>
        <v>33898</v>
      </c>
      <c r="AP244" s="3"/>
      <c r="AQ244" s="113">
        <f>IF(AO244=0,"0.0 ",ROUND((AI244/AO244)*100,1))</f>
        <v>14</v>
      </c>
      <c r="AS244" s="45"/>
      <c r="AT244" s="56">
        <f>AC244-AX244</f>
        <v>9.7099999999999991</v>
      </c>
      <c r="AW244" s="164">
        <v>853</v>
      </c>
      <c r="AX244" s="41">
        <f>ROUND((AW244/12)*CUR_BASE_FUEL,2)</f>
        <v>2.4</v>
      </c>
      <c r="AY244" s="41">
        <f>ROUND((AW244/12)*PRO_BASE_FUEL,2)</f>
        <v>2.4</v>
      </c>
    </row>
    <row r="245" spans="3:51">
      <c r="C245" s="42"/>
      <c r="D245" s="42"/>
      <c r="E245" s="42"/>
      <c r="T245" s="365">
        <v>49</v>
      </c>
      <c r="V245" s="48" t="str">
        <f>C91</f>
        <v xml:space="preserve">  7,000 LUMEN HOLOPHANE</v>
      </c>
      <c r="Y245" s="68">
        <f>F91</f>
        <v>904</v>
      </c>
      <c r="Z245" s="1"/>
      <c r="AA245" s="68">
        <f>H91</f>
        <v>65841</v>
      </c>
      <c r="AB245" s="68"/>
      <c r="AC245" s="132">
        <v>15.01</v>
      </c>
      <c r="AD245" s="342"/>
      <c r="AE245" s="3">
        <f>ROUND((Y245*AC245),0)</f>
        <v>13569</v>
      </c>
      <c r="AF245" s="3"/>
      <c r="AG245" s="103">
        <f>ROUND((AE245/AE$293)*100,1)</f>
        <v>1</v>
      </c>
      <c r="AH245" s="4"/>
      <c r="AI245" s="3">
        <f>L91-AE245</f>
        <v>1935</v>
      </c>
      <c r="AJ245" s="3"/>
      <c r="AK245" s="113">
        <f>IF(AE245=0,"0.0 ",ROUND((AI245/AE245)*100,1))</f>
        <v>14.3</v>
      </c>
      <c r="AL245" s="6"/>
      <c r="AM245" s="3">
        <f>ROUND(CUR_FAC*AA245,0)</f>
        <v>230</v>
      </c>
      <c r="AN245" s="3"/>
      <c r="AO245" s="3">
        <f>AE245+AM245</f>
        <v>13799</v>
      </c>
      <c r="AP245" s="3"/>
      <c r="AQ245" s="113">
        <f>IF(AO245=0,"0.0 ",ROUND((AI245/AO245)*100,1))</f>
        <v>14</v>
      </c>
      <c r="AS245" s="45"/>
      <c r="AT245" s="56">
        <f>AC245-AX245</f>
        <v>12.55</v>
      </c>
      <c r="AW245" s="164">
        <v>874</v>
      </c>
      <c r="AX245" s="41">
        <f>ROUND((AW245/12)*CUR_BASE_FUEL,2)</f>
        <v>2.46</v>
      </c>
      <c r="AY245" s="41">
        <f>ROUND((AW245/12)*PRO_BASE_FUEL,2)</f>
        <v>2.46</v>
      </c>
    </row>
    <row r="246" spans="3:51">
      <c r="D246" s="42"/>
      <c r="E246" s="42"/>
      <c r="T246" s="365">
        <v>50</v>
      </c>
      <c r="V246" s="48" t="str">
        <f>C92</f>
        <v xml:space="preserve">  7,000 LUMEN GAS REPLICA</v>
      </c>
      <c r="Y246" s="68">
        <f>F92</f>
        <v>27</v>
      </c>
      <c r="Z246" s="1"/>
      <c r="AA246" s="68">
        <f>H92</f>
        <v>1967</v>
      </c>
      <c r="AB246" s="68"/>
      <c r="AC246" s="132">
        <v>33.299999999999997</v>
      </c>
      <c r="AD246" s="342"/>
      <c r="AE246" s="3">
        <f>ROUND((Y246*AC246),0)</f>
        <v>899</v>
      </c>
      <c r="AF246" s="3"/>
      <c r="AG246" s="103">
        <f>ROUND((AE246/AE$293)*100,1)</f>
        <v>0.1</v>
      </c>
      <c r="AH246" s="4"/>
      <c r="AI246" s="3">
        <f>L92-AE246</f>
        <v>128</v>
      </c>
      <c r="AJ246" s="3"/>
      <c r="AK246" s="113">
        <f>IF(AE246=0,"0.0 ",ROUND((AI246/AE246)*100,1))</f>
        <v>14.2</v>
      </c>
      <c r="AL246" s="6"/>
      <c r="AM246" s="3">
        <f>ROUND(CUR_FAC*AA246,0)</f>
        <v>7</v>
      </c>
      <c r="AN246" s="3"/>
      <c r="AO246" s="3">
        <f>AE246+AM246</f>
        <v>906</v>
      </c>
      <c r="AP246" s="3"/>
      <c r="AQ246" s="113">
        <f>IF(AO246=0,"0.0 ",ROUND((AI246/AO246)*100,1))</f>
        <v>14.1</v>
      </c>
      <c r="AS246" s="45"/>
      <c r="AT246" s="56">
        <f>AC246-AX246</f>
        <v>30.839999999999996</v>
      </c>
      <c r="AW246" s="164">
        <v>874</v>
      </c>
      <c r="AX246" s="41">
        <f>ROUND((AW246/12)*CUR_BASE_FUEL,2)</f>
        <v>2.46</v>
      </c>
      <c r="AY246" s="41">
        <f>ROUND((AW246/12)*PRO_BASE_FUEL,2)</f>
        <v>2.46</v>
      </c>
    </row>
    <row r="247" spans="3:51">
      <c r="D247" s="42"/>
      <c r="E247" s="42"/>
      <c r="T247" s="365">
        <v>51</v>
      </c>
      <c r="V247" s="48" t="str">
        <f>C93</f>
        <v xml:space="preserve">  7,000 LUMEN GRANVILLE </v>
      </c>
      <c r="Y247" s="68">
        <f>F93</f>
        <v>0</v>
      </c>
      <c r="Z247" s="1"/>
      <c r="AA247" s="68">
        <f>H93</f>
        <v>0</v>
      </c>
      <c r="AB247" s="68"/>
      <c r="AC247" s="132">
        <v>12.23</v>
      </c>
      <c r="AD247" s="342"/>
      <c r="AE247" s="3">
        <f>ROUND((Y247*AC247),0)</f>
        <v>0</v>
      </c>
      <c r="AF247" s="3"/>
      <c r="AG247" s="103">
        <f>ROUND((AE247/AE$293)*100,1)</f>
        <v>0</v>
      </c>
      <c r="AH247" s="4"/>
      <c r="AI247" s="3">
        <f>L93-AE247</f>
        <v>0</v>
      </c>
      <c r="AJ247" s="3"/>
      <c r="AK247" s="113" t="str">
        <f>IF(AE247=0,"0.0 ",ROUND((AI247/AE247)*100,1))</f>
        <v xml:space="preserve">0.0 </v>
      </c>
      <c r="AL247" s="6"/>
      <c r="AM247" s="3">
        <f>ROUND(CUR_FAC*AA247,0)</f>
        <v>0</v>
      </c>
      <c r="AN247" s="3"/>
      <c r="AO247" s="3">
        <f>AE247+AM247</f>
        <v>0</v>
      </c>
      <c r="AP247" s="3"/>
      <c r="AQ247" s="113" t="str">
        <f>IF(AO247=0,"0.0 ",ROUND((AI247/AO247)*100,1))</f>
        <v xml:space="preserve">0.0 </v>
      </c>
      <c r="AS247" s="45"/>
      <c r="AT247" s="56">
        <f>AC247-AX247</f>
        <v>9.83</v>
      </c>
      <c r="AW247" s="164">
        <v>853</v>
      </c>
      <c r="AX247" s="41">
        <f>ROUND((AW247/12)*CUR_BASE_FUEL,2)</f>
        <v>2.4</v>
      </c>
      <c r="AY247" s="41">
        <f>ROUND((AW247/12)*PRO_BASE_FUEL,2)</f>
        <v>2.4</v>
      </c>
    </row>
    <row r="248" spans="3:51">
      <c r="T248" s="365">
        <v>52</v>
      </c>
      <c r="V248" s="48" t="str">
        <f>C94</f>
        <v xml:space="preserve">  7,000 LUMEN ASPEN</v>
      </c>
      <c r="Y248" s="68">
        <f>F94</f>
        <v>24</v>
      </c>
      <c r="Z248" s="1"/>
      <c r="AA248" s="68">
        <f>H94</f>
        <v>1748</v>
      </c>
      <c r="AB248" s="68"/>
      <c r="AC248" s="132">
        <v>21.39</v>
      </c>
      <c r="AD248" s="342"/>
      <c r="AE248" s="3">
        <f>ROUND((Y248*AC248),0)</f>
        <v>513</v>
      </c>
      <c r="AF248" s="3"/>
      <c r="AG248" s="103">
        <f>ROUND((AE248/AE$293)*100,1)</f>
        <v>0</v>
      </c>
      <c r="AH248" s="4"/>
      <c r="AI248" s="3">
        <f>L94-AE248</f>
        <v>74</v>
      </c>
      <c r="AJ248" s="3"/>
      <c r="AK248" s="113">
        <f>IF(AE248=0,"0.0 ",ROUND((AI248/AE248)*100,1))</f>
        <v>14.4</v>
      </c>
      <c r="AL248" s="6"/>
      <c r="AM248" s="3">
        <f>ROUND(CUR_FAC*AA248,0)</f>
        <v>6</v>
      </c>
      <c r="AN248" s="3"/>
      <c r="AO248" s="3">
        <f>AE248+AM248</f>
        <v>519</v>
      </c>
      <c r="AP248" s="3"/>
      <c r="AQ248" s="113">
        <f>IF(AO248=0,"0.0 ",ROUND((AI248/AO248)*100,1))</f>
        <v>14.3</v>
      </c>
      <c r="AS248" s="45"/>
      <c r="AT248" s="56">
        <f>AC248-AX248</f>
        <v>18.93</v>
      </c>
      <c r="AW248" s="164">
        <v>874</v>
      </c>
      <c r="AX248" s="41">
        <f>ROUND((AW248/12)*CUR_BASE_FUEL,2)</f>
        <v>2.46</v>
      </c>
      <c r="AY248" s="41">
        <f>ROUND((AW248/12)*PRO_BASE_FUEL,2)</f>
        <v>2.46</v>
      </c>
    </row>
    <row r="249" spans="3:51">
      <c r="T249" s="365">
        <v>53</v>
      </c>
      <c r="V249" s="133" t="s">
        <v>279</v>
      </c>
      <c r="Y249" s="68"/>
      <c r="Z249" s="1"/>
      <c r="AA249" s="68"/>
      <c r="AB249" s="68"/>
      <c r="AC249" s="342"/>
      <c r="AD249" s="342"/>
      <c r="AE249" s="3"/>
      <c r="AF249" s="3"/>
      <c r="AG249" s="103"/>
      <c r="AH249" s="4"/>
      <c r="AI249" s="3"/>
      <c r="AJ249" s="3"/>
      <c r="AK249" s="113"/>
      <c r="AL249" s="6"/>
      <c r="AM249" s="3"/>
      <c r="AN249" s="3"/>
      <c r="AO249" s="3"/>
      <c r="AP249" s="3"/>
      <c r="AQ249" s="113"/>
      <c r="AS249" s="45"/>
      <c r="AW249" s="45"/>
    </row>
    <row r="250" spans="3:51">
      <c r="T250" s="365">
        <v>54</v>
      </c>
      <c r="V250" s="378" t="str">
        <f>C96</f>
        <v xml:space="preserve"> 14,000 LUMEN TRADITIONAIRE</v>
      </c>
      <c r="W250" s="379"/>
      <c r="Y250" s="68">
        <f>F96</f>
        <v>132</v>
      </c>
      <c r="Z250" s="1"/>
      <c r="AA250" s="68">
        <f>H96</f>
        <v>9383</v>
      </c>
      <c r="AB250" s="68"/>
      <c r="AC250" s="132">
        <v>12.09</v>
      </c>
      <c r="AD250" s="342"/>
      <c r="AE250" s="3">
        <f>ROUND((Y250*AC250),0)</f>
        <v>1596</v>
      </c>
      <c r="AF250" s="3"/>
      <c r="AG250" s="103">
        <f>ROUND((AE250/AE$293)*100,1)</f>
        <v>0.1</v>
      </c>
      <c r="AH250" s="4"/>
      <c r="AI250" s="3">
        <f>L96-AE250</f>
        <v>227</v>
      </c>
      <c r="AJ250" s="3"/>
      <c r="AK250" s="113">
        <f>IF(AE250=0,"0.0 ",ROUND((AI250/AE250)*100,1))</f>
        <v>14.2</v>
      </c>
      <c r="AL250" s="6"/>
      <c r="AM250" s="3">
        <f>ROUND(CUR_FAC*AA250,0)</f>
        <v>33</v>
      </c>
      <c r="AN250" s="3"/>
      <c r="AO250" s="3">
        <f>AE250+AM250</f>
        <v>1629</v>
      </c>
      <c r="AP250" s="3"/>
      <c r="AQ250" s="113">
        <f>IF(AO250=0,"0.0 ",ROUND((AI250/AO250)*100,1))</f>
        <v>13.9</v>
      </c>
      <c r="AS250" s="45"/>
      <c r="AT250" s="56">
        <f>AC250-AX250</f>
        <v>9.69</v>
      </c>
      <c r="AW250" s="164">
        <v>853</v>
      </c>
      <c r="AX250" s="41">
        <f>ROUND((AW250/12)*CUR_BASE_FUEL,2)</f>
        <v>2.4</v>
      </c>
      <c r="AY250" s="41">
        <f>ROUND((AW250/12)*PRO_BASE_FUEL,2)</f>
        <v>2.4</v>
      </c>
    </row>
    <row r="251" spans="3:51">
      <c r="C251" s="42"/>
      <c r="F251" s="164"/>
      <c r="H251" s="164"/>
      <c r="I251" s="164"/>
      <c r="J251" s="316"/>
      <c r="K251" s="316"/>
      <c r="L251" s="45"/>
      <c r="M251" s="45"/>
      <c r="N251" s="46"/>
      <c r="O251" s="46"/>
      <c r="R251" s="45"/>
      <c r="T251" s="365">
        <v>55</v>
      </c>
      <c r="V251" s="378" t="str">
        <f>C97</f>
        <v xml:space="preserve"> 14,000 LUMEN GRANVILLE</v>
      </c>
      <c r="W251" s="379"/>
      <c r="Y251" s="68">
        <f>F97</f>
        <v>0</v>
      </c>
      <c r="Z251" s="1"/>
      <c r="AA251" s="68">
        <f>H97</f>
        <v>0</v>
      </c>
      <c r="AB251" s="68"/>
      <c r="AC251" s="132">
        <v>21.39</v>
      </c>
      <c r="AD251" s="342"/>
      <c r="AE251" s="3">
        <f>ROUND((Y251*AC251),0)</f>
        <v>0</v>
      </c>
      <c r="AF251" s="3"/>
      <c r="AG251" s="103">
        <f>ROUND((AE251/AE$293)*100,1)</f>
        <v>0</v>
      </c>
      <c r="AH251" s="4"/>
      <c r="AI251" s="3">
        <f>L97-AE251</f>
        <v>0</v>
      </c>
      <c r="AJ251" s="3"/>
      <c r="AK251" s="113" t="str">
        <f>IF(AE251=0,"0.0 ",ROUND((AI251/AE251)*100,1))</f>
        <v xml:space="preserve">0.0 </v>
      </c>
      <c r="AL251" s="6"/>
      <c r="AM251" s="3">
        <f>ROUND(CUR_FAC*AA251,0)</f>
        <v>0</v>
      </c>
      <c r="AN251" s="3"/>
      <c r="AO251" s="3">
        <f>AE251+AM251</f>
        <v>0</v>
      </c>
      <c r="AP251" s="3"/>
      <c r="AQ251" s="113" t="str">
        <f>IF(AO251=0,"0.0 ",ROUND((AI251/AO251)*100,1))</f>
        <v xml:space="preserve">0.0 </v>
      </c>
      <c r="AS251" s="45"/>
      <c r="AT251" s="56">
        <f>AC251-AX251</f>
        <v>18.93</v>
      </c>
      <c r="AW251" s="164">
        <v>874</v>
      </c>
      <c r="AX251" s="41">
        <f>ROUND((AW251/12)*CUR_BASE_FUEL,2)</f>
        <v>2.46</v>
      </c>
      <c r="AY251" s="41">
        <f>ROUND((AW251/12)*PRO_BASE_FUEL,2)</f>
        <v>2.46</v>
      </c>
    </row>
    <row r="252" spans="3:51">
      <c r="C252" s="42"/>
      <c r="F252" s="164"/>
      <c r="H252" s="164"/>
      <c r="I252" s="164"/>
      <c r="J252" s="316"/>
      <c r="K252" s="316"/>
      <c r="L252" s="45"/>
      <c r="M252" s="45"/>
      <c r="N252" s="46"/>
      <c r="O252" s="46"/>
      <c r="R252" s="45"/>
      <c r="T252" s="365">
        <v>56</v>
      </c>
      <c r="V252" s="378" t="str">
        <f>C98</f>
        <v xml:space="preserve"> 14,000 LUMEN GAS REPLICA</v>
      </c>
      <c r="W252" s="379"/>
      <c r="Y252" s="68">
        <f>F98</f>
        <v>0</v>
      </c>
      <c r="Z252" s="1"/>
      <c r="AA252" s="68">
        <f>H98</f>
        <v>0</v>
      </c>
      <c r="AB252" s="68"/>
      <c r="AC252" s="132">
        <v>33.42</v>
      </c>
      <c r="AD252" s="342"/>
      <c r="AE252" s="3">
        <f>ROUND((Y252*AC252),0)</f>
        <v>0</v>
      </c>
      <c r="AF252" s="3"/>
      <c r="AG252" s="103">
        <f>ROUND((AE252/AE$293)*100,1)</f>
        <v>0</v>
      </c>
      <c r="AH252" s="4"/>
      <c r="AI252" s="3">
        <f>L98-AE252</f>
        <v>0</v>
      </c>
      <c r="AJ252" s="3"/>
      <c r="AK252" s="113" t="str">
        <f>IF(AE252=0,"0.0 ",ROUND((AI252/AE252)*100,1))</f>
        <v xml:space="preserve">0.0 </v>
      </c>
      <c r="AL252" s="6"/>
      <c r="AM252" s="3">
        <f>ROUND(CUR_FAC*AA252,0)</f>
        <v>0</v>
      </c>
      <c r="AN252" s="3"/>
      <c r="AO252" s="3">
        <f>AE252+AM252</f>
        <v>0</v>
      </c>
      <c r="AP252" s="3"/>
      <c r="AQ252" s="113" t="str">
        <f>IF(AO252=0,"0.0 ",ROUND((AI252/AO252)*100,1))</f>
        <v xml:space="preserve">0.0 </v>
      </c>
      <c r="AS252" s="45"/>
      <c r="AT252" s="56">
        <f>AC252-AX252</f>
        <v>30.96</v>
      </c>
      <c r="AW252" s="164">
        <v>874</v>
      </c>
      <c r="AX252" s="41">
        <f>ROUND((AW252/12)*CUR_BASE_FUEL,2)</f>
        <v>2.46</v>
      </c>
      <c r="AY252" s="41">
        <f>ROUND((AW252/12)*PRO_BASE_FUEL,2)</f>
        <v>2.46</v>
      </c>
    </row>
    <row r="253" spans="3:51">
      <c r="F253" s="50"/>
      <c r="H253" s="45"/>
      <c r="I253" s="45"/>
      <c r="J253" s="326"/>
      <c r="K253" s="326"/>
      <c r="L253" s="50"/>
      <c r="M253" s="50"/>
      <c r="N253" s="50"/>
      <c r="O253" s="50"/>
      <c r="P253" s="50"/>
      <c r="Q253" s="50"/>
      <c r="R253" s="50"/>
      <c r="T253" s="365">
        <v>57</v>
      </c>
      <c r="V253" s="378" t="str">
        <f>C99</f>
        <v xml:space="preserve"> 14,500 LUMEN GAS REPLICA </v>
      </c>
      <c r="W253" s="379"/>
      <c r="Y253" s="68">
        <f>F99</f>
        <v>298</v>
      </c>
      <c r="Z253" s="1"/>
      <c r="AA253" s="68">
        <f>H99</f>
        <v>21382</v>
      </c>
      <c r="AB253" s="68"/>
      <c r="AC253" s="132">
        <v>33.409999999999997</v>
      </c>
      <c r="AD253" s="342"/>
      <c r="AE253" s="3">
        <f>ROUND((Y253*AC253),0)</f>
        <v>9956</v>
      </c>
      <c r="AF253" s="3"/>
      <c r="AG253" s="103">
        <f>ROUND((AE253/AE$293)*100,1)</f>
        <v>0.7</v>
      </c>
      <c r="AH253" s="4"/>
      <c r="AI253" s="3">
        <f>L99-AE253</f>
        <v>1419</v>
      </c>
      <c r="AJ253" s="3"/>
      <c r="AK253" s="113">
        <f>IF(AE253=0,"0.0 ",ROUND((AI253/AE253)*100,1))</f>
        <v>14.3</v>
      </c>
      <c r="AL253" s="6"/>
      <c r="AM253" s="3">
        <f>ROUND(CUR_FAC*AA253,0)</f>
        <v>75</v>
      </c>
      <c r="AN253" s="3"/>
      <c r="AO253" s="3">
        <f>AE253+AM253</f>
        <v>10031</v>
      </c>
      <c r="AP253" s="3"/>
      <c r="AQ253" s="113">
        <f>IF(AO253=0,"0.0 ",ROUND((AI253/AO253)*100,1))</f>
        <v>14.1</v>
      </c>
      <c r="AS253" s="45"/>
      <c r="AT253" s="56">
        <f>AC253-AX253</f>
        <v>30.989999999999995</v>
      </c>
      <c r="AW253" s="164">
        <v>861</v>
      </c>
      <c r="AX253" s="41">
        <f>ROUND((AW253/12)*CUR_BASE_FUEL,2)</f>
        <v>2.42</v>
      </c>
      <c r="AY253" s="41">
        <f>ROUND((AW253/12)*PRO_BASE_FUEL,2)</f>
        <v>2.42</v>
      </c>
    </row>
    <row r="254" spans="3:51">
      <c r="C254" s="42"/>
      <c r="F254" s="45"/>
      <c r="H254" s="45"/>
      <c r="I254" s="45"/>
      <c r="J254" s="326"/>
      <c r="K254" s="326"/>
      <c r="L254" s="45"/>
      <c r="M254" s="45"/>
      <c r="N254" s="46"/>
      <c r="O254" s="46"/>
      <c r="P254" s="45"/>
      <c r="Q254" s="45"/>
      <c r="R254" s="45"/>
      <c r="T254" s="365">
        <v>58</v>
      </c>
      <c r="V254" s="310" t="s">
        <v>203</v>
      </c>
      <c r="Y254" s="68"/>
      <c r="Z254" s="1"/>
      <c r="AA254" s="68"/>
      <c r="AB254" s="1"/>
      <c r="AC254" s="5"/>
      <c r="AD254" s="342"/>
      <c r="AE254" s="3"/>
      <c r="AF254" s="3"/>
      <c r="AG254" s="103"/>
      <c r="AH254" s="4"/>
      <c r="AI254" s="3"/>
      <c r="AJ254" s="3"/>
      <c r="AK254" s="113"/>
      <c r="AL254" s="6"/>
      <c r="AM254" s="3"/>
      <c r="AN254" s="3"/>
      <c r="AO254" s="3"/>
      <c r="AP254" s="3"/>
      <c r="AQ254" s="113"/>
      <c r="AS254" s="45"/>
      <c r="AW254" s="1"/>
    </row>
    <row r="255" spans="3:51">
      <c r="F255" s="50"/>
      <c r="H255" s="45"/>
      <c r="I255" s="45"/>
      <c r="J255" s="326"/>
      <c r="K255" s="326"/>
      <c r="L255" s="50"/>
      <c r="M255" s="50"/>
      <c r="N255" s="50"/>
      <c r="O255" s="50"/>
      <c r="P255" s="50"/>
      <c r="Q255" s="50"/>
      <c r="R255" s="50"/>
      <c r="T255" s="365">
        <v>59</v>
      </c>
      <c r="V255" s="378" t="str">
        <f t="shared" ref="V255:V264" si="51">C101</f>
        <v xml:space="preserve">  9,500 LUMEN TOWN &amp; COUNTRY</v>
      </c>
      <c r="Y255" s="68">
        <f t="shared" ref="Y255:Y264" si="52">F101</f>
        <v>1598</v>
      </c>
      <c r="Z255" s="1"/>
      <c r="AA255" s="68">
        <f t="shared" ref="AA255:AA264" si="53">H101</f>
        <v>64852</v>
      </c>
      <c r="AB255" s="1"/>
      <c r="AC255" s="56">
        <v>16.97</v>
      </c>
      <c r="AD255" s="1"/>
      <c r="AE255" s="3">
        <f>ROUND((Y255*AC255),0)</f>
        <v>27118</v>
      </c>
      <c r="AF255" s="3"/>
      <c r="AG255" s="103">
        <f t="shared" ref="AG255:AG265" si="54">ROUND((AE255/AE$293)*100,1)</f>
        <v>1.9</v>
      </c>
      <c r="AH255" s="4"/>
      <c r="AI255" s="3">
        <f t="shared" ref="AI255:AI264" si="55">L101-AE255</f>
        <v>3867</v>
      </c>
      <c r="AJ255" s="3"/>
      <c r="AK255" s="113">
        <f t="shared" ref="AK255:AK265" si="56">IF(AE255=0,"0.0 ",ROUND((AI255/AE255)*100,1))</f>
        <v>14.3</v>
      </c>
      <c r="AL255" s="6"/>
      <c r="AM255" s="3">
        <f t="shared" ref="AM255:AM264" si="57">ROUND(CUR_FAC*AA255,0)</f>
        <v>226</v>
      </c>
      <c r="AN255" s="3"/>
      <c r="AO255" s="3">
        <f>AE255+AM255</f>
        <v>27344</v>
      </c>
      <c r="AP255" s="3"/>
      <c r="AQ255" s="113">
        <f t="shared" ref="AQ255:AQ265" si="58">IF(AO255=0,"0.0 ",ROUND((AI255/AO255)*100,1))</f>
        <v>14.1</v>
      </c>
      <c r="AS255" s="45"/>
      <c r="AT255" s="56">
        <f t="shared" ref="AT255:AT264" si="59">AC255-AX255</f>
        <v>15.599999999999998</v>
      </c>
      <c r="AW255" s="164">
        <v>487</v>
      </c>
      <c r="AX255" s="41">
        <f t="shared" ref="AX255:AX264" si="60">ROUND((AW255/12)*CUR_BASE_FUEL,2)</f>
        <v>1.37</v>
      </c>
      <c r="AY255" s="41">
        <f t="shared" ref="AY255:AY264" si="61">ROUND((AW255/12)*PRO_BASE_FUEL,2)</f>
        <v>1.37</v>
      </c>
    </row>
    <row r="256" spans="3:51">
      <c r="F256" s="45"/>
      <c r="H256" s="45"/>
      <c r="I256" s="45"/>
      <c r="J256" s="326"/>
      <c r="K256" s="326"/>
      <c r="L256" s="45"/>
      <c r="M256" s="45"/>
      <c r="N256" s="46"/>
      <c r="O256" s="46"/>
      <c r="P256" s="45"/>
      <c r="Q256" s="45"/>
      <c r="R256" s="45"/>
      <c r="T256" s="365">
        <v>60</v>
      </c>
      <c r="V256" s="378" t="str">
        <f t="shared" si="51"/>
        <v xml:space="preserve">  9,500 LUMEN HOLOPHANE</v>
      </c>
      <c r="Y256" s="68">
        <f t="shared" si="52"/>
        <v>868</v>
      </c>
      <c r="Z256" s="1"/>
      <c r="AA256" s="68">
        <f t="shared" si="53"/>
        <v>38481</v>
      </c>
      <c r="AB256" s="1"/>
      <c r="AC256" s="56">
        <v>18.39</v>
      </c>
      <c r="AD256" s="76"/>
      <c r="AE256" s="3">
        <f>ROUND((Y256*AC256),0)</f>
        <v>15963</v>
      </c>
      <c r="AF256" s="3"/>
      <c r="AG256" s="103">
        <f t="shared" si="54"/>
        <v>1.1000000000000001</v>
      </c>
      <c r="AH256" s="4"/>
      <c r="AI256" s="3">
        <f t="shared" si="55"/>
        <v>2274</v>
      </c>
      <c r="AJ256" s="3"/>
      <c r="AK256" s="113">
        <f t="shared" si="56"/>
        <v>14.2</v>
      </c>
      <c r="AL256" s="6"/>
      <c r="AM256" s="3">
        <f t="shared" si="57"/>
        <v>134</v>
      </c>
      <c r="AN256" s="3"/>
      <c r="AO256" s="3">
        <f>AE256+AM256</f>
        <v>16097</v>
      </c>
      <c r="AP256" s="3"/>
      <c r="AQ256" s="113">
        <f t="shared" si="58"/>
        <v>14.1</v>
      </c>
      <c r="AS256" s="45"/>
      <c r="AT256" s="56">
        <f t="shared" si="59"/>
        <v>16.89</v>
      </c>
      <c r="AW256" s="164">
        <v>532</v>
      </c>
      <c r="AX256" s="41">
        <f t="shared" si="60"/>
        <v>1.5</v>
      </c>
      <c r="AY256" s="41">
        <f t="shared" si="61"/>
        <v>1.5</v>
      </c>
    </row>
    <row r="257" spans="3:51">
      <c r="C257" s="42"/>
      <c r="F257" s="164"/>
      <c r="H257" s="164"/>
      <c r="I257" s="164"/>
      <c r="J257" s="316"/>
      <c r="K257" s="316"/>
      <c r="L257" s="45"/>
      <c r="M257" s="45"/>
      <c r="N257" s="46"/>
      <c r="O257" s="46"/>
      <c r="P257" s="45"/>
      <c r="Q257" s="45"/>
      <c r="R257" s="45"/>
      <c r="T257" s="365">
        <v>61</v>
      </c>
      <c r="V257" s="378" t="str">
        <f t="shared" si="51"/>
        <v xml:space="preserve">  9,500 LUMEN RECTILINEAR</v>
      </c>
      <c r="Y257" s="68">
        <f t="shared" si="52"/>
        <v>0</v>
      </c>
      <c r="Z257" s="1"/>
      <c r="AA257" s="68">
        <f t="shared" si="53"/>
        <v>0</v>
      </c>
      <c r="AB257" s="1"/>
      <c r="AC257" s="56">
        <v>13.96</v>
      </c>
      <c r="AD257" s="76"/>
      <c r="AE257" s="3">
        <f>ROUND((Y257*AC257),0)</f>
        <v>0</v>
      </c>
      <c r="AF257" s="3"/>
      <c r="AG257" s="103">
        <f t="shared" si="54"/>
        <v>0</v>
      </c>
      <c r="AH257" s="4"/>
      <c r="AI257" s="3">
        <f t="shared" si="55"/>
        <v>0</v>
      </c>
      <c r="AJ257" s="3"/>
      <c r="AK257" s="113" t="str">
        <f t="shared" si="56"/>
        <v xml:space="preserve">0.0 </v>
      </c>
      <c r="AL257" s="6"/>
      <c r="AM257" s="3">
        <f t="shared" si="57"/>
        <v>0</v>
      </c>
      <c r="AN257" s="3"/>
      <c r="AO257" s="3">
        <f>AE257+AM257</f>
        <v>0</v>
      </c>
      <c r="AP257" s="3"/>
      <c r="AQ257" s="113" t="str">
        <f t="shared" si="58"/>
        <v xml:space="preserve">0.0 </v>
      </c>
      <c r="AS257" s="45"/>
      <c r="AT257" s="56">
        <f t="shared" si="59"/>
        <v>12.59</v>
      </c>
      <c r="AW257" s="164">
        <v>487</v>
      </c>
      <c r="AX257" s="41">
        <f t="shared" si="60"/>
        <v>1.37</v>
      </c>
      <c r="AY257" s="41">
        <f t="shared" si="61"/>
        <v>1.37</v>
      </c>
    </row>
    <row r="258" spans="3:51">
      <c r="C258" s="42"/>
      <c r="F258" s="164"/>
      <c r="H258" s="164"/>
      <c r="I258" s="164"/>
      <c r="J258" s="316"/>
      <c r="K258" s="316"/>
      <c r="L258" s="45"/>
      <c r="M258" s="45"/>
      <c r="N258" s="46"/>
      <c r="O258" s="46"/>
      <c r="P258" s="45"/>
      <c r="Q258" s="45"/>
      <c r="R258" s="45"/>
      <c r="T258" s="365">
        <v>62</v>
      </c>
      <c r="V258" s="378" t="str">
        <f t="shared" si="51"/>
        <v xml:space="preserve">  9,500 LUMEN GAS REPLICA</v>
      </c>
      <c r="Y258" s="68">
        <f t="shared" si="52"/>
        <v>252</v>
      </c>
      <c r="Z258" s="1"/>
      <c r="AA258" s="68">
        <f t="shared" si="53"/>
        <v>11172</v>
      </c>
      <c r="AB258" s="1"/>
      <c r="AC258" s="56">
        <v>35.229999999999997</v>
      </c>
      <c r="AD258" s="76"/>
      <c r="AE258" s="3">
        <f>ROUND((Y258*AC258),0)</f>
        <v>8878</v>
      </c>
      <c r="AF258" s="3"/>
      <c r="AG258" s="103">
        <f t="shared" si="54"/>
        <v>0.6</v>
      </c>
      <c r="AH258" s="4"/>
      <c r="AI258" s="3">
        <f t="shared" si="55"/>
        <v>1265</v>
      </c>
      <c r="AJ258" s="3"/>
      <c r="AK258" s="113">
        <f t="shared" si="56"/>
        <v>14.2</v>
      </c>
      <c r="AL258" s="6"/>
      <c r="AM258" s="3">
        <f t="shared" si="57"/>
        <v>39</v>
      </c>
      <c r="AN258" s="3"/>
      <c r="AO258" s="3">
        <f>AE258+AM258</f>
        <v>8917</v>
      </c>
      <c r="AP258" s="3"/>
      <c r="AQ258" s="113">
        <f t="shared" si="58"/>
        <v>14.2</v>
      </c>
      <c r="AS258" s="45"/>
      <c r="AT258" s="56">
        <f t="shared" si="59"/>
        <v>33.729999999999997</v>
      </c>
      <c r="AW258" s="164">
        <v>532</v>
      </c>
      <c r="AX258" s="41">
        <f t="shared" si="60"/>
        <v>1.5</v>
      </c>
      <c r="AY258" s="41">
        <f t="shared" si="61"/>
        <v>1.5</v>
      </c>
    </row>
    <row r="259" spans="3:51">
      <c r="C259" s="42"/>
      <c r="F259" s="164"/>
      <c r="H259" s="164"/>
      <c r="I259" s="164"/>
      <c r="J259" s="316"/>
      <c r="K259" s="316"/>
      <c r="L259" s="45"/>
      <c r="M259" s="45"/>
      <c r="N259" s="46"/>
      <c r="O259" s="46"/>
      <c r="P259" s="45"/>
      <c r="Q259" s="45"/>
      <c r="R259" s="45"/>
      <c r="T259" s="365">
        <v>63</v>
      </c>
      <c r="V259" s="378" t="str">
        <f t="shared" si="51"/>
        <v xml:space="preserve">  9,500 LUMEN ASPEN</v>
      </c>
      <c r="Y259" s="68">
        <f t="shared" si="52"/>
        <v>696</v>
      </c>
      <c r="Z259" s="1"/>
      <c r="AA259" s="68">
        <f t="shared" si="53"/>
        <v>30856</v>
      </c>
      <c r="AB259" s="68"/>
      <c r="AC259" s="56">
        <v>21.34</v>
      </c>
      <c r="AD259" s="1"/>
      <c r="AE259" s="3">
        <f t="shared" ref="AE259:AE264" si="62">ROUND((Y259*AC259),0)</f>
        <v>14853</v>
      </c>
      <c r="AF259" s="3"/>
      <c r="AG259" s="103">
        <f t="shared" si="54"/>
        <v>1</v>
      </c>
      <c r="AH259" s="4"/>
      <c r="AI259" s="3">
        <f t="shared" si="55"/>
        <v>2115</v>
      </c>
      <c r="AJ259" s="3"/>
      <c r="AK259" s="113">
        <f t="shared" si="56"/>
        <v>14.2</v>
      </c>
      <c r="AL259" s="6"/>
      <c r="AM259" s="3">
        <f t="shared" si="57"/>
        <v>108</v>
      </c>
      <c r="AN259" s="68"/>
      <c r="AO259" s="3">
        <f t="shared" ref="AO259:AO264" si="63">AE259+AM259</f>
        <v>14961</v>
      </c>
      <c r="AP259" s="3"/>
      <c r="AQ259" s="113">
        <f t="shared" si="58"/>
        <v>14.1</v>
      </c>
      <c r="AS259" s="45"/>
      <c r="AT259" s="56">
        <f t="shared" si="59"/>
        <v>19.84</v>
      </c>
      <c r="AW259" s="164">
        <v>532</v>
      </c>
      <c r="AX259" s="41">
        <f t="shared" si="60"/>
        <v>1.5</v>
      </c>
      <c r="AY259" s="41">
        <f t="shared" si="61"/>
        <v>1.5</v>
      </c>
    </row>
    <row r="260" spans="3:51">
      <c r="C260" s="42"/>
      <c r="F260" s="164"/>
      <c r="H260" s="164"/>
      <c r="I260" s="164"/>
      <c r="J260" s="316"/>
      <c r="K260" s="316"/>
      <c r="L260" s="45"/>
      <c r="M260" s="45"/>
      <c r="N260" s="46"/>
      <c r="O260" s="46"/>
      <c r="P260" s="45"/>
      <c r="Q260" s="45"/>
      <c r="R260" s="45"/>
      <c r="T260" s="365">
        <v>64</v>
      </c>
      <c r="V260" s="378" t="str">
        <f t="shared" si="51"/>
        <v xml:space="preserve">  9,500 LUMEN TRADITIONAIRE</v>
      </c>
      <c r="Y260" s="68">
        <f t="shared" si="52"/>
        <v>622</v>
      </c>
      <c r="Z260" s="1"/>
      <c r="AA260" s="68">
        <f t="shared" si="53"/>
        <v>25243</v>
      </c>
      <c r="AB260" s="68"/>
      <c r="AC260" s="56">
        <v>16.97</v>
      </c>
      <c r="AD260" s="1"/>
      <c r="AE260" s="3">
        <f t="shared" si="62"/>
        <v>10555</v>
      </c>
      <c r="AF260" s="1"/>
      <c r="AG260" s="103">
        <f t="shared" si="54"/>
        <v>0.7</v>
      </c>
      <c r="AH260" s="1"/>
      <c r="AI260" s="3">
        <f t="shared" si="55"/>
        <v>1506</v>
      </c>
      <c r="AJ260" s="1"/>
      <c r="AK260" s="113">
        <f t="shared" si="56"/>
        <v>14.3</v>
      </c>
      <c r="AL260" s="1"/>
      <c r="AM260" s="3">
        <f t="shared" si="57"/>
        <v>88</v>
      </c>
      <c r="AN260" s="1"/>
      <c r="AO260" s="3">
        <f t="shared" si="63"/>
        <v>10643</v>
      </c>
      <c r="AP260" s="1"/>
      <c r="AQ260" s="113">
        <f t="shared" si="58"/>
        <v>14.2</v>
      </c>
      <c r="AS260" s="45"/>
      <c r="AT260" s="56">
        <f t="shared" si="59"/>
        <v>15.599999999999998</v>
      </c>
      <c r="AW260" s="164">
        <v>487</v>
      </c>
      <c r="AX260" s="41">
        <f t="shared" si="60"/>
        <v>1.37</v>
      </c>
      <c r="AY260" s="41">
        <f t="shared" si="61"/>
        <v>1.37</v>
      </c>
    </row>
    <row r="261" spans="3:51">
      <c r="C261" s="42"/>
      <c r="F261" s="164"/>
      <c r="H261" s="164"/>
      <c r="I261" s="164"/>
      <c r="J261" s="316"/>
      <c r="K261" s="316"/>
      <c r="L261" s="45"/>
      <c r="M261" s="45"/>
      <c r="N261" s="46"/>
      <c r="O261" s="46"/>
      <c r="P261" s="45"/>
      <c r="Q261" s="45"/>
      <c r="R261" s="45"/>
      <c r="T261" s="365">
        <v>65</v>
      </c>
      <c r="V261" s="378" t="str">
        <f t="shared" si="51"/>
        <v xml:space="preserve">  9,500 LUMEN GRANVILLE </v>
      </c>
      <c r="Y261" s="68">
        <f t="shared" si="52"/>
        <v>0</v>
      </c>
      <c r="Z261" s="1"/>
      <c r="AA261" s="68">
        <f t="shared" si="53"/>
        <v>0</v>
      </c>
      <c r="AB261" s="1"/>
      <c r="AC261" s="56">
        <v>21.34</v>
      </c>
      <c r="AD261" s="76"/>
      <c r="AE261" s="3">
        <f t="shared" si="62"/>
        <v>0</v>
      </c>
      <c r="AF261" s="3"/>
      <c r="AG261" s="103">
        <f t="shared" si="54"/>
        <v>0</v>
      </c>
      <c r="AH261" s="4"/>
      <c r="AI261" s="3">
        <f t="shared" si="55"/>
        <v>0</v>
      </c>
      <c r="AJ261" s="3"/>
      <c r="AK261" s="113" t="str">
        <f t="shared" si="56"/>
        <v xml:space="preserve">0.0 </v>
      </c>
      <c r="AL261" s="6"/>
      <c r="AM261" s="3">
        <f t="shared" si="57"/>
        <v>0</v>
      </c>
      <c r="AN261" s="3"/>
      <c r="AO261" s="3">
        <f t="shared" si="63"/>
        <v>0</v>
      </c>
      <c r="AP261" s="3"/>
      <c r="AQ261" s="113" t="str">
        <f t="shared" si="58"/>
        <v xml:space="preserve">0.0 </v>
      </c>
      <c r="AS261" s="45"/>
      <c r="AT261" s="56">
        <f t="shared" si="59"/>
        <v>19.84</v>
      </c>
      <c r="AW261" s="164">
        <v>532</v>
      </c>
      <c r="AX261" s="41">
        <f t="shared" si="60"/>
        <v>1.5</v>
      </c>
      <c r="AY261" s="41">
        <f t="shared" si="61"/>
        <v>1.5</v>
      </c>
    </row>
    <row r="262" spans="3:51">
      <c r="C262" s="42"/>
      <c r="F262" s="164"/>
      <c r="H262" s="164"/>
      <c r="I262" s="164"/>
      <c r="J262" s="316"/>
      <c r="K262" s="316"/>
      <c r="L262" s="45"/>
      <c r="M262" s="45"/>
      <c r="N262" s="46"/>
      <c r="O262" s="46"/>
      <c r="P262" s="45"/>
      <c r="Q262" s="45"/>
      <c r="R262" s="45"/>
      <c r="T262" s="365">
        <v>66</v>
      </c>
      <c r="V262" s="378" t="str">
        <f t="shared" si="51"/>
        <v xml:space="preserve">  22,000 LUMEN RECTILINEAR</v>
      </c>
      <c r="Y262" s="68">
        <f t="shared" si="52"/>
        <v>168</v>
      </c>
      <c r="Z262" s="1"/>
      <c r="AA262" s="68">
        <f t="shared" si="53"/>
        <v>14322</v>
      </c>
      <c r="AB262" s="68"/>
      <c r="AC262" s="132">
        <v>19.32</v>
      </c>
      <c r="AD262" s="1"/>
      <c r="AE262" s="3">
        <f t="shared" si="62"/>
        <v>3246</v>
      </c>
      <c r="AF262" s="1"/>
      <c r="AG262" s="103">
        <f t="shared" si="54"/>
        <v>0.2</v>
      </c>
      <c r="AH262" s="1"/>
      <c r="AI262" s="3">
        <f t="shared" si="55"/>
        <v>463</v>
      </c>
      <c r="AJ262" s="1"/>
      <c r="AK262" s="113">
        <f t="shared" si="56"/>
        <v>14.3</v>
      </c>
      <c r="AL262" s="1"/>
      <c r="AM262" s="3">
        <f t="shared" si="57"/>
        <v>50</v>
      </c>
      <c r="AN262" s="1"/>
      <c r="AO262" s="3">
        <f t="shared" si="63"/>
        <v>3296</v>
      </c>
      <c r="AP262" s="1"/>
      <c r="AQ262" s="113">
        <f t="shared" si="58"/>
        <v>14</v>
      </c>
      <c r="AS262" s="45"/>
      <c r="AT262" s="56">
        <f t="shared" si="59"/>
        <v>16.440000000000001</v>
      </c>
      <c r="AW262" s="164">
        <v>1023</v>
      </c>
      <c r="AX262" s="41">
        <f t="shared" si="60"/>
        <v>2.88</v>
      </c>
      <c r="AY262" s="41">
        <f t="shared" si="61"/>
        <v>2.88</v>
      </c>
    </row>
    <row r="263" spans="3:51">
      <c r="C263" s="42"/>
      <c r="F263" s="164"/>
      <c r="H263" s="164"/>
      <c r="I263" s="164"/>
      <c r="J263" s="316"/>
      <c r="K263" s="316"/>
      <c r="L263" s="45"/>
      <c r="M263" s="45"/>
      <c r="N263" s="46"/>
      <c r="O263" s="46"/>
      <c r="P263" s="45"/>
      <c r="Q263" s="45"/>
      <c r="R263" s="45"/>
      <c r="T263" s="365">
        <v>67</v>
      </c>
      <c r="V263" s="378" t="str">
        <f t="shared" si="51"/>
        <v xml:space="preserve">  50,000 LUMEN RECTILINEAR</v>
      </c>
      <c r="Y263" s="68">
        <f t="shared" si="52"/>
        <v>60</v>
      </c>
      <c r="Z263" s="1"/>
      <c r="AA263" s="68">
        <f t="shared" si="53"/>
        <v>9795</v>
      </c>
      <c r="AB263" s="68"/>
      <c r="AC263" s="132">
        <v>26.1</v>
      </c>
      <c r="AE263" s="3">
        <f t="shared" si="62"/>
        <v>1566</v>
      </c>
      <c r="AG263" s="103">
        <f t="shared" si="54"/>
        <v>0.1</v>
      </c>
      <c r="AI263" s="3">
        <f t="shared" si="55"/>
        <v>223</v>
      </c>
      <c r="AK263" s="113">
        <f t="shared" si="56"/>
        <v>14.2</v>
      </c>
      <c r="AL263" s="45"/>
      <c r="AM263" s="3">
        <f t="shared" si="57"/>
        <v>34</v>
      </c>
      <c r="AN263" s="51"/>
      <c r="AO263" s="3">
        <f t="shared" si="63"/>
        <v>1600</v>
      </c>
      <c r="AP263" s="45"/>
      <c r="AQ263" s="113">
        <f t="shared" si="58"/>
        <v>13.9</v>
      </c>
      <c r="AS263" s="45"/>
      <c r="AT263" s="56">
        <f t="shared" si="59"/>
        <v>20.590000000000003</v>
      </c>
      <c r="AW263" s="164">
        <v>1959</v>
      </c>
      <c r="AX263" s="41">
        <f t="shared" si="60"/>
        <v>5.51</v>
      </c>
      <c r="AY263" s="41">
        <f t="shared" si="61"/>
        <v>5.51</v>
      </c>
    </row>
    <row r="264" spans="3:51">
      <c r="C264" s="42"/>
      <c r="F264" s="164"/>
      <c r="H264" s="164"/>
      <c r="I264" s="164"/>
      <c r="J264" s="316"/>
      <c r="K264" s="316"/>
      <c r="L264" s="45"/>
      <c r="M264" s="45"/>
      <c r="N264" s="46"/>
      <c r="O264" s="46"/>
      <c r="P264" s="45"/>
      <c r="Q264" s="45"/>
      <c r="R264" s="45"/>
      <c r="T264" s="365">
        <v>68</v>
      </c>
      <c r="U264" s="380"/>
      <c r="V264" s="378" t="str">
        <f t="shared" si="51"/>
        <v xml:space="preserve">  50,000 LUMEN SETBACK</v>
      </c>
      <c r="Y264" s="68">
        <f t="shared" si="52"/>
        <v>12</v>
      </c>
      <c r="Z264" s="1"/>
      <c r="AA264" s="68">
        <f t="shared" si="53"/>
        <v>1959</v>
      </c>
      <c r="AC264" s="132">
        <v>37.799999999999997</v>
      </c>
      <c r="AE264" s="66">
        <f t="shared" si="62"/>
        <v>454</v>
      </c>
      <c r="AG264" s="104">
        <f t="shared" si="54"/>
        <v>0</v>
      </c>
      <c r="AI264" s="66">
        <f t="shared" si="55"/>
        <v>64</v>
      </c>
      <c r="AK264" s="112">
        <f t="shared" si="56"/>
        <v>14.1</v>
      </c>
      <c r="AL264" s="45"/>
      <c r="AM264" s="66">
        <f t="shared" si="57"/>
        <v>7</v>
      </c>
      <c r="AN264" s="51"/>
      <c r="AO264" s="66">
        <f t="shared" si="63"/>
        <v>461</v>
      </c>
      <c r="AP264" s="45"/>
      <c r="AQ264" s="112">
        <f t="shared" si="58"/>
        <v>13.9</v>
      </c>
      <c r="AR264" s="45"/>
      <c r="AS264" s="45"/>
      <c r="AT264" s="56">
        <f t="shared" si="59"/>
        <v>32.29</v>
      </c>
      <c r="AW264" s="164">
        <v>1959</v>
      </c>
      <c r="AX264" s="41">
        <f t="shared" si="60"/>
        <v>5.51</v>
      </c>
      <c r="AY264" s="41">
        <f t="shared" si="61"/>
        <v>5.51</v>
      </c>
    </row>
    <row r="265" spans="3:51">
      <c r="C265" s="42"/>
      <c r="F265" s="164"/>
      <c r="H265" s="164"/>
      <c r="I265" s="164"/>
      <c r="J265" s="316"/>
      <c r="K265" s="316"/>
      <c r="L265" s="45"/>
      <c r="M265" s="45"/>
      <c r="N265" s="46"/>
      <c r="O265" s="46"/>
      <c r="P265" s="45"/>
      <c r="Q265" s="45"/>
      <c r="R265" s="45"/>
      <c r="T265" s="365">
        <v>69</v>
      </c>
      <c r="V265" s="310" t="s">
        <v>266</v>
      </c>
      <c r="Y265" s="72">
        <f>SUM(Y200:Y264)</f>
        <v>9654</v>
      </c>
      <c r="Z265" s="1"/>
      <c r="AA265" s="72">
        <f>SUM(AA200:AA264)</f>
        <v>607503</v>
      </c>
      <c r="AB265" s="3"/>
      <c r="AE265" s="66">
        <f>SUM(AE200:AE264)</f>
        <v>161657</v>
      </c>
      <c r="AG265" s="104">
        <f t="shared" si="54"/>
        <v>11.4</v>
      </c>
      <c r="AI265" s="66">
        <f>SUM(AI200:AI264)</f>
        <v>23052</v>
      </c>
      <c r="AK265" s="112">
        <f t="shared" si="56"/>
        <v>14.3</v>
      </c>
      <c r="AL265" s="45"/>
      <c r="AM265" s="66">
        <f>SUM(AM200:AM264)</f>
        <v>2121</v>
      </c>
      <c r="AN265" s="51"/>
      <c r="AO265" s="66">
        <f>SUM(AO200:AO264)</f>
        <v>163778</v>
      </c>
      <c r="AP265" s="45"/>
      <c r="AQ265" s="114">
        <f t="shared" si="58"/>
        <v>14.1</v>
      </c>
    </row>
    <row r="266" spans="3:51">
      <c r="C266" s="42"/>
      <c r="F266" s="164"/>
      <c r="H266" s="164"/>
      <c r="I266" s="164"/>
      <c r="J266" s="316"/>
      <c r="K266" s="316"/>
      <c r="L266" s="45"/>
      <c r="M266" s="45"/>
      <c r="N266" s="46"/>
      <c r="O266" s="46"/>
      <c r="P266" s="45"/>
      <c r="Q266" s="45"/>
      <c r="R266" s="45"/>
      <c r="T266" s="365">
        <v>70</v>
      </c>
      <c r="U266" s="381"/>
      <c r="V266" s="378"/>
      <c r="Y266" s="68"/>
      <c r="Z266" s="1"/>
      <c r="AA266" s="68"/>
      <c r="AB266" s="1"/>
      <c r="AC266" s="56"/>
      <c r="AD266" s="76"/>
      <c r="AE266" s="3"/>
      <c r="AF266" s="3"/>
      <c r="AG266" s="103"/>
      <c r="AH266" s="4"/>
      <c r="AI266" s="3"/>
      <c r="AJ266" s="3"/>
      <c r="AK266" s="113"/>
      <c r="AL266" s="6"/>
      <c r="AM266" s="3"/>
      <c r="AN266" s="3"/>
      <c r="AO266" s="3"/>
      <c r="AP266" s="3"/>
      <c r="AQ266" s="113"/>
      <c r="AS266" s="45"/>
      <c r="AT266" s="56"/>
      <c r="AW266" s="164"/>
    </row>
    <row r="267" spans="3:51">
      <c r="C267" s="42"/>
      <c r="F267" s="164"/>
      <c r="H267" s="164"/>
      <c r="I267" s="164"/>
      <c r="J267" s="316"/>
      <c r="K267" s="316"/>
      <c r="L267" s="45"/>
      <c r="M267" s="45"/>
      <c r="N267" s="46"/>
      <c r="O267" s="46"/>
      <c r="P267" s="45"/>
      <c r="Q267" s="45"/>
      <c r="R267" s="45"/>
      <c r="T267" s="365">
        <v>71</v>
      </c>
      <c r="U267" s="381"/>
      <c r="V267" s="310" t="s">
        <v>1058</v>
      </c>
      <c r="Y267" s="3"/>
      <c r="Z267" s="1"/>
      <c r="AA267" s="3"/>
      <c r="AB267" s="3"/>
      <c r="AE267" s="3"/>
      <c r="AG267" s="103"/>
      <c r="AI267" s="3"/>
      <c r="AK267" s="113"/>
      <c r="AL267" s="45"/>
      <c r="AM267" s="3"/>
      <c r="AN267" s="51"/>
      <c r="AO267" s="3"/>
      <c r="AP267" s="45"/>
      <c r="AQ267" s="113"/>
      <c r="AS267" s="45"/>
      <c r="AT267" s="56"/>
      <c r="AW267" s="164"/>
    </row>
    <row r="268" spans="3:51">
      <c r="C268" s="42"/>
      <c r="F268" s="164"/>
      <c r="H268" s="164"/>
      <c r="I268" s="164"/>
      <c r="J268" s="316"/>
      <c r="K268" s="316"/>
      <c r="L268" s="45"/>
      <c r="M268" s="45"/>
      <c r="N268" s="46"/>
      <c r="O268" s="46"/>
      <c r="P268" s="45"/>
      <c r="Q268" s="45"/>
      <c r="R268" s="45"/>
      <c r="T268" s="365">
        <v>72</v>
      </c>
      <c r="V268" s="48" t="s">
        <v>1059</v>
      </c>
      <c r="Y268" s="68">
        <f t="shared" ref="Y268:Y279" si="64">F114</f>
        <v>204</v>
      </c>
      <c r="Z268" s="1"/>
      <c r="AA268" s="3"/>
      <c r="AB268" s="3"/>
      <c r="AC268" s="132">
        <v>6.25</v>
      </c>
      <c r="AE268" s="3">
        <f t="shared" ref="AE268:AE281" si="65">ROUND((Y268*AC268),0)</f>
        <v>1275</v>
      </c>
      <c r="AG268" s="103">
        <f t="shared" ref="AG268:AG282" si="66">ROUND((AE268/AE$293)*100,1)</f>
        <v>0.1</v>
      </c>
      <c r="AI268" s="3">
        <f t="shared" ref="AI268:AI281" si="67">L114-AE268</f>
        <v>182</v>
      </c>
      <c r="AK268" s="113">
        <f t="shared" ref="AK268:AK282" si="68">IF(AE268=0,"0.0 ",ROUND((AI268/AE268)*100,1))</f>
        <v>14.3</v>
      </c>
      <c r="AL268" s="45"/>
      <c r="AM268" s="3"/>
      <c r="AN268" s="51"/>
      <c r="AO268" s="3">
        <f t="shared" ref="AO268:AO279" si="69">AE268+AM268</f>
        <v>1275</v>
      </c>
      <c r="AP268" s="45"/>
      <c r="AQ268" s="113">
        <f t="shared" ref="AQ268:AQ282" si="70">IF(AO268=0,"0.0 ",ROUND((AI268/AO268)*100,1))</f>
        <v>14.3</v>
      </c>
      <c r="AS268" s="45"/>
      <c r="AT268" s="56"/>
      <c r="AW268" s="164"/>
    </row>
    <row r="269" spans="3:51">
      <c r="C269" s="42"/>
      <c r="F269" s="164"/>
      <c r="H269" s="164"/>
      <c r="I269" s="164"/>
      <c r="J269" s="316"/>
      <c r="K269" s="316"/>
      <c r="L269" s="45"/>
      <c r="M269" s="45"/>
      <c r="N269" s="46"/>
      <c r="O269" s="46"/>
      <c r="P269" s="45"/>
      <c r="Q269" s="45"/>
      <c r="R269" s="45"/>
      <c r="T269" s="365">
        <v>73</v>
      </c>
      <c r="V269" s="48" t="s">
        <v>1060</v>
      </c>
      <c r="Y269" s="3">
        <f t="shared" si="64"/>
        <v>212</v>
      </c>
      <c r="Z269" s="1"/>
      <c r="AA269" s="3"/>
      <c r="AB269" s="3"/>
      <c r="AC269" s="132">
        <v>6.17</v>
      </c>
      <c r="AE269" s="3">
        <f t="shared" si="65"/>
        <v>1308</v>
      </c>
      <c r="AG269" s="103">
        <f t="shared" si="66"/>
        <v>0.1</v>
      </c>
      <c r="AI269" s="3">
        <f t="shared" si="67"/>
        <v>187</v>
      </c>
      <c r="AK269" s="113">
        <f t="shared" si="68"/>
        <v>14.3</v>
      </c>
      <c r="AL269" s="45"/>
      <c r="AM269" s="3"/>
      <c r="AN269" s="51"/>
      <c r="AO269" s="3">
        <f t="shared" si="69"/>
        <v>1308</v>
      </c>
      <c r="AP269" s="45"/>
      <c r="AQ269" s="113">
        <f t="shared" si="70"/>
        <v>14.3</v>
      </c>
    </row>
    <row r="270" spans="3:51">
      <c r="C270" s="42"/>
      <c r="F270" s="164"/>
      <c r="H270" s="164"/>
      <c r="I270" s="164"/>
      <c r="J270" s="316"/>
      <c r="K270" s="316"/>
      <c r="L270" s="45"/>
      <c r="M270" s="45"/>
      <c r="N270" s="46"/>
      <c r="O270" s="46"/>
      <c r="P270" s="45"/>
      <c r="Q270" s="45"/>
      <c r="R270" s="45"/>
      <c r="T270" s="365">
        <v>74</v>
      </c>
      <c r="U270" s="382"/>
      <c r="V270" s="48" t="s">
        <v>1061</v>
      </c>
      <c r="Y270" s="3">
        <f t="shared" si="64"/>
        <v>1525</v>
      </c>
      <c r="Z270" s="1"/>
      <c r="AA270" s="3"/>
      <c r="AB270" s="3"/>
      <c r="AC270" s="132">
        <v>6.25</v>
      </c>
      <c r="AE270" s="3">
        <f t="shared" si="65"/>
        <v>9531</v>
      </c>
      <c r="AG270" s="103">
        <f t="shared" si="66"/>
        <v>0.7</v>
      </c>
      <c r="AI270" s="3">
        <f t="shared" si="67"/>
        <v>1358</v>
      </c>
      <c r="AK270" s="113">
        <f t="shared" si="68"/>
        <v>14.2</v>
      </c>
      <c r="AL270" s="45"/>
      <c r="AM270" s="3"/>
      <c r="AN270" s="51"/>
      <c r="AO270" s="3">
        <f t="shared" si="69"/>
        <v>9531</v>
      </c>
      <c r="AP270" s="45"/>
      <c r="AQ270" s="113">
        <f t="shared" si="70"/>
        <v>14.2</v>
      </c>
      <c r="AS270" s="45"/>
      <c r="AT270" s="56"/>
      <c r="AW270" s="164"/>
    </row>
    <row r="271" spans="3:51">
      <c r="C271" s="42"/>
      <c r="F271" s="164"/>
      <c r="H271" s="164"/>
      <c r="I271" s="164"/>
      <c r="J271" s="316"/>
      <c r="K271" s="316"/>
      <c r="L271" s="45"/>
      <c r="M271" s="45"/>
      <c r="N271" s="46"/>
      <c r="O271" s="46"/>
      <c r="P271" s="45"/>
      <c r="Q271" s="45"/>
      <c r="R271" s="45"/>
      <c r="T271" s="365">
        <v>75</v>
      </c>
      <c r="V271" s="48" t="s">
        <v>1062</v>
      </c>
      <c r="Y271" s="3">
        <f t="shared" si="64"/>
        <v>1611</v>
      </c>
      <c r="Z271" s="1"/>
      <c r="AA271" s="3"/>
      <c r="AB271" s="3"/>
      <c r="AC271" s="132">
        <v>7.48</v>
      </c>
      <c r="AE271" s="3">
        <f t="shared" si="65"/>
        <v>12050</v>
      </c>
      <c r="AG271" s="103">
        <f t="shared" si="66"/>
        <v>0.8</v>
      </c>
      <c r="AI271" s="3">
        <f t="shared" si="67"/>
        <v>1724</v>
      </c>
      <c r="AK271" s="113">
        <f t="shared" si="68"/>
        <v>14.3</v>
      </c>
      <c r="AL271" s="45"/>
      <c r="AM271" s="3"/>
      <c r="AN271" s="51"/>
      <c r="AO271" s="3">
        <f t="shared" si="69"/>
        <v>12050</v>
      </c>
      <c r="AP271" s="45"/>
      <c r="AQ271" s="113">
        <f t="shared" si="70"/>
        <v>14.3</v>
      </c>
    </row>
    <row r="272" spans="3:51">
      <c r="F272" s="45"/>
      <c r="H272" s="50"/>
      <c r="I272" s="50"/>
      <c r="J272" s="326"/>
      <c r="K272" s="326"/>
      <c r="L272" s="50"/>
      <c r="M272" s="50"/>
      <c r="N272" s="50"/>
      <c r="O272" s="50"/>
      <c r="P272" s="50"/>
      <c r="Q272" s="50"/>
      <c r="R272" s="50"/>
      <c r="T272" s="365">
        <v>76</v>
      </c>
      <c r="V272" s="48" t="s">
        <v>1063</v>
      </c>
      <c r="Y272" s="3">
        <f t="shared" si="64"/>
        <v>780</v>
      </c>
      <c r="Z272" s="1"/>
      <c r="AA272" s="3"/>
      <c r="AB272" s="3"/>
      <c r="AC272" s="132">
        <v>16.98</v>
      </c>
      <c r="AE272" s="3">
        <f t="shared" si="65"/>
        <v>13244</v>
      </c>
      <c r="AG272" s="103">
        <f t="shared" si="66"/>
        <v>0.9</v>
      </c>
      <c r="AI272" s="3">
        <f t="shared" si="67"/>
        <v>1888</v>
      </c>
      <c r="AK272" s="113">
        <f t="shared" si="68"/>
        <v>14.3</v>
      </c>
      <c r="AL272" s="45"/>
      <c r="AM272" s="3"/>
      <c r="AN272" s="51"/>
      <c r="AO272" s="3">
        <f t="shared" si="69"/>
        <v>13244</v>
      </c>
      <c r="AP272" s="45"/>
      <c r="AQ272" s="113">
        <f t="shared" si="70"/>
        <v>14.3</v>
      </c>
      <c r="AS272" s="45"/>
      <c r="AT272" s="56"/>
      <c r="AW272" s="164"/>
    </row>
    <row r="273" spans="3:49">
      <c r="F273" s="45"/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T273" s="365">
        <v>77</v>
      </c>
      <c r="V273" s="48" t="s">
        <v>1064</v>
      </c>
      <c r="Y273" s="3">
        <f t="shared" si="64"/>
        <v>708</v>
      </c>
      <c r="Z273" s="1"/>
      <c r="AA273" s="3"/>
      <c r="AB273" s="3"/>
      <c r="AC273" s="132">
        <v>9.84</v>
      </c>
      <c r="AE273" s="3">
        <f t="shared" si="65"/>
        <v>6967</v>
      </c>
      <c r="AG273" s="103">
        <f t="shared" si="66"/>
        <v>0.5</v>
      </c>
      <c r="AI273" s="3">
        <f t="shared" si="67"/>
        <v>991</v>
      </c>
      <c r="AK273" s="113">
        <f t="shared" si="68"/>
        <v>14.2</v>
      </c>
      <c r="AL273" s="45"/>
      <c r="AM273" s="3"/>
      <c r="AN273" s="51"/>
      <c r="AO273" s="3">
        <f t="shared" si="69"/>
        <v>6967</v>
      </c>
      <c r="AP273" s="45"/>
      <c r="AQ273" s="113">
        <f t="shared" si="70"/>
        <v>14.2</v>
      </c>
      <c r="AS273" s="45"/>
      <c r="AT273" s="56"/>
      <c r="AW273" s="164"/>
    </row>
    <row r="274" spans="3:49">
      <c r="F274" s="45"/>
      <c r="H274" s="50"/>
      <c r="I274" s="50"/>
      <c r="J274" s="326"/>
      <c r="K274" s="326"/>
      <c r="L274" s="50"/>
      <c r="M274" s="50"/>
      <c r="N274" s="50"/>
      <c r="O274" s="50"/>
      <c r="P274" s="50"/>
      <c r="Q274" s="50"/>
      <c r="R274" s="50"/>
      <c r="T274" s="365">
        <v>78</v>
      </c>
      <c r="V274" s="48" t="s">
        <v>1065</v>
      </c>
      <c r="Y274" s="3">
        <f t="shared" si="64"/>
        <v>168</v>
      </c>
      <c r="Z274" s="1"/>
      <c r="AA274" s="3"/>
      <c r="AB274" s="3"/>
      <c r="AC274" s="132">
        <v>9.9499999999999993</v>
      </c>
      <c r="AE274" s="3">
        <f t="shared" si="65"/>
        <v>1672</v>
      </c>
      <c r="AG274" s="103">
        <f t="shared" si="66"/>
        <v>0.1</v>
      </c>
      <c r="AI274" s="3">
        <f t="shared" si="67"/>
        <v>238</v>
      </c>
      <c r="AK274" s="113">
        <f t="shared" si="68"/>
        <v>14.2</v>
      </c>
      <c r="AL274" s="45"/>
      <c r="AM274" s="3"/>
      <c r="AN274" s="51"/>
      <c r="AO274" s="3">
        <f t="shared" si="69"/>
        <v>1672</v>
      </c>
      <c r="AP274" s="45"/>
      <c r="AQ274" s="113">
        <f t="shared" si="70"/>
        <v>14.2</v>
      </c>
    </row>
    <row r="275" spans="3:49">
      <c r="F275" s="45"/>
      <c r="H275" s="50"/>
      <c r="I275" s="50"/>
      <c r="J275" s="326"/>
      <c r="K275" s="326"/>
      <c r="L275" s="50"/>
      <c r="M275" s="50"/>
      <c r="N275" s="50"/>
      <c r="O275" s="50"/>
      <c r="P275" s="50"/>
      <c r="Q275" s="50"/>
      <c r="R275" s="50"/>
      <c r="T275" s="365">
        <v>79</v>
      </c>
      <c r="U275" s="375"/>
      <c r="V275" s="48" t="s">
        <v>1066</v>
      </c>
      <c r="Y275" s="3">
        <f t="shared" si="64"/>
        <v>84</v>
      </c>
      <c r="Z275" s="1"/>
      <c r="AA275" s="3"/>
      <c r="AB275" s="3"/>
      <c r="AC275" s="132">
        <v>19.66</v>
      </c>
      <c r="AE275" s="3">
        <f t="shared" si="65"/>
        <v>1651</v>
      </c>
      <c r="AG275" s="103">
        <f t="shared" si="66"/>
        <v>0.1</v>
      </c>
      <c r="AI275" s="3">
        <f t="shared" si="67"/>
        <v>236</v>
      </c>
      <c r="AK275" s="113">
        <f t="shared" si="68"/>
        <v>14.3</v>
      </c>
      <c r="AL275" s="45"/>
      <c r="AM275" s="3"/>
      <c r="AN275" s="51"/>
      <c r="AO275" s="3">
        <f t="shared" si="69"/>
        <v>1651</v>
      </c>
      <c r="AP275" s="45"/>
      <c r="AQ275" s="113">
        <f t="shared" si="70"/>
        <v>14.3</v>
      </c>
    </row>
    <row r="276" spans="3:49">
      <c r="F276" s="45"/>
      <c r="H276" s="50"/>
      <c r="I276" s="50"/>
      <c r="J276" s="326"/>
      <c r="K276" s="326"/>
      <c r="L276" s="50"/>
      <c r="M276" s="50"/>
      <c r="N276" s="50"/>
      <c r="O276" s="50"/>
      <c r="P276" s="50"/>
      <c r="Q276" s="50"/>
      <c r="R276" s="50"/>
      <c r="T276" s="365">
        <v>80</v>
      </c>
      <c r="U276" s="375"/>
      <c r="V276" s="48" t="s">
        <v>1067</v>
      </c>
      <c r="Y276" s="3">
        <f t="shared" si="64"/>
        <v>6003</v>
      </c>
      <c r="Z276" s="1"/>
      <c r="AA276" s="3"/>
      <c r="AB276" s="3"/>
      <c r="AC276" s="132">
        <v>6.25</v>
      </c>
      <c r="AE276" s="3">
        <f t="shared" si="65"/>
        <v>37519</v>
      </c>
      <c r="AG276" s="103">
        <f t="shared" si="66"/>
        <v>2.6</v>
      </c>
      <c r="AI276" s="3">
        <f t="shared" si="67"/>
        <v>5342</v>
      </c>
      <c r="AK276" s="113">
        <f t="shared" si="68"/>
        <v>14.2</v>
      </c>
      <c r="AL276" s="45"/>
      <c r="AM276" s="3"/>
      <c r="AN276" s="51"/>
      <c r="AO276" s="3">
        <f t="shared" si="69"/>
        <v>37519</v>
      </c>
      <c r="AP276" s="45"/>
      <c r="AQ276" s="113">
        <f t="shared" si="70"/>
        <v>14.2</v>
      </c>
    </row>
    <row r="277" spans="3:49">
      <c r="C277" s="42"/>
      <c r="F277" s="45"/>
      <c r="H277" s="45"/>
      <c r="I277" s="45"/>
      <c r="J277" s="326"/>
      <c r="K277" s="326"/>
      <c r="L277" s="45"/>
      <c r="M277" s="45"/>
      <c r="N277" s="46"/>
      <c r="O277" s="46"/>
      <c r="P277" s="45"/>
      <c r="Q277" s="45"/>
      <c r="R277" s="45"/>
      <c r="T277" s="365">
        <v>81</v>
      </c>
      <c r="V277" s="48" t="s">
        <v>1068</v>
      </c>
      <c r="Y277" s="3">
        <f t="shared" si="64"/>
        <v>216</v>
      </c>
      <c r="Z277" s="1"/>
      <c r="AA277" s="3"/>
      <c r="AB277" s="3"/>
      <c r="AC277" s="132">
        <v>18.260000000000002</v>
      </c>
      <c r="AE277" s="3">
        <f t="shared" si="65"/>
        <v>3944</v>
      </c>
      <c r="AG277" s="103">
        <f t="shared" si="66"/>
        <v>0.3</v>
      </c>
      <c r="AI277" s="3">
        <f t="shared" si="67"/>
        <v>562</v>
      </c>
      <c r="AK277" s="113">
        <f t="shared" si="68"/>
        <v>14.2</v>
      </c>
      <c r="AL277" s="45"/>
      <c r="AM277" s="3"/>
      <c r="AN277" s="51"/>
      <c r="AO277" s="3">
        <f t="shared" si="69"/>
        <v>3944</v>
      </c>
      <c r="AP277" s="45"/>
      <c r="AQ277" s="113">
        <f t="shared" si="70"/>
        <v>14.2</v>
      </c>
    </row>
    <row r="278" spans="3:49">
      <c r="C278" s="42"/>
      <c r="F278" s="45"/>
      <c r="H278" s="45"/>
      <c r="I278" s="45"/>
      <c r="J278" s="326"/>
      <c r="K278" s="326"/>
      <c r="L278" s="45"/>
      <c r="M278" s="45"/>
      <c r="N278" s="46"/>
      <c r="O278" s="46"/>
      <c r="P278" s="45"/>
      <c r="Q278" s="45"/>
      <c r="R278" s="45"/>
      <c r="T278" s="365">
        <v>82</v>
      </c>
      <c r="V278" s="48" t="s">
        <v>1069</v>
      </c>
      <c r="Y278" s="3">
        <f t="shared" si="64"/>
        <v>204</v>
      </c>
      <c r="Z278" s="1"/>
      <c r="AA278" s="3"/>
      <c r="AB278" s="3"/>
      <c r="AC278" s="132">
        <v>11.88</v>
      </c>
      <c r="AE278" s="3">
        <f t="shared" si="65"/>
        <v>2424</v>
      </c>
      <c r="AG278" s="103">
        <f t="shared" si="66"/>
        <v>0.2</v>
      </c>
      <c r="AI278" s="3">
        <f t="shared" si="67"/>
        <v>344</v>
      </c>
      <c r="AK278" s="113">
        <f t="shared" si="68"/>
        <v>14.2</v>
      </c>
      <c r="AL278" s="45"/>
      <c r="AM278" s="3"/>
      <c r="AN278" s="51"/>
      <c r="AO278" s="3">
        <f t="shared" si="69"/>
        <v>2424</v>
      </c>
      <c r="AP278" s="45"/>
      <c r="AQ278" s="113">
        <f t="shared" si="70"/>
        <v>14.2</v>
      </c>
      <c r="AS278" s="45"/>
      <c r="AW278" s="164"/>
    </row>
    <row r="279" spans="3:49">
      <c r="C279" s="42"/>
      <c r="F279" s="45"/>
      <c r="H279" s="45"/>
      <c r="I279" s="45"/>
      <c r="J279" s="326"/>
      <c r="K279" s="326"/>
      <c r="L279" s="45"/>
      <c r="M279" s="45"/>
      <c r="N279" s="46"/>
      <c r="O279" s="46"/>
      <c r="P279" s="45"/>
      <c r="Q279" s="45"/>
      <c r="R279" s="45"/>
      <c r="T279" s="365">
        <v>83</v>
      </c>
      <c r="V279" s="48" t="s">
        <v>1070</v>
      </c>
      <c r="Y279" s="3">
        <f t="shared" si="64"/>
        <v>27</v>
      </c>
      <c r="Z279" s="1"/>
      <c r="AA279" s="3"/>
      <c r="AB279" s="3"/>
      <c r="AC279" s="132">
        <v>12.21</v>
      </c>
      <c r="AE279" s="3">
        <f t="shared" si="65"/>
        <v>330</v>
      </c>
      <c r="AG279" s="103">
        <f t="shared" si="66"/>
        <v>0</v>
      </c>
      <c r="AI279" s="3">
        <f t="shared" si="67"/>
        <v>47</v>
      </c>
      <c r="AK279" s="113">
        <f t="shared" si="68"/>
        <v>14.2</v>
      </c>
      <c r="AL279" s="45"/>
      <c r="AM279" s="3"/>
      <c r="AN279" s="51"/>
      <c r="AO279" s="3">
        <f t="shared" si="69"/>
        <v>330</v>
      </c>
      <c r="AP279" s="45"/>
      <c r="AQ279" s="113">
        <f t="shared" si="70"/>
        <v>14.2</v>
      </c>
      <c r="AS279" s="45"/>
      <c r="AW279" s="164"/>
    </row>
    <row r="280" spans="3:49">
      <c r="F280" s="45"/>
      <c r="H280" s="50"/>
      <c r="I280" s="50"/>
      <c r="J280" s="326"/>
      <c r="K280" s="326"/>
      <c r="L280" s="50"/>
      <c r="M280" s="50"/>
      <c r="N280" s="50"/>
      <c r="O280" s="50"/>
      <c r="P280" s="50"/>
      <c r="Q280" s="50"/>
      <c r="R280" s="50"/>
      <c r="T280" s="365">
        <v>84</v>
      </c>
      <c r="V280" s="48" t="s">
        <v>1071</v>
      </c>
      <c r="Y280" s="3">
        <f t="shared" ref="Y280:Y281" si="71">F126</f>
        <v>0</v>
      </c>
      <c r="Z280" s="1"/>
      <c r="AA280" s="3"/>
      <c r="AB280" s="3"/>
      <c r="AC280" s="132">
        <v>16.05</v>
      </c>
      <c r="AE280" s="3">
        <f t="shared" si="65"/>
        <v>0</v>
      </c>
      <c r="AG280" s="103">
        <f t="shared" si="66"/>
        <v>0</v>
      </c>
      <c r="AI280" s="3">
        <f t="shared" si="67"/>
        <v>0</v>
      </c>
      <c r="AK280" s="113" t="str">
        <f t="shared" si="68"/>
        <v xml:space="preserve">0.0 </v>
      </c>
      <c r="AL280" s="45"/>
      <c r="AM280" s="3"/>
      <c r="AN280" s="51"/>
      <c r="AO280" s="3">
        <f>AE280+AM280</f>
        <v>0</v>
      </c>
      <c r="AP280" s="45"/>
      <c r="AQ280" s="113" t="str">
        <f t="shared" si="70"/>
        <v xml:space="preserve">0.0 </v>
      </c>
    </row>
    <row r="281" spans="3:49">
      <c r="F281" s="45"/>
      <c r="H281" s="45"/>
      <c r="I281" s="45"/>
      <c r="J281" s="326"/>
      <c r="K281" s="326"/>
      <c r="L281" s="45"/>
      <c r="M281" s="45"/>
      <c r="N281" s="45"/>
      <c r="O281" s="45"/>
      <c r="P281" s="45"/>
      <c r="Q281" s="45"/>
      <c r="R281" s="45"/>
      <c r="T281" s="365">
        <v>85</v>
      </c>
      <c r="V281" s="48" t="s">
        <v>1072</v>
      </c>
      <c r="Y281" s="3">
        <f t="shared" si="71"/>
        <v>0</v>
      </c>
      <c r="Z281" s="1"/>
      <c r="AA281" s="3"/>
      <c r="AB281" s="3"/>
      <c r="AC281" s="132">
        <v>23.69</v>
      </c>
      <c r="AE281" s="3">
        <f t="shared" si="65"/>
        <v>0</v>
      </c>
      <c r="AG281" s="104">
        <f t="shared" si="66"/>
        <v>0</v>
      </c>
      <c r="AI281" s="66">
        <f t="shared" si="67"/>
        <v>0</v>
      </c>
      <c r="AK281" s="112" t="str">
        <f t="shared" si="68"/>
        <v xml:space="preserve">0.0 </v>
      </c>
      <c r="AL281" s="45"/>
      <c r="AM281" s="3"/>
      <c r="AN281" s="51"/>
      <c r="AO281" s="66">
        <f>AE281+AM281</f>
        <v>0</v>
      </c>
      <c r="AP281" s="45"/>
      <c r="AQ281" s="112" t="str">
        <f t="shared" si="70"/>
        <v xml:space="preserve">0.0 </v>
      </c>
    </row>
    <row r="282" spans="3:49">
      <c r="F282" s="45"/>
      <c r="H282" s="45"/>
      <c r="I282" s="45"/>
      <c r="J282" s="326"/>
      <c r="K282" s="326"/>
      <c r="L282" s="45"/>
      <c r="M282" s="45"/>
      <c r="N282" s="45"/>
      <c r="O282" s="45"/>
      <c r="P282" s="45"/>
      <c r="Q282" s="45"/>
      <c r="R282" s="45"/>
      <c r="T282" s="365">
        <v>86</v>
      </c>
      <c r="V282" s="310" t="s">
        <v>1057</v>
      </c>
      <c r="Y282" s="72">
        <f>SUM(Y267:Y281)</f>
        <v>11742</v>
      </c>
      <c r="Z282" s="1"/>
      <c r="AA282" s="72"/>
      <c r="AB282" s="3"/>
      <c r="AE282" s="72">
        <f>SUM(AE267:AE281)</f>
        <v>91915</v>
      </c>
      <c r="AG282" s="104">
        <f t="shared" si="66"/>
        <v>6.5</v>
      </c>
      <c r="AI282" s="72">
        <f>SUM(AI267:AI281)</f>
        <v>13099</v>
      </c>
      <c r="AK282" s="112">
        <f t="shared" si="68"/>
        <v>14.3</v>
      </c>
      <c r="AL282" s="45"/>
      <c r="AM282" s="72"/>
      <c r="AN282" s="51"/>
      <c r="AO282" s="72">
        <f>SUM(AO267:AO281)</f>
        <v>91915</v>
      </c>
      <c r="AP282" s="45"/>
      <c r="AQ282" s="114">
        <f t="shared" si="70"/>
        <v>14.3</v>
      </c>
    </row>
    <row r="283" spans="3:49">
      <c r="F283" s="45"/>
      <c r="H283" s="45"/>
      <c r="I283" s="45"/>
      <c r="J283" s="326"/>
      <c r="K283" s="326"/>
      <c r="L283" s="45"/>
      <c r="M283" s="45"/>
      <c r="N283" s="45"/>
      <c r="O283" s="45"/>
      <c r="P283" s="45"/>
      <c r="Q283" s="45"/>
      <c r="R283" s="45"/>
      <c r="T283" s="365">
        <v>87</v>
      </c>
      <c r="V283" s="310"/>
      <c r="Y283" s="3"/>
      <c r="Z283" s="1"/>
      <c r="AA283" s="3"/>
      <c r="AB283" s="3"/>
      <c r="AE283" s="3"/>
      <c r="AG283" s="103"/>
      <c r="AI283" s="3"/>
      <c r="AK283" s="113"/>
      <c r="AL283" s="45"/>
      <c r="AM283" s="3"/>
      <c r="AN283" s="51"/>
      <c r="AO283" s="3"/>
      <c r="AP283" s="45"/>
      <c r="AQ283" s="113"/>
    </row>
    <row r="284" spans="3:49">
      <c r="F284" s="45"/>
      <c r="H284" s="45"/>
      <c r="I284" s="45"/>
      <c r="J284" s="326"/>
      <c r="K284" s="326"/>
      <c r="L284" s="45"/>
      <c r="M284" s="45"/>
      <c r="N284" s="45"/>
      <c r="O284" s="45"/>
      <c r="P284" s="45"/>
      <c r="Q284" s="45"/>
      <c r="R284" s="45"/>
      <c r="T284" s="365">
        <v>88</v>
      </c>
      <c r="V284" s="389" t="s">
        <v>1133</v>
      </c>
      <c r="Y284" s="3"/>
      <c r="Z284" s="1"/>
      <c r="AA284" s="3"/>
      <c r="AB284" s="3"/>
      <c r="AE284" s="3"/>
      <c r="AG284" s="103"/>
      <c r="AI284" s="3"/>
      <c r="AK284" s="113"/>
      <c r="AL284" s="45"/>
      <c r="AM284" s="45"/>
      <c r="AN284" s="51"/>
      <c r="AO284" s="3"/>
      <c r="AP284" s="45"/>
      <c r="AQ284" s="113"/>
    </row>
    <row r="285" spans="3:49">
      <c r="F285" s="45"/>
      <c r="H285" s="45"/>
      <c r="I285" s="45"/>
      <c r="J285" s="326"/>
      <c r="K285" s="326"/>
      <c r="L285" s="45"/>
      <c r="M285" s="45"/>
      <c r="N285" s="45"/>
      <c r="O285" s="45"/>
      <c r="P285" s="45"/>
      <c r="Q285" s="45"/>
      <c r="R285" s="45"/>
      <c r="T285" s="365">
        <v>89</v>
      </c>
      <c r="V285" s="128" t="str">
        <f>C131</f>
        <v>ENVIRONMENTAL SURCHARGE MECHANISM RIDER (ESM)</v>
      </c>
      <c r="Y285" s="3"/>
      <c r="Z285" s="1"/>
      <c r="AA285" s="3"/>
      <c r="AB285" s="3"/>
      <c r="AC285" s="387">
        <f>CUR_ESM_NonRes</f>
        <v>6.4941608437496566E-3</v>
      </c>
      <c r="AE285" s="3">
        <f>ROUND(($AO$265+$AO$196-AM265-AM196+AE290+AE291-(CUR_BASE_FUEL*AA293)+AO286+AO282)*AC285,0)</f>
        <v>7663</v>
      </c>
      <c r="AG285" s="103">
        <f>ROUND((AE285/AE$293)*100,1)</f>
        <v>0.5</v>
      </c>
      <c r="AI285" s="3">
        <f>L131-AE285</f>
        <v>-259</v>
      </c>
      <c r="AK285" s="113">
        <f>IF(AE285=0,"0.0 ",ROUND((AI285/AE285)*100,1))</f>
        <v>-3.4</v>
      </c>
      <c r="AL285" s="45"/>
      <c r="AM285" s="45"/>
      <c r="AN285" s="51"/>
      <c r="AO285" s="3">
        <f>AE285+AM285</f>
        <v>7663</v>
      </c>
      <c r="AP285" s="45"/>
      <c r="AQ285" s="113">
        <f>IF(AO285=0,"0.0 ",ROUND((AI285/AO285)*100,1))</f>
        <v>-3.4</v>
      </c>
    </row>
    <row r="286" spans="3:49">
      <c r="F286" s="45"/>
      <c r="H286" s="45"/>
      <c r="I286" s="45"/>
      <c r="J286" s="326"/>
      <c r="K286" s="326"/>
      <c r="L286" s="45"/>
      <c r="M286" s="45"/>
      <c r="N286" s="45"/>
      <c r="O286" s="45"/>
      <c r="P286" s="45"/>
      <c r="Q286" s="45"/>
      <c r="R286" s="45"/>
      <c r="T286" s="365">
        <v>90</v>
      </c>
      <c r="V286" s="128" t="str">
        <f>C132</f>
        <v>PROFIT SHARING MECHANISM (PSM)</v>
      </c>
      <c r="Y286" s="3"/>
      <c r="Z286" s="1"/>
      <c r="AA286" s="3"/>
      <c r="AB286" s="3"/>
      <c r="AC286" s="390">
        <f>RS_PSM</f>
        <v>2.4750000000000002E-3</v>
      </c>
      <c r="AE286" s="66">
        <f>ROUND(($AA$265+$AA$196)*AC286,0)</f>
        <v>16973</v>
      </c>
      <c r="AG286" s="104">
        <f>ROUND((AE286/AE$293)*100,1)</f>
        <v>1.2</v>
      </c>
      <c r="AI286" s="66">
        <f>L132-AE286</f>
        <v>0</v>
      </c>
      <c r="AK286" s="112">
        <f>IF(AE286=0,"0.0 ",ROUND((AI286/AE286)*100,1))</f>
        <v>0</v>
      </c>
      <c r="AL286" s="45"/>
      <c r="AM286" s="343"/>
      <c r="AN286" s="51"/>
      <c r="AO286" s="66">
        <f>AE286+AM286</f>
        <v>16973</v>
      </c>
      <c r="AP286" s="1"/>
      <c r="AQ286" s="112">
        <f>IF(AO286=0,"0.0 ",ROUND((AI286/AO286)*100,1))</f>
        <v>0</v>
      </c>
    </row>
    <row r="287" spans="3:49">
      <c r="F287" s="45"/>
      <c r="H287" s="45"/>
      <c r="I287" s="45"/>
      <c r="J287" s="326"/>
      <c r="K287" s="326"/>
      <c r="L287" s="45"/>
      <c r="M287" s="45"/>
      <c r="N287" s="45"/>
      <c r="O287" s="45"/>
      <c r="P287" s="45"/>
      <c r="Q287" s="45"/>
      <c r="R287" s="45"/>
      <c r="T287" s="365">
        <v>91</v>
      </c>
      <c r="V287" s="133" t="s">
        <v>463</v>
      </c>
      <c r="Y287" s="3"/>
      <c r="Z287" s="1"/>
      <c r="AA287" s="3"/>
      <c r="AB287" s="3"/>
      <c r="AE287" s="72">
        <f>SUM(AE285:AE286)</f>
        <v>24636</v>
      </c>
      <c r="AG287" s="105">
        <f>ROUND((AE287/AE$293)*100,1)</f>
        <v>1.7</v>
      </c>
      <c r="AI287" s="72">
        <f>SUM(AI285:AI286)</f>
        <v>-259</v>
      </c>
      <c r="AK287" s="114">
        <f>IF(AE287=0,"0.0 ",ROUND((AI287/AE287)*100,1))</f>
        <v>-1.1000000000000001</v>
      </c>
      <c r="AL287" s="45"/>
      <c r="AM287" s="279"/>
      <c r="AN287" s="51"/>
      <c r="AO287" s="72">
        <f>SUM(AO285:AO286)</f>
        <v>24636</v>
      </c>
      <c r="AP287" s="45"/>
      <c r="AQ287" s="114">
        <f>IF(AO287=0,"0.0 ",ROUND((AI287/AO287)*100,1))</f>
        <v>-1.1000000000000001</v>
      </c>
    </row>
    <row r="288" spans="3:49">
      <c r="F288" s="45"/>
      <c r="H288" s="45"/>
      <c r="I288" s="45"/>
      <c r="J288" s="326"/>
      <c r="K288" s="326"/>
      <c r="L288" s="45"/>
      <c r="M288" s="45"/>
      <c r="N288" s="45"/>
      <c r="O288" s="45"/>
      <c r="P288" s="45"/>
      <c r="Q288" s="45"/>
      <c r="R288" s="45"/>
      <c r="T288" s="365">
        <v>92</v>
      </c>
    </row>
    <row r="289" spans="1:51">
      <c r="C289" s="42"/>
      <c r="F289" s="164"/>
      <c r="H289" s="164"/>
      <c r="I289" s="164"/>
      <c r="J289" s="331"/>
      <c r="K289" s="331"/>
      <c r="L289" s="45"/>
      <c r="M289" s="45"/>
      <c r="N289" s="46"/>
      <c r="O289" s="46"/>
      <c r="P289" s="164"/>
      <c r="Q289" s="164"/>
      <c r="R289" s="45"/>
      <c r="T289" s="365">
        <v>93</v>
      </c>
      <c r="V289" s="133" t="s">
        <v>303</v>
      </c>
      <c r="Y289" s="3"/>
      <c r="Z289" s="1"/>
      <c r="AA289" s="3"/>
      <c r="AB289" s="3"/>
      <c r="AE289" s="3"/>
      <c r="AG289" s="103"/>
      <c r="AI289" s="3"/>
      <c r="AK289" s="113"/>
      <c r="AL289" s="45"/>
      <c r="AM289" s="3"/>
      <c r="AN289" s="51"/>
      <c r="AO289" s="3"/>
      <c r="AP289" s="45"/>
      <c r="AQ289" s="113"/>
    </row>
    <row r="290" spans="1:51">
      <c r="C290" s="42"/>
      <c r="F290" s="164"/>
      <c r="H290" s="164"/>
      <c r="I290" s="164"/>
      <c r="J290" s="331"/>
      <c r="K290" s="331"/>
      <c r="L290" s="45"/>
      <c r="M290" s="45"/>
      <c r="N290" s="46"/>
      <c r="O290" s="46"/>
      <c r="P290" s="164"/>
      <c r="Q290" s="164"/>
      <c r="R290" s="45"/>
      <c r="T290" s="365">
        <v>94</v>
      </c>
      <c r="V290" s="42" t="s">
        <v>1122</v>
      </c>
      <c r="Y290" s="68">
        <f>F136</f>
        <v>4589</v>
      </c>
      <c r="Z290" s="1"/>
      <c r="AA290" s="3"/>
      <c r="AB290" s="3"/>
      <c r="AC290" s="391">
        <v>0.76</v>
      </c>
      <c r="AE290" s="3">
        <f>ROUND((Y290*AC290),0)</f>
        <v>3488</v>
      </c>
      <c r="AG290" s="103">
        <f>ROUND((AE290/AE$293)*100,1)</f>
        <v>0.2</v>
      </c>
      <c r="AI290" s="3">
        <f>L136-AE290</f>
        <v>504</v>
      </c>
      <c r="AK290" s="113">
        <f>IF(AE290=0,"0.0 ",ROUND((AI290/AE290)*100,1))</f>
        <v>14.4</v>
      </c>
      <c r="AL290" s="45"/>
      <c r="AM290" s="3"/>
      <c r="AN290" s="51"/>
      <c r="AO290" s="3">
        <f>AE290+AM290</f>
        <v>3488</v>
      </c>
      <c r="AP290" s="45"/>
      <c r="AQ290" s="113">
        <f>IF(AO290=0,"0.0 ",ROUND((AI290/AO290)*100,1))</f>
        <v>14.4</v>
      </c>
    </row>
    <row r="291" spans="1:51">
      <c r="C291" s="42"/>
      <c r="F291" s="164"/>
      <c r="H291" s="164"/>
      <c r="I291" s="164"/>
      <c r="J291" s="331"/>
      <c r="K291" s="331"/>
      <c r="L291" s="45"/>
      <c r="M291" s="45"/>
      <c r="N291" s="46"/>
      <c r="O291" s="46"/>
      <c r="P291" s="164"/>
      <c r="Q291" s="164"/>
      <c r="R291" s="45"/>
      <c r="T291" s="365">
        <v>95</v>
      </c>
      <c r="V291" s="42" t="s">
        <v>1123</v>
      </c>
      <c r="Y291" s="68">
        <f>F137</f>
        <v>15128</v>
      </c>
      <c r="Z291" s="1"/>
      <c r="AA291" s="3"/>
      <c r="AB291" s="3"/>
      <c r="AC291" s="391">
        <v>1.1000000000000001</v>
      </c>
      <c r="AE291" s="66">
        <f>ROUND((Y291*AC291),0)</f>
        <v>16641</v>
      </c>
      <c r="AG291" s="104">
        <f>ROUND((AE291/AE$293)*100,1)</f>
        <v>1.2</v>
      </c>
      <c r="AI291" s="66">
        <f>L137-AE291</f>
        <v>2420</v>
      </c>
      <c r="AK291" s="112">
        <f>IF(AE291=0,"0.0 ",ROUND((AI291/AE291)*100,1))</f>
        <v>14.5</v>
      </c>
      <c r="AL291" s="45"/>
      <c r="AM291" s="66"/>
      <c r="AN291" s="51"/>
      <c r="AO291" s="66">
        <f>AE291+AM291</f>
        <v>16641</v>
      </c>
      <c r="AP291" s="45"/>
      <c r="AQ291" s="112">
        <f>IF(AO291=0,"0.0 ",ROUND((AI291/AO291)*100,1))</f>
        <v>14.5</v>
      </c>
    </row>
    <row r="292" spans="1:51">
      <c r="C292" s="42"/>
      <c r="F292" s="164"/>
      <c r="H292" s="164"/>
      <c r="I292" s="164"/>
      <c r="J292" s="331"/>
      <c r="K292" s="331"/>
      <c r="L292" s="45"/>
      <c r="M292" s="45"/>
      <c r="N292" s="46"/>
      <c r="O292" s="46"/>
      <c r="P292" s="164"/>
      <c r="Q292" s="164"/>
      <c r="R292" s="45"/>
      <c r="T292" s="365">
        <v>96</v>
      </c>
      <c r="V292" s="133" t="s">
        <v>304</v>
      </c>
      <c r="Y292" s="383">
        <f>SUM(Y290:Y291)</f>
        <v>19717</v>
      </c>
      <c r="Z292" s="1"/>
      <c r="AA292" s="3"/>
      <c r="AB292" s="3"/>
      <c r="AE292" s="3">
        <f>SUM(AE290:AE291)</f>
        <v>20129</v>
      </c>
      <c r="AG292" s="104">
        <f>ROUND((AE292/AE$293)*100,1)</f>
        <v>1.4</v>
      </c>
      <c r="AI292" s="3">
        <f>SUM(AI290:AI291)</f>
        <v>2924</v>
      </c>
      <c r="AK292" s="112">
        <f>IF(AE292=0,"0.0 ",ROUND((AI292/AE292)*100,1))</f>
        <v>14.5</v>
      </c>
      <c r="AL292" s="45"/>
      <c r="AM292" s="66">
        <v>0</v>
      </c>
      <c r="AN292" s="51"/>
      <c r="AO292" s="3">
        <f>SUM(AO290:AO291)</f>
        <v>20129</v>
      </c>
      <c r="AP292" s="45"/>
      <c r="AQ292" s="114">
        <f>IF(AO292=0,"0.0 ",ROUND((AI292/AO292)*100,1))</f>
        <v>14.5</v>
      </c>
    </row>
    <row r="293" spans="1:51" ht="16.5" thickBot="1">
      <c r="C293" s="42"/>
      <c r="F293" s="164"/>
      <c r="H293" s="164"/>
      <c r="I293" s="164"/>
      <c r="J293" s="331"/>
      <c r="K293" s="331"/>
      <c r="L293" s="45"/>
      <c r="M293" s="45"/>
      <c r="N293" s="46"/>
      <c r="O293" s="46"/>
      <c r="P293" s="164"/>
      <c r="Q293" s="164"/>
      <c r="R293" s="45"/>
      <c r="T293" s="365">
        <v>97</v>
      </c>
      <c r="V293" s="133" t="s">
        <v>474</v>
      </c>
      <c r="Y293" s="83">
        <f>Y196+Y265+Y282</f>
        <v>103310</v>
      </c>
      <c r="Z293" s="1"/>
      <c r="AA293" s="83">
        <f>AA196+AA265</f>
        <v>6857780</v>
      </c>
      <c r="AB293" s="3"/>
      <c r="AE293" s="83">
        <f>AE196+AE265+AE287+AE292+AE282</f>
        <v>1419233</v>
      </c>
      <c r="AG293" s="384">
        <v>100</v>
      </c>
      <c r="AI293" s="83">
        <f>AI196+AI265+AI287+AI292+AI282</f>
        <v>198711</v>
      </c>
      <c r="AK293" s="385">
        <f>IF(AE293=0,"0.0 ",ROUND((AI293/AE293)*100,1))</f>
        <v>14</v>
      </c>
      <c r="AM293" s="67">
        <f>AM265+AM196</f>
        <v>23917</v>
      </c>
      <c r="AO293" s="83">
        <f>AO196+AO265+AO287+AO292+AO282</f>
        <v>1443150</v>
      </c>
      <c r="AQ293" s="385">
        <f>IF(AO293=0,"0.0 ",ROUND((AI293/AO293)*100,1))</f>
        <v>13.8</v>
      </c>
    </row>
    <row r="294" spans="1:51" ht="16.5" thickTop="1">
      <c r="C294" s="42"/>
      <c r="F294" s="164"/>
      <c r="H294" s="164"/>
      <c r="I294" s="164"/>
      <c r="J294" s="331"/>
      <c r="K294" s="331"/>
      <c r="L294" s="45"/>
      <c r="M294" s="45"/>
      <c r="N294" s="46"/>
      <c r="O294" s="46"/>
      <c r="P294" s="164"/>
      <c r="Q294" s="164"/>
      <c r="R294" s="45"/>
      <c r="T294" s="140" t="s">
        <v>76</v>
      </c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141"/>
      <c r="AF294" s="362"/>
      <c r="AG294" s="363"/>
      <c r="AH294" s="362"/>
      <c r="AI294" s="362"/>
      <c r="AJ294" s="362"/>
      <c r="AK294" s="141"/>
      <c r="AL294" s="362"/>
      <c r="AM294" s="362"/>
      <c r="AN294" s="362"/>
      <c r="AO294" s="362"/>
      <c r="AP294" s="376"/>
      <c r="AQ294" s="377"/>
      <c r="AS294" s="45"/>
      <c r="AT294" s="56"/>
      <c r="AW294" s="68"/>
      <c r="AX294" s="1"/>
      <c r="AY294" s="1"/>
    </row>
    <row r="295" spans="1:51">
      <c r="C295" s="42"/>
      <c r="F295" s="164"/>
      <c r="H295" s="164"/>
      <c r="I295" s="164"/>
      <c r="J295" s="331"/>
      <c r="K295" s="331"/>
      <c r="L295" s="45"/>
      <c r="M295" s="45"/>
      <c r="N295" s="46"/>
      <c r="O295" s="46"/>
      <c r="P295" s="164"/>
      <c r="Q295" s="164"/>
      <c r="R295" s="45"/>
      <c r="T295" s="140" t="str">
        <f>"(1A) REFLECTS FUEL COST RECOVERY INCLUDED IN BASE RATES OF "&amp;TEXT(CUR_BASE_FUEL,"$0.000000;($0.000000)")&amp;"  PER KWH."</f>
        <v>(1A) REFLECTS FUEL COST RECOVERY INCLUDED IN BASE RATES OF $0.033780  PER KWH.</v>
      </c>
      <c r="U295" s="362"/>
      <c r="V295" s="362"/>
      <c r="W295" s="362"/>
      <c r="X295" s="362"/>
      <c r="Y295" s="364"/>
      <c r="Z295" s="362"/>
      <c r="AA295" s="362"/>
      <c r="AB295" s="362"/>
      <c r="AC295" s="362"/>
      <c r="AD295" s="362"/>
      <c r="AE295" s="141"/>
      <c r="AF295" s="362"/>
      <c r="AG295" s="363"/>
      <c r="AH295" s="362"/>
      <c r="AI295" s="362"/>
      <c r="AJ295" s="362"/>
      <c r="AK295" s="141"/>
      <c r="AL295" s="362"/>
      <c r="AM295" s="362"/>
      <c r="AN295" s="362"/>
      <c r="AO295" s="362"/>
      <c r="AP295" s="376"/>
      <c r="AQ295" s="377"/>
      <c r="AS295" s="45"/>
      <c r="AT295" s="56"/>
      <c r="AW295" s="68"/>
      <c r="AX295" s="1"/>
      <c r="AY295" s="1"/>
    </row>
    <row r="296" spans="1:51">
      <c r="C296" s="42"/>
      <c r="F296" s="164"/>
      <c r="H296" s="164"/>
      <c r="I296" s="164"/>
      <c r="J296" s="331"/>
      <c r="K296" s="331"/>
      <c r="L296" s="45"/>
      <c r="M296" s="45"/>
      <c r="N296" s="46"/>
      <c r="O296" s="46"/>
      <c r="P296" s="164"/>
      <c r="Q296" s="164"/>
      <c r="R296" s="45"/>
      <c r="T296" s="140" t="str">
        <f>"(2) REFLECTS FUEL COMPONENT OF "&amp;TEXT(CUR_FAC,"$0.000000;($0.000000)")&amp;"  PER KWH."</f>
        <v>(2) REFLECTS FUEL COMPONENT OF $0.003487  PER KWH.</v>
      </c>
      <c r="U296" s="362"/>
      <c r="V296" s="362"/>
      <c r="W296" s="362"/>
      <c r="X296" s="362"/>
      <c r="Y296" s="364"/>
      <c r="Z296" s="362"/>
      <c r="AA296" s="362"/>
      <c r="AB296" s="362"/>
      <c r="AC296" s="362"/>
      <c r="AD296" s="362"/>
      <c r="AE296" s="141"/>
      <c r="AF296" s="362"/>
      <c r="AG296" s="363"/>
      <c r="AH296" s="362"/>
      <c r="AI296" s="362"/>
      <c r="AJ296" s="362"/>
      <c r="AK296" s="141"/>
      <c r="AL296" s="362"/>
      <c r="AM296" s="362"/>
      <c r="AN296" s="362"/>
      <c r="AO296" s="362"/>
      <c r="AP296" s="376"/>
      <c r="AQ296" s="377"/>
      <c r="AS296" s="45"/>
      <c r="AT296" s="56"/>
      <c r="AW296" s="68"/>
      <c r="AX296" s="1"/>
      <c r="AY296" s="1"/>
    </row>
    <row r="297" spans="1:51">
      <c r="C297" s="42"/>
      <c r="F297" s="164"/>
      <c r="H297" s="164"/>
      <c r="I297" s="164"/>
      <c r="J297" s="331"/>
      <c r="K297" s="331"/>
      <c r="L297" s="45"/>
      <c r="M297" s="45"/>
      <c r="N297" s="46"/>
      <c r="O297" s="46"/>
      <c r="P297" s="164"/>
      <c r="Q297" s="164"/>
      <c r="R297" s="45"/>
      <c r="T297" s="140" t="str">
        <f>"(3) REFLECTS REDUCTION IN LIGHTING SYSTEMS."</f>
        <v>(3) REFLECTS REDUCTION IN LIGHTING SYSTEMS.</v>
      </c>
      <c r="U297" s="362"/>
      <c r="V297" s="362"/>
      <c r="W297" s="362"/>
      <c r="X297" s="362"/>
      <c r="Y297" s="364"/>
      <c r="Z297" s="362"/>
      <c r="AA297" s="362"/>
      <c r="AB297" s="362"/>
      <c r="AC297" s="362"/>
      <c r="AD297" s="362"/>
      <c r="AE297" s="141"/>
      <c r="AF297" s="362"/>
      <c r="AG297" s="363"/>
      <c r="AH297" s="362"/>
      <c r="AI297" s="362"/>
      <c r="AJ297" s="362"/>
      <c r="AK297" s="141"/>
      <c r="AL297" s="362"/>
      <c r="AM297" s="362"/>
      <c r="AN297" s="362"/>
      <c r="AO297" s="362"/>
      <c r="AP297" s="376"/>
      <c r="AQ297" s="377"/>
      <c r="AS297" s="45"/>
      <c r="AT297" s="56"/>
      <c r="AW297" s="68"/>
      <c r="AX297" s="1"/>
      <c r="AY297" s="1"/>
    </row>
    <row r="298" spans="1:51">
      <c r="C298" s="42"/>
      <c r="F298" s="164"/>
      <c r="H298" s="164"/>
      <c r="I298" s="164"/>
      <c r="J298" s="331"/>
      <c r="K298" s="331"/>
      <c r="L298" s="45"/>
      <c r="M298" s="45"/>
      <c r="N298" s="46"/>
      <c r="O298" s="46"/>
      <c r="P298" s="164"/>
      <c r="Q298" s="164"/>
      <c r="R298" s="45"/>
      <c r="T298" s="141"/>
      <c r="U298" s="362"/>
      <c r="V298" s="362"/>
      <c r="W298" s="362"/>
      <c r="X298" s="362"/>
      <c r="Y298" s="364"/>
      <c r="Z298" s="362"/>
      <c r="AA298" s="362"/>
      <c r="AB298" s="362"/>
      <c r="AC298" s="362"/>
      <c r="AD298" s="362"/>
      <c r="AE298" s="141"/>
      <c r="AF298" s="362"/>
      <c r="AG298" s="363"/>
      <c r="AH298" s="362"/>
      <c r="AI298" s="362"/>
      <c r="AJ298" s="362"/>
      <c r="AK298" s="141"/>
      <c r="AL298" s="362"/>
      <c r="AM298" s="362"/>
      <c r="AN298" s="362"/>
      <c r="AO298" s="362"/>
      <c r="AP298" s="376"/>
      <c r="AQ298" s="377"/>
      <c r="AS298" s="45"/>
      <c r="AT298" s="56"/>
      <c r="AW298" s="68"/>
      <c r="AX298" s="1"/>
      <c r="AY298" s="1"/>
    </row>
    <row r="299" spans="1:51">
      <c r="L299" s="42"/>
      <c r="M299" s="42"/>
      <c r="AC299" s="42"/>
      <c r="AD299" s="42"/>
    </row>
    <row r="300" spans="1:5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107"/>
      <c r="AH300" s="49"/>
      <c r="AI300" s="49"/>
      <c r="AJ300" s="49"/>
      <c r="AK300" s="107"/>
      <c r="AL300" s="49"/>
      <c r="AM300" s="49"/>
      <c r="AN300" s="49"/>
      <c r="AO300" s="49"/>
      <c r="AP300" s="49"/>
    </row>
    <row r="301" spans="1:51">
      <c r="L301" s="44"/>
      <c r="M301" s="44"/>
      <c r="N301" s="44"/>
      <c r="O301" s="44"/>
      <c r="R301" s="44"/>
      <c r="AC301" s="44"/>
      <c r="AD301" s="44"/>
      <c r="AE301" s="44"/>
      <c r="AF301" s="44"/>
      <c r="AG301" s="102"/>
      <c r="AH301" s="44"/>
      <c r="AI301" s="44"/>
      <c r="AJ301" s="44"/>
      <c r="AM301" s="44"/>
      <c r="AN301" s="44"/>
      <c r="AO301" s="44"/>
      <c r="AP301" s="44"/>
    </row>
    <row r="302" spans="1:51">
      <c r="L302" s="44"/>
      <c r="M302" s="44"/>
      <c r="N302" s="44"/>
      <c r="O302" s="44"/>
      <c r="R302" s="44"/>
      <c r="AB302" s="44"/>
      <c r="AC302" s="44"/>
      <c r="AD302" s="44"/>
      <c r="AE302" s="44"/>
      <c r="AF302" s="44"/>
      <c r="AG302" s="102"/>
      <c r="AH302" s="44"/>
      <c r="AI302" s="44"/>
      <c r="AJ302" s="44"/>
      <c r="AM302" s="44"/>
      <c r="AN302" s="44"/>
      <c r="AO302" s="44"/>
      <c r="AP302" s="44"/>
    </row>
    <row r="303" spans="1:51">
      <c r="A303" s="44"/>
      <c r="C303" s="44"/>
      <c r="D303" s="44"/>
      <c r="E303" s="44"/>
      <c r="F303" s="44"/>
      <c r="J303" s="44"/>
      <c r="K303" s="44"/>
      <c r="L303" s="44"/>
      <c r="M303" s="44"/>
      <c r="N303" s="44"/>
      <c r="O303" s="44"/>
      <c r="P303" s="44"/>
      <c r="Q303" s="44"/>
      <c r="R303" s="44"/>
      <c r="T303" s="44"/>
      <c r="U303" s="44"/>
      <c r="V303" s="44"/>
      <c r="AB303" s="44"/>
      <c r="AC303" s="44"/>
      <c r="AD303" s="44"/>
      <c r="AE303" s="44"/>
      <c r="AF303" s="44"/>
      <c r="AG303" s="102"/>
      <c r="AH303" s="44"/>
      <c r="AI303" s="44"/>
      <c r="AJ303" s="44"/>
      <c r="AK303" s="102"/>
      <c r="AL303" s="44"/>
      <c r="AM303" s="44"/>
      <c r="AN303" s="44"/>
      <c r="AO303" s="44"/>
      <c r="AP303" s="44"/>
    </row>
    <row r="304" spans="1:51">
      <c r="A304" s="44"/>
      <c r="C304" s="44"/>
      <c r="D304" s="44"/>
      <c r="E304" s="44"/>
      <c r="F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T304" s="44"/>
      <c r="U304" s="44"/>
      <c r="V304" s="44"/>
      <c r="AA304" s="44"/>
      <c r="AB304" s="44"/>
      <c r="AC304" s="44"/>
      <c r="AD304" s="44"/>
      <c r="AE304" s="44"/>
      <c r="AF304" s="44"/>
      <c r="AG304" s="102"/>
      <c r="AH304" s="44"/>
      <c r="AI304" s="44"/>
      <c r="AJ304" s="44"/>
      <c r="AK304" s="102"/>
      <c r="AL304" s="44"/>
      <c r="AM304" s="44"/>
      <c r="AN304" s="44"/>
      <c r="AO304" s="44"/>
      <c r="AP304" s="44"/>
    </row>
    <row r="305" spans="1:42">
      <c r="C305" s="44"/>
      <c r="D305" s="44"/>
      <c r="E305" s="44"/>
      <c r="F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T305" s="44"/>
      <c r="U305" s="44"/>
      <c r="V305" s="44"/>
      <c r="AA305" s="44"/>
      <c r="AB305" s="44"/>
      <c r="AC305" s="44"/>
      <c r="AD305" s="44"/>
      <c r="AE305" s="44"/>
      <c r="AF305" s="44"/>
      <c r="AG305" s="102"/>
      <c r="AH305" s="44"/>
      <c r="AI305" s="44"/>
      <c r="AJ305" s="44"/>
      <c r="AK305" s="102"/>
      <c r="AL305" s="44"/>
      <c r="AM305" s="44"/>
      <c r="AN305" s="44"/>
      <c r="AO305" s="44"/>
      <c r="AP305" s="44"/>
    </row>
    <row r="306" spans="1:42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107"/>
      <c r="AH306" s="49"/>
      <c r="AI306" s="49"/>
      <c r="AJ306" s="49"/>
      <c r="AK306" s="107"/>
      <c r="AL306" s="49"/>
      <c r="AM306" s="49"/>
      <c r="AN306" s="49"/>
      <c r="AO306" s="49"/>
      <c r="AP306" s="49"/>
    </row>
    <row r="307" spans="1:42"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AA307" s="44"/>
      <c r="AB307" s="44"/>
      <c r="AC307" s="44"/>
      <c r="AD307" s="44"/>
      <c r="AE307" s="44"/>
      <c r="AF307" s="44"/>
      <c r="AG307" s="102"/>
      <c r="AH307" s="44"/>
      <c r="AI307" s="44"/>
      <c r="AJ307" s="44"/>
      <c r="AK307" s="102"/>
      <c r="AL307" s="44"/>
      <c r="AM307" s="44"/>
      <c r="AN307" s="44"/>
      <c r="AO307" s="44"/>
      <c r="AP307" s="44"/>
    </row>
    <row r="308" spans="1:42">
      <c r="C308" s="42"/>
      <c r="D308" s="42"/>
      <c r="E308" s="42"/>
      <c r="T308" s="42"/>
      <c r="U308" s="42"/>
    </row>
    <row r="309" spans="1:42">
      <c r="D309" s="42"/>
      <c r="E309" s="42"/>
      <c r="U309" s="42"/>
    </row>
    <row r="311" spans="1:42">
      <c r="C311" s="42"/>
      <c r="T311" s="42"/>
    </row>
    <row r="312" spans="1:42">
      <c r="C312" s="42"/>
      <c r="F312" s="164"/>
      <c r="H312" s="164"/>
      <c r="I312" s="164"/>
      <c r="J312" s="132"/>
      <c r="K312" s="132"/>
      <c r="L312" s="45"/>
      <c r="M312" s="45"/>
      <c r="N312" s="46"/>
      <c r="O312" s="46"/>
      <c r="P312" s="45"/>
      <c r="Q312" s="45"/>
      <c r="R312" s="45"/>
      <c r="T312" s="42"/>
      <c r="V312" s="164"/>
      <c r="W312" s="45"/>
      <c r="X312" s="45"/>
      <c r="Y312" s="45"/>
      <c r="Z312" s="45"/>
      <c r="AA312" s="164"/>
      <c r="AB312" s="132"/>
      <c r="AC312" s="45"/>
      <c r="AD312" s="45"/>
      <c r="AE312" s="46"/>
      <c r="AF312" s="46"/>
      <c r="AH312" s="45"/>
      <c r="AI312" s="51"/>
      <c r="AJ312" s="51"/>
      <c r="AL312" s="45"/>
      <c r="AM312" s="45"/>
      <c r="AN312" s="45"/>
      <c r="AO312" s="46"/>
      <c r="AP312" s="46"/>
    </row>
    <row r="313" spans="1:42">
      <c r="C313" s="42"/>
      <c r="F313" s="45"/>
      <c r="H313" s="45"/>
      <c r="I313" s="45"/>
      <c r="J313" s="326"/>
      <c r="K313" s="326"/>
      <c r="L313" s="45"/>
      <c r="M313" s="45"/>
      <c r="N313" s="46"/>
      <c r="O313" s="46"/>
      <c r="P313" s="45"/>
      <c r="Q313" s="45"/>
      <c r="R313" s="45"/>
      <c r="T313" s="42"/>
      <c r="V313" s="164"/>
      <c r="W313" s="45"/>
      <c r="X313" s="45"/>
      <c r="Y313" s="45"/>
      <c r="Z313" s="45"/>
      <c r="AA313" s="164"/>
      <c r="AB313" s="326"/>
      <c r="AC313" s="45"/>
      <c r="AD313" s="45"/>
      <c r="AE313" s="46"/>
      <c r="AF313" s="46"/>
      <c r="AH313" s="45"/>
      <c r="AI313" s="51"/>
      <c r="AJ313" s="51"/>
      <c r="AL313" s="45"/>
      <c r="AM313" s="45"/>
      <c r="AN313" s="45"/>
      <c r="AO313" s="46"/>
      <c r="AP313" s="46"/>
    </row>
    <row r="314" spans="1:42">
      <c r="C314" s="42"/>
      <c r="F314" s="164"/>
      <c r="H314" s="164"/>
      <c r="I314" s="164"/>
      <c r="J314" s="132"/>
      <c r="K314" s="132"/>
      <c r="L314" s="45"/>
      <c r="M314" s="45"/>
      <c r="N314" s="46"/>
      <c r="O314" s="46"/>
      <c r="P314" s="45"/>
      <c r="Q314" s="45"/>
      <c r="R314" s="45"/>
      <c r="T314" s="42"/>
      <c r="V314" s="164"/>
      <c r="W314" s="45"/>
      <c r="X314" s="45"/>
      <c r="Y314" s="45"/>
      <c r="Z314" s="45"/>
      <c r="AA314" s="164"/>
      <c r="AB314" s="132"/>
      <c r="AC314" s="45"/>
      <c r="AD314" s="45"/>
      <c r="AE314" s="46"/>
      <c r="AF314" s="46"/>
      <c r="AH314" s="45"/>
      <c r="AI314" s="51"/>
      <c r="AJ314" s="51"/>
      <c r="AL314" s="45"/>
      <c r="AM314" s="45"/>
      <c r="AN314" s="45"/>
      <c r="AO314" s="46"/>
      <c r="AP314" s="46"/>
    </row>
    <row r="315" spans="1:42">
      <c r="C315" s="42"/>
      <c r="F315" s="164"/>
      <c r="H315" s="164"/>
      <c r="I315" s="164"/>
      <c r="J315" s="132"/>
      <c r="K315" s="132"/>
      <c r="L315" s="45"/>
      <c r="M315" s="45"/>
      <c r="N315" s="46"/>
      <c r="O315" s="46"/>
      <c r="P315" s="45"/>
      <c r="Q315" s="45"/>
      <c r="R315" s="45"/>
      <c r="T315" s="42"/>
      <c r="V315" s="164"/>
      <c r="W315" s="45"/>
      <c r="X315" s="45"/>
      <c r="Y315" s="45"/>
      <c r="Z315" s="45"/>
      <c r="AA315" s="164"/>
      <c r="AB315" s="132"/>
      <c r="AC315" s="45"/>
      <c r="AD315" s="45"/>
      <c r="AE315" s="46"/>
      <c r="AF315" s="46"/>
      <c r="AH315" s="45"/>
      <c r="AI315" s="51"/>
      <c r="AJ315" s="51"/>
      <c r="AL315" s="45"/>
      <c r="AM315" s="45"/>
      <c r="AN315" s="45"/>
      <c r="AO315" s="46"/>
      <c r="AP315" s="46"/>
    </row>
    <row r="316" spans="1:42">
      <c r="C316" s="42"/>
      <c r="F316" s="164"/>
      <c r="H316" s="164"/>
      <c r="I316" s="164"/>
      <c r="J316" s="132"/>
      <c r="K316" s="132"/>
      <c r="L316" s="45"/>
      <c r="M316" s="45"/>
      <c r="N316" s="46"/>
      <c r="O316" s="46"/>
      <c r="P316" s="45"/>
      <c r="Q316" s="45"/>
      <c r="R316" s="45"/>
      <c r="T316" s="42"/>
      <c r="V316" s="164"/>
      <c r="W316" s="45"/>
      <c r="X316" s="45"/>
      <c r="Y316" s="45"/>
      <c r="Z316" s="45"/>
      <c r="AA316" s="164"/>
      <c r="AB316" s="132"/>
      <c r="AC316" s="45"/>
      <c r="AD316" s="45"/>
      <c r="AE316" s="46"/>
      <c r="AF316" s="46"/>
      <c r="AH316" s="45"/>
      <c r="AI316" s="51"/>
      <c r="AJ316" s="51"/>
      <c r="AL316" s="45"/>
      <c r="AM316" s="45"/>
      <c r="AN316" s="45"/>
      <c r="AO316" s="46"/>
      <c r="AP316" s="46"/>
    </row>
    <row r="317" spans="1:42">
      <c r="C317" s="42"/>
      <c r="F317" s="45"/>
      <c r="H317" s="45"/>
      <c r="I317" s="45"/>
      <c r="J317" s="132"/>
      <c r="K317" s="132"/>
      <c r="L317" s="45"/>
      <c r="M317" s="45"/>
      <c r="N317" s="46"/>
      <c r="O317" s="46"/>
      <c r="P317" s="45"/>
      <c r="Q317" s="45"/>
      <c r="R317" s="45"/>
      <c r="T317" s="42"/>
      <c r="V317" s="164"/>
      <c r="W317" s="45"/>
      <c r="X317" s="45"/>
      <c r="Y317" s="45"/>
      <c r="Z317" s="45"/>
      <c r="AA317" s="164"/>
      <c r="AB317" s="132"/>
      <c r="AC317" s="45"/>
      <c r="AD317" s="45"/>
      <c r="AE317" s="46"/>
      <c r="AF317" s="46"/>
      <c r="AH317" s="45"/>
      <c r="AI317" s="51"/>
      <c r="AJ317" s="51"/>
      <c r="AL317" s="45"/>
      <c r="AM317" s="45"/>
      <c r="AN317" s="45"/>
      <c r="AO317" s="46"/>
      <c r="AP317" s="46"/>
    </row>
    <row r="318" spans="1:42">
      <c r="C318" s="42"/>
      <c r="F318" s="45"/>
      <c r="H318" s="45"/>
      <c r="I318" s="45"/>
      <c r="J318" s="132"/>
      <c r="K318" s="132"/>
      <c r="L318" s="45"/>
      <c r="M318" s="45"/>
      <c r="N318" s="46"/>
      <c r="O318" s="46"/>
      <c r="P318" s="45"/>
      <c r="Q318" s="45"/>
      <c r="R318" s="45"/>
      <c r="T318" s="42"/>
      <c r="V318" s="164"/>
      <c r="W318" s="45"/>
      <c r="X318" s="45"/>
      <c r="Y318" s="45"/>
      <c r="Z318" s="45"/>
      <c r="AA318" s="164"/>
      <c r="AB318" s="132"/>
      <c r="AC318" s="45"/>
      <c r="AD318" s="45"/>
      <c r="AE318" s="46"/>
      <c r="AF318" s="46"/>
      <c r="AH318" s="45"/>
      <c r="AI318" s="51"/>
      <c r="AJ318" s="51"/>
      <c r="AL318" s="45"/>
      <c r="AM318" s="45"/>
      <c r="AN318" s="45"/>
      <c r="AO318" s="46"/>
      <c r="AP318" s="46"/>
    </row>
    <row r="319" spans="1:42">
      <c r="F319" s="54"/>
      <c r="H319" s="338"/>
      <c r="I319" s="338"/>
      <c r="J319" s="132"/>
      <c r="K319" s="132"/>
      <c r="L319" s="54"/>
      <c r="M319" s="54"/>
      <c r="N319" s="50"/>
      <c r="O319" s="50"/>
      <c r="P319" s="54"/>
      <c r="Q319" s="54"/>
      <c r="R319" s="54"/>
      <c r="V319" s="54"/>
      <c r="W319" s="45"/>
      <c r="X319" s="45"/>
      <c r="Y319" s="45"/>
      <c r="Z319" s="45"/>
      <c r="AA319" s="54"/>
      <c r="AB319" s="132"/>
      <c r="AC319" s="54"/>
      <c r="AD319" s="54"/>
      <c r="AE319" s="55"/>
      <c r="AF319" s="55"/>
      <c r="AG319" s="107"/>
      <c r="AH319" s="54"/>
      <c r="AI319" s="51"/>
      <c r="AJ319" s="51"/>
      <c r="AK319" s="107"/>
      <c r="AL319" s="54"/>
      <c r="AM319" s="54"/>
      <c r="AN319" s="54"/>
      <c r="AO319" s="46"/>
      <c r="AP319" s="46"/>
    </row>
    <row r="320" spans="1:42">
      <c r="C320" s="42"/>
      <c r="F320" s="45"/>
      <c r="H320" s="45"/>
      <c r="I320" s="45"/>
      <c r="J320" s="132"/>
      <c r="K320" s="132"/>
      <c r="L320" s="45"/>
      <c r="M320" s="45"/>
      <c r="N320" s="51"/>
      <c r="O320" s="51"/>
      <c r="P320" s="45"/>
      <c r="Q320" s="45"/>
      <c r="R320" s="45"/>
      <c r="T320" s="44"/>
      <c r="V320" s="45"/>
      <c r="W320" s="45"/>
      <c r="X320" s="45"/>
      <c r="Y320" s="45"/>
      <c r="Z320" s="45"/>
      <c r="AA320" s="45"/>
      <c r="AB320" s="132"/>
      <c r="AC320" s="45"/>
      <c r="AD320" s="45"/>
      <c r="AE320" s="51"/>
      <c r="AF320" s="51"/>
      <c r="AH320" s="45"/>
      <c r="AI320" s="51"/>
      <c r="AJ320" s="51"/>
      <c r="AL320" s="45"/>
      <c r="AM320" s="45"/>
      <c r="AN320" s="45"/>
      <c r="AO320" s="46"/>
      <c r="AP320" s="46"/>
    </row>
    <row r="321" spans="1:42">
      <c r="F321" s="49"/>
      <c r="H321" s="49"/>
      <c r="I321" s="49"/>
      <c r="L321" s="49"/>
      <c r="M321" s="49"/>
      <c r="N321" s="55"/>
      <c r="O321" s="55"/>
      <c r="P321" s="54"/>
      <c r="Q321" s="54"/>
      <c r="R321" s="54"/>
      <c r="V321" s="54"/>
      <c r="AA321" s="54"/>
      <c r="AB321" s="326"/>
      <c r="AC321" s="54"/>
      <c r="AD321" s="54"/>
      <c r="AE321" s="54"/>
      <c r="AF321" s="54"/>
      <c r="AG321" s="107"/>
      <c r="AH321" s="54"/>
      <c r="AK321" s="107"/>
      <c r="AL321" s="54"/>
      <c r="AM321" s="54"/>
      <c r="AN321" s="54"/>
      <c r="AO321" s="55"/>
      <c r="AP321" s="55"/>
    </row>
    <row r="326" spans="1:42">
      <c r="N326" s="45"/>
      <c r="O326" s="45"/>
      <c r="P326" s="45"/>
      <c r="Q326" s="45"/>
      <c r="R326" s="45"/>
      <c r="V326" s="45"/>
      <c r="AA326" s="45"/>
      <c r="AB326" s="47"/>
      <c r="AC326" s="45"/>
      <c r="AD326" s="45"/>
      <c r="AE326" s="46"/>
      <c r="AF326" s="46"/>
      <c r="AH326" s="45"/>
      <c r="AI326" s="51"/>
      <c r="AJ326" s="51"/>
      <c r="AL326" s="45"/>
      <c r="AM326" s="45"/>
      <c r="AN326" s="45"/>
      <c r="AO326" s="46"/>
      <c r="AP326" s="46"/>
    </row>
    <row r="327" spans="1:42">
      <c r="C327" s="42"/>
      <c r="D327" s="42"/>
      <c r="E327" s="42"/>
      <c r="J327" s="56"/>
      <c r="K327" s="56"/>
      <c r="T327" s="42"/>
      <c r="U327" s="42"/>
      <c r="AB327" s="56"/>
      <c r="AH327" s="45"/>
      <c r="AL327" s="45"/>
      <c r="AM327" s="45"/>
      <c r="AN327" s="45"/>
      <c r="AO327" s="46"/>
      <c r="AP327" s="46"/>
    </row>
    <row r="328" spans="1:42">
      <c r="D328" s="42"/>
      <c r="E328" s="42"/>
      <c r="F328" s="45"/>
      <c r="H328" s="45"/>
      <c r="I328" s="45"/>
      <c r="J328" s="132"/>
      <c r="K328" s="132"/>
      <c r="L328" s="45"/>
      <c r="M328" s="45"/>
      <c r="N328" s="46"/>
      <c r="O328" s="46"/>
      <c r="P328" s="45"/>
      <c r="Q328" s="45"/>
      <c r="R328" s="45"/>
      <c r="U328" s="42"/>
      <c r="V328" s="45"/>
      <c r="AA328" s="45"/>
      <c r="AB328" s="132"/>
      <c r="AC328" s="45"/>
      <c r="AD328" s="45"/>
      <c r="AE328" s="46"/>
      <c r="AF328" s="46"/>
      <c r="AH328" s="45"/>
      <c r="AI328" s="51"/>
      <c r="AJ328" s="51"/>
      <c r="AL328" s="45"/>
      <c r="AM328" s="45"/>
      <c r="AN328" s="45"/>
      <c r="AO328" s="46"/>
      <c r="AP328" s="46"/>
    </row>
    <row r="329" spans="1:42">
      <c r="F329" s="45"/>
      <c r="H329" s="45"/>
      <c r="I329" s="45"/>
      <c r="J329" s="326"/>
      <c r="K329" s="326"/>
      <c r="L329" s="45"/>
      <c r="M329" s="45"/>
      <c r="N329" s="45"/>
      <c r="O329" s="45"/>
      <c r="P329" s="45"/>
      <c r="Q329" s="45"/>
      <c r="R329" s="45"/>
      <c r="V329" s="45"/>
      <c r="AA329" s="45"/>
      <c r="AB329" s="326"/>
      <c r="AC329" s="45"/>
      <c r="AD329" s="45"/>
      <c r="AE329" s="45"/>
      <c r="AF329" s="45"/>
      <c r="AH329" s="45"/>
      <c r="AI329" s="51"/>
      <c r="AJ329" s="51"/>
      <c r="AK329" s="333"/>
      <c r="AL329" s="164"/>
      <c r="AM329" s="45"/>
      <c r="AN329" s="45"/>
      <c r="AO329" s="46"/>
      <c r="AP329" s="46"/>
    </row>
    <row r="330" spans="1:42">
      <c r="C330" s="42"/>
      <c r="F330" s="164"/>
      <c r="H330" s="164"/>
      <c r="I330" s="164"/>
      <c r="J330" s="325"/>
      <c r="K330" s="325"/>
      <c r="L330" s="45"/>
      <c r="M330" s="45"/>
      <c r="N330" s="46"/>
      <c r="O330" s="46"/>
      <c r="P330" s="45"/>
      <c r="Q330" s="45"/>
      <c r="R330" s="45"/>
      <c r="T330" s="42"/>
      <c r="V330" s="164"/>
      <c r="AA330" s="164"/>
      <c r="AB330" s="325"/>
      <c r="AC330" s="45"/>
      <c r="AD330" s="45"/>
      <c r="AE330" s="46"/>
      <c r="AF330" s="46"/>
      <c r="AH330" s="45"/>
      <c r="AI330" s="51"/>
      <c r="AJ330" s="51"/>
      <c r="AL330" s="45"/>
      <c r="AM330" s="45"/>
      <c r="AN330" s="45"/>
      <c r="AO330" s="46"/>
      <c r="AP330" s="46"/>
    </row>
    <row r="331" spans="1:42">
      <c r="F331" s="49"/>
      <c r="H331" s="49"/>
      <c r="I331" s="49"/>
      <c r="L331" s="49"/>
      <c r="M331" s="49"/>
      <c r="N331" s="49"/>
      <c r="O331" s="49"/>
      <c r="P331" s="49"/>
      <c r="Q331" s="49"/>
      <c r="R331" s="49"/>
      <c r="V331" s="49"/>
      <c r="AA331" s="49"/>
      <c r="AC331" s="49"/>
      <c r="AD331" s="49"/>
      <c r="AE331" s="49"/>
      <c r="AF331" s="49"/>
      <c r="AG331" s="107"/>
      <c r="AH331" s="49"/>
      <c r="AI331" s="49"/>
      <c r="AJ331" s="49"/>
      <c r="AK331" s="107"/>
      <c r="AL331" s="49"/>
      <c r="AM331" s="49"/>
      <c r="AN331" s="49"/>
      <c r="AO331" s="49"/>
      <c r="AP331" s="49"/>
    </row>
    <row r="332" spans="1:42">
      <c r="C332" s="44"/>
      <c r="F332" s="164"/>
      <c r="H332" s="164"/>
      <c r="I332" s="164"/>
      <c r="J332" s="316"/>
      <c r="K332" s="316"/>
      <c r="L332" s="164"/>
      <c r="M332" s="164"/>
      <c r="N332" s="46"/>
      <c r="O332" s="46"/>
      <c r="P332" s="164"/>
      <c r="Q332" s="164"/>
      <c r="R332" s="164"/>
      <c r="T332" s="44"/>
      <c r="V332" s="45"/>
      <c r="AA332" s="45"/>
      <c r="AB332" s="47"/>
      <c r="AC332" s="45"/>
      <c r="AD332" s="45"/>
      <c r="AE332" s="46"/>
      <c r="AF332" s="46"/>
      <c r="AI332" s="51"/>
      <c r="AJ332" s="51"/>
      <c r="AL332" s="45"/>
      <c r="AM332" s="45"/>
      <c r="AN332" s="45"/>
      <c r="AO332" s="46"/>
      <c r="AP332" s="46"/>
    </row>
    <row r="333" spans="1:42">
      <c r="F333" s="54"/>
      <c r="H333" s="54"/>
      <c r="I333" s="54"/>
      <c r="J333" s="326"/>
      <c r="K333" s="326"/>
      <c r="L333" s="54"/>
      <c r="M333" s="54"/>
      <c r="N333" s="54"/>
      <c r="O333" s="54"/>
      <c r="P333" s="54"/>
      <c r="Q333" s="54"/>
      <c r="R333" s="54"/>
      <c r="V333" s="49"/>
      <c r="AA333" s="49"/>
      <c r="AC333" s="49"/>
      <c r="AD333" s="49"/>
      <c r="AE333" s="49"/>
      <c r="AF333" s="49"/>
      <c r="AG333" s="107"/>
      <c r="AH333" s="49"/>
      <c r="AI333" s="49"/>
      <c r="AJ333" s="49"/>
      <c r="AK333" s="107"/>
      <c r="AL333" s="49"/>
      <c r="AM333" s="49"/>
      <c r="AN333" s="49"/>
      <c r="AO333" s="49"/>
      <c r="AP333" s="49"/>
    </row>
    <row r="334" spans="1:42">
      <c r="F334" s="164"/>
      <c r="H334" s="164"/>
      <c r="I334" s="164"/>
      <c r="J334" s="336"/>
      <c r="K334" s="336"/>
      <c r="L334" s="45"/>
      <c r="M334" s="45"/>
      <c r="N334" s="46"/>
      <c r="O334" s="46"/>
      <c r="P334" s="45"/>
      <c r="Q334" s="45"/>
      <c r="R334" s="45"/>
    </row>
    <row r="335" spans="1:42">
      <c r="A335" s="42"/>
      <c r="F335" s="164"/>
      <c r="H335" s="164"/>
      <c r="I335" s="164"/>
      <c r="J335" s="316"/>
      <c r="K335" s="316"/>
      <c r="L335" s="45"/>
      <c r="M335" s="45"/>
      <c r="N335" s="46"/>
      <c r="O335" s="46"/>
      <c r="P335" s="45"/>
      <c r="Q335" s="45"/>
      <c r="R335" s="45"/>
    </row>
    <row r="336" spans="1:42">
      <c r="F336" s="164"/>
      <c r="H336" s="164"/>
      <c r="I336" s="164"/>
      <c r="J336" s="316"/>
      <c r="K336" s="316"/>
      <c r="L336" s="45"/>
      <c r="M336" s="45"/>
      <c r="N336" s="46"/>
      <c r="O336" s="46"/>
      <c r="P336" s="45"/>
      <c r="Q336" s="45"/>
      <c r="R336" s="45"/>
    </row>
    <row r="337" spans="1:42">
      <c r="A337" s="42"/>
    </row>
    <row r="340" spans="1:42">
      <c r="H340" s="42"/>
      <c r="I340" s="42"/>
      <c r="AA340" s="42"/>
    </row>
    <row r="342" spans="1:42">
      <c r="L342" s="42"/>
      <c r="M342" s="42"/>
      <c r="AC342" s="42"/>
      <c r="AD342" s="42"/>
    </row>
    <row r="343" spans="1:42">
      <c r="R343" s="42"/>
      <c r="AM343" s="42"/>
      <c r="AN343" s="42"/>
    </row>
    <row r="344" spans="1:42">
      <c r="R344" s="42"/>
      <c r="AM344" s="42"/>
      <c r="AN344" s="42"/>
    </row>
    <row r="345" spans="1:42">
      <c r="A345" s="42"/>
      <c r="R345" s="42"/>
      <c r="AM345" s="42"/>
      <c r="AN345" s="42"/>
    </row>
    <row r="346" spans="1:42">
      <c r="L346" s="42"/>
      <c r="M346" s="42"/>
      <c r="AC346" s="42"/>
      <c r="AD346" s="42"/>
    </row>
    <row r="347" spans="1:42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107"/>
      <c r="AH347" s="49"/>
      <c r="AI347" s="49"/>
      <c r="AJ347" s="49"/>
      <c r="AK347" s="107"/>
      <c r="AL347" s="49"/>
      <c r="AM347" s="49"/>
      <c r="AN347" s="49"/>
      <c r="AO347" s="49"/>
      <c r="AP347" s="49"/>
    </row>
    <row r="348" spans="1:42">
      <c r="L348" s="44"/>
      <c r="M348" s="44"/>
      <c r="N348" s="44"/>
      <c r="O348" s="44"/>
      <c r="R348" s="44"/>
      <c r="AC348" s="44"/>
      <c r="AD348" s="44"/>
      <c r="AE348" s="44"/>
      <c r="AF348" s="44"/>
      <c r="AG348" s="102"/>
      <c r="AH348" s="44"/>
      <c r="AI348" s="44"/>
      <c r="AJ348" s="44"/>
      <c r="AM348" s="44"/>
      <c r="AN348" s="44"/>
      <c r="AO348" s="44"/>
      <c r="AP348" s="44"/>
    </row>
    <row r="349" spans="1:42">
      <c r="L349" s="44"/>
      <c r="M349" s="44"/>
      <c r="N349" s="44"/>
      <c r="O349" s="44"/>
      <c r="R349" s="44"/>
      <c r="AB349" s="44"/>
      <c r="AC349" s="44"/>
      <c r="AD349" s="44"/>
      <c r="AE349" s="44"/>
      <c r="AF349" s="44"/>
      <c r="AG349" s="102"/>
      <c r="AH349" s="44"/>
      <c r="AI349" s="44"/>
      <c r="AJ349" s="44"/>
      <c r="AM349" s="44"/>
      <c r="AN349" s="44"/>
      <c r="AO349" s="44"/>
      <c r="AP349" s="44"/>
    </row>
    <row r="350" spans="1:42">
      <c r="A350" s="44"/>
      <c r="C350" s="44"/>
      <c r="D350" s="44"/>
      <c r="E350" s="44"/>
      <c r="F350" s="44"/>
      <c r="J350" s="44"/>
      <c r="K350" s="44"/>
      <c r="L350" s="44"/>
      <c r="M350" s="44"/>
      <c r="N350" s="44"/>
      <c r="O350" s="44"/>
      <c r="P350" s="44"/>
      <c r="Q350" s="44"/>
      <c r="R350" s="44"/>
      <c r="T350" s="44"/>
      <c r="U350" s="44"/>
      <c r="V350" s="44"/>
      <c r="AB350" s="44"/>
      <c r="AC350" s="44"/>
      <c r="AD350" s="44"/>
      <c r="AE350" s="44"/>
      <c r="AF350" s="44"/>
      <c r="AG350" s="102"/>
      <c r="AH350" s="44"/>
      <c r="AI350" s="44"/>
      <c r="AJ350" s="44"/>
      <c r="AK350" s="102"/>
      <c r="AL350" s="44"/>
      <c r="AM350" s="44"/>
      <c r="AN350" s="44"/>
      <c r="AO350" s="44"/>
      <c r="AP350" s="44"/>
    </row>
    <row r="351" spans="1:42">
      <c r="A351" s="44"/>
      <c r="C351" s="44"/>
      <c r="D351" s="44"/>
      <c r="E351" s="44"/>
      <c r="F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T351" s="44"/>
      <c r="U351" s="44"/>
      <c r="V351" s="44"/>
      <c r="AA351" s="44"/>
      <c r="AB351" s="44"/>
      <c r="AC351" s="44"/>
      <c r="AD351" s="44"/>
      <c r="AE351" s="44"/>
      <c r="AF351" s="44"/>
      <c r="AG351" s="102"/>
      <c r="AH351" s="44"/>
      <c r="AI351" s="44"/>
      <c r="AJ351" s="44"/>
      <c r="AK351" s="102"/>
      <c r="AL351" s="44"/>
      <c r="AM351" s="44"/>
      <c r="AN351" s="44"/>
      <c r="AO351" s="44"/>
      <c r="AP351" s="44"/>
    </row>
    <row r="352" spans="1:42">
      <c r="C352" s="44"/>
      <c r="D352" s="44"/>
      <c r="E352" s="44"/>
      <c r="F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T352" s="44"/>
      <c r="U352" s="44"/>
      <c r="V352" s="44"/>
      <c r="AA352" s="44"/>
      <c r="AB352" s="44"/>
      <c r="AC352" s="44"/>
      <c r="AD352" s="44"/>
      <c r="AE352" s="44"/>
      <c r="AF352" s="44"/>
      <c r="AG352" s="102"/>
      <c r="AH352" s="44"/>
      <c r="AI352" s="44"/>
      <c r="AJ352" s="44"/>
      <c r="AK352" s="102"/>
      <c r="AL352" s="44"/>
      <c r="AM352" s="44"/>
      <c r="AN352" s="44"/>
      <c r="AO352" s="44"/>
      <c r="AP352" s="44"/>
    </row>
    <row r="353" spans="1:42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107"/>
      <c r="AH353" s="49"/>
      <c r="AI353" s="49"/>
      <c r="AJ353" s="49"/>
      <c r="AK353" s="107"/>
      <c r="AL353" s="49"/>
      <c r="AM353" s="49"/>
      <c r="AN353" s="49"/>
      <c r="AO353" s="49"/>
      <c r="AP353" s="49"/>
    </row>
    <row r="354" spans="1:42"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AA354" s="44"/>
      <c r="AB354" s="44"/>
      <c r="AC354" s="44"/>
      <c r="AD354" s="44"/>
      <c r="AE354" s="44"/>
      <c r="AF354" s="44"/>
      <c r="AG354" s="102"/>
      <c r="AH354" s="44"/>
      <c r="AI354" s="44"/>
      <c r="AJ354" s="44"/>
      <c r="AK354" s="102"/>
      <c r="AL354" s="44"/>
      <c r="AM354" s="44"/>
      <c r="AN354" s="44"/>
      <c r="AO354" s="44"/>
      <c r="AP354" s="44"/>
    </row>
    <row r="355" spans="1:42">
      <c r="C355" s="42"/>
      <c r="D355" s="42"/>
      <c r="E355" s="42"/>
      <c r="T355" s="42"/>
      <c r="U355" s="42"/>
    </row>
    <row r="357" spans="1:42">
      <c r="C357" s="42"/>
      <c r="T357" s="42"/>
    </row>
    <row r="358" spans="1:42">
      <c r="C358" s="42"/>
      <c r="F358" s="164"/>
      <c r="H358" s="164"/>
      <c r="I358" s="164"/>
      <c r="J358" s="326"/>
      <c r="K358" s="326"/>
      <c r="L358" s="45"/>
      <c r="M358" s="45"/>
      <c r="N358" s="46"/>
      <c r="O358" s="46"/>
      <c r="P358" s="45"/>
      <c r="Q358" s="45"/>
      <c r="R358" s="45"/>
      <c r="T358" s="42"/>
      <c r="V358" s="164"/>
      <c r="AA358" s="164"/>
      <c r="AB358" s="326"/>
      <c r="AC358" s="45"/>
      <c r="AD358" s="45"/>
      <c r="AE358" s="46"/>
      <c r="AF358" s="46"/>
      <c r="AH358" s="45"/>
      <c r="AI358" s="51"/>
      <c r="AJ358" s="51"/>
      <c r="AL358" s="45"/>
      <c r="AM358" s="45"/>
      <c r="AN358" s="45"/>
      <c r="AO358" s="46"/>
      <c r="AP358" s="46"/>
    </row>
    <row r="359" spans="1:42">
      <c r="C359" s="42"/>
      <c r="T359" s="42"/>
    </row>
    <row r="360" spans="1:42">
      <c r="C360" s="42"/>
      <c r="F360" s="164"/>
      <c r="H360" s="164"/>
      <c r="I360" s="164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45"/>
      <c r="AA360" s="45"/>
      <c r="AB360" s="132"/>
      <c r="AC360" s="45"/>
      <c r="AD360" s="45"/>
      <c r="AE360" s="46"/>
      <c r="AF360" s="46"/>
      <c r="AH360" s="45"/>
      <c r="AI360" s="51"/>
      <c r="AJ360" s="51"/>
      <c r="AL360" s="45"/>
      <c r="AM360" s="45"/>
      <c r="AN360" s="45"/>
      <c r="AO360" s="46"/>
      <c r="AP360" s="46"/>
    </row>
    <row r="361" spans="1:42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AA361" s="45"/>
      <c r="AB361" s="132"/>
      <c r="AC361" s="45"/>
      <c r="AD361" s="45"/>
      <c r="AE361" s="46"/>
      <c r="AF361" s="46"/>
      <c r="AH361" s="45"/>
      <c r="AI361" s="51"/>
      <c r="AJ361" s="51"/>
      <c r="AL361" s="45"/>
      <c r="AM361" s="45"/>
      <c r="AN361" s="45"/>
      <c r="AO361" s="46"/>
      <c r="AP361" s="46"/>
    </row>
    <row r="362" spans="1:42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AA362" s="45"/>
      <c r="AB362" s="132"/>
      <c r="AC362" s="45"/>
      <c r="AD362" s="45"/>
      <c r="AE362" s="46"/>
      <c r="AF362" s="46"/>
      <c r="AH362" s="45"/>
      <c r="AI362" s="51"/>
      <c r="AJ362" s="51"/>
      <c r="AL362" s="45"/>
      <c r="AM362" s="45"/>
      <c r="AN362" s="45"/>
      <c r="AO362" s="46"/>
      <c r="AP362" s="46"/>
    </row>
    <row r="363" spans="1:42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AA363" s="45"/>
      <c r="AB363" s="132"/>
      <c r="AC363" s="45"/>
      <c r="AD363" s="45"/>
      <c r="AE363" s="46"/>
      <c r="AF363" s="46"/>
      <c r="AH363" s="45"/>
      <c r="AI363" s="51"/>
      <c r="AJ363" s="51"/>
      <c r="AL363" s="45"/>
      <c r="AM363" s="45"/>
      <c r="AN363" s="45"/>
      <c r="AO363" s="46"/>
      <c r="AP363" s="46"/>
    </row>
    <row r="364" spans="1:42">
      <c r="C364" s="42"/>
      <c r="J364" s="56"/>
      <c r="K364" s="56"/>
      <c r="T364" s="42"/>
      <c r="AB364" s="56"/>
    </row>
    <row r="365" spans="1:42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AA365" s="45"/>
      <c r="AB365" s="132"/>
      <c r="AC365" s="45"/>
      <c r="AD365" s="45"/>
      <c r="AE365" s="46"/>
      <c r="AF365" s="46"/>
      <c r="AH365" s="45"/>
      <c r="AI365" s="51"/>
      <c r="AJ365" s="51"/>
      <c r="AL365" s="45"/>
      <c r="AM365" s="45"/>
      <c r="AN365" s="45"/>
      <c r="AO365" s="46"/>
      <c r="AP365" s="46"/>
    </row>
    <row r="366" spans="1:42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AA366" s="45"/>
      <c r="AB366" s="132"/>
      <c r="AC366" s="45"/>
      <c r="AD366" s="45"/>
      <c r="AE366" s="46"/>
      <c r="AF366" s="46"/>
      <c r="AH366" s="45"/>
      <c r="AI366" s="51"/>
      <c r="AJ366" s="51"/>
      <c r="AL366" s="45"/>
      <c r="AM366" s="45"/>
      <c r="AN366" s="45"/>
      <c r="AO366" s="46"/>
      <c r="AP366" s="46"/>
    </row>
    <row r="367" spans="1:42">
      <c r="C367" s="42"/>
      <c r="F367" s="164"/>
      <c r="H367" s="164"/>
      <c r="I367" s="164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45"/>
      <c r="AA367" s="45"/>
      <c r="AB367" s="132"/>
      <c r="AC367" s="45"/>
      <c r="AD367" s="45"/>
      <c r="AE367" s="46"/>
      <c r="AF367" s="46"/>
      <c r="AH367" s="45"/>
      <c r="AI367" s="51"/>
      <c r="AJ367" s="51"/>
      <c r="AL367" s="45"/>
      <c r="AM367" s="45"/>
      <c r="AN367" s="45"/>
      <c r="AO367" s="46"/>
      <c r="AP367" s="46"/>
    </row>
    <row r="368" spans="1:42">
      <c r="C368" s="42"/>
      <c r="J368" s="56"/>
      <c r="K368" s="56"/>
      <c r="T368" s="42"/>
      <c r="AB368" s="56"/>
    </row>
    <row r="369" spans="3:42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AA369" s="45"/>
      <c r="AB369" s="132"/>
      <c r="AC369" s="45"/>
      <c r="AD369" s="45"/>
      <c r="AE369" s="46"/>
      <c r="AF369" s="46"/>
      <c r="AH369" s="45"/>
      <c r="AI369" s="51"/>
      <c r="AJ369" s="51"/>
      <c r="AL369" s="45"/>
      <c r="AM369" s="45"/>
      <c r="AN369" s="45"/>
      <c r="AO369" s="46"/>
      <c r="AP369" s="46"/>
    </row>
    <row r="370" spans="3:42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AA370" s="45"/>
      <c r="AB370" s="132"/>
      <c r="AC370" s="45"/>
      <c r="AD370" s="45"/>
      <c r="AE370" s="46"/>
      <c r="AF370" s="46"/>
      <c r="AH370" s="45"/>
      <c r="AI370" s="51"/>
      <c r="AJ370" s="51"/>
      <c r="AL370" s="45"/>
      <c r="AM370" s="45"/>
      <c r="AN370" s="45"/>
      <c r="AO370" s="46"/>
      <c r="AP370" s="46"/>
    </row>
    <row r="371" spans="3:42">
      <c r="C371" s="42"/>
      <c r="J371" s="56"/>
      <c r="K371" s="56"/>
      <c r="T371" s="42"/>
      <c r="AB371" s="56"/>
    </row>
    <row r="372" spans="3:42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45"/>
      <c r="AA372" s="45"/>
      <c r="AB372" s="132"/>
      <c r="AC372" s="45"/>
      <c r="AD372" s="45"/>
      <c r="AE372" s="46"/>
      <c r="AF372" s="46"/>
      <c r="AH372" s="45"/>
      <c r="AI372" s="51"/>
      <c r="AJ372" s="51"/>
      <c r="AL372" s="45"/>
      <c r="AM372" s="45"/>
      <c r="AN372" s="45"/>
      <c r="AO372" s="46"/>
      <c r="AP372" s="46"/>
    </row>
    <row r="373" spans="3:42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AA373" s="45"/>
      <c r="AB373" s="132"/>
      <c r="AC373" s="45"/>
      <c r="AD373" s="45"/>
      <c r="AE373" s="46"/>
      <c r="AF373" s="46"/>
      <c r="AH373" s="45"/>
      <c r="AI373" s="51"/>
      <c r="AJ373" s="51"/>
      <c r="AL373" s="45"/>
      <c r="AM373" s="45"/>
      <c r="AN373" s="45"/>
      <c r="AO373" s="46"/>
      <c r="AP373" s="46"/>
    </row>
    <row r="374" spans="3:42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AA374" s="45"/>
      <c r="AB374" s="132"/>
      <c r="AC374" s="45"/>
      <c r="AD374" s="45"/>
      <c r="AE374" s="46"/>
      <c r="AF374" s="46"/>
      <c r="AH374" s="45"/>
      <c r="AI374" s="51"/>
      <c r="AJ374" s="51"/>
      <c r="AL374" s="45"/>
      <c r="AM374" s="45"/>
      <c r="AN374" s="45"/>
      <c r="AO374" s="46"/>
      <c r="AP374" s="46"/>
    </row>
    <row r="375" spans="3:42">
      <c r="F375" s="50"/>
      <c r="H375" s="50"/>
      <c r="I375" s="50"/>
      <c r="J375" s="132"/>
      <c r="K375" s="132"/>
      <c r="L375" s="50"/>
      <c r="M375" s="50"/>
      <c r="N375" s="50"/>
      <c r="O375" s="50"/>
      <c r="P375" s="50"/>
      <c r="Q375" s="50"/>
      <c r="R375" s="50"/>
      <c r="V375" s="50"/>
      <c r="AA375" s="50"/>
      <c r="AB375" s="132"/>
      <c r="AC375" s="50"/>
      <c r="AD375" s="50"/>
      <c r="AE375" s="50"/>
      <c r="AF375" s="50"/>
      <c r="AG375" s="111"/>
      <c r="AH375" s="50"/>
      <c r="AK375" s="111"/>
      <c r="AL375" s="50"/>
      <c r="AM375" s="50"/>
      <c r="AN375" s="50"/>
    </row>
    <row r="376" spans="3:42">
      <c r="C376" s="44"/>
      <c r="F376" s="45"/>
      <c r="H376" s="45"/>
      <c r="I376" s="45"/>
      <c r="J376" s="56"/>
      <c r="K376" s="56"/>
      <c r="L376" s="45"/>
      <c r="M376" s="45"/>
      <c r="N376" s="51"/>
      <c r="O376" s="51"/>
      <c r="P376" s="45"/>
      <c r="Q376" s="45"/>
      <c r="R376" s="45"/>
      <c r="T376" s="44"/>
      <c r="V376" s="45"/>
      <c r="AA376" s="45"/>
      <c r="AB376" s="56"/>
      <c r="AC376" s="45"/>
      <c r="AD376" s="45"/>
      <c r="AE376" s="45"/>
      <c r="AF376" s="45"/>
      <c r="AH376" s="45"/>
      <c r="AI376" s="51"/>
      <c r="AJ376" s="51"/>
      <c r="AL376" s="45"/>
      <c r="AM376" s="45"/>
      <c r="AN376" s="45"/>
      <c r="AO376" s="46"/>
      <c r="AP376" s="46"/>
    </row>
    <row r="377" spans="3:42">
      <c r="F377" s="50"/>
      <c r="H377" s="50"/>
      <c r="I377" s="50"/>
      <c r="J377" s="132"/>
      <c r="K377" s="132"/>
      <c r="L377" s="50"/>
      <c r="M377" s="50"/>
      <c r="N377" s="50"/>
      <c r="O377" s="50"/>
      <c r="P377" s="50"/>
      <c r="Q377" s="50"/>
      <c r="R377" s="50"/>
      <c r="V377" s="50"/>
      <c r="AA377" s="50"/>
      <c r="AB377" s="132"/>
      <c r="AC377" s="50"/>
      <c r="AD377" s="50"/>
      <c r="AE377" s="50"/>
      <c r="AF377" s="50"/>
      <c r="AG377" s="111"/>
      <c r="AH377" s="50"/>
      <c r="AK377" s="111"/>
      <c r="AL377" s="50"/>
      <c r="AM377" s="50"/>
      <c r="AN377" s="50"/>
    </row>
    <row r="378" spans="3:42">
      <c r="C378" s="42"/>
      <c r="J378" s="56"/>
      <c r="K378" s="56"/>
      <c r="T378" s="42"/>
      <c r="AB378" s="56"/>
    </row>
    <row r="379" spans="3:42">
      <c r="C379" s="42"/>
      <c r="J379" s="56"/>
      <c r="K379" s="56"/>
      <c r="T379" s="42"/>
      <c r="AB379" s="56"/>
    </row>
    <row r="380" spans="3:42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AA380" s="45"/>
      <c r="AB380" s="132"/>
      <c r="AC380" s="45"/>
      <c r="AD380" s="45"/>
      <c r="AE380" s="46"/>
      <c r="AF380" s="46"/>
      <c r="AH380" s="45"/>
      <c r="AI380" s="51"/>
      <c r="AJ380" s="51"/>
      <c r="AL380" s="45"/>
      <c r="AM380" s="45"/>
      <c r="AN380" s="45"/>
      <c r="AO380" s="46"/>
      <c r="AP380" s="46"/>
    </row>
    <row r="381" spans="3:42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AA381" s="45"/>
      <c r="AB381" s="132"/>
      <c r="AC381" s="45"/>
      <c r="AD381" s="45"/>
      <c r="AE381" s="46"/>
      <c r="AF381" s="46"/>
      <c r="AH381" s="45"/>
      <c r="AI381" s="51"/>
      <c r="AJ381" s="51"/>
      <c r="AL381" s="45"/>
      <c r="AM381" s="45"/>
      <c r="AN381" s="45"/>
      <c r="AO381" s="46"/>
      <c r="AP381" s="46"/>
    </row>
    <row r="382" spans="3:42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AA382" s="45"/>
      <c r="AB382" s="132"/>
      <c r="AC382" s="45"/>
      <c r="AD382" s="45"/>
      <c r="AE382" s="46"/>
      <c r="AF382" s="46"/>
      <c r="AH382" s="45"/>
      <c r="AI382" s="51"/>
      <c r="AJ382" s="51"/>
      <c r="AL382" s="45"/>
      <c r="AM382" s="45"/>
      <c r="AN382" s="45"/>
      <c r="AO382" s="46"/>
      <c r="AP382" s="46"/>
    </row>
    <row r="383" spans="3:42">
      <c r="C383" s="42"/>
      <c r="F383" s="164"/>
      <c r="H383" s="164"/>
      <c r="I383" s="164"/>
      <c r="J383" s="132"/>
      <c r="K383" s="132"/>
      <c r="L383" s="45"/>
      <c r="M383" s="45"/>
      <c r="N383" s="46"/>
      <c r="O383" s="46"/>
      <c r="P383" s="45"/>
      <c r="Q383" s="45"/>
      <c r="R383" s="45"/>
      <c r="T383" s="42"/>
      <c r="V383" s="45"/>
      <c r="AA383" s="45"/>
      <c r="AB383" s="132"/>
      <c r="AC383" s="45"/>
      <c r="AD383" s="45"/>
      <c r="AE383" s="46"/>
      <c r="AF383" s="46"/>
      <c r="AH383" s="45"/>
      <c r="AI383" s="51"/>
      <c r="AJ383" s="51"/>
      <c r="AL383" s="45"/>
      <c r="AM383" s="45"/>
      <c r="AN383" s="45"/>
      <c r="AO383" s="46"/>
      <c r="AP383" s="46"/>
    </row>
    <row r="384" spans="3:42">
      <c r="C384" s="42"/>
      <c r="F384" s="164"/>
      <c r="H384" s="164"/>
      <c r="I384" s="164"/>
      <c r="J384" s="132"/>
      <c r="K384" s="132"/>
      <c r="L384" s="45"/>
      <c r="M384" s="45"/>
      <c r="N384" s="46"/>
      <c r="O384" s="46"/>
      <c r="P384" s="45"/>
      <c r="Q384" s="45"/>
      <c r="R384" s="45"/>
      <c r="T384" s="42"/>
      <c r="V384" s="45"/>
      <c r="AA384" s="45"/>
      <c r="AB384" s="132"/>
      <c r="AC384" s="45"/>
      <c r="AD384" s="45"/>
      <c r="AE384" s="46"/>
      <c r="AF384" s="46"/>
      <c r="AH384" s="45"/>
      <c r="AI384" s="51"/>
      <c r="AJ384" s="51"/>
      <c r="AL384" s="45"/>
      <c r="AM384" s="45"/>
      <c r="AN384" s="45"/>
      <c r="AO384" s="46"/>
      <c r="AP384" s="46"/>
    </row>
    <row r="385" spans="3:42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AA385" s="45"/>
      <c r="AB385" s="132"/>
      <c r="AC385" s="45"/>
      <c r="AD385" s="45"/>
      <c r="AE385" s="46"/>
      <c r="AF385" s="46"/>
      <c r="AH385" s="45"/>
      <c r="AI385" s="51"/>
      <c r="AJ385" s="51"/>
      <c r="AL385" s="45"/>
      <c r="AM385" s="45"/>
      <c r="AN385" s="45"/>
      <c r="AO385" s="46"/>
      <c r="AP385" s="46"/>
    </row>
    <row r="386" spans="3:42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AA386" s="45"/>
      <c r="AB386" s="132"/>
      <c r="AC386" s="45"/>
      <c r="AD386" s="45"/>
      <c r="AE386" s="46"/>
      <c r="AF386" s="46"/>
      <c r="AH386" s="45"/>
      <c r="AI386" s="51"/>
      <c r="AJ386" s="51"/>
      <c r="AL386" s="45"/>
      <c r="AM386" s="45"/>
      <c r="AN386" s="45"/>
      <c r="AO386" s="46"/>
      <c r="AP386" s="46"/>
    </row>
    <row r="387" spans="3:42">
      <c r="C387" s="42"/>
      <c r="J387" s="56"/>
      <c r="K387" s="56"/>
      <c r="T387" s="42"/>
      <c r="AB387" s="56"/>
    </row>
    <row r="388" spans="3:42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45"/>
      <c r="AA388" s="45"/>
      <c r="AB388" s="132"/>
      <c r="AC388" s="45"/>
      <c r="AD388" s="45"/>
      <c r="AE388" s="46"/>
      <c r="AF388" s="46"/>
      <c r="AH388" s="45"/>
      <c r="AI388" s="51"/>
      <c r="AJ388" s="51"/>
      <c r="AL388" s="45"/>
      <c r="AM388" s="45"/>
      <c r="AN388" s="45"/>
      <c r="AO388" s="46"/>
      <c r="AP388" s="46"/>
    </row>
    <row r="389" spans="3:42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AA389" s="45"/>
      <c r="AB389" s="132"/>
      <c r="AC389" s="45"/>
      <c r="AD389" s="45"/>
      <c r="AE389" s="46"/>
      <c r="AF389" s="46"/>
      <c r="AH389" s="45"/>
      <c r="AI389" s="51"/>
      <c r="AJ389" s="51"/>
      <c r="AL389" s="45"/>
      <c r="AM389" s="45"/>
      <c r="AN389" s="45"/>
      <c r="AO389" s="46"/>
      <c r="AP389" s="46"/>
    </row>
    <row r="390" spans="3:42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AA390" s="45"/>
      <c r="AB390" s="132"/>
      <c r="AC390" s="45"/>
      <c r="AD390" s="45"/>
      <c r="AE390" s="46"/>
      <c r="AF390" s="46"/>
      <c r="AH390" s="45"/>
      <c r="AI390" s="51"/>
      <c r="AJ390" s="51"/>
      <c r="AL390" s="45"/>
      <c r="AM390" s="45"/>
      <c r="AN390" s="45"/>
      <c r="AO390" s="46"/>
      <c r="AP390" s="46"/>
    </row>
    <row r="391" spans="3:42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AA391" s="45"/>
      <c r="AB391" s="132"/>
      <c r="AC391" s="45"/>
      <c r="AD391" s="45"/>
      <c r="AE391" s="46"/>
      <c r="AF391" s="46"/>
      <c r="AH391" s="45"/>
      <c r="AI391" s="51"/>
      <c r="AJ391" s="51"/>
      <c r="AL391" s="45"/>
      <c r="AM391" s="45"/>
      <c r="AN391" s="45"/>
      <c r="AO391" s="46"/>
      <c r="AP391" s="46"/>
    </row>
    <row r="392" spans="3:42">
      <c r="C392" s="42"/>
      <c r="J392" s="56"/>
      <c r="K392" s="56"/>
      <c r="T392" s="42"/>
      <c r="AB392" s="56"/>
    </row>
    <row r="393" spans="3:42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AA393" s="45"/>
      <c r="AB393" s="132"/>
      <c r="AC393" s="45"/>
      <c r="AD393" s="45"/>
      <c r="AE393" s="46"/>
      <c r="AF393" s="46"/>
      <c r="AH393" s="45"/>
      <c r="AI393" s="51"/>
      <c r="AJ393" s="51"/>
      <c r="AL393" s="45"/>
      <c r="AM393" s="45"/>
      <c r="AN393" s="45"/>
      <c r="AO393" s="46"/>
      <c r="AP393" s="46"/>
    </row>
    <row r="394" spans="3:42">
      <c r="C394" s="42"/>
      <c r="F394" s="164"/>
      <c r="H394" s="164"/>
      <c r="I394" s="164"/>
      <c r="J394" s="132"/>
      <c r="K394" s="132"/>
      <c r="L394" s="45"/>
      <c r="M394" s="45"/>
      <c r="N394" s="46"/>
      <c r="O394" s="46"/>
      <c r="P394" s="45"/>
      <c r="Q394" s="45"/>
      <c r="R394" s="45"/>
      <c r="T394" s="42"/>
      <c r="V394" s="45"/>
      <c r="AA394" s="45"/>
      <c r="AB394" s="132"/>
      <c r="AC394" s="45"/>
      <c r="AD394" s="45"/>
      <c r="AE394" s="46"/>
      <c r="AF394" s="46"/>
      <c r="AH394" s="45"/>
      <c r="AI394" s="51"/>
      <c r="AJ394" s="51"/>
      <c r="AL394" s="45"/>
      <c r="AM394" s="45"/>
      <c r="AN394" s="45"/>
      <c r="AO394" s="46"/>
      <c r="AP394" s="46"/>
    </row>
    <row r="395" spans="3:42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AA395" s="45"/>
      <c r="AB395" s="132"/>
      <c r="AC395" s="45"/>
      <c r="AD395" s="45"/>
      <c r="AE395" s="46"/>
      <c r="AF395" s="46"/>
      <c r="AH395" s="45"/>
      <c r="AI395" s="51"/>
      <c r="AJ395" s="51"/>
      <c r="AL395" s="45"/>
      <c r="AM395" s="45"/>
      <c r="AN395" s="45"/>
      <c r="AO395" s="46"/>
      <c r="AP395" s="46"/>
    </row>
    <row r="396" spans="3:42">
      <c r="C396" s="42"/>
      <c r="F396" s="164"/>
      <c r="H396" s="164"/>
      <c r="I396" s="164"/>
      <c r="J396" s="132"/>
      <c r="K396" s="132"/>
      <c r="L396" s="45"/>
      <c r="M396" s="45"/>
      <c r="N396" s="46"/>
      <c r="O396" s="46"/>
      <c r="P396" s="45"/>
      <c r="Q396" s="45"/>
      <c r="R396" s="45"/>
      <c r="T396" s="42"/>
      <c r="V396" s="45"/>
      <c r="AA396" s="45"/>
      <c r="AB396" s="132"/>
      <c r="AC396" s="45"/>
      <c r="AD396" s="45"/>
      <c r="AE396" s="46"/>
      <c r="AF396" s="46"/>
      <c r="AH396" s="45"/>
      <c r="AI396" s="51"/>
      <c r="AJ396" s="51"/>
      <c r="AL396" s="45"/>
      <c r="AM396" s="45"/>
      <c r="AN396" s="45"/>
      <c r="AO396" s="46"/>
      <c r="AP396" s="46"/>
    </row>
    <row r="397" spans="3:42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AA397" s="45"/>
      <c r="AB397" s="132"/>
      <c r="AC397" s="45"/>
      <c r="AD397" s="45"/>
      <c r="AE397" s="46"/>
      <c r="AF397" s="46"/>
      <c r="AH397" s="45"/>
      <c r="AI397" s="51"/>
      <c r="AJ397" s="51"/>
      <c r="AL397" s="45"/>
      <c r="AM397" s="45"/>
      <c r="AN397" s="45"/>
      <c r="AO397" s="46"/>
      <c r="AP397" s="46"/>
    </row>
    <row r="398" spans="3:42">
      <c r="F398" s="50"/>
      <c r="H398" s="50"/>
      <c r="I398" s="50"/>
      <c r="J398" s="326"/>
      <c r="K398" s="326"/>
      <c r="L398" s="50"/>
      <c r="M398" s="50"/>
      <c r="N398" s="50"/>
      <c r="O398" s="50"/>
      <c r="P398" s="50"/>
      <c r="Q398" s="50"/>
      <c r="R398" s="50"/>
      <c r="V398" s="50"/>
      <c r="AA398" s="50"/>
      <c r="AB398" s="132"/>
      <c r="AC398" s="50"/>
      <c r="AD398" s="50"/>
      <c r="AE398" s="50"/>
      <c r="AF398" s="50"/>
      <c r="AG398" s="111"/>
      <c r="AH398" s="50"/>
      <c r="AK398" s="111"/>
      <c r="AL398" s="50"/>
      <c r="AM398" s="50"/>
      <c r="AN398" s="50"/>
    </row>
    <row r="399" spans="3:42">
      <c r="C399" s="42"/>
      <c r="F399" s="45"/>
      <c r="H399" s="45"/>
      <c r="I399" s="45"/>
      <c r="L399" s="45"/>
      <c r="M399" s="45"/>
      <c r="N399" s="51"/>
      <c r="O399" s="51"/>
      <c r="P399" s="45"/>
      <c r="Q399" s="45"/>
      <c r="R399" s="45"/>
      <c r="T399" s="42"/>
      <c r="V399" s="45"/>
      <c r="AA399" s="45"/>
      <c r="AC399" s="45"/>
      <c r="AD399" s="45"/>
      <c r="AE399" s="46"/>
      <c r="AF399" s="46"/>
      <c r="AH399" s="45"/>
      <c r="AI399" s="51"/>
      <c r="AJ399" s="51"/>
      <c r="AL399" s="45"/>
      <c r="AM399" s="45"/>
      <c r="AN399" s="45"/>
      <c r="AO399" s="46"/>
      <c r="AP399" s="46"/>
    </row>
    <row r="400" spans="3:42">
      <c r="F400" s="50"/>
      <c r="H400" s="50"/>
      <c r="I400" s="50"/>
      <c r="J400" s="326"/>
      <c r="K400" s="326"/>
      <c r="L400" s="50"/>
      <c r="M400" s="50"/>
      <c r="N400" s="50"/>
      <c r="O400" s="50"/>
      <c r="P400" s="50"/>
      <c r="Q400" s="50"/>
      <c r="R400" s="50"/>
      <c r="V400" s="50"/>
      <c r="AA400" s="50"/>
      <c r="AB400" s="326"/>
      <c r="AC400" s="50"/>
      <c r="AD400" s="50"/>
      <c r="AE400" s="50"/>
      <c r="AF400" s="50"/>
      <c r="AG400" s="111"/>
      <c r="AH400" s="50"/>
      <c r="AK400" s="111"/>
      <c r="AL400" s="50"/>
      <c r="AM400" s="50"/>
      <c r="AN400" s="50"/>
    </row>
    <row r="401" spans="1:42">
      <c r="C401" s="42"/>
      <c r="T401" s="42"/>
    </row>
    <row r="402" spans="1:42">
      <c r="C402" s="42"/>
      <c r="F402" s="164"/>
      <c r="H402" s="164"/>
      <c r="I402" s="164"/>
      <c r="J402" s="316"/>
      <c r="K402" s="316"/>
      <c r="L402" s="45"/>
      <c r="M402" s="45"/>
      <c r="N402" s="46"/>
      <c r="O402" s="46"/>
      <c r="P402" s="45"/>
      <c r="Q402" s="45"/>
      <c r="R402" s="45"/>
      <c r="T402" s="42"/>
      <c r="V402" s="45"/>
      <c r="AA402" s="45"/>
      <c r="AB402" s="316"/>
      <c r="AC402" s="45"/>
      <c r="AD402" s="45"/>
      <c r="AE402" s="46"/>
      <c r="AF402" s="46"/>
      <c r="AH402" s="45"/>
      <c r="AI402" s="51"/>
      <c r="AJ402" s="51"/>
      <c r="AL402" s="45"/>
      <c r="AM402" s="45"/>
      <c r="AN402" s="45"/>
      <c r="AO402" s="46"/>
      <c r="AP402" s="46"/>
    </row>
    <row r="403" spans="1:42">
      <c r="C403" s="42"/>
      <c r="F403" s="164"/>
      <c r="H403" s="164"/>
      <c r="I403" s="164"/>
      <c r="J403" s="316"/>
      <c r="K403" s="316"/>
      <c r="L403" s="45"/>
      <c r="M403" s="45"/>
      <c r="N403" s="46"/>
      <c r="O403" s="46"/>
      <c r="P403" s="45"/>
      <c r="Q403" s="45"/>
      <c r="R403" s="45"/>
      <c r="T403" s="42"/>
      <c r="V403" s="45"/>
      <c r="AA403" s="45"/>
      <c r="AB403" s="316"/>
      <c r="AC403" s="45"/>
      <c r="AD403" s="45"/>
      <c r="AE403" s="46"/>
      <c r="AF403" s="46"/>
      <c r="AH403" s="45"/>
      <c r="AI403" s="51"/>
      <c r="AJ403" s="51"/>
      <c r="AL403" s="45"/>
      <c r="AM403" s="45"/>
      <c r="AN403" s="45"/>
      <c r="AO403" s="46"/>
      <c r="AP403" s="46"/>
    </row>
    <row r="404" spans="1:42">
      <c r="F404" s="50"/>
      <c r="H404" s="45"/>
      <c r="I404" s="45"/>
      <c r="J404" s="326"/>
      <c r="K404" s="326"/>
      <c r="L404" s="50"/>
      <c r="M404" s="50"/>
      <c r="N404" s="50"/>
      <c r="O404" s="50"/>
      <c r="P404" s="50"/>
      <c r="Q404" s="50"/>
      <c r="R404" s="50"/>
      <c r="V404" s="50"/>
      <c r="AA404" s="45"/>
      <c r="AB404" s="326"/>
      <c r="AC404" s="50"/>
      <c r="AD404" s="50"/>
      <c r="AE404" s="50"/>
      <c r="AF404" s="50"/>
      <c r="AG404" s="111"/>
      <c r="AH404" s="50"/>
      <c r="AK404" s="111"/>
      <c r="AL404" s="50"/>
      <c r="AM404" s="50"/>
      <c r="AN404" s="50"/>
    </row>
    <row r="405" spans="1:42">
      <c r="F405" s="45"/>
      <c r="H405" s="45"/>
      <c r="I405" s="45"/>
      <c r="J405" s="326"/>
      <c r="K405" s="326"/>
      <c r="L405" s="45"/>
      <c r="M405" s="45"/>
      <c r="N405" s="45"/>
      <c r="O405" s="45"/>
      <c r="P405" s="45"/>
      <c r="Q405" s="45"/>
      <c r="R405" s="45"/>
      <c r="V405" s="45"/>
      <c r="AA405" s="45"/>
      <c r="AB405" s="326"/>
      <c r="AC405" s="45"/>
      <c r="AD405" s="45"/>
      <c r="AE405" s="45"/>
      <c r="AF405" s="45"/>
      <c r="AH405" s="45"/>
      <c r="AL405" s="45"/>
      <c r="AM405" s="45"/>
      <c r="AN405" s="45"/>
    </row>
    <row r="406" spans="1:42">
      <c r="C406" s="42"/>
      <c r="F406" s="45"/>
      <c r="H406" s="45"/>
      <c r="I406" s="45"/>
      <c r="L406" s="45"/>
      <c r="M406" s="45"/>
      <c r="N406" s="46"/>
      <c r="O406" s="46"/>
      <c r="P406" s="45"/>
      <c r="Q406" s="45"/>
      <c r="R406" s="45"/>
      <c r="T406" s="42"/>
      <c r="V406" s="45"/>
      <c r="AA406" s="45"/>
      <c r="AC406" s="45"/>
      <c r="AD406" s="45"/>
      <c r="AE406" s="46"/>
      <c r="AF406" s="46"/>
      <c r="AH406" s="45"/>
      <c r="AI406" s="51"/>
      <c r="AJ406" s="51"/>
      <c r="AK406" s="333"/>
      <c r="AL406" s="164"/>
      <c r="AM406" s="45"/>
      <c r="AN406" s="45"/>
      <c r="AO406" s="46"/>
      <c r="AP406" s="46"/>
    </row>
    <row r="407" spans="1:42">
      <c r="H407" s="50"/>
      <c r="I407" s="50"/>
      <c r="J407" s="326"/>
      <c r="K407" s="326"/>
      <c r="L407" s="50"/>
      <c r="M407" s="50"/>
      <c r="N407" s="50"/>
      <c r="O407" s="50"/>
      <c r="P407" s="50"/>
      <c r="Q407" s="50"/>
      <c r="R407" s="50"/>
      <c r="V407" s="50"/>
      <c r="AA407" s="50"/>
      <c r="AB407" s="326"/>
      <c r="AC407" s="50"/>
      <c r="AD407" s="50"/>
      <c r="AE407" s="50"/>
      <c r="AF407" s="50"/>
      <c r="AG407" s="111"/>
      <c r="AH407" s="50"/>
      <c r="AK407" s="111"/>
      <c r="AL407" s="50"/>
      <c r="AM407" s="50"/>
      <c r="AN407" s="50"/>
    </row>
    <row r="408" spans="1:42">
      <c r="F408" s="50"/>
    </row>
    <row r="409" spans="1:42">
      <c r="A409" s="42"/>
      <c r="T409" s="42"/>
    </row>
    <row r="410" spans="1:42">
      <c r="A410" s="42"/>
      <c r="T410" s="42"/>
    </row>
    <row r="411" spans="1:42">
      <c r="A411" s="42"/>
      <c r="T411" s="42"/>
    </row>
    <row r="412" spans="1:42">
      <c r="A412" s="42"/>
      <c r="T412" s="42"/>
    </row>
    <row r="413" spans="1:42">
      <c r="A413" s="42"/>
      <c r="T413" s="42"/>
    </row>
    <row r="414" spans="1:42">
      <c r="A414" s="42"/>
      <c r="T414" s="42"/>
    </row>
    <row r="415" spans="1:42">
      <c r="A415" s="42"/>
      <c r="T415" s="42"/>
    </row>
    <row r="416" spans="1:42">
      <c r="A416" s="42"/>
      <c r="T416" s="42"/>
    </row>
    <row r="417" spans="1:42">
      <c r="A417" s="42"/>
      <c r="T417" s="42"/>
    </row>
    <row r="419" spans="1:42">
      <c r="A419" s="42"/>
    </row>
    <row r="421" spans="1:42">
      <c r="H421" s="42"/>
      <c r="I421" s="42"/>
      <c r="AA421" s="42"/>
    </row>
    <row r="423" spans="1:42">
      <c r="L423" s="42"/>
      <c r="M423" s="42"/>
      <c r="AC423" s="42"/>
      <c r="AD423" s="42"/>
    </row>
    <row r="424" spans="1:42">
      <c r="R424" s="42"/>
      <c r="AM424" s="42"/>
      <c r="AN424" s="42"/>
    </row>
    <row r="425" spans="1:42">
      <c r="R425" s="42"/>
      <c r="AM425" s="42"/>
      <c r="AN425" s="42"/>
    </row>
    <row r="426" spans="1:42">
      <c r="A426" s="42"/>
      <c r="R426" s="42"/>
      <c r="AM426" s="42"/>
      <c r="AN426" s="42"/>
    </row>
    <row r="427" spans="1:42">
      <c r="L427" s="42"/>
      <c r="M427" s="42"/>
      <c r="AC427" s="42"/>
      <c r="AD427" s="42"/>
    </row>
    <row r="428" spans="1:42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107"/>
      <c r="AH428" s="49"/>
      <c r="AI428" s="49"/>
      <c r="AJ428" s="49"/>
      <c r="AK428" s="107"/>
      <c r="AL428" s="49"/>
      <c r="AM428" s="49"/>
      <c r="AN428" s="49"/>
      <c r="AO428" s="49"/>
      <c r="AP428" s="49"/>
    </row>
    <row r="429" spans="1:42">
      <c r="L429" s="44"/>
      <c r="M429" s="44"/>
      <c r="N429" s="44"/>
      <c r="O429" s="44"/>
      <c r="R429" s="44"/>
      <c r="AC429" s="44"/>
      <c r="AD429" s="44"/>
      <c r="AE429" s="44"/>
      <c r="AF429" s="44"/>
      <c r="AG429" s="102"/>
      <c r="AH429" s="44"/>
      <c r="AI429" s="44"/>
      <c r="AJ429" s="44"/>
      <c r="AM429" s="44"/>
      <c r="AN429" s="44"/>
      <c r="AO429" s="44"/>
      <c r="AP429" s="44"/>
    </row>
    <row r="430" spans="1:42">
      <c r="L430" s="44"/>
      <c r="M430" s="44"/>
      <c r="N430" s="44"/>
      <c r="O430" s="44"/>
      <c r="R430" s="44"/>
      <c r="AB430" s="44"/>
      <c r="AC430" s="44"/>
      <c r="AD430" s="44"/>
      <c r="AE430" s="44"/>
      <c r="AF430" s="44"/>
      <c r="AG430" s="102"/>
      <c r="AH430" s="44"/>
      <c r="AI430" s="44"/>
      <c r="AJ430" s="44"/>
      <c r="AM430" s="44"/>
      <c r="AN430" s="44"/>
      <c r="AO430" s="44"/>
      <c r="AP430" s="44"/>
    </row>
    <row r="431" spans="1:42">
      <c r="A431" s="44"/>
      <c r="C431" s="44"/>
      <c r="D431" s="44"/>
      <c r="E431" s="44"/>
      <c r="F431" s="44"/>
      <c r="J431" s="44"/>
      <c r="K431" s="44"/>
      <c r="L431" s="44"/>
      <c r="M431" s="44"/>
      <c r="N431" s="44"/>
      <c r="O431" s="44"/>
      <c r="P431" s="44"/>
      <c r="Q431" s="44"/>
      <c r="R431" s="44"/>
      <c r="T431" s="44"/>
      <c r="U431" s="44"/>
      <c r="V431" s="44"/>
      <c r="AB431" s="44"/>
      <c r="AC431" s="44"/>
      <c r="AD431" s="44"/>
      <c r="AE431" s="44"/>
      <c r="AF431" s="44"/>
      <c r="AG431" s="102"/>
      <c r="AH431" s="44"/>
      <c r="AI431" s="44"/>
      <c r="AJ431" s="44"/>
      <c r="AK431" s="102"/>
      <c r="AL431" s="44"/>
      <c r="AM431" s="44"/>
      <c r="AN431" s="44"/>
      <c r="AO431" s="44"/>
      <c r="AP431" s="44"/>
    </row>
    <row r="432" spans="1:42">
      <c r="A432" s="44"/>
      <c r="C432" s="44"/>
      <c r="D432" s="44"/>
      <c r="E432" s="44"/>
      <c r="F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T432" s="44"/>
      <c r="U432" s="44"/>
      <c r="V432" s="44"/>
      <c r="AA432" s="44"/>
      <c r="AB432" s="44"/>
      <c r="AC432" s="44"/>
      <c r="AD432" s="44"/>
      <c r="AE432" s="44"/>
      <c r="AF432" s="44"/>
      <c r="AG432" s="102"/>
      <c r="AH432" s="44"/>
      <c r="AI432" s="44"/>
      <c r="AJ432" s="44"/>
      <c r="AK432" s="102"/>
      <c r="AL432" s="44"/>
      <c r="AM432" s="44"/>
      <c r="AN432" s="44"/>
      <c r="AO432" s="44"/>
      <c r="AP432" s="44"/>
    </row>
    <row r="433" spans="1:42">
      <c r="C433" s="44"/>
      <c r="D433" s="44"/>
      <c r="E433" s="44"/>
      <c r="F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T433" s="44"/>
      <c r="U433" s="44"/>
      <c r="V433" s="44"/>
      <c r="AA433" s="44"/>
      <c r="AB433" s="44"/>
      <c r="AC433" s="44"/>
      <c r="AD433" s="44"/>
      <c r="AE433" s="44"/>
      <c r="AF433" s="44"/>
      <c r="AG433" s="102"/>
      <c r="AH433" s="44"/>
      <c r="AI433" s="44"/>
      <c r="AJ433" s="44"/>
      <c r="AK433" s="102"/>
      <c r="AL433" s="44"/>
      <c r="AM433" s="44"/>
      <c r="AN433" s="44"/>
      <c r="AO433" s="44"/>
      <c r="AP433" s="44"/>
    </row>
    <row r="434" spans="1:42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107"/>
      <c r="AH434" s="49"/>
      <c r="AI434" s="49"/>
      <c r="AJ434" s="49"/>
      <c r="AK434" s="107"/>
      <c r="AL434" s="49"/>
      <c r="AM434" s="49"/>
      <c r="AN434" s="49"/>
      <c r="AO434" s="49"/>
      <c r="AP434" s="49"/>
    </row>
    <row r="435" spans="1:42"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AA435" s="44"/>
      <c r="AB435" s="44"/>
      <c r="AC435" s="44"/>
      <c r="AD435" s="44"/>
      <c r="AE435" s="44"/>
      <c r="AF435" s="44"/>
      <c r="AG435" s="102"/>
      <c r="AH435" s="44"/>
      <c r="AI435" s="44"/>
      <c r="AJ435" s="44"/>
      <c r="AK435" s="102"/>
      <c r="AL435" s="44"/>
      <c r="AM435" s="44"/>
      <c r="AN435" s="44"/>
      <c r="AO435" s="44"/>
      <c r="AP435" s="44"/>
    </row>
    <row r="436" spans="1:42">
      <c r="C436" s="42"/>
      <c r="D436" s="42"/>
      <c r="E436" s="42"/>
      <c r="T436" s="42"/>
      <c r="U436" s="42"/>
    </row>
    <row r="437" spans="1:42">
      <c r="D437" s="42"/>
      <c r="E437" s="42"/>
      <c r="U437" s="42"/>
    </row>
    <row r="439" spans="1:42">
      <c r="C439" s="42"/>
      <c r="F439" s="45"/>
      <c r="J439" s="53"/>
      <c r="K439" s="53"/>
      <c r="L439" s="45"/>
      <c r="M439" s="45"/>
      <c r="R439" s="45"/>
      <c r="T439" s="42"/>
      <c r="V439" s="45"/>
      <c r="AB439" s="53"/>
      <c r="AC439" s="45"/>
      <c r="AD439" s="45"/>
      <c r="AI439" s="45"/>
      <c r="AJ439" s="45"/>
      <c r="AM439" s="45"/>
      <c r="AN439" s="45"/>
    </row>
    <row r="440" spans="1:42">
      <c r="C440" s="42"/>
      <c r="F440" s="45"/>
      <c r="R440" s="45"/>
      <c r="T440" s="42"/>
      <c r="V440" s="45"/>
      <c r="AI440" s="45"/>
      <c r="AJ440" s="45"/>
      <c r="AM440" s="45"/>
      <c r="AN440" s="45"/>
    </row>
    <row r="441" spans="1:42">
      <c r="AL441" s="45"/>
      <c r="AM441" s="45"/>
      <c r="AN441" s="45"/>
      <c r="AO441" s="46"/>
      <c r="AP441" s="46"/>
    </row>
    <row r="442" spans="1:42">
      <c r="C442" s="42"/>
      <c r="F442" s="164"/>
      <c r="H442" s="164"/>
      <c r="I442" s="164"/>
      <c r="J442" s="336"/>
      <c r="K442" s="336"/>
      <c r="L442" s="45"/>
      <c r="M442" s="45"/>
      <c r="N442" s="46"/>
      <c r="O442" s="46"/>
      <c r="P442" s="45"/>
      <c r="Q442" s="45"/>
      <c r="R442" s="45"/>
      <c r="T442" s="42"/>
      <c r="V442" s="45"/>
      <c r="AA442" s="45"/>
      <c r="AB442" s="336"/>
      <c r="AC442" s="45"/>
      <c r="AD442" s="45"/>
      <c r="AE442" s="46"/>
      <c r="AF442" s="46"/>
      <c r="AH442" s="45"/>
      <c r="AI442" s="51"/>
      <c r="AJ442" s="51"/>
      <c r="AL442" s="45"/>
      <c r="AM442" s="45"/>
      <c r="AN442" s="45"/>
      <c r="AO442" s="46"/>
      <c r="AP442" s="46"/>
    </row>
    <row r="443" spans="1:42">
      <c r="F443" s="45"/>
      <c r="H443" s="45"/>
      <c r="I443" s="45"/>
      <c r="J443" s="47"/>
      <c r="K443" s="47"/>
      <c r="L443" s="45"/>
      <c r="M443" s="45"/>
      <c r="P443" s="45"/>
      <c r="Q443" s="45"/>
      <c r="R443" s="45"/>
      <c r="V443" s="45"/>
      <c r="AA443" s="45"/>
      <c r="AB443" s="47"/>
      <c r="AC443" s="45"/>
      <c r="AD443" s="45"/>
      <c r="AL443" s="45"/>
      <c r="AM443" s="45"/>
      <c r="AN443" s="45"/>
      <c r="AO443" s="46"/>
      <c r="AP443" s="46"/>
    </row>
    <row r="444" spans="1:42">
      <c r="F444" s="45"/>
      <c r="R444" s="45"/>
      <c r="V444" s="45"/>
      <c r="AM444" s="45"/>
      <c r="AN444" s="45"/>
      <c r="AO444" s="46"/>
      <c r="AP444" s="46"/>
    </row>
    <row r="445" spans="1:42">
      <c r="C445" s="42"/>
      <c r="F445" s="45"/>
      <c r="J445" s="53"/>
      <c r="K445" s="53"/>
      <c r="L445" s="45"/>
      <c r="M445" s="45"/>
      <c r="N445" s="46"/>
      <c r="O445" s="46"/>
      <c r="R445" s="45"/>
      <c r="T445" s="42"/>
      <c r="V445" s="45"/>
      <c r="AB445" s="53"/>
      <c r="AC445" s="45"/>
      <c r="AD445" s="45"/>
      <c r="AE445" s="46"/>
      <c r="AF445" s="46"/>
      <c r="AM445" s="45"/>
      <c r="AN445" s="45"/>
      <c r="AO445" s="46"/>
      <c r="AP445" s="46"/>
    </row>
    <row r="446" spans="1:42">
      <c r="C446" s="42"/>
      <c r="F446" s="45"/>
      <c r="H446" s="45"/>
      <c r="I446" s="45"/>
      <c r="J446" s="53"/>
      <c r="K446" s="53"/>
      <c r="L446" s="45"/>
      <c r="M446" s="45"/>
      <c r="N446" s="46"/>
      <c r="O446" s="46"/>
      <c r="P446" s="45"/>
      <c r="Q446" s="45"/>
      <c r="R446" s="45"/>
      <c r="T446" s="42"/>
      <c r="V446" s="45"/>
      <c r="AA446" s="45"/>
      <c r="AB446" s="53"/>
      <c r="AC446" s="45"/>
      <c r="AD446" s="45"/>
      <c r="AE446" s="46"/>
      <c r="AF446" s="46"/>
      <c r="AL446" s="45"/>
      <c r="AM446" s="45"/>
      <c r="AN446" s="45"/>
      <c r="AO446" s="46"/>
      <c r="AP446" s="46"/>
    </row>
    <row r="447" spans="1:42">
      <c r="C447" s="42"/>
      <c r="T447" s="42"/>
      <c r="AO447" s="46"/>
      <c r="AP447" s="46"/>
    </row>
    <row r="448" spans="1:42">
      <c r="C448" s="42"/>
      <c r="T448" s="42"/>
      <c r="AO448" s="46"/>
      <c r="AP448" s="46"/>
    </row>
    <row r="449" spans="1:42">
      <c r="AO449" s="46"/>
      <c r="AP449" s="46"/>
    </row>
    <row r="450" spans="1:42">
      <c r="C450" s="42"/>
      <c r="F450" s="164"/>
      <c r="H450" s="164"/>
      <c r="I450" s="164"/>
      <c r="J450" s="336"/>
      <c r="K450" s="336"/>
      <c r="L450" s="45"/>
      <c r="M450" s="45"/>
      <c r="N450" s="46"/>
      <c r="O450" s="46"/>
      <c r="P450" s="45"/>
      <c r="Q450" s="45"/>
      <c r="R450" s="45"/>
      <c r="T450" s="42"/>
      <c r="V450" s="45"/>
      <c r="AA450" s="45"/>
      <c r="AB450" s="336"/>
      <c r="AC450" s="45"/>
      <c r="AD450" s="45"/>
      <c r="AE450" s="46"/>
      <c r="AF450" s="46"/>
      <c r="AH450" s="45"/>
      <c r="AI450" s="51"/>
      <c r="AJ450" s="51"/>
      <c r="AL450" s="45"/>
      <c r="AM450" s="45"/>
      <c r="AN450" s="45"/>
      <c r="AO450" s="46"/>
      <c r="AP450" s="46"/>
    </row>
    <row r="451" spans="1:42">
      <c r="F451" s="50"/>
      <c r="H451" s="50"/>
      <c r="I451" s="50"/>
      <c r="J451" s="326"/>
      <c r="K451" s="326"/>
      <c r="L451" s="50"/>
      <c r="M451" s="50"/>
      <c r="N451" s="50"/>
      <c r="O451" s="50"/>
      <c r="P451" s="50"/>
      <c r="Q451" s="50"/>
      <c r="R451" s="50"/>
      <c r="V451" s="50"/>
      <c r="AA451" s="50"/>
      <c r="AB451" s="326"/>
      <c r="AC451" s="50"/>
      <c r="AD451" s="50"/>
      <c r="AE451" s="50"/>
      <c r="AF451" s="50"/>
      <c r="AG451" s="111"/>
      <c r="AH451" s="50"/>
      <c r="AK451" s="111"/>
      <c r="AL451" s="50"/>
      <c r="AM451" s="50"/>
      <c r="AN451" s="50"/>
      <c r="AO451" s="46"/>
      <c r="AP451" s="46"/>
    </row>
    <row r="452" spans="1:42">
      <c r="H452" s="45"/>
      <c r="I452" s="45"/>
      <c r="AA452" s="45"/>
      <c r="AO452" s="46"/>
      <c r="AP452" s="46"/>
    </row>
    <row r="453" spans="1:42">
      <c r="C453" s="42"/>
      <c r="F453" s="45"/>
      <c r="H453" s="45"/>
      <c r="I453" s="45"/>
      <c r="L453" s="45"/>
      <c r="M453" s="45"/>
      <c r="N453" s="46"/>
      <c r="O453" s="46"/>
      <c r="P453" s="164"/>
      <c r="Q453" s="164"/>
      <c r="R453" s="45"/>
      <c r="T453" s="42"/>
      <c r="V453" s="45"/>
      <c r="AA453" s="45"/>
      <c r="AC453" s="45"/>
      <c r="AD453" s="45"/>
      <c r="AE453" s="46"/>
      <c r="AF453" s="46"/>
      <c r="AH453" s="45"/>
      <c r="AI453" s="51"/>
      <c r="AJ453" s="51"/>
      <c r="AK453" s="333"/>
      <c r="AL453" s="164"/>
      <c r="AM453" s="45"/>
      <c r="AN453" s="45"/>
      <c r="AO453" s="46"/>
      <c r="AP453" s="46"/>
    </row>
    <row r="454" spans="1:42">
      <c r="H454" s="50"/>
      <c r="I454" s="50"/>
      <c r="J454" s="326"/>
      <c r="K454" s="326"/>
      <c r="L454" s="50"/>
      <c r="M454" s="50"/>
      <c r="N454" s="50"/>
      <c r="O454" s="50"/>
      <c r="P454" s="50"/>
      <c r="Q454" s="50"/>
      <c r="R454" s="50"/>
      <c r="V454" s="50"/>
      <c r="AA454" s="50"/>
      <c r="AB454" s="326"/>
      <c r="AC454" s="50"/>
      <c r="AD454" s="50"/>
      <c r="AE454" s="50"/>
      <c r="AF454" s="50"/>
      <c r="AG454" s="111"/>
      <c r="AH454" s="50"/>
      <c r="AK454" s="111"/>
      <c r="AL454" s="50"/>
      <c r="AM454" s="50"/>
      <c r="AN454" s="50"/>
      <c r="AO454" s="46"/>
      <c r="AP454" s="46"/>
    </row>
    <row r="455" spans="1:42">
      <c r="F455" s="50"/>
    </row>
    <row r="456" spans="1:42">
      <c r="F456" s="45"/>
      <c r="H456" s="45"/>
      <c r="I456" s="45"/>
      <c r="J456" s="47"/>
      <c r="K456" s="47"/>
      <c r="L456" s="45"/>
      <c r="M456" s="45"/>
      <c r="N456" s="45"/>
      <c r="O456" s="45"/>
      <c r="P456" s="45"/>
      <c r="Q456" s="45"/>
      <c r="R456" s="45"/>
      <c r="V456" s="45"/>
      <c r="AA456" s="45"/>
      <c r="AB456" s="47"/>
      <c r="AC456" s="45"/>
      <c r="AD456" s="45"/>
      <c r="AE456" s="45"/>
      <c r="AF456" s="45"/>
      <c r="AH456" s="45"/>
      <c r="AI456" s="45"/>
      <c r="AJ456" s="45"/>
      <c r="AL456" s="45"/>
      <c r="AM456" s="45"/>
      <c r="AN456" s="45"/>
    </row>
    <row r="457" spans="1:42">
      <c r="A457" s="42"/>
    </row>
    <row r="459" spans="1:42">
      <c r="H459" s="42"/>
      <c r="I459" s="42"/>
      <c r="AA459" s="42"/>
    </row>
    <row r="461" spans="1:42">
      <c r="L461" s="42"/>
      <c r="M461" s="42"/>
      <c r="AC461" s="42"/>
      <c r="AD461" s="42"/>
    </row>
    <row r="462" spans="1:42">
      <c r="R462" s="42"/>
      <c r="AM462" s="42"/>
      <c r="AN462" s="42"/>
    </row>
    <row r="463" spans="1:42">
      <c r="R463" s="42"/>
      <c r="AM463" s="42"/>
      <c r="AN463" s="42"/>
    </row>
    <row r="464" spans="1:42">
      <c r="A464" s="42"/>
      <c r="R464" s="42"/>
      <c r="AM464" s="42"/>
      <c r="AN464" s="42"/>
    </row>
    <row r="465" spans="1:42">
      <c r="L465" s="42"/>
      <c r="M465" s="42"/>
      <c r="AC465" s="42"/>
      <c r="AD465" s="42"/>
    </row>
    <row r="466" spans="1:42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107"/>
      <c r="AH466" s="49"/>
      <c r="AI466" s="49"/>
      <c r="AJ466" s="49"/>
      <c r="AK466" s="107"/>
      <c r="AL466" s="49"/>
      <c r="AM466" s="49"/>
      <c r="AN466" s="49"/>
      <c r="AO466" s="49"/>
      <c r="AP466" s="49"/>
    </row>
    <row r="467" spans="1:42">
      <c r="L467" s="44"/>
      <c r="M467" s="44"/>
      <c r="N467" s="44"/>
      <c r="O467" s="44"/>
      <c r="R467" s="44"/>
      <c r="AC467" s="44"/>
      <c r="AD467" s="44"/>
      <c r="AE467" s="44"/>
      <c r="AF467" s="44"/>
      <c r="AG467" s="102"/>
      <c r="AH467" s="44"/>
      <c r="AI467" s="44"/>
      <c r="AJ467" s="44"/>
      <c r="AM467" s="44"/>
      <c r="AN467" s="44"/>
      <c r="AO467" s="44"/>
      <c r="AP467" s="44"/>
    </row>
    <row r="468" spans="1:42">
      <c r="L468" s="44"/>
      <c r="M468" s="44"/>
      <c r="N468" s="44"/>
      <c r="O468" s="44"/>
      <c r="R468" s="44"/>
      <c r="AB468" s="44"/>
      <c r="AC468" s="44"/>
      <c r="AD468" s="44"/>
      <c r="AE468" s="44"/>
      <c r="AF468" s="44"/>
      <c r="AG468" s="102"/>
      <c r="AH468" s="44"/>
      <c r="AI468" s="44"/>
      <c r="AJ468" s="44"/>
      <c r="AM468" s="44"/>
      <c r="AN468" s="44"/>
      <c r="AO468" s="44"/>
      <c r="AP468" s="44"/>
    </row>
    <row r="469" spans="1:42">
      <c r="A469" s="44"/>
      <c r="C469" s="44"/>
      <c r="D469" s="44"/>
      <c r="E469" s="44"/>
      <c r="F469" s="44"/>
      <c r="J469" s="44"/>
      <c r="K469" s="44"/>
      <c r="L469" s="44"/>
      <c r="M469" s="44"/>
      <c r="N469" s="44"/>
      <c r="O469" s="44"/>
      <c r="P469" s="44"/>
      <c r="Q469" s="44"/>
      <c r="R469" s="44"/>
      <c r="T469" s="44"/>
      <c r="U469" s="44"/>
      <c r="V469" s="44"/>
      <c r="AB469" s="44"/>
      <c r="AC469" s="44"/>
      <c r="AD469" s="44"/>
      <c r="AE469" s="44"/>
      <c r="AF469" s="44"/>
      <c r="AG469" s="102"/>
      <c r="AH469" s="44"/>
      <c r="AI469" s="44"/>
      <c r="AJ469" s="44"/>
      <c r="AK469" s="102"/>
      <c r="AL469" s="44"/>
      <c r="AM469" s="44"/>
      <c r="AN469" s="44"/>
      <c r="AO469" s="44"/>
      <c r="AP469" s="44"/>
    </row>
    <row r="470" spans="1:42">
      <c r="A470" s="44"/>
      <c r="C470" s="44"/>
      <c r="D470" s="44"/>
      <c r="E470" s="44"/>
      <c r="F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T470" s="44"/>
      <c r="U470" s="44"/>
      <c r="V470" s="44"/>
      <c r="AA470" s="44"/>
      <c r="AB470" s="44"/>
      <c r="AC470" s="44"/>
      <c r="AD470" s="44"/>
      <c r="AE470" s="44"/>
      <c r="AF470" s="44"/>
      <c r="AG470" s="102"/>
      <c r="AH470" s="44"/>
      <c r="AI470" s="44"/>
      <c r="AJ470" s="44"/>
      <c r="AK470" s="102"/>
      <c r="AL470" s="44"/>
      <c r="AM470" s="44"/>
      <c r="AN470" s="44"/>
      <c r="AO470" s="44"/>
      <c r="AP470" s="44"/>
    </row>
    <row r="471" spans="1:42">
      <c r="C471" s="44"/>
      <c r="D471" s="44"/>
      <c r="E471" s="44"/>
      <c r="F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T471" s="44"/>
      <c r="U471" s="44"/>
      <c r="V471" s="44"/>
      <c r="AA471" s="44"/>
      <c r="AB471" s="44"/>
      <c r="AC471" s="44"/>
      <c r="AD471" s="44"/>
      <c r="AE471" s="44"/>
      <c r="AF471" s="44"/>
      <c r="AG471" s="102"/>
      <c r="AH471" s="44"/>
      <c r="AI471" s="44"/>
      <c r="AJ471" s="44"/>
      <c r="AK471" s="102"/>
      <c r="AL471" s="44"/>
      <c r="AM471" s="44"/>
      <c r="AN471" s="44"/>
      <c r="AO471" s="44"/>
      <c r="AP471" s="44"/>
    </row>
    <row r="472" spans="1:42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107"/>
      <c r="AH472" s="49"/>
      <c r="AI472" s="49"/>
      <c r="AJ472" s="49"/>
      <c r="AK472" s="107"/>
      <c r="AL472" s="49"/>
      <c r="AM472" s="49"/>
      <c r="AN472" s="49"/>
      <c r="AO472" s="49"/>
      <c r="AP472" s="49"/>
    </row>
    <row r="473" spans="1:42"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AA473" s="44"/>
      <c r="AB473" s="44"/>
      <c r="AC473" s="44"/>
      <c r="AD473" s="44"/>
      <c r="AE473" s="44"/>
      <c r="AF473" s="44"/>
      <c r="AG473" s="102"/>
      <c r="AH473" s="44"/>
      <c r="AI473" s="44"/>
      <c r="AJ473" s="44"/>
      <c r="AK473" s="102"/>
      <c r="AL473" s="44"/>
      <c r="AM473" s="44"/>
      <c r="AN473" s="44"/>
      <c r="AO473" s="44"/>
      <c r="AP473" s="44"/>
    </row>
    <row r="474" spans="1:42">
      <c r="C474" s="42"/>
      <c r="D474" s="42"/>
      <c r="E474" s="42"/>
      <c r="T474" s="42"/>
      <c r="U474" s="42"/>
      <c r="V474" s="45"/>
      <c r="W474" s="45"/>
      <c r="X474" s="45"/>
      <c r="Y474" s="45"/>
      <c r="Z474" s="45"/>
      <c r="AA474" s="45"/>
      <c r="AB474" s="336"/>
    </row>
    <row r="476" spans="1:42">
      <c r="C476" s="42"/>
      <c r="T476" s="42"/>
      <c r="V476" s="45"/>
      <c r="W476" s="45"/>
      <c r="X476" s="45"/>
      <c r="Y476" s="45"/>
      <c r="Z476" s="45"/>
      <c r="AA476" s="45"/>
      <c r="AB476" s="336"/>
    </row>
    <row r="477" spans="1:42">
      <c r="C477" s="42"/>
      <c r="F477" s="164"/>
      <c r="H477" s="164"/>
      <c r="I477" s="164"/>
      <c r="J477" s="132"/>
      <c r="K477" s="132"/>
      <c r="L477" s="45"/>
      <c r="M477" s="45"/>
      <c r="N477" s="46"/>
      <c r="O477" s="46"/>
      <c r="P477" s="45"/>
      <c r="Q477" s="45"/>
      <c r="R477" s="45"/>
      <c r="T477" s="42"/>
      <c r="V477" s="45"/>
      <c r="W477" s="45"/>
      <c r="X477" s="45"/>
      <c r="Y477" s="45"/>
      <c r="Z477" s="45"/>
      <c r="AA477" s="45"/>
      <c r="AB477" s="132"/>
      <c r="AC477" s="45"/>
      <c r="AD477" s="45"/>
      <c r="AE477" s="46"/>
      <c r="AF477" s="46"/>
      <c r="AH477" s="45"/>
      <c r="AI477" s="51"/>
      <c r="AJ477" s="51"/>
      <c r="AL477" s="45"/>
      <c r="AM477" s="45"/>
      <c r="AN477" s="45"/>
      <c r="AO477" s="46"/>
      <c r="AP477" s="46"/>
    </row>
    <row r="478" spans="1:42">
      <c r="C478" s="42"/>
      <c r="F478" s="164"/>
      <c r="H478" s="164"/>
      <c r="I478" s="164"/>
      <c r="J478" s="132"/>
      <c r="K478" s="132"/>
      <c r="L478" s="45"/>
      <c r="M478" s="45"/>
      <c r="N478" s="46"/>
      <c r="O478" s="46"/>
      <c r="P478" s="45"/>
      <c r="Q478" s="45"/>
      <c r="R478" s="45"/>
      <c r="T478" s="42"/>
      <c r="V478" s="45"/>
      <c r="W478" s="45"/>
      <c r="X478" s="45"/>
      <c r="Y478" s="45"/>
      <c r="Z478" s="45"/>
      <c r="AA478" s="45"/>
      <c r="AB478" s="132"/>
      <c r="AC478" s="45"/>
      <c r="AD478" s="45"/>
      <c r="AE478" s="46"/>
      <c r="AF478" s="46"/>
      <c r="AH478" s="45"/>
      <c r="AI478" s="51"/>
      <c r="AJ478" s="51"/>
      <c r="AL478" s="45"/>
      <c r="AM478" s="45"/>
      <c r="AN478" s="45"/>
      <c r="AO478" s="46"/>
      <c r="AP478" s="46"/>
    </row>
    <row r="479" spans="1:42">
      <c r="C479" s="42"/>
      <c r="F479" s="164"/>
      <c r="H479" s="164"/>
      <c r="I479" s="164"/>
      <c r="J479" s="132"/>
      <c r="K479" s="132"/>
      <c r="L479" s="45"/>
      <c r="M479" s="45"/>
      <c r="N479" s="46"/>
      <c r="O479" s="46"/>
      <c r="P479" s="45"/>
      <c r="Q479" s="45"/>
      <c r="R479" s="45"/>
      <c r="T479" s="42"/>
      <c r="V479" s="45"/>
      <c r="W479" s="45"/>
      <c r="X479" s="45"/>
      <c r="Y479" s="45"/>
      <c r="Z479" s="45"/>
      <c r="AA479" s="45"/>
      <c r="AB479" s="132"/>
      <c r="AC479" s="45"/>
      <c r="AD479" s="45"/>
      <c r="AE479" s="46"/>
      <c r="AF479" s="46"/>
      <c r="AH479" s="45"/>
      <c r="AI479" s="51"/>
      <c r="AJ479" s="51"/>
      <c r="AL479" s="45"/>
      <c r="AM479" s="45"/>
      <c r="AN479" s="45"/>
      <c r="AO479" s="46"/>
      <c r="AP479" s="46"/>
    </row>
    <row r="480" spans="1:42">
      <c r="C480" s="42"/>
      <c r="F480" s="164"/>
      <c r="H480" s="164"/>
      <c r="I480" s="164"/>
      <c r="J480" s="132"/>
      <c r="K480" s="132"/>
      <c r="L480" s="45"/>
      <c r="M480" s="45"/>
      <c r="N480" s="46"/>
      <c r="O480" s="46"/>
      <c r="P480" s="45"/>
      <c r="Q480" s="45"/>
      <c r="R480" s="45"/>
      <c r="T480" s="42"/>
      <c r="V480" s="45"/>
      <c r="W480" s="45"/>
      <c r="X480" s="45"/>
      <c r="Y480" s="45"/>
      <c r="Z480" s="45"/>
      <c r="AA480" s="45"/>
      <c r="AB480" s="132"/>
      <c r="AC480" s="45"/>
      <c r="AD480" s="45"/>
      <c r="AE480" s="46"/>
      <c r="AF480" s="46"/>
      <c r="AH480" s="45"/>
      <c r="AI480" s="51"/>
      <c r="AJ480" s="51"/>
      <c r="AL480" s="45"/>
      <c r="AM480" s="45"/>
      <c r="AN480" s="45"/>
      <c r="AO480" s="46"/>
      <c r="AP480" s="46"/>
    </row>
    <row r="481" spans="1:42">
      <c r="J481" s="56"/>
      <c r="K481" s="56"/>
      <c r="V481" s="45"/>
      <c r="W481" s="45"/>
      <c r="X481" s="45"/>
      <c r="Y481" s="45"/>
      <c r="Z481" s="45"/>
      <c r="AA481" s="45"/>
      <c r="AB481" s="132"/>
    </row>
    <row r="482" spans="1:42">
      <c r="C482" s="42"/>
      <c r="F482" s="164"/>
      <c r="H482" s="164"/>
      <c r="I482" s="164"/>
      <c r="J482" s="132"/>
      <c r="K482" s="132"/>
      <c r="L482" s="45"/>
      <c r="M482" s="45"/>
      <c r="N482" s="46"/>
      <c r="O482" s="46"/>
      <c r="P482" s="45"/>
      <c r="Q482" s="45"/>
      <c r="R482" s="45"/>
      <c r="T482" s="42"/>
      <c r="V482" s="45"/>
      <c r="W482" s="45"/>
      <c r="X482" s="45"/>
      <c r="Y482" s="45"/>
      <c r="Z482" s="45"/>
      <c r="AA482" s="45"/>
      <c r="AB482" s="132"/>
      <c r="AC482" s="45"/>
      <c r="AD482" s="45"/>
      <c r="AE482" s="46"/>
      <c r="AF482" s="46"/>
      <c r="AH482" s="45"/>
      <c r="AI482" s="51"/>
      <c r="AJ482" s="51"/>
      <c r="AL482" s="45"/>
      <c r="AM482" s="45"/>
      <c r="AN482" s="45"/>
      <c r="AO482" s="51"/>
      <c r="AP482" s="51"/>
    </row>
    <row r="483" spans="1:42">
      <c r="C483" s="42"/>
      <c r="J483" s="56"/>
      <c r="K483" s="56"/>
      <c r="T483" s="42"/>
      <c r="V483" s="45"/>
      <c r="W483" s="45"/>
      <c r="X483" s="45"/>
      <c r="Y483" s="45"/>
      <c r="Z483" s="45"/>
      <c r="AA483" s="45"/>
      <c r="AB483" s="132"/>
    </row>
    <row r="484" spans="1:42">
      <c r="C484" s="42"/>
      <c r="F484" s="164"/>
      <c r="H484" s="164"/>
      <c r="I484" s="164"/>
      <c r="J484" s="132"/>
      <c r="K484" s="132"/>
      <c r="L484" s="45"/>
      <c r="M484" s="45"/>
      <c r="N484" s="46"/>
      <c r="O484" s="46"/>
      <c r="P484" s="45"/>
      <c r="Q484" s="45"/>
      <c r="R484" s="45"/>
      <c r="T484" s="42"/>
      <c r="V484" s="45"/>
      <c r="W484" s="45"/>
      <c r="X484" s="45"/>
      <c r="Y484" s="45"/>
      <c r="Z484" s="45"/>
      <c r="AA484" s="45"/>
      <c r="AB484" s="132"/>
      <c r="AC484" s="45"/>
      <c r="AD484" s="45"/>
      <c r="AE484" s="46"/>
      <c r="AF484" s="46"/>
      <c r="AH484" s="45"/>
      <c r="AI484" s="51"/>
      <c r="AJ484" s="51"/>
      <c r="AL484" s="45"/>
      <c r="AM484" s="45"/>
      <c r="AN484" s="45"/>
      <c r="AO484" s="51"/>
      <c r="AP484" s="51"/>
    </row>
    <row r="485" spans="1:42">
      <c r="J485" s="56"/>
      <c r="K485" s="56"/>
      <c r="AB485" s="56"/>
    </row>
    <row r="486" spans="1:42">
      <c r="C486" s="42"/>
      <c r="J486" s="56"/>
      <c r="K486" s="56"/>
      <c r="T486" s="42"/>
      <c r="V486" s="45"/>
      <c r="W486" s="45"/>
      <c r="X486" s="45"/>
      <c r="Y486" s="45"/>
      <c r="Z486" s="45"/>
      <c r="AA486" s="45"/>
      <c r="AB486" s="132"/>
    </row>
    <row r="487" spans="1:42">
      <c r="C487" s="42"/>
      <c r="F487" s="164"/>
      <c r="H487" s="164"/>
      <c r="I487" s="164"/>
      <c r="J487" s="132"/>
      <c r="K487" s="132"/>
      <c r="L487" s="45"/>
      <c r="M487" s="45"/>
      <c r="N487" s="46"/>
      <c r="O487" s="46"/>
      <c r="P487" s="45"/>
      <c r="Q487" s="45"/>
      <c r="R487" s="45"/>
      <c r="T487" s="42"/>
      <c r="V487" s="45"/>
      <c r="W487" s="45"/>
      <c r="X487" s="45"/>
      <c r="Y487" s="45"/>
      <c r="Z487" s="45"/>
      <c r="AA487" s="45"/>
      <c r="AB487" s="132"/>
      <c r="AC487" s="45"/>
      <c r="AD487" s="45"/>
      <c r="AE487" s="46"/>
      <c r="AF487" s="46"/>
      <c r="AH487" s="45"/>
      <c r="AI487" s="51"/>
      <c r="AJ487" s="51"/>
      <c r="AL487" s="45"/>
      <c r="AM487" s="45"/>
      <c r="AN487" s="45"/>
      <c r="AO487" s="51"/>
      <c r="AP487" s="51"/>
    </row>
    <row r="488" spans="1:42">
      <c r="C488" s="42"/>
      <c r="F488" s="164"/>
      <c r="H488" s="164"/>
      <c r="I488" s="164"/>
      <c r="J488" s="132"/>
      <c r="K488" s="132"/>
      <c r="L488" s="45"/>
      <c r="M488" s="45"/>
      <c r="N488" s="46"/>
      <c r="O488" s="46"/>
      <c r="P488" s="45"/>
      <c r="Q488" s="45"/>
      <c r="R488" s="45"/>
      <c r="T488" s="42"/>
      <c r="V488" s="45"/>
      <c r="W488" s="45"/>
      <c r="X488" s="45"/>
      <c r="Y488" s="45"/>
      <c r="Z488" s="45"/>
      <c r="AA488" s="45"/>
      <c r="AB488" s="132"/>
      <c r="AC488" s="45"/>
      <c r="AD488" s="45"/>
      <c r="AE488" s="46"/>
      <c r="AF488" s="46"/>
      <c r="AH488" s="45"/>
      <c r="AI488" s="51"/>
      <c r="AJ488" s="51"/>
      <c r="AL488" s="45"/>
      <c r="AM488" s="45"/>
      <c r="AN488" s="45"/>
      <c r="AO488" s="51"/>
      <c r="AP488" s="51"/>
    </row>
    <row r="489" spans="1:42">
      <c r="F489" s="50"/>
      <c r="H489" s="50"/>
      <c r="I489" s="50"/>
      <c r="J489" s="132"/>
      <c r="K489" s="132"/>
      <c r="L489" s="50"/>
      <c r="M489" s="50"/>
      <c r="N489" s="50"/>
      <c r="O489" s="50"/>
      <c r="P489" s="50"/>
      <c r="Q489" s="50"/>
      <c r="R489" s="50"/>
      <c r="V489" s="50"/>
      <c r="AA489" s="50"/>
      <c r="AB489" s="326"/>
      <c r="AC489" s="50"/>
      <c r="AD489" s="50"/>
      <c r="AE489" s="50"/>
      <c r="AF489" s="50"/>
      <c r="AG489" s="111"/>
      <c r="AH489" s="50"/>
      <c r="AK489" s="111"/>
      <c r="AL489" s="50"/>
      <c r="AM489" s="50"/>
      <c r="AN489" s="50"/>
    </row>
    <row r="490" spans="1:42">
      <c r="C490" s="42"/>
      <c r="F490" s="45"/>
      <c r="H490" s="45"/>
      <c r="I490" s="45"/>
      <c r="L490" s="45"/>
      <c r="M490" s="45"/>
      <c r="N490" s="46"/>
      <c r="O490" s="46"/>
      <c r="P490" s="164"/>
      <c r="Q490" s="164"/>
      <c r="R490" s="45"/>
      <c r="T490" s="42"/>
      <c r="V490" s="45"/>
      <c r="W490" s="45"/>
      <c r="X490" s="45"/>
      <c r="Y490" s="45"/>
      <c r="Z490" s="45"/>
      <c r="AA490" s="45"/>
      <c r="AB490" s="336"/>
      <c r="AC490" s="45"/>
      <c r="AD490" s="45"/>
      <c r="AE490" s="46"/>
      <c r="AF490" s="46"/>
      <c r="AH490" s="45"/>
      <c r="AI490" s="51"/>
      <c r="AJ490" s="51"/>
      <c r="AK490" s="333"/>
      <c r="AL490" s="164"/>
      <c r="AM490" s="45"/>
      <c r="AN490" s="45"/>
      <c r="AO490" s="51"/>
      <c r="AP490" s="51"/>
    </row>
    <row r="491" spans="1:42">
      <c r="H491" s="50"/>
      <c r="I491" s="50"/>
      <c r="J491" s="326"/>
      <c r="K491" s="326"/>
      <c r="L491" s="50"/>
      <c r="M491" s="50"/>
      <c r="N491" s="50"/>
      <c r="O491" s="50"/>
      <c r="P491" s="50"/>
      <c r="Q491" s="50"/>
      <c r="R491" s="50"/>
      <c r="V491" s="50"/>
      <c r="AA491" s="50"/>
      <c r="AB491" s="326"/>
      <c r="AC491" s="50"/>
      <c r="AD491" s="50"/>
      <c r="AE491" s="50"/>
      <c r="AF491" s="50"/>
      <c r="AG491" s="111"/>
      <c r="AH491" s="50"/>
      <c r="AK491" s="111"/>
      <c r="AL491" s="50"/>
      <c r="AM491" s="50"/>
      <c r="AN491" s="50"/>
    </row>
    <row r="492" spans="1:42">
      <c r="F492" s="50"/>
    </row>
    <row r="494" spans="1:42">
      <c r="A494" s="42"/>
    </row>
    <row r="496" spans="1:42">
      <c r="H496" s="42"/>
      <c r="I496" s="42"/>
      <c r="AA496" s="42"/>
    </row>
    <row r="498" spans="1:42">
      <c r="L498" s="42"/>
      <c r="M498" s="42"/>
      <c r="AC498" s="42"/>
      <c r="AD498" s="42"/>
    </row>
    <row r="499" spans="1:42">
      <c r="R499" s="42"/>
      <c r="AM499" s="42"/>
      <c r="AN499" s="42"/>
    </row>
    <row r="500" spans="1:42">
      <c r="R500" s="42"/>
      <c r="AM500" s="42"/>
      <c r="AN500" s="42"/>
    </row>
    <row r="501" spans="1:42">
      <c r="A501" s="42"/>
      <c r="R501" s="42"/>
      <c r="AM501" s="42"/>
      <c r="AN501" s="42"/>
    </row>
    <row r="502" spans="1:42">
      <c r="L502" s="42"/>
      <c r="M502" s="42"/>
      <c r="AC502" s="42"/>
      <c r="AD502" s="42"/>
    </row>
    <row r="503" spans="1:42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107"/>
      <c r="AH503" s="49"/>
      <c r="AI503" s="49"/>
      <c r="AJ503" s="49"/>
      <c r="AK503" s="107"/>
      <c r="AL503" s="49"/>
      <c r="AM503" s="49"/>
      <c r="AN503" s="49"/>
      <c r="AO503" s="49"/>
      <c r="AP503" s="49"/>
    </row>
    <row r="504" spans="1:42">
      <c r="L504" s="44"/>
      <c r="M504" s="44"/>
      <c r="N504" s="44"/>
      <c r="O504" s="44"/>
      <c r="R504" s="44"/>
      <c r="AC504" s="44"/>
      <c r="AD504" s="44"/>
      <c r="AE504" s="44"/>
      <c r="AF504" s="44"/>
      <c r="AG504" s="102"/>
      <c r="AH504" s="44"/>
      <c r="AI504" s="44"/>
      <c r="AJ504" s="44"/>
      <c r="AM504" s="44"/>
      <c r="AN504" s="44"/>
      <c r="AO504" s="44"/>
      <c r="AP504" s="44"/>
    </row>
    <row r="505" spans="1:42">
      <c r="L505" s="44"/>
      <c r="M505" s="44"/>
      <c r="N505" s="44"/>
      <c r="O505" s="44"/>
      <c r="R505" s="44"/>
      <c r="AB505" s="44"/>
      <c r="AC505" s="44"/>
      <c r="AD505" s="44"/>
      <c r="AE505" s="44"/>
      <c r="AF505" s="44"/>
      <c r="AG505" s="102"/>
      <c r="AH505" s="44"/>
      <c r="AI505" s="44"/>
      <c r="AJ505" s="44"/>
      <c r="AM505" s="44"/>
      <c r="AN505" s="44"/>
      <c r="AO505" s="44"/>
      <c r="AP505" s="44"/>
    </row>
    <row r="506" spans="1:42">
      <c r="A506" s="44"/>
      <c r="C506" s="44"/>
      <c r="D506" s="44"/>
      <c r="E506" s="44"/>
      <c r="F506" s="44"/>
      <c r="J506" s="44"/>
      <c r="K506" s="44"/>
      <c r="L506" s="44"/>
      <c r="M506" s="44"/>
      <c r="N506" s="44"/>
      <c r="O506" s="44"/>
      <c r="P506" s="44"/>
      <c r="Q506" s="44"/>
      <c r="R506" s="44"/>
      <c r="T506" s="44"/>
      <c r="U506" s="44"/>
      <c r="V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  <c r="AO506" s="44"/>
      <c r="AP506" s="44"/>
    </row>
    <row r="507" spans="1:42">
      <c r="A507" s="44"/>
      <c r="C507" s="44"/>
      <c r="D507" s="44"/>
      <c r="E507" s="44"/>
      <c r="F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T507" s="44"/>
      <c r="U507" s="44"/>
      <c r="V507" s="44"/>
      <c r="AA507" s="44"/>
      <c r="AB507" s="44"/>
      <c r="AC507" s="44"/>
      <c r="AD507" s="44"/>
      <c r="AE507" s="44"/>
      <c r="AF507" s="44"/>
      <c r="AG507" s="102"/>
      <c r="AH507" s="44"/>
      <c r="AI507" s="44"/>
      <c r="AJ507" s="44"/>
      <c r="AK507" s="102"/>
      <c r="AL507" s="44"/>
      <c r="AM507" s="44"/>
      <c r="AN507" s="44"/>
      <c r="AO507" s="44"/>
      <c r="AP507" s="44"/>
    </row>
    <row r="508" spans="1:42">
      <c r="C508" s="44"/>
      <c r="D508" s="44"/>
      <c r="E508" s="44"/>
      <c r="F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T508" s="44"/>
      <c r="U508" s="44"/>
      <c r="V508" s="44"/>
      <c r="AA508" s="44"/>
      <c r="AB508" s="44"/>
      <c r="AC508" s="44"/>
      <c r="AD508" s="44"/>
      <c r="AE508" s="44"/>
      <c r="AF508" s="44"/>
      <c r="AG508" s="102"/>
      <c r="AH508" s="44"/>
      <c r="AI508" s="44"/>
      <c r="AJ508" s="44"/>
      <c r="AK508" s="102"/>
      <c r="AL508" s="44"/>
      <c r="AM508" s="44"/>
      <c r="AN508" s="44"/>
      <c r="AO508" s="44"/>
      <c r="AP508" s="44"/>
    </row>
    <row r="509" spans="1:42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107"/>
      <c r="AH509" s="49"/>
      <c r="AI509" s="49"/>
      <c r="AJ509" s="49"/>
      <c r="AK509" s="107"/>
      <c r="AL509" s="49"/>
      <c r="AM509" s="49"/>
      <c r="AN509" s="49"/>
      <c r="AO509" s="49"/>
      <c r="AP509" s="49"/>
    </row>
    <row r="510" spans="1:42"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AA510" s="44"/>
      <c r="AB510" s="44"/>
      <c r="AC510" s="44"/>
      <c r="AD510" s="44"/>
      <c r="AE510" s="44"/>
      <c r="AF510" s="44"/>
      <c r="AG510" s="102"/>
      <c r="AH510" s="44"/>
      <c r="AI510" s="44"/>
      <c r="AJ510" s="44"/>
      <c r="AK510" s="102"/>
      <c r="AL510" s="44"/>
      <c r="AM510" s="44"/>
      <c r="AN510" s="44"/>
      <c r="AO510" s="44"/>
      <c r="AP510" s="44"/>
    </row>
    <row r="511" spans="1:42">
      <c r="C511" s="42"/>
      <c r="D511" s="42"/>
      <c r="E511" s="42"/>
      <c r="T511" s="42"/>
      <c r="U511" s="42"/>
    </row>
    <row r="513" spans="3:42">
      <c r="C513" s="42"/>
      <c r="T513" s="42"/>
    </row>
    <row r="514" spans="3:42">
      <c r="C514" s="42"/>
      <c r="T514" s="42"/>
    </row>
    <row r="515" spans="3:42">
      <c r="C515" s="42"/>
      <c r="F515" s="164"/>
      <c r="H515" s="164"/>
      <c r="I515" s="164"/>
      <c r="J515" s="132"/>
      <c r="K515" s="132"/>
      <c r="L515" s="45"/>
      <c r="M515" s="45"/>
      <c r="N515" s="46"/>
      <c r="O515" s="46"/>
      <c r="P515" s="45"/>
      <c r="Q515" s="45"/>
      <c r="R515" s="45"/>
      <c r="T515" s="42"/>
      <c r="V515" s="45"/>
      <c r="W515" s="45"/>
      <c r="X515" s="45"/>
      <c r="Y515" s="45"/>
      <c r="Z515" s="45"/>
      <c r="AA515" s="45"/>
      <c r="AB515" s="132"/>
      <c r="AC515" s="45"/>
      <c r="AD515" s="45"/>
      <c r="AE515" s="46"/>
      <c r="AF515" s="46"/>
      <c r="AH515" s="45"/>
      <c r="AI515" s="51"/>
      <c r="AJ515" s="51"/>
      <c r="AL515" s="45"/>
      <c r="AM515" s="45"/>
      <c r="AN515" s="45"/>
      <c r="AO515" s="51"/>
      <c r="AP515" s="51"/>
    </row>
    <row r="516" spans="3:42">
      <c r="C516" s="42"/>
      <c r="F516" s="45"/>
      <c r="H516" s="45"/>
      <c r="I516" s="45"/>
      <c r="J516" s="56"/>
      <c r="K516" s="56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45"/>
      <c r="AA516" s="45"/>
      <c r="AB516" s="56"/>
      <c r="AC516" s="45"/>
      <c r="AD516" s="45"/>
      <c r="AE516" s="46"/>
      <c r="AF516" s="46"/>
      <c r="AH516" s="45"/>
      <c r="AI516" s="51"/>
      <c r="AJ516" s="51"/>
      <c r="AL516" s="45"/>
      <c r="AM516" s="45"/>
      <c r="AN516" s="45"/>
      <c r="AO516" s="51"/>
      <c r="AP516" s="51"/>
    </row>
    <row r="517" spans="3:42">
      <c r="C517" s="42"/>
      <c r="F517" s="45"/>
      <c r="H517" s="45"/>
      <c r="I517" s="45"/>
      <c r="J517" s="56"/>
      <c r="K517" s="56"/>
      <c r="L517" s="45"/>
      <c r="M517" s="45"/>
      <c r="N517" s="46"/>
      <c r="O517" s="46"/>
      <c r="P517" s="45"/>
      <c r="Q517" s="45"/>
      <c r="R517" s="45"/>
      <c r="T517" s="42"/>
      <c r="V517" s="45"/>
      <c r="W517" s="45"/>
      <c r="X517" s="45"/>
      <c r="Y517" s="45"/>
      <c r="Z517" s="45"/>
      <c r="AA517" s="45"/>
      <c r="AB517" s="56"/>
      <c r="AC517" s="45"/>
      <c r="AD517" s="45"/>
      <c r="AE517" s="46"/>
      <c r="AF517" s="46"/>
      <c r="AH517" s="45"/>
      <c r="AI517" s="51"/>
      <c r="AJ517" s="51"/>
      <c r="AL517" s="45"/>
      <c r="AM517" s="45"/>
      <c r="AN517" s="45"/>
      <c r="AO517" s="51"/>
      <c r="AP517" s="51"/>
    </row>
    <row r="518" spans="3:42">
      <c r="C518" s="42"/>
      <c r="F518" s="45"/>
      <c r="H518" s="45"/>
      <c r="I518" s="45"/>
      <c r="J518" s="56"/>
      <c r="K518" s="56"/>
      <c r="T518" s="42"/>
      <c r="V518" s="45"/>
      <c r="AB518" s="56"/>
    </row>
    <row r="519" spans="3:42">
      <c r="C519" s="42"/>
      <c r="F519" s="164"/>
      <c r="H519" s="164"/>
      <c r="I519" s="164"/>
      <c r="J519" s="132"/>
      <c r="K519" s="132"/>
      <c r="L519" s="45"/>
      <c r="M519" s="45"/>
      <c r="N519" s="46"/>
      <c r="O519" s="46"/>
      <c r="P519" s="45"/>
      <c r="Q519" s="45"/>
      <c r="R519" s="45"/>
      <c r="T519" s="42"/>
      <c r="V519" s="45"/>
      <c r="W519" s="45"/>
      <c r="X519" s="45"/>
      <c r="Y519" s="45"/>
      <c r="Z519" s="45"/>
      <c r="AA519" s="45"/>
      <c r="AB519" s="132"/>
      <c r="AC519" s="45"/>
      <c r="AD519" s="45"/>
      <c r="AE519" s="46"/>
      <c r="AF519" s="46"/>
      <c r="AH519" s="45"/>
      <c r="AI519" s="51"/>
      <c r="AJ519" s="51"/>
      <c r="AL519" s="45"/>
      <c r="AM519" s="45"/>
      <c r="AN519" s="45"/>
      <c r="AO519" s="51"/>
      <c r="AP519" s="51"/>
    </row>
    <row r="520" spans="3:42">
      <c r="C520" s="42"/>
      <c r="F520" s="45"/>
      <c r="H520" s="45"/>
      <c r="I520" s="45"/>
      <c r="J520" s="56"/>
      <c r="K520" s="56"/>
      <c r="T520" s="42"/>
      <c r="V520" s="45"/>
      <c r="W520" s="45"/>
      <c r="X520" s="45"/>
      <c r="Y520" s="45"/>
      <c r="Z520" s="45"/>
      <c r="AA520" s="45"/>
      <c r="AB520" s="56"/>
      <c r="AE520" s="46"/>
      <c r="AF520" s="46"/>
      <c r="AH520" s="45"/>
      <c r="AI520" s="51"/>
      <c r="AJ520" s="51"/>
      <c r="AL520" s="45"/>
      <c r="AM520" s="45"/>
      <c r="AN520" s="45"/>
      <c r="AO520" s="51"/>
      <c r="AP520" s="51"/>
    </row>
    <row r="521" spans="3:42">
      <c r="C521" s="42"/>
      <c r="F521" s="164"/>
      <c r="H521" s="164"/>
      <c r="I521" s="164"/>
      <c r="J521" s="132"/>
      <c r="K521" s="132"/>
      <c r="L521" s="45"/>
      <c r="M521" s="45"/>
      <c r="N521" s="46"/>
      <c r="O521" s="46"/>
      <c r="P521" s="45"/>
      <c r="Q521" s="45"/>
      <c r="R521" s="45"/>
      <c r="T521" s="42"/>
      <c r="V521" s="45"/>
      <c r="W521" s="45"/>
      <c r="X521" s="45"/>
      <c r="Y521" s="45"/>
      <c r="Z521" s="45"/>
      <c r="AA521" s="45"/>
      <c r="AB521" s="132"/>
      <c r="AC521" s="45"/>
      <c r="AD521" s="45"/>
      <c r="AE521" s="46"/>
      <c r="AF521" s="46"/>
      <c r="AH521" s="45"/>
      <c r="AI521" s="51"/>
      <c r="AJ521" s="51"/>
      <c r="AL521" s="45"/>
      <c r="AM521" s="45"/>
      <c r="AN521" s="45"/>
      <c r="AO521" s="51"/>
      <c r="AP521" s="51"/>
    </row>
    <row r="522" spans="3:42">
      <c r="C522" s="42"/>
      <c r="F522" s="45"/>
      <c r="H522" s="45"/>
      <c r="I522" s="45"/>
      <c r="J522" s="56"/>
      <c r="K522" s="56"/>
      <c r="L522" s="45"/>
      <c r="M522" s="45"/>
      <c r="N522" s="46"/>
      <c r="O522" s="46"/>
      <c r="P522" s="45"/>
      <c r="Q522" s="45"/>
      <c r="R522" s="45"/>
      <c r="T522" s="42"/>
      <c r="V522" s="45"/>
      <c r="W522" s="45"/>
      <c r="X522" s="45"/>
      <c r="Y522" s="45"/>
      <c r="Z522" s="45"/>
      <c r="AA522" s="45"/>
      <c r="AB522" s="56"/>
      <c r="AC522" s="45"/>
      <c r="AD522" s="45"/>
      <c r="AE522" s="46"/>
      <c r="AF522" s="46"/>
      <c r="AH522" s="45"/>
      <c r="AI522" s="51"/>
      <c r="AJ522" s="51"/>
      <c r="AL522" s="45"/>
      <c r="AM522" s="45"/>
      <c r="AN522" s="45"/>
      <c r="AO522" s="51"/>
      <c r="AP522" s="51"/>
    </row>
    <row r="523" spans="3:42">
      <c r="F523" s="45"/>
      <c r="H523" s="45"/>
      <c r="I523" s="45"/>
      <c r="J523" s="56"/>
      <c r="K523" s="56"/>
      <c r="AB523" s="56"/>
    </row>
    <row r="524" spans="3:42">
      <c r="C524" s="42"/>
      <c r="F524" s="45"/>
      <c r="H524" s="164"/>
      <c r="I524" s="164"/>
      <c r="J524" s="132"/>
      <c r="K524" s="132"/>
      <c r="L524" s="45"/>
      <c r="M524" s="45"/>
      <c r="N524" s="46"/>
      <c r="O524" s="46"/>
      <c r="P524" s="45"/>
      <c r="Q524" s="45"/>
      <c r="R524" s="45"/>
      <c r="T524" s="42"/>
      <c r="V524" s="45"/>
      <c r="W524" s="45"/>
      <c r="X524" s="45"/>
      <c r="Y524" s="45"/>
      <c r="Z524" s="45"/>
      <c r="AA524" s="45"/>
      <c r="AB524" s="132"/>
      <c r="AC524" s="45"/>
      <c r="AD524" s="45"/>
      <c r="AE524" s="46"/>
      <c r="AF524" s="46"/>
      <c r="AH524" s="45"/>
      <c r="AI524" s="51"/>
      <c r="AJ524" s="51"/>
      <c r="AL524" s="45"/>
      <c r="AM524" s="45"/>
      <c r="AN524" s="45"/>
      <c r="AO524" s="51"/>
      <c r="AP524" s="51"/>
    </row>
    <row r="525" spans="3:42">
      <c r="F525" s="50"/>
      <c r="H525" s="50"/>
      <c r="I525" s="50"/>
      <c r="J525" s="132"/>
      <c r="K525" s="132"/>
      <c r="L525" s="50"/>
      <c r="M525" s="50"/>
      <c r="N525" s="50"/>
      <c r="O525" s="50"/>
      <c r="P525" s="50"/>
      <c r="Q525" s="50"/>
      <c r="R525" s="50"/>
      <c r="V525" s="50"/>
      <c r="AA525" s="50"/>
      <c r="AB525" s="132"/>
      <c r="AC525" s="50"/>
      <c r="AD525" s="50"/>
      <c r="AE525" s="50"/>
      <c r="AF525" s="50"/>
      <c r="AG525" s="111"/>
      <c r="AH525" s="50"/>
      <c r="AK525" s="111"/>
      <c r="AL525" s="50"/>
      <c r="AM525" s="50"/>
      <c r="AN525" s="50"/>
    </row>
    <row r="526" spans="3:42">
      <c r="C526" s="42"/>
      <c r="F526" s="45"/>
      <c r="H526" s="45"/>
      <c r="I526" s="45"/>
      <c r="J526" s="56"/>
      <c r="K526" s="56"/>
      <c r="L526" s="45"/>
      <c r="M526" s="45"/>
      <c r="P526" s="45"/>
      <c r="Q526" s="45"/>
      <c r="R526" s="45"/>
      <c r="T526" s="42"/>
      <c r="V526" s="45"/>
      <c r="AA526" s="45"/>
      <c r="AB526" s="56"/>
      <c r="AC526" s="45"/>
      <c r="AD526" s="45"/>
      <c r="AE526" s="51"/>
      <c r="AF526" s="51"/>
      <c r="AH526" s="45"/>
      <c r="AI526" s="51"/>
      <c r="AJ526" s="51"/>
      <c r="AL526" s="45"/>
      <c r="AM526" s="45"/>
      <c r="AN526" s="45"/>
      <c r="AO526" s="51"/>
      <c r="AP526" s="51"/>
    </row>
    <row r="527" spans="3:42">
      <c r="F527" s="50"/>
      <c r="H527" s="50"/>
      <c r="I527" s="50"/>
      <c r="J527" s="132"/>
      <c r="K527" s="132"/>
      <c r="L527" s="50"/>
      <c r="M527" s="50"/>
      <c r="N527" s="50"/>
      <c r="O527" s="50"/>
      <c r="P527" s="50"/>
      <c r="Q527" s="50"/>
      <c r="R527" s="50"/>
      <c r="V527" s="50"/>
      <c r="AA527" s="50"/>
      <c r="AB527" s="132"/>
      <c r="AC527" s="50"/>
      <c r="AD527" s="50"/>
      <c r="AE527" s="50"/>
      <c r="AF527" s="50"/>
      <c r="AG527" s="111"/>
      <c r="AH527" s="50"/>
      <c r="AK527" s="111"/>
      <c r="AL527" s="50"/>
      <c r="AM527" s="50"/>
      <c r="AN527" s="50"/>
    </row>
    <row r="528" spans="3:42">
      <c r="J528" s="56"/>
      <c r="K528" s="56"/>
      <c r="AB528" s="56"/>
    </row>
    <row r="529" spans="1:42">
      <c r="C529" s="42"/>
      <c r="J529" s="56"/>
      <c r="K529" s="56"/>
      <c r="T529" s="42"/>
      <c r="AB529" s="56"/>
    </row>
    <row r="530" spans="1:42">
      <c r="C530" s="42"/>
      <c r="J530" s="56"/>
      <c r="K530" s="56"/>
      <c r="T530" s="42"/>
      <c r="AB530" s="56"/>
    </row>
    <row r="531" spans="1:42">
      <c r="C531" s="42"/>
      <c r="F531" s="164"/>
      <c r="H531" s="164"/>
      <c r="I531" s="164"/>
      <c r="J531" s="132"/>
      <c r="K531" s="132"/>
      <c r="L531" s="45"/>
      <c r="M531" s="45"/>
      <c r="N531" s="46"/>
      <c r="O531" s="46"/>
      <c r="P531" s="45"/>
      <c r="Q531" s="45"/>
      <c r="R531" s="45"/>
      <c r="T531" s="42"/>
      <c r="V531" s="45"/>
      <c r="W531" s="45"/>
      <c r="X531" s="45"/>
      <c r="Y531" s="45"/>
      <c r="Z531" s="45"/>
      <c r="AA531" s="45"/>
      <c r="AB531" s="132"/>
      <c r="AC531" s="45"/>
      <c r="AD531" s="45"/>
      <c r="AE531" s="46"/>
      <c r="AF531" s="46"/>
      <c r="AH531" s="45"/>
      <c r="AI531" s="51"/>
      <c r="AJ531" s="51"/>
      <c r="AL531" s="45"/>
      <c r="AM531" s="45"/>
      <c r="AN531" s="45"/>
      <c r="AO531" s="51"/>
      <c r="AP531" s="51"/>
    </row>
    <row r="532" spans="1:42">
      <c r="C532" s="42"/>
      <c r="J532" s="56"/>
      <c r="K532" s="56"/>
      <c r="T532" s="42"/>
      <c r="AB532" s="56"/>
    </row>
    <row r="533" spans="1:42">
      <c r="C533" s="42"/>
      <c r="F533" s="164"/>
      <c r="H533" s="164"/>
      <c r="I533" s="164"/>
      <c r="J533" s="132"/>
      <c r="K533" s="132"/>
      <c r="L533" s="45"/>
      <c r="M533" s="45"/>
      <c r="N533" s="46"/>
      <c r="O533" s="46"/>
      <c r="P533" s="45"/>
      <c r="Q533" s="45"/>
      <c r="R533" s="45"/>
      <c r="T533" s="42"/>
      <c r="V533" s="45"/>
      <c r="W533" s="45"/>
      <c r="X533" s="45"/>
      <c r="Y533" s="45"/>
      <c r="Z533" s="45"/>
      <c r="AA533" s="45"/>
      <c r="AB533" s="132"/>
      <c r="AC533" s="45"/>
      <c r="AD533" s="45"/>
      <c r="AE533" s="46"/>
      <c r="AF533" s="46"/>
      <c r="AH533" s="45"/>
      <c r="AI533" s="51"/>
      <c r="AJ533" s="51"/>
      <c r="AL533" s="45"/>
      <c r="AM533" s="45"/>
      <c r="AN533" s="45"/>
      <c r="AO533" s="51"/>
      <c r="AP533" s="51"/>
    </row>
    <row r="534" spans="1:42">
      <c r="F534" s="50"/>
      <c r="H534" s="50"/>
      <c r="I534" s="50"/>
      <c r="J534" s="132"/>
      <c r="K534" s="132"/>
      <c r="L534" s="50"/>
      <c r="M534" s="50"/>
      <c r="N534" s="50"/>
      <c r="O534" s="50"/>
      <c r="P534" s="50"/>
      <c r="Q534" s="50"/>
      <c r="R534" s="50"/>
      <c r="V534" s="50"/>
      <c r="AA534" s="50"/>
      <c r="AB534" s="132"/>
      <c r="AC534" s="50"/>
      <c r="AD534" s="50"/>
      <c r="AE534" s="50"/>
      <c r="AF534" s="50"/>
      <c r="AG534" s="111"/>
      <c r="AH534" s="50"/>
      <c r="AK534" s="111"/>
      <c r="AL534" s="50"/>
      <c r="AM534" s="50"/>
      <c r="AN534" s="50"/>
    </row>
    <row r="535" spans="1:42">
      <c r="C535" s="42"/>
      <c r="F535" s="45"/>
      <c r="H535" s="45"/>
      <c r="I535" s="45"/>
      <c r="J535" s="56"/>
      <c r="K535" s="56"/>
      <c r="L535" s="45"/>
      <c r="M535" s="45"/>
      <c r="N535" s="51"/>
      <c r="O535" s="51"/>
      <c r="P535" s="45"/>
      <c r="Q535" s="45"/>
      <c r="R535" s="45"/>
      <c r="T535" s="42"/>
      <c r="V535" s="45"/>
      <c r="AA535" s="45"/>
      <c r="AB535" s="56"/>
      <c r="AC535" s="45"/>
      <c r="AD535" s="45"/>
      <c r="AE535" s="51"/>
      <c r="AF535" s="51"/>
      <c r="AH535" s="45"/>
      <c r="AI535" s="51"/>
      <c r="AJ535" s="51"/>
      <c r="AL535" s="45"/>
      <c r="AM535" s="45"/>
      <c r="AN535" s="45"/>
      <c r="AO535" s="51"/>
      <c r="AP535" s="51"/>
    </row>
    <row r="536" spans="1:42">
      <c r="F536" s="50"/>
      <c r="H536" s="50"/>
      <c r="I536" s="50"/>
      <c r="J536" s="132"/>
      <c r="K536" s="132"/>
      <c r="L536" s="50"/>
      <c r="M536" s="50"/>
      <c r="N536" s="50"/>
      <c r="O536" s="50"/>
      <c r="P536" s="50"/>
      <c r="Q536" s="50"/>
      <c r="R536" s="50"/>
      <c r="V536" s="50"/>
      <c r="AA536" s="50"/>
      <c r="AB536" s="326"/>
      <c r="AC536" s="50"/>
      <c r="AD536" s="50"/>
      <c r="AE536" s="50"/>
      <c r="AF536" s="50"/>
      <c r="AG536" s="111"/>
      <c r="AH536" s="50"/>
      <c r="AK536" s="111"/>
      <c r="AL536" s="50"/>
      <c r="AM536" s="50"/>
      <c r="AN536" s="50"/>
    </row>
    <row r="537" spans="1:42">
      <c r="J537" s="56"/>
      <c r="K537" s="56"/>
    </row>
    <row r="538" spans="1:42">
      <c r="C538" s="42"/>
      <c r="F538" s="45"/>
      <c r="H538" s="45"/>
      <c r="I538" s="45"/>
      <c r="J538" s="56"/>
      <c r="K538" s="56"/>
      <c r="L538" s="45"/>
      <c r="M538" s="45"/>
      <c r="N538" s="46"/>
      <c r="O538" s="46"/>
      <c r="P538" s="164"/>
      <c r="Q538" s="164"/>
      <c r="R538" s="45"/>
      <c r="T538" s="42"/>
      <c r="V538" s="45"/>
      <c r="AA538" s="45"/>
      <c r="AC538" s="45"/>
      <c r="AD538" s="45"/>
      <c r="AE538" s="51"/>
      <c r="AF538" s="51"/>
      <c r="AH538" s="45"/>
      <c r="AI538" s="51"/>
      <c r="AJ538" s="51"/>
      <c r="AK538" s="333"/>
      <c r="AL538" s="164"/>
      <c r="AM538" s="45"/>
      <c r="AN538" s="45"/>
      <c r="AO538" s="51"/>
      <c r="AP538" s="51"/>
    </row>
    <row r="539" spans="1:42">
      <c r="H539" s="50"/>
      <c r="I539" s="50"/>
      <c r="J539" s="132"/>
      <c r="K539" s="132"/>
      <c r="L539" s="50"/>
      <c r="M539" s="50"/>
      <c r="N539" s="50"/>
      <c r="O539" s="50"/>
      <c r="P539" s="50"/>
      <c r="Q539" s="50"/>
      <c r="R539" s="50"/>
      <c r="V539" s="50"/>
      <c r="AA539" s="50"/>
      <c r="AB539" s="326"/>
      <c r="AC539" s="50"/>
      <c r="AD539" s="50"/>
      <c r="AE539" s="50"/>
      <c r="AF539" s="50"/>
      <c r="AG539" s="111"/>
      <c r="AH539" s="50"/>
      <c r="AK539" s="111"/>
      <c r="AL539" s="50"/>
      <c r="AM539" s="50"/>
      <c r="AN539" s="50"/>
    </row>
    <row r="540" spans="1:42">
      <c r="F540" s="50"/>
    </row>
    <row r="542" spans="1:42">
      <c r="A542" s="42"/>
    </row>
    <row r="544" spans="1:42">
      <c r="H544" s="42"/>
      <c r="I544" s="42"/>
      <c r="AA544" s="42"/>
    </row>
    <row r="546" spans="1:42">
      <c r="L546" s="42"/>
      <c r="M546" s="42"/>
      <c r="AC546" s="42"/>
      <c r="AD546" s="42"/>
    </row>
    <row r="547" spans="1:42">
      <c r="R547" s="42"/>
      <c r="AM547" s="42"/>
      <c r="AN547" s="42"/>
    </row>
    <row r="548" spans="1:42">
      <c r="R548" s="42"/>
      <c r="AM548" s="42"/>
      <c r="AN548" s="42"/>
    </row>
    <row r="549" spans="1:42">
      <c r="A549" s="42"/>
      <c r="R549" s="42"/>
      <c r="AM549" s="42"/>
      <c r="AN549" s="42"/>
    </row>
    <row r="550" spans="1:42">
      <c r="L550" s="42"/>
      <c r="M550" s="42"/>
      <c r="AC550" s="42"/>
      <c r="AD550" s="42"/>
    </row>
    <row r="551" spans="1:42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107"/>
      <c r="AH551" s="49"/>
      <c r="AI551" s="49"/>
      <c r="AJ551" s="49"/>
      <c r="AK551" s="107"/>
      <c r="AL551" s="49"/>
      <c r="AM551" s="49"/>
      <c r="AN551" s="49"/>
      <c r="AO551" s="49"/>
      <c r="AP551" s="49"/>
    </row>
    <row r="552" spans="1:42">
      <c r="L552" s="44"/>
      <c r="M552" s="44"/>
      <c r="N552" s="44"/>
      <c r="O552" s="44"/>
      <c r="R552" s="44"/>
      <c r="AC552" s="44"/>
      <c r="AD552" s="44"/>
      <c r="AE552" s="44"/>
      <c r="AF552" s="44"/>
      <c r="AG552" s="102"/>
      <c r="AH552" s="44"/>
      <c r="AI552" s="44"/>
      <c r="AJ552" s="44"/>
      <c r="AM552" s="44"/>
      <c r="AN552" s="44"/>
      <c r="AO552" s="44"/>
      <c r="AP552" s="44"/>
    </row>
    <row r="553" spans="1:42">
      <c r="L553" s="44"/>
      <c r="M553" s="44"/>
      <c r="N553" s="44"/>
      <c r="O553" s="44"/>
      <c r="R553" s="44"/>
      <c r="AB553" s="44"/>
      <c r="AC553" s="44"/>
      <c r="AD553" s="44"/>
      <c r="AE553" s="44"/>
      <c r="AF553" s="44"/>
      <c r="AG553" s="102"/>
      <c r="AH553" s="44"/>
      <c r="AI553" s="44"/>
      <c r="AJ553" s="44"/>
      <c r="AM553" s="44"/>
      <c r="AN553" s="44"/>
      <c r="AO553" s="44"/>
      <c r="AP553" s="44"/>
    </row>
    <row r="554" spans="1:42">
      <c r="A554" s="44"/>
      <c r="C554" s="44"/>
      <c r="D554" s="44"/>
      <c r="E554" s="44"/>
      <c r="F554" s="44"/>
      <c r="J554" s="44"/>
      <c r="K554" s="44"/>
      <c r="L554" s="44"/>
      <c r="M554" s="44"/>
      <c r="N554" s="44"/>
      <c r="O554" s="44"/>
      <c r="P554" s="44"/>
      <c r="Q554" s="44"/>
      <c r="R554" s="44"/>
      <c r="T554" s="44"/>
      <c r="U554" s="44"/>
      <c r="V554" s="44"/>
      <c r="AB554" s="44"/>
      <c r="AC554" s="44"/>
      <c r="AD554" s="44"/>
      <c r="AE554" s="44"/>
      <c r="AF554" s="44"/>
      <c r="AG554" s="102"/>
      <c r="AH554" s="44"/>
      <c r="AI554" s="44"/>
      <c r="AJ554" s="44"/>
      <c r="AK554" s="102"/>
      <c r="AL554" s="44"/>
      <c r="AM554" s="44"/>
      <c r="AN554" s="44"/>
      <c r="AO554" s="44"/>
      <c r="AP554" s="44"/>
    </row>
    <row r="555" spans="1:42">
      <c r="A555" s="44"/>
      <c r="C555" s="44"/>
      <c r="D555" s="44"/>
      <c r="E555" s="44"/>
      <c r="F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T555" s="44"/>
      <c r="U555" s="44"/>
      <c r="V555" s="44"/>
      <c r="AA555" s="44"/>
      <c r="AB555" s="44"/>
      <c r="AC555" s="44"/>
      <c r="AD555" s="44"/>
      <c r="AE555" s="44"/>
      <c r="AF555" s="44"/>
      <c r="AG555" s="102"/>
      <c r="AH555" s="44"/>
      <c r="AI555" s="44"/>
      <c r="AJ555" s="44"/>
      <c r="AK555" s="102"/>
      <c r="AL555" s="44"/>
      <c r="AM555" s="44"/>
      <c r="AN555" s="44"/>
      <c r="AO555" s="44"/>
      <c r="AP555" s="44"/>
    </row>
    <row r="556" spans="1:42">
      <c r="C556" s="44"/>
      <c r="D556" s="44"/>
      <c r="E556" s="44"/>
      <c r="F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T556" s="44"/>
      <c r="U556" s="44"/>
      <c r="V556" s="44"/>
      <c r="AA556" s="44"/>
      <c r="AB556" s="44"/>
      <c r="AC556" s="44"/>
      <c r="AD556" s="44"/>
      <c r="AE556" s="44"/>
      <c r="AF556" s="44"/>
      <c r="AG556" s="102"/>
      <c r="AH556" s="44"/>
      <c r="AI556" s="44"/>
      <c r="AJ556" s="44"/>
      <c r="AK556" s="102"/>
      <c r="AL556" s="44"/>
      <c r="AM556" s="44"/>
      <c r="AN556" s="44"/>
      <c r="AO556" s="44"/>
      <c r="AP556" s="44"/>
    </row>
    <row r="557" spans="1:42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107"/>
      <c r="AH557" s="49"/>
      <c r="AI557" s="49"/>
      <c r="AJ557" s="49"/>
      <c r="AK557" s="107"/>
      <c r="AL557" s="49"/>
      <c r="AM557" s="49"/>
      <c r="AN557" s="49"/>
      <c r="AO557" s="49"/>
      <c r="AP557" s="49"/>
    </row>
    <row r="558" spans="1:42"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AA558" s="44"/>
      <c r="AB558" s="44"/>
      <c r="AC558" s="44"/>
      <c r="AD558" s="44"/>
      <c r="AE558" s="44"/>
      <c r="AF558" s="44"/>
      <c r="AG558" s="102"/>
      <c r="AH558" s="44"/>
      <c r="AI558" s="44"/>
      <c r="AJ558" s="44"/>
      <c r="AK558" s="102"/>
      <c r="AL558" s="44"/>
      <c r="AM558" s="44"/>
      <c r="AN558" s="44"/>
      <c r="AO558" s="44"/>
      <c r="AP558" s="44"/>
    </row>
    <row r="559" spans="1:42">
      <c r="C559" s="42"/>
      <c r="D559" s="42"/>
      <c r="E559" s="42"/>
      <c r="T559" s="42"/>
      <c r="U559" s="42"/>
    </row>
    <row r="561" spans="3:42">
      <c r="C561" s="42"/>
      <c r="D561" s="42"/>
      <c r="E561" s="42"/>
      <c r="T561" s="42"/>
      <c r="U561" s="42"/>
    </row>
    <row r="562" spans="3:42">
      <c r="C562" s="42"/>
      <c r="T562" s="42"/>
    </row>
    <row r="563" spans="3:42">
      <c r="C563" s="42"/>
      <c r="T563" s="42"/>
    </row>
    <row r="564" spans="3:42">
      <c r="C564" s="42"/>
      <c r="H564" s="164"/>
      <c r="I564" s="164"/>
      <c r="J564" s="132"/>
      <c r="K564" s="132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45"/>
      <c r="AA564" s="45"/>
      <c r="AB564" s="132"/>
      <c r="AC564" s="45"/>
      <c r="AD564" s="45"/>
      <c r="AE564" s="46"/>
      <c r="AF564" s="46"/>
      <c r="AH564" s="45"/>
      <c r="AI564" s="51"/>
      <c r="AJ564" s="51"/>
      <c r="AL564" s="45"/>
      <c r="AM564" s="45"/>
      <c r="AN564" s="45"/>
      <c r="AO564" s="46"/>
      <c r="AP564" s="46"/>
    </row>
    <row r="565" spans="3:42">
      <c r="C565" s="42"/>
      <c r="F565" s="164"/>
      <c r="J565" s="56"/>
      <c r="K565" s="56"/>
      <c r="T565" s="42"/>
      <c r="V565" s="45"/>
      <c r="W565" s="45"/>
      <c r="X565" s="45"/>
      <c r="Y565" s="45"/>
      <c r="Z565" s="45"/>
      <c r="AA565" s="45"/>
      <c r="AB565" s="132"/>
    </row>
    <row r="566" spans="3:42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45"/>
      <c r="AA566" s="45"/>
      <c r="AB566" s="132"/>
      <c r="AC566" s="45"/>
      <c r="AD566" s="45"/>
      <c r="AE566" s="46"/>
      <c r="AF566" s="46"/>
      <c r="AH566" s="45"/>
      <c r="AI566" s="51"/>
      <c r="AJ566" s="51"/>
      <c r="AL566" s="45"/>
      <c r="AM566" s="45"/>
      <c r="AN566" s="45"/>
      <c r="AO566" s="46"/>
      <c r="AP566" s="46"/>
    </row>
    <row r="567" spans="3:42">
      <c r="C567" s="42"/>
      <c r="F567" s="164"/>
      <c r="J567" s="56"/>
      <c r="K567" s="56"/>
      <c r="T567" s="42"/>
      <c r="V567" s="45"/>
      <c r="W567" s="45"/>
      <c r="X567" s="45"/>
      <c r="Y567" s="45"/>
      <c r="Z567" s="45"/>
      <c r="AA567" s="45"/>
      <c r="AB567" s="132"/>
    </row>
    <row r="568" spans="3:42">
      <c r="C568" s="42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45"/>
      <c r="AA568" s="45"/>
      <c r="AB568" s="132"/>
      <c r="AC568" s="45"/>
      <c r="AD568" s="45"/>
      <c r="AE568" s="46"/>
      <c r="AF568" s="46"/>
      <c r="AH568" s="45"/>
      <c r="AI568" s="51"/>
      <c r="AJ568" s="51"/>
      <c r="AL568" s="45"/>
      <c r="AM568" s="45"/>
      <c r="AN568" s="45"/>
      <c r="AO568" s="46"/>
      <c r="AP568" s="46"/>
    </row>
    <row r="569" spans="3:42">
      <c r="C569" s="42"/>
      <c r="F569" s="164"/>
      <c r="J569" s="56"/>
      <c r="K569" s="56"/>
      <c r="T569" s="42"/>
      <c r="V569" s="45"/>
      <c r="W569" s="45"/>
      <c r="X569" s="45"/>
      <c r="Y569" s="45"/>
      <c r="Z569" s="45"/>
      <c r="AA569" s="45"/>
      <c r="AB569" s="132"/>
    </row>
    <row r="570" spans="3:42">
      <c r="C570" s="42"/>
      <c r="H570" s="164"/>
      <c r="I570" s="164"/>
      <c r="J570" s="132"/>
      <c r="K570" s="132"/>
      <c r="L570" s="45"/>
      <c r="M570" s="45"/>
      <c r="N570" s="46"/>
      <c r="O570" s="46"/>
      <c r="P570" s="45"/>
      <c r="Q570" s="45"/>
      <c r="R570" s="45"/>
      <c r="T570" s="42"/>
      <c r="V570" s="45"/>
      <c r="W570" s="45"/>
      <c r="X570" s="45"/>
      <c r="Y570" s="45"/>
      <c r="Z570" s="45"/>
      <c r="AA570" s="45"/>
      <c r="AB570" s="132"/>
      <c r="AC570" s="45"/>
      <c r="AD570" s="45"/>
      <c r="AE570" s="46"/>
      <c r="AF570" s="46"/>
      <c r="AH570" s="45"/>
      <c r="AI570" s="51"/>
      <c r="AJ570" s="51"/>
      <c r="AL570" s="45"/>
      <c r="AM570" s="45"/>
      <c r="AN570" s="45"/>
      <c r="AO570" s="46"/>
      <c r="AP570" s="46"/>
    </row>
    <row r="571" spans="3:42">
      <c r="C571" s="42"/>
      <c r="F571" s="164"/>
      <c r="J571" s="56"/>
      <c r="K571" s="56"/>
      <c r="T571" s="42"/>
      <c r="V571" s="45"/>
      <c r="W571" s="45"/>
      <c r="X571" s="45"/>
      <c r="Y571" s="45"/>
      <c r="Z571" s="45"/>
      <c r="AA571" s="45"/>
      <c r="AB571" s="132"/>
    </row>
    <row r="572" spans="3:42">
      <c r="C572" s="42"/>
      <c r="H572" s="164"/>
      <c r="I572" s="164"/>
      <c r="J572" s="132"/>
      <c r="K572" s="132"/>
      <c r="L572" s="45"/>
      <c r="M572" s="45"/>
      <c r="N572" s="46"/>
      <c r="O572" s="46"/>
      <c r="P572" s="45"/>
      <c r="Q572" s="45"/>
      <c r="R572" s="45"/>
      <c r="T572" s="42"/>
      <c r="V572" s="45"/>
      <c r="W572" s="45"/>
      <c r="X572" s="45"/>
      <c r="Y572" s="45"/>
      <c r="Z572" s="45"/>
      <c r="AA572" s="45"/>
      <c r="AB572" s="132"/>
      <c r="AC572" s="45"/>
      <c r="AD572" s="45"/>
      <c r="AE572" s="46"/>
      <c r="AF572" s="46"/>
      <c r="AH572" s="45"/>
      <c r="AI572" s="51"/>
      <c r="AJ572" s="51"/>
      <c r="AL572" s="45"/>
      <c r="AM572" s="45"/>
      <c r="AN572" s="45"/>
      <c r="AO572" s="46"/>
      <c r="AP572" s="46"/>
    </row>
    <row r="573" spans="3:42">
      <c r="C573" s="42"/>
      <c r="F573" s="164"/>
      <c r="J573" s="56"/>
      <c r="K573" s="56"/>
      <c r="T573" s="42"/>
      <c r="V573" s="45"/>
      <c r="W573" s="45"/>
      <c r="X573" s="45"/>
      <c r="Y573" s="45"/>
      <c r="Z573" s="45"/>
      <c r="AA573" s="45"/>
      <c r="AB573" s="132"/>
    </row>
    <row r="574" spans="3:42">
      <c r="C574" s="42"/>
      <c r="H574" s="164"/>
      <c r="I574" s="164"/>
      <c r="J574" s="132"/>
      <c r="K574" s="132"/>
      <c r="L574" s="45"/>
      <c r="M574" s="45"/>
      <c r="N574" s="46"/>
      <c r="O574" s="46"/>
      <c r="P574" s="45"/>
      <c r="Q574" s="45"/>
      <c r="R574" s="45"/>
      <c r="T574" s="42"/>
      <c r="V574" s="45"/>
      <c r="W574" s="45"/>
      <c r="X574" s="45"/>
      <c r="Y574" s="45"/>
      <c r="Z574" s="45"/>
      <c r="AA574" s="45"/>
      <c r="AB574" s="132"/>
      <c r="AC574" s="45"/>
      <c r="AD574" s="45"/>
      <c r="AE574" s="46"/>
      <c r="AF574" s="46"/>
      <c r="AH574" s="45"/>
      <c r="AI574" s="51"/>
      <c r="AJ574" s="51"/>
      <c r="AL574" s="45"/>
      <c r="AM574" s="45"/>
      <c r="AN574" s="45"/>
      <c r="AO574" s="46"/>
      <c r="AP574" s="46"/>
    </row>
    <row r="575" spans="3:42">
      <c r="F575" s="164"/>
      <c r="H575" s="50"/>
      <c r="I575" s="50"/>
      <c r="J575" s="132"/>
      <c r="K575" s="132"/>
      <c r="L575" s="50"/>
      <c r="M575" s="50"/>
      <c r="N575" s="50"/>
      <c r="O575" s="50"/>
      <c r="P575" s="50"/>
      <c r="Q575" s="50"/>
      <c r="R575" s="50"/>
      <c r="V575" s="50"/>
      <c r="AA575" s="50"/>
      <c r="AB575" s="132"/>
      <c r="AC575" s="50"/>
      <c r="AD575" s="50"/>
      <c r="AE575" s="50"/>
      <c r="AF575" s="50"/>
      <c r="AG575" s="111"/>
      <c r="AH575" s="50"/>
      <c r="AK575" s="111"/>
      <c r="AL575" s="50"/>
      <c r="AM575" s="50"/>
      <c r="AN575" s="50"/>
      <c r="AO575" s="46"/>
      <c r="AP575" s="46"/>
    </row>
    <row r="576" spans="3:42">
      <c r="C576" s="42"/>
      <c r="F576" s="50"/>
      <c r="H576" s="45"/>
      <c r="I576" s="45"/>
      <c r="J576" s="56"/>
      <c r="K576" s="56"/>
      <c r="L576" s="45"/>
      <c r="M576" s="45"/>
      <c r="N576" s="46"/>
      <c r="O576" s="46"/>
      <c r="P576" s="164"/>
      <c r="Q576" s="164"/>
      <c r="R576" s="45"/>
      <c r="T576" s="42"/>
      <c r="V576" s="45"/>
      <c r="W576" s="45"/>
      <c r="X576" s="45"/>
      <c r="Y576" s="45"/>
      <c r="Z576" s="45"/>
      <c r="AA576" s="45"/>
      <c r="AB576" s="132"/>
      <c r="AC576" s="45"/>
      <c r="AD576" s="45"/>
      <c r="AE576" s="46"/>
      <c r="AF576" s="46"/>
      <c r="AH576" s="45"/>
      <c r="AI576" s="51"/>
      <c r="AJ576" s="51"/>
      <c r="AK576" s="333"/>
      <c r="AL576" s="164"/>
      <c r="AM576" s="45"/>
      <c r="AN576" s="45"/>
      <c r="AO576" s="46"/>
      <c r="AP576" s="46"/>
    </row>
    <row r="577" spans="3:42">
      <c r="F577" s="45"/>
      <c r="H577" s="50"/>
      <c r="I577" s="50"/>
      <c r="J577" s="132"/>
      <c r="K577" s="132"/>
      <c r="L577" s="50"/>
      <c r="M577" s="50"/>
      <c r="N577" s="50"/>
      <c r="O577" s="50"/>
      <c r="P577" s="50"/>
      <c r="Q577" s="50"/>
      <c r="R577" s="50"/>
      <c r="V577" s="50"/>
      <c r="AA577" s="50"/>
      <c r="AB577" s="132"/>
      <c r="AC577" s="50"/>
      <c r="AD577" s="50"/>
      <c r="AE577" s="50"/>
      <c r="AF577" s="50"/>
      <c r="AG577" s="111"/>
      <c r="AH577" s="50"/>
      <c r="AK577" s="111"/>
      <c r="AL577" s="50"/>
      <c r="AM577" s="50"/>
      <c r="AN577" s="50"/>
    </row>
    <row r="578" spans="3:42">
      <c r="C578" s="42"/>
      <c r="D578" s="42"/>
      <c r="E578" s="42"/>
      <c r="F578" s="50"/>
      <c r="J578" s="56"/>
      <c r="K578" s="56"/>
      <c r="T578" s="42"/>
      <c r="U578" s="42"/>
      <c r="V578" s="45"/>
      <c r="W578" s="45"/>
      <c r="X578" s="45"/>
      <c r="Y578" s="45"/>
      <c r="Z578" s="45"/>
      <c r="AA578" s="45"/>
      <c r="AB578" s="132"/>
    </row>
    <row r="579" spans="3:42">
      <c r="C579" s="42"/>
      <c r="J579" s="56"/>
      <c r="K579" s="56"/>
      <c r="T579" s="42"/>
      <c r="V579" s="45"/>
      <c r="W579" s="45"/>
      <c r="X579" s="45"/>
      <c r="Y579" s="45"/>
      <c r="Z579" s="45"/>
      <c r="AA579" s="45"/>
      <c r="AB579" s="132"/>
    </row>
    <row r="580" spans="3:42">
      <c r="C580" s="42"/>
      <c r="J580" s="56"/>
      <c r="K580" s="56"/>
      <c r="T580" s="42"/>
      <c r="V580" s="45"/>
      <c r="W580" s="45"/>
      <c r="X580" s="45"/>
      <c r="Y580" s="45"/>
      <c r="Z580" s="45"/>
      <c r="AA580" s="45"/>
      <c r="AB580" s="132"/>
    </row>
    <row r="581" spans="3:42">
      <c r="C581" s="42"/>
      <c r="H581" s="164"/>
      <c r="I581" s="164"/>
      <c r="J581" s="132"/>
      <c r="K581" s="132"/>
      <c r="L581" s="45"/>
      <c r="M581" s="45"/>
      <c r="N581" s="46"/>
      <c r="O581" s="46"/>
      <c r="P581" s="45"/>
      <c r="Q581" s="45"/>
      <c r="R581" s="45"/>
      <c r="T581" s="42"/>
      <c r="V581" s="45"/>
      <c r="W581" s="45"/>
      <c r="X581" s="45"/>
      <c r="Y581" s="45"/>
      <c r="Z581" s="45"/>
      <c r="AA581" s="45"/>
      <c r="AB581" s="132"/>
      <c r="AC581" s="45"/>
      <c r="AD581" s="45"/>
      <c r="AE581" s="46"/>
      <c r="AF581" s="46"/>
      <c r="AH581" s="45"/>
      <c r="AI581" s="51"/>
      <c r="AJ581" s="51"/>
      <c r="AL581" s="45"/>
      <c r="AM581" s="45"/>
      <c r="AN581" s="45"/>
      <c r="AO581" s="46"/>
      <c r="AP581" s="46"/>
    </row>
    <row r="582" spans="3:42">
      <c r="C582" s="42"/>
      <c r="F582" s="164"/>
      <c r="J582" s="56"/>
      <c r="K582" s="56"/>
      <c r="T582" s="42"/>
      <c r="V582" s="45"/>
      <c r="W582" s="45"/>
      <c r="X582" s="45"/>
      <c r="Y582" s="45"/>
      <c r="Z582" s="45"/>
      <c r="AA582" s="45"/>
      <c r="AB582" s="132"/>
    </row>
    <row r="583" spans="3:42">
      <c r="C583" s="42"/>
      <c r="H583" s="164"/>
      <c r="I583" s="164"/>
      <c r="J583" s="132"/>
      <c r="K583" s="132"/>
      <c r="L583" s="45"/>
      <c r="M583" s="45"/>
      <c r="N583" s="46"/>
      <c r="O583" s="46"/>
      <c r="P583" s="45"/>
      <c r="Q583" s="45"/>
      <c r="R583" s="45"/>
      <c r="T583" s="42"/>
      <c r="V583" s="45"/>
      <c r="W583" s="45"/>
      <c r="X583" s="45"/>
      <c r="Y583" s="45"/>
      <c r="Z583" s="45"/>
      <c r="AA583" s="45"/>
      <c r="AB583" s="132"/>
      <c r="AC583" s="45"/>
      <c r="AD583" s="45"/>
      <c r="AE583" s="46"/>
      <c r="AF583" s="46"/>
      <c r="AH583" s="45"/>
      <c r="AI583" s="51"/>
      <c r="AJ583" s="51"/>
      <c r="AL583" s="45"/>
      <c r="AM583" s="45"/>
      <c r="AN583" s="45"/>
      <c r="AO583" s="46"/>
      <c r="AP583" s="46"/>
    </row>
    <row r="584" spans="3:42">
      <c r="F584" s="164"/>
      <c r="H584" s="50"/>
      <c r="I584" s="50"/>
      <c r="J584" s="132"/>
      <c r="K584" s="132"/>
      <c r="L584" s="50"/>
      <c r="M584" s="50"/>
      <c r="N584" s="50"/>
      <c r="O584" s="50"/>
      <c r="P584" s="50"/>
      <c r="Q584" s="50"/>
      <c r="R584" s="50"/>
      <c r="V584" s="50"/>
      <c r="AA584" s="50"/>
      <c r="AB584" s="326"/>
      <c r="AC584" s="50"/>
      <c r="AD584" s="50"/>
      <c r="AE584" s="50"/>
      <c r="AF584" s="50"/>
      <c r="AG584" s="111"/>
      <c r="AH584" s="50"/>
      <c r="AK584" s="111"/>
      <c r="AL584" s="50"/>
      <c r="AM584" s="50"/>
      <c r="AN584" s="50"/>
    </row>
    <row r="585" spans="3:42">
      <c r="C585" s="42"/>
      <c r="F585" s="50"/>
      <c r="H585" s="45"/>
      <c r="I585" s="45"/>
      <c r="L585" s="45"/>
      <c r="M585" s="45"/>
      <c r="N585" s="46"/>
      <c r="O585" s="46"/>
      <c r="P585" s="164"/>
      <c r="Q585" s="164"/>
      <c r="R585" s="45"/>
      <c r="T585" s="42"/>
      <c r="V585" s="45"/>
      <c r="W585" s="45"/>
      <c r="X585" s="45"/>
      <c r="Y585" s="45"/>
      <c r="Z585" s="45"/>
      <c r="AA585" s="45"/>
      <c r="AB585" s="336"/>
      <c r="AC585" s="45"/>
      <c r="AD585" s="45"/>
      <c r="AE585" s="46"/>
      <c r="AF585" s="46"/>
      <c r="AH585" s="45"/>
      <c r="AI585" s="51"/>
      <c r="AJ585" s="51"/>
      <c r="AK585" s="333"/>
      <c r="AL585" s="164"/>
      <c r="AM585" s="45"/>
      <c r="AN585" s="45"/>
      <c r="AO585" s="46"/>
      <c r="AP585" s="46"/>
    </row>
    <row r="586" spans="3:42">
      <c r="F586" s="45"/>
      <c r="H586" s="50"/>
      <c r="I586" s="50"/>
      <c r="J586" s="326"/>
      <c r="K586" s="326"/>
      <c r="L586" s="50"/>
      <c r="M586" s="50"/>
      <c r="N586" s="50"/>
      <c r="O586" s="50"/>
      <c r="P586" s="50"/>
      <c r="Q586" s="50"/>
      <c r="R586" s="50"/>
      <c r="V586" s="50"/>
      <c r="AA586" s="50"/>
      <c r="AB586" s="326"/>
      <c r="AC586" s="50"/>
      <c r="AD586" s="50"/>
      <c r="AE586" s="50"/>
      <c r="AF586" s="50"/>
      <c r="AG586" s="111"/>
      <c r="AH586" s="50"/>
      <c r="AK586" s="111"/>
      <c r="AL586" s="50"/>
      <c r="AM586" s="50"/>
      <c r="AN586" s="50"/>
    </row>
    <row r="587" spans="3:42">
      <c r="C587" s="42"/>
      <c r="D587" s="42"/>
      <c r="E587" s="42"/>
      <c r="F587" s="50"/>
      <c r="T587" s="42"/>
      <c r="U587" s="42"/>
      <c r="V587" s="45"/>
      <c r="W587" s="45"/>
      <c r="X587" s="45"/>
      <c r="Y587" s="45"/>
      <c r="Z587" s="45"/>
      <c r="AA587" s="45"/>
      <c r="AB587" s="336"/>
    </row>
    <row r="588" spans="3:42">
      <c r="C588" s="42"/>
      <c r="T588" s="42"/>
      <c r="V588" s="45"/>
      <c r="W588" s="45"/>
      <c r="X588" s="45"/>
      <c r="Y588" s="45"/>
      <c r="Z588" s="45"/>
      <c r="AA588" s="45"/>
      <c r="AB588" s="336"/>
    </row>
    <row r="589" spans="3:42">
      <c r="C589" s="42"/>
      <c r="H589" s="164"/>
      <c r="I589" s="164"/>
      <c r="J589" s="336"/>
      <c r="K589" s="33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45"/>
      <c r="AA589" s="45"/>
      <c r="AB589" s="336"/>
      <c r="AC589" s="45"/>
      <c r="AD589" s="45"/>
      <c r="AE589" s="46"/>
      <c r="AF589" s="46"/>
      <c r="AH589" s="45"/>
      <c r="AI589" s="51"/>
      <c r="AJ589" s="51"/>
      <c r="AL589" s="45"/>
      <c r="AM589" s="45"/>
      <c r="AN589" s="45"/>
      <c r="AO589" s="46"/>
      <c r="AP589" s="46"/>
    </row>
    <row r="590" spans="3:42">
      <c r="C590" s="42"/>
      <c r="F590" s="164"/>
      <c r="T590" s="42"/>
      <c r="V590" s="45"/>
      <c r="W590" s="45"/>
      <c r="X590" s="45"/>
      <c r="Y590" s="45"/>
      <c r="Z590" s="45"/>
      <c r="AA590" s="45"/>
      <c r="AB590" s="336"/>
    </row>
    <row r="591" spans="3:42">
      <c r="C591" s="42"/>
      <c r="H591" s="164"/>
      <c r="I591" s="164"/>
      <c r="J591" s="336"/>
      <c r="K591" s="336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Z591" s="45"/>
      <c r="AA591" s="45"/>
      <c r="AB591" s="336"/>
      <c r="AC591" s="45"/>
      <c r="AD591" s="45"/>
      <c r="AE591" s="46"/>
      <c r="AF591" s="46"/>
      <c r="AH591" s="45"/>
      <c r="AI591" s="51"/>
      <c r="AJ591" s="51"/>
      <c r="AL591" s="45"/>
      <c r="AM591" s="45"/>
      <c r="AN591" s="45"/>
      <c r="AO591" s="46"/>
      <c r="AP591" s="46"/>
    </row>
    <row r="592" spans="3:42">
      <c r="C592" s="42"/>
      <c r="F592" s="164"/>
      <c r="T592" s="42"/>
      <c r="V592" s="45"/>
      <c r="W592" s="45"/>
      <c r="X592" s="45"/>
      <c r="Y592" s="45"/>
      <c r="Z592" s="45"/>
      <c r="AA592" s="45"/>
      <c r="AB592" s="336"/>
    </row>
    <row r="593" spans="1:42">
      <c r="C593" s="42"/>
      <c r="H593" s="164"/>
      <c r="I593" s="164"/>
      <c r="J593" s="336"/>
      <c r="K593" s="336"/>
      <c r="L593" s="45"/>
      <c r="M593" s="45"/>
      <c r="N593" s="46"/>
      <c r="O593" s="46"/>
      <c r="P593" s="45"/>
      <c r="Q593" s="45"/>
      <c r="R593" s="45"/>
      <c r="T593" s="42"/>
      <c r="V593" s="45"/>
      <c r="W593" s="45"/>
      <c r="X593" s="45"/>
      <c r="Y593" s="45"/>
      <c r="Z593" s="45"/>
      <c r="AA593" s="45"/>
      <c r="AB593" s="336"/>
      <c r="AC593" s="45"/>
      <c r="AD593" s="45"/>
      <c r="AE593" s="46"/>
      <c r="AF593" s="46"/>
      <c r="AH593" s="45"/>
      <c r="AI593" s="51"/>
      <c r="AJ593" s="51"/>
      <c r="AL593" s="45"/>
      <c r="AM593" s="45"/>
      <c r="AN593" s="45"/>
      <c r="AO593" s="46"/>
      <c r="AP593" s="46"/>
    </row>
    <row r="594" spans="1:42">
      <c r="C594" s="42"/>
      <c r="F594" s="164"/>
      <c r="T594" s="42"/>
      <c r="V594" s="45"/>
      <c r="W594" s="45"/>
      <c r="X594" s="45"/>
      <c r="Y594" s="45"/>
      <c r="Z594" s="45"/>
      <c r="AA594" s="45"/>
      <c r="AB594" s="336"/>
    </row>
    <row r="595" spans="1:42">
      <c r="C595" s="42"/>
      <c r="H595" s="164"/>
      <c r="I595" s="164"/>
      <c r="J595" s="336"/>
      <c r="K595" s="336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Z595" s="45"/>
      <c r="AA595" s="45"/>
      <c r="AB595" s="336"/>
      <c r="AC595" s="45"/>
      <c r="AD595" s="45"/>
      <c r="AE595" s="46"/>
      <c r="AF595" s="46"/>
      <c r="AH595" s="45"/>
      <c r="AI595" s="51"/>
      <c r="AJ595" s="51"/>
      <c r="AL595" s="45"/>
      <c r="AM595" s="45"/>
      <c r="AN595" s="45"/>
      <c r="AO595" s="46"/>
      <c r="AP595" s="46"/>
    </row>
    <row r="596" spans="1:42">
      <c r="F596" s="164"/>
      <c r="H596" s="50"/>
      <c r="I596" s="50"/>
      <c r="J596" s="326"/>
      <c r="K596" s="326"/>
      <c r="L596" s="50"/>
      <c r="M596" s="50"/>
      <c r="N596" s="50"/>
      <c r="O596" s="50"/>
      <c r="P596" s="50"/>
      <c r="Q596" s="50"/>
      <c r="R596" s="50"/>
      <c r="V596" s="50"/>
      <c r="AA596" s="50"/>
      <c r="AB596" s="326"/>
      <c r="AC596" s="50"/>
      <c r="AD596" s="50"/>
      <c r="AE596" s="50"/>
      <c r="AF596" s="50"/>
      <c r="AG596" s="111"/>
      <c r="AH596" s="50"/>
      <c r="AK596" s="111"/>
      <c r="AL596" s="50"/>
      <c r="AM596" s="50"/>
      <c r="AN596" s="50"/>
    </row>
    <row r="597" spans="1:42">
      <c r="C597" s="42"/>
      <c r="F597" s="50"/>
      <c r="H597" s="45"/>
      <c r="I597" s="45"/>
      <c r="L597" s="45"/>
      <c r="M597" s="45"/>
      <c r="N597" s="46"/>
      <c r="O597" s="46"/>
      <c r="P597" s="164"/>
      <c r="Q597" s="164"/>
      <c r="R597" s="45"/>
      <c r="T597" s="42"/>
      <c r="V597" s="45"/>
      <c r="W597" s="45"/>
      <c r="X597" s="45"/>
      <c r="Y597" s="45"/>
      <c r="Z597" s="45"/>
      <c r="AA597" s="45"/>
      <c r="AB597" s="336"/>
      <c r="AC597" s="45"/>
      <c r="AD597" s="45"/>
      <c r="AE597" s="46"/>
      <c r="AF597" s="46"/>
      <c r="AH597" s="45"/>
      <c r="AI597" s="51"/>
      <c r="AJ597" s="51"/>
      <c r="AK597" s="333"/>
      <c r="AL597" s="164"/>
      <c r="AM597" s="45"/>
      <c r="AN597" s="45"/>
      <c r="AO597" s="46"/>
      <c r="AP597" s="46"/>
    </row>
    <row r="598" spans="1:42">
      <c r="F598" s="45"/>
      <c r="H598" s="50"/>
      <c r="I598" s="50"/>
      <c r="J598" s="326"/>
      <c r="K598" s="326"/>
      <c r="L598" s="50"/>
      <c r="M598" s="50"/>
      <c r="N598" s="50"/>
      <c r="O598" s="50"/>
      <c r="P598" s="50"/>
      <c r="Q598" s="50"/>
      <c r="R598" s="50"/>
      <c r="V598" s="50"/>
      <c r="AA598" s="50"/>
      <c r="AB598" s="326"/>
      <c r="AC598" s="50"/>
      <c r="AD598" s="50"/>
      <c r="AE598" s="50"/>
      <c r="AF598" s="50"/>
      <c r="AG598" s="111"/>
      <c r="AH598" s="50"/>
      <c r="AK598" s="111"/>
      <c r="AL598" s="50"/>
      <c r="AM598" s="50"/>
      <c r="AN598" s="50"/>
    </row>
    <row r="599" spans="1:42">
      <c r="C599" s="42"/>
      <c r="F599" s="50"/>
      <c r="H599" s="45"/>
      <c r="I599" s="45"/>
      <c r="L599" s="45"/>
      <c r="M599" s="45"/>
      <c r="N599" s="46"/>
      <c r="O599" s="46"/>
      <c r="P599" s="45"/>
      <c r="Q599" s="45"/>
      <c r="R599" s="45"/>
      <c r="T599" s="42"/>
      <c r="V599" s="45"/>
      <c r="W599" s="45"/>
      <c r="X599" s="45"/>
      <c r="Y599" s="45"/>
      <c r="Z599" s="45"/>
      <c r="AA599" s="45"/>
      <c r="AC599" s="45"/>
      <c r="AD599" s="45"/>
      <c r="AE599" s="46"/>
      <c r="AF599" s="46"/>
      <c r="AH599" s="45"/>
      <c r="AI599" s="51"/>
      <c r="AJ599" s="51"/>
      <c r="AL599" s="45"/>
      <c r="AM599" s="45"/>
      <c r="AN599" s="45"/>
      <c r="AO599" s="51"/>
      <c r="AP599" s="51"/>
    </row>
    <row r="600" spans="1:42">
      <c r="F600" s="45"/>
      <c r="H600" s="50"/>
      <c r="I600" s="50"/>
      <c r="J600" s="326"/>
      <c r="K600" s="326"/>
      <c r="L600" s="50"/>
      <c r="M600" s="50"/>
      <c r="N600" s="50"/>
      <c r="O600" s="50"/>
      <c r="P600" s="50"/>
      <c r="Q600" s="50"/>
      <c r="R600" s="50"/>
      <c r="V600" s="50"/>
      <c r="AA600" s="50"/>
      <c r="AB600" s="326"/>
      <c r="AC600" s="50"/>
      <c r="AD600" s="50"/>
      <c r="AE600" s="50"/>
      <c r="AF600" s="50"/>
      <c r="AG600" s="111"/>
      <c r="AH600" s="50"/>
      <c r="AK600" s="111"/>
      <c r="AL600" s="50"/>
      <c r="AM600" s="50"/>
      <c r="AN600" s="50"/>
    </row>
    <row r="602" spans="1:42">
      <c r="F602" s="50"/>
    </row>
    <row r="603" spans="1:42">
      <c r="A603" s="42"/>
    </row>
    <row r="605" spans="1:42">
      <c r="H605" s="42"/>
      <c r="I605" s="42"/>
      <c r="AA605" s="42"/>
    </row>
    <row r="607" spans="1:42">
      <c r="L607" s="42"/>
      <c r="M607" s="42"/>
      <c r="AC607" s="42"/>
      <c r="AD607" s="42"/>
    </row>
    <row r="608" spans="1:42">
      <c r="R608" s="42"/>
      <c r="AM608" s="42"/>
      <c r="AN608" s="42"/>
    </row>
    <row r="609" spans="1:42">
      <c r="R609" s="42"/>
      <c r="AM609" s="42"/>
      <c r="AN609" s="42"/>
    </row>
    <row r="610" spans="1:42">
      <c r="A610" s="42"/>
      <c r="R610" s="42"/>
      <c r="AM610" s="42"/>
      <c r="AN610" s="42"/>
    </row>
    <row r="611" spans="1:42">
      <c r="L611" s="42"/>
      <c r="M611" s="42"/>
      <c r="AC611" s="42"/>
      <c r="AD611" s="42"/>
    </row>
    <row r="612" spans="1:42">
      <c r="A612" s="49"/>
      <c r="B612" s="49"/>
      <c r="C612" s="49"/>
      <c r="D612" s="49"/>
      <c r="E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107"/>
      <c r="AH612" s="49"/>
      <c r="AI612" s="49"/>
      <c r="AJ612" s="49"/>
      <c r="AK612" s="107"/>
      <c r="AL612" s="49"/>
      <c r="AM612" s="49"/>
      <c r="AN612" s="49"/>
      <c r="AO612" s="49"/>
      <c r="AP612" s="49"/>
    </row>
    <row r="613" spans="1:42">
      <c r="F613" s="49"/>
      <c r="L613" s="44"/>
      <c r="M613" s="44"/>
      <c r="N613" s="44"/>
      <c r="O613" s="44"/>
      <c r="R613" s="44"/>
      <c r="AC613" s="44"/>
      <c r="AD613" s="44"/>
      <c r="AE613" s="44"/>
      <c r="AF613" s="44"/>
      <c r="AG613" s="102"/>
      <c r="AH613" s="44"/>
      <c r="AI613" s="44"/>
      <c r="AJ613" s="44"/>
      <c r="AM613" s="44"/>
      <c r="AN613" s="44"/>
      <c r="AO613" s="44"/>
      <c r="AP613" s="44"/>
    </row>
    <row r="614" spans="1:42">
      <c r="L614" s="44"/>
      <c r="M614" s="44"/>
      <c r="N614" s="44"/>
      <c r="O614" s="44"/>
      <c r="R614" s="44"/>
      <c r="AB614" s="44"/>
      <c r="AC614" s="44"/>
      <c r="AD614" s="44"/>
      <c r="AE614" s="44"/>
      <c r="AF614" s="44"/>
      <c r="AG614" s="102"/>
      <c r="AH614" s="44"/>
      <c r="AI614" s="44"/>
      <c r="AJ614" s="44"/>
      <c r="AM614" s="44"/>
      <c r="AN614" s="44"/>
      <c r="AO614" s="44"/>
      <c r="AP614" s="44"/>
    </row>
    <row r="615" spans="1:42">
      <c r="A615" s="44"/>
      <c r="C615" s="44"/>
      <c r="D615" s="44"/>
      <c r="E615" s="44"/>
      <c r="J615" s="44"/>
      <c r="K615" s="44"/>
      <c r="L615" s="44"/>
      <c r="M615" s="44"/>
      <c r="N615" s="44"/>
      <c r="O615" s="44"/>
      <c r="P615" s="44"/>
      <c r="Q615" s="44"/>
      <c r="R615" s="44"/>
      <c r="T615" s="44"/>
      <c r="U615" s="44"/>
      <c r="V615" s="44"/>
      <c r="AB615" s="44"/>
      <c r="AC615" s="44"/>
      <c r="AD615" s="44"/>
      <c r="AE615" s="44"/>
      <c r="AF615" s="44"/>
      <c r="AG615" s="102"/>
      <c r="AH615" s="44"/>
      <c r="AI615" s="44"/>
      <c r="AJ615" s="44"/>
      <c r="AK615" s="102"/>
      <c r="AL615" s="44"/>
      <c r="AM615" s="44"/>
      <c r="AN615" s="44"/>
      <c r="AO615" s="44"/>
      <c r="AP615" s="44"/>
    </row>
    <row r="616" spans="1:42">
      <c r="A616" s="44"/>
      <c r="C616" s="44"/>
      <c r="D616" s="44"/>
      <c r="E616" s="44"/>
      <c r="F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T616" s="44"/>
      <c r="U616" s="44"/>
      <c r="V616" s="44"/>
      <c r="AA616" s="44"/>
      <c r="AB616" s="44"/>
      <c r="AC616" s="44"/>
      <c r="AD616" s="44"/>
      <c r="AE616" s="44"/>
      <c r="AF616" s="44"/>
      <c r="AG616" s="102"/>
      <c r="AH616" s="44"/>
      <c r="AI616" s="44"/>
      <c r="AJ616" s="44"/>
      <c r="AK616" s="102"/>
      <c r="AL616" s="44"/>
      <c r="AM616" s="44"/>
      <c r="AN616" s="44"/>
      <c r="AO616" s="44"/>
      <c r="AP616" s="44"/>
    </row>
    <row r="617" spans="1:42">
      <c r="C617" s="44"/>
      <c r="D617" s="44"/>
      <c r="E617" s="44"/>
      <c r="F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T617" s="44"/>
      <c r="U617" s="44"/>
      <c r="V617" s="44"/>
      <c r="AA617" s="44"/>
      <c r="AB617" s="44"/>
      <c r="AC617" s="44"/>
      <c r="AD617" s="44"/>
      <c r="AE617" s="44"/>
      <c r="AF617" s="44"/>
      <c r="AG617" s="102"/>
      <c r="AH617" s="44"/>
      <c r="AI617" s="44"/>
      <c r="AJ617" s="44"/>
      <c r="AK617" s="102"/>
      <c r="AL617" s="44"/>
      <c r="AM617" s="44"/>
      <c r="AN617" s="44"/>
      <c r="AO617" s="44"/>
      <c r="AP617" s="44"/>
    </row>
    <row r="618" spans="1:42">
      <c r="A618" s="49"/>
      <c r="B618" s="49"/>
      <c r="C618" s="49"/>
      <c r="D618" s="49"/>
      <c r="E618" s="49"/>
      <c r="F618" s="44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107"/>
      <c r="AH618" s="49"/>
      <c r="AI618" s="49"/>
      <c r="AJ618" s="49"/>
      <c r="AK618" s="107"/>
      <c r="AL618" s="49"/>
      <c r="AM618" s="49"/>
      <c r="AN618" s="49"/>
      <c r="AO618" s="49"/>
      <c r="AP618" s="49"/>
    </row>
    <row r="619" spans="1:42">
      <c r="F619" s="49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AA619" s="44"/>
      <c r="AB619" s="44"/>
      <c r="AC619" s="44"/>
      <c r="AD619" s="44"/>
      <c r="AE619" s="44"/>
      <c r="AF619" s="44"/>
      <c r="AG619" s="102"/>
      <c r="AH619" s="44"/>
      <c r="AI619" s="44"/>
      <c r="AJ619" s="44"/>
      <c r="AK619" s="102"/>
      <c r="AL619" s="44"/>
      <c r="AM619" s="44"/>
      <c r="AN619" s="44"/>
      <c r="AO619" s="44"/>
      <c r="AP619" s="44"/>
    </row>
    <row r="620" spans="1:42">
      <c r="C620" s="42"/>
      <c r="D620" s="42"/>
      <c r="E620" s="42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AA620" s="45"/>
      <c r="AB620" s="47"/>
      <c r="AC620" s="45"/>
      <c r="AD620" s="45"/>
      <c r="AE620" s="47"/>
      <c r="AF620" s="47"/>
      <c r="AH620" s="45"/>
      <c r="AI620" s="51"/>
      <c r="AJ620" s="51"/>
      <c r="AL620" s="45"/>
      <c r="AM620" s="45"/>
      <c r="AN620" s="45"/>
      <c r="AO620" s="46"/>
      <c r="AP620" s="46"/>
    </row>
    <row r="621" spans="1:42">
      <c r="F621" s="45"/>
      <c r="H621" s="50"/>
      <c r="I621" s="50"/>
      <c r="J621" s="326"/>
      <c r="K621" s="326"/>
      <c r="L621" s="50"/>
      <c r="M621" s="50"/>
      <c r="N621" s="50"/>
      <c r="O621" s="50"/>
      <c r="P621" s="50"/>
      <c r="Q621" s="50"/>
      <c r="R621" s="50"/>
      <c r="V621" s="50"/>
      <c r="AA621" s="50"/>
      <c r="AB621" s="326"/>
      <c r="AC621" s="50"/>
      <c r="AD621" s="50"/>
      <c r="AE621" s="50"/>
      <c r="AF621" s="50"/>
      <c r="AG621" s="111"/>
      <c r="AH621" s="50"/>
      <c r="AK621" s="111"/>
      <c r="AL621" s="50"/>
      <c r="AM621" s="50"/>
      <c r="AN621" s="50"/>
      <c r="AO621" s="46"/>
      <c r="AP621" s="46"/>
    </row>
    <row r="622" spans="1:42">
      <c r="C622" s="42"/>
      <c r="F622" s="50"/>
      <c r="H622" s="45"/>
      <c r="I622" s="45"/>
      <c r="J622" s="47"/>
      <c r="K622" s="47"/>
      <c r="L622" s="45"/>
      <c r="M622" s="45"/>
      <c r="N622" s="47"/>
      <c r="O622" s="47"/>
      <c r="P622" s="45"/>
      <c r="Q622" s="45"/>
      <c r="R622" s="45"/>
      <c r="T622" s="42"/>
      <c r="V622" s="45"/>
      <c r="AA622" s="45"/>
      <c r="AB622" s="47"/>
      <c r="AC622" s="45"/>
      <c r="AD622" s="45"/>
      <c r="AE622" s="47"/>
      <c r="AF622" s="47"/>
      <c r="AH622" s="45"/>
      <c r="AI622" s="51"/>
      <c r="AJ622" s="51"/>
      <c r="AL622" s="45"/>
      <c r="AM622" s="45"/>
      <c r="AN622" s="45"/>
      <c r="AO622" s="46"/>
      <c r="AP622" s="46"/>
    </row>
    <row r="623" spans="1:42">
      <c r="F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V623" s="45"/>
      <c r="AA623" s="45"/>
      <c r="AB623" s="47"/>
      <c r="AC623" s="45"/>
      <c r="AD623" s="45"/>
      <c r="AE623" s="47"/>
      <c r="AF623" s="47"/>
      <c r="AI623" s="51"/>
      <c r="AJ623" s="51"/>
      <c r="AL623" s="45"/>
      <c r="AM623" s="45"/>
      <c r="AN623" s="45"/>
      <c r="AO623" s="46"/>
      <c r="AP623" s="46"/>
    </row>
    <row r="624" spans="1:42">
      <c r="C624" s="42"/>
      <c r="D624" s="42"/>
      <c r="E624" s="42"/>
      <c r="F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U624" s="42"/>
      <c r="V624" s="45"/>
      <c r="AA624" s="45"/>
      <c r="AB624" s="47"/>
      <c r="AC624" s="45"/>
      <c r="AD624" s="45"/>
      <c r="AE624" s="47"/>
      <c r="AF624" s="47"/>
      <c r="AH624" s="45"/>
      <c r="AI624" s="51"/>
      <c r="AJ624" s="51"/>
      <c r="AL624" s="45"/>
      <c r="AM624" s="45"/>
      <c r="AN624" s="45"/>
      <c r="AO624" s="46"/>
      <c r="AP624" s="46"/>
    </row>
    <row r="625" spans="3:42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AA625" s="45"/>
      <c r="AB625" s="47"/>
      <c r="AC625" s="45"/>
      <c r="AD625" s="45"/>
      <c r="AE625" s="47"/>
      <c r="AF625" s="47"/>
      <c r="AH625" s="45"/>
      <c r="AI625" s="51"/>
      <c r="AJ625" s="51"/>
      <c r="AL625" s="45"/>
      <c r="AM625" s="45"/>
      <c r="AN625" s="45"/>
      <c r="AO625" s="46"/>
      <c r="AP625" s="46"/>
    </row>
    <row r="626" spans="3:42">
      <c r="C626" s="42"/>
      <c r="D626" s="42"/>
      <c r="E626" s="42"/>
      <c r="F626" s="45"/>
      <c r="H626" s="45"/>
      <c r="I626" s="45"/>
      <c r="J626" s="47"/>
      <c r="K626" s="47"/>
      <c r="L626" s="45"/>
      <c r="M626" s="45"/>
      <c r="N626" s="47"/>
      <c r="O626" s="47"/>
      <c r="P626" s="45"/>
      <c r="Q626" s="45"/>
      <c r="R626" s="45"/>
      <c r="T626" s="42"/>
      <c r="U626" s="42"/>
      <c r="V626" s="45"/>
      <c r="AA626" s="45"/>
      <c r="AB626" s="47"/>
      <c r="AC626" s="45"/>
      <c r="AD626" s="45"/>
      <c r="AE626" s="47"/>
      <c r="AF626" s="47"/>
      <c r="AH626" s="45"/>
      <c r="AI626" s="51"/>
      <c r="AJ626" s="51"/>
      <c r="AL626" s="45"/>
      <c r="AM626" s="45"/>
      <c r="AN626" s="45"/>
      <c r="AO626" s="46"/>
      <c r="AP626" s="46"/>
    </row>
    <row r="627" spans="3:42">
      <c r="C627" s="42"/>
      <c r="D627" s="42"/>
      <c r="E627" s="42"/>
      <c r="F627" s="45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U627" s="42"/>
      <c r="V627" s="45"/>
      <c r="AA627" s="45"/>
      <c r="AB627" s="47"/>
      <c r="AC627" s="45"/>
      <c r="AD627" s="45"/>
      <c r="AE627" s="47"/>
      <c r="AF627" s="47"/>
      <c r="AH627" s="45"/>
      <c r="AI627" s="51"/>
      <c r="AJ627" s="51"/>
      <c r="AL627" s="45"/>
      <c r="AM627" s="45"/>
      <c r="AN627" s="45"/>
      <c r="AO627" s="46"/>
      <c r="AP627" s="46"/>
    </row>
    <row r="628" spans="3:42">
      <c r="C628" s="42"/>
      <c r="D628" s="42"/>
      <c r="E628" s="42"/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T628" s="42"/>
      <c r="U628" s="42"/>
      <c r="V628" s="45"/>
      <c r="AA628" s="45"/>
      <c r="AB628" s="47"/>
      <c r="AC628" s="45"/>
      <c r="AD628" s="45"/>
      <c r="AE628" s="47"/>
      <c r="AF628" s="47"/>
      <c r="AH628" s="45"/>
      <c r="AI628" s="51"/>
      <c r="AJ628" s="51"/>
      <c r="AL628" s="45"/>
      <c r="AM628" s="45"/>
      <c r="AN628" s="45"/>
      <c r="AO628" s="46"/>
      <c r="AP628" s="46"/>
    </row>
    <row r="629" spans="3:42">
      <c r="C629" s="42"/>
      <c r="D629" s="42"/>
      <c r="E629" s="42"/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T629" s="42"/>
      <c r="U629" s="42"/>
      <c r="V629" s="45"/>
      <c r="AA629" s="45"/>
      <c r="AB629" s="47"/>
      <c r="AC629" s="45"/>
      <c r="AD629" s="45"/>
      <c r="AE629" s="47"/>
      <c r="AF629" s="47"/>
      <c r="AH629" s="45"/>
      <c r="AI629" s="51"/>
      <c r="AJ629" s="51"/>
      <c r="AL629" s="45"/>
      <c r="AM629" s="45"/>
      <c r="AN629" s="45"/>
      <c r="AO629" s="46"/>
      <c r="AP629" s="46"/>
    </row>
    <row r="630" spans="3:42">
      <c r="F630" s="45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AA630" s="50"/>
      <c r="AB630" s="326"/>
      <c r="AC630" s="50"/>
      <c r="AD630" s="50"/>
      <c r="AE630" s="50"/>
      <c r="AF630" s="50"/>
      <c r="AG630" s="111"/>
      <c r="AH630" s="50"/>
      <c r="AK630" s="111"/>
      <c r="AL630" s="50"/>
      <c r="AM630" s="50"/>
      <c r="AN630" s="50"/>
      <c r="AO630" s="46"/>
      <c r="AP630" s="46"/>
    </row>
    <row r="631" spans="3:42">
      <c r="C631" s="42"/>
      <c r="F631" s="50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T631" s="42"/>
      <c r="V631" s="45"/>
      <c r="AA631" s="45"/>
      <c r="AB631" s="47"/>
      <c r="AC631" s="45"/>
      <c r="AD631" s="45"/>
      <c r="AE631" s="47"/>
      <c r="AF631" s="47"/>
      <c r="AH631" s="45"/>
      <c r="AI631" s="51"/>
      <c r="AJ631" s="51"/>
      <c r="AL631" s="45"/>
      <c r="AM631" s="45"/>
      <c r="AN631" s="45"/>
      <c r="AO631" s="46"/>
      <c r="AP631" s="46"/>
    </row>
    <row r="632" spans="3:42"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V632" s="45"/>
      <c r="AA632" s="45"/>
      <c r="AB632" s="47"/>
      <c r="AC632" s="45"/>
      <c r="AD632" s="45"/>
      <c r="AE632" s="47"/>
      <c r="AF632" s="47"/>
      <c r="AI632" s="51"/>
      <c r="AJ632" s="51"/>
      <c r="AL632" s="45"/>
      <c r="AM632" s="45"/>
      <c r="AN632" s="45"/>
      <c r="AO632" s="46"/>
      <c r="AP632" s="46"/>
    </row>
    <row r="633" spans="3:42">
      <c r="C633" s="42"/>
      <c r="D633" s="42"/>
      <c r="E633" s="42"/>
      <c r="F633" s="45"/>
      <c r="H633" s="45"/>
      <c r="I633" s="45"/>
      <c r="J633" s="47"/>
      <c r="K633" s="47"/>
      <c r="L633" s="45"/>
      <c r="M633" s="45"/>
      <c r="N633" s="47"/>
      <c r="O633" s="47"/>
      <c r="P633" s="45"/>
      <c r="Q633" s="45"/>
      <c r="R633" s="45"/>
      <c r="T633" s="42"/>
      <c r="U633" s="42"/>
      <c r="V633" s="45"/>
      <c r="AA633" s="45"/>
      <c r="AB633" s="47"/>
      <c r="AC633" s="45"/>
      <c r="AD633" s="45"/>
      <c r="AE633" s="47"/>
      <c r="AF633" s="47"/>
      <c r="AH633" s="45"/>
      <c r="AI633" s="51"/>
      <c r="AJ633" s="51"/>
      <c r="AL633" s="45"/>
      <c r="AM633" s="45"/>
      <c r="AN633" s="45"/>
      <c r="AO633" s="46"/>
      <c r="AP633" s="46"/>
    </row>
    <row r="634" spans="3:42">
      <c r="F634" s="45"/>
      <c r="H634" s="50"/>
      <c r="I634" s="50"/>
      <c r="J634" s="326"/>
      <c r="K634" s="326"/>
      <c r="L634" s="50"/>
      <c r="M634" s="50"/>
      <c r="N634" s="50"/>
      <c r="O634" s="50"/>
      <c r="P634" s="50"/>
      <c r="Q634" s="50"/>
      <c r="R634" s="50"/>
      <c r="V634" s="50"/>
      <c r="AA634" s="50"/>
      <c r="AB634" s="326"/>
      <c r="AC634" s="50"/>
      <c r="AD634" s="50"/>
      <c r="AE634" s="50"/>
      <c r="AF634" s="50"/>
      <c r="AG634" s="111"/>
      <c r="AH634" s="50"/>
      <c r="AK634" s="111"/>
      <c r="AL634" s="50"/>
      <c r="AM634" s="50"/>
      <c r="AN634" s="50"/>
      <c r="AO634" s="46"/>
      <c r="AP634" s="46"/>
    </row>
    <row r="635" spans="3:42">
      <c r="C635" s="42"/>
      <c r="F635" s="50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V635" s="45"/>
      <c r="AA635" s="45"/>
      <c r="AB635" s="47"/>
      <c r="AC635" s="45"/>
      <c r="AD635" s="45"/>
      <c r="AE635" s="47"/>
      <c r="AF635" s="47"/>
      <c r="AH635" s="45"/>
      <c r="AI635" s="51"/>
      <c r="AJ635" s="51"/>
      <c r="AL635" s="45"/>
      <c r="AM635" s="45"/>
      <c r="AN635" s="45"/>
      <c r="AO635" s="46"/>
      <c r="AP635" s="46"/>
    </row>
    <row r="636" spans="3:42"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V636" s="45"/>
      <c r="AA636" s="45"/>
      <c r="AB636" s="47"/>
      <c r="AC636" s="45"/>
      <c r="AD636" s="45"/>
      <c r="AE636" s="47"/>
      <c r="AF636" s="47"/>
      <c r="AI636" s="51"/>
      <c r="AJ636" s="51"/>
      <c r="AL636" s="45"/>
      <c r="AM636" s="45"/>
      <c r="AN636" s="45"/>
      <c r="AO636" s="46"/>
      <c r="AP636" s="46"/>
    </row>
    <row r="637" spans="3:42">
      <c r="C637" s="42"/>
      <c r="D637" s="42"/>
      <c r="E637" s="42"/>
      <c r="F637" s="45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U637" s="42"/>
      <c r="V637" s="45"/>
      <c r="AA637" s="45"/>
      <c r="AB637" s="47"/>
      <c r="AC637" s="45"/>
      <c r="AD637" s="45"/>
      <c r="AE637" s="47"/>
      <c r="AF637" s="47"/>
      <c r="AH637" s="45"/>
      <c r="AI637" s="51"/>
      <c r="AJ637" s="51"/>
      <c r="AL637" s="45"/>
      <c r="AM637" s="45"/>
      <c r="AN637" s="45"/>
      <c r="AO637" s="46"/>
      <c r="AP637" s="46"/>
    </row>
    <row r="638" spans="3:42">
      <c r="C638" s="42"/>
      <c r="D638" s="42"/>
      <c r="E638" s="42"/>
      <c r="F638" s="45"/>
      <c r="G638" s="45"/>
      <c r="H638" s="45"/>
      <c r="I638" s="45"/>
      <c r="J638" s="47"/>
      <c r="K638" s="47"/>
      <c r="L638" s="45"/>
      <c r="M638" s="45"/>
      <c r="N638" s="47"/>
      <c r="O638" s="47"/>
      <c r="P638" s="45"/>
      <c r="Q638" s="45"/>
      <c r="R638" s="45"/>
      <c r="T638" s="42"/>
      <c r="U638" s="42"/>
      <c r="V638" s="45"/>
      <c r="W638" s="45"/>
      <c r="X638" s="45"/>
      <c r="Y638" s="45"/>
      <c r="Z638" s="45"/>
      <c r="AA638" s="45"/>
      <c r="AB638" s="47"/>
      <c r="AC638" s="45"/>
      <c r="AD638" s="45"/>
      <c r="AE638" s="47"/>
      <c r="AF638" s="47"/>
      <c r="AH638" s="45"/>
      <c r="AI638" s="51"/>
      <c r="AJ638" s="51"/>
      <c r="AL638" s="45"/>
      <c r="AM638" s="45"/>
      <c r="AN638" s="45"/>
      <c r="AO638" s="46"/>
      <c r="AP638" s="46"/>
    </row>
    <row r="639" spans="3:42">
      <c r="C639" s="42"/>
      <c r="D639" s="42"/>
      <c r="E639" s="42"/>
      <c r="F639" s="45"/>
      <c r="G639" s="45"/>
      <c r="H639" s="45"/>
      <c r="I639" s="45"/>
      <c r="J639" s="47"/>
      <c r="K639" s="47"/>
      <c r="L639" s="45"/>
      <c r="M639" s="45"/>
      <c r="N639" s="47"/>
      <c r="O639" s="47"/>
      <c r="P639" s="45"/>
      <c r="Q639" s="45"/>
      <c r="R639" s="45"/>
      <c r="T639" s="42"/>
      <c r="U639" s="42"/>
      <c r="V639" s="45"/>
      <c r="W639" s="45"/>
      <c r="X639" s="45"/>
      <c r="Y639" s="45"/>
      <c r="Z639" s="45"/>
      <c r="AA639" s="45"/>
      <c r="AB639" s="47"/>
      <c r="AC639" s="45"/>
      <c r="AD639" s="45"/>
      <c r="AE639" s="47"/>
      <c r="AF639" s="47"/>
      <c r="AH639" s="45"/>
      <c r="AI639" s="51"/>
      <c r="AJ639" s="51"/>
      <c r="AL639" s="45"/>
      <c r="AM639" s="45"/>
      <c r="AN639" s="45"/>
      <c r="AO639" s="46"/>
      <c r="AP639" s="46"/>
    </row>
    <row r="640" spans="3:42">
      <c r="C640" s="42"/>
      <c r="D640" s="42"/>
      <c r="E640" s="42"/>
      <c r="F640" s="45"/>
      <c r="H640" s="45"/>
      <c r="I640" s="45"/>
      <c r="J640" s="47"/>
      <c r="K640" s="47"/>
      <c r="L640" s="45"/>
      <c r="M640" s="45"/>
      <c r="N640" s="47"/>
      <c r="O640" s="47"/>
      <c r="P640" s="45"/>
      <c r="Q640" s="45"/>
      <c r="R640" s="45"/>
      <c r="T640" s="42"/>
      <c r="U640" s="42"/>
      <c r="V640" s="45"/>
      <c r="AA640" s="45"/>
      <c r="AB640" s="47"/>
      <c r="AC640" s="45"/>
      <c r="AD640" s="45"/>
      <c r="AE640" s="47"/>
      <c r="AF640" s="47"/>
      <c r="AH640" s="45"/>
      <c r="AI640" s="51"/>
      <c r="AJ640" s="51"/>
      <c r="AL640" s="45"/>
      <c r="AM640" s="45"/>
      <c r="AN640" s="45"/>
      <c r="AO640" s="46"/>
      <c r="AP640" s="46"/>
    </row>
    <row r="641" spans="3:42">
      <c r="C641" s="42"/>
      <c r="D641" s="42"/>
      <c r="E641" s="42"/>
      <c r="F641" s="45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U641" s="42"/>
      <c r="V641" s="45"/>
      <c r="AA641" s="45"/>
      <c r="AB641" s="47"/>
      <c r="AC641" s="45"/>
      <c r="AD641" s="45"/>
      <c r="AE641" s="47"/>
      <c r="AF641" s="47"/>
      <c r="AH641" s="45"/>
      <c r="AI641" s="51"/>
      <c r="AJ641" s="51"/>
      <c r="AL641" s="45"/>
      <c r="AM641" s="45"/>
      <c r="AN641" s="45"/>
      <c r="AO641" s="46"/>
      <c r="AP641" s="46"/>
    </row>
    <row r="642" spans="3:42">
      <c r="C642" s="42"/>
      <c r="D642" s="42"/>
      <c r="E642" s="42"/>
      <c r="F642" s="45"/>
      <c r="H642" s="45"/>
      <c r="I642" s="45"/>
      <c r="J642" s="47"/>
      <c r="K642" s="47"/>
      <c r="L642" s="45"/>
      <c r="M642" s="45"/>
      <c r="N642" s="47"/>
      <c r="O642" s="47"/>
      <c r="P642" s="45"/>
      <c r="Q642" s="45"/>
      <c r="R642" s="45"/>
      <c r="T642" s="42"/>
      <c r="U642" s="42"/>
      <c r="V642" s="45"/>
      <c r="AA642" s="45"/>
      <c r="AB642" s="47"/>
      <c r="AC642" s="45"/>
      <c r="AD642" s="45"/>
      <c r="AE642" s="47"/>
      <c r="AF642" s="47"/>
      <c r="AH642" s="45"/>
      <c r="AI642" s="51"/>
      <c r="AJ642" s="51"/>
      <c r="AL642" s="45"/>
      <c r="AM642" s="45"/>
      <c r="AN642" s="45"/>
      <c r="AO642" s="46"/>
      <c r="AP642" s="46"/>
    </row>
    <row r="643" spans="3:42">
      <c r="C643" s="42"/>
      <c r="D643" s="42"/>
      <c r="E643" s="42"/>
      <c r="F643" s="45"/>
      <c r="H643" s="45"/>
      <c r="I643" s="45"/>
      <c r="J643" s="47"/>
      <c r="K643" s="47"/>
      <c r="L643" s="45"/>
      <c r="M643" s="45"/>
      <c r="N643" s="47"/>
      <c r="O643" s="47"/>
      <c r="P643" s="45"/>
      <c r="Q643" s="45"/>
      <c r="R643" s="45"/>
      <c r="T643" s="42"/>
      <c r="U643" s="42"/>
      <c r="V643" s="45"/>
      <c r="AA643" s="45"/>
      <c r="AB643" s="47"/>
      <c r="AC643" s="45"/>
      <c r="AD643" s="45"/>
      <c r="AE643" s="47"/>
      <c r="AF643" s="47"/>
      <c r="AH643" s="45"/>
      <c r="AI643" s="51"/>
      <c r="AJ643" s="51"/>
      <c r="AL643" s="45"/>
      <c r="AM643" s="45"/>
      <c r="AN643" s="45"/>
      <c r="AO643" s="46"/>
      <c r="AP643" s="46"/>
    </row>
    <row r="644" spans="3:42">
      <c r="F644" s="45"/>
      <c r="H644" s="50"/>
      <c r="I644" s="50"/>
      <c r="J644" s="326"/>
      <c r="K644" s="326"/>
      <c r="L644" s="50"/>
      <c r="M644" s="50"/>
      <c r="N644" s="50"/>
      <c r="O644" s="50"/>
      <c r="P644" s="50"/>
      <c r="Q644" s="50"/>
      <c r="R644" s="50"/>
      <c r="V644" s="50"/>
      <c r="AA644" s="50"/>
      <c r="AB644" s="326"/>
      <c r="AC644" s="50"/>
      <c r="AD644" s="50"/>
      <c r="AE644" s="50"/>
      <c r="AF644" s="50"/>
      <c r="AG644" s="111"/>
      <c r="AH644" s="50"/>
      <c r="AK644" s="111"/>
      <c r="AL644" s="50"/>
      <c r="AM644" s="50"/>
      <c r="AN644" s="50"/>
      <c r="AO644" s="46"/>
      <c r="AP644" s="46"/>
    </row>
    <row r="645" spans="3:42">
      <c r="C645" s="42"/>
      <c r="F645" s="50"/>
      <c r="H645" s="45"/>
      <c r="I645" s="45"/>
      <c r="J645" s="47"/>
      <c r="K645" s="47"/>
      <c r="L645" s="45"/>
      <c r="M645" s="45"/>
      <c r="N645" s="47"/>
      <c r="O645" s="47"/>
      <c r="P645" s="45"/>
      <c r="Q645" s="45"/>
      <c r="R645" s="45"/>
      <c r="T645" s="42"/>
      <c r="V645" s="45"/>
      <c r="AA645" s="45"/>
      <c r="AB645" s="47"/>
      <c r="AC645" s="45"/>
      <c r="AD645" s="45"/>
      <c r="AE645" s="47"/>
      <c r="AF645" s="47"/>
      <c r="AH645" s="45"/>
      <c r="AI645" s="51"/>
      <c r="AJ645" s="51"/>
      <c r="AL645" s="45"/>
      <c r="AM645" s="45"/>
      <c r="AN645" s="45"/>
      <c r="AO645" s="46"/>
      <c r="AP645" s="46"/>
    </row>
    <row r="646" spans="3:42">
      <c r="F646" s="45"/>
      <c r="V646" s="45"/>
      <c r="AA646" s="45"/>
      <c r="AB646" s="326"/>
      <c r="AC646" s="45"/>
      <c r="AD646" s="45"/>
      <c r="AE646" s="45"/>
      <c r="AF646" s="45"/>
      <c r="AH646" s="45"/>
      <c r="AL646" s="45"/>
      <c r="AM646" s="45"/>
      <c r="AN646" s="45"/>
      <c r="AO646" s="46"/>
      <c r="AP646" s="46"/>
    </row>
    <row r="647" spans="3:42">
      <c r="C647" s="42"/>
      <c r="D647" s="42"/>
      <c r="E647" s="42"/>
      <c r="L647" s="45"/>
      <c r="M647" s="45"/>
      <c r="N647" s="47"/>
      <c r="O647" s="47"/>
      <c r="R647" s="45"/>
      <c r="T647" s="42"/>
      <c r="U647" s="42"/>
      <c r="AC647" s="45"/>
      <c r="AD647" s="45"/>
      <c r="AE647" s="47"/>
      <c r="AF647" s="47"/>
      <c r="AH647" s="45"/>
      <c r="AI647" s="51"/>
      <c r="AJ647" s="51"/>
      <c r="AM647" s="45"/>
      <c r="AN647" s="45"/>
      <c r="AO647" s="46"/>
      <c r="AP647" s="46"/>
    </row>
    <row r="648" spans="3:42">
      <c r="D648" s="42"/>
      <c r="E648" s="42"/>
      <c r="H648" s="164"/>
      <c r="I648" s="164"/>
      <c r="J648" s="47"/>
      <c r="K648" s="47"/>
      <c r="L648" s="45"/>
      <c r="M648" s="45"/>
      <c r="N648" s="47"/>
      <c r="O648" s="47"/>
      <c r="P648" s="164"/>
      <c r="Q648" s="164"/>
      <c r="R648" s="45"/>
      <c r="U648" s="42"/>
      <c r="V648" s="45"/>
      <c r="AA648" s="45"/>
      <c r="AB648" s="47"/>
      <c r="AC648" s="45"/>
      <c r="AD648" s="45"/>
      <c r="AE648" s="47"/>
      <c r="AF648" s="47"/>
      <c r="AH648" s="45"/>
      <c r="AI648" s="51"/>
      <c r="AJ648" s="51"/>
      <c r="AL648" s="45"/>
      <c r="AM648" s="45"/>
      <c r="AN648" s="45"/>
      <c r="AO648" s="46"/>
      <c r="AP648" s="46"/>
    </row>
    <row r="649" spans="3:42">
      <c r="F649" s="164"/>
      <c r="H649" s="50"/>
      <c r="I649" s="50"/>
      <c r="J649" s="326"/>
      <c r="K649" s="326"/>
      <c r="L649" s="50"/>
      <c r="M649" s="50"/>
      <c r="N649" s="50"/>
      <c r="O649" s="50"/>
      <c r="P649" s="50"/>
      <c r="Q649" s="50"/>
      <c r="R649" s="50"/>
      <c r="V649" s="50"/>
      <c r="AA649" s="50"/>
      <c r="AB649" s="326"/>
      <c r="AC649" s="50"/>
      <c r="AD649" s="50"/>
      <c r="AE649" s="50"/>
      <c r="AF649" s="50"/>
      <c r="AG649" s="111"/>
      <c r="AH649" s="50"/>
      <c r="AK649" s="111"/>
      <c r="AL649" s="50"/>
      <c r="AM649" s="50"/>
      <c r="AN649" s="50"/>
      <c r="AO649" s="46"/>
      <c r="AP649" s="46"/>
    </row>
    <row r="650" spans="3:42">
      <c r="C650" s="42"/>
      <c r="F650" s="50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V650" s="45"/>
      <c r="AA650" s="45"/>
      <c r="AB650" s="47"/>
      <c r="AC650" s="45"/>
      <c r="AD650" s="45"/>
      <c r="AE650" s="47"/>
      <c r="AF650" s="47"/>
      <c r="AH650" s="45"/>
      <c r="AI650" s="51"/>
      <c r="AJ650" s="51"/>
      <c r="AL650" s="45"/>
      <c r="AM650" s="45"/>
      <c r="AN650" s="45"/>
      <c r="AO650" s="46"/>
      <c r="AP650" s="46"/>
    </row>
    <row r="651" spans="3:42">
      <c r="F651" s="45"/>
      <c r="H651" s="45"/>
      <c r="I651" s="45"/>
      <c r="J651" s="47"/>
      <c r="K651" s="47"/>
      <c r="L651" s="45"/>
      <c r="M651" s="45"/>
      <c r="N651" s="47"/>
      <c r="O651" s="47"/>
      <c r="P651" s="45"/>
      <c r="Q651" s="45"/>
      <c r="R651" s="45"/>
      <c r="V651" s="45"/>
      <c r="AA651" s="45"/>
      <c r="AB651" s="47"/>
      <c r="AC651" s="45"/>
      <c r="AD651" s="45"/>
      <c r="AE651" s="47"/>
      <c r="AF651" s="47"/>
      <c r="AI651" s="51"/>
      <c r="AJ651" s="51"/>
      <c r="AL651" s="45"/>
      <c r="AM651" s="45"/>
      <c r="AN651" s="45"/>
      <c r="AO651" s="46"/>
      <c r="AP651" s="46"/>
    </row>
    <row r="652" spans="3:42">
      <c r="D652" s="42"/>
      <c r="E652" s="42"/>
      <c r="F652" s="45"/>
      <c r="H652" s="45"/>
      <c r="I652" s="45"/>
      <c r="J652" s="47"/>
      <c r="K652" s="47"/>
      <c r="L652" s="164"/>
      <c r="M652" s="164"/>
      <c r="N652" s="47"/>
      <c r="O652" s="47"/>
      <c r="P652" s="45"/>
      <c r="Q652" s="45"/>
      <c r="R652" s="45"/>
      <c r="U652" s="42"/>
      <c r="V652" s="45"/>
      <c r="AA652" s="45"/>
      <c r="AB652" s="47"/>
      <c r="AC652" s="164"/>
      <c r="AD652" s="164"/>
      <c r="AE652" s="47"/>
      <c r="AF652" s="47"/>
      <c r="AH652" s="45"/>
      <c r="AI652" s="51"/>
      <c r="AJ652" s="51"/>
      <c r="AL652" s="45"/>
      <c r="AM652" s="45"/>
      <c r="AN652" s="45"/>
      <c r="AO652" s="46"/>
      <c r="AP652" s="46"/>
    </row>
    <row r="653" spans="3:42">
      <c r="D653" s="42"/>
      <c r="E653" s="42"/>
      <c r="F653" s="45"/>
      <c r="H653" s="45"/>
      <c r="I653" s="45"/>
      <c r="J653" s="47"/>
      <c r="K653" s="47"/>
      <c r="L653" s="164"/>
      <c r="M653" s="164"/>
      <c r="N653" s="47"/>
      <c r="O653" s="47"/>
      <c r="P653" s="45"/>
      <c r="Q653" s="45"/>
      <c r="R653" s="45"/>
      <c r="U653" s="42"/>
      <c r="V653" s="45"/>
      <c r="AA653" s="45"/>
      <c r="AB653" s="47"/>
      <c r="AC653" s="164"/>
      <c r="AD653" s="164"/>
      <c r="AE653" s="47"/>
      <c r="AF653" s="47"/>
      <c r="AH653" s="45"/>
      <c r="AI653" s="51"/>
      <c r="AJ653" s="51"/>
      <c r="AL653" s="45"/>
      <c r="AM653" s="45"/>
      <c r="AN653" s="45"/>
      <c r="AO653" s="46"/>
      <c r="AP653" s="46"/>
    </row>
    <row r="654" spans="3:42">
      <c r="D654" s="42"/>
      <c r="E654" s="42"/>
      <c r="F654" s="45"/>
      <c r="H654" s="45"/>
      <c r="I654" s="45"/>
      <c r="J654" s="47"/>
      <c r="K654" s="47"/>
      <c r="L654" s="164"/>
      <c r="M654" s="164"/>
      <c r="N654" s="47"/>
      <c r="O654" s="47"/>
      <c r="P654" s="45"/>
      <c r="Q654" s="45"/>
      <c r="R654" s="45"/>
      <c r="U654" s="42"/>
      <c r="V654" s="45"/>
      <c r="AA654" s="45"/>
      <c r="AB654" s="47"/>
      <c r="AC654" s="164"/>
      <c r="AD654" s="164"/>
      <c r="AE654" s="47"/>
      <c r="AF654" s="47"/>
      <c r="AH654" s="45"/>
      <c r="AI654" s="51"/>
      <c r="AJ654" s="51"/>
      <c r="AL654" s="45"/>
      <c r="AM654" s="45"/>
      <c r="AN654" s="45"/>
      <c r="AO654" s="46"/>
      <c r="AP654" s="46"/>
    </row>
    <row r="655" spans="3:42">
      <c r="F655" s="45"/>
      <c r="H655" s="50"/>
      <c r="I655" s="50"/>
      <c r="J655" s="326"/>
      <c r="K655" s="326"/>
      <c r="L655" s="50"/>
      <c r="M655" s="50"/>
      <c r="N655" s="50"/>
      <c r="O655" s="50"/>
      <c r="P655" s="50"/>
      <c r="Q655" s="50"/>
      <c r="R655" s="50"/>
      <c r="V655" s="50"/>
      <c r="AA655" s="50"/>
      <c r="AB655" s="326"/>
      <c r="AC655" s="50"/>
      <c r="AD655" s="50"/>
      <c r="AE655" s="50"/>
      <c r="AF655" s="50"/>
      <c r="AG655" s="111"/>
      <c r="AH655" s="50"/>
      <c r="AK655" s="111"/>
      <c r="AL655" s="50"/>
      <c r="AM655" s="50"/>
      <c r="AN655" s="50"/>
      <c r="AO655" s="46"/>
      <c r="AP655" s="46"/>
    </row>
    <row r="656" spans="3:42">
      <c r="C656" s="42"/>
      <c r="F656" s="50"/>
      <c r="H656" s="45"/>
      <c r="I656" s="45"/>
      <c r="J656" s="47"/>
      <c r="K656" s="47"/>
      <c r="L656" s="45"/>
      <c r="M656" s="45"/>
      <c r="N656" s="47"/>
      <c r="O656" s="47"/>
      <c r="P656" s="45"/>
      <c r="Q656" s="45"/>
      <c r="R656" s="45"/>
      <c r="T656" s="42"/>
      <c r="V656" s="45"/>
      <c r="AA656" s="45"/>
      <c r="AB656" s="47"/>
      <c r="AC656" s="45"/>
      <c r="AD656" s="45"/>
      <c r="AE656" s="47"/>
      <c r="AF656" s="47"/>
      <c r="AH656" s="45"/>
      <c r="AI656" s="51"/>
      <c r="AJ656" s="51"/>
      <c r="AL656" s="45"/>
      <c r="AM656" s="45"/>
      <c r="AN656" s="45"/>
      <c r="AO656" s="46"/>
      <c r="AP656" s="46"/>
    </row>
    <row r="657" spans="1:42">
      <c r="F657" s="45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V657" s="45"/>
      <c r="AA657" s="45"/>
      <c r="AB657" s="47"/>
      <c r="AC657" s="45"/>
      <c r="AD657" s="45"/>
      <c r="AE657" s="47"/>
      <c r="AF657" s="47"/>
      <c r="AI657" s="51"/>
      <c r="AJ657" s="51"/>
      <c r="AL657" s="45"/>
      <c r="AM657" s="45"/>
      <c r="AN657" s="45"/>
      <c r="AO657" s="46"/>
      <c r="AP657" s="46"/>
    </row>
    <row r="658" spans="1:42">
      <c r="C658" s="42"/>
      <c r="F658" s="45"/>
      <c r="H658" s="45"/>
      <c r="I658" s="45"/>
      <c r="J658" s="47"/>
      <c r="K658" s="47"/>
      <c r="L658" s="45"/>
      <c r="M658" s="45"/>
      <c r="N658" s="47"/>
      <c r="O658" s="47"/>
      <c r="P658" s="45"/>
      <c r="Q658" s="45"/>
      <c r="R658" s="45"/>
      <c r="T658" s="42"/>
      <c r="V658" s="45"/>
      <c r="AA658" s="45"/>
      <c r="AB658" s="47"/>
      <c r="AC658" s="45"/>
      <c r="AD658" s="45"/>
      <c r="AE658" s="47"/>
      <c r="AF658" s="47"/>
      <c r="AH658" s="45"/>
      <c r="AI658" s="51"/>
      <c r="AJ658" s="51"/>
      <c r="AL658" s="45"/>
      <c r="AM658" s="45"/>
      <c r="AN658" s="45"/>
      <c r="AO658" s="46"/>
      <c r="AP658" s="46"/>
    </row>
    <row r="659" spans="1:42">
      <c r="F659" s="45"/>
      <c r="H659" s="50"/>
      <c r="I659" s="50"/>
      <c r="J659" s="326"/>
      <c r="K659" s="326"/>
      <c r="L659" s="50"/>
      <c r="M659" s="50"/>
      <c r="N659" s="50"/>
      <c r="O659" s="50"/>
      <c r="P659" s="50"/>
      <c r="Q659" s="50"/>
      <c r="R659" s="50"/>
      <c r="V659" s="50"/>
      <c r="AA659" s="50"/>
      <c r="AB659" s="326"/>
      <c r="AC659" s="50"/>
      <c r="AD659" s="50"/>
      <c r="AE659" s="50"/>
      <c r="AF659" s="50"/>
      <c r="AG659" s="111"/>
      <c r="AH659" s="50"/>
      <c r="AK659" s="111"/>
      <c r="AL659" s="50"/>
      <c r="AM659" s="50"/>
      <c r="AN659" s="50"/>
    </row>
    <row r="661" spans="1:42">
      <c r="C661" s="42"/>
      <c r="F661" s="50"/>
      <c r="L661" s="45"/>
      <c r="M661" s="45"/>
      <c r="P661" s="45"/>
      <c r="Q661" s="45"/>
      <c r="R661" s="45"/>
      <c r="T661" s="42"/>
    </row>
    <row r="662" spans="1:42">
      <c r="A662" s="42"/>
      <c r="L662" s="45"/>
      <c r="M662" s="45"/>
      <c r="P662" s="45"/>
      <c r="Q662" s="45"/>
      <c r="R662" s="45"/>
    </row>
    <row r="663" spans="1:42">
      <c r="L663" s="45"/>
      <c r="M663" s="45"/>
      <c r="P663" s="45"/>
      <c r="Q663" s="45"/>
      <c r="R663" s="45"/>
    </row>
    <row r="664" spans="1:42">
      <c r="L664" s="45"/>
      <c r="M664" s="45"/>
      <c r="P664" s="45"/>
      <c r="Q664" s="45"/>
      <c r="R664" s="45"/>
    </row>
    <row r="665" spans="1:42">
      <c r="L665" s="45"/>
      <c r="M665" s="45"/>
      <c r="P665" s="45"/>
      <c r="Q665" s="45"/>
      <c r="R665" s="45"/>
    </row>
    <row r="666" spans="1:42">
      <c r="L666" s="45"/>
      <c r="M666" s="45"/>
      <c r="P666" s="45"/>
      <c r="Q666" s="45"/>
      <c r="R666" s="45"/>
    </row>
    <row r="667" spans="1:42">
      <c r="L667" s="45"/>
      <c r="M667" s="45"/>
      <c r="P667" s="45"/>
      <c r="Q667" s="45"/>
      <c r="R667" s="45"/>
    </row>
    <row r="700" spans="51:51">
      <c r="AY700" s="45"/>
    </row>
    <row r="701" spans="51:51">
      <c r="AY701" s="45"/>
    </row>
    <row r="702" spans="51:51">
      <c r="AY702" s="45"/>
    </row>
    <row r="703" spans="51:51">
      <c r="AY703" s="45"/>
    </row>
    <row r="704" spans="51:51">
      <c r="AY704" s="45"/>
    </row>
    <row r="705" spans="51:51">
      <c r="AY705" s="45"/>
    </row>
    <row r="708" spans="51:51">
      <c r="AY708" s="45"/>
    </row>
    <row r="709" spans="51:51">
      <c r="AY709" s="45"/>
    </row>
    <row r="710" spans="51:51">
      <c r="AY710" s="45"/>
    </row>
    <row r="711" spans="51:51">
      <c r="AY711" s="45"/>
    </row>
    <row r="712" spans="51:51">
      <c r="AY712" s="45"/>
    </row>
    <row r="713" spans="51:51">
      <c r="AY713" s="45"/>
    </row>
    <row r="714" spans="51:51">
      <c r="AY714" s="45"/>
    </row>
    <row r="715" spans="51:51">
      <c r="AY715" s="45"/>
    </row>
    <row r="718" spans="51:51">
      <c r="AY718" s="45"/>
    </row>
    <row r="719" spans="51:51">
      <c r="AY719" s="45"/>
    </row>
    <row r="722" spans="51:58">
      <c r="AY722" s="45"/>
    </row>
    <row r="723" spans="51:58">
      <c r="AY723" s="45"/>
    </row>
    <row r="724" spans="51:58">
      <c r="AY724" s="45"/>
    </row>
    <row r="725" spans="51:58">
      <c r="AY725" s="45"/>
    </row>
    <row r="733" spans="51:58">
      <c r="BA733" s="42"/>
    </row>
    <row r="734" spans="51:58">
      <c r="BA734" s="42"/>
    </row>
    <row r="735" spans="51:58">
      <c r="BF735" s="42"/>
    </row>
    <row r="736" spans="51:58">
      <c r="BF736" s="42"/>
    </row>
    <row r="737" spans="47:71">
      <c r="AU737" s="42"/>
      <c r="BF737" s="42"/>
    </row>
    <row r="739" spans="47:71"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</row>
    <row r="740" spans="47:71">
      <c r="AZ740" s="42"/>
    </row>
    <row r="741" spans="47:71">
      <c r="AZ741" s="49"/>
      <c r="BA741" s="49"/>
      <c r="BB741" s="49"/>
      <c r="BC741" s="49"/>
      <c r="BE741" s="44"/>
      <c r="BF741" s="44"/>
    </row>
    <row r="742" spans="47:71">
      <c r="AX742" s="44"/>
      <c r="AY742" s="44"/>
      <c r="BB742" s="44"/>
      <c r="BC742" s="44"/>
      <c r="BE742" s="44"/>
      <c r="BF742" s="44"/>
      <c r="BG742" s="44"/>
      <c r="BI742" s="49"/>
      <c r="BJ742" s="42"/>
      <c r="BM742" s="49"/>
      <c r="BO742" s="49"/>
      <c r="BP742" s="42"/>
      <c r="BS742" s="49"/>
    </row>
    <row r="743" spans="47:71"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J743" s="44"/>
      <c r="BK743" s="44"/>
      <c r="BL743" s="44"/>
      <c r="BP743" s="44"/>
      <c r="BQ743" s="44"/>
      <c r="BR743" s="44"/>
    </row>
    <row r="744" spans="47:71">
      <c r="AU744" s="44"/>
      <c r="AW744" s="42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I744" s="44"/>
      <c r="BJ744" s="44"/>
      <c r="BK744" s="44"/>
      <c r="BL744" s="44"/>
      <c r="BM744" s="44"/>
      <c r="BO744" s="44"/>
      <c r="BP744" s="44"/>
      <c r="BQ744" s="44"/>
      <c r="BR744" s="44"/>
      <c r="BS744" s="44"/>
    </row>
    <row r="745" spans="47:71">
      <c r="AU745" s="44"/>
      <c r="AW745" s="42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I745" s="44"/>
      <c r="BJ745" s="44"/>
      <c r="BK745" s="44"/>
      <c r="BL745" s="44"/>
      <c r="BM745" s="44"/>
      <c r="BO745" s="44"/>
      <c r="BP745" s="44"/>
      <c r="BQ745" s="44"/>
      <c r="BR745" s="44"/>
      <c r="BS745" s="44"/>
    </row>
    <row r="746" spans="47:71">
      <c r="AU746" s="49"/>
      <c r="AV746" s="49"/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G746" s="49"/>
      <c r="BI746" s="49"/>
      <c r="BJ746" s="49"/>
      <c r="BK746" s="49"/>
      <c r="BL746" s="49"/>
      <c r="BM746" s="49"/>
      <c r="BO746" s="49"/>
      <c r="BP746" s="49"/>
      <c r="BQ746" s="49"/>
      <c r="BR746" s="49"/>
      <c r="BS746" s="49"/>
    </row>
    <row r="747" spans="47:71"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</row>
    <row r="748" spans="47:71">
      <c r="AW748" s="42"/>
      <c r="AX748" s="44"/>
      <c r="BA748" s="47"/>
    </row>
    <row r="749" spans="47:71">
      <c r="AX749" s="44"/>
      <c r="AY749" s="45"/>
      <c r="AZ749" s="56"/>
      <c r="BA749" s="56"/>
      <c r="BB749" s="56"/>
      <c r="BC749" s="46"/>
      <c r="BD749" s="56"/>
      <c r="BE749" s="47"/>
      <c r="BF749" s="47"/>
      <c r="BG749" s="46"/>
      <c r="BI749" s="56"/>
      <c r="BJ749" s="56"/>
      <c r="BK749" s="56"/>
      <c r="BL749" s="56"/>
      <c r="BM749" s="56"/>
      <c r="BO749" s="56"/>
      <c r="BP749" s="56"/>
      <c r="BQ749" s="56"/>
      <c r="BR749" s="56"/>
      <c r="BS749" s="56"/>
    </row>
    <row r="750" spans="47:71">
      <c r="AX750" s="44"/>
      <c r="AY750" s="45"/>
      <c r="AZ750" s="56"/>
      <c r="BA750" s="56"/>
      <c r="BB750" s="56"/>
      <c r="BC750" s="46"/>
      <c r="BD750" s="56"/>
      <c r="BE750" s="47"/>
      <c r="BF750" s="47"/>
      <c r="BG750" s="46"/>
      <c r="BI750" s="56"/>
      <c r="BJ750" s="56"/>
      <c r="BK750" s="56"/>
      <c r="BL750" s="56"/>
      <c r="BM750" s="56"/>
      <c r="BO750" s="56"/>
      <c r="BP750" s="56"/>
      <c r="BQ750" s="56"/>
      <c r="BR750" s="56"/>
      <c r="BS750" s="56"/>
    </row>
    <row r="751" spans="47:71">
      <c r="AX751" s="44"/>
      <c r="AY751" s="45"/>
      <c r="AZ751" s="56"/>
      <c r="BA751" s="56"/>
      <c r="BB751" s="56"/>
      <c r="BC751" s="46"/>
      <c r="BD751" s="56"/>
      <c r="BE751" s="47"/>
      <c r="BF751" s="47"/>
      <c r="BG751" s="46"/>
      <c r="BI751" s="56"/>
      <c r="BJ751" s="56"/>
      <c r="BK751" s="56"/>
      <c r="BL751" s="56"/>
      <c r="BM751" s="56"/>
      <c r="BO751" s="56"/>
      <c r="BP751" s="56"/>
      <c r="BQ751" s="56"/>
      <c r="BR751" s="56"/>
      <c r="BS751" s="56"/>
    </row>
    <row r="752" spans="47:71">
      <c r="AX752" s="44"/>
      <c r="AY752" s="45"/>
      <c r="AZ752" s="56"/>
      <c r="BA752" s="56"/>
      <c r="BB752" s="56"/>
      <c r="BC752" s="46"/>
      <c r="BD752" s="56"/>
      <c r="BE752" s="47"/>
      <c r="BF752" s="47"/>
      <c r="BG752" s="46"/>
      <c r="BI752" s="56"/>
      <c r="BJ752" s="56"/>
      <c r="BK752" s="56"/>
      <c r="BL752" s="56"/>
      <c r="BM752" s="56"/>
      <c r="BO752" s="56"/>
      <c r="BP752" s="56"/>
      <c r="BQ752" s="56"/>
      <c r="BR752" s="56"/>
      <c r="BS752" s="56"/>
    </row>
    <row r="753" spans="49:71">
      <c r="AX753" s="44"/>
      <c r="AY753" s="45"/>
      <c r="AZ753" s="56"/>
      <c r="BA753" s="56"/>
      <c r="BB753" s="56"/>
      <c r="BC753" s="46"/>
      <c r="BD753" s="56"/>
      <c r="BE753" s="47"/>
      <c r="BF753" s="47"/>
      <c r="BG753" s="46"/>
      <c r="BI753" s="56"/>
      <c r="BJ753" s="56"/>
      <c r="BK753" s="56"/>
      <c r="BL753" s="56"/>
      <c r="BM753" s="56"/>
      <c r="BO753" s="56"/>
      <c r="BP753" s="56"/>
      <c r="BQ753" s="56"/>
      <c r="BR753" s="56"/>
      <c r="BS753" s="56"/>
    </row>
    <row r="754" spans="49:71">
      <c r="AX754" s="44"/>
      <c r="AY754" s="45"/>
      <c r="AZ754" s="56"/>
      <c r="BA754" s="56"/>
      <c r="BB754" s="56"/>
      <c r="BC754" s="46"/>
      <c r="BD754" s="56"/>
      <c r="BE754" s="47"/>
      <c r="BF754" s="47"/>
      <c r="BG754" s="46"/>
      <c r="BI754" s="56"/>
      <c r="BJ754" s="56"/>
      <c r="BK754" s="56"/>
      <c r="BL754" s="56"/>
      <c r="BM754" s="56"/>
      <c r="BO754" s="56"/>
      <c r="BP754" s="56"/>
      <c r="BQ754" s="56"/>
      <c r="BR754" s="56"/>
      <c r="BS754" s="56"/>
    </row>
    <row r="755" spans="49:71">
      <c r="AX755" s="44"/>
      <c r="AY755" s="45"/>
      <c r="AZ755" s="56"/>
      <c r="BA755" s="56"/>
      <c r="BB755" s="56"/>
      <c r="BC755" s="46"/>
      <c r="BD755" s="56"/>
      <c r="BE755" s="47"/>
      <c r="BF755" s="47"/>
      <c r="BG755" s="46"/>
      <c r="BI755" s="56"/>
      <c r="BJ755" s="56"/>
      <c r="BK755" s="56"/>
      <c r="BL755" s="56"/>
      <c r="BM755" s="56"/>
      <c r="BO755" s="56"/>
      <c r="BP755" s="56"/>
      <c r="BQ755" s="56"/>
      <c r="BR755" s="56"/>
      <c r="BS755" s="56"/>
    </row>
    <row r="756" spans="49:71">
      <c r="BA756" s="47"/>
      <c r="BB756" s="56"/>
      <c r="BC756" s="46"/>
      <c r="BD756" s="56"/>
      <c r="BE756" s="47"/>
      <c r="BF756" s="47"/>
      <c r="BG756" s="46"/>
      <c r="BM756" s="56"/>
      <c r="BS756" s="56"/>
    </row>
    <row r="757" spans="49:71">
      <c r="AX757" s="44"/>
      <c r="BA757" s="47"/>
      <c r="BB757" s="56"/>
      <c r="BC757" s="46"/>
      <c r="BD757" s="56"/>
      <c r="BE757" s="47"/>
      <c r="BF757" s="47"/>
      <c r="BG757" s="46"/>
      <c r="BM757" s="56"/>
      <c r="BS757" s="56"/>
    </row>
    <row r="758" spans="49:71">
      <c r="AX758" s="44"/>
      <c r="AY758" s="45"/>
      <c r="AZ758" s="56"/>
      <c r="BA758" s="56"/>
      <c r="BB758" s="56"/>
      <c r="BC758" s="46"/>
      <c r="BD758" s="56"/>
      <c r="BE758" s="47"/>
      <c r="BF758" s="47"/>
      <c r="BG758" s="46"/>
      <c r="BI758" s="56"/>
      <c r="BJ758" s="56"/>
      <c r="BK758" s="56"/>
      <c r="BL758" s="56"/>
      <c r="BM758" s="56"/>
      <c r="BO758" s="56"/>
      <c r="BP758" s="56"/>
      <c r="BQ758" s="56"/>
      <c r="BR758" s="56"/>
      <c r="BS758" s="56"/>
    </row>
    <row r="759" spans="49:71">
      <c r="AX759" s="44"/>
      <c r="AY759" s="45"/>
      <c r="AZ759" s="56"/>
      <c r="BA759" s="56"/>
      <c r="BB759" s="56"/>
      <c r="BC759" s="46"/>
      <c r="BD759" s="56"/>
      <c r="BE759" s="47"/>
      <c r="BF759" s="47"/>
      <c r="BG759" s="46"/>
      <c r="BI759" s="56"/>
      <c r="BJ759" s="56"/>
      <c r="BK759" s="56"/>
      <c r="BL759" s="56"/>
      <c r="BM759" s="56"/>
      <c r="BO759" s="56"/>
      <c r="BP759" s="56"/>
      <c r="BQ759" s="56"/>
      <c r="BR759" s="56"/>
      <c r="BS759" s="56"/>
    </row>
    <row r="760" spans="49:71">
      <c r="AX760" s="44"/>
      <c r="AY760" s="45"/>
      <c r="AZ760" s="56"/>
      <c r="BA760" s="56"/>
      <c r="BB760" s="56"/>
      <c r="BC760" s="46"/>
      <c r="BD760" s="56"/>
      <c r="BE760" s="47"/>
      <c r="BF760" s="47"/>
      <c r="BG760" s="46"/>
      <c r="BI760" s="56"/>
      <c r="BJ760" s="56"/>
      <c r="BK760" s="56"/>
      <c r="BL760" s="56"/>
      <c r="BM760" s="56"/>
      <c r="BO760" s="56"/>
      <c r="BP760" s="56"/>
      <c r="BQ760" s="56"/>
      <c r="BR760" s="56"/>
      <c r="BS760" s="56"/>
    </row>
    <row r="761" spans="49:71">
      <c r="AX761" s="44"/>
      <c r="AY761" s="45"/>
      <c r="AZ761" s="56"/>
      <c r="BA761" s="56"/>
      <c r="BB761" s="56"/>
      <c r="BC761" s="46"/>
      <c r="BD761" s="56"/>
      <c r="BE761" s="47"/>
      <c r="BF761" s="47"/>
      <c r="BG761" s="46"/>
      <c r="BI761" s="56"/>
      <c r="BJ761" s="56"/>
      <c r="BK761" s="56"/>
      <c r="BL761" s="56"/>
      <c r="BM761" s="56"/>
      <c r="BO761" s="56"/>
      <c r="BP761" s="56"/>
      <c r="BQ761" s="56"/>
      <c r="BR761" s="56"/>
      <c r="BS761" s="56"/>
    </row>
    <row r="762" spans="49:71">
      <c r="AX762" s="44"/>
      <c r="AY762" s="45"/>
      <c r="AZ762" s="56"/>
      <c r="BA762" s="56"/>
      <c r="BB762" s="56"/>
      <c r="BC762" s="46"/>
      <c r="BD762" s="56"/>
      <c r="BE762" s="47"/>
      <c r="BF762" s="47"/>
      <c r="BG762" s="46"/>
      <c r="BI762" s="56"/>
      <c r="BJ762" s="56"/>
      <c r="BK762" s="56"/>
      <c r="BL762" s="56"/>
      <c r="BM762" s="56"/>
      <c r="BO762" s="56"/>
      <c r="BP762" s="56"/>
      <c r="BQ762" s="56"/>
      <c r="BR762" s="56"/>
      <c r="BS762" s="56"/>
    </row>
    <row r="763" spans="49:71">
      <c r="AX763" s="44"/>
      <c r="AY763" s="45"/>
      <c r="AZ763" s="56"/>
      <c r="BA763" s="56"/>
      <c r="BB763" s="56"/>
      <c r="BC763" s="46"/>
      <c r="BD763" s="56"/>
      <c r="BE763" s="47"/>
      <c r="BF763" s="47"/>
      <c r="BG763" s="46"/>
      <c r="BI763" s="56"/>
      <c r="BJ763" s="56"/>
      <c r="BK763" s="56"/>
      <c r="BL763" s="56"/>
      <c r="BM763" s="56"/>
      <c r="BO763" s="56"/>
      <c r="BP763" s="56"/>
      <c r="BQ763" s="56"/>
      <c r="BR763" s="56"/>
      <c r="BS763" s="56"/>
    </row>
    <row r="764" spans="49:71">
      <c r="AX764" s="44"/>
      <c r="AY764" s="45"/>
      <c r="AZ764" s="56"/>
      <c r="BA764" s="56"/>
      <c r="BB764" s="56"/>
      <c r="BC764" s="46"/>
      <c r="BD764" s="56"/>
      <c r="BE764" s="47"/>
      <c r="BF764" s="47"/>
      <c r="BG764" s="46"/>
      <c r="BI764" s="56"/>
      <c r="BJ764" s="56"/>
      <c r="BK764" s="56"/>
      <c r="BL764" s="56"/>
      <c r="BM764" s="56"/>
      <c r="BO764" s="56"/>
      <c r="BP764" s="56"/>
      <c r="BQ764" s="56"/>
      <c r="BR764" s="56"/>
      <c r="BS764" s="56"/>
    </row>
    <row r="765" spans="49:71">
      <c r="AX765" s="44"/>
      <c r="AY765" s="45"/>
      <c r="AZ765" s="56"/>
      <c r="BA765" s="56"/>
      <c r="BB765" s="56"/>
      <c r="BC765" s="46"/>
      <c r="BD765" s="56"/>
      <c r="BE765" s="47"/>
      <c r="BF765" s="47"/>
      <c r="BG765" s="46"/>
      <c r="BI765" s="56"/>
      <c r="BJ765" s="56"/>
      <c r="BK765" s="56"/>
      <c r="BL765" s="56"/>
      <c r="BM765" s="56"/>
      <c r="BO765" s="56"/>
      <c r="BP765" s="56"/>
      <c r="BQ765" s="56"/>
      <c r="BR765" s="56"/>
      <c r="BS765" s="56"/>
    </row>
    <row r="766" spans="49:71">
      <c r="BA766" s="47"/>
      <c r="BB766" s="56"/>
      <c r="BC766" s="46"/>
      <c r="BD766" s="56"/>
      <c r="BE766" s="47"/>
      <c r="BF766" s="47"/>
      <c r="BG766" s="46"/>
      <c r="BM766" s="56"/>
      <c r="BS766" s="56"/>
    </row>
    <row r="767" spans="49:71">
      <c r="AW767" s="42"/>
      <c r="BB767" s="56"/>
      <c r="BD767" s="56"/>
      <c r="BI767" s="56"/>
      <c r="BJ767" s="56"/>
      <c r="BL767" s="56"/>
      <c r="BM767" s="56"/>
    </row>
    <row r="768" spans="49:71">
      <c r="BB768" s="56"/>
      <c r="BD768" s="56"/>
    </row>
    <row r="769" spans="47:77">
      <c r="AU769" s="42"/>
      <c r="BB769" s="56"/>
      <c r="BD769" s="56"/>
      <c r="BK769" s="56"/>
    </row>
    <row r="770" spans="47:77">
      <c r="BB770" s="56"/>
      <c r="BD770" s="56"/>
    </row>
    <row r="771" spans="47:77">
      <c r="BA771" s="56"/>
      <c r="BD771" s="56"/>
    </row>
    <row r="772" spans="47:77">
      <c r="BA772" s="42"/>
      <c r="BB772" s="56"/>
      <c r="BD772" s="56"/>
    </row>
    <row r="773" spans="47:77">
      <c r="BA773" s="42"/>
      <c r="BB773" s="56"/>
      <c r="BD773" s="56"/>
    </row>
    <row r="774" spans="47:77">
      <c r="BB774" s="56"/>
      <c r="BD774" s="56"/>
      <c r="BF774" s="42"/>
    </row>
    <row r="775" spans="47:77">
      <c r="BB775" s="56"/>
      <c r="BD775" s="56"/>
      <c r="BF775" s="42"/>
    </row>
    <row r="776" spans="47:77">
      <c r="AU776" s="42"/>
      <c r="BB776" s="56"/>
      <c r="BD776" s="56"/>
      <c r="BF776" s="42"/>
    </row>
    <row r="777" spans="47:77">
      <c r="BB777" s="56"/>
      <c r="BD777" s="56"/>
    </row>
    <row r="778" spans="47:77">
      <c r="AU778" s="49"/>
      <c r="AV778" s="49"/>
      <c r="AW778" s="49"/>
      <c r="AX778" s="49"/>
      <c r="AY778" s="49"/>
      <c r="AZ778" s="49"/>
      <c r="BA778" s="49"/>
      <c r="BB778" s="57"/>
      <c r="BC778" s="49"/>
      <c r="BD778" s="57"/>
      <c r="BE778" s="49"/>
      <c r="BF778" s="49"/>
      <c r="BG778" s="49"/>
    </row>
    <row r="779" spans="47:77">
      <c r="AZ779" s="42"/>
      <c r="BB779" s="56"/>
      <c r="BD779" s="56"/>
    </row>
    <row r="780" spans="47:77">
      <c r="AZ780" s="49"/>
      <c r="BA780" s="49"/>
      <c r="BB780" s="57"/>
      <c r="BC780" s="49"/>
      <c r="BD780" s="56"/>
      <c r="BE780" s="44"/>
      <c r="BF780" s="44"/>
    </row>
    <row r="781" spans="47:77">
      <c r="AX781" s="44"/>
      <c r="AY781" s="44"/>
      <c r="BB781" s="58"/>
      <c r="BC781" s="44"/>
      <c r="BD781" s="56"/>
      <c r="BE781" s="44"/>
      <c r="BF781" s="44"/>
      <c r="BG781" s="44"/>
      <c r="BI781" s="49"/>
      <c r="BJ781" s="49"/>
      <c r="BK781" s="42"/>
      <c r="BO781" s="49"/>
      <c r="BP781" s="49"/>
      <c r="BR781" s="49"/>
      <c r="BS781" s="49"/>
      <c r="BT781" s="42"/>
      <c r="BX781" s="49"/>
      <c r="BY781" s="49"/>
    </row>
    <row r="782" spans="47:77">
      <c r="AX782" s="44"/>
      <c r="AY782" s="44"/>
      <c r="AZ782" s="44"/>
      <c r="BA782" s="44"/>
      <c r="BB782" s="58"/>
      <c r="BC782" s="44"/>
      <c r="BD782" s="58"/>
      <c r="BE782" s="44"/>
      <c r="BF782" s="44"/>
      <c r="BG782" s="44"/>
      <c r="BJ782" s="44"/>
      <c r="BK782" s="44"/>
      <c r="BL782" s="44"/>
      <c r="BM782" s="44"/>
      <c r="BN782" s="44"/>
      <c r="BO782" s="44"/>
      <c r="BS782" s="44"/>
      <c r="BT782" s="44"/>
      <c r="BU782" s="44"/>
      <c r="BV782" s="44"/>
      <c r="BW782" s="44"/>
      <c r="BX782" s="44"/>
    </row>
    <row r="783" spans="47:77">
      <c r="AU783" s="44"/>
      <c r="AW783" s="42"/>
      <c r="AX783" s="44"/>
      <c r="AY783" s="44"/>
      <c r="AZ783" s="44"/>
      <c r="BA783" s="44"/>
      <c r="BB783" s="58"/>
      <c r="BC783" s="44"/>
      <c r="BD783" s="58"/>
      <c r="BE783" s="44"/>
      <c r="BF783" s="44"/>
      <c r="BG783" s="44"/>
      <c r="BI783" s="44"/>
      <c r="BJ783" s="44"/>
      <c r="BK783" s="44"/>
      <c r="BL783" s="44"/>
      <c r="BM783" s="44"/>
      <c r="BN783" s="44"/>
      <c r="BO783" s="44"/>
      <c r="BP783" s="44"/>
      <c r="BR783" s="44"/>
      <c r="BS783" s="44"/>
      <c r="BT783" s="44"/>
      <c r="BU783" s="44"/>
      <c r="BV783" s="44"/>
      <c r="BW783" s="44"/>
      <c r="BX783" s="44"/>
      <c r="BY783" s="44"/>
    </row>
    <row r="784" spans="47:77">
      <c r="AU784" s="44"/>
      <c r="AW784" s="42"/>
      <c r="AX784" s="44"/>
      <c r="AY784" s="44"/>
      <c r="AZ784" s="44"/>
      <c r="BA784" s="44"/>
      <c r="BB784" s="58"/>
      <c r="BC784" s="44"/>
      <c r="BD784" s="58"/>
      <c r="BE784" s="44"/>
      <c r="BF784" s="44"/>
      <c r="BG784" s="44"/>
      <c r="BI784" s="44"/>
      <c r="BJ784" s="44"/>
      <c r="BK784" s="44"/>
      <c r="BL784" s="44"/>
      <c r="BM784" s="44"/>
      <c r="BN784" s="44"/>
      <c r="BO784" s="44"/>
      <c r="BP784" s="44"/>
      <c r="BR784" s="44"/>
      <c r="BS784" s="44"/>
      <c r="BT784" s="44"/>
      <c r="BU784" s="44"/>
      <c r="BV784" s="44"/>
      <c r="BW784" s="44"/>
      <c r="BX784" s="44"/>
      <c r="BY784" s="44"/>
    </row>
    <row r="785" spans="47:77">
      <c r="AU785" s="49"/>
      <c r="AV785" s="49"/>
      <c r="AW785" s="49"/>
      <c r="AX785" s="49"/>
      <c r="AY785" s="49"/>
      <c r="AZ785" s="49"/>
      <c r="BA785" s="49"/>
      <c r="BB785" s="57"/>
      <c r="BC785" s="49"/>
      <c r="BD785" s="57"/>
      <c r="BE785" s="49"/>
      <c r="BF785" s="49"/>
      <c r="BG785" s="49"/>
      <c r="BI785" s="49"/>
      <c r="BJ785" s="49"/>
      <c r="BK785" s="49"/>
      <c r="BL785" s="49"/>
      <c r="BM785" s="49"/>
      <c r="BN785" s="49"/>
      <c r="BO785" s="49"/>
      <c r="BP785" s="49"/>
      <c r="BR785" s="49"/>
      <c r="BS785" s="49"/>
      <c r="BT785" s="49"/>
      <c r="BU785" s="49"/>
      <c r="BV785" s="49"/>
      <c r="BW785" s="49"/>
      <c r="BX785" s="49"/>
      <c r="BY785" s="49"/>
    </row>
    <row r="786" spans="47:77">
      <c r="AX786" s="44"/>
      <c r="AY786" s="44"/>
      <c r="AZ786" s="44"/>
      <c r="BA786" s="44"/>
      <c r="BB786" s="58"/>
      <c r="BC786" s="44"/>
      <c r="BD786" s="58"/>
      <c r="BE786" s="44"/>
      <c r="BF786" s="44"/>
      <c r="BG786" s="44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</row>
    <row r="787" spans="47:77">
      <c r="AW787" s="42"/>
      <c r="AY787" s="45"/>
      <c r="AZ787" s="56"/>
      <c r="BA787" s="56"/>
      <c r="BB787" s="56"/>
      <c r="BC787" s="51"/>
      <c r="BD787" s="56"/>
      <c r="BE787" s="56"/>
      <c r="BF787" s="56"/>
      <c r="BG787" s="51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</row>
    <row r="788" spans="47:77">
      <c r="AY788" s="45"/>
      <c r="AZ788" s="56"/>
      <c r="BA788" s="56"/>
      <c r="BB788" s="56"/>
      <c r="BC788" s="51"/>
      <c r="BD788" s="56"/>
      <c r="BE788" s="56"/>
      <c r="BF788" s="56"/>
      <c r="BG788" s="51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</row>
    <row r="789" spans="47:77">
      <c r="AY789" s="45"/>
      <c r="AZ789" s="56"/>
      <c r="BA789" s="56"/>
      <c r="BB789" s="56"/>
      <c r="BC789" s="51"/>
      <c r="BD789" s="56"/>
      <c r="BE789" s="56"/>
      <c r="BF789" s="56"/>
      <c r="BG789" s="51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</row>
    <row r="790" spans="47:77">
      <c r="AY790" s="45"/>
      <c r="AZ790" s="56"/>
      <c r="BA790" s="56"/>
      <c r="BB790" s="56"/>
      <c r="BC790" s="51"/>
      <c r="BD790" s="56"/>
      <c r="BE790" s="56"/>
      <c r="BF790" s="56"/>
      <c r="BG790" s="51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</row>
    <row r="791" spans="47:77">
      <c r="AY791" s="45"/>
      <c r="AZ791" s="56"/>
      <c r="BA791" s="56"/>
      <c r="BB791" s="56"/>
      <c r="BC791" s="51"/>
      <c r="BD791" s="56"/>
      <c r="BE791" s="56"/>
      <c r="BF791" s="56"/>
      <c r="BG791" s="51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</row>
    <row r="792" spans="47:77">
      <c r="AY792" s="45"/>
      <c r="AZ792" s="56"/>
      <c r="BA792" s="56"/>
      <c r="BB792" s="56"/>
      <c r="BC792" s="51"/>
      <c r="BD792" s="56"/>
      <c r="BE792" s="56"/>
      <c r="BF792" s="56"/>
      <c r="BG792" s="51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</row>
    <row r="793" spans="47:77">
      <c r="AY793" s="45"/>
      <c r="AZ793" s="56"/>
      <c r="BA793" s="56"/>
      <c r="BB793" s="56"/>
      <c r="BC793" s="51"/>
      <c r="BD793" s="56"/>
      <c r="BE793" s="56"/>
      <c r="BF793" s="56"/>
      <c r="BG793" s="51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</row>
    <row r="794" spans="47:77">
      <c r="AY794" s="45"/>
      <c r="AZ794" s="56"/>
      <c r="BA794" s="56"/>
      <c r="BB794" s="56"/>
      <c r="BC794" s="51"/>
      <c r="BD794" s="56"/>
      <c r="BE794" s="56"/>
      <c r="BF794" s="56"/>
      <c r="BG794" s="51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</row>
    <row r="795" spans="47:77">
      <c r="AY795" s="45"/>
      <c r="AZ795" s="56"/>
      <c r="BA795" s="56"/>
      <c r="BB795" s="56"/>
      <c r="BC795" s="51"/>
      <c r="BD795" s="56"/>
      <c r="BE795" s="56"/>
      <c r="BF795" s="56"/>
      <c r="BG795" s="51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</row>
    <row r="796" spans="47:77">
      <c r="AY796" s="45"/>
      <c r="AZ796" s="56"/>
      <c r="BA796" s="56"/>
      <c r="BB796" s="56"/>
      <c r="BC796" s="51"/>
      <c r="BD796" s="56"/>
      <c r="BE796" s="56"/>
      <c r="BF796" s="56"/>
      <c r="BG796" s="51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</row>
    <row r="797" spans="47:77">
      <c r="AY797" s="45"/>
      <c r="AZ797" s="56"/>
      <c r="BA797" s="56"/>
      <c r="BB797" s="56"/>
      <c r="BC797" s="51"/>
      <c r="BD797" s="56"/>
      <c r="BE797" s="56"/>
      <c r="BF797" s="56"/>
      <c r="BG797" s="51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</row>
    <row r="798" spans="47:77">
      <c r="AY798" s="45"/>
      <c r="AZ798" s="56"/>
      <c r="BA798" s="56"/>
      <c r="BB798" s="56"/>
      <c r="BC798" s="51"/>
      <c r="BD798" s="56"/>
      <c r="BE798" s="56"/>
      <c r="BF798" s="56"/>
      <c r="BG798" s="51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</row>
    <row r="799" spans="47:77">
      <c r="AY799" s="45"/>
      <c r="AZ799" s="56"/>
      <c r="BA799" s="56"/>
      <c r="BB799" s="56"/>
      <c r="BC799" s="51"/>
      <c r="BD799" s="56"/>
      <c r="BE799" s="56"/>
      <c r="BF799" s="56"/>
      <c r="BG799" s="51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</row>
    <row r="800" spans="47:77">
      <c r="AY800" s="45"/>
      <c r="AZ800" s="56"/>
      <c r="BA800" s="56"/>
      <c r="BB800" s="56"/>
      <c r="BC800" s="51"/>
      <c r="BD800" s="56"/>
      <c r="BE800" s="56"/>
      <c r="BF800" s="56"/>
      <c r="BG800" s="51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</row>
    <row r="801" spans="47:77">
      <c r="AY801" s="45"/>
      <c r="AZ801" s="56"/>
      <c r="BA801" s="56"/>
      <c r="BB801" s="56"/>
      <c r="BC801" s="51"/>
      <c r="BD801" s="56"/>
      <c r="BE801" s="56"/>
      <c r="BF801" s="56"/>
      <c r="BG801" s="51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</row>
    <row r="802" spans="47:77">
      <c r="AY802" s="45"/>
      <c r="AZ802" s="56"/>
      <c r="BA802" s="56"/>
      <c r="BB802" s="56"/>
      <c r="BC802" s="51"/>
      <c r="BD802" s="56"/>
      <c r="BE802" s="56"/>
      <c r="BF802" s="56"/>
      <c r="BG802" s="51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</row>
    <row r="803" spans="47:77">
      <c r="AY803" s="45"/>
      <c r="AZ803" s="56"/>
      <c r="BA803" s="56"/>
      <c r="BB803" s="56"/>
      <c r="BC803" s="51"/>
      <c r="BD803" s="56"/>
      <c r="BE803" s="56"/>
      <c r="BF803" s="56"/>
      <c r="BG803" s="51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</row>
    <row r="804" spans="47:77">
      <c r="AY804" s="45"/>
      <c r="AZ804" s="56"/>
      <c r="BA804" s="56"/>
      <c r="BB804" s="56"/>
      <c r="BC804" s="51"/>
      <c r="BD804" s="56"/>
      <c r="BE804" s="56"/>
      <c r="BF804" s="56"/>
      <c r="BG804" s="51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</row>
    <row r="805" spans="47:77">
      <c r="AY805" s="45"/>
      <c r="AZ805" s="56"/>
      <c r="BA805" s="56"/>
      <c r="BB805" s="56"/>
      <c r="BC805" s="51"/>
      <c r="BD805" s="56"/>
      <c r="BE805" s="56"/>
      <c r="BF805" s="56"/>
      <c r="BG805" s="51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</row>
    <row r="806" spans="47:77">
      <c r="AY806" s="45"/>
      <c r="AZ806" s="56"/>
      <c r="BA806" s="56"/>
      <c r="BB806" s="56"/>
      <c r="BC806" s="51"/>
      <c r="BD806" s="56"/>
      <c r="BE806" s="56"/>
      <c r="BF806" s="56"/>
      <c r="BG806" s="51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</row>
    <row r="807" spans="47:77">
      <c r="AY807" s="45"/>
      <c r="AZ807" s="56"/>
      <c r="BA807" s="56"/>
      <c r="BB807" s="56"/>
      <c r="BC807" s="51"/>
      <c r="BD807" s="56"/>
      <c r="BE807" s="56"/>
      <c r="BF807" s="56"/>
      <c r="BG807" s="51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</row>
    <row r="808" spans="47:77">
      <c r="AY808" s="45"/>
      <c r="AZ808" s="56"/>
      <c r="BA808" s="56"/>
      <c r="BB808" s="56"/>
      <c r="BC808" s="51"/>
      <c r="BD808" s="56"/>
      <c r="BE808" s="56"/>
      <c r="BF808" s="56"/>
      <c r="BG808" s="51"/>
      <c r="BI808" s="49"/>
      <c r="BJ808" s="49"/>
      <c r="BK808" s="42"/>
      <c r="BO808" s="49"/>
      <c r="BP808" s="49"/>
      <c r="BQ808" s="56"/>
      <c r="BR808" s="49"/>
      <c r="BS808" s="49"/>
      <c r="BT808" s="42"/>
      <c r="BX808" s="49"/>
      <c r="BY808" s="49"/>
    </row>
    <row r="809" spans="47:77">
      <c r="AW809" s="42"/>
      <c r="AX809" s="44"/>
      <c r="AY809" s="45"/>
      <c r="AZ809" s="56"/>
      <c r="BA809" s="56"/>
      <c r="BB809" s="56"/>
      <c r="BC809" s="51"/>
      <c r="BD809" s="56"/>
      <c r="BE809" s="56"/>
      <c r="BF809" s="56"/>
      <c r="BG809" s="51"/>
      <c r="BI809" s="58"/>
      <c r="BJ809" s="56"/>
      <c r="BK809" s="56"/>
      <c r="BL809" s="56"/>
      <c r="BM809" s="58"/>
      <c r="BN809" s="59"/>
      <c r="BO809" s="56"/>
      <c r="BP809" s="58"/>
      <c r="BQ809" s="56"/>
      <c r="BR809" s="58"/>
      <c r="BS809" s="56"/>
      <c r="BT809" s="56"/>
      <c r="BU809" s="56"/>
      <c r="BV809" s="58"/>
      <c r="BW809" s="59"/>
      <c r="BX809" s="56"/>
      <c r="BY809" s="58"/>
    </row>
    <row r="810" spans="47:77">
      <c r="AX810" s="44"/>
      <c r="AY810" s="45"/>
      <c r="AZ810" s="56"/>
      <c r="BA810" s="56"/>
      <c r="BB810" s="56"/>
      <c r="BC810" s="51"/>
      <c r="BD810" s="56"/>
      <c r="BE810" s="56"/>
      <c r="BF810" s="56"/>
      <c r="BG810" s="51"/>
      <c r="BI810" s="56"/>
      <c r="BJ810" s="56"/>
      <c r="BK810" s="56"/>
      <c r="BL810" s="56"/>
      <c r="BM810" s="56"/>
      <c r="BN810" s="59"/>
      <c r="BO810" s="56"/>
      <c r="BP810" s="56"/>
      <c r="BQ810" s="56"/>
      <c r="BR810" s="56"/>
      <c r="BS810" s="56"/>
      <c r="BT810" s="56"/>
      <c r="BU810" s="56"/>
      <c r="BV810" s="56"/>
      <c r="BW810" s="59"/>
      <c r="BX810" s="56"/>
      <c r="BY810" s="56"/>
    </row>
    <row r="811" spans="47:77">
      <c r="AX811" s="44"/>
      <c r="AY811" s="45"/>
      <c r="AZ811" s="56"/>
      <c r="BA811" s="56"/>
      <c r="BB811" s="56"/>
      <c r="BC811" s="51"/>
      <c r="BD811" s="56"/>
      <c r="BE811" s="56"/>
      <c r="BF811" s="56"/>
      <c r="BG811" s="51"/>
      <c r="BI811" s="56"/>
      <c r="BJ811" s="56"/>
      <c r="BK811" s="56"/>
      <c r="BL811" s="56"/>
      <c r="BM811" s="56"/>
      <c r="BN811" s="59"/>
      <c r="BO811" s="56"/>
      <c r="BP811" s="56"/>
      <c r="BQ811" s="56"/>
      <c r="BR811" s="56"/>
      <c r="BS811" s="56"/>
      <c r="BT811" s="56"/>
      <c r="BU811" s="56"/>
      <c r="BV811" s="56"/>
      <c r="BW811" s="59"/>
      <c r="BX811" s="56"/>
      <c r="BY811" s="56"/>
    </row>
    <row r="812" spans="47:77">
      <c r="AX812" s="44"/>
      <c r="AY812" s="45"/>
      <c r="AZ812" s="56"/>
      <c r="BA812" s="56"/>
      <c r="BB812" s="56"/>
      <c r="BC812" s="51"/>
      <c r="BD812" s="56"/>
      <c r="BE812" s="56"/>
      <c r="BF812" s="56"/>
      <c r="BG812" s="51"/>
      <c r="BI812" s="56"/>
      <c r="BJ812" s="56"/>
      <c r="BK812" s="56"/>
      <c r="BL812" s="56"/>
      <c r="BM812" s="56"/>
      <c r="BN812" s="59"/>
      <c r="BO812" s="56"/>
      <c r="BP812" s="56"/>
      <c r="BQ812" s="56"/>
      <c r="BR812" s="56"/>
      <c r="BS812" s="56"/>
      <c r="BT812" s="56"/>
      <c r="BU812" s="56"/>
      <c r="BV812" s="56"/>
      <c r="BW812" s="59"/>
      <c r="BX812" s="56"/>
      <c r="BY812" s="56"/>
    </row>
    <row r="813" spans="47:77">
      <c r="AZ813" s="56"/>
      <c r="BA813" s="56"/>
      <c r="BB813" s="56"/>
      <c r="BC813" s="51"/>
      <c r="BD813" s="56"/>
      <c r="BE813" s="56"/>
      <c r="BF813" s="56"/>
      <c r="BG813" s="51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</row>
    <row r="814" spans="47:77">
      <c r="AW814" s="42"/>
    </row>
    <row r="815" spans="47:77">
      <c r="AW815" s="42"/>
      <c r="BB815" s="56"/>
      <c r="BC815" s="51"/>
      <c r="BD815" s="56"/>
      <c r="BE815" s="56"/>
      <c r="BF815" s="56"/>
      <c r="BG815" s="51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</row>
    <row r="816" spans="47:77">
      <c r="AU816" s="42"/>
      <c r="BB816" s="56"/>
      <c r="BD816" s="56"/>
    </row>
    <row r="817" spans="47:76">
      <c r="BB817" s="56"/>
      <c r="BD817" s="56"/>
      <c r="BQ817" s="56"/>
      <c r="BR817" s="56"/>
      <c r="BS817" s="56"/>
      <c r="BT817" s="56"/>
      <c r="BU817" s="56"/>
      <c r="BV817" s="56"/>
      <c r="BW817" s="56"/>
      <c r="BX817" s="56"/>
    </row>
    <row r="818" spans="47:76">
      <c r="BA818" s="56"/>
      <c r="BB818" s="56"/>
      <c r="BD818" s="56"/>
      <c r="BQ818" s="56"/>
      <c r="BR818" s="56"/>
      <c r="BS818" s="56"/>
      <c r="BT818" s="56"/>
      <c r="BU818" s="56"/>
      <c r="BV818" s="56"/>
      <c r="BW818" s="56"/>
      <c r="BX818" s="56"/>
    </row>
    <row r="819" spans="47:76">
      <c r="BA819" s="42"/>
      <c r="BB819" s="56"/>
      <c r="BD819" s="56"/>
      <c r="BQ819" s="56"/>
      <c r="BR819" s="56"/>
      <c r="BS819" s="56"/>
      <c r="BT819" s="56"/>
      <c r="BU819" s="56"/>
      <c r="BV819" s="56"/>
      <c r="BW819" s="56"/>
      <c r="BX819" s="56"/>
    </row>
    <row r="820" spans="47:76">
      <c r="BA820" s="42"/>
      <c r="BB820" s="56"/>
      <c r="BD820" s="56"/>
      <c r="BQ820" s="56"/>
      <c r="BR820" s="56"/>
      <c r="BS820" s="56"/>
      <c r="BT820" s="56"/>
      <c r="BU820" s="56"/>
      <c r="BV820" s="56"/>
      <c r="BW820" s="56"/>
      <c r="BX820" s="56"/>
    </row>
    <row r="821" spans="47:76">
      <c r="BB821" s="56"/>
      <c r="BD821" s="56"/>
      <c r="BF821" s="42"/>
      <c r="BQ821" s="56"/>
      <c r="BR821" s="56"/>
      <c r="BS821" s="56"/>
      <c r="BT821" s="56"/>
      <c r="BU821" s="56"/>
      <c r="BV821" s="56"/>
      <c r="BW821" s="56"/>
      <c r="BX821" s="56"/>
    </row>
    <row r="822" spans="47:76">
      <c r="BB822" s="56"/>
      <c r="BD822" s="56"/>
      <c r="BF822" s="42"/>
      <c r="BQ822" s="56"/>
      <c r="BR822" s="56"/>
      <c r="BS822" s="56"/>
      <c r="BT822" s="56"/>
      <c r="BU822" s="56"/>
      <c r="BV822" s="56"/>
      <c r="BW822" s="56"/>
      <c r="BX822" s="56"/>
    </row>
    <row r="823" spans="47:76">
      <c r="AU823" s="42"/>
      <c r="BB823" s="56"/>
      <c r="BD823" s="56"/>
      <c r="BF823" s="42"/>
      <c r="BQ823" s="56"/>
      <c r="BR823" s="56"/>
      <c r="BS823" s="56"/>
      <c r="BT823" s="56"/>
      <c r="BU823" s="56"/>
      <c r="BV823" s="56"/>
      <c r="BW823" s="56"/>
      <c r="BX823" s="56"/>
    </row>
    <row r="824" spans="47:76">
      <c r="BB824" s="56"/>
      <c r="BD824" s="56"/>
      <c r="BQ824" s="56"/>
      <c r="BR824" s="56"/>
      <c r="BS824" s="56"/>
      <c r="BT824" s="56"/>
      <c r="BU824" s="56"/>
      <c r="BV824" s="56"/>
      <c r="BW824" s="56"/>
      <c r="BX824" s="56"/>
    </row>
    <row r="825" spans="47:76">
      <c r="AU825" s="49"/>
      <c r="AV825" s="49"/>
      <c r="AW825" s="49"/>
      <c r="AX825" s="49"/>
      <c r="AY825" s="49"/>
      <c r="AZ825" s="49"/>
      <c r="BA825" s="49"/>
      <c r="BB825" s="57"/>
      <c r="BC825" s="49"/>
      <c r="BD825" s="57"/>
      <c r="BE825" s="49"/>
      <c r="BF825" s="49"/>
      <c r="BG825" s="49"/>
      <c r="BQ825" s="56"/>
      <c r="BR825" s="56"/>
      <c r="BS825" s="56"/>
      <c r="BT825" s="56"/>
      <c r="BU825" s="56"/>
      <c r="BV825" s="56"/>
      <c r="BW825" s="56"/>
      <c r="BX825" s="56"/>
    </row>
    <row r="826" spans="47:76">
      <c r="AZ826" s="42"/>
      <c r="BB826" s="56"/>
      <c r="BD826" s="56"/>
      <c r="BQ826" s="56"/>
      <c r="BR826" s="56"/>
      <c r="BS826" s="56"/>
      <c r="BT826" s="56"/>
      <c r="BU826" s="56"/>
      <c r="BV826" s="56"/>
      <c r="BW826" s="56"/>
      <c r="BX826" s="56"/>
    </row>
    <row r="827" spans="47:76">
      <c r="AZ827" s="49"/>
      <c r="BA827" s="49"/>
      <c r="BB827" s="57"/>
      <c r="BC827" s="49"/>
      <c r="BD827" s="56"/>
      <c r="BE827" s="44"/>
      <c r="BF827" s="44"/>
      <c r="BQ827" s="56"/>
      <c r="BR827" s="56"/>
      <c r="BS827" s="56"/>
      <c r="BT827" s="56"/>
      <c r="BU827" s="56"/>
      <c r="BV827" s="56"/>
      <c r="BW827" s="56"/>
      <c r="BX827" s="56"/>
    </row>
    <row r="828" spans="47:76">
      <c r="AX828" s="44"/>
      <c r="AY828" s="44"/>
      <c r="BB828" s="58"/>
      <c r="BC828" s="44"/>
      <c r="BD828" s="56"/>
      <c r="BE828" s="44"/>
      <c r="BF828" s="44"/>
      <c r="BG828" s="44"/>
      <c r="BI828" s="49"/>
      <c r="BJ828" s="42"/>
      <c r="BM828" s="49"/>
      <c r="BO828" s="49"/>
      <c r="BP828" s="42"/>
      <c r="BS828" s="49"/>
    </row>
    <row r="829" spans="47:76">
      <c r="AX829" s="44"/>
      <c r="AY829" s="44"/>
      <c r="AZ829" s="44"/>
      <c r="BA829" s="44"/>
      <c r="BB829" s="58"/>
      <c r="BC829" s="44"/>
      <c r="BD829" s="58"/>
      <c r="BE829" s="44"/>
      <c r="BF829" s="44"/>
      <c r="BG829" s="44"/>
      <c r="BJ829" s="44"/>
      <c r="BK829" s="44"/>
      <c r="BP829" s="44"/>
      <c r="BQ829" s="44"/>
    </row>
    <row r="830" spans="47:76">
      <c r="AU830" s="44"/>
      <c r="AW830" s="42"/>
      <c r="AX830" s="44"/>
      <c r="AY830" s="44"/>
      <c r="AZ830" s="44"/>
      <c r="BA830" s="44"/>
      <c r="BB830" s="58"/>
      <c r="BC830" s="44"/>
      <c r="BD830" s="58"/>
      <c r="BE830" s="44"/>
      <c r="BF830" s="44"/>
      <c r="BG830" s="44"/>
      <c r="BI830" s="44"/>
      <c r="BJ830" s="44"/>
      <c r="BK830" s="44"/>
      <c r="BL830" s="44"/>
      <c r="BM830" s="44"/>
      <c r="BO830" s="44"/>
      <c r="BP830" s="44"/>
      <c r="BQ830" s="44"/>
      <c r="BR830" s="44"/>
      <c r="BS830" s="44"/>
    </row>
    <row r="831" spans="47:76">
      <c r="AU831" s="44"/>
      <c r="AW831" s="42"/>
      <c r="AX831" s="44"/>
      <c r="AY831" s="44"/>
      <c r="AZ831" s="44"/>
      <c r="BA831" s="44"/>
      <c r="BB831" s="58"/>
      <c r="BC831" s="44"/>
      <c r="BD831" s="58"/>
      <c r="BE831" s="44"/>
      <c r="BF831" s="44"/>
      <c r="BG831" s="44"/>
      <c r="BI831" s="44"/>
      <c r="BJ831" s="44"/>
      <c r="BK831" s="44"/>
      <c r="BL831" s="44"/>
      <c r="BM831" s="44"/>
      <c r="BO831" s="44"/>
      <c r="BP831" s="44"/>
      <c r="BQ831" s="44"/>
      <c r="BR831" s="44"/>
      <c r="BS831" s="44"/>
    </row>
    <row r="832" spans="47:76">
      <c r="AU832" s="49"/>
      <c r="AV832" s="49"/>
      <c r="AW832" s="49"/>
      <c r="AX832" s="49"/>
      <c r="AY832" s="49"/>
      <c r="AZ832" s="49"/>
      <c r="BA832" s="49"/>
      <c r="BB832" s="57"/>
      <c r="BC832" s="49"/>
      <c r="BD832" s="57"/>
      <c r="BE832" s="49"/>
      <c r="BF832" s="49"/>
      <c r="BG832" s="49"/>
      <c r="BI832" s="49"/>
      <c r="BJ832" s="49"/>
      <c r="BK832" s="49"/>
      <c r="BL832" s="49"/>
      <c r="BM832" s="49"/>
      <c r="BO832" s="49"/>
      <c r="BP832" s="49"/>
      <c r="BQ832" s="49"/>
      <c r="BR832" s="49"/>
      <c r="BS832" s="49"/>
    </row>
    <row r="833" spans="48:73">
      <c r="AX833" s="44"/>
      <c r="AY833" s="44"/>
      <c r="AZ833" s="44"/>
      <c r="BA833" s="44"/>
      <c r="BB833" s="58"/>
      <c r="BC833" s="44"/>
      <c r="BD833" s="58"/>
      <c r="BE833" s="44"/>
      <c r="BF833" s="44"/>
      <c r="BG833" s="44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8:73">
      <c r="AV834" s="42"/>
      <c r="AX834" s="45"/>
      <c r="AY834" s="45"/>
      <c r="AZ834" s="56"/>
      <c r="BA834" s="56"/>
      <c r="BB834" s="56"/>
      <c r="BC834" s="51"/>
      <c r="BD834" s="56"/>
      <c r="BE834" s="56"/>
      <c r="BF834" s="56"/>
      <c r="BG834" s="51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</row>
    <row r="835" spans="48:73">
      <c r="AX835" s="45"/>
      <c r="AY835" s="45"/>
      <c r="AZ835" s="56"/>
      <c r="BA835" s="56"/>
      <c r="BB835" s="56"/>
      <c r="BC835" s="51"/>
      <c r="BD835" s="56"/>
      <c r="BE835" s="56"/>
      <c r="BF835" s="56"/>
      <c r="BG835" s="51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</row>
    <row r="836" spans="48:73">
      <c r="AX836" s="45"/>
      <c r="AY836" s="45"/>
      <c r="AZ836" s="56"/>
      <c r="BA836" s="56"/>
      <c r="BB836" s="56"/>
      <c r="BC836" s="51"/>
      <c r="BD836" s="56"/>
      <c r="BE836" s="56"/>
      <c r="BF836" s="56"/>
      <c r="BG836" s="51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</row>
    <row r="837" spans="48:73">
      <c r="AX837" s="45"/>
      <c r="AY837" s="45"/>
      <c r="AZ837" s="56"/>
      <c r="BA837" s="56"/>
      <c r="BB837" s="56"/>
      <c r="BC837" s="51"/>
      <c r="BD837" s="56"/>
      <c r="BE837" s="56"/>
      <c r="BF837" s="56"/>
      <c r="BG837" s="51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</row>
    <row r="838" spans="48:73">
      <c r="AX838" s="45"/>
      <c r="AY838" s="45"/>
      <c r="AZ838" s="56"/>
      <c r="BA838" s="56"/>
      <c r="BB838" s="56"/>
      <c r="BC838" s="51"/>
      <c r="BD838" s="56"/>
      <c r="BE838" s="56"/>
      <c r="BF838" s="56"/>
      <c r="BG838" s="51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</row>
    <row r="839" spans="48:73">
      <c r="AX839" s="45"/>
      <c r="AY839" s="45"/>
      <c r="AZ839" s="56"/>
      <c r="BA839" s="56"/>
      <c r="BB839" s="56"/>
      <c r="BC839" s="51"/>
      <c r="BD839" s="56"/>
      <c r="BE839" s="56"/>
      <c r="BF839" s="56"/>
      <c r="BG839" s="51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</row>
    <row r="840" spans="48:73">
      <c r="AX840" s="45"/>
      <c r="AY840" s="45"/>
      <c r="AZ840" s="56"/>
      <c r="BA840" s="56"/>
      <c r="BB840" s="56"/>
      <c r="BC840" s="51"/>
      <c r="BD840" s="56"/>
      <c r="BE840" s="56"/>
      <c r="BF840" s="56"/>
      <c r="BG840" s="51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</row>
    <row r="841" spans="48:73">
      <c r="AX841" s="45"/>
      <c r="AY841" s="45"/>
      <c r="AZ841" s="56"/>
      <c r="BA841" s="56"/>
      <c r="BB841" s="56"/>
      <c r="BC841" s="51"/>
      <c r="BD841" s="56"/>
      <c r="BE841" s="56"/>
      <c r="BF841" s="56"/>
      <c r="BG841" s="51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</row>
    <row r="842" spans="48:73">
      <c r="AX842" s="45"/>
      <c r="AY842" s="45"/>
      <c r="AZ842" s="56"/>
      <c r="BA842" s="56"/>
      <c r="BB842" s="56"/>
      <c r="BC842" s="51"/>
      <c r="BD842" s="56"/>
      <c r="BE842" s="56"/>
      <c r="BF842" s="56"/>
      <c r="BG842" s="51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</row>
    <row r="843" spans="48:73">
      <c r="AX843" s="45"/>
      <c r="AY843" s="45"/>
      <c r="AZ843" s="56"/>
      <c r="BA843" s="56"/>
      <c r="BB843" s="56"/>
      <c r="BC843" s="51"/>
      <c r="BD843" s="56"/>
      <c r="BE843" s="56"/>
      <c r="BF843" s="56"/>
      <c r="BG843" s="51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</row>
    <row r="844" spans="48:73">
      <c r="AX844" s="45"/>
      <c r="AY844" s="45"/>
      <c r="AZ844" s="56"/>
      <c r="BA844" s="56"/>
      <c r="BB844" s="56"/>
      <c r="BC844" s="51"/>
      <c r="BD844" s="56"/>
      <c r="BE844" s="56"/>
      <c r="BF844" s="56"/>
      <c r="BG844" s="51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</row>
    <row r="845" spans="48:73">
      <c r="AX845" s="45"/>
      <c r="AY845" s="45"/>
      <c r="AZ845" s="56"/>
      <c r="BA845" s="56"/>
      <c r="BB845" s="56"/>
      <c r="BC845" s="51"/>
      <c r="BD845" s="56"/>
      <c r="BE845" s="56"/>
      <c r="BF845" s="56"/>
      <c r="BG845" s="51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</row>
    <row r="846" spans="48:73">
      <c r="AX846" s="45"/>
      <c r="AY846" s="45"/>
      <c r="AZ846" s="56"/>
      <c r="BA846" s="56"/>
      <c r="BB846" s="56"/>
      <c r="BC846" s="51"/>
      <c r="BD846" s="56"/>
      <c r="BE846" s="56"/>
      <c r="BF846" s="56"/>
      <c r="BG846" s="51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</row>
    <row r="847" spans="48:73">
      <c r="AX847" s="45"/>
      <c r="AY847" s="45"/>
      <c r="AZ847" s="56"/>
      <c r="BA847" s="56"/>
      <c r="BB847" s="56"/>
      <c r="BC847" s="51"/>
      <c r="BD847" s="56"/>
      <c r="BE847" s="56"/>
      <c r="BF847" s="56"/>
      <c r="BG847" s="51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</row>
    <row r="848" spans="48:73">
      <c r="AX848" s="45"/>
      <c r="AY848" s="45"/>
      <c r="AZ848" s="56"/>
      <c r="BA848" s="56"/>
      <c r="BB848" s="56"/>
      <c r="BC848" s="51"/>
      <c r="BD848" s="56"/>
      <c r="BE848" s="56"/>
      <c r="BF848" s="56"/>
      <c r="BG848" s="51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</row>
    <row r="849" spans="48:73">
      <c r="AX849" s="45"/>
      <c r="AY849" s="45"/>
      <c r="AZ849" s="56"/>
      <c r="BA849" s="56"/>
      <c r="BB849" s="56"/>
      <c r="BC849" s="51"/>
      <c r="BD849" s="56"/>
      <c r="BE849" s="56"/>
      <c r="BF849" s="56"/>
      <c r="BG849" s="51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</row>
    <row r="850" spans="48:73">
      <c r="AX850" s="45"/>
      <c r="AY850" s="45"/>
      <c r="AZ850" s="56"/>
      <c r="BA850" s="56"/>
      <c r="BB850" s="56"/>
      <c r="BC850" s="51"/>
      <c r="BD850" s="56"/>
      <c r="BE850" s="56"/>
      <c r="BF850" s="56"/>
      <c r="BG850" s="51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</row>
    <row r="851" spans="48:73">
      <c r="AX851" s="45"/>
      <c r="AY851" s="45"/>
      <c r="AZ851" s="56"/>
      <c r="BA851" s="56"/>
      <c r="BB851" s="56"/>
      <c r="BC851" s="51"/>
      <c r="BD851" s="56"/>
      <c r="BE851" s="56"/>
      <c r="BF851" s="56"/>
      <c r="BG851" s="51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</row>
    <row r="852" spans="48:73">
      <c r="BB852" s="56"/>
      <c r="BD852" s="56"/>
      <c r="BE852" s="56"/>
      <c r="BF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</row>
    <row r="853" spans="48:73">
      <c r="AV853" s="42"/>
      <c r="AX853" s="45"/>
      <c r="AY853" s="45"/>
      <c r="AZ853" s="56"/>
      <c r="BA853" s="56"/>
      <c r="BB853" s="56"/>
      <c r="BC853" s="51"/>
      <c r="BD853" s="56"/>
      <c r="BE853" s="56"/>
      <c r="BF853" s="56"/>
      <c r="BG853" s="51"/>
    </row>
    <row r="854" spans="48:73">
      <c r="AX854" s="45"/>
      <c r="AY854" s="45"/>
      <c r="AZ854" s="56"/>
      <c r="BA854" s="56"/>
      <c r="BB854" s="56"/>
      <c r="BC854" s="51"/>
      <c r="BD854" s="56"/>
      <c r="BE854" s="56"/>
      <c r="BF854" s="56"/>
      <c r="BG854" s="51"/>
    </row>
    <row r="855" spans="48:73">
      <c r="AX855" s="45"/>
      <c r="AY855" s="45"/>
      <c r="AZ855" s="56"/>
      <c r="BA855" s="56"/>
      <c r="BB855" s="56"/>
      <c r="BC855" s="51"/>
      <c r="BD855" s="56"/>
      <c r="BE855" s="56"/>
      <c r="BF855" s="56"/>
      <c r="BG855" s="51"/>
    </row>
    <row r="856" spans="48:73">
      <c r="AX856" s="45"/>
      <c r="AY856" s="45"/>
      <c r="AZ856" s="56"/>
      <c r="BA856" s="56"/>
      <c r="BB856" s="56"/>
      <c r="BC856" s="51"/>
      <c r="BD856" s="56"/>
      <c r="BE856" s="56"/>
      <c r="BF856" s="56"/>
      <c r="BG856" s="51"/>
    </row>
    <row r="857" spans="48:73">
      <c r="AX857" s="45"/>
      <c r="AY857" s="45"/>
      <c r="AZ857" s="56"/>
      <c r="BA857" s="56"/>
      <c r="BB857" s="56"/>
      <c r="BC857" s="51"/>
      <c r="BD857" s="56"/>
      <c r="BE857" s="56"/>
      <c r="BF857" s="56"/>
      <c r="BG857" s="51"/>
    </row>
    <row r="858" spans="48:73">
      <c r="AX858" s="45"/>
      <c r="AY858" s="45"/>
      <c r="AZ858" s="56"/>
      <c r="BA858" s="56"/>
      <c r="BB858" s="56"/>
      <c r="BC858" s="51"/>
      <c r="BD858" s="56"/>
      <c r="BE858" s="56"/>
      <c r="BF858" s="56"/>
      <c r="BG858" s="51"/>
    </row>
    <row r="859" spans="48:73">
      <c r="AX859" s="45"/>
      <c r="AY859" s="45"/>
      <c r="AZ859" s="56"/>
      <c r="BA859" s="56"/>
      <c r="BB859" s="56"/>
      <c r="BC859" s="51"/>
      <c r="BD859" s="56"/>
      <c r="BE859" s="56"/>
      <c r="BF859" s="56"/>
      <c r="BG859" s="51"/>
    </row>
    <row r="860" spans="48:73">
      <c r="AX860" s="45"/>
      <c r="AY860" s="45"/>
      <c r="AZ860" s="56"/>
      <c r="BA860" s="56"/>
      <c r="BB860" s="56"/>
      <c r="BC860" s="51"/>
      <c r="BD860" s="56"/>
      <c r="BE860" s="56"/>
      <c r="BF860" s="56"/>
      <c r="BG860" s="51"/>
    </row>
    <row r="861" spans="48:73">
      <c r="AX861" s="45"/>
      <c r="AY861" s="45"/>
      <c r="AZ861" s="56"/>
      <c r="BA861" s="56"/>
      <c r="BB861" s="56"/>
      <c r="BC861" s="51"/>
      <c r="BD861" s="56"/>
      <c r="BE861" s="56"/>
      <c r="BF861" s="56"/>
      <c r="BG861" s="51"/>
    </row>
    <row r="862" spans="48:73">
      <c r="AX862" s="45"/>
      <c r="AY862" s="45"/>
      <c r="AZ862" s="56"/>
      <c r="BA862" s="56"/>
      <c r="BB862" s="56"/>
      <c r="BC862" s="51"/>
      <c r="BD862" s="56"/>
      <c r="BE862" s="56"/>
      <c r="BF862" s="56"/>
      <c r="BG862" s="51"/>
    </row>
    <row r="863" spans="48:73">
      <c r="AX863" s="45"/>
      <c r="AY863" s="45"/>
      <c r="AZ863" s="56"/>
      <c r="BA863" s="56"/>
      <c r="BB863" s="56"/>
      <c r="BC863" s="51"/>
      <c r="BD863" s="56"/>
      <c r="BE863" s="56"/>
      <c r="BF863" s="56"/>
      <c r="BG863" s="51"/>
    </row>
    <row r="864" spans="48:73">
      <c r="AX864" s="45"/>
      <c r="AY864" s="45"/>
      <c r="AZ864" s="56"/>
      <c r="BA864" s="56"/>
      <c r="BB864" s="56"/>
      <c r="BC864" s="51"/>
      <c r="BD864" s="56"/>
      <c r="BE864" s="56"/>
      <c r="BF864" s="56"/>
      <c r="BG864" s="51"/>
    </row>
    <row r="865" spans="47:59">
      <c r="AX865" s="45"/>
      <c r="AY865" s="45"/>
      <c r="AZ865" s="56"/>
      <c r="BA865" s="56"/>
      <c r="BB865" s="56"/>
      <c r="BC865" s="51"/>
      <c r="BD865" s="56"/>
      <c r="BE865" s="56"/>
      <c r="BF865" s="56"/>
      <c r="BG865" s="51"/>
    </row>
    <row r="866" spans="47:59">
      <c r="AX866" s="45"/>
      <c r="AY866" s="45"/>
      <c r="AZ866" s="56"/>
      <c r="BA866" s="56"/>
      <c r="BB866" s="56"/>
      <c r="BC866" s="51"/>
      <c r="BD866" s="56"/>
      <c r="BE866" s="56"/>
      <c r="BF866" s="56"/>
      <c r="BG866" s="51"/>
    </row>
    <row r="867" spans="47:59">
      <c r="AX867" s="45"/>
      <c r="AY867" s="45"/>
      <c r="AZ867" s="56"/>
      <c r="BA867" s="56"/>
      <c r="BB867" s="56"/>
      <c r="BC867" s="51"/>
      <c r="BD867" s="56"/>
      <c r="BE867" s="56"/>
      <c r="BF867" s="56"/>
      <c r="BG867" s="51"/>
    </row>
    <row r="868" spans="47:59">
      <c r="AX868" s="45"/>
      <c r="AY868" s="45"/>
      <c r="AZ868" s="56"/>
      <c r="BA868" s="56"/>
      <c r="BB868" s="56"/>
      <c r="BC868" s="51"/>
      <c r="BD868" s="56"/>
      <c r="BE868" s="56"/>
      <c r="BF868" s="56"/>
      <c r="BG868" s="51"/>
    </row>
    <row r="869" spans="47:59">
      <c r="AX869" s="45"/>
      <c r="AY869" s="45"/>
      <c r="AZ869" s="56"/>
      <c r="BA869" s="56"/>
      <c r="BB869" s="56"/>
      <c r="BC869" s="51"/>
      <c r="BD869" s="56"/>
      <c r="BE869" s="56"/>
      <c r="BF869" s="56"/>
      <c r="BG869" s="51"/>
    </row>
    <row r="870" spans="47:59">
      <c r="AX870" s="45"/>
      <c r="AY870" s="45"/>
      <c r="AZ870" s="56"/>
      <c r="BA870" s="56"/>
      <c r="BB870" s="56"/>
      <c r="BC870" s="51"/>
      <c r="BD870" s="56"/>
      <c r="BE870" s="56"/>
      <c r="BF870" s="56"/>
      <c r="BG870" s="51"/>
    </row>
    <row r="871" spans="47:59">
      <c r="BD871" s="56"/>
    </row>
    <row r="872" spans="47:59">
      <c r="AW872" s="42"/>
      <c r="BD872" s="56"/>
    </row>
    <row r="873" spans="47:59">
      <c r="AW873" s="42"/>
    </row>
    <row r="874" spans="47:59">
      <c r="AW874" s="42"/>
      <c r="BD874" s="56"/>
    </row>
    <row r="875" spans="47:59">
      <c r="AU875" s="42"/>
      <c r="BB875" s="56"/>
      <c r="BD875" s="56"/>
    </row>
    <row r="876" spans="47:59">
      <c r="BB876" s="56"/>
      <c r="BD876" s="56"/>
    </row>
    <row r="877" spans="47:59">
      <c r="BA877" s="56"/>
      <c r="BB877" s="56"/>
      <c r="BD877" s="56"/>
    </row>
    <row r="878" spans="47:59">
      <c r="BA878" s="42"/>
      <c r="BB878" s="56"/>
      <c r="BD878" s="56"/>
    </row>
    <row r="879" spans="47:59">
      <c r="BA879" s="42"/>
      <c r="BB879" s="56"/>
      <c r="BD879" s="56"/>
    </row>
    <row r="880" spans="47:59">
      <c r="BB880" s="56"/>
      <c r="BD880" s="56"/>
      <c r="BF880" s="42"/>
    </row>
    <row r="881" spans="47:59">
      <c r="BB881" s="56"/>
      <c r="BD881" s="56"/>
      <c r="BF881" s="42"/>
    </row>
    <row r="882" spans="47:59">
      <c r="AU882" s="42"/>
      <c r="BB882" s="56"/>
      <c r="BD882" s="56"/>
      <c r="BF882" s="42"/>
    </row>
    <row r="883" spans="47:59">
      <c r="BB883" s="56"/>
      <c r="BD883" s="56"/>
    </row>
    <row r="884" spans="47:59">
      <c r="AU884" s="49"/>
      <c r="AV884" s="49"/>
      <c r="AW884" s="49"/>
      <c r="AX884" s="49"/>
      <c r="AY884" s="49"/>
      <c r="AZ884" s="49"/>
      <c r="BA884" s="49"/>
      <c r="BB884" s="57"/>
      <c r="BC884" s="49"/>
      <c r="BD884" s="57"/>
      <c r="BE884" s="49"/>
      <c r="BF884" s="49"/>
      <c r="BG884" s="49"/>
    </row>
    <row r="885" spans="47:59">
      <c r="AZ885" s="42"/>
      <c r="BB885" s="56"/>
      <c r="BD885" s="56"/>
    </row>
    <row r="886" spans="47:59">
      <c r="AZ886" s="49"/>
      <c r="BA886" s="49"/>
      <c r="BB886" s="57"/>
      <c r="BC886" s="49"/>
      <c r="BD886" s="56"/>
      <c r="BE886" s="44"/>
      <c r="BF886" s="44"/>
    </row>
    <row r="887" spans="47:59">
      <c r="AX887" s="44"/>
      <c r="AY887" s="44"/>
      <c r="BB887" s="58"/>
      <c r="BC887" s="44"/>
      <c r="BD887" s="56"/>
      <c r="BE887" s="44"/>
      <c r="BF887" s="44"/>
      <c r="BG887" s="44"/>
    </row>
    <row r="888" spans="47:59">
      <c r="AX888" s="44"/>
      <c r="AY888" s="44"/>
      <c r="AZ888" s="44"/>
      <c r="BA888" s="44"/>
      <c r="BB888" s="58"/>
      <c r="BC888" s="44"/>
      <c r="BD888" s="58"/>
      <c r="BE888" s="44"/>
      <c r="BF888" s="44"/>
      <c r="BG888" s="44"/>
    </row>
    <row r="889" spans="47:59">
      <c r="AU889" s="44"/>
      <c r="AW889" s="42"/>
      <c r="AX889" s="44"/>
      <c r="AY889" s="44"/>
      <c r="AZ889" s="44"/>
      <c r="BA889" s="44"/>
      <c r="BB889" s="58"/>
      <c r="BC889" s="44"/>
      <c r="BD889" s="58"/>
      <c r="BE889" s="44"/>
      <c r="BF889" s="44"/>
      <c r="BG889" s="44"/>
    </row>
    <row r="890" spans="47:59">
      <c r="AU890" s="44"/>
      <c r="AW890" s="42"/>
      <c r="AX890" s="44"/>
      <c r="AY890" s="44"/>
      <c r="AZ890" s="44"/>
      <c r="BA890" s="44"/>
      <c r="BB890" s="58"/>
      <c r="BC890" s="44"/>
      <c r="BD890" s="58"/>
      <c r="BE890" s="44"/>
      <c r="BF890" s="44"/>
      <c r="BG890" s="44"/>
    </row>
    <row r="891" spans="47:59">
      <c r="AU891" s="49"/>
      <c r="AV891" s="49"/>
      <c r="AW891" s="49"/>
      <c r="AX891" s="49"/>
      <c r="AY891" s="49"/>
      <c r="AZ891" s="49"/>
      <c r="BA891" s="49"/>
      <c r="BB891" s="57"/>
      <c r="BC891" s="49"/>
      <c r="BD891" s="57"/>
      <c r="BE891" s="49"/>
      <c r="BF891" s="49"/>
      <c r="BG891" s="49"/>
    </row>
    <row r="892" spans="47:59">
      <c r="AX892" s="44"/>
      <c r="AY892" s="44"/>
      <c r="AZ892" s="44"/>
      <c r="BA892" s="44"/>
      <c r="BB892" s="58"/>
      <c r="BC892" s="44"/>
      <c r="BD892" s="58"/>
      <c r="BE892" s="44"/>
      <c r="BF892" s="44"/>
      <c r="BG892" s="44"/>
    </row>
    <row r="893" spans="47:59">
      <c r="AV893" s="42"/>
      <c r="AX893" s="45"/>
      <c r="AY893" s="45"/>
      <c r="AZ893" s="56"/>
      <c r="BA893" s="56"/>
      <c r="BB893" s="56"/>
      <c r="BC893" s="51"/>
      <c r="BD893" s="56"/>
      <c r="BE893" s="56"/>
      <c r="BF893" s="56"/>
      <c r="BG893" s="51"/>
    </row>
    <row r="894" spans="47:59">
      <c r="AX894" s="45"/>
      <c r="AY894" s="45"/>
      <c r="AZ894" s="56"/>
      <c r="BA894" s="56"/>
      <c r="BB894" s="56"/>
      <c r="BC894" s="51"/>
      <c r="BD894" s="56"/>
      <c r="BE894" s="56"/>
      <c r="BF894" s="56"/>
      <c r="BG894" s="51"/>
    </row>
    <row r="895" spans="47:59">
      <c r="AX895" s="45"/>
      <c r="AY895" s="45"/>
      <c r="AZ895" s="56"/>
      <c r="BA895" s="56"/>
      <c r="BB895" s="56"/>
      <c r="BC895" s="51"/>
      <c r="BD895" s="56"/>
      <c r="BE895" s="56"/>
      <c r="BF895" s="56"/>
      <c r="BG895" s="51"/>
    </row>
    <row r="896" spans="47:59">
      <c r="AX896" s="45"/>
      <c r="AY896" s="45"/>
      <c r="AZ896" s="56"/>
      <c r="BA896" s="56"/>
      <c r="BB896" s="56"/>
      <c r="BC896" s="51"/>
      <c r="BD896" s="56"/>
      <c r="BE896" s="56"/>
      <c r="BF896" s="56"/>
      <c r="BG896" s="51"/>
    </row>
    <row r="897" spans="48:59">
      <c r="AX897" s="45"/>
      <c r="AY897" s="45"/>
      <c r="AZ897" s="56"/>
      <c r="BA897" s="56"/>
      <c r="BB897" s="56"/>
      <c r="BC897" s="51"/>
      <c r="BD897" s="56"/>
      <c r="BE897" s="56"/>
      <c r="BF897" s="56"/>
      <c r="BG897" s="51"/>
    </row>
    <row r="898" spans="48:59">
      <c r="AX898" s="45"/>
      <c r="AY898" s="45"/>
      <c r="AZ898" s="56"/>
      <c r="BA898" s="56"/>
      <c r="BB898" s="56"/>
      <c r="BC898" s="51"/>
      <c r="BD898" s="56"/>
      <c r="BE898" s="56"/>
      <c r="BF898" s="56"/>
      <c r="BG898" s="51"/>
    </row>
    <row r="899" spans="48:59">
      <c r="AX899" s="45"/>
      <c r="AY899" s="45"/>
      <c r="AZ899" s="56"/>
      <c r="BA899" s="56"/>
      <c r="BB899" s="56"/>
      <c r="BC899" s="51"/>
      <c r="BD899" s="56"/>
      <c r="BE899" s="56"/>
      <c r="BF899" s="56"/>
      <c r="BG899" s="51"/>
    </row>
    <row r="900" spans="48:59">
      <c r="AX900" s="45"/>
      <c r="AY900" s="45"/>
      <c r="AZ900" s="56"/>
      <c r="BA900" s="56"/>
      <c r="BB900" s="56"/>
      <c r="BC900" s="51"/>
      <c r="BD900" s="56"/>
      <c r="BE900" s="56"/>
      <c r="BF900" s="56"/>
      <c r="BG900" s="51"/>
    </row>
    <row r="901" spans="48:59">
      <c r="AX901" s="45"/>
      <c r="AY901" s="45"/>
      <c r="AZ901" s="56"/>
      <c r="BA901" s="56"/>
      <c r="BB901" s="56"/>
      <c r="BC901" s="51"/>
      <c r="BD901" s="56"/>
      <c r="BE901" s="56"/>
      <c r="BF901" s="56"/>
      <c r="BG901" s="51"/>
    </row>
    <row r="902" spans="48:59">
      <c r="AX902" s="45"/>
      <c r="AY902" s="45"/>
      <c r="AZ902" s="56"/>
      <c r="BA902" s="56"/>
      <c r="BB902" s="56"/>
      <c r="BC902" s="51"/>
      <c r="BD902" s="56"/>
      <c r="BE902" s="56"/>
      <c r="BF902" s="56"/>
      <c r="BG902" s="51"/>
    </row>
    <row r="903" spans="48:59">
      <c r="AX903" s="45"/>
      <c r="AY903" s="45"/>
      <c r="BD903" s="56"/>
    </row>
    <row r="904" spans="48:59">
      <c r="AV904" s="42"/>
      <c r="AX904" s="45"/>
      <c r="AY904" s="45"/>
      <c r="AZ904" s="56"/>
      <c r="BA904" s="56"/>
      <c r="BB904" s="56"/>
      <c r="BC904" s="51"/>
      <c r="BD904" s="56"/>
      <c r="BE904" s="56"/>
      <c r="BF904" s="56"/>
      <c r="BG904" s="51"/>
    </row>
    <row r="905" spans="48:59">
      <c r="AX905" s="45"/>
      <c r="AY905" s="45"/>
      <c r="AZ905" s="56"/>
      <c r="BA905" s="56"/>
      <c r="BB905" s="56"/>
      <c r="BC905" s="51"/>
      <c r="BD905" s="56"/>
      <c r="BE905" s="56"/>
      <c r="BF905" s="56"/>
      <c r="BG905" s="51"/>
    </row>
    <row r="906" spans="48:59">
      <c r="AX906" s="45"/>
      <c r="AY906" s="45"/>
      <c r="AZ906" s="56"/>
      <c r="BA906" s="56"/>
      <c r="BB906" s="56"/>
      <c r="BC906" s="51"/>
      <c r="BD906" s="56"/>
      <c r="BE906" s="56"/>
      <c r="BF906" s="56"/>
      <c r="BG906" s="51"/>
    </row>
    <row r="907" spans="48:59">
      <c r="AX907" s="45"/>
      <c r="AY907" s="45"/>
      <c r="AZ907" s="56"/>
      <c r="BA907" s="56"/>
      <c r="BB907" s="56"/>
      <c r="BC907" s="51"/>
      <c r="BD907" s="56"/>
      <c r="BE907" s="56"/>
      <c r="BF907" s="56"/>
      <c r="BG907" s="51"/>
    </row>
    <row r="908" spans="48:59">
      <c r="AX908" s="45"/>
      <c r="AY908" s="45"/>
      <c r="AZ908" s="56"/>
      <c r="BA908" s="56"/>
      <c r="BB908" s="56"/>
      <c r="BC908" s="51"/>
      <c r="BD908" s="56"/>
      <c r="BE908" s="56"/>
      <c r="BF908" s="56"/>
      <c r="BG908" s="51"/>
    </row>
    <row r="909" spans="48:59">
      <c r="AX909" s="45"/>
      <c r="AY909" s="45"/>
      <c r="AZ909" s="56"/>
      <c r="BA909" s="56"/>
      <c r="BB909" s="56"/>
      <c r="BC909" s="51"/>
      <c r="BD909" s="56"/>
      <c r="BE909" s="56"/>
      <c r="BF909" s="56"/>
      <c r="BG909" s="51"/>
    </row>
    <row r="910" spans="48:59">
      <c r="AX910" s="45"/>
      <c r="AY910" s="45"/>
      <c r="AZ910" s="56"/>
      <c r="BA910" s="56"/>
      <c r="BB910" s="56"/>
      <c r="BC910" s="51"/>
      <c r="BD910" s="56"/>
      <c r="BE910" s="56"/>
      <c r="BF910" s="56"/>
      <c r="BG910" s="51"/>
    </row>
    <row r="911" spans="48:59">
      <c r="AX911" s="45"/>
      <c r="AY911" s="45"/>
      <c r="AZ911" s="56"/>
      <c r="BA911" s="56"/>
      <c r="BB911" s="56"/>
      <c r="BC911" s="51"/>
      <c r="BD911" s="56"/>
      <c r="BE911" s="56"/>
      <c r="BF911" s="56"/>
      <c r="BG911" s="51"/>
    </row>
    <row r="912" spans="48:59">
      <c r="AX912" s="45"/>
      <c r="AY912" s="45"/>
      <c r="AZ912" s="56"/>
      <c r="BA912" s="56"/>
      <c r="BB912" s="56"/>
      <c r="BC912" s="51"/>
      <c r="BD912" s="56"/>
      <c r="BE912" s="56"/>
      <c r="BF912" s="56"/>
      <c r="BG912" s="51"/>
    </row>
    <row r="913" spans="47:59">
      <c r="AX913" s="45"/>
      <c r="AY913" s="45"/>
      <c r="AZ913" s="56"/>
      <c r="BA913" s="56"/>
      <c r="BB913" s="56"/>
      <c r="BC913" s="51"/>
      <c r="BD913" s="56"/>
      <c r="BE913" s="56"/>
      <c r="BF913" s="56"/>
      <c r="BG913" s="51"/>
    </row>
    <row r="915" spans="47:59">
      <c r="AW915" s="42"/>
    </row>
    <row r="916" spans="47:59">
      <c r="AW916" s="42"/>
    </row>
    <row r="917" spans="47:59">
      <c r="AW917" s="42"/>
    </row>
    <row r="918" spans="47:59">
      <c r="AU918" s="42"/>
    </row>
    <row r="939" spans="54:73">
      <c r="BB939" s="56"/>
      <c r="BD939" s="56"/>
      <c r="BE939" s="56"/>
      <c r="BF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</row>
    <row r="940" spans="54:73">
      <c r="BB940" s="56"/>
      <c r="BD940" s="56"/>
      <c r="BE940" s="56"/>
      <c r="BF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</row>
    <row r="941" spans="54:73">
      <c r="BB941" s="56"/>
      <c r="BD941" s="56"/>
      <c r="BE941" s="56"/>
      <c r="BF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</row>
    <row r="942" spans="54:73">
      <c r="BB942" s="56"/>
      <c r="BD942" s="56"/>
      <c r="BE942" s="56"/>
      <c r="BF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</row>
    <row r="943" spans="54:73">
      <c r="BB943" s="56"/>
      <c r="BD943" s="56"/>
      <c r="BE943" s="56"/>
      <c r="BF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</row>
    <row r="944" spans="54:73">
      <c r="BB944" s="56"/>
      <c r="BD944" s="56"/>
      <c r="BE944" s="56"/>
      <c r="BF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</row>
    <row r="945" spans="54:73">
      <c r="BB945" s="56"/>
      <c r="BD945" s="56"/>
      <c r="BE945" s="56"/>
      <c r="BF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</row>
    <row r="946" spans="54:73">
      <c r="BB946" s="56"/>
      <c r="BD946" s="56"/>
      <c r="BE946" s="56"/>
      <c r="BF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</row>
    <row r="947" spans="54:73">
      <c r="BB947" s="56"/>
      <c r="BD947" s="56"/>
      <c r="BE947" s="56"/>
      <c r="BF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</row>
    <row r="948" spans="54:73">
      <c r="BB948" s="56"/>
      <c r="BD948" s="56"/>
      <c r="BE948" s="56"/>
      <c r="BF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</row>
    <row r="949" spans="54:73">
      <c r="BB949" s="56"/>
      <c r="BD949" s="56"/>
      <c r="BE949" s="56"/>
      <c r="BF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</row>
    <row r="950" spans="54:73">
      <c r="BB950" s="56"/>
      <c r="BD950" s="56"/>
      <c r="BE950" s="56"/>
      <c r="BF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</row>
    <row r="951" spans="54:73">
      <c r="BB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</row>
    <row r="952" spans="54:73">
      <c r="BB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</row>
    <row r="953" spans="54:73">
      <c r="BB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</row>
    <row r="954" spans="54:73">
      <c r="BB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</row>
    <row r="955" spans="54:73">
      <c r="BB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</row>
    <row r="956" spans="54:73">
      <c r="BB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</row>
    <row r="957" spans="54:73">
      <c r="BB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</row>
    <row r="958" spans="54:73">
      <c r="BB958" s="56"/>
    </row>
    <row r="959" spans="54:73">
      <c r="BB959" s="56"/>
    </row>
    <row r="973" spans="1:27">
      <c r="A973" s="42"/>
    </row>
    <row r="976" spans="1:27">
      <c r="AA976" s="42"/>
    </row>
    <row r="977" spans="1:30">
      <c r="A977" s="42"/>
      <c r="H977" s="42"/>
      <c r="I977" s="42"/>
    </row>
    <row r="978" spans="1:30">
      <c r="A978" s="42"/>
      <c r="V978" s="44"/>
      <c r="AC978" s="44"/>
      <c r="AD978" s="44"/>
    </row>
    <row r="979" spans="1:30">
      <c r="A979" s="42"/>
      <c r="V979" s="49"/>
      <c r="AC979" s="49"/>
      <c r="AD979" s="49"/>
    </row>
    <row r="980" spans="1:30">
      <c r="A980" s="42"/>
      <c r="U980" s="42"/>
      <c r="AC980" s="44"/>
      <c r="AD980" s="44"/>
    </row>
    <row r="981" spans="1:30">
      <c r="A981" s="42"/>
    </row>
    <row r="982" spans="1:30">
      <c r="A982" s="42"/>
      <c r="U982" s="42"/>
      <c r="AC982" s="44"/>
      <c r="AD982" s="44"/>
    </row>
    <row r="983" spans="1:30">
      <c r="A983" s="42"/>
    </row>
    <row r="984" spans="1:30">
      <c r="A984" s="42"/>
      <c r="U984" s="42"/>
      <c r="V984" s="339"/>
      <c r="AC984" s="44"/>
      <c r="AD984" s="44"/>
    </row>
    <row r="985" spans="1:30">
      <c r="A985" s="42"/>
    </row>
    <row r="986" spans="1:30">
      <c r="A986" s="42"/>
      <c r="U986" s="42"/>
      <c r="AC986" s="44"/>
      <c r="AD986" s="44"/>
    </row>
    <row r="987" spans="1:30">
      <c r="A987" s="42"/>
    </row>
    <row r="988" spans="1:30">
      <c r="A988" s="42"/>
      <c r="U988" s="42"/>
      <c r="AC988" s="44"/>
      <c r="AD988" s="44"/>
    </row>
    <row r="989" spans="1:30">
      <c r="A989" s="42"/>
    </row>
    <row r="990" spans="1:30">
      <c r="A990" s="42"/>
    </row>
    <row r="991" spans="1:30">
      <c r="A991" s="42"/>
    </row>
    <row r="992" spans="1:30">
      <c r="A992" s="42"/>
    </row>
    <row r="993" spans="1:9">
      <c r="A993" s="42"/>
    </row>
    <row r="994" spans="1:9">
      <c r="A994" s="42"/>
    </row>
    <row r="995" spans="1:9">
      <c r="A995" s="42"/>
    </row>
    <row r="996" spans="1:9">
      <c r="A996" s="42"/>
    </row>
    <row r="997" spans="1:9">
      <c r="A997" s="42"/>
    </row>
    <row r="998" spans="1:9">
      <c r="A998" s="42"/>
    </row>
    <row r="999" spans="1:9">
      <c r="A999" s="42"/>
      <c r="H999" s="42"/>
      <c r="I999" s="42"/>
    </row>
    <row r="1002" spans="1:9">
      <c r="A1002" s="42"/>
    </row>
    <row r="1005" spans="1:9">
      <c r="A1005" s="42"/>
    </row>
    <row r="1008" spans="1:9">
      <c r="A1008" s="42"/>
    </row>
    <row r="1009" spans="1:1">
      <c r="A1009" s="42"/>
    </row>
    <row r="1010" spans="1:1">
      <c r="A1010" s="42"/>
    </row>
    <row r="1011" spans="1:1">
      <c r="A1011" s="42"/>
    </row>
    <row r="1012" spans="1:1">
      <c r="A1012" s="42"/>
    </row>
    <row r="1013" spans="1:1">
      <c r="A1013" s="42"/>
    </row>
    <row r="1014" spans="1:1">
      <c r="A1014" s="42"/>
    </row>
    <row r="1015" spans="1:1">
      <c r="A1015" s="42"/>
    </row>
    <row r="1016" spans="1:1">
      <c r="A1016" s="42"/>
    </row>
    <row r="1017" spans="1:1">
      <c r="A1017" s="42"/>
    </row>
    <row r="1018" spans="1:1">
      <c r="A1018" s="42"/>
    </row>
    <row r="1019" spans="1:1">
      <c r="A1019" s="42"/>
    </row>
    <row r="1020" spans="1:1">
      <c r="A1020" s="42"/>
    </row>
    <row r="1021" spans="1:1">
      <c r="A1021" s="42"/>
    </row>
    <row r="1022" spans="1:1">
      <c r="A1022" s="42"/>
    </row>
    <row r="1023" spans="1:1">
      <c r="A1023" s="42"/>
    </row>
    <row r="1024" spans="1:1">
      <c r="A1024" s="42"/>
    </row>
    <row r="1025" spans="1:1">
      <c r="A1025" s="42"/>
    </row>
    <row r="1026" spans="1:1">
      <c r="A1026" s="42"/>
    </row>
    <row r="1027" spans="1:1">
      <c r="A1027" s="42"/>
    </row>
    <row r="1028" spans="1:1">
      <c r="A1028" s="42"/>
    </row>
    <row r="1029" spans="1:1">
      <c r="A1029" s="42"/>
    </row>
    <row r="1030" spans="1:1">
      <c r="A1030" s="42"/>
    </row>
    <row r="1031" spans="1:1">
      <c r="A1031" s="42"/>
    </row>
    <row r="1032" spans="1:1">
      <c r="A1032" s="42"/>
    </row>
    <row r="1033" spans="1:1">
      <c r="A1033" s="42"/>
    </row>
    <row r="1034" spans="1:1">
      <c r="A1034" s="42"/>
    </row>
    <row r="1035" spans="1:1">
      <c r="A1035" s="42"/>
    </row>
    <row r="1036" spans="1:1">
      <c r="A1036" s="42"/>
    </row>
    <row r="1037" spans="1:1">
      <c r="A1037" s="42"/>
    </row>
    <row r="1038" spans="1:1">
      <c r="A1038" s="42"/>
    </row>
    <row r="1039" spans="1:1">
      <c r="A1039" s="42"/>
    </row>
    <row r="1040" spans="1:1">
      <c r="A1040" s="42"/>
    </row>
    <row r="1041" spans="1:1">
      <c r="A1041" s="42"/>
    </row>
    <row r="1042" spans="1:1">
      <c r="A1042" s="42"/>
    </row>
    <row r="1047" spans="1:1">
      <c r="A1047" s="42"/>
    </row>
    <row r="1048" spans="1:1">
      <c r="A1048" s="42"/>
    </row>
    <row r="1051" spans="1:1">
      <c r="A1051" s="42"/>
    </row>
    <row r="1053" spans="1:1">
      <c r="A1053" s="42"/>
    </row>
    <row r="1055" spans="1:1">
      <c r="A1055" s="42"/>
    </row>
    <row r="1057" spans="1:1">
      <c r="A1057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  <row r="1064" spans="1:1">
      <c r="A1064" s="42"/>
    </row>
    <row r="1065" spans="1:1">
      <c r="A1065" s="42"/>
    </row>
    <row r="1066" spans="1:1">
      <c r="A1066" s="42"/>
    </row>
    <row r="1067" spans="1:1">
      <c r="A1067" s="42"/>
    </row>
  </sheetData>
  <customSheetViews>
    <customSheetView guid="{F562D92E-120C-4AE9-9663-89E64D41DC53}" scale="75" fitToPage="1" topLeftCell="X187">
      <selection activeCell="P146" sqref="P14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"/>
      <headerFooter alignWithMargins="0"/>
    </customSheetView>
    <customSheetView guid="{35F19056-2E6F-4935-B863-78836FE990BF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2"/>
      <headerFooter alignWithMargins="0"/>
    </customSheetView>
    <customSheetView guid="{18BDED73-BFA0-442E-87EC-CED86EE4CF94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3"/>
      <headerFooter alignWithMargins="0"/>
    </customSheetView>
    <customSheetView guid="{0BC1F393-8A13-47D5-BC6C-0C99615B5AB9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5"/>
      <headerFooter alignWithMargins="0"/>
    </customSheetView>
    <customSheetView guid="{8FB94551-8874-4095-B8FB-5316E0D2FD2C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6"/>
      <headerFooter alignWithMargins="0"/>
    </customSheetView>
    <customSheetView guid="{8FC77C99-DBF7-40B8-99B8-01B75826CDCB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7"/>
      <headerFooter alignWithMargins="0"/>
    </customSheetView>
    <customSheetView guid="{2EA35095-1ADC-4CC7-8C3C-B487D65FA247}" scale="75" fitToPage="1" showRuler="0" topLeftCell="T228">
      <selection activeCell="T228" sqref="T228:AQ310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8"/>
      <headerFooter alignWithMargins="0"/>
    </customSheetView>
    <customSheetView guid="{2431C9E5-7CC2-4B8D-99C3-962247B1DBF5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9"/>
      <headerFooter alignWithMargins="0"/>
    </customSheetView>
    <customSheetView guid="{4BC93440-BA85-4935-A8C9-66DC6AE5DE5E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10"/>
      <headerFooter alignWithMargins="0"/>
    </customSheetView>
    <customSheetView guid="{0C49E549-011E-46F4-A82E-2CC8951A9C1E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1"/>
      <headerFooter alignWithMargins="0"/>
    </customSheetView>
    <customSheetView guid="{195DF303-1BBD-4236-94B5-47432850B006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2"/>
      <headerFooter alignWithMargins="0"/>
    </customSheetView>
  </customSheetViews>
  <mergeCells count="2">
    <mergeCell ref="T155:AQ155"/>
    <mergeCell ref="T224:AQ224"/>
  </mergeCells>
  <phoneticPr fontId="12" type="noConversion"/>
  <printOptions horizontalCentered="1"/>
  <pageMargins left="0.5" right="0.5" top="1" bottom="0.5" header="0" footer="0"/>
  <pageSetup scale="40" orientation="landscape" r:id="rId13"/>
  <headerFooter alignWithMargins="0"/>
  <rowBreaks count="2" manualBreakCount="2">
    <brk id="69" max="17" man="1"/>
    <brk id="91" max="17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transitionEntry="1" codeName="Sheet15">
    <pageSetUpPr fitToPage="1"/>
  </sheetPr>
  <dimension ref="A1:BX1063"/>
  <sheetViews>
    <sheetView workbookViewId="0"/>
  </sheetViews>
  <sheetFormatPr defaultColWidth="9.69921875" defaultRowHeight="15.75"/>
  <cols>
    <col min="1" max="1" width="5.09765625" style="41" customWidth="1"/>
    <col min="2" max="2" width="0.3984375" style="41" customWidth="1"/>
    <col min="3" max="3" width="6.69921875" style="41" customWidth="1"/>
    <col min="4" max="4" width="38.8984375" style="41" customWidth="1"/>
    <col min="5" max="5" width="1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2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7" style="41" customWidth="1"/>
    <col min="19" max="19" width="6.69921875" style="41" customWidth="1"/>
    <col min="20" max="20" width="9.69921875" style="41" customWidth="1"/>
    <col min="21" max="21" width="0.59765625" style="41" customWidth="1"/>
    <col min="22" max="22" width="4.59765625" style="41" customWidth="1"/>
    <col min="23" max="23" width="43.296875" style="41" customWidth="1"/>
    <col min="24" max="24" width="0.8984375" style="41" customWidth="1"/>
    <col min="25" max="25" width="10.0976562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1.69921875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15 OF "&amp;TEXT(Page_Num_2.3,"00")</f>
        <v>PAGE 15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0" t="str">
        <f>TIME</f>
        <v>12 Months Projected with Riders</v>
      </c>
      <c r="N9" s="42"/>
      <c r="R9" s="41" t="str">
        <f>WIT</f>
        <v>B. L. Sailers</v>
      </c>
      <c r="Y9" s="44"/>
      <c r="AK9" s="110"/>
      <c r="AL9" s="42"/>
    </row>
    <row r="10" spans="1:40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Y10" s="44"/>
      <c r="AA10" s="42"/>
      <c r="AB10" s="42"/>
    </row>
    <row r="11" spans="1:40">
      <c r="A11" s="49"/>
      <c r="B11" s="49"/>
      <c r="C11" s="49"/>
      <c r="D11" s="49"/>
      <c r="E11" s="49"/>
      <c r="F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S11" s="49"/>
      <c r="T11" s="49"/>
      <c r="U11" s="49"/>
      <c r="V11" s="49"/>
      <c r="W11" s="49"/>
      <c r="X11" s="49"/>
      <c r="Y11" s="44"/>
      <c r="Z11" s="49"/>
      <c r="AA11" s="49"/>
      <c r="AB11" s="49"/>
      <c r="AC11" s="49"/>
      <c r="AD11" s="49"/>
      <c r="AE11" s="49"/>
      <c r="AF11" s="49"/>
      <c r="AG11" s="107"/>
      <c r="AH11" s="49"/>
      <c r="AI11" s="49"/>
      <c r="AJ11" s="49"/>
      <c r="AK11" s="107"/>
      <c r="AL11" s="49"/>
      <c r="AM11" s="49"/>
      <c r="AN11" s="49"/>
    </row>
    <row r="12" spans="1:40" ht="18" customHeight="1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T12" s="50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>
      <c r="L13" s="44" t="s">
        <v>12</v>
      </c>
      <c r="M13" s="44"/>
      <c r="N13" s="44" t="s">
        <v>13</v>
      </c>
      <c r="O13" s="44"/>
      <c r="R13" s="44" t="s">
        <v>11</v>
      </c>
      <c r="T13" s="50"/>
      <c r="Z13" s="44"/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132"/>
      <c r="V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44" t="s">
        <v>27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132"/>
      <c r="V15" s="44"/>
      <c r="Y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T16" s="132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107"/>
      <c r="AH16" s="49"/>
      <c r="AI16" s="49"/>
      <c r="AJ16" s="49"/>
      <c r="AK16" s="107"/>
      <c r="AL16" s="49"/>
      <c r="AM16" s="49"/>
      <c r="AN16" s="49"/>
    </row>
    <row r="17" spans="1:43" ht="17.100000000000001" customHeight="1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312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T17" s="132"/>
      <c r="U17" s="40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3">
      <c r="A18" s="41">
        <v>1</v>
      </c>
      <c r="C18" s="133" t="s">
        <v>81</v>
      </c>
      <c r="D18" s="133" t="s">
        <v>82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132"/>
      <c r="U18" s="42"/>
    </row>
    <row r="19" spans="1:43">
      <c r="A19" s="41">
        <v>2</v>
      </c>
      <c r="C19" s="130"/>
      <c r="D19" s="133" t="s">
        <v>83</v>
      </c>
      <c r="E19" s="4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132"/>
      <c r="U19" s="40"/>
    </row>
    <row r="20" spans="1:43"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132"/>
      <c r="U20" s="42"/>
    </row>
    <row r="21" spans="1:43">
      <c r="A21" s="41">
        <v>3</v>
      </c>
      <c r="C21" s="133" t="s">
        <v>84</v>
      </c>
      <c r="D21" s="130"/>
      <c r="F21" s="3"/>
      <c r="G21" s="1"/>
      <c r="H21" s="1"/>
      <c r="I21" s="1"/>
      <c r="J21" s="80"/>
      <c r="K21" s="80"/>
      <c r="L21" s="3"/>
      <c r="M21" s="3"/>
      <c r="N21" s="1"/>
      <c r="O21" s="1"/>
      <c r="P21" s="1"/>
      <c r="Q21" s="1"/>
      <c r="R21" s="3"/>
      <c r="S21" s="45"/>
      <c r="V21" s="50"/>
      <c r="Y21" s="45"/>
      <c r="Z21" s="164"/>
      <c r="AA21" s="45"/>
      <c r="AB21" s="45"/>
      <c r="AC21" s="46"/>
      <c r="AD21" s="46"/>
      <c r="AE21" s="45"/>
      <c r="AF21" s="45"/>
      <c r="AI21" s="45"/>
      <c r="AJ21" s="45"/>
      <c r="AL21" s="45"/>
    </row>
    <row r="22" spans="1:43">
      <c r="A22" s="41">
        <v>4</v>
      </c>
      <c r="C22" s="133" t="s">
        <v>373</v>
      </c>
      <c r="D22" s="130"/>
      <c r="F22" s="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3"/>
      <c r="S22" s="45"/>
      <c r="V22" s="50"/>
      <c r="Y22" s="50"/>
      <c r="Z22" s="326"/>
      <c r="AA22" s="50"/>
      <c r="AB22" s="50"/>
      <c r="AC22" s="50"/>
      <c r="AD22" s="50"/>
      <c r="AE22" s="50"/>
      <c r="AF22" s="50"/>
      <c r="AI22" s="50"/>
      <c r="AJ22" s="50"/>
      <c r="AK22" s="111"/>
      <c r="AL22" s="50"/>
      <c r="AM22" s="46"/>
      <c r="AN22" s="46"/>
    </row>
    <row r="23" spans="1:43"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5"/>
      <c r="V23" s="164"/>
      <c r="Y23" s="164"/>
      <c r="Z23" s="326"/>
      <c r="AA23" s="45"/>
      <c r="AB23" s="45"/>
      <c r="AC23" s="46"/>
      <c r="AD23" s="46"/>
      <c r="AE23" s="45"/>
      <c r="AF23" s="45"/>
      <c r="AI23" s="45"/>
      <c r="AJ23" s="45"/>
      <c r="AL23" s="45"/>
      <c r="AM23" s="46"/>
      <c r="AN23" s="46"/>
    </row>
    <row r="24" spans="1:43">
      <c r="A24" s="41">
        <v>5</v>
      </c>
      <c r="C24" s="42" t="s">
        <v>85</v>
      </c>
      <c r="F24" s="164">
        <v>1560</v>
      </c>
      <c r="G24" s="1"/>
      <c r="H24" s="164">
        <f>'[17]Fixed SL'!$T$6</f>
        <v>1436827.8010000002</v>
      </c>
      <c r="I24" s="68"/>
      <c r="J24" s="323">
        <f>ROUND(AC62+(AC62*LT_COS_RATE),6)</f>
        <v>7.6809000000000002E-2</v>
      </c>
      <c r="K24" s="340"/>
      <c r="L24" s="3">
        <f>ROUND((H24*J24),0)</f>
        <v>110361</v>
      </c>
      <c r="M24" s="3"/>
      <c r="N24" s="4">
        <f>ROUND((L24/L$34)*100,1)</f>
        <v>96.6</v>
      </c>
      <c r="O24" s="4"/>
      <c r="P24" s="3">
        <f>ROUND($P$34/$H$34*H24,0)</f>
        <v>5011</v>
      </c>
      <c r="Q24" s="3"/>
      <c r="R24" s="3">
        <f>L24+P24</f>
        <v>115372</v>
      </c>
      <c r="S24" s="392"/>
      <c r="T24" s="1"/>
      <c r="V24" s="50"/>
      <c r="Y24" s="164"/>
      <c r="Z24" s="326"/>
      <c r="AA24" s="50"/>
      <c r="AB24" s="50"/>
      <c r="AC24" s="50"/>
      <c r="AD24" s="50"/>
      <c r="AE24" s="50"/>
      <c r="AF24" s="50"/>
      <c r="AI24" s="50"/>
      <c r="AJ24" s="50"/>
      <c r="AK24" s="111"/>
      <c r="AL24" s="50"/>
      <c r="AM24" s="46"/>
      <c r="AN24" s="46"/>
    </row>
    <row r="25" spans="1:43">
      <c r="F25" s="3"/>
      <c r="G25" s="1"/>
      <c r="H25" s="3"/>
      <c r="I25" s="3"/>
      <c r="J25" s="327"/>
      <c r="K25" s="7"/>
      <c r="L25" s="3"/>
      <c r="M25" s="3"/>
      <c r="N25" s="1"/>
      <c r="O25" s="1"/>
      <c r="P25" s="3"/>
      <c r="Q25" s="3"/>
      <c r="R25" s="3"/>
      <c r="S25" s="45"/>
      <c r="T25" s="42"/>
      <c r="AA25" s="45"/>
      <c r="AB25" s="45"/>
      <c r="AC25" s="45"/>
      <c r="AD25" s="45"/>
      <c r="AI25" s="45"/>
      <c r="AJ25" s="45"/>
      <c r="AL25" s="45"/>
    </row>
    <row r="26" spans="1:43">
      <c r="A26" s="41">
        <v>16</v>
      </c>
      <c r="C26" s="42"/>
      <c r="F26" s="318"/>
      <c r="G26" s="1"/>
      <c r="H26" s="318"/>
      <c r="I26" s="68"/>
      <c r="J26" s="323"/>
      <c r="K26" s="340"/>
      <c r="L26" s="66"/>
      <c r="M26" s="3"/>
      <c r="N26" s="70"/>
      <c r="O26" s="4"/>
      <c r="P26" s="66"/>
      <c r="Q26" s="3"/>
      <c r="R26" s="66"/>
      <c r="S26" s="392"/>
      <c r="T26" s="1"/>
      <c r="U26" s="40"/>
      <c r="V26" s="40"/>
      <c r="W26" s="40"/>
      <c r="X26" s="40"/>
      <c r="Y26" s="164"/>
      <c r="Z26" s="40"/>
      <c r="AA26" s="40"/>
      <c r="AB26" s="40"/>
      <c r="AC26" s="40"/>
      <c r="AD26" s="40"/>
      <c r="AE26" s="40"/>
      <c r="AF26" s="40"/>
      <c r="AG26" s="100"/>
      <c r="AH26" s="40"/>
      <c r="AI26" s="40"/>
      <c r="AJ26" s="40"/>
      <c r="AK26" s="100"/>
      <c r="AL26" s="40"/>
      <c r="AM26" s="40"/>
      <c r="AN26" s="40"/>
      <c r="AO26" s="40"/>
      <c r="AP26" s="40"/>
      <c r="AQ26" s="100"/>
    </row>
    <row r="27" spans="1:43" ht="20.100000000000001" customHeight="1">
      <c r="A27" s="41">
        <v>17</v>
      </c>
      <c r="C27" s="310" t="s">
        <v>464</v>
      </c>
      <c r="F27" s="71">
        <f>F24</f>
        <v>1560</v>
      </c>
      <c r="G27" s="1"/>
      <c r="H27" s="71">
        <f>H24</f>
        <v>1436827.8010000002</v>
      </c>
      <c r="I27" s="68"/>
      <c r="J27" s="323"/>
      <c r="K27" s="340"/>
      <c r="L27" s="71">
        <f>L24</f>
        <v>110361</v>
      </c>
      <c r="M27" s="3"/>
      <c r="N27" s="74">
        <f>ROUND((L27/L$34)*100,1)</f>
        <v>96.6</v>
      </c>
      <c r="O27" s="4"/>
      <c r="P27" s="71">
        <f>P24</f>
        <v>5011</v>
      </c>
      <c r="Q27" s="3"/>
      <c r="R27" s="71">
        <f>R24</f>
        <v>115372</v>
      </c>
      <c r="S27" s="392"/>
      <c r="T27" s="1"/>
      <c r="U27" s="40"/>
      <c r="V27" s="40"/>
      <c r="W27" s="40"/>
      <c r="X27" s="40"/>
      <c r="Y27" s="393"/>
      <c r="Z27" s="40"/>
      <c r="AA27" s="40"/>
      <c r="AB27" s="40"/>
      <c r="AC27" s="40"/>
      <c r="AD27" s="40"/>
      <c r="AE27" s="40"/>
      <c r="AF27" s="40"/>
      <c r="AG27" s="100"/>
      <c r="AH27" s="40"/>
      <c r="AI27" s="40"/>
      <c r="AJ27" s="40"/>
      <c r="AK27" s="100"/>
      <c r="AL27" s="40"/>
      <c r="AM27" s="40"/>
      <c r="AN27" s="40"/>
      <c r="AO27" s="40"/>
      <c r="AP27" s="40"/>
      <c r="AQ27" s="100"/>
    </row>
    <row r="28" spans="1:43" ht="15.75" customHeight="1">
      <c r="C28" s="310"/>
      <c r="F28" s="164"/>
      <c r="G28" s="1"/>
      <c r="H28" s="164"/>
      <c r="I28" s="68"/>
      <c r="J28" s="323"/>
      <c r="K28" s="340"/>
      <c r="L28" s="3"/>
      <c r="M28" s="3"/>
      <c r="N28" s="4"/>
      <c r="O28" s="4"/>
      <c r="P28" s="3"/>
      <c r="Q28" s="3"/>
      <c r="R28" s="3"/>
      <c r="S28" s="392"/>
      <c r="T28" s="1"/>
      <c r="U28" s="40"/>
      <c r="V28" s="40"/>
      <c r="W28" s="40"/>
      <c r="X28" s="40"/>
      <c r="Y28" s="393"/>
      <c r="Z28" s="40"/>
      <c r="AA28" s="40"/>
      <c r="AB28" s="40"/>
      <c r="AC28" s="40"/>
      <c r="AD28" s="40"/>
      <c r="AE28" s="40"/>
      <c r="AF28" s="40"/>
      <c r="AG28" s="100"/>
      <c r="AH28" s="40"/>
      <c r="AI28" s="40"/>
      <c r="AJ28" s="40"/>
      <c r="AK28" s="100"/>
      <c r="AL28" s="40"/>
      <c r="AM28" s="40"/>
      <c r="AN28" s="40"/>
      <c r="AO28" s="40"/>
      <c r="AP28" s="40"/>
      <c r="AQ28" s="100"/>
    </row>
    <row r="29" spans="1:43" ht="20.100000000000001" customHeight="1">
      <c r="A29" s="41">
        <v>18</v>
      </c>
      <c r="C29" s="133" t="s">
        <v>476</v>
      </c>
      <c r="F29" s="3"/>
      <c r="G29" s="1"/>
      <c r="H29" s="3"/>
      <c r="I29" s="3"/>
      <c r="J29" s="154"/>
      <c r="K29" s="1"/>
      <c r="L29" s="3"/>
      <c r="M29" s="3"/>
      <c r="N29" s="4"/>
      <c r="O29" s="6"/>
      <c r="P29" s="45"/>
      <c r="Q29" s="3"/>
      <c r="R29" s="3"/>
      <c r="S29" s="392"/>
      <c r="T29" s="1"/>
      <c r="U29" s="40"/>
      <c r="V29" s="40"/>
      <c r="W29" s="40"/>
      <c r="X29" s="40"/>
      <c r="Y29" s="393"/>
      <c r="Z29" s="40"/>
      <c r="AA29" s="40"/>
      <c r="AB29" s="40"/>
      <c r="AC29" s="40"/>
      <c r="AD29" s="40"/>
      <c r="AE29" s="40"/>
      <c r="AF29" s="40"/>
      <c r="AG29" s="100"/>
      <c r="AH29" s="40"/>
      <c r="AI29" s="40"/>
      <c r="AJ29" s="40"/>
      <c r="AK29" s="100"/>
      <c r="AL29" s="40"/>
      <c r="AM29" s="40"/>
      <c r="AN29" s="40"/>
      <c r="AO29" s="40"/>
      <c r="AP29" s="40"/>
      <c r="AQ29" s="100"/>
    </row>
    <row r="30" spans="1:43" ht="20.100000000000001" customHeight="1">
      <c r="A30" s="41">
        <v>19</v>
      </c>
      <c r="C30" s="128" t="str">
        <f>ESM_Name</f>
        <v>ENVIRONMENTAL SURCHARGE MECHANISM RIDER (ESM)</v>
      </c>
      <c r="F30" s="3"/>
      <c r="G30" s="1"/>
      <c r="H30" s="3"/>
      <c r="I30" s="3"/>
      <c r="J30" s="387">
        <f>PRO_ESM_NONRES</f>
        <v>5.4606095773317587E-3</v>
      </c>
      <c r="K30" s="1"/>
      <c r="L30" s="3">
        <f>ROUND((R27-(PRO_BASE_FUEL*H27)+R31)*J30,0)</f>
        <v>384</v>
      </c>
      <c r="M30" s="3"/>
      <c r="N30" s="4">
        <f>ROUND((L30/L$34)*100,1)</f>
        <v>0.3</v>
      </c>
      <c r="O30" s="6"/>
      <c r="P30" s="45"/>
      <c r="Q30" s="3"/>
      <c r="R30" s="3">
        <f>L30+P30</f>
        <v>384</v>
      </c>
      <c r="S30" s="392"/>
      <c r="T30" s="1"/>
      <c r="U30" s="40"/>
      <c r="V30" s="40"/>
      <c r="W30" s="40"/>
      <c r="X30" s="40"/>
      <c r="Y30" s="393"/>
      <c r="Z30" s="40"/>
      <c r="AA30" s="40"/>
      <c r="AB30" s="40"/>
      <c r="AC30" s="40"/>
      <c r="AD30" s="40"/>
      <c r="AE30" s="40"/>
      <c r="AF30" s="40"/>
      <c r="AG30" s="100"/>
      <c r="AH30" s="40"/>
      <c r="AI30" s="40"/>
      <c r="AJ30" s="40"/>
      <c r="AK30" s="100"/>
      <c r="AL30" s="40"/>
      <c r="AM30" s="40"/>
      <c r="AN30" s="40"/>
      <c r="AO30" s="40"/>
      <c r="AP30" s="40"/>
      <c r="AQ30" s="100"/>
    </row>
    <row r="31" spans="1:43">
      <c r="A31" s="41">
        <v>20</v>
      </c>
      <c r="C31" s="128" t="str">
        <f>PSM_Name</f>
        <v>PROFIT SHARING MECHANISM (PSM)</v>
      </c>
      <c r="F31" s="3"/>
      <c r="G31" s="1"/>
      <c r="H31" s="3"/>
      <c r="I31" s="3"/>
      <c r="J31" s="327">
        <f>PRO_PSM</f>
        <v>2.4750000000000002E-3</v>
      </c>
      <c r="K31" s="1"/>
      <c r="L31" s="66">
        <f>ROUND($H$27*J31,0)</f>
        <v>3556</v>
      </c>
      <c r="M31" s="3"/>
      <c r="N31" s="104">
        <f>ROUND((L31/L$34)*100,1)</f>
        <v>3.1</v>
      </c>
      <c r="O31" s="6"/>
      <c r="P31" s="343"/>
      <c r="Q31" s="3"/>
      <c r="R31" s="66">
        <f>L31+P31</f>
        <v>3556</v>
      </c>
      <c r="S31" s="392"/>
      <c r="T31" s="1"/>
      <c r="U31" s="40"/>
      <c r="V31" s="40"/>
      <c r="W31" s="40"/>
      <c r="X31" s="40"/>
      <c r="Y31" s="393"/>
      <c r="Z31" s="40"/>
      <c r="AA31" s="40"/>
      <c r="AB31" s="40"/>
      <c r="AC31" s="40"/>
      <c r="AD31" s="40"/>
      <c r="AE31" s="40"/>
      <c r="AF31" s="40"/>
      <c r="AG31" s="100"/>
      <c r="AH31" s="40"/>
      <c r="AI31" s="40"/>
      <c r="AJ31" s="40"/>
      <c r="AK31" s="100"/>
      <c r="AL31" s="40"/>
      <c r="AM31" s="40"/>
      <c r="AN31" s="40"/>
      <c r="AO31" s="40"/>
      <c r="AP31" s="40"/>
      <c r="AQ31" s="100"/>
    </row>
    <row r="32" spans="1:43" ht="20.100000000000001" customHeight="1">
      <c r="A32" s="41">
        <v>21</v>
      </c>
      <c r="C32" s="133" t="s">
        <v>463</v>
      </c>
      <c r="F32" s="66"/>
      <c r="G32" s="1"/>
      <c r="H32" s="66"/>
      <c r="I32" s="3"/>
      <c r="J32" s="1"/>
      <c r="K32" s="1"/>
      <c r="L32" s="72">
        <f>SUM(L30:L31)</f>
        <v>3940</v>
      </c>
      <c r="M32" s="3"/>
      <c r="N32" s="105">
        <f>ROUND((L32/L$34)*100,1)</f>
        <v>3.4</v>
      </c>
      <c r="O32" s="6"/>
      <c r="P32" s="279"/>
      <c r="Q32" s="3"/>
      <c r="R32" s="72">
        <f>SUM(R30:R31)</f>
        <v>3940</v>
      </c>
      <c r="S32" s="392"/>
      <c r="T32" s="1"/>
      <c r="U32" s="40"/>
      <c r="V32" s="40"/>
      <c r="W32" s="40"/>
      <c r="X32" s="40"/>
      <c r="Y32" s="393"/>
      <c r="Z32" s="40"/>
      <c r="AA32" s="40"/>
      <c r="AB32" s="40"/>
      <c r="AC32" s="40"/>
      <c r="AD32" s="40"/>
      <c r="AE32" s="40"/>
      <c r="AF32" s="40"/>
      <c r="AG32" s="100"/>
      <c r="AH32" s="40"/>
      <c r="AI32" s="40"/>
      <c r="AJ32" s="40"/>
      <c r="AK32" s="100"/>
      <c r="AL32" s="40"/>
      <c r="AM32" s="40"/>
      <c r="AN32" s="40"/>
      <c r="AO32" s="40"/>
      <c r="AP32" s="40"/>
      <c r="AQ32" s="100"/>
    </row>
    <row r="33" spans="1:76">
      <c r="C33" s="42"/>
      <c r="F33" s="164"/>
      <c r="G33" s="1"/>
      <c r="H33" s="164"/>
      <c r="I33" s="68"/>
      <c r="J33" s="134"/>
      <c r="K33" s="340"/>
      <c r="L33" s="3"/>
      <c r="M33" s="3"/>
      <c r="N33" s="4"/>
      <c r="O33" s="4"/>
      <c r="P33" s="3"/>
      <c r="Q33" s="3"/>
      <c r="R33" s="3"/>
      <c r="S33" s="392"/>
      <c r="T33" s="1"/>
      <c r="U33" s="40"/>
      <c r="V33" s="40"/>
      <c r="W33" s="40"/>
      <c r="X33" s="40"/>
      <c r="Y33" s="393"/>
      <c r="Z33" s="40"/>
      <c r="AA33" s="40"/>
      <c r="AB33" s="40"/>
      <c r="AC33" s="40"/>
      <c r="AD33" s="40"/>
      <c r="AE33" s="40"/>
      <c r="AF33" s="40"/>
      <c r="AG33" s="100"/>
      <c r="AH33" s="40"/>
      <c r="AI33" s="40"/>
      <c r="AJ33" s="40"/>
      <c r="AK33" s="100"/>
      <c r="AL33" s="40"/>
      <c r="AM33" s="40"/>
      <c r="AN33" s="40"/>
      <c r="AO33" s="40"/>
      <c r="AP33" s="40"/>
      <c r="AQ33" s="100"/>
    </row>
    <row r="34" spans="1:76" ht="20.100000000000001" customHeight="1" thickBot="1">
      <c r="A34" s="41">
        <v>22</v>
      </c>
      <c r="C34" s="133" t="s">
        <v>465</v>
      </c>
      <c r="F34" s="67">
        <f>F27</f>
        <v>1560</v>
      </c>
      <c r="G34" s="1"/>
      <c r="H34" s="67">
        <f>H27</f>
        <v>1436827.8010000002</v>
      </c>
      <c r="I34" s="3"/>
      <c r="J34" s="5"/>
      <c r="K34" s="1"/>
      <c r="L34" s="67">
        <f>L32+L27</f>
        <v>114301</v>
      </c>
      <c r="M34" s="3"/>
      <c r="N34" s="73">
        <v>100</v>
      </c>
      <c r="O34" s="4"/>
      <c r="P34" s="67">
        <f>ROUND(H34*CUR_FAC,0)</f>
        <v>5011</v>
      </c>
      <c r="Q34" s="68"/>
      <c r="R34" s="67">
        <f>R32+R27</f>
        <v>119312</v>
      </c>
      <c r="AO34" s="42"/>
      <c r="AP34" s="42"/>
    </row>
    <row r="35" spans="1:76" ht="16.5" thickTop="1">
      <c r="C35" s="42"/>
      <c r="F35" s="3"/>
      <c r="G35" s="1"/>
      <c r="H35" s="3"/>
      <c r="I35" s="3"/>
      <c r="J35" s="5"/>
      <c r="K35" s="1"/>
      <c r="L35" s="3"/>
      <c r="M35" s="3"/>
      <c r="N35" s="4"/>
      <c r="O35" s="4"/>
      <c r="P35" s="68"/>
      <c r="Q35" s="68"/>
      <c r="R35" s="3"/>
      <c r="AO35" s="42"/>
      <c r="AP35" s="42"/>
    </row>
    <row r="36" spans="1:76">
      <c r="C36" s="141" t="s">
        <v>1131</v>
      </c>
      <c r="J36" s="5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100"/>
      <c r="AH36" s="40"/>
      <c r="AI36" s="40"/>
      <c r="AJ36" s="40"/>
      <c r="AK36" s="100"/>
      <c r="AL36" s="40"/>
      <c r="AM36" s="40"/>
      <c r="AN36" s="40"/>
      <c r="AO36" s="40"/>
      <c r="AP36" s="40"/>
      <c r="AQ36" s="100"/>
    </row>
    <row r="37" spans="1:76">
      <c r="C37" s="140" t="str">
        <f>"(2) REFLECTS FUEL COMPONENT OF "&amp;TEXT(PRO_FAC,"$0.000000;($0.000000)")&amp;" PER KWH."</f>
        <v>(2) REFLECTS FUEL COMPONENT OF $0.003487 PER KWH.</v>
      </c>
      <c r="J37" s="5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40"/>
      <c r="AP37" s="40"/>
      <c r="AQ37" s="100"/>
    </row>
    <row r="38" spans="1:76">
      <c r="C38" s="140" t="str">
        <f>"(3) REFLECTS FUEL COST RECOVERY INCLUDED IN BASE RATES OF "&amp;TEXT(PRO_BASE_FUEL,"$0.000000;($0.000000)")&amp;"  PER KWH."</f>
        <v>(3) REFLECTS FUEL COST RECOVERY INCLUDED IN BASE RATES OF $0.033780  PER KWH.</v>
      </c>
      <c r="F38" s="45"/>
      <c r="H38" s="45"/>
      <c r="I38" s="45"/>
      <c r="J38" s="56"/>
      <c r="K38" s="47"/>
      <c r="L38" s="45"/>
      <c r="M38" s="45"/>
      <c r="N38" s="45"/>
      <c r="O38" s="45"/>
      <c r="P38" s="45"/>
      <c r="Q38" s="45"/>
      <c r="R38" s="45"/>
      <c r="AE38" s="44"/>
      <c r="AF38" s="44"/>
      <c r="AG38" s="102"/>
      <c r="AH38" s="44"/>
      <c r="AI38" s="44"/>
      <c r="AJ38" s="44"/>
      <c r="AK38" s="102"/>
      <c r="AL38" s="44"/>
      <c r="AO38" s="44"/>
      <c r="AP38" s="44"/>
      <c r="AQ38" s="102"/>
    </row>
    <row r="39" spans="1:76">
      <c r="A39" s="42"/>
      <c r="J39" s="56"/>
      <c r="T39" s="40" t="str">
        <f>NAME</f>
        <v>DUKE ENERGY KENTUCKY, INC.</v>
      </c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40"/>
      <c r="AP39" s="40"/>
      <c r="AQ39" s="100"/>
      <c r="AR39" s="40"/>
    </row>
    <row r="40" spans="1:76">
      <c r="A40" s="42"/>
      <c r="F40" s="159"/>
      <c r="H40" s="45"/>
      <c r="J40" s="56"/>
      <c r="T40" s="40" t="str">
        <f>CASE_NO</f>
        <v>CASE NO.   2024-00354</v>
      </c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100"/>
      <c r="AH40" s="40"/>
      <c r="AI40" s="40"/>
      <c r="AJ40" s="40"/>
      <c r="AK40" s="100"/>
      <c r="AL40" s="40"/>
      <c r="AM40" s="40"/>
      <c r="AN40" s="40"/>
      <c r="AO40" s="40"/>
      <c r="AP40" s="40"/>
      <c r="AQ40" s="100"/>
      <c r="AR40" s="40"/>
    </row>
    <row r="41" spans="1:76">
      <c r="C41" s="42"/>
      <c r="J41" s="56"/>
      <c r="T41" s="40" t="str">
        <f>TITLE</f>
        <v>ANNUALIZED TEST YEAR REVENUES AT PROPOSED VS. MOST CURRENT RATES</v>
      </c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100"/>
      <c r="AH41" s="40"/>
      <c r="AI41" s="40"/>
      <c r="AJ41" s="40"/>
      <c r="AK41" s="100"/>
      <c r="AL41" s="40"/>
      <c r="AM41" s="40"/>
      <c r="AN41" s="40"/>
      <c r="AO41" s="40"/>
      <c r="AP41" s="40"/>
      <c r="AQ41" s="100"/>
      <c r="AR41" s="40"/>
      <c r="AS41" s="45"/>
      <c r="AT41" s="45"/>
      <c r="AU41" s="46"/>
      <c r="BX41" s="329"/>
    </row>
    <row r="42" spans="1:76">
      <c r="C42" s="42"/>
      <c r="F42" s="45"/>
      <c r="H42" s="45"/>
      <c r="I42" s="45"/>
      <c r="J42" s="56"/>
      <c r="L42" s="45"/>
      <c r="M42" s="45"/>
      <c r="N42" s="46"/>
      <c r="O42" s="46"/>
      <c r="P42" s="164"/>
      <c r="Q42" s="164"/>
      <c r="R42" s="45"/>
      <c r="T42" s="40" t="str">
        <f>DATE</f>
        <v>FOR THE TWELVE MONTHS ENDED June 30, 2026</v>
      </c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100"/>
      <c r="AH42" s="40"/>
      <c r="AI42" s="40"/>
      <c r="AJ42" s="40"/>
      <c r="AK42" s="100"/>
      <c r="AL42" s="40"/>
      <c r="AM42" s="40"/>
      <c r="AN42" s="40"/>
      <c r="AO42" s="40"/>
      <c r="AP42" s="40"/>
      <c r="AQ42" s="100"/>
      <c r="AR42" s="40"/>
      <c r="AS42" s="45"/>
      <c r="AT42" s="45"/>
      <c r="AU42" s="46"/>
    </row>
    <row r="43" spans="1:76"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T43" s="40" t="str">
        <f>SERVICE</f>
        <v>(ELECTRIC SERVICE)</v>
      </c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100"/>
      <c r="AH43" s="40"/>
      <c r="AI43" s="40"/>
      <c r="AJ43" s="40"/>
      <c r="AK43" s="100"/>
      <c r="AL43" s="40"/>
      <c r="AM43" s="40"/>
      <c r="AN43" s="40"/>
      <c r="AO43" s="40"/>
      <c r="AP43" s="40"/>
      <c r="AQ43" s="100"/>
      <c r="AR43" s="40"/>
      <c r="AS43" s="45"/>
      <c r="AT43" s="45"/>
      <c r="AU43" s="335"/>
    </row>
    <row r="44" spans="1:76">
      <c r="C44" s="42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T44" s="41" t="str">
        <f>DATA_PERIOD</f>
        <v>DATA: ____ BASE PERIOD   __X__FORECASTED PERIOD</v>
      </c>
      <c r="AO44" s="42" t="s">
        <v>157</v>
      </c>
      <c r="AQ44" s="110"/>
      <c r="AS44" s="45"/>
      <c r="AT44" s="45"/>
      <c r="AU44" s="46"/>
    </row>
    <row r="45" spans="1:76">
      <c r="A45" s="42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T45" s="41" t="str">
        <f>TYPE</f>
        <v>TYPE OF FILING: _X_ ORIGINAL   ___UPDATED  ___ REVISED</v>
      </c>
      <c r="AO45" s="48" t="str">
        <f>"PAGE 15 OF "&amp;TEXT(Page_Num_2.2,"00")</f>
        <v>PAGE 15 OF 24</v>
      </c>
      <c r="AQ45" s="110"/>
      <c r="AS45" s="45"/>
      <c r="AT45" s="45"/>
      <c r="AU45" s="46"/>
    </row>
    <row r="46" spans="1:76">
      <c r="C46" s="42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T46" s="42" t="s">
        <v>170</v>
      </c>
      <c r="AO46" s="42" t="s">
        <v>3</v>
      </c>
      <c r="AQ46" s="110"/>
      <c r="AS46" s="45"/>
      <c r="AT46" s="45"/>
      <c r="AU46" s="46"/>
    </row>
    <row r="47" spans="1:76">
      <c r="F47" s="50"/>
      <c r="H47" s="50"/>
      <c r="I47" s="50"/>
      <c r="J47" s="326"/>
      <c r="K47" s="326"/>
      <c r="L47" s="50"/>
      <c r="M47" s="50"/>
      <c r="N47" s="50"/>
      <c r="O47" s="50"/>
      <c r="P47" s="50"/>
      <c r="Q47" s="50"/>
      <c r="R47" s="50"/>
      <c r="T47" s="130" t="str">
        <f>TIME</f>
        <v>12 Months Projected with Riders</v>
      </c>
      <c r="AG47" s="110"/>
      <c r="AO47" s="41" t="str">
        <f>WIT</f>
        <v>B. L. Sailers</v>
      </c>
      <c r="AS47" s="45"/>
      <c r="AT47" s="45"/>
      <c r="AU47" s="46"/>
    </row>
    <row r="48" spans="1:76">
      <c r="C48" s="42"/>
      <c r="F48" s="45"/>
      <c r="H48" s="45"/>
      <c r="I48" s="45"/>
      <c r="J48" s="47"/>
      <c r="K48" s="47"/>
      <c r="L48" s="45"/>
      <c r="M48" s="45"/>
      <c r="N48" s="46"/>
      <c r="O48" s="46"/>
      <c r="P48" s="45"/>
      <c r="Q48" s="45"/>
      <c r="R48" s="45"/>
      <c r="T48" s="760" t="s">
        <v>130</v>
      </c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  <c r="AS48" s="45"/>
      <c r="AT48" s="45"/>
      <c r="AU48" s="46"/>
    </row>
    <row r="49" spans="1:47">
      <c r="A49" s="42"/>
      <c r="F49" s="45"/>
      <c r="H49" s="45"/>
      <c r="I49" s="45"/>
      <c r="J49" s="47"/>
      <c r="K49" s="47"/>
      <c r="L49" s="45"/>
      <c r="M49" s="45"/>
      <c r="N49" s="45"/>
      <c r="O49" s="45"/>
      <c r="P49" s="45"/>
      <c r="Q49" s="45"/>
      <c r="R49" s="45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3"/>
      <c r="AF49" s="43"/>
      <c r="AG49" s="101"/>
      <c r="AH49" s="43"/>
      <c r="AI49" s="43"/>
      <c r="AJ49" s="43"/>
      <c r="AK49" s="101"/>
      <c r="AL49" s="43"/>
      <c r="AM49" s="43"/>
      <c r="AN49" s="49"/>
      <c r="AO49" s="49"/>
      <c r="AP49" s="49"/>
      <c r="AQ49" s="107"/>
      <c r="AR49" s="49"/>
      <c r="AS49" s="45"/>
      <c r="AT49" s="45"/>
      <c r="AU49" s="46"/>
    </row>
    <row r="50" spans="1:47" ht="18" customHeight="1">
      <c r="L50" s="45"/>
      <c r="M50" s="45"/>
      <c r="N50" s="45"/>
      <c r="O50" s="45"/>
      <c r="P50" s="45"/>
      <c r="Q50" s="45"/>
      <c r="R50" s="45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44" t="s">
        <v>8</v>
      </c>
      <c r="AF50" s="44"/>
      <c r="AG50" s="102" t="s">
        <v>7</v>
      </c>
      <c r="AH50" s="44"/>
      <c r="AI50" s="44" t="s">
        <v>9</v>
      </c>
      <c r="AJ50" s="44"/>
      <c r="AK50" s="102" t="s">
        <v>10</v>
      </c>
      <c r="AL50" s="44"/>
      <c r="AN50" s="62"/>
      <c r="AO50" s="63" t="s">
        <v>8</v>
      </c>
      <c r="AP50" s="63"/>
      <c r="AQ50" s="109" t="s">
        <v>11</v>
      </c>
      <c r="AR50" s="45"/>
      <c r="AS50" s="45"/>
      <c r="AT50" s="46"/>
    </row>
    <row r="51" spans="1:47">
      <c r="H51" s="42"/>
      <c r="I51" s="42"/>
      <c r="AC51" s="44" t="s">
        <v>14</v>
      </c>
      <c r="AD51" s="44"/>
      <c r="AE51" s="44" t="s">
        <v>12</v>
      </c>
      <c r="AF51" s="44"/>
      <c r="AG51" s="102" t="s">
        <v>13</v>
      </c>
      <c r="AH51" s="44"/>
      <c r="AI51" s="44" t="s">
        <v>15</v>
      </c>
      <c r="AJ51" s="44"/>
      <c r="AK51" s="102" t="s">
        <v>16</v>
      </c>
      <c r="AL51" s="44"/>
      <c r="AO51" s="44" t="s">
        <v>11</v>
      </c>
      <c r="AP51" s="44"/>
      <c r="AQ51" s="102" t="s">
        <v>9</v>
      </c>
    </row>
    <row r="52" spans="1:47">
      <c r="L52" s="42"/>
      <c r="M52" s="42"/>
      <c r="T52" s="44" t="s">
        <v>17</v>
      </c>
      <c r="V52" s="44" t="s">
        <v>18</v>
      </c>
      <c r="W52" s="44" t="s">
        <v>19</v>
      </c>
      <c r="X52" s="44"/>
      <c r="Y52" s="44" t="s">
        <v>20</v>
      </c>
      <c r="AC52" s="44" t="s">
        <v>8</v>
      </c>
      <c r="AD52" s="44"/>
      <c r="AE52" s="44" t="s">
        <v>841</v>
      </c>
      <c r="AF52" s="44"/>
      <c r="AG52" s="102" t="s">
        <v>841</v>
      </c>
      <c r="AH52" s="44"/>
      <c r="AI52" s="60" t="s">
        <v>964</v>
      </c>
      <c r="AJ52" s="44"/>
      <c r="AK52" s="277" t="s">
        <v>964</v>
      </c>
      <c r="AL52" s="44"/>
      <c r="AM52" s="44" t="s">
        <v>841</v>
      </c>
      <c r="AN52" s="44"/>
      <c r="AO52" s="44" t="s">
        <v>9</v>
      </c>
      <c r="AP52" s="44"/>
      <c r="AQ52" s="102" t="s">
        <v>21</v>
      </c>
    </row>
    <row r="53" spans="1:47">
      <c r="R53" s="42"/>
      <c r="T53" s="44" t="s">
        <v>22</v>
      </c>
      <c r="V53" s="44" t="s">
        <v>23</v>
      </c>
      <c r="W53" s="44" t="s">
        <v>24</v>
      </c>
      <c r="X53" s="44"/>
      <c r="Y53" s="44" t="s">
        <v>25</v>
      </c>
      <c r="AA53" s="44" t="s">
        <v>26</v>
      </c>
      <c r="AB53" s="44"/>
      <c r="AC53" s="44" t="s">
        <v>27</v>
      </c>
      <c r="AD53" s="44"/>
      <c r="AE53" s="44" t="s">
        <v>9</v>
      </c>
      <c r="AF53" s="44"/>
      <c r="AG53" s="102" t="s">
        <v>9</v>
      </c>
      <c r="AH53" s="44"/>
      <c r="AI53" s="304" t="s">
        <v>29</v>
      </c>
      <c r="AJ53" s="304"/>
      <c r="AK53" s="311" t="s">
        <v>30</v>
      </c>
      <c r="AL53" s="44"/>
      <c r="AM53" s="44" t="s">
        <v>323</v>
      </c>
      <c r="AN53" s="44"/>
      <c r="AO53" s="304" t="s">
        <v>31</v>
      </c>
      <c r="AP53" s="304"/>
      <c r="AQ53" s="311" t="s">
        <v>32</v>
      </c>
      <c r="AU53" s="44"/>
    </row>
    <row r="54" spans="1:47">
      <c r="R54" s="42"/>
      <c r="V54" s="304" t="s">
        <v>33</v>
      </c>
      <c r="W54" s="304" t="s">
        <v>34</v>
      </c>
      <c r="X54" s="304"/>
      <c r="Y54" s="304" t="s">
        <v>35</v>
      </c>
      <c r="Z54" s="130"/>
      <c r="AA54" s="304" t="s">
        <v>36</v>
      </c>
      <c r="AB54" s="304"/>
      <c r="AC54" s="304" t="s">
        <v>42</v>
      </c>
      <c r="AD54" s="304"/>
      <c r="AE54" s="304" t="s">
        <v>43</v>
      </c>
      <c r="AF54" s="304"/>
      <c r="AG54" s="311" t="s">
        <v>44</v>
      </c>
      <c r="AH54" s="304"/>
      <c r="AI54" s="304" t="s">
        <v>45</v>
      </c>
      <c r="AJ54" s="304"/>
      <c r="AK54" s="311" t="s">
        <v>46</v>
      </c>
      <c r="AL54" s="304"/>
      <c r="AM54" s="304" t="s">
        <v>40</v>
      </c>
      <c r="AN54" s="304"/>
      <c r="AO54" s="304" t="s">
        <v>47</v>
      </c>
      <c r="AP54" s="304"/>
      <c r="AQ54" s="311" t="s">
        <v>48</v>
      </c>
      <c r="AU54" s="44"/>
    </row>
    <row r="55" spans="1:47" ht="17.100000000000001" customHeight="1">
      <c r="A55" s="42"/>
      <c r="R55" s="42"/>
      <c r="T55" s="62"/>
      <c r="U55" s="62"/>
      <c r="V55" s="62"/>
      <c r="W55" s="62"/>
      <c r="X55" s="62"/>
      <c r="Y55" s="62"/>
      <c r="Z55" s="62"/>
      <c r="AA55" s="345" t="s">
        <v>49</v>
      </c>
      <c r="AB55" s="345"/>
      <c r="AC55" s="344" t="s">
        <v>312</v>
      </c>
      <c r="AD55" s="345"/>
      <c r="AE55" s="345" t="s">
        <v>50</v>
      </c>
      <c r="AF55" s="345"/>
      <c r="AG55" s="346" t="s">
        <v>51</v>
      </c>
      <c r="AH55" s="345"/>
      <c r="AI55" s="345" t="s">
        <v>50</v>
      </c>
      <c r="AJ55" s="345"/>
      <c r="AK55" s="346" t="s">
        <v>51</v>
      </c>
      <c r="AL55" s="345"/>
      <c r="AM55" s="345" t="s">
        <v>50</v>
      </c>
      <c r="AN55" s="345"/>
      <c r="AO55" s="345" t="s">
        <v>50</v>
      </c>
      <c r="AP55" s="345"/>
      <c r="AQ55" s="346" t="s">
        <v>51</v>
      </c>
      <c r="AU55" s="44"/>
    </row>
    <row r="56" spans="1:47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T56" s="41">
        <v>1</v>
      </c>
      <c r="V56" s="133" t="s">
        <v>81</v>
      </c>
      <c r="W56" s="133" t="s">
        <v>82</v>
      </c>
      <c r="X56" s="42"/>
      <c r="Y56" s="1"/>
      <c r="Z56" s="1"/>
      <c r="AA56" s="1"/>
      <c r="AB56" s="1"/>
      <c r="AC56" s="1"/>
      <c r="AD56" s="1"/>
      <c r="AE56" s="1"/>
      <c r="AF56" s="1"/>
      <c r="AG56" s="103"/>
      <c r="AH56" s="1"/>
      <c r="AI56" s="1"/>
      <c r="AJ56" s="1"/>
      <c r="AK56" s="103"/>
      <c r="AL56" s="1"/>
      <c r="AM56" s="1"/>
      <c r="AN56" s="1"/>
      <c r="AO56" s="1"/>
      <c r="AP56" s="1"/>
      <c r="AQ56" s="103"/>
    </row>
    <row r="57" spans="1:47">
      <c r="L57" s="44"/>
      <c r="M57" s="44"/>
      <c r="N57" s="44"/>
      <c r="O57" s="44"/>
      <c r="R57" s="44"/>
      <c r="T57" s="41">
        <v>2</v>
      </c>
      <c r="V57" s="130"/>
      <c r="W57" s="133" t="s">
        <v>83</v>
      </c>
      <c r="X57" s="42"/>
      <c r="Y57" s="1"/>
      <c r="Z57" s="1"/>
      <c r="AA57" s="1"/>
      <c r="AB57" s="1"/>
      <c r="AC57" s="1"/>
      <c r="AD57" s="1"/>
      <c r="AE57" s="1"/>
      <c r="AF57" s="1"/>
      <c r="AG57" s="103"/>
      <c r="AH57" s="1"/>
      <c r="AI57" s="1"/>
      <c r="AJ57" s="1"/>
      <c r="AK57" s="103"/>
      <c r="AL57" s="1"/>
      <c r="AM57" s="1"/>
      <c r="AN57" s="1"/>
      <c r="AO57" s="1"/>
      <c r="AP57" s="1"/>
      <c r="AQ57" s="103"/>
    </row>
    <row r="58" spans="1:47">
      <c r="C58" s="44"/>
      <c r="D58" s="44"/>
      <c r="E58" s="44"/>
      <c r="F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Y58" s="1"/>
      <c r="Z58" s="1"/>
      <c r="AA58" s="1"/>
      <c r="AB58" s="1"/>
      <c r="AC58" s="1"/>
      <c r="AD58" s="1"/>
      <c r="AE58" s="1"/>
      <c r="AF58" s="1"/>
      <c r="AG58" s="103"/>
      <c r="AH58" s="1"/>
      <c r="AI58" s="1"/>
      <c r="AJ58" s="1"/>
      <c r="AK58" s="103"/>
      <c r="AL58" s="1"/>
      <c r="AM58" s="1"/>
      <c r="AN58" s="1"/>
      <c r="AO58" s="1"/>
      <c r="AP58" s="1"/>
      <c r="AQ58" s="103"/>
    </row>
    <row r="59" spans="1:47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T59" s="41">
        <v>3</v>
      </c>
      <c r="V59" s="133" t="s">
        <v>84</v>
      </c>
      <c r="W59" s="130"/>
      <c r="Y59" s="3"/>
      <c r="Z59" s="1"/>
      <c r="AA59" s="1"/>
      <c r="AB59" s="1"/>
      <c r="AC59" s="80"/>
      <c r="AD59" s="80"/>
      <c r="AE59" s="3"/>
      <c r="AF59" s="3"/>
      <c r="AG59" s="103"/>
      <c r="AH59" s="1"/>
      <c r="AI59" s="1"/>
      <c r="AJ59" s="1"/>
      <c r="AK59" s="103"/>
      <c r="AL59" s="3"/>
      <c r="AM59" s="1"/>
      <c r="AN59" s="1"/>
      <c r="AO59" s="3"/>
      <c r="AP59" s="3"/>
      <c r="AQ59" s="103"/>
    </row>
    <row r="60" spans="1:47"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T60" s="41">
        <v>4</v>
      </c>
      <c r="V60" s="133" t="s">
        <v>373</v>
      </c>
      <c r="W60" s="130"/>
      <c r="Y60" s="3"/>
      <c r="Z60" s="1"/>
      <c r="AA60" s="1"/>
      <c r="AB60" s="1"/>
      <c r="AC60" s="1"/>
      <c r="AD60" s="1"/>
      <c r="AE60" s="1"/>
      <c r="AF60" s="1"/>
      <c r="AG60" s="103"/>
      <c r="AH60" s="1"/>
      <c r="AI60" s="1"/>
      <c r="AJ60" s="1"/>
      <c r="AK60" s="103"/>
      <c r="AL60" s="3"/>
      <c r="AM60" s="1"/>
      <c r="AN60" s="1"/>
      <c r="AO60" s="3"/>
      <c r="AP60" s="3"/>
      <c r="AQ60" s="103"/>
    </row>
    <row r="61" spans="1:47">
      <c r="C61" s="42"/>
      <c r="D61" s="42"/>
      <c r="E61" s="42"/>
      <c r="Y61" s="1"/>
      <c r="Z61" s="1"/>
      <c r="AA61" s="1"/>
      <c r="AB61" s="1"/>
      <c r="AC61" s="5"/>
      <c r="AD61" s="1"/>
      <c r="AE61" s="1"/>
      <c r="AF61" s="1"/>
      <c r="AG61" s="103"/>
      <c r="AH61" s="1"/>
      <c r="AI61" s="1"/>
      <c r="AJ61" s="1"/>
      <c r="AK61" s="103"/>
      <c r="AL61" s="1"/>
      <c r="AM61" s="3"/>
      <c r="AN61" s="3"/>
      <c r="AO61" s="3"/>
      <c r="AP61" s="3"/>
      <c r="AQ61" s="103"/>
    </row>
    <row r="62" spans="1:47">
      <c r="C62" s="42"/>
      <c r="T62" s="41">
        <v>5</v>
      </c>
      <c r="V62" s="42" t="s">
        <v>85</v>
      </c>
      <c r="Y62" s="164">
        <f>F24</f>
        <v>1560</v>
      </c>
      <c r="Z62" s="1"/>
      <c r="AA62" s="164">
        <f>H24</f>
        <v>1436827.8010000002</v>
      </c>
      <c r="AB62" s="394"/>
      <c r="AC62" s="134">
        <v>6.7222000000000004E-2</v>
      </c>
      <c r="AD62" s="340"/>
      <c r="AE62" s="3">
        <f>ROUND((AA62*AC62),0)</f>
        <v>96586</v>
      </c>
      <c r="AF62" s="3"/>
      <c r="AG62" s="103">
        <f>ROUND((AE62/AE$72)*100,1)</f>
        <v>96.1</v>
      </c>
      <c r="AH62" s="4"/>
      <c r="AI62" s="3">
        <f>L24-AE62</f>
        <v>13775</v>
      </c>
      <c r="AJ62" s="3"/>
      <c r="AK62" s="103">
        <f>ROUND((AI62/AE62)*100,1)</f>
        <v>14.3</v>
      </c>
      <c r="AL62" s="6"/>
      <c r="AM62" s="3">
        <f>ROUND($AM$72/$AA$72*AA62,0)</f>
        <v>5011</v>
      </c>
      <c r="AN62" s="3"/>
      <c r="AO62" s="3">
        <f>AE62+AM62</f>
        <v>101597</v>
      </c>
      <c r="AP62" s="3"/>
      <c r="AQ62" s="103">
        <f>ROUND((AI62/AO62)*100,1)</f>
        <v>13.6</v>
      </c>
      <c r="AU62" s="327"/>
    </row>
    <row r="63" spans="1:47">
      <c r="Y63" s="3"/>
      <c r="Z63" s="1"/>
      <c r="AA63" s="3"/>
      <c r="AB63" s="3"/>
      <c r="AC63" s="390"/>
      <c r="AD63" s="7"/>
      <c r="AE63" s="3"/>
      <c r="AF63" s="3"/>
      <c r="AG63" s="103"/>
      <c r="AH63" s="1"/>
      <c r="AI63" s="1"/>
      <c r="AJ63" s="1"/>
      <c r="AK63" s="103"/>
      <c r="AL63" s="1"/>
      <c r="AM63" s="3"/>
      <c r="AN63" s="3"/>
      <c r="AO63" s="3"/>
      <c r="AP63" s="3"/>
      <c r="AQ63" s="103"/>
    </row>
    <row r="64" spans="1:47">
      <c r="C64" s="42"/>
      <c r="F64" s="164"/>
      <c r="H64" s="164"/>
      <c r="I64" s="164"/>
      <c r="J64" s="316"/>
      <c r="K64" s="316"/>
      <c r="L64" s="45"/>
      <c r="M64" s="45"/>
      <c r="N64" s="46"/>
      <c r="O64" s="46"/>
      <c r="P64" s="45"/>
      <c r="Q64" s="45"/>
      <c r="R64" s="45"/>
      <c r="T64" s="41">
        <v>6</v>
      </c>
      <c r="V64" s="42"/>
      <c r="Y64" s="164"/>
      <c r="Z64" s="1"/>
      <c r="AA64" s="164"/>
      <c r="AB64" s="3"/>
      <c r="AC64" s="134"/>
      <c r="AD64" s="340"/>
      <c r="AE64" s="66"/>
      <c r="AF64" s="3"/>
      <c r="AG64" s="104"/>
      <c r="AH64" s="4"/>
      <c r="AI64" s="66"/>
      <c r="AJ64" s="3"/>
      <c r="AK64" s="104"/>
      <c r="AL64" s="6"/>
      <c r="AM64" s="66"/>
      <c r="AN64" s="3"/>
      <c r="AO64" s="66"/>
      <c r="AP64" s="3"/>
      <c r="AQ64" s="104"/>
      <c r="AU64" s="327"/>
    </row>
    <row r="65" spans="3:47" ht="20.100000000000001" customHeight="1">
      <c r="C65" s="42"/>
      <c r="F65" s="164"/>
      <c r="H65" s="164"/>
      <c r="I65" s="164"/>
      <c r="J65" s="316"/>
      <c r="K65" s="316"/>
      <c r="L65" s="45"/>
      <c r="M65" s="45"/>
      <c r="N65" s="46"/>
      <c r="O65" s="46"/>
      <c r="P65" s="45"/>
      <c r="Q65" s="45"/>
      <c r="R65" s="45"/>
      <c r="T65" s="41">
        <v>7</v>
      </c>
      <c r="V65" s="310" t="s">
        <v>464</v>
      </c>
      <c r="Y65" s="71">
        <f>Y62</f>
        <v>1560</v>
      </c>
      <c r="Z65" s="1"/>
      <c r="AA65" s="71">
        <f>AA62</f>
        <v>1436827.8010000002</v>
      </c>
      <c r="AB65" s="3"/>
      <c r="AC65" s="134"/>
      <c r="AD65" s="340"/>
      <c r="AE65" s="71">
        <f>AE62</f>
        <v>96586</v>
      </c>
      <c r="AF65" s="3"/>
      <c r="AG65" s="105">
        <f>ROUND((AE65/AE$72)*100,1)</f>
        <v>96.1</v>
      </c>
      <c r="AH65" s="4"/>
      <c r="AI65" s="71">
        <f>AI62</f>
        <v>13775</v>
      </c>
      <c r="AJ65" s="3"/>
      <c r="AK65" s="105">
        <f>ROUND((AI65/AE65)*100,1)</f>
        <v>14.3</v>
      </c>
      <c r="AL65" s="6"/>
      <c r="AM65" s="71">
        <f>AM62</f>
        <v>5011</v>
      </c>
      <c r="AN65" s="3"/>
      <c r="AO65" s="71">
        <f>AO62</f>
        <v>101597</v>
      </c>
      <c r="AP65" s="3"/>
      <c r="AQ65" s="104">
        <f>ROUND((AI65/AO65)*100,1)</f>
        <v>13.6</v>
      </c>
      <c r="AU65" s="327"/>
    </row>
    <row r="66" spans="3:47">
      <c r="C66" s="42"/>
      <c r="F66" s="164"/>
      <c r="H66" s="164"/>
      <c r="I66" s="164"/>
      <c r="J66" s="316"/>
      <c r="K66" s="316"/>
      <c r="L66" s="45"/>
      <c r="M66" s="45"/>
      <c r="N66" s="46"/>
      <c r="O66" s="46"/>
      <c r="P66" s="45"/>
      <c r="Q66" s="45"/>
      <c r="R66" s="45"/>
      <c r="V66" s="310"/>
      <c r="Y66" s="164"/>
      <c r="Z66" s="1"/>
      <c r="AA66" s="164"/>
      <c r="AB66" s="3"/>
      <c r="AC66" s="134"/>
      <c r="AD66" s="340"/>
      <c r="AE66" s="3"/>
      <c r="AF66" s="3"/>
      <c r="AG66" s="103"/>
      <c r="AH66" s="4"/>
      <c r="AI66" s="3"/>
      <c r="AJ66" s="3"/>
      <c r="AK66" s="103"/>
      <c r="AL66" s="6"/>
      <c r="AM66" s="3"/>
      <c r="AN66" s="3"/>
      <c r="AO66" s="3"/>
      <c r="AP66" s="3"/>
      <c r="AQ66" s="103"/>
      <c r="AU66" s="327"/>
    </row>
    <row r="67" spans="3:47" ht="18" customHeight="1">
      <c r="C67" s="42"/>
      <c r="F67" s="164"/>
      <c r="H67" s="164"/>
      <c r="I67" s="164"/>
      <c r="J67" s="316"/>
      <c r="K67" s="316"/>
      <c r="L67" s="45"/>
      <c r="M67" s="45"/>
      <c r="N67" s="46"/>
      <c r="O67" s="46"/>
      <c r="P67" s="45"/>
      <c r="Q67" s="45"/>
      <c r="R67" s="45"/>
      <c r="T67" s="41">
        <v>8</v>
      </c>
      <c r="V67" s="133" t="s">
        <v>476</v>
      </c>
      <c r="Y67" s="3"/>
      <c r="Z67" s="1"/>
      <c r="AA67" s="3"/>
      <c r="AB67" s="3"/>
      <c r="AC67" s="134"/>
      <c r="AD67" s="340"/>
      <c r="AE67" s="3"/>
      <c r="AF67" s="3"/>
      <c r="AG67" s="103"/>
      <c r="AH67" s="4"/>
      <c r="AI67" s="3"/>
      <c r="AJ67" s="3"/>
      <c r="AK67" s="103"/>
      <c r="AL67" s="6"/>
      <c r="AM67" s="3"/>
      <c r="AN67" s="3"/>
      <c r="AO67" s="3"/>
      <c r="AP67" s="3"/>
      <c r="AQ67" s="103"/>
      <c r="AU67" s="327"/>
    </row>
    <row r="68" spans="3:47" ht="18" customHeight="1">
      <c r="C68" s="42"/>
      <c r="F68" s="164"/>
      <c r="H68" s="164"/>
      <c r="I68" s="164"/>
      <c r="J68" s="316"/>
      <c r="K68" s="316"/>
      <c r="L68" s="45"/>
      <c r="M68" s="45"/>
      <c r="N68" s="46"/>
      <c r="O68" s="46"/>
      <c r="P68" s="45"/>
      <c r="Q68" s="45"/>
      <c r="R68" s="45"/>
      <c r="T68" s="41">
        <v>9</v>
      </c>
      <c r="V68" s="128" t="str">
        <f>C30</f>
        <v>ENVIRONMENTAL SURCHARGE MECHANISM RIDER (ESM)</v>
      </c>
      <c r="Y68" s="3"/>
      <c r="Z68" s="1"/>
      <c r="AA68" s="3"/>
      <c r="AB68" s="3"/>
      <c r="AC68" s="387">
        <f>CUR_ESM_NonRes</f>
        <v>6.4941608437496566E-3</v>
      </c>
      <c r="AD68" s="340"/>
      <c r="AE68" s="3">
        <f>ROUND(($AO$65-(CUR_BASE_FUEL*AA65)+AO69)*AC68,0)</f>
        <v>368</v>
      </c>
      <c r="AF68" s="3"/>
      <c r="AG68" s="103">
        <f>ROUND((AE68/AE$72)*100,1)</f>
        <v>0.4</v>
      </c>
      <c r="AH68" s="4"/>
      <c r="AI68" s="3">
        <f>L30-AE68</f>
        <v>16</v>
      </c>
      <c r="AJ68" s="3"/>
      <c r="AK68" s="103">
        <f>IF(AE68=0,0,ROUND((AI68/AE68)*100,1))</f>
        <v>4.3</v>
      </c>
      <c r="AL68" s="6"/>
      <c r="AM68" s="3"/>
      <c r="AN68" s="3"/>
      <c r="AO68" s="3">
        <f>AE68+AM68</f>
        <v>368</v>
      </c>
      <c r="AP68" s="3"/>
      <c r="AQ68" s="103">
        <f>IF(AO68=0,0,ROUND((AI68/AO68)*100,1))</f>
        <v>4.3</v>
      </c>
      <c r="AU68" s="327"/>
    </row>
    <row r="69" spans="3:47">
      <c r="C69" s="42"/>
      <c r="F69" s="164"/>
      <c r="H69" s="164"/>
      <c r="I69" s="164"/>
      <c r="J69" s="316"/>
      <c r="K69" s="316"/>
      <c r="L69" s="45"/>
      <c r="M69" s="45"/>
      <c r="N69" s="46"/>
      <c r="O69" s="46"/>
      <c r="P69" s="45"/>
      <c r="Q69" s="45"/>
      <c r="R69" s="45"/>
      <c r="T69" s="41">
        <v>10</v>
      </c>
      <c r="V69" s="128" t="str">
        <f>C31</f>
        <v>PROFIT SHARING MECHANISM (PSM)</v>
      </c>
      <c r="Y69" s="3"/>
      <c r="Z69" s="1"/>
      <c r="AA69" s="3"/>
      <c r="AB69" s="3"/>
      <c r="AC69" s="134">
        <f>RS_PSM</f>
        <v>2.4750000000000002E-3</v>
      </c>
      <c r="AD69" s="340"/>
      <c r="AE69" s="66">
        <f>ROUND($AA$65*AC69,0)</f>
        <v>3556</v>
      </c>
      <c r="AF69" s="3"/>
      <c r="AG69" s="104">
        <f>ROUND((AE69/AE$72)*100,1)</f>
        <v>3.5</v>
      </c>
      <c r="AH69" s="4"/>
      <c r="AI69" s="66">
        <f>L31-AE69</f>
        <v>0</v>
      </c>
      <c r="AJ69" s="3"/>
      <c r="AK69" s="104">
        <f>ROUND((AI69/AE69)*100,1)</f>
        <v>0</v>
      </c>
      <c r="AL69" s="6"/>
      <c r="AM69" s="66"/>
      <c r="AN69" s="3"/>
      <c r="AO69" s="66">
        <f>AE69+AM69</f>
        <v>3556</v>
      </c>
      <c r="AP69" s="3"/>
      <c r="AQ69" s="104">
        <f>ROUND((AI69/AO69)*100,1)</f>
        <v>0</v>
      </c>
      <c r="AU69" s="327"/>
    </row>
    <row r="70" spans="3:47" ht="20.100000000000001" customHeight="1">
      <c r="C70" s="42"/>
      <c r="F70" s="164"/>
      <c r="H70" s="164"/>
      <c r="I70" s="164"/>
      <c r="J70" s="316"/>
      <c r="K70" s="316"/>
      <c r="L70" s="45"/>
      <c r="M70" s="45"/>
      <c r="N70" s="46"/>
      <c r="O70" s="46"/>
      <c r="P70" s="45"/>
      <c r="Q70" s="45"/>
      <c r="R70" s="45"/>
      <c r="T70" s="41">
        <v>11</v>
      </c>
      <c r="V70" s="133" t="s">
        <v>463</v>
      </c>
      <c r="Y70" s="66"/>
      <c r="Z70" s="1"/>
      <c r="AA70" s="66"/>
      <c r="AB70" s="3"/>
      <c r="AC70" s="320"/>
      <c r="AD70" s="340"/>
      <c r="AE70" s="66">
        <f>SUM(AE68:AE69)</f>
        <v>3924</v>
      </c>
      <c r="AF70" s="3"/>
      <c r="AG70" s="105">
        <f>ROUND((AE70/AE$72)*100,1)</f>
        <v>3.9</v>
      </c>
      <c r="AH70" s="4"/>
      <c r="AI70" s="66">
        <f>SUM(AI68:AI69)</f>
        <v>16</v>
      </c>
      <c r="AJ70" s="3"/>
      <c r="AK70" s="105">
        <f>ROUND((AI70/AE70)*100,1)</f>
        <v>0.4</v>
      </c>
      <c r="AL70" s="6"/>
      <c r="AM70" s="66"/>
      <c r="AN70" s="3"/>
      <c r="AO70" s="66">
        <f>SUM(AO68:AO69)</f>
        <v>3924</v>
      </c>
      <c r="AP70" s="3"/>
      <c r="AQ70" s="104">
        <f>ROUND((AI70/AO70)*100,1)</f>
        <v>0.4</v>
      </c>
      <c r="AU70" s="327"/>
    </row>
    <row r="71" spans="3:47">
      <c r="C71" s="42"/>
      <c r="F71" s="164"/>
      <c r="H71" s="164"/>
      <c r="I71" s="164"/>
      <c r="J71" s="316"/>
      <c r="K71" s="316"/>
      <c r="L71" s="45"/>
      <c r="M71" s="45"/>
      <c r="N71" s="46"/>
      <c r="O71" s="46"/>
      <c r="P71" s="45"/>
      <c r="Q71" s="45"/>
      <c r="R71" s="45"/>
      <c r="V71" s="42"/>
      <c r="Y71" s="3"/>
      <c r="Z71" s="1"/>
      <c r="AA71" s="3"/>
      <c r="AB71" s="3"/>
      <c r="AC71" s="320"/>
      <c r="AD71" s="340"/>
      <c r="AE71" s="3"/>
      <c r="AF71" s="3"/>
      <c r="AG71" s="103"/>
      <c r="AH71" s="4"/>
      <c r="AI71" s="3"/>
      <c r="AJ71" s="3"/>
      <c r="AK71" s="103"/>
      <c r="AL71" s="6"/>
      <c r="AM71" s="3"/>
      <c r="AN71" s="3"/>
      <c r="AO71" s="3"/>
      <c r="AP71" s="3"/>
      <c r="AQ71" s="103"/>
      <c r="AU71" s="327"/>
    </row>
    <row r="72" spans="3:47" ht="20.100000000000001" customHeight="1" thickBot="1">
      <c r="C72" s="42"/>
      <c r="F72" s="45"/>
      <c r="H72" s="45"/>
      <c r="I72" s="45"/>
      <c r="J72" s="326"/>
      <c r="K72" s="326"/>
      <c r="L72" s="45"/>
      <c r="M72" s="45"/>
      <c r="N72" s="45"/>
      <c r="O72" s="45"/>
      <c r="P72" s="45"/>
      <c r="Q72" s="45"/>
      <c r="R72" s="45"/>
      <c r="T72" s="41">
        <v>12</v>
      </c>
      <c r="V72" s="133" t="s">
        <v>465</v>
      </c>
      <c r="Y72" s="67">
        <f>Y65</f>
        <v>1560</v>
      </c>
      <c r="Z72" s="1"/>
      <c r="AA72" s="67">
        <f>AA65</f>
        <v>1436827.8010000002</v>
      </c>
      <c r="AB72" s="3"/>
      <c r="AC72" s="5"/>
      <c r="AD72" s="1"/>
      <c r="AE72" s="67">
        <f>AE70+AE65</f>
        <v>100510</v>
      </c>
      <c r="AF72" s="3"/>
      <c r="AG72" s="106">
        <v>100</v>
      </c>
      <c r="AH72" s="4"/>
      <c r="AI72" s="67">
        <f>AI70+AI65</f>
        <v>13791</v>
      </c>
      <c r="AJ72" s="3"/>
      <c r="AK72" s="106">
        <f>ROUND((AI72/AE72)*100,1)</f>
        <v>13.7</v>
      </c>
      <c r="AL72" s="6"/>
      <c r="AM72" s="75">
        <f>ROUND(AA72*CUR_FAC,0)</f>
        <v>5011</v>
      </c>
      <c r="AN72" s="68"/>
      <c r="AO72" s="67">
        <f>AO70+AO65</f>
        <v>105521</v>
      </c>
      <c r="AP72" s="3"/>
      <c r="AQ72" s="106">
        <f>ROUND((AI72/AO72)*100,1)</f>
        <v>13.1</v>
      </c>
    </row>
    <row r="73" spans="3:47" ht="16.5" thickTop="1">
      <c r="C73" s="42"/>
      <c r="F73" s="45"/>
      <c r="H73" s="45"/>
      <c r="I73" s="45"/>
      <c r="J73" s="326"/>
      <c r="K73" s="326"/>
      <c r="L73" s="45"/>
      <c r="M73" s="45"/>
      <c r="N73" s="45"/>
      <c r="O73" s="45"/>
      <c r="P73" s="45"/>
      <c r="Q73" s="45"/>
      <c r="R73" s="45"/>
      <c r="V73" s="42"/>
      <c r="Y73" s="3"/>
      <c r="Z73" s="1"/>
      <c r="AA73" s="3"/>
      <c r="AB73" s="3"/>
      <c r="AC73" s="5"/>
      <c r="AD73" s="1"/>
      <c r="AE73" s="3"/>
      <c r="AF73" s="3"/>
      <c r="AG73" s="103"/>
      <c r="AH73" s="4"/>
      <c r="AI73" s="3"/>
      <c r="AJ73" s="3"/>
      <c r="AK73" s="103"/>
      <c r="AL73" s="6"/>
      <c r="AM73" s="68"/>
      <c r="AN73" s="68"/>
      <c r="AO73" s="3"/>
      <c r="AP73" s="3"/>
      <c r="AQ73" s="103"/>
    </row>
    <row r="74" spans="3:47">
      <c r="F74" s="45"/>
      <c r="H74" s="45"/>
      <c r="I74" s="45"/>
      <c r="J74" s="326"/>
      <c r="K74" s="326"/>
      <c r="L74" s="50"/>
      <c r="M74" s="50"/>
      <c r="N74" s="50"/>
      <c r="O74" s="50"/>
      <c r="P74" s="50"/>
      <c r="Q74" s="50"/>
      <c r="R74" s="50"/>
      <c r="V74" s="141" t="s">
        <v>1131</v>
      </c>
      <c r="AC74" s="56"/>
    </row>
    <row r="75" spans="3:47">
      <c r="F75" s="45"/>
      <c r="H75" s="45"/>
      <c r="I75" s="45"/>
      <c r="J75" s="326"/>
      <c r="K75" s="326"/>
      <c r="L75" s="50"/>
      <c r="M75" s="50"/>
      <c r="N75" s="50"/>
      <c r="O75" s="50"/>
      <c r="P75" s="50"/>
      <c r="Q75" s="50"/>
      <c r="R75" s="50"/>
      <c r="V75" s="140" t="str">
        <f>"(2) REFLECTS FUEL COMPONENT OF "&amp;TEXT(CUR_FAC,"$0.000000;($0.000000)")&amp;" PER KWH."</f>
        <v>(2) REFLECTS FUEL COMPONENT OF $0.003487 PER KWH.</v>
      </c>
      <c r="AC75" s="56"/>
    </row>
    <row r="76" spans="3:47">
      <c r="C76" s="42"/>
      <c r="F76" s="45"/>
      <c r="H76" s="45"/>
      <c r="I76" s="45"/>
      <c r="J76" s="47"/>
      <c r="K76" s="47"/>
      <c r="L76" s="45"/>
      <c r="M76" s="45"/>
      <c r="N76" s="46"/>
      <c r="O76" s="46"/>
      <c r="P76" s="45"/>
      <c r="Q76" s="45"/>
      <c r="R76" s="45"/>
      <c r="V76" s="140" t="str">
        <f>"(3) REFLECTS FUEL COST RECOVERY INCLUDED IN BASE RATES OF "&amp;TEXT(CUR_BASE_FUEL,"$0.000000;($0.000000)")&amp;"  PER KWH."</f>
        <v>(3) REFLECTS FUEL COST RECOVERY INCLUDED IN BASE RATES OF $0.033780  PER KWH.</v>
      </c>
      <c r="Y76" s="45"/>
      <c r="AA76" s="45"/>
      <c r="AB76" s="45"/>
      <c r="AC76" s="56"/>
      <c r="AD76" s="47"/>
      <c r="AE76" s="45"/>
      <c r="AF76" s="45"/>
      <c r="AH76" s="45"/>
      <c r="AI76" s="45"/>
      <c r="AJ76" s="45"/>
      <c r="AL76" s="45"/>
      <c r="AM76" s="45"/>
      <c r="AN76" s="45"/>
      <c r="AO76" s="45"/>
      <c r="AP76" s="45"/>
    </row>
    <row r="77" spans="3:47">
      <c r="C77" s="42"/>
      <c r="F77" s="45"/>
      <c r="H77" s="45"/>
      <c r="I77" s="45"/>
      <c r="J77" s="47"/>
      <c r="K77" s="47"/>
      <c r="L77" s="45"/>
      <c r="M77" s="45"/>
      <c r="N77" s="46"/>
      <c r="O77" s="46"/>
      <c r="P77" s="45"/>
      <c r="Q77" s="45"/>
      <c r="R77" s="45"/>
      <c r="T77" s="42"/>
      <c r="AC77" s="56"/>
    </row>
    <row r="78" spans="3:47">
      <c r="C78" s="42"/>
      <c r="F78" s="45"/>
      <c r="H78" s="164"/>
      <c r="I78" s="164"/>
      <c r="J78" s="331"/>
      <c r="K78" s="331"/>
      <c r="L78" s="45"/>
      <c r="M78" s="45"/>
      <c r="N78" s="46"/>
      <c r="O78" s="46"/>
      <c r="P78" s="45"/>
      <c r="Q78" s="45"/>
      <c r="R78" s="45"/>
      <c r="AC78" s="56"/>
    </row>
    <row r="79" spans="3:47">
      <c r="F79" s="50"/>
      <c r="H79" s="50"/>
      <c r="I79" s="50"/>
      <c r="J79" s="326"/>
      <c r="K79" s="326"/>
      <c r="L79" s="50"/>
      <c r="M79" s="50"/>
      <c r="N79" s="50"/>
      <c r="O79" s="50"/>
      <c r="P79" s="50"/>
      <c r="Q79" s="50"/>
      <c r="R79" s="50"/>
      <c r="V79" s="42"/>
      <c r="Y79" s="45"/>
      <c r="AA79" s="164"/>
      <c r="AB79" s="164"/>
      <c r="AC79" s="132"/>
      <c r="AD79" s="316"/>
      <c r="AE79" s="45"/>
      <c r="AF79" s="45"/>
      <c r="AH79" s="46"/>
      <c r="AI79" s="45"/>
      <c r="AJ79" s="45"/>
      <c r="AL79" s="51"/>
      <c r="AO79" s="45"/>
      <c r="AP79" s="45"/>
    </row>
    <row r="80" spans="3:47">
      <c r="F80" s="50"/>
      <c r="H80" s="50"/>
      <c r="I80" s="50"/>
      <c r="J80" s="326"/>
      <c r="K80" s="326"/>
      <c r="L80" s="50"/>
      <c r="M80" s="50"/>
      <c r="N80" s="50"/>
      <c r="O80" s="50"/>
      <c r="P80" s="50"/>
      <c r="Q80" s="50"/>
      <c r="R80" s="50"/>
      <c r="S80" s="45"/>
      <c r="V80" s="42"/>
      <c r="Y80" s="164"/>
      <c r="AA80" s="164"/>
      <c r="AB80" s="164"/>
      <c r="AC80" s="132"/>
      <c r="AD80" s="336"/>
      <c r="AE80" s="45"/>
      <c r="AF80" s="45"/>
      <c r="AH80" s="46"/>
      <c r="AI80" s="45"/>
      <c r="AJ80" s="45"/>
      <c r="AL80" s="46"/>
      <c r="AM80" s="45"/>
      <c r="AN80" s="45"/>
      <c r="AO80" s="45"/>
      <c r="AP80" s="45"/>
    </row>
    <row r="81" spans="3:42">
      <c r="C81" s="42"/>
      <c r="F81" s="164"/>
      <c r="H81" s="337"/>
      <c r="I81" s="337"/>
      <c r="J81" s="326"/>
      <c r="K81" s="326"/>
      <c r="L81" s="45"/>
      <c r="M81" s="45"/>
      <c r="N81" s="46"/>
      <c r="O81" s="46"/>
      <c r="P81" s="45"/>
      <c r="Q81" s="45"/>
      <c r="R81" s="45"/>
      <c r="S81" s="45"/>
      <c r="V81" s="42"/>
      <c r="Y81" s="164"/>
      <c r="AA81" s="45"/>
      <c r="AB81" s="45"/>
      <c r="AC81" s="316"/>
      <c r="AD81" s="316"/>
      <c r="AE81" s="45"/>
      <c r="AF81" s="45"/>
      <c r="AH81" s="46"/>
      <c r="AI81" s="45"/>
      <c r="AJ81" s="45"/>
      <c r="AL81" s="51"/>
      <c r="AM81" s="45"/>
      <c r="AN81" s="45"/>
      <c r="AO81" s="45"/>
      <c r="AP81" s="45"/>
    </row>
    <row r="82" spans="3:42">
      <c r="V82" s="42"/>
      <c r="Y82" s="164"/>
      <c r="AA82" s="45"/>
      <c r="AB82" s="45"/>
      <c r="AC82" s="316"/>
      <c r="AD82" s="316"/>
      <c r="AE82" s="45"/>
      <c r="AF82" s="45"/>
      <c r="AH82" s="46"/>
      <c r="AI82" s="45"/>
      <c r="AJ82" s="45"/>
      <c r="AL82" s="51"/>
      <c r="AM82" s="45"/>
      <c r="AN82" s="45"/>
      <c r="AO82" s="45"/>
      <c r="AP82" s="45"/>
    </row>
    <row r="83" spans="3:42">
      <c r="C83" s="42"/>
      <c r="F83" s="164"/>
      <c r="H83" s="164"/>
      <c r="I83" s="164"/>
      <c r="J83" s="316"/>
      <c r="K83" s="316"/>
      <c r="L83" s="45"/>
      <c r="M83" s="45"/>
      <c r="N83" s="46"/>
      <c r="O83" s="46"/>
      <c r="R83" s="45"/>
      <c r="V83" s="42"/>
      <c r="Y83" s="45"/>
      <c r="AA83" s="45"/>
      <c r="AB83" s="45"/>
      <c r="AC83" s="47"/>
      <c r="AD83" s="47"/>
      <c r="AE83" s="45"/>
      <c r="AF83" s="45"/>
      <c r="AH83" s="46"/>
      <c r="AI83" s="45"/>
      <c r="AJ83" s="45"/>
      <c r="AL83" s="51"/>
      <c r="AM83" s="45"/>
      <c r="AN83" s="45"/>
      <c r="AO83" s="45"/>
      <c r="AP83" s="45"/>
    </row>
    <row r="84" spans="3:42">
      <c r="C84" s="42"/>
      <c r="F84" s="164"/>
      <c r="H84" s="164"/>
      <c r="I84" s="164"/>
      <c r="J84" s="316"/>
      <c r="K84" s="316"/>
      <c r="L84" s="45"/>
      <c r="M84" s="45"/>
      <c r="N84" s="46"/>
      <c r="O84" s="46"/>
      <c r="R84" s="45"/>
      <c r="V84" s="42"/>
      <c r="Y84" s="45"/>
      <c r="AA84" s="45"/>
      <c r="AB84" s="45"/>
      <c r="AC84" s="47"/>
      <c r="AD84" s="47"/>
      <c r="AE84" s="45"/>
      <c r="AF84" s="45"/>
      <c r="AH84" s="46"/>
      <c r="AI84" s="45"/>
      <c r="AJ84" s="45"/>
      <c r="AL84" s="51"/>
      <c r="AM84" s="45"/>
      <c r="AN84" s="45"/>
      <c r="AO84" s="45"/>
      <c r="AP84" s="45"/>
    </row>
    <row r="85" spans="3:42">
      <c r="F85" s="50"/>
      <c r="H85" s="45"/>
      <c r="I85" s="45"/>
      <c r="J85" s="326"/>
      <c r="K85" s="326"/>
      <c r="L85" s="50"/>
      <c r="M85" s="50"/>
      <c r="N85" s="50"/>
      <c r="O85" s="50"/>
      <c r="P85" s="50"/>
      <c r="Q85" s="50"/>
      <c r="R85" s="50"/>
      <c r="V85" s="42"/>
      <c r="Y85" s="45"/>
      <c r="AA85" s="45"/>
      <c r="AB85" s="45"/>
      <c r="AC85" s="325"/>
      <c r="AD85" s="325"/>
      <c r="AE85" s="45"/>
      <c r="AF85" s="45"/>
      <c r="AH85" s="46"/>
      <c r="AI85" s="45"/>
      <c r="AJ85" s="45"/>
      <c r="AL85" s="51"/>
      <c r="AM85" s="45"/>
      <c r="AN85" s="45"/>
      <c r="AO85" s="45"/>
      <c r="AP85" s="45"/>
    </row>
    <row r="86" spans="3:42">
      <c r="F86" s="50"/>
      <c r="H86" s="45"/>
      <c r="I86" s="45"/>
      <c r="J86" s="326"/>
      <c r="K86" s="326"/>
      <c r="L86" s="50"/>
      <c r="M86" s="50"/>
      <c r="N86" s="50"/>
      <c r="O86" s="50"/>
      <c r="P86" s="50"/>
      <c r="Q86" s="50"/>
      <c r="R86" s="50"/>
    </row>
    <row r="87" spans="3:42">
      <c r="C87" s="42"/>
      <c r="F87" s="164"/>
      <c r="H87" s="164"/>
      <c r="I87" s="164"/>
      <c r="J87" s="336"/>
      <c r="K87" s="336"/>
      <c r="L87" s="45"/>
      <c r="M87" s="45"/>
      <c r="N87" s="46"/>
      <c r="O87" s="46"/>
      <c r="P87" s="45"/>
      <c r="Q87" s="45"/>
      <c r="R87" s="45"/>
      <c r="S87" s="45"/>
      <c r="V87" s="42"/>
      <c r="Y87" s="45"/>
      <c r="AA87" s="45"/>
      <c r="AB87" s="45"/>
      <c r="AC87" s="326"/>
      <c r="AD87" s="326"/>
      <c r="AE87" s="45"/>
      <c r="AF87" s="45"/>
      <c r="AH87" s="46"/>
      <c r="AI87" s="45"/>
      <c r="AJ87" s="45"/>
      <c r="AL87" s="46"/>
      <c r="AM87" s="45"/>
      <c r="AN87" s="45"/>
      <c r="AO87" s="45"/>
      <c r="AP87" s="45"/>
    </row>
    <row r="88" spans="3:42">
      <c r="C88" s="42"/>
      <c r="F88" s="164"/>
      <c r="H88" s="164"/>
      <c r="I88" s="164"/>
      <c r="J88" s="316"/>
      <c r="K88" s="316"/>
      <c r="L88" s="45"/>
      <c r="M88" s="45"/>
      <c r="N88" s="46"/>
      <c r="O88" s="46"/>
      <c r="P88" s="45"/>
      <c r="Q88" s="45"/>
      <c r="R88" s="45"/>
      <c r="V88" s="42"/>
    </row>
    <row r="89" spans="3:42">
      <c r="F89" s="45"/>
      <c r="H89" s="50"/>
      <c r="I89" s="50"/>
      <c r="J89" s="326"/>
      <c r="K89" s="326"/>
      <c r="L89" s="50"/>
      <c r="M89" s="50"/>
      <c r="N89" s="50"/>
      <c r="O89" s="50"/>
      <c r="P89" s="50"/>
      <c r="Q89" s="50"/>
      <c r="R89" s="50"/>
      <c r="V89" s="42"/>
      <c r="Y89" s="45"/>
      <c r="AA89" s="45"/>
      <c r="AB89" s="45"/>
      <c r="AE89" s="45"/>
      <c r="AF89" s="45"/>
      <c r="AH89" s="46"/>
      <c r="AI89" s="45"/>
      <c r="AJ89" s="45"/>
      <c r="AL89" s="46"/>
      <c r="AM89" s="164"/>
      <c r="AN89" s="164"/>
      <c r="AO89" s="45"/>
      <c r="AP89" s="45"/>
    </row>
    <row r="90" spans="3:42">
      <c r="F90" s="45"/>
      <c r="H90" s="50"/>
      <c r="I90" s="50"/>
      <c r="J90" s="326"/>
      <c r="K90" s="326"/>
      <c r="L90" s="50"/>
      <c r="M90" s="50"/>
      <c r="N90" s="50"/>
      <c r="O90" s="50"/>
      <c r="P90" s="50"/>
      <c r="Q90" s="50"/>
      <c r="R90" s="50"/>
    </row>
    <row r="91" spans="3:42">
      <c r="C91" s="42"/>
      <c r="F91" s="45"/>
      <c r="H91" s="45"/>
      <c r="I91" s="45"/>
      <c r="J91" s="326"/>
      <c r="K91" s="326"/>
      <c r="L91" s="45"/>
      <c r="M91" s="45"/>
      <c r="N91" s="45"/>
      <c r="O91" s="45"/>
      <c r="P91" s="45"/>
      <c r="Q91" s="45"/>
      <c r="R91" s="45"/>
      <c r="V91" s="42"/>
      <c r="AE91" s="45"/>
      <c r="AF91" s="45"/>
      <c r="AH91" s="45"/>
      <c r="AM91" s="45"/>
      <c r="AN91" s="45"/>
      <c r="AO91" s="45"/>
      <c r="AP91" s="45"/>
    </row>
    <row r="92" spans="3:42">
      <c r="C92" s="42"/>
      <c r="F92" s="45"/>
      <c r="H92" s="164"/>
      <c r="I92" s="164"/>
      <c r="J92" s="132"/>
      <c r="K92" s="132"/>
      <c r="L92" s="45"/>
      <c r="M92" s="45"/>
      <c r="N92" s="46"/>
      <c r="O92" s="46"/>
      <c r="P92" s="45"/>
      <c r="Q92" s="45"/>
      <c r="R92" s="45"/>
      <c r="T92" s="42"/>
    </row>
    <row r="93" spans="3:42">
      <c r="C93" s="42"/>
      <c r="H93" s="164"/>
      <c r="I93" s="164"/>
      <c r="J93" s="132"/>
      <c r="K93" s="132"/>
      <c r="L93" s="45"/>
      <c r="M93" s="45"/>
      <c r="N93" s="46"/>
      <c r="O93" s="46"/>
      <c r="P93" s="45"/>
      <c r="Q93" s="45"/>
      <c r="R93" s="45"/>
      <c r="T93" s="42"/>
      <c r="V93" s="164"/>
      <c r="Y93" s="164"/>
      <c r="Z93" s="336"/>
      <c r="AA93" s="45"/>
      <c r="AB93" s="45"/>
      <c r="AC93" s="46"/>
      <c r="AD93" s="46"/>
      <c r="AE93" s="45"/>
      <c r="AF93" s="45"/>
      <c r="AH93" s="46"/>
      <c r="AI93" s="45"/>
      <c r="AJ93" s="45"/>
      <c r="AL93" s="45"/>
      <c r="AM93" s="46"/>
      <c r="AN93" s="46"/>
    </row>
    <row r="94" spans="3:42">
      <c r="F94" s="45"/>
      <c r="H94" s="45"/>
      <c r="I94" s="45"/>
      <c r="J94" s="326"/>
      <c r="K94" s="326"/>
      <c r="L94" s="50"/>
      <c r="M94" s="50"/>
      <c r="N94" s="50"/>
      <c r="O94" s="50"/>
      <c r="P94" s="50"/>
      <c r="Q94" s="50"/>
      <c r="R94" s="50"/>
      <c r="T94" s="42"/>
      <c r="V94" s="164"/>
      <c r="Y94" s="45"/>
      <c r="Z94" s="316"/>
      <c r="AA94" s="45"/>
      <c r="AB94" s="45"/>
      <c r="AC94" s="46"/>
      <c r="AD94" s="46"/>
      <c r="AE94" s="45"/>
      <c r="AF94" s="45"/>
      <c r="AH94" s="51"/>
      <c r="AI94" s="45"/>
      <c r="AJ94" s="45"/>
      <c r="AL94" s="45"/>
      <c r="AM94" s="46"/>
      <c r="AN94" s="46"/>
    </row>
    <row r="95" spans="3:42">
      <c r="C95" s="42"/>
      <c r="F95" s="45"/>
      <c r="H95" s="45"/>
      <c r="I95" s="45"/>
      <c r="J95" s="47"/>
      <c r="K95" s="47"/>
      <c r="L95" s="45"/>
      <c r="M95" s="45"/>
      <c r="N95" s="46"/>
      <c r="O95" s="46"/>
      <c r="P95" s="45"/>
      <c r="Q95" s="45"/>
      <c r="R95" s="45"/>
      <c r="T95" s="42"/>
      <c r="V95" s="164"/>
      <c r="Y95" s="45"/>
      <c r="Z95" s="316"/>
      <c r="AA95" s="45"/>
      <c r="AB95" s="45"/>
      <c r="AC95" s="46"/>
      <c r="AD95" s="46"/>
      <c r="AE95" s="45"/>
      <c r="AF95" s="45"/>
      <c r="AH95" s="51"/>
      <c r="AI95" s="45"/>
      <c r="AJ95" s="45"/>
      <c r="AL95" s="45"/>
      <c r="AM95" s="46"/>
      <c r="AN95" s="46"/>
    </row>
    <row r="96" spans="3:42">
      <c r="F96" s="45"/>
      <c r="H96" s="45"/>
      <c r="I96" s="45"/>
      <c r="J96" s="326"/>
      <c r="K96" s="326"/>
      <c r="L96" s="50"/>
      <c r="M96" s="50"/>
      <c r="N96" s="50"/>
      <c r="O96" s="50"/>
      <c r="P96" s="50"/>
      <c r="Q96" s="50"/>
      <c r="R96" s="50"/>
      <c r="V96" s="45"/>
      <c r="Y96" s="50"/>
      <c r="Z96" s="326"/>
      <c r="AA96" s="50"/>
      <c r="AB96" s="50"/>
      <c r="AC96" s="50"/>
      <c r="AD96" s="50"/>
      <c r="AE96" s="50"/>
      <c r="AF96" s="50"/>
      <c r="AI96" s="50"/>
      <c r="AJ96" s="50"/>
      <c r="AK96" s="111"/>
      <c r="AL96" s="50"/>
      <c r="AM96" s="46"/>
      <c r="AN96" s="46"/>
    </row>
    <row r="97" spans="1:40">
      <c r="C97" s="42"/>
      <c r="F97" s="45"/>
      <c r="H97" s="45"/>
      <c r="I97" s="45"/>
      <c r="J97" s="47"/>
      <c r="K97" s="47"/>
      <c r="L97" s="45"/>
      <c r="M97" s="45"/>
      <c r="N97" s="46"/>
      <c r="O97" s="46"/>
      <c r="P97" s="45"/>
      <c r="Q97" s="45"/>
      <c r="R97" s="45"/>
      <c r="T97" s="42"/>
      <c r="V97" s="45"/>
      <c r="Y97" s="45"/>
      <c r="Z97" s="326"/>
      <c r="AA97" s="45"/>
      <c r="AB97" s="45"/>
      <c r="AC97" s="46"/>
      <c r="AD97" s="46"/>
      <c r="AE97" s="45"/>
      <c r="AF97" s="45"/>
      <c r="AH97" s="51"/>
      <c r="AI97" s="45"/>
      <c r="AJ97" s="45"/>
      <c r="AL97" s="45"/>
      <c r="AM97" s="46"/>
      <c r="AN97" s="46"/>
    </row>
    <row r="98" spans="1:40">
      <c r="C98" s="42"/>
      <c r="F98" s="164"/>
      <c r="H98" s="164"/>
      <c r="I98" s="164"/>
      <c r="J98" s="331"/>
      <c r="K98" s="331"/>
      <c r="L98" s="45"/>
      <c r="M98" s="45"/>
      <c r="N98" s="46"/>
      <c r="O98" s="46"/>
      <c r="P98" s="45"/>
      <c r="Q98" s="45"/>
      <c r="R98" s="45"/>
      <c r="V98" s="45"/>
      <c r="Y98" s="50"/>
      <c r="Z98" s="326"/>
      <c r="AA98" s="50"/>
      <c r="AB98" s="50"/>
      <c r="AC98" s="50"/>
      <c r="AD98" s="50"/>
      <c r="AE98" s="50"/>
      <c r="AF98" s="50"/>
      <c r="AI98" s="50"/>
      <c r="AJ98" s="50"/>
      <c r="AK98" s="111"/>
      <c r="AL98" s="50"/>
      <c r="AM98" s="46"/>
      <c r="AN98" s="46"/>
    </row>
    <row r="99" spans="1:40">
      <c r="F99" s="50"/>
      <c r="H99" s="50"/>
      <c r="I99" s="50"/>
      <c r="J99" s="326"/>
      <c r="K99" s="326"/>
      <c r="L99" s="50"/>
      <c r="M99" s="50"/>
      <c r="N99" s="50"/>
      <c r="O99" s="50"/>
      <c r="P99" s="50"/>
      <c r="Q99" s="50"/>
      <c r="R99" s="50"/>
      <c r="T99" s="42"/>
      <c r="V99" s="45"/>
      <c r="Y99" s="45"/>
      <c r="Z99" s="326"/>
      <c r="AA99" s="45"/>
      <c r="AB99" s="45"/>
      <c r="AC99" s="45"/>
      <c r="AD99" s="45"/>
      <c r="AE99" s="45"/>
      <c r="AF99" s="45"/>
      <c r="AH99" s="51"/>
      <c r="AI99" s="45"/>
      <c r="AJ99" s="45"/>
      <c r="AL99" s="45"/>
      <c r="AM99" s="46"/>
      <c r="AN99" s="46"/>
    </row>
    <row r="100" spans="1:40">
      <c r="C100" s="42"/>
      <c r="F100" s="45"/>
      <c r="H100" s="45"/>
      <c r="I100" s="45"/>
      <c r="J100" s="326"/>
      <c r="K100" s="326"/>
      <c r="L100" s="45"/>
      <c r="M100" s="45"/>
      <c r="N100" s="46"/>
      <c r="O100" s="46"/>
      <c r="P100" s="45"/>
      <c r="Q100" s="45"/>
      <c r="R100" s="45"/>
      <c r="S100" s="45"/>
      <c r="T100" s="42"/>
      <c r="V100" s="45"/>
      <c r="Y100" s="45"/>
      <c r="Z100" s="132"/>
      <c r="AA100" s="45"/>
      <c r="AB100" s="45"/>
      <c r="AC100" s="46"/>
      <c r="AD100" s="46"/>
      <c r="AE100" s="45"/>
      <c r="AF100" s="45"/>
      <c r="AH100" s="51"/>
      <c r="AI100" s="45"/>
      <c r="AJ100" s="45"/>
      <c r="AL100" s="45"/>
      <c r="AM100" s="46"/>
      <c r="AN100" s="46"/>
    </row>
    <row r="101" spans="1:40">
      <c r="F101" s="50"/>
      <c r="H101" s="50"/>
      <c r="I101" s="50"/>
      <c r="J101" s="326"/>
      <c r="K101" s="326"/>
      <c r="L101" s="50"/>
      <c r="M101" s="50"/>
      <c r="N101" s="50"/>
      <c r="O101" s="50"/>
      <c r="P101" s="50"/>
      <c r="Q101" s="50"/>
      <c r="R101" s="50"/>
      <c r="S101" s="45"/>
      <c r="T101" s="42"/>
      <c r="Y101" s="45"/>
      <c r="Z101" s="132"/>
      <c r="AA101" s="45"/>
      <c r="AB101" s="45"/>
      <c r="AC101" s="46"/>
      <c r="AD101" s="46"/>
      <c r="AE101" s="45"/>
      <c r="AF101" s="45"/>
      <c r="AH101" s="51"/>
      <c r="AI101" s="45"/>
      <c r="AJ101" s="45"/>
      <c r="AL101" s="45"/>
      <c r="AM101" s="46"/>
      <c r="AN101" s="46"/>
    </row>
    <row r="102" spans="1:40">
      <c r="C102" s="42"/>
      <c r="V102" s="45"/>
      <c r="Y102" s="45"/>
      <c r="Z102" s="326"/>
      <c r="AA102" s="50"/>
      <c r="AB102" s="50"/>
      <c r="AC102" s="50"/>
      <c r="AD102" s="50"/>
      <c r="AE102" s="50"/>
      <c r="AF102" s="50"/>
      <c r="AI102" s="50"/>
      <c r="AJ102" s="50"/>
      <c r="AK102" s="111"/>
      <c r="AL102" s="50"/>
      <c r="AM102" s="46"/>
      <c r="AN102" s="46"/>
    </row>
    <row r="103" spans="1:40">
      <c r="C103" s="42"/>
      <c r="F103" s="45"/>
      <c r="H103" s="45"/>
      <c r="I103" s="45"/>
      <c r="L103" s="45"/>
      <c r="M103" s="45"/>
      <c r="N103" s="46"/>
      <c r="O103" s="46"/>
      <c r="P103" s="164"/>
      <c r="Q103" s="164"/>
      <c r="R103" s="45"/>
      <c r="T103" s="42"/>
      <c r="V103" s="45"/>
      <c r="Y103" s="45"/>
      <c r="Z103" s="47"/>
      <c r="AA103" s="45"/>
      <c r="AB103" s="45"/>
      <c r="AC103" s="46"/>
      <c r="AD103" s="46"/>
      <c r="AE103" s="45"/>
      <c r="AF103" s="45"/>
      <c r="AH103" s="51"/>
      <c r="AI103" s="45"/>
      <c r="AJ103" s="45"/>
      <c r="AL103" s="45"/>
      <c r="AM103" s="46"/>
      <c r="AN103" s="46"/>
    </row>
    <row r="104" spans="1:40">
      <c r="F104" s="50"/>
      <c r="H104" s="50"/>
      <c r="I104" s="50"/>
      <c r="J104" s="326"/>
      <c r="K104" s="326"/>
      <c r="L104" s="50"/>
      <c r="M104" s="50"/>
      <c r="N104" s="50"/>
      <c r="O104" s="50"/>
      <c r="P104" s="50"/>
      <c r="Q104" s="50"/>
      <c r="R104" s="50"/>
      <c r="V104" s="45"/>
      <c r="Y104" s="45"/>
      <c r="Z104" s="326"/>
      <c r="AA104" s="50"/>
      <c r="AB104" s="50"/>
      <c r="AC104" s="50"/>
      <c r="AD104" s="50"/>
      <c r="AE104" s="50"/>
      <c r="AF104" s="50"/>
      <c r="AI104" s="50"/>
      <c r="AJ104" s="50"/>
      <c r="AK104" s="111"/>
      <c r="AL104" s="50"/>
      <c r="AM104" s="46"/>
      <c r="AN104" s="46"/>
    </row>
    <row r="105" spans="1:40">
      <c r="T105" s="42"/>
      <c r="V105" s="45"/>
      <c r="Y105" s="45"/>
      <c r="Z105" s="47"/>
      <c r="AA105" s="45"/>
      <c r="AB105" s="45"/>
      <c r="AC105" s="46"/>
      <c r="AD105" s="46"/>
      <c r="AE105" s="45"/>
      <c r="AF105" s="45"/>
      <c r="AH105" s="51"/>
      <c r="AI105" s="45"/>
      <c r="AJ105" s="45"/>
      <c r="AL105" s="45"/>
      <c r="AM105" s="46"/>
      <c r="AN105" s="46"/>
    </row>
    <row r="106" spans="1:40">
      <c r="C106" s="42"/>
      <c r="L106" s="45"/>
      <c r="M106" s="45"/>
      <c r="N106" s="45"/>
      <c r="O106" s="45"/>
      <c r="P106" s="45"/>
      <c r="Q106" s="45"/>
      <c r="R106" s="45"/>
      <c r="S106" s="45"/>
      <c r="T106" s="42"/>
      <c r="V106" s="164"/>
      <c r="Y106" s="45"/>
      <c r="Z106" s="331"/>
      <c r="AA106" s="45"/>
      <c r="AB106" s="45"/>
      <c r="AC106" s="46"/>
      <c r="AD106" s="46"/>
      <c r="AE106" s="45"/>
      <c r="AF106" s="45"/>
      <c r="AH106" s="51"/>
      <c r="AI106" s="45"/>
      <c r="AJ106" s="45"/>
      <c r="AL106" s="45"/>
      <c r="AM106" s="46"/>
      <c r="AN106" s="46"/>
    </row>
    <row r="107" spans="1:40">
      <c r="A107" s="42"/>
      <c r="V107" s="50"/>
      <c r="Y107" s="50"/>
      <c r="Z107" s="326"/>
      <c r="AA107" s="50"/>
      <c r="AB107" s="50"/>
      <c r="AC107" s="50"/>
      <c r="AD107" s="50"/>
      <c r="AE107" s="50"/>
      <c r="AF107" s="50"/>
      <c r="AI107" s="50"/>
      <c r="AJ107" s="50"/>
      <c r="AK107" s="111"/>
      <c r="AL107" s="50"/>
      <c r="AM107" s="46"/>
      <c r="AN107" s="46"/>
    </row>
    <row r="108" spans="1:40">
      <c r="T108" s="42"/>
      <c r="V108" s="45"/>
      <c r="Y108" s="45"/>
      <c r="Z108" s="326"/>
      <c r="AA108" s="45"/>
      <c r="AB108" s="45"/>
      <c r="AC108" s="46"/>
      <c r="AD108" s="46"/>
      <c r="AE108" s="45"/>
      <c r="AF108" s="45"/>
      <c r="AH108" s="46"/>
      <c r="AI108" s="45"/>
      <c r="AJ108" s="45"/>
      <c r="AL108" s="45"/>
      <c r="AM108" s="46"/>
      <c r="AN108" s="46"/>
    </row>
    <row r="109" spans="1:40">
      <c r="H109" s="42"/>
      <c r="I109" s="42"/>
      <c r="V109" s="50"/>
      <c r="Y109" s="50"/>
      <c r="Z109" s="326"/>
      <c r="AA109" s="50"/>
      <c r="AB109" s="50"/>
      <c r="AC109" s="50"/>
      <c r="AD109" s="50"/>
      <c r="AE109" s="50"/>
      <c r="AF109" s="50"/>
      <c r="AI109" s="50"/>
      <c r="AJ109" s="50"/>
      <c r="AK109" s="111"/>
      <c r="AL109" s="50"/>
      <c r="AM109" s="46"/>
      <c r="AN109" s="46"/>
    </row>
    <row r="110" spans="1:40">
      <c r="T110" s="42"/>
    </row>
    <row r="111" spans="1:40">
      <c r="L111" s="42"/>
      <c r="M111" s="42"/>
      <c r="AA111" s="42"/>
      <c r="AB111" s="42"/>
    </row>
    <row r="112" spans="1:40">
      <c r="R112" s="42"/>
      <c r="AK112" s="110"/>
      <c r="AL112" s="42"/>
    </row>
    <row r="113" spans="1:40">
      <c r="R113" s="42"/>
      <c r="AK113" s="110"/>
      <c r="AL113" s="42"/>
    </row>
    <row r="114" spans="1:40">
      <c r="A114" s="42"/>
      <c r="R114" s="42"/>
      <c r="AK114" s="110"/>
      <c r="AL114" s="42"/>
    </row>
    <row r="115" spans="1:40">
      <c r="L115" s="42"/>
      <c r="M115" s="42"/>
      <c r="AA115" s="42"/>
      <c r="AB115" s="42"/>
    </row>
    <row r="116" spans="1:40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107"/>
      <c r="AH116" s="49"/>
      <c r="AI116" s="49"/>
      <c r="AJ116" s="49"/>
      <c r="AK116" s="107"/>
      <c r="AL116" s="49"/>
      <c r="AM116" s="49"/>
      <c r="AN116" s="49"/>
    </row>
    <row r="117" spans="1:40">
      <c r="L117" s="44"/>
      <c r="M117" s="44"/>
      <c r="N117" s="44"/>
      <c r="O117" s="44"/>
      <c r="R117" s="44"/>
      <c r="AA117" s="44"/>
      <c r="AB117" s="44"/>
      <c r="AC117" s="44"/>
      <c r="AD117" s="44"/>
      <c r="AE117" s="44"/>
      <c r="AF117" s="44"/>
      <c r="AG117" s="102"/>
      <c r="AH117" s="44"/>
      <c r="AK117" s="102"/>
      <c r="AL117" s="44"/>
      <c r="AM117" s="44"/>
      <c r="AN117" s="44"/>
    </row>
    <row r="118" spans="1:40">
      <c r="L118" s="44"/>
      <c r="M118" s="44"/>
      <c r="N118" s="44"/>
      <c r="O118" s="44"/>
      <c r="R118" s="44"/>
      <c r="Z118" s="44"/>
      <c r="AA118" s="44"/>
      <c r="AB118" s="44"/>
      <c r="AC118" s="44"/>
      <c r="AD118" s="44"/>
      <c r="AE118" s="44"/>
      <c r="AF118" s="44"/>
      <c r="AG118" s="102"/>
      <c r="AH118" s="44"/>
      <c r="AK118" s="102"/>
      <c r="AL118" s="44"/>
      <c r="AM118" s="44"/>
      <c r="AN118" s="44"/>
    </row>
    <row r="119" spans="1:40">
      <c r="A119" s="44"/>
      <c r="C119" s="44"/>
      <c r="D119" s="44"/>
      <c r="E119" s="44"/>
      <c r="F119" s="44"/>
      <c r="J119" s="44"/>
      <c r="K119" s="44"/>
      <c r="L119" s="44"/>
      <c r="M119" s="44"/>
      <c r="N119" s="44"/>
      <c r="O119" s="44"/>
      <c r="P119" s="44"/>
      <c r="Q119" s="44"/>
      <c r="R119" s="44"/>
      <c r="T119" s="44"/>
      <c r="U119" s="44"/>
      <c r="V119" s="44"/>
      <c r="Z119" s="44"/>
      <c r="AA119" s="44"/>
      <c r="AB119" s="44"/>
      <c r="AC119" s="44"/>
      <c r="AD119" s="44"/>
      <c r="AE119" s="44"/>
      <c r="AF119" s="44"/>
      <c r="AG119" s="102"/>
      <c r="AH119" s="44"/>
      <c r="AI119" s="44"/>
      <c r="AJ119" s="44"/>
      <c r="AK119" s="102"/>
      <c r="AL119" s="44"/>
      <c r="AM119" s="44"/>
      <c r="AN119" s="44"/>
    </row>
    <row r="120" spans="1:40">
      <c r="A120" s="44"/>
      <c r="C120" s="44"/>
      <c r="D120" s="44"/>
      <c r="E120" s="44"/>
      <c r="F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T120" s="44"/>
      <c r="U120" s="44"/>
      <c r="V120" s="44"/>
      <c r="Y120" s="44"/>
      <c r="Z120" s="44"/>
      <c r="AA120" s="44"/>
      <c r="AB120" s="44"/>
      <c r="AC120" s="44"/>
      <c r="AD120" s="44"/>
      <c r="AE120" s="44"/>
      <c r="AF120" s="44"/>
      <c r="AG120" s="102"/>
      <c r="AH120" s="44"/>
      <c r="AI120" s="44"/>
      <c r="AJ120" s="44"/>
      <c r="AK120" s="102"/>
      <c r="AL120" s="44"/>
      <c r="AM120" s="44"/>
      <c r="AN120" s="44"/>
    </row>
    <row r="121" spans="1:40">
      <c r="C121" s="44"/>
      <c r="D121" s="44"/>
      <c r="E121" s="44"/>
      <c r="F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T121" s="44"/>
      <c r="U121" s="44"/>
      <c r="V121" s="44"/>
      <c r="Y121" s="44"/>
      <c r="Z121" s="44"/>
      <c r="AA121" s="44"/>
      <c r="AB121" s="44"/>
      <c r="AC121" s="44"/>
      <c r="AD121" s="44"/>
      <c r="AE121" s="44"/>
      <c r="AF121" s="44"/>
      <c r="AG121" s="102"/>
      <c r="AH121" s="44"/>
      <c r="AI121" s="44"/>
      <c r="AJ121" s="44"/>
      <c r="AK121" s="102"/>
      <c r="AL121" s="44"/>
      <c r="AM121" s="44"/>
      <c r="AN121" s="44"/>
    </row>
    <row r="122" spans="1:40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107"/>
      <c r="AH122" s="49"/>
      <c r="AI122" s="49"/>
      <c r="AJ122" s="49"/>
      <c r="AK122" s="107"/>
      <c r="AL122" s="49"/>
      <c r="AM122" s="49"/>
      <c r="AN122" s="49"/>
    </row>
    <row r="123" spans="1:40"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Y123" s="44"/>
      <c r="Z123" s="44"/>
      <c r="AA123" s="44"/>
      <c r="AB123" s="44"/>
      <c r="AC123" s="44"/>
      <c r="AD123" s="44"/>
      <c r="AE123" s="44"/>
      <c r="AF123" s="44"/>
      <c r="AG123" s="102"/>
      <c r="AH123" s="44"/>
      <c r="AI123" s="44"/>
      <c r="AJ123" s="44"/>
      <c r="AK123" s="102"/>
      <c r="AL123" s="44"/>
      <c r="AM123" s="44"/>
      <c r="AN123" s="44"/>
    </row>
    <row r="124" spans="1:40">
      <c r="C124" s="42"/>
      <c r="D124" s="42"/>
      <c r="E124" s="42"/>
      <c r="T124" s="42"/>
      <c r="U124" s="42"/>
    </row>
    <row r="125" spans="1:40">
      <c r="D125" s="42"/>
      <c r="E125" s="42"/>
      <c r="U125" s="42"/>
    </row>
    <row r="127" spans="1:40">
      <c r="C127" s="42"/>
      <c r="F127" s="164"/>
      <c r="H127" s="164"/>
      <c r="I127" s="164"/>
      <c r="J127" s="316"/>
      <c r="K127" s="316"/>
      <c r="L127" s="45"/>
      <c r="M127" s="45"/>
      <c r="N127" s="46"/>
      <c r="O127" s="46"/>
      <c r="R127" s="45"/>
      <c r="T127" s="42"/>
      <c r="V127" s="45"/>
      <c r="Y127" s="164"/>
      <c r="Z127" s="316"/>
      <c r="AA127" s="45"/>
      <c r="AB127" s="45"/>
      <c r="AC127" s="46"/>
      <c r="AD127" s="46"/>
      <c r="AE127" s="45"/>
      <c r="AF127" s="45"/>
      <c r="AG127" s="333"/>
      <c r="AH127" s="334"/>
      <c r="AL127" s="45"/>
      <c r="AM127" s="335"/>
      <c r="AN127" s="335"/>
    </row>
    <row r="128" spans="1:40">
      <c r="C128" s="42"/>
      <c r="F128" s="164"/>
      <c r="H128" s="164"/>
      <c r="I128" s="164"/>
      <c r="J128" s="316"/>
      <c r="K128" s="316"/>
      <c r="L128" s="45"/>
      <c r="M128" s="45"/>
      <c r="N128" s="46"/>
      <c r="O128" s="46"/>
      <c r="R128" s="45"/>
      <c r="T128" s="42"/>
      <c r="V128" s="45"/>
      <c r="Y128" s="164"/>
      <c r="Z128" s="316"/>
      <c r="AA128" s="45"/>
      <c r="AB128" s="45"/>
      <c r="AC128" s="46"/>
      <c r="AD128" s="46"/>
      <c r="AE128" s="45"/>
      <c r="AF128" s="45"/>
      <c r="AH128" s="51"/>
      <c r="AL128" s="45"/>
      <c r="AM128" s="46"/>
      <c r="AN128" s="46"/>
    </row>
    <row r="129" spans="3:40">
      <c r="F129" s="50"/>
      <c r="H129" s="45"/>
      <c r="I129" s="45"/>
      <c r="J129" s="326"/>
      <c r="K129" s="326"/>
      <c r="L129" s="50"/>
      <c r="M129" s="50"/>
      <c r="N129" s="50"/>
      <c r="O129" s="50"/>
      <c r="P129" s="50"/>
      <c r="Q129" s="50"/>
      <c r="R129" s="50"/>
      <c r="V129" s="50"/>
      <c r="Y129" s="45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>
      <c r="C130" s="42"/>
      <c r="F130" s="45"/>
      <c r="H130" s="45"/>
      <c r="I130" s="45"/>
      <c r="J130" s="326"/>
      <c r="K130" s="326"/>
      <c r="L130" s="45"/>
      <c r="M130" s="45"/>
      <c r="N130" s="46"/>
      <c r="O130" s="46"/>
      <c r="P130" s="45"/>
      <c r="Q130" s="45"/>
      <c r="R130" s="45"/>
      <c r="T130" s="42"/>
      <c r="V130" s="45"/>
      <c r="Y130" s="45"/>
      <c r="Z130" s="47"/>
      <c r="AA130" s="45"/>
      <c r="AB130" s="45"/>
      <c r="AC130" s="46"/>
      <c r="AD130" s="46"/>
      <c r="AE130" s="45"/>
      <c r="AF130" s="45"/>
      <c r="AH130" s="51"/>
      <c r="AI130" s="45"/>
      <c r="AJ130" s="45"/>
      <c r="AL130" s="45"/>
      <c r="AM130" s="46"/>
      <c r="AN130" s="46"/>
    </row>
    <row r="131" spans="3:40">
      <c r="F131" s="50"/>
      <c r="H131" s="45"/>
      <c r="I131" s="45"/>
      <c r="J131" s="326"/>
      <c r="K131" s="326"/>
      <c r="L131" s="50"/>
      <c r="M131" s="50"/>
      <c r="N131" s="50"/>
      <c r="O131" s="50"/>
      <c r="P131" s="50"/>
      <c r="Q131" s="50"/>
      <c r="R131" s="50"/>
      <c r="V131" s="50"/>
      <c r="Y131" s="45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3:40">
      <c r="F132" s="45"/>
      <c r="H132" s="45"/>
      <c r="I132" s="45"/>
      <c r="J132" s="326"/>
      <c r="K132" s="326"/>
      <c r="L132" s="45"/>
      <c r="M132" s="45"/>
      <c r="N132" s="46"/>
      <c r="O132" s="46"/>
      <c r="P132" s="45"/>
      <c r="Q132" s="45"/>
      <c r="R132" s="45"/>
      <c r="V132" s="45"/>
      <c r="Y132" s="45"/>
      <c r="Z132" s="47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3:40">
      <c r="C133" s="42"/>
      <c r="F133" s="164"/>
      <c r="H133" s="164"/>
      <c r="I133" s="164"/>
      <c r="J133" s="316"/>
      <c r="K133" s="316"/>
      <c r="L133" s="45"/>
      <c r="M133" s="45"/>
      <c r="N133" s="46"/>
      <c r="O133" s="46"/>
      <c r="P133" s="45"/>
      <c r="Q133" s="45"/>
      <c r="R133" s="45"/>
      <c r="T133" s="42"/>
      <c r="V133" s="164"/>
      <c r="Y133" s="45"/>
      <c r="Z133" s="316"/>
      <c r="AA133" s="45"/>
      <c r="AB133" s="45"/>
      <c r="AC133" s="46"/>
      <c r="AD133" s="46"/>
      <c r="AE133" s="45"/>
      <c r="AF133" s="45"/>
      <c r="AG133" s="333"/>
      <c r="AH133" s="334"/>
      <c r="AI133" s="45"/>
      <c r="AJ133" s="45"/>
      <c r="AL133" s="45"/>
      <c r="AM133" s="335"/>
      <c r="AN133" s="335"/>
    </row>
    <row r="134" spans="3:40">
      <c r="C134" s="42"/>
      <c r="F134" s="164"/>
      <c r="H134" s="164"/>
      <c r="I134" s="164"/>
      <c r="J134" s="316"/>
      <c r="K134" s="316"/>
      <c r="L134" s="45"/>
      <c r="M134" s="45"/>
      <c r="N134" s="46"/>
      <c r="O134" s="46"/>
      <c r="P134" s="45"/>
      <c r="Q134" s="45"/>
      <c r="R134" s="45"/>
      <c r="T134" s="42"/>
      <c r="V134" s="164"/>
      <c r="Y134" s="45"/>
      <c r="Z134" s="316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>
      <c r="F135" s="45"/>
      <c r="H135" s="50"/>
      <c r="I135" s="50"/>
      <c r="J135" s="326"/>
      <c r="K135" s="326"/>
      <c r="L135" s="50"/>
      <c r="M135" s="50"/>
      <c r="N135" s="50"/>
      <c r="O135" s="50"/>
      <c r="P135" s="50"/>
      <c r="Q135" s="50"/>
      <c r="R135" s="50"/>
      <c r="V135" s="45"/>
      <c r="Y135" s="50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>
      <c r="C136" s="42"/>
      <c r="F136" s="45"/>
      <c r="H136" s="45"/>
      <c r="I136" s="45"/>
      <c r="J136" s="326"/>
      <c r="K136" s="326"/>
      <c r="L136" s="45"/>
      <c r="M136" s="45"/>
      <c r="N136" s="46"/>
      <c r="O136" s="46"/>
      <c r="P136" s="45"/>
      <c r="Q136" s="45"/>
      <c r="R136" s="45"/>
      <c r="T136" s="42"/>
      <c r="V136" s="45"/>
      <c r="Y136" s="45"/>
      <c r="Z136" s="326"/>
      <c r="AA136" s="45"/>
      <c r="AB136" s="45"/>
      <c r="AC136" s="46"/>
      <c r="AD136" s="46"/>
      <c r="AE136" s="45"/>
      <c r="AF136" s="45"/>
      <c r="AH136" s="51"/>
      <c r="AI136" s="45"/>
      <c r="AJ136" s="45"/>
      <c r="AL136" s="45"/>
      <c r="AM136" s="46"/>
      <c r="AN136" s="46"/>
    </row>
    <row r="137" spans="3:40">
      <c r="F137" s="45"/>
      <c r="H137" s="50"/>
      <c r="I137" s="50"/>
      <c r="J137" s="326"/>
      <c r="K137" s="326"/>
      <c r="L137" s="50"/>
      <c r="M137" s="50"/>
      <c r="N137" s="50"/>
      <c r="O137" s="50"/>
      <c r="P137" s="50"/>
      <c r="Q137" s="50"/>
      <c r="R137" s="50"/>
      <c r="V137" s="45"/>
      <c r="Y137" s="50"/>
      <c r="Z137" s="326"/>
      <c r="AA137" s="50"/>
      <c r="AB137" s="50"/>
      <c r="AC137" s="50"/>
      <c r="AD137" s="50"/>
      <c r="AE137" s="50"/>
      <c r="AF137" s="50"/>
      <c r="AI137" s="50"/>
      <c r="AJ137" s="50"/>
      <c r="AK137" s="111"/>
      <c r="AL137" s="50"/>
      <c r="AM137" s="46"/>
      <c r="AN137" s="46"/>
    </row>
    <row r="138" spans="3:40">
      <c r="F138" s="45"/>
      <c r="H138" s="45"/>
      <c r="I138" s="45"/>
      <c r="J138" s="326"/>
      <c r="K138" s="326"/>
      <c r="L138" s="45"/>
      <c r="M138" s="45"/>
      <c r="N138" s="45"/>
      <c r="O138" s="45"/>
      <c r="P138" s="45"/>
      <c r="Q138" s="45"/>
      <c r="R138" s="45"/>
      <c r="V138" s="45"/>
      <c r="Y138" s="45"/>
      <c r="Z138" s="326"/>
      <c r="AA138" s="45"/>
      <c r="AB138" s="45"/>
      <c r="AC138" s="45"/>
      <c r="AD138" s="45"/>
      <c r="AE138" s="45"/>
      <c r="AF138" s="45"/>
      <c r="AH138" s="51"/>
      <c r="AI138" s="45"/>
      <c r="AJ138" s="45"/>
      <c r="AL138" s="45"/>
      <c r="AM138" s="46"/>
      <c r="AN138" s="46"/>
    </row>
    <row r="139" spans="3:40">
      <c r="C139" s="42"/>
      <c r="F139" s="164"/>
      <c r="H139" s="164"/>
      <c r="I139" s="164"/>
      <c r="J139" s="331"/>
      <c r="K139" s="331"/>
      <c r="L139" s="45"/>
      <c r="M139" s="45"/>
      <c r="N139" s="46"/>
      <c r="O139" s="46"/>
      <c r="P139" s="164"/>
      <c r="Q139" s="164"/>
      <c r="R139" s="45"/>
      <c r="T139" s="42"/>
      <c r="V139" s="164"/>
      <c r="Y139" s="164"/>
      <c r="Z139" s="336"/>
      <c r="AA139" s="45"/>
      <c r="AB139" s="45"/>
      <c r="AC139" s="46"/>
      <c r="AD139" s="46"/>
      <c r="AE139" s="45"/>
      <c r="AF139" s="45"/>
      <c r="AH139" s="51"/>
      <c r="AI139" s="164"/>
      <c r="AJ139" s="164"/>
      <c r="AL139" s="45"/>
      <c r="AM139" s="46"/>
      <c r="AN139" s="46"/>
    </row>
    <row r="140" spans="3:40">
      <c r="C140" s="42"/>
      <c r="F140" s="164"/>
      <c r="H140" s="164"/>
      <c r="I140" s="164"/>
      <c r="J140" s="331"/>
      <c r="K140" s="331"/>
      <c r="L140" s="45"/>
      <c r="M140" s="45"/>
      <c r="N140" s="46"/>
      <c r="O140" s="46"/>
      <c r="P140" s="164"/>
      <c r="Q140" s="164"/>
      <c r="R140" s="45"/>
      <c r="T140" s="42"/>
      <c r="V140" s="164"/>
      <c r="Y140" s="45"/>
      <c r="Z140" s="325"/>
      <c r="AA140" s="45"/>
      <c r="AB140" s="45"/>
      <c r="AC140" s="46"/>
      <c r="AD140" s="46"/>
      <c r="AE140" s="45"/>
      <c r="AF140" s="45"/>
      <c r="AH140" s="51"/>
      <c r="AI140" s="164"/>
      <c r="AJ140" s="164"/>
      <c r="AL140" s="45"/>
      <c r="AM140" s="46"/>
      <c r="AN140" s="46"/>
    </row>
    <row r="141" spans="3:40">
      <c r="C141" s="42"/>
      <c r="F141" s="164"/>
      <c r="H141" s="164"/>
      <c r="I141" s="164"/>
      <c r="J141" s="331"/>
      <c r="K141" s="331"/>
      <c r="L141" s="45"/>
      <c r="M141" s="45"/>
      <c r="N141" s="46"/>
      <c r="O141" s="46"/>
      <c r="P141" s="164"/>
      <c r="Q141" s="164"/>
      <c r="R141" s="45"/>
      <c r="T141" s="42"/>
      <c r="V141" s="164"/>
      <c r="Y141" s="45"/>
      <c r="Z141" s="325"/>
      <c r="AA141" s="45"/>
      <c r="AB141" s="45"/>
      <c r="AC141" s="46"/>
      <c r="AD141" s="46"/>
      <c r="AE141" s="45"/>
      <c r="AF141" s="45"/>
      <c r="AH141" s="51"/>
      <c r="AI141" s="164"/>
      <c r="AJ141" s="164"/>
      <c r="AL141" s="45"/>
      <c r="AM141" s="46"/>
      <c r="AN141" s="46"/>
    </row>
    <row r="142" spans="3:40">
      <c r="F142" s="50"/>
      <c r="H142" s="50"/>
      <c r="I142" s="50"/>
      <c r="J142" s="326"/>
      <c r="K142" s="326"/>
      <c r="L142" s="50"/>
      <c r="M142" s="50"/>
      <c r="N142" s="50"/>
      <c r="O142" s="50"/>
      <c r="P142" s="50"/>
      <c r="Q142" s="50"/>
      <c r="R142" s="50"/>
      <c r="V142" s="50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>
      <c r="C143" s="42"/>
      <c r="F143" s="45"/>
      <c r="H143" s="45"/>
      <c r="I143" s="45"/>
      <c r="J143" s="47"/>
      <c r="K143" s="47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47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>
      <c r="F144" s="50"/>
      <c r="H144" s="50"/>
      <c r="I144" s="50"/>
      <c r="J144" s="326"/>
      <c r="K144" s="326"/>
      <c r="L144" s="50"/>
      <c r="M144" s="50"/>
      <c r="N144" s="50"/>
      <c r="O144" s="50"/>
      <c r="P144" s="50"/>
      <c r="Q144" s="50"/>
      <c r="R144" s="50"/>
      <c r="V144" s="50"/>
      <c r="Y144" s="50"/>
      <c r="Z144" s="326"/>
      <c r="AA144" s="50"/>
      <c r="AB144" s="50"/>
      <c r="AC144" s="50"/>
      <c r="AD144" s="50"/>
      <c r="AE144" s="50"/>
      <c r="AF144" s="50"/>
      <c r="AI144" s="50"/>
      <c r="AJ144" s="50"/>
      <c r="AK144" s="111"/>
      <c r="AL144" s="50"/>
      <c r="AM144" s="46"/>
      <c r="AN144" s="46"/>
    </row>
    <row r="145" spans="1:40">
      <c r="C145" s="42"/>
      <c r="F145" s="45"/>
      <c r="H145" s="45"/>
      <c r="I145" s="45"/>
      <c r="J145" s="47"/>
      <c r="K145" s="47"/>
      <c r="L145" s="45"/>
      <c r="M145" s="45"/>
      <c r="N145" s="46"/>
      <c r="O145" s="46"/>
      <c r="P145" s="45"/>
      <c r="Q145" s="45"/>
      <c r="R145" s="45"/>
      <c r="T145" s="42"/>
      <c r="V145" s="45"/>
      <c r="Y145" s="45"/>
      <c r="Z145" s="47"/>
      <c r="AA145" s="45"/>
      <c r="AB145" s="45"/>
      <c r="AC145" s="46"/>
      <c r="AD145" s="46"/>
      <c r="AE145" s="45"/>
      <c r="AF145" s="45"/>
      <c r="AH145" s="51"/>
      <c r="AI145" s="45"/>
      <c r="AJ145" s="45"/>
      <c r="AL145" s="45"/>
      <c r="AM145" s="46"/>
      <c r="AN145" s="46"/>
    </row>
    <row r="146" spans="1:40">
      <c r="C146" s="42"/>
      <c r="F146" s="45"/>
      <c r="H146" s="45"/>
      <c r="I146" s="45"/>
      <c r="J146" s="47"/>
      <c r="K146" s="47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1:40">
      <c r="F147" s="50"/>
      <c r="H147" s="50"/>
      <c r="I147" s="50"/>
      <c r="J147" s="326"/>
      <c r="K147" s="326"/>
      <c r="L147" s="50"/>
      <c r="M147" s="50"/>
      <c r="N147" s="50"/>
      <c r="O147" s="50"/>
      <c r="P147" s="50"/>
      <c r="Q147" s="50"/>
      <c r="R147" s="50"/>
      <c r="V147" s="50"/>
      <c r="Y147" s="50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5"/>
      <c r="AN147" s="45"/>
    </row>
    <row r="148" spans="1:40">
      <c r="F148" s="45"/>
      <c r="H148" s="45"/>
      <c r="I148" s="45"/>
      <c r="J148" s="47"/>
      <c r="K148" s="47"/>
      <c r="L148" s="45"/>
      <c r="M148" s="45"/>
      <c r="N148" s="45"/>
      <c r="O148" s="45"/>
      <c r="P148" s="45"/>
      <c r="Q148" s="45"/>
      <c r="R148" s="45"/>
      <c r="V148" s="45"/>
      <c r="Y148" s="45"/>
      <c r="Z148" s="47"/>
      <c r="AA148" s="45"/>
      <c r="AB148" s="45"/>
      <c r="AC148" s="45"/>
      <c r="AD148" s="45"/>
    </row>
    <row r="149" spans="1:40">
      <c r="C149" s="42"/>
      <c r="F149" s="45"/>
      <c r="H149" s="45"/>
      <c r="I149" s="45"/>
      <c r="J149" s="47"/>
      <c r="K149" s="47"/>
      <c r="L149" s="45"/>
      <c r="M149" s="45"/>
      <c r="N149" s="45"/>
      <c r="O149" s="45"/>
      <c r="P149" s="45"/>
      <c r="Q149" s="45"/>
      <c r="R149" s="45"/>
      <c r="T149" s="42"/>
      <c r="V149" s="45"/>
      <c r="Y149" s="45"/>
      <c r="Z149" s="47"/>
      <c r="AA149" s="45"/>
      <c r="AB149" s="45"/>
      <c r="AC149" s="45"/>
      <c r="AD149" s="45"/>
    </row>
    <row r="150" spans="1:40">
      <c r="A150" s="42"/>
    </row>
    <row r="152" spans="1:40">
      <c r="H152" s="42"/>
      <c r="I152" s="42"/>
      <c r="Y152" s="42"/>
    </row>
    <row r="154" spans="1:40">
      <c r="L154" s="42"/>
      <c r="M154" s="42"/>
      <c r="AA154" s="42"/>
      <c r="AB154" s="42"/>
    </row>
    <row r="155" spans="1:40">
      <c r="R155" s="42"/>
      <c r="AK155" s="110"/>
      <c r="AL155" s="42"/>
    </row>
    <row r="156" spans="1:40">
      <c r="R156" s="42"/>
      <c r="AK156" s="110"/>
      <c r="AL156" s="42"/>
    </row>
    <row r="157" spans="1:40">
      <c r="A157" s="42"/>
      <c r="R157" s="42"/>
      <c r="AK157" s="110"/>
      <c r="AL157" s="42"/>
    </row>
    <row r="158" spans="1:40">
      <c r="L158" s="42"/>
      <c r="M158" s="42"/>
      <c r="AA158" s="42"/>
      <c r="AB158" s="42"/>
    </row>
    <row r="159" spans="1:40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107"/>
      <c r="AH159" s="49"/>
      <c r="AI159" s="49"/>
      <c r="AJ159" s="49"/>
      <c r="AK159" s="107"/>
      <c r="AL159" s="49"/>
      <c r="AM159" s="49"/>
      <c r="AN159" s="49"/>
    </row>
    <row r="160" spans="1:40">
      <c r="L160" s="44"/>
      <c r="M160" s="44"/>
      <c r="N160" s="44"/>
      <c r="O160" s="44"/>
      <c r="R160" s="44"/>
      <c r="AA160" s="44"/>
      <c r="AB160" s="44"/>
      <c r="AC160" s="44"/>
      <c r="AD160" s="44"/>
      <c r="AE160" s="44"/>
      <c r="AF160" s="44"/>
      <c r="AG160" s="102"/>
      <c r="AH160" s="44"/>
      <c r="AK160" s="102"/>
      <c r="AL160" s="44"/>
      <c r="AM160" s="44"/>
      <c r="AN160" s="44"/>
    </row>
    <row r="161" spans="1:40">
      <c r="L161" s="44"/>
      <c r="M161" s="44"/>
      <c r="N161" s="44"/>
      <c r="O161" s="44"/>
      <c r="R161" s="44"/>
      <c r="Z161" s="44"/>
      <c r="AA161" s="44"/>
      <c r="AB161" s="44"/>
      <c r="AC161" s="44"/>
      <c r="AD161" s="44"/>
      <c r="AE161" s="44"/>
      <c r="AF161" s="44"/>
      <c r="AG161" s="102"/>
      <c r="AH161" s="44"/>
      <c r="AK161" s="102"/>
      <c r="AL161" s="44"/>
      <c r="AM161" s="44"/>
      <c r="AN161" s="44"/>
    </row>
    <row r="162" spans="1:40">
      <c r="A162" s="44"/>
      <c r="C162" s="44"/>
      <c r="D162" s="44"/>
      <c r="E162" s="44"/>
      <c r="F162" s="44"/>
      <c r="J162" s="44"/>
      <c r="K162" s="44"/>
      <c r="L162" s="44"/>
      <c r="M162" s="44"/>
      <c r="N162" s="44"/>
      <c r="O162" s="44"/>
      <c r="P162" s="44"/>
      <c r="Q162" s="44"/>
      <c r="R162" s="44"/>
      <c r="T162" s="44"/>
      <c r="U162" s="44"/>
      <c r="V162" s="44"/>
      <c r="Z162" s="44"/>
      <c r="AA162" s="44"/>
      <c r="AB162" s="44"/>
      <c r="AC162" s="44"/>
      <c r="AD162" s="44"/>
      <c r="AE162" s="44"/>
      <c r="AF162" s="44"/>
      <c r="AG162" s="102"/>
      <c r="AH162" s="44"/>
      <c r="AI162" s="44"/>
      <c r="AJ162" s="44"/>
      <c r="AK162" s="102"/>
      <c r="AL162" s="44"/>
      <c r="AM162" s="44"/>
      <c r="AN162" s="44"/>
    </row>
    <row r="163" spans="1:40">
      <c r="A163" s="44"/>
      <c r="C163" s="44"/>
      <c r="D163" s="44"/>
      <c r="E163" s="44"/>
      <c r="F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T163" s="44"/>
      <c r="U163" s="44"/>
      <c r="V163" s="44"/>
      <c r="Y163" s="44"/>
      <c r="Z163" s="44"/>
      <c r="AA163" s="44"/>
      <c r="AB163" s="44"/>
      <c r="AC163" s="44"/>
      <c r="AD163" s="44"/>
      <c r="AE163" s="44"/>
      <c r="AF163" s="44"/>
      <c r="AG163" s="102"/>
      <c r="AH163" s="44"/>
      <c r="AI163" s="44"/>
      <c r="AJ163" s="44"/>
      <c r="AK163" s="102"/>
      <c r="AL163" s="44"/>
      <c r="AM163" s="44"/>
      <c r="AN163" s="44"/>
    </row>
    <row r="164" spans="1:40">
      <c r="C164" s="44"/>
      <c r="D164" s="44"/>
      <c r="E164" s="44"/>
      <c r="F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T164" s="44"/>
      <c r="U164" s="44"/>
      <c r="V164" s="44"/>
      <c r="Y164" s="44"/>
      <c r="Z164" s="44"/>
      <c r="AA164" s="44"/>
      <c r="AB164" s="44"/>
      <c r="AC164" s="44"/>
      <c r="AD164" s="44"/>
      <c r="AE164" s="44"/>
      <c r="AF164" s="44"/>
      <c r="AG164" s="102"/>
      <c r="AH164" s="44"/>
      <c r="AI164" s="44"/>
      <c r="AJ164" s="44"/>
      <c r="AK164" s="102"/>
      <c r="AL164" s="44"/>
      <c r="AM164" s="44"/>
      <c r="AN164" s="44"/>
    </row>
    <row r="165" spans="1:40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107"/>
      <c r="AH165" s="49"/>
      <c r="AI165" s="49"/>
      <c r="AJ165" s="49"/>
      <c r="AK165" s="107"/>
      <c r="AL165" s="49"/>
      <c r="AM165" s="49"/>
      <c r="AN165" s="49"/>
    </row>
    <row r="166" spans="1:40"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Y166" s="44"/>
      <c r="Z166" s="44"/>
      <c r="AA166" s="44"/>
      <c r="AB166" s="44"/>
      <c r="AC166" s="44"/>
      <c r="AD166" s="44"/>
      <c r="AE166" s="44"/>
      <c r="AF166" s="44"/>
      <c r="AG166" s="102"/>
      <c r="AH166" s="44"/>
      <c r="AI166" s="44"/>
      <c r="AJ166" s="44"/>
      <c r="AK166" s="102"/>
      <c r="AL166" s="44"/>
      <c r="AM166" s="44"/>
      <c r="AN166" s="44"/>
    </row>
    <row r="167" spans="1:40">
      <c r="C167" s="42"/>
      <c r="D167" s="42"/>
      <c r="E167" s="42"/>
      <c r="T167" s="42"/>
      <c r="U167" s="42"/>
    </row>
    <row r="169" spans="1:40">
      <c r="C169" s="42"/>
      <c r="F169" s="164"/>
      <c r="H169" s="329"/>
      <c r="I169" s="329"/>
      <c r="J169" s="316"/>
      <c r="K169" s="316"/>
      <c r="L169" s="45"/>
      <c r="M169" s="45"/>
      <c r="R169" s="45"/>
      <c r="T169" s="42"/>
      <c r="V169" s="45"/>
      <c r="Z169" s="316"/>
      <c r="AA169" s="45"/>
      <c r="AB169" s="45"/>
      <c r="AE169" s="45"/>
      <c r="AF169" s="45"/>
      <c r="AG169" s="333"/>
      <c r="AH169" s="334"/>
      <c r="AI169" s="45"/>
      <c r="AJ169" s="45"/>
      <c r="AL169" s="45"/>
      <c r="AM169" s="335"/>
      <c r="AN169" s="335"/>
    </row>
    <row r="170" spans="1:40">
      <c r="F170" s="164"/>
      <c r="H170" s="329"/>
      <c r="I170" s="329"/>
      <c r="J170" s="329"/>
      <c r="K170" s="329"/>
      <c r="R170" s="45"/>
      <c r="V170" s="45"/>
      <c r="Z170" s="329"/>
    </row>
    <row r="171" spans="1:40">
      <c r="C171" s="42"/>
      <c r="F171" s="164"/>
      <c r="H171" s="164"/>
      <c r="I171" s="164"/>
      <c r="J171" s="331"/>
      <c r="K171" s="331"/>
      <c r="L171" s="45"/>
      <c r="M171" s="45"/>
      <c r="N171" s="46"/>
      <c r="O171" s="46"/>
      <c r="P171" s="164"/>
      <c r="Q171" s="164"/>
      <c r="R171" s="45"/>
      <c r="T171" s="42"/>
      <c r="V171" s="45"/>
      <c r="Y171" s="45"/>
      <c r="Z171" s="325"/>
      <c r="AA171" s="45"/>
      <c r="AB171" s="45"/>
      <c r="AC171" s="46"/>
      <c r="AD171" s="46"/>
      <c r="AE171" s="45"/>
      <c r="AF171" s="45"/>
      <c r="AH171" s="51"/>
      <c r="AI171" s="164"/>
      <c r="AJ171" s="164"/>
      <c r="AL171" s="45"/>
      <c r="AM171" s="46"/>
      <c r="AN171" s="46"/>
    </row>
    <row r="172" spans="1:40">
      <c r="F172" s="50"/>
      <c r="H172" s="50"/>
      <c r="I172" s="50"/>
      <c r="J172" s="326"/>
      <c r="K172" s="326"/>
      <c r="L172" s="50"/>
      <c r="M172" s="50"/>
      <c r="N172" s="50"/>
      <c r="O172" s="50"/>
      <c r="P172" s="50"/>
      <c r="Q172" s="50"/>
      <c r="R172" s="50"/>
      <c r="V172" s="50"/>
      <c r="Y172" s="50"/>
      <c r="Z172" s="326"/>
      <c r="AA172" s="50"/>
      <c r="AB172" s="50"/>
      <c r="AC172" s="50"/>
      <c r="AD172" s="50"/>
      <c r="AE172" s="50"/>
      <c r="AF172" s="50"/>
      <c r="AI172" s="50"/>
      <c r="AJ172" s="50"/>
      <c r="AK172" s="111"/>
      <c r="AL172" s="50"/>
    </row>
    <row r="173" spans="1:40">
      <c r="D173" s="42"/>
      <c r="E173" s="42"/>
      <c r="F173" s="45"/>
      <c r="H173" s="45"/>
      <c r="I173" s="45"/>
      <c r="J173" s="47"/>
      <c r="K173" s="47"/>
      <c r="L173" s="45"/>
      <c r="M173" s="45"/>
      <c r="N173" s="46"/>
      <c r="O173" s="46"/>
      <c r="P173" s="45"/>
      <c r="Q173" s="45"/>
      <c r="R173" s="45"/>
      <c r="U173" s="42"/>
      <c r="V173" s="45"/>
      <c r="Y173" s="45"/>
      <c r="Z173" s="47"/>
      <c r="AA173" s="45"/>
      <c r="AB173" s="45"/>
      <c r="AC173" s="46"/>
      <c r="AD173" s="46"/>
      <c r="AE173" s="45"/>
      <c r="AF173" s="45"/>
      <c r="AH173" s="51"/>
      <c r="AI173" s="45"/>
      <c r="AJ173" s="45"/>
      <c r="AL173" s="45"/>
      <c r="AM173" s="46"/>
      <c r="AN173" s="46"/>
    </row>
    <row r="174" spans="1:40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V174" s="50"/>
      <c r="Y174" s="50"/>
      <c r="Z174" s="326"/>
      <c r="AA174" s="50"/>
      <c r="AB174" s="50"/>
      <c r="AC174" s="50"/>
      <c r="AD174" s="50"/>
      <c r="AE174" s="50"/>
      <c r="AF174" s="50"/>
      <c r="AI174" s="50"/>
      <c r="AJ174" s="50"/>
      <c r="AK174" s="111"/>
      <c r="AL174" s="50"/>
    </row>
    <row r="175" spans="1:40">
      <c r="R175" s="45"/>
    </row>
    <row r="176" spans="1:40">
      <c r="R176" s="45"/>
    </row>
    <row r="177" spans="1:40">
      <c r="R177" s="45"/>
    </row>
    <row r="178" spans="1:40">
      <c r="C178" s="42"/>
      <c r="D178" s="42"/>
      <c r="E178" s="42"/>
      <c r="H178" s="45"/>
      <c r="I178" s="45"/>
      <c r="J178" s="47"/>
      <c r="K178" s="47"/>
      <c r="L178" s="45"/>
      <c r="M178" s="45"/>
      <c r="N178" s="46"/>
      <c r="O178" s="46"/>
      <c r="P178" s="45"/>
      <c r="Q178" s="45"/>
      <c r="R178" s="45"/>
      <c r="T178" s="42"/>
      <c r="U178" s="42"/>
      <c r="Y178" s="45"/>
      <c r="Z178" s="47"/>
      <c r="AA178" s="45"/>
      <c r="AB178" s="45"/>
      <c r="AC178" s="46"/>
      <c r="AD178" s="46"/>
    </row>
    <row r="179" spans="1:40">
      <c r="H179" s="45"/>
      <c r="I179" s="45"/>
      <c r="J179" s="47"/>
      <c r="K179" s="47"/>
      <c r="L179" s="45"/>
      <c r="M179" s="45"/>
      <c r="N179" s="46"/>
      <c r="O179" s="46"/>
      <c r="P179" s="45"/>
      <c r="Q179" s="45"/>
      <c r="R179" s="45"/>
      <c r="Y179" s="45"/>
      <c r="Z179" s="47"/>
      <c r="AA179" s="45"/>
      <c r="AB179" s="45"/>
      <c r="AC179" s="46"/>
      <c r="AD179" s="46"/>
    </row>
    <row r="180" spans="1:40">
      <c r="C180" s="42"/>
      <c r="F180" s="164"/>
      <c r="H180" s="164"/>
      <c r="I180" s="164"/>
      <c r="J180" s="52"/>
      <c r="K180" s="52"/>
      <c r="L180" s="164"/>
      <c r="M180" s="164"/>
      <c r="N180" s="46"/>
      <c r="O180" s="46"/>
      <c r="P180" s="45"/>
      <c r="Q180" s="45"/>
      <c r="R180" s="45"/>
      <c r="T180" s="42"/>
      <c r="V180" s="45"/>
      <c r="Y180" s="45"/>
      <c r="Z180" s="52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1:40">
      <c r="F181" s="164"/>
      <c r="H181" s="329"/>
      <c r="I181" s="329"/>
      <c r="J181" s="329"/>
      <c r="K181" s="329"/>
      <c r="R181" s="45"/>
      <c r="V181" s="45"/>
      <c r="Z181" s="329"/>
    </row>
    <row r="182" spans="1:40">
      <c r="C182" s="42"/>
      <c r="F182" s="164"/>
      <c r="H182" s="164"/>
      <c r="I182" s="164"/>
      <c r="J182" s="316"/>
      <c r="K182" s="316"/>
      <c r="L182" s="45"/>
      <c r="M182" s="45"/>
      <c r="N182" s="46"/>
      <c r="O182" s="46"/>
      <c r="P182" s="45"/>
      <c r="Q182" s="45"/>
      <c r="R182" s="45"/>
      <c r="T182" s="42"/>
      <c r="V182" s="45"/>
      <c r="Y182" s="45"/>
      <c r="Z182" s="316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1:40">
      <c r="F183" s="164"/>
      <c r="H183" s="329"/>
      <c r="I183" s="329"/>
      <c r="J183" s="329"/>
      <c r="K183" s="329"/>
      <c r="R183" s="45"/>
      <c r="V183" s="45"/>
      <c r="Z183" s="329"/>
    </row>
    <row r="184" spans="1:40">
      <c r="C184" s="42"/>
      <c r="F184" s="164"/>
      <c r="H184" s="164"/>
      <c r="I184" s="164"/>
      <c r="J184" s="331"/>
      <c r="K184" s="331"/>
      <c r="L184" s="45"/>
      <c r="M184" s="45"/>
      <c r="N184" s="46"/>
      <c r="O184" s="46"/>
      <c r="P184" s="45"/>
      <c r="Q184" s="45"/>
      <c r="R184" s="45"/>
      <c r="T184" s="42"/>
      <c r="V184" s="45"/>
      <c r="Y184" s="45"/>
      <c r="Z184" s="325"/>
      <c r="AA184" s="45"/>
      <c r="AB184" s="45"/>
      <c r="AC184" s="46"/>
      <c r="AD184" s="46"/>
      <c r="AE184" s="45"/>
      <c r="AF184" s="45"/>
      <c r="AH184" s="51"/>
      <c r="AI184" s="45"/>
      <c r="AJ184" s="45"/>
      <c r="AL184" s="45"/>
      <c r="AM184" s="46"/>
      <c r="AN184" s="46"/>
    </row>
    <row r="185" spans="1:40">
      <c r="F185" s="50"/>
      <c r="H185" s="50"/>
      <c r="I185" s="50"/>
      <c r="J185" s="326"/>
      <c r="K185" s="326"/>
      <c r="L185" s="50"/>
      <c r="M185" s="50"/>
      <c r="N185" s="50"/>
      <c r="O185" s="50"/>
      <c r="P185" s="50"/>
      <c r="Q185" s="50"/>
      <c r="R185" s="50"/>
      <c r="S185" s="45"/>
      <c r="V185" s="50"/>
      <c r="Y185" s="50"/>
      <c r="Z185" s="326"/>
      <c r="AA185" s="50"/>
      <c r="AB185" s="50"/>
      <c r="AC185" s="50"/>
      <c r="AD185" s="50"/>
      <c r="AE185" s="50"/>
      <c r="AF185" s="50"/>
      <c r="AI185" s="50"/>
      <c r="AJ185" s="50"/>
      <c r="AK185" s="111"/>
      <c r="AL185" s="50"/>
    </row>
    <row r="186" spans="1:40">
      <c r="D186" s="42"/>
      <c r="E186" s="42"/>
      <c r="F186" s="45"/>
      <c r="H186" s="45"/>
      <c r="I186" s="45"/>
      <c r="J186" s="47"/>
      <c r="K186" s="47"/>
      <c r="L186" s="45"/>
      <c r="M186" s="45"/>
      <c r="N186" s="46"/>
      <c r="O186" s="46"/>
      <c r="P186" s="164"/>
      <c r="Q186" s="164"/>
      <c r="R186" s="45"/>
      <c r="S186" s="45"/>
      <c r="U186" s="42"/>
      <c r="V186" s="45"/>
      <c r="Y186" s="45"/>
      <c r="Z186" s="47"/>
      <c r="AA186" s="45"/>
      <c r="AB186" s="45"/>
      <c r="AC186" s="46"/>
      <c r="AD186" s="46"/>
      <c r="AE186" s="45"/>
      <c r="AF186" s="45"/>
      <c r="AH186" s="51"/>
      <c r="AI186" s="164"/>
      <c r="AJ186" s="164"/>
      <c r="AL186" s="45"/>
      <c r="AM186" s="46"/>
      <c r="AN186" s="46"/>
    </row>
    <row r="187" spans="1:40">
      <c r="F187" s="50"/>
      <c r="H187" s="50"/>
      <c r="I187" s="50"/>
      <c r="J187" s="326"/>
      <c r="K187" s="326"/>
      <c r="L187" s="50"/>
      <c r="M187" s="50"/>
      <c r="N187" s="50"/>
      <c r="O187" s="50"/>
      <c r="P187" s="50"/>
      <c r="Q187" s="50"/>
      <c r="R187" s="50"/>
      <c r="S187" s="45"/>
      <c r="V187" s="50"/>
      <c r="Y187" s="50"/>
      <c r="Z187" s="326"/>
      <c r="AA187" s="50"/>
      <c r="AB187" s="50"/>
      <c r="AC187" s="50"/>
      <c r="AD187" s="50"/>
      <c r="AE187" s="50"/>
      <c r="AF187" s="50"/>
      <c r="AI187" s="50"/>
      <c r="AJ187" s="50"/>
      <c r="AK187" s="111"/>
      <c r="AL187" s="50"/>
    </row>
    <row r="188" spans="1:40">
      <c r="R188" s="45"/>
    </row>
    <row r="189" spans="1:40">
      <c r="F189" s="45"/>
      <c r="H189" s="45"/>
      <c r="I189" s="45"/>
      <c r="J189" s="47"/>
      <c r="K189" s="47"/>
      <c r="L189" s="45"/>
      <c r="M189" s="45"/>
      <c r="N189" s="45"/>
      <c r="O189" s="45"/>
      <c r="P189" s="45"/>
      <c r="Q189" s="45"/>
      <c r="R189" s="45"/>
      <c r="V189" s="45"/>
      <c r="Y189" s="45"/>
      <c r="Z189" s="47"/>
      <c r="AA189" s="45"/>
      <c r="AB189" s="45"/>
      <c r="AC189" s="45"/>
      <c r="AD189" s="45"/>
    </row>
    <row r="190" spans="1:40">
      <c r="C190" s="42"/>
      <c r="F190" s="45"/>
      <c r="H190" s="45"/>
      <c r="I190" s="45"/>
      <c r="J190" s="47"/>
      <c r="K190" s="47"/>
      <c r="L190" s="45"/>
      <c r="M190" s="45"/>
      <c r="N190" s="45"/>
      <c r="O190" s="45"/>
      <c r="P190" s="45"/>
      <c r="Q190" s="45"/>
      <c r="R190" s="45"/>
      <c r="T190" s="42"/>
      <c r="V190" s="45"/>
      <c r="Y190" s="45"/>
      <c r="Z190" s="47"/>
      <c r="AA190" s="45"/>
      <c r="AB190" s="45"/>
      <c r="AC190" s="45"/>
      <c r="AD190" s="45"/>
    </row>
    <row r="191" spans="1:40">
      <c r="C191" s="42"/>
      <c r="T191" s="42"/>
    </row>
    <row r="192" spans="1:40">
      <c r="A192" s="42"/>
    </row>
    <row r="195" spans="1:40">
      <c r="H195" s="42"/>
      <c r="I195" s="42"/>
      <c r="Y195" s="42"/>
    </row>
    <row r="197" spans="1:40">
      <c r="L197" s="42"/>
      <c r="M197" s="42"/>
      <c r="AA197" s="42"/>
      <c r="AB197" s="42"/>
    </row>
    <row r="198" spans="1:40">
      <c r="R198" s="42"/>
      <c r="AK198" s="110"/>
      <c r="AL198" s="42"/>
    </row>
    <row r="199" spans="1:40">
      <c r="R199" s="42"/>
      <c r="AK199" s="110"/>
      <c r="AL199" s="42"/>
    </row>
    <row r="200" spans="1:40">
      <c r="A200" s="42"/>
      <c r="R200" s="42"/>
      <c r="AK200" s="110"/>
      <c r="AL200" s="42"/>
    </row>
    <row r="201" spans="1:40">
      <c r="L201" s="42"/>
      <c r="M201" s="42"/>
      <c r="AA201" s="42"/>
      <c r="AB201" s="42"/>
    </row>
    <row r="202" spans="1:40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107"/>
      <c r="AH202" s="49"/>
      <c r="AI202" s="49"/>
      <c r="AJ202" s="49"/>
      <c r="AK202" s="107"/>
      <c r="AL202" s="49"/>
      <c r="AM202" s="49"/>
      <c r="AN202" s="49"/>
    </row>
    <row r="203" spans="1:40">
      <c r="L203" s="44"/>
      <c r="M203" s="44"/>
      <c r="N203" s="44"/>
      <c r="O203" s="44"/>
      <c r="R203" s="44"/>
      <c r="AA203" s="44"/>
      <c r="AB203" s="44"/>
      <c r="AC203" s="44"/>
      <c r="AD203" s="44"/>
      <c r="AE203" s="44"/>
      <c r="AF203" s="44"/>
      <c r="AG203" s="102"/>
      <c r="AH203" s="44"/>
      <c r="AK203" s="102"/>
      <c r="AL203" s="44"/>
      <c r="AM203" s="44"/>
      <c r="AN203" s="44"/>
    </row>
    <row r="204" spans="1:40">
      <c r="L204" s="44"/>
      <c r="M204" s="44"/>
      <c r="N204" s="44"/>
      <c r="O204" s="44"/>
      <c r="R204" s="44"/>
      <c r="Z204" s="44"/>
      <c r="AA204" s="44"/>
      <c r="AB204" s="44"/>
      <c r="AC204" s="44"/>
      <c r="AD204" s="44"/>
      <c r="AE204" s="44"/>
      <c r="AF204" s="44"/>
      <c r="AG204" s="102"/>
      <c r="AH204" s="44"/>
      <c r="AK204" s="102"/>
      <c r="AL204" s="44"/>
      <c r="AM204" s="44"/>
      <c r="AN204" s="44"/>
    </row>
    <row r="205" spans="1:40">
      <c r="A205" s="44"/>
      <c r="C205" s="44"/>
      <c r="D205" s="44"/>
      <c r="E205" s="44"/>
      <c r="F205" s="44"/>
      <c r="J205" s="44"/>
      <c r="K205" s="44"/>
      <c r="L205" s="44"/>
      <c r="M205" s="44"/>
      <c r="N205" s="44"/>
      <c r="O205" s="44"/>
      <c r="P205" s="44"/>
      <c r="Q205" s="44"/>
      <c r="R205" s="44"/>
      <c r="T205" s="44"/>
      <c r="U205" s="44"/>
      <c r="V205" s="44"/>
      <c r="Z205" s="44"/>
      <c r="AA205" s="44"/>
      <c r="AB205" s="44"/>
      <c r="AC205" s="44"/>
      <c r="AD205" s="44"/>
      <c r="AE205" s="44"/>
      <c r="AF205" s="44"/>
      <c r="AG205" s="102"/>
      <c r="AH205" s="44"/>
      <c r="AI205" s="44"/>
      <c r="AJ205" s="44"/>
      <c r="AK205" s="102"/>
      <c r="AL205" s="44"/>
      <c r="AM205" s="44"/>
      <c r="AN205" s="44"/>
    </row>
    <row r="206" spans="1:40">
      <c r="A206" s="44"/>
      <c r="C206" s="44"/>
      <c r="D206" s="44"/>
      <c r="E206" s="44"/>
      <c r="F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T206" s="44"/>
      <c r="U206" s="44"/>
      <c r="V206" s="44"/>
      <c r="Y206" s="44"/>
      <c r="Z206" s="44"/>
      <c r="AA206" s="44"/>
      <c r="AB206" s="44"/>
      <c r="AC206" s="44"/>
      <c r="AD206" s="44"/>
      <c r="AE206" s="44"/>
      <c r="AF206" s="44"/>
      <c r="AG206" s="102"/>
      <c r="AH206" s="44"/>
      <c r="AI206" s="44"/>
      <c r="AJ206" s="44"/>
      <c r="AK206" s="102"/>
      <c r="AL206" s="44"/>
      <c r="AM206" s="44"/>
      <c r="AN206" s="44"/>
    </row>
    <row r="207" spans="1:40">
      <c r="C207" s="44"/>
      <c r="D207" s="44"/>
      <c r="E207" s="44"/>
      <c r="F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T207" s="44"/>
      <c r="U207" s="44"/>
      <c r="V207" s="44"/>
      <c r="Y207" s="44"/>
      <c r="Z207" s="44"/>
      <c r="AA207" s="44"/>
      <c r="AB207" s="44"/>
      <c r="AC207" s="44"/>
      <c r="AD207" s="44"/>
      <c r="AE207" s="44"/>
      <c r="AF207" s="44"/>
      <c r="AG207" s="102"/>
      <c r="AH207" s="44"/>
      <c r="AI207" s="44"/>
      <c r="AJ207" s="44"/>
      <c r="AK207" s="102"/>
      <c r="AL207" s="44"/>
      <c r="AM207" s="44"/>
      <c r="AN207" s="44"/>
    </row>
    <row r="208" spans="1:40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107"/>
      <c r="AH208" s="49"/>
      <c r="AI208" s="49"/>
      <c r="AJ208" s="49"/>
      <c r="AK208" s="107"/>
      <c r="AL208" s="49"/>
      <c r="AM208" s="49"/>
      <c r="AN208" s="49"/>
    </row>
    <row r="209" spans="3:40"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Y209" s="44"/>
      <c r="Z209" s="44"/>
      <c r="AA209" s="44"/>
      <c r="AB209" s="44"/>
      <c r="AC209" s="44"/>
      <c r="AD209" s="44"/>
      <c r="AE209" s="44"/>
      <c r="AF209" s="44"/>
      <c r="AG209" s="102"/>
      <c r="AH209" s="44"/>
      <c r="AI209" s="44"/>
      <c r="AJ209" s="44"/>
      <c r="AK209" s="102"/>
      <c r="AL209" s="44"/>
      <c r="AM209" s="44"/>
      <c r="AN209" s="44"/>
    </row>
    <row r="210" spans="3:40">
      <c r="C210" s="42"/>
      <c r="D210" s="42"/>
      <c r="E210" s="42"/>
      <c r="T210" s="42"/>
      <c r="U210" s="42"/>
    </row>
    <row r="211" spans="3:40">
      <c r="D211" s="42"/>
      <c r="E211" s="42"/>
      <c r="U211" s="42"/>
    </row>
    <row r="213" spans="3:40">
      <c r="C213" s="42"/>
      <c r="F213" s="45"/>
      <c r="J213" s="53"/>
      <c r="K213" s="53"/>
      <c r="L213" s="45"/>
      <c r="M213" s="45"/>
      <c r="R213" s="45"/>
      <c r="T213" s="42"/>
      <c r="V213" s="45"/>
      <c r="Z213" s="53"/>
      <c r="AA213" s="45"/>
      <c r="AB213" s="45"/>
      <c r="AL213" s="45"/>
    </row>
    <row r="214" spans="3:40">
      <c r="F214" s="45"/>
      <c r="R214" s="45"/>
      <c r="V214" s="45"/>
      <c r="AL214" s="45"/>
    </row>
    <row r="215" spans="3:40">
      <c r="C215" s="42"/>
      <c r="F215" s="164"/>
      <c r="H215" s="164"/>
      <c r="I215" s="164"/>
      <c r="J215" s="316"/>
      <c r="K215" s="316"/>
      <c r="L215" s="45"/>
      <c r="M215" s="45"/>
      <c r="N215" s="46"/>
      <c r="O215" s="46"/>
      <c r="P215" s="45"/>
      <c r="Q215" s="45"/>
      <c r="R215" s="45"/>
      <c r="T215" s="42"/>
      <c r="V215" s="45"/>
      <c r="Y215" s="45"/>
      <c r="Z215" s="316"/>
      <c r="AA215" s="45"/>
      <c r="AB215" s="45"/>
      <c r="AC215" s="46"/>
      <c r="AD215" s="46"/>
      <c r="AE215" s="45"/>
      <c r="AF215" s="45"/>
      <c r="AH215" s="51"/>
      <c r="AI215" s="45"/>
      <c r="AJ215" s="45"/>
      <c r="AL215" s="45"/>
      <c r="AM215" s="46"/>
      <c r="AN215" s="46"/>
    </row>
    <row r="216" spans="3:40">
      <c r="C216" s="42"/>
      <c r="F216" s="164"/>
      <c r="H216" s="329"/>
      <c r="I216" s="329"/>
      <c r="J216" s="316"/>
      <c r="K216" s="316"/>
      <c r="L216" s="45"/>
      <c r="M216" s="45"/>
      <c r="N216" s="46"/>
      <c r="O216" s="46"/>
      <c r="P216" s="45"/>
      <c r="Q216" s="45"/>
      <c r="R216" s="45"/>
      <c r="T216" s="42"/>
      <c r="V216" s="45"/>
      <c r="Y216" s="45"/>
      <c r="Z216" s="316"/>
      <c r="AA216" s="45"/>
      <c r="AB216" s="45"/>
      <c r="AC216" s="46"/>
      <c r="AD216" s="46"/>
      <c r="AE216" s="45"/>
      <c r="AF216" s="45"/>
      <c r="AH216" s="51"/>
      <c r="AI216" s="45"/>
      <c r="AJ216" s="45"/>
      <c r="AL216" s="45"/>
      <c r="AM216" s="46"/>
      <c r="AN216" s="46"/>
    </row>
    <row r="217" spans="3:40">
      <c r="F217" s="50"/>
      <c r="H217" s="45"/>
      <c r="I217" s="45"/>
      <c r="J217" s="326"/>
      <c r="K217" s="326"/>
      <c r="L217" s="50"/>
      <c r="M217" s="50"/>
      <c r="N217" s="50"/>
      <c r="O217" s="50"/>
      <c r="P217" s="50"/>
      <c r="Q217" s="50"/>
      <c r="R217" s="50"/>
      <c r="V217" s="50"/>
      <c r="Y217" s="45"/>
      <c r="Z217" s="326"/>
      <c r="AA217" s="50"/>
      <c r="AB217" s="50"/>
      <c r="AC217" s="50"/>
      <c r="AD217" s="50"/>
      <c r="AE217" s="50"/>
      <c r="AF217" s="50"/>
      <c r="AI217" s="50"/>
      <c r="AJ217" s="50"/>
      <c r="AK217" s="111"/>
      <c r="AL217" s="50"/>
    </row>
    <row r="218" spans="3:40">
      <c r="C218" s="42"/>
      <c r="F218" s="45"/>
      <c r="H218" s="45"/>
      <c r="I218" s="45"/>
      <c r="J218" s="47"/>
      <c r="K218" s="47"/>
      <c r="L218" s="45"/>
      <c r="M218" s="45"/>
      <c r="N218" s="46"/>
      <c r="O218" s="46"/>
      <c r="P218" s="45"/>
      <c r="Q218" s="45"/>
      <c r="R218" s="45"/>
      <c r="T218" s="42"/>
      <c r="V218" s="45"/>
      <c r="Y218" s="45"/>
      <c r="Z218" s="47"/>
      <c r="AA218" s="45"/>
      <c r="AB218" s="45"/>
      <c r="AC218" s="46"/>
      <c r="AD218" s="46"/>
      <c r="AE218" s="45"/>
      <c r="AF218" s="45"/>
      <c r="AH218" s="51"/>
      <c r="AI218" s="45"/>
      <c r="AJ218" s="45"/>
      <c r="AL218" s="45"/>
      <c r="AM218" s="46"/>
      <c r="AN218" s="46"/>
    </row>
    <row r="219" spans="3:40">
      <c r="F219" s="50"/>
      <c r="H219" s="45"/>
      <c r="I219" s="45"/>
      <c r="J219" s="326"/>
      <c r="K219" s="326"/>
      <c r="L219" s="50"/>
      <c r="M219" s="50"/>
      <c r="N219" s="50"/>
      <c r="O219" s="50"/>
      <c r="P219" s="50"/>
      <c r="Q219" s="50"/>
      <c r="R219" s="50"/>
      <c r="V219" s="50"/>
      <c r="Y219" s="45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</row>
    <row r="220" spans="3:40">
      <c r="F220" s="45"/>
      <c r="R220" s="45"/>
      <c r="V220" s="45"/>
      <c r="AL220" s="45"/>
    </row>
    <row r="221" spans="3:40">
      <c r="C221" s="42"/>
      <c r="F221" s="45"/>
      <c r="R221" s="45"/>
      <c r="T221" s="42"/>
      <c r="V221" s="45"/>
      <c r="AL221" s="45"/>
    </row>
    <row r="222" spans="3:40">
      <c r="F222" s="45"/>
      <c r="R222" s="45"/>
      <c r="V222" s="45"/>
      <c r="AL222" s="45"/>
    </row>
    <row r="223" spans="3:40">
      <c r="C223" s="42"/>
      <c r="F223" s="45"/>
      <c r="H223" s="164"/>
      <c r="I223" s="164"/>
      <c r="J223" s="331"/>
      <c r="K223" s="331"/>
      <c r="L223" s="45"/>
      <c r="M223" s="45"/>
      <c r="N223" s="46"/>
      <c r="O223" s="46"/>
      <c r="P223" s="164"/>
      <c r="Q223" s="164"/>
      <c r="R223" s="45"/>
      <c r="T223" s="42"/>
      <c r="V223" s="45"/>
      <c r="Y223" s="45"/>
      <c r="Z223" s="325"/>
      <c r="AA223" s="45"/>
      <c r="AB223" s="45"/>
      <c r="AC223" s="46"/>
      <c r="AD223" s="46"/>
      <c r="AE223" s="45"/>
      <c r="AF223" s="45"/>
      <c r="AH223" s="51"/>
      <c r="AI223" s="164"/>
      <c r="AJ223" s="164"/>
      <c r="AL223" s="45"/>
      <c r="AM223" s="46"/>
      <c r="AN223" s="46"/>
    </row>
    <row r="224" spans="3:40">
      <c r="H224" s="50"/>
      <c r="I224" s="50"/>
      <c r="J224" s="326"/>
      <c r="K224" s="326"/>
      <c r="L224" s="50"/>
      <c r="M224" s="50"/>
      <c r="N224" s="50"/>
      <c r="O224" s="50"/>
      <c r="P224" s="50"/>
      <c r="Q224" s="50"/>
      <c r="R224" s="50"/>
      <c r="V224" s="50"/>
      <c r="Y224" s="50"/>
      <c r="Z224" s="326"/>
      <c r="AA224" s="50"/>
      <c r="AB224" s="50"/>
      <c r="AC224" s="50"/>
      <c r="AD224" s="50"/>
      <c r="AE224" s="50"/>
      <c r="AF224" s="50"/>
      <c r="AI224" s="50"/>
      <c r="AJ224" s="50"/>
      <c r="AK224" s="111"/>
      <c r="AL224" s="50"/>
    </row>
    <row r="225" spans="1:40">
      <c r="F225" s="50"/>
    </row>
    <row r="226" spans="1:40">
      <c r="C226" s="42"/>
      <c r="F226" s="45"/>
      <c r="H226" s="45"/>
      <c r="I226" s="45"/>
      <c r="J226" s="53"/>
      <c r="K226" s="53"/>
      <c r="L226" s="45"/>
      <c r="M226" s="45"/>
      <c r="N226" s="46"/>
      <c r="O226" s="46"/>
      <c r="P226" s="45"/>
      <c r="Q226" s="45"/>
      <c r="R226" s="45"/>
      <c r="T226" s="42"/>
      <c r="V226" s="45"/>
      <c r="Y226" s="45"/>
      <c r="Z226" s="53"/>
      <c r="AA226" s="45"/>
      <c r="AB226" s="45"/>
      <c r="AC226" s="46"/>
      <c r="AD226" s="46"/>
      <c r="AE226" s="45"/>
      <c r="AF226" s="45"/>
      <c r="AH226" s="51"/>
      <c r="AI226" s="45"/>
      <c r="AJ226" s="45"/>
      <c r="AL226" s="45"/>
      <c r="AM226" s="46"/>
      <c r="AN226" s="46"/>
    </row>
    <row r="227" spans="1:40">
      <c r="F227" s="50"/>
      <c r="H227" s="50"/>
      <c r="I227" s="50"/>
      <c r="J227" s="326"/>
      <c r="K227" s="326"/>
      <c r="L227" s="50"/>
      <c r="M227" s="50"/>
      <c r="N227" s="50"/>
      <c r="O227" s="50"/>
      <c r="P227" s="50"/>
      <c r="Q227" s="50"/>
      <c r="R227" s="50"/>
      <c r="V227" s="50"/>
      <c r="Y227" s="50"/>
      <c r="Z227" s="326"/>
      <c r="AA227" s="50"/>
      <c r="AB227" s="50"/>
      <c r="AC227" s="50"/>
      <c r="AD227" s="50"/>
      <c r="AE227" s="50"/>
      <c r="AF227" s="50"/>
      <c r="AI227" s="50"/>
      <c r="AJ227" s="50"/>
      <c r="AK227" s="111"/>
      <c r="AL227" s="50"/>
    </row>
    <row r="228" spans="1:40">
      <c r="R228" s="45"/>
      <c r="AH228" s="45"/>
    </row>
    <row r="229" spans="1:40">
      <c r="F229" s="45"/>
      <c r="H229" s="45"/>
      <c r="I229" s="45"/>
      <c r="J229" s="47"/>
      <c r="K229" s="47"/>
      <c r="L229" s="45"/>
      <c r="M229" s="45"/>
      <c r="N229" s="45"/>
      <c r="O229" s="45"/>
      <c r="P229" s="45"/>
      <c r="Q229" s="45"/>
      <c r="R229" s="45"/>
      <c r="V229" s="45"/>
      <c r="Y229" s="45"/>
      <c r="Z229" s="47"/>
      <c r="AA229" s="45"/>
      <c r="AB229" s="45"/>
      <c r="AC229" s="45"/>
      <c r="AD229" s="45"/>
      <c r="AE229" s="45"/>
      <c r="AF229" s="45"/>
      <c r="AH229" s="45"/>
    </row>
    <row r="230" spans="1:40">
      <c r="C230" s="42"/>
      <c r="F230" s="45"/>
      <c r="H230" s="45"/>
      <c r="I230" s="45"/>
      <c r="J230" s="47"/>
      <c r="K230" s="47"/>
      <c r="L230" s="45"/>
      <c r="M230" s="45"/>
      <c r="N230" s="45"/>
      <c r="O230" s="45"/>
      <c r="P230" s="45"/>
      <c r="Q230" s="45"/>
      <c r="R230" s="45"/>
      <c r="T230" s="42"/>
      <c r="V230" s="45"/>
      <c r="Y230" s="45"/>
      <c r="Z230" s="47"/>
      <c r="AA230" s="45"/>
      <c r="AB230" s="45"/>
      <c r="AC230" s="45"/>
      <c r="AD230" s="45"/>
      <c r="AE230" s="45"/>
      <c r="AF230" s="45"/>
      <c r="AH230" s="45"/>
    </row>
    <row r="231" spans="1:40">
      <c r="A231" s="42"/>
    </row>
    <row r="234" spans="1:40">
      <c r="H234" s="42"/>
      <c r="I234" s="42"/>
      <c r="Y234" s="42"/>
    </row>
    <row r="236" spans="1:40">
      <c r="L236" s="42"/>
      <c r="M236" s="42"/>
      <c r="AA236" s="42"/>
      <c r="AB236" s="42"/>
    </row>
    <row r="237" spans="1:40">
      <c r="R237" s="42"/>
      <c r="AK237" s="110"/>
      <c r="AL237" s="42"/>
    </row>
    <row r="238" spans="1:40">
      <c r="R238" s="42"/>
      <c r="AK238" s="110"/>
      <c r="AL238" s="42"/>
    </row>
    <row r="239" spans="1:40">
      <c r="A239" s="42"/>
      <c r="R239" s="42"/>
      <c r="AK239" s="110"/>
      <c r="AL239" s="42"/>
    </row>
    <row r="240" spans="1:40">
      <c r="L240" s="42"/>
      <c r="M240" s="42"/>
      <c r="AA240" s="42"/>
      <c r="AB240" s="42"/>
    </row>
    <row r="241" spans="1:40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107"/>
      <c r="AH241" s="49"/>
      <c r="AI241" s="49"/>
      <c r="AJ241" s="49"/>
      <c r="AK241" s="107"/>
      <c r="AL241" s="49"/>
      <c r="AM241" s="49"/>
      <c r="AN241" s="49"/>
    </row>
    <row r="242" spans="1:40">
      <c r="L242" s="44"/>
      <c r="M242" s="44"/>
      <c r="N242" s="44"/>
      <c r="O242" s="44"/>
      <c r="R242" s="44"/>
      <c r="AA242" s="44"/>
      <c r="AB242" s="44"/>
      <c r="AC242" s="44"/>
      <c r="AD242" s="44"/>
      <c r="AE242" s="44"/>
      <c r="AF242" s="44"/>
      <c r="AG242" s="102"/>
      <c r="AH242" s="44"/>
      <c r="AK242" s="102"/>
      <c r="AL242" s="44"/>
      <c r="AM242" s="44"/>
      <c r="AN242" s="44"/>
    </row>
    <row r="243" spans="1:40">
      <c r="L243" s="44"/>
      <c r="M243" s="44"/>
      <c r="N243" s="44"/>
      <c r="O243" s="44"/>
      <c r="R243" s="44"/>
      <c r="Z243" s="44"/>
      <c r="AA243" s="44"/>
      <c r="AB243" s="44"/>
      <c r="AC243" s="44"/>
      <c r="AD243" s="44"/>
      <c r="AE243" s="44"/>
      <c r="AF243" s="44"/>
      <c r="AG243" s="102"/>
      <c r="AH243" s="44"/>
      <c r="AK243" s="102"/>
      <c r="AL243" s="44"/>
      <c r="AM243" s="44"/>
      <c r="AN243" s="44"/>
    </row>
    <row r="244" spans="1:40">
      <c r="A244" s="44"/>
      <c r="C244" s="44"/>
      <c r="D244" s="44"/>
      <c r="E244" s="44"/>
      <c r="F244" s="44"/>
      <c r="J244" s="44"/>
      <c r="K244" s="44"/>
      <c r="L244" s="44"/>
      <c r="M244" s="44"/>
      <c r="N244" s="44"/>
      <c r="O244" s="44"/>
      <c r="P244" s="44"/>
      <c r="Q244" s="44"/>
      <c r="R244" s="44"/>
      <c r="T244" s="44"/>
      <c r="U244" s="44"/>
      <c r="V244" s="44"/>
      <c r="Z244" s="44"/>
      <c r="AA244" s="44"/>
      <c r="AB244" s="44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</row>
    <row r="245" spans="1:40">
      <c r="A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T245" s="44"/>
      <c r="U245" s="44"/>
      <c r="V245" s="44"/>
      <c r="Y245" s="44"/>
      <c r="Z245" s="44"/>
      <c r="AA245" s="44"/>
      <c r="AB245" s="44"/>
      <c r="AC245" s="44"/>
      <c r="AD245" s="44"/>
      <c r="AE245" s="44"/>
      <c r="AF245" s="44"/>
      <c r="AG245" s="102"/>
      <c r="AH245" s="44"/>
      <c r="AI245" s="44"/>
      <c r="AJ245" s="44"/>
      <c r="AK245" s="102"/>
      <c r="AL245" s="44"/>
      <c r="AM245" s="44"/>
      <c r="AN245" s="44"/>
    </row>
    <row r="246" spans="1:40">
      <c r="C246" s="44"/>
      <c r="D246" s="44"/>
      <c r="E246" s="44"/>
      <c r="F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T246" s="44"/>
      <c r="U246" s="44"/>
      <c r="V246" s="44"/>
      <c r="Y246" s="44"/>
      <c r="Z246" s="44"/>
      <c r="AA246" s="44"/>
      <c r="AB246" s="44"/>
      <c r="AC246" s="44"/>
      <c r="AD246" s="44"/>
      <c r="AE246" s="44"/>
      <c r="AF246" s="44"/>
      <c r="AG246" s="102"/>
      <c r="AH246" s="44"/>
      <c r="AI246" s="44"/>
      <c r="AJ246" s="44"/>
      <c r="AK246" s="102"/>
      <c r="AL246" s="44"/>
      <c r="AM246" s="44"/>
      <c r="AN246" s="44"/>
    </row>
    <row r="247" spans="1:40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107"/>
      <c r="AH247" s="49"/>
      <c r="AI247" s="49"/>
      <c r="AJ247" s="49"/>
      <c r="AK247" s="107"/>
      <c r="AL247" s="49"/>
      <c r="AM247" s="49"/>
      <c r="AN247" s="49"/>
    </row>
    <row r="248" spans="1:40"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Y248" s="44"/>
      <c r="Z248" s="44"/>
      <c r="AA248" s="44"/>
      <c r="AB248" s="44"/>
      <c r="AC248" s="44"/>
      <c r="AD248" s="44"/>
      <c r="AE248" s="44"/>
      <c r="AF248" s="44"/>
      <c r="AG248" s="102"/>
      <c r="AH248" s="44"/>
      <c r="AI248" s="44"/>
      <c r="AJ248" s="44"/>
      <c r="AK248" s="102"/>
      <c r="AL248" s="44"/>
      <c r="AM248" s="44"/>
      <c r="AN248" s="44"/>
    </row>
    <row r="249" spans="1:40">
      <c r="C249" s="42"/>
      <c r="D249" s="42"/>
      <c r="E249" s="42"/>
      <c r="T249" s="42"/>
      <c r="U249" s="42"/>
    </row>
    <row r="250" spans="1:40">
      <c r="C250" s="42"/>
      <c r="T250" s="42"/>
    </row>
    <row r="252" spans="1:40">
      <c r="C252" s="42"/>
      <c r="F252" s="164"/>
      <c r="H252" s="164"/>
      <c r="I252" s="164"/>
      <c r="J252" s="316"/>
      <c r="K252" s="316"/>
      <c r="L252" s="45"/>
      <c r="M252" s="45"/>
      <c r="N252" s="46"/>
      <c r="O252" s="46"/>
      <c r="R252" s="45"/>
      <c r="T252" s="42"/>
      <c r="V252" s="45"/>
      <c r="Y252" s="164"/>
      <c r="Z252" s="316"/>
      <c r="AA252" s="45"/>
      <c r="AB252" s="45"/>
      <c r="AC252" s="46"/>
      <c r="AD252" s="46"/>
      <c r="AE252" s="45"/>
      <c r="AF252" s="45"/>
      <c r="AH252" s="51"/>
      <c r="AL252" s="45"/>
      <c r="AM252" s="46"/>
      <c r="AN252" s="46"/>
    </row>
    <row r="253" spans="1:40">
      <c r="F253" s="50"/>
      <c r="H253" s="45"/>
      <c r="I253" s="45"/>
      <c r="J253" s="326"/>
      <c r="K253" s="326"/>
      <c r="L253" s="50"/>
      <c r="M253" s="50"/>
      <c r="N253" s="50"/>
      <c r="O253" s="50"/>
      <c r="P253" s="50"/>
      <c r="Q253" s="50"/>
      <c r="R253" s="50"/>
      <c r="V253" s="50"/>
      <c r="Y253" s="45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  <c r="AM253" s="46"/>
      <c r="AN253" s="46"/>
    </row>
    <row r="254" spans="1:40">
      <c r="C254" s="42"/>
      <c r="F254" s="164"/>
      <c r="H254" s="164"/>
      <c r="I254" s="164"/>
      <c r="J254" s="336"/>
      <c r="K254" s="336"/>
      <c r="L254" s="45"/>
      <c r="M254" s="45"/>
      <c r="N254" s="46"/>
      <c r="O254" s="46"/>
      <c r="P254" s="45"/>
      <c r="Q254" s="45"/>
      <c r="R254" s="45"/>
      <c r="S254" s="45"/>
      <c r="T254" s="42"/>
      <c r="V254" s="164"/>
      <c r="Y254" s="164"/>
      <c r="Z254" s="336"/>
      <c r="AA254" s="45"/>
      <c r="AB254" s="45"/>
      <c r="AC254" s="46"/>
      <c r="AD254" s="46"/>
      <c r="AE254" s="45"/>
      <c r="AF254" s="45"/>
      <c r="AH254" s="46"/>
      <c r="AI254" s="45"/>
      <c r="AJ254" s="45"/>
      <c r="AL254" s="45"/>
      <c r="AM254" s="46"/>
      <c r="AN254" s="46"/>
    </row>
    <row r="255" spans="1:40">
      <c r="C255" s="42"/>
      <c r="F255" s="164"/>
      <c r="H255" s="164"/>
      <c r="I255" s="164"/>
      <c r="J255" s="316"/>
      <c r="K255" s="316"/>
      <c r="L255" s="45"/>
      <c r="M255" s="45"/>
      <c r="N255" s="46"/>
      <c r="O255" s="46"/>
      <c r="P255" s="45"/>
      <c r="Q255" s="45"/>
      <c r="R255" s="45"/>
      <c r="T255" s="42"/>
      <c r="V255" s="164"/>
      <c r="Y255" s="45"/>
      <c r="Z255" s="316"/>
      <c r="AA255" s="45"/>
      <c r="AB255" s="45"/>
      <c r="AC255" s="46"/>
      <c r="AD255" s="46"/>
      <c r="AE255" s="45"/>
      <c r="AF255" s="45"/>
      <c r="AH255" s="51"/>
      <c r="AI255" s="45"/>
      <c r="AJ255" s="45"/>
      <c r="AL255" s="45"/>
      <c r="AM255" s="46"/>
      <c r="AN255" s="46"/>
    </row>
    <row r="256" spans="1:40">
      <c r="C256" s="42"/>
      <c r="F256" s="164"/>
      <c r="H256" s="164"/>
      <c r="I256" s="164"/>
      <c r="J256" s="316"/>
      <c r="K256" s="316"/>
      <c r="L256" s="45"/>
      <c r="M256" s="45"/>
      <c r="N256" s="46"/>
      <c r="O256" s="46"/>
      <c r="P256" s="45"/>
      <c r="Q256" s="45"/>
      <c r="R256" s="45"/>
      <c r="T256" s="42"/>
      <c r="V256" s="164"/>
      <c r="Y256" s="45"/>
      <c r="Z256" s="316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3:40">
      <c r="F257" s="50"/>
      <c r="H257" s="50"/>
      <c r="I257" s="50"/>
      <c r="J257" s="326"/>
      <c r="K257" s="326"/>
      <c r="L257" s="50"/>
      <c r="M257" s="50"/>
      <c r="N257" s="50"/>
      <c r="O257" s="50"/>
      <c r="P257" s="50"/>
      <c r="Q257" s="50"/>
      <c r="R257" s="50"/>
      <c r="V257" s="50"/>
      <c r="Y257" s="50"/>
      <c r="Z257" s="326"/>
      <c r="AA257" s="50"/>
      <c r="AB257" s="50"/>
      <c r="AC257" s="50"/>
      <c r="AD257" s="50"/>
      <c r="AE257" s="50"/>
      <c r="AF257" s="50"/>
      <c r="AI257" s="50"/>
      <c r="AJ257" s="50"/>
      <c r="AK257" s="111"/>
      <c r="AL257" s="50"/>
      <c r="AM257" s="46"/>
      <c r="AN257" s="46"/>
    </row>
    <row r="258" spans="3:40">
      <c r="C258" s="42"/>
      <c r="F258" s="45"/>
      <c r="H258" s="45"/>
      <c r="I258" s="45"/>
      <c r="J258" s="47"/>
      <c r="K258" s="47"/>
      <c r="L258" s="45"/>
      <c r="M258" s="45"/>
      <c r="N258" s="46"/>
      <c r="O258" s="46"/>
      <c r="P258" s="45"/>
      <c r="Q258" s="45"/>
      <c r="R258" s="45"/>
      <c r="T258" s="42"/>
      <c r="V258" s="45"/>
      <c r="Y258" s="45"/>
      <c r="Z258" s="47"/>
      <c r="AA258" s="45"/>
      <c r="AB258" s="45"/>
      <c r="AC258" s="46"/>
      <c r="AD258" s="46"/>
      <c r="AE258" s="45"/>
      <c r="AF258" s="45"/>
      <c r="AH258" s="51"/>
      <c r="AI258" s="45"/>
      <c r="AJ258" s="45"/>
      <c r="AL258" s="45"/>
      <c r="AM258" s="46"/>
      <c r="AN258" s="46"/>
    </row>
    <row r="259" spans="3:40">
      <c r="F259" s="50"/>
      <c r="H259" s="50"/>
      <c r="I259" s="50"/>
      <c r="J259" s="326"/>
      <c r="K259" s="326"/>
      <c r="L259" s="50"/>
      <c r="M259" s="50"/>
      <c r="N259" s="50"/>
      <c r="O259" s="50"/>
      <c r="P259" s="50"/>
      <c r="Q259" s="50"/>
      <c r="R259" s="50"/>
      <c r="V259" s="50"/>
      <c r="Y259" s="50"/>
      <c r="Z259" s="326"/>
      <c r="AA259" s="50"/>
      <c r="AB259" s="50"/>
      <c r="AC259" s="50"/>
      <c r="AD259" s="50"/>
      <c r="AE259" s="50"/>
      <c r="AF259" s="50"/>
      <c r="AI259" s="50"/>
      <c r="AJ259" s="50"/>
      <c r="AK259" s="111"/>
      <c r="AL259" s="50"/>
      <c r="AM259" s="46"/>
      <c r="AN259" s="46"/>
    </row>
    <row r="260" spans="3:40">
      <c r="C260" s="42"/>
      <c r="F260" s="45"/>
      <c r="H260" s="45"/>
      <c r="I260" s="45"/>
      <c r="J260" s="47"/>
      <c r="K260" s="47"/>
      <c r="L260" s="45"/>
      <c r="M260" s="45"/>
      <c r="N260" s="46"/>
      <c r="O260" s="46"/>
      <c r="P260" s="45"/>
      <c r="Q260" s="45"/>
      <c r="R260" s="45"/>
      <c r="T260" s="42"/>
      <c r="V260" s="45"/>
      <c r="Y260" s="45"/>
      <c r="Z260" s="47"/>
      <c r="AA260" s="45"/>
      <c r="AB260" s="45"/>
      <c r="AC260" s="46"/>
      <c r="AD260" s="46"/>
      <c r="AE260" s="45"/>
      <c r="AF260" s="45"/>
      <c r="AH260" s="51"/>
      <c r="AI260" s="45"/>
      <c r="AJ260" s="45"/>
      <c r="AL260" s="45"/>
      <c r="AM260" s="46"/>
      <c r="AN260" s="46"/>
    </row>
    <row r="261" spans="3:40">
      <c r="C261" s="42"/>
      <c r="F261" s="45"/>
      <c r="H261" s="164"/>
      <c r="I261" s="164"/>
      <c r="J261" s="331"/>
      <c r="K261" s="331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3:40"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  <c r="AM262" s="46"/>
      <c r="AN262" s="46"/>
    </row>
    <row r="263" spans="3:40">
      <c r="F263" s="50"/>
    </row>
    <row r="264" spans="3:40">
      <c r="C264" s="42"/>
      <c r="F264" s="45"/>
      <c r="H264" s="45"/>
      <c r="I264" s="45"/>
      <c r="J264" s="326"/>
      <c r="K264" s="326"/>
      <c r="L264" s="45"/>
      <c r="M264" s="45"/>
      <c r="N264" s="46"/>
      <c r="O264" s="46"/>
      <c r="P264" s="45"/>
      <c r="Q264" s="45"/>
      <c r="R264" s="45"/>
      <c r="S264" s="45"/>
      <c r="T264" s="42"/>
      <c r="V264" s="45"/>
      <c r="Y264" s="45"/>
      <c r="Z264" s="326"/>
      <c r="AA264" s="45"/>
      <c r="AB264" s="45"/>
      <c r="AC264" s="46"/>
      <c r="AD264" s="46"/>
      <c r="AE264" s="45"/>
      <c r="AF264" s="45"/>
      <c r="AH264" s="46"/>
      <c r="AI264" s="45"/>
      <c r="AJ264" s="45"/>
      <c r="AL264" s="45"/>
      <c r="AM264" s="46"/>
      <c r="AN264" s="46"/>
    </row>
    <row r="265" spans="3:40">
      <c r="F265" s="50"/>
      <c r="H265" s="50"/>
      <c r="I265" s="50"/>
      <c r="J265" s="326"/>
      <c r="K265" s="326"/>
      <c r="L265" s="50"/>
      <c r="M265" s="50"/>
      <c r="N265" s="50"/>
      <c r="O265" s="50"/>
      <c r="P265" s="50"/>
      <c r="Q265" s="50"/>
      <c r="R265" s="50"/>
      <c r="S265" s="45"/>
      <c r="V265" s="50"/>
      <c r="Y265" s="50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  <c r="AM265" s="46"/>
      <c r="AN265" s="46"/>
    </row>
    <row r="266" spans="3:40">
      <c r="C266" s="42"/>
      <c r="H266" s="164"/>
      <c r="I266" s="164"/>
      <c r="J266" s="326"/>
      <c r="K266" s="326"/>
      <c r="L266" s="45"/>
      <c r="M266" s="45"/>
      <c r="N266" s="46"/>
      <c r="O266" s="46"/>
      <c r="P266" s="45"/>
      <c r="Q266" s="45"/>
      <c r="R266" s="45"/>
      <c r="S266" s="45"/>
      <c r="T266" s="42"/>
      <c r="V266" s="164"/>
      <c r="Y266" s="164"/>
      <c r="Z266" s="326"/>
      <c r="AA266" s="45"/>
      <c r="AB266" s="45"/>
      <c r="AC266" s="46"/>
      <c r="AD266" s="46"/>
      <c r="AE266" s="45"/>
      <c r="AF266" s="45"/>
      <c r="AI266" s="45"/>
      <c r="AJ266" s="45"/>
      <c r="AL266" s="45"/>
      <c r="AM266" s="46"/>
      <c r="AN266" s="46"/>
    </row>
    <row r="267" spans="3:40">
      <c r="F267" s="164"/>
    </row>
    <row r="268" spans="3:40">
      <c r="C268" s="42"/>
      <c r="F268" s="164"/>
      <c r="H268" s="164"/>
      <c r="I268" s="164"/>
      <c r="J268" s="316"/>
      <c r="K268" s="316"/>
      <c r="L268" s="45"/>
      <c r="M268" s="45"/>
      <c r="N268" s="46"/>
      <c r="O268" s="46"/>
      <c r="R268" s="45"/>
      <c r="T268" s="42"/>
      <c r="V268" s="45"/>
      <c r="Y268" s="164"/>
      <c r="Z268" s="316"/>
      <c r="AA268" s="45"/>
      <c r="AB268" s="45"/>
      <c r="AC268" s="46"/>
      <c r="AD268" s="46"/>
      <c r="AE268" s="45"/>
      <c r="AF268" s="45"/>
      <c r="AH268" s="51"/>
      <c r="AL268" s="45"/>
      <c r="AM268" s="46"/>
      <c r="AN268" s="46"/>
    </row>
    <row r="269" spans="3:40">
      <c r="F269" s="50"/>
      <c r="H269" s="45"/>
      <c r="I269" s="45"/>
      <c r="J269" s="326"/>
      <c r="K269" s="326"/>
      <c r="L269" s="50"/>
      <c r="M269" s="50"/>
      <c r="N269" s="50"/>
      <c r="O269" s="50"/>
      <c r="P269" s="50"/>
      <c r="Q269" s="50"/>
      <c r="R269" s="50"/>
      <c r="V269" s="50"/>
      <c r="Y269" s="45"/>
      <c r="Z269" s="326"/>
      <c r="AA269" s="50"/>
      <c r="AB269" s="50"/>
      <c r="AC269" s="50"/>
      <c r="AD269" s="50"/>
      <c r="AE269" s="50"/>
      <c r="AF269" s="50"/>
      <c r="AI269" s="50"/>
      <c r="AJ269" s="50"/>
      <c r="AK269" s="111"/>
      <c r="AL269" s="50"/>
      <c r="AM269" s="46"/>
      <c r="AN269" s="46"/>
    </row>
    <row r="270" spans="3:40">
      <c r="C270" s="42"/>
      <c r="F270" s="164"/>
      <c r="H270" s="164"/>
      <c r="I270" s="164"/>
      <c r="J270" s="336"/>
      <c r="K270" s="336"/>
      <c r="L270" s="45"/>
      <c r="M270" s="45"/>
      <c r="N270" s="46"/>
      <c r="O270" s="46"/>
      <c r="P270" s="45"/>
      <c r="Q270" s="45"/>
      <c r="R270" s="45"/>
      <c r="S270" s="45"/>
      <c r="T270" s="42"/>
      <c r="V270" s="164"/>
      <c r="Y270" s="164"/>
      <c r="Z270" s="336"/>
      <c r="AA270" s="45"/>
      <c r="AB270" s="45"/>
      <c r="AC270" s="46"/>
      <c r="AD270" s="46"/>
      <c r="AE270" s="45"/>
      <c r="AF270" s="45"/>
      <c r="AH270" s="46"/>
      <c r="AI270" s="45"/>
      <c r="AJ270" s="45"/>
      <c r="AL270" s="45"/>
      <c r="AM270" s="46"/>
      <c r="AN270" s="46"/>
    </row>
    <row r="271" spans="3:40">
      <c r="C271" s="42"/>
      <c r="F271" s="164"/>
      <c r="H271" s="164"/>
      <c r="I271" s="164"/>
      <c r="J271" s="316"/>
      <c r="K271" s="316"/>
      <c r="L271" s="45"/>
      <c r="M271" s="45"/>
      <c r="N271" s="46"/>
      <c r="O271" s="46"/>
      <c r="P271" s="45"/>
      <c r="Q271" s="45"/>
      <c r="R271" s="45"/>
      <c r="T271" s="42"/>
      <c r="V271" s="164"/>
      <c r="Y271" s="45"/>
      <c r="Z271" s="316"/>
      <c r="AA271" s="45"/>
      <c r="AB271" s="45"/>
      <c r="AC271" s="46"/>
      <c r="AD271" s="46"/>
      <c r="AE271" s="45"/>
      <c r="AF271" s="45"/>
      <c r="AH271" s="51"/>
      <c r="AI271" s="45"/>
      <c r="AJ271" s="45"/>
      <c r="AL271" s="45"/>
      <c r="AM271" s="46"/>
      <c r="AN271" s="46"/>
    </row>
    <row r="272" spans="3:40">
      <c r="C272" s="42"/>
      <c r="F272" s="164"/>
      <c r="H272" s="164"/>
      <c r="I272" s="164"/>
      <c r="J272" s="316"/>
      <c r="K272" s="316"/>
      <c r="L272" s="45"/>
      <c r="M272" s="45"/>
      <c r="N272" s="46"/>
      <c r="O272" s="46"/>
      <c r="P272" s="45"/>
      <c r="Q272" s="45"/>
      <c r="R272" s="45"/>
      <c r="T272" s="42"/>
      <c r="V272" s="164"/>
      <c r="Y272" s="45"/>
      <c r="Z272" s="316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>
      <c r="F273" s="50"/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  <c r="AM273" s="46"/>
      <c r="AN273" s="46"/>
    </row>
    <row r="274" spans="1:40">
      <c r="C274" s="42"/>
      <c r="F274" s="45"/>
      <c r="H274" s="45"/>
      <c r="I274" s="45"/>
      <c r="J274" s="47"/>
      <c r="K274" s="47"/>
      <c r="L274" s="45"/>
      <c r="M274" s="45"/>
      <c r="N274" s="46"/>
      <c r="O274" s="46"/>
      <c r="P274" s="45"/>
      <c r="Q274" s="45"/>
      <c r="R274" s="45"/>
      <c r="T274" s="42"/>
      <c r="V274" s="45"/>
      <c r="Y274" s="45"/>
      <c r="Z274" s="47"/>
      <c r="AA274" s="45"/>
      <c r="AB274" s="45"/>
      <c r="AC274" s="46"/>
      <c r="AD274" s="46"/>
      <c r="AE274" s="45"/>
      <c r="AF274" s="45"/>
      <c r="AH274" s="51"/>
      <c r="AI274" s="45"/>
      <c r="AJ274" s="45"/>
      <c r="AL274" s="45"/>
      <c r="AM274" s="46"/>
      <c r="AN274" s="46"/>
    </row>
    <row r="275" spans="1:40">
      <c r="F275" s="50"/>
      <c r="H275" s="50"/>
      <c r="I275" s="50"/>
      <c r="J275" s="326"/>
      <c r="K275" s="326"/>
      <c r="L275" s="50"/>
      <c r="M275" s="50"/>
      <c r="N275" s="50"/>
      <c r="O275" s="50"/>
      <c r="P275" s="50"/>
      <c r="Q275" s="50"/>
      <c r="R275" s="50"/>
      <c r="V275" s="50"/>
      <c r="Y275" s="50"/>
      <c r="Z275" s="326"/>
      <c r="AA275" s="50"/>
      <c r="AB275" s="50"/>
      <c r="AC275" s="50"/>
      <c r="AD275" s="50"/>
      <c r="AE275" s="50"/>
      <c r="AF275" s="50"/>
      <c r="AI275" s="50"/>
      <c r="AJ275" s="50"/>
      <c r="AK275" s="111"/>
      <c r="AL275" s="50"/>
      <c r="AM275" s="46"/>
      <c r="AN275" s="46"/>
    </row>
    <row r="276" spans="1:40">
      <c r="C276" s="42"/>
      <c r="F276" s="45"/>
      <c r="H276" s="45"/>
      <c r="I276" s="45"/>
      <c r="J276" s="47"/>
      <c r="K276" s="47"/>
      <c r="L276" s="45"/>
      <c r="M276" s="45"/>
      <c r="N276" s="46"/>
      <c r="O276" s="46"/>
      <c r="P276" s="45"/>
      <c r="Q276" s="45"/>
      <c r="R276" s="45"/>
      <c r="T276" s="42"/>
      <c r="V276" s="45"/>
      <c r="Y276" s="45"/>
      <c r="Z276" s="47"/>
      <c r="AA276" s="45"/>
      <c r="AB276" s="45"/>
      <c r="AC276" s="46"/>
      <c r="AD276" s="46"/>
      <c r="AE276" s="45"/>
      <c r="AF276" s="45"/>
      <c r="AH276" s="51"/>
      <c r="AI276" s="45"/>
      <c r="AJ276" s="45"/>
      <c r="AL276" s="45"/>
      <c r="AM276" s="46"/>
      <c r="AN276" s="46"/>
    </row>
    <row r="277" spans="1:40">
      <c r="C277" s="42"/>
      <c r="F277" s="45"/>
      <c r="H277" s="164"/>
      <c r="I277" s="164"/>
      <c r="J277" s="331"/>
      <c r="K277" s="331"/>
      <c r="L277" s="45"/>
      <c r="M277" s="45"/>
      <c r="N277" s="46"/>
      <c r="O277" s="46"/>
      <c r="P277" s="45"/>
      <c r="Q277" s="45"/>
      <c r="R277" s="45"/>
      <c r="T277" s="42"/>
      <c r="V277" s="45"/>
      <c r="Y277" s="45"/>
      <c r="Z277" s="325"/>
      <c r="AA277" s="45"/>
      <c r="AB277" s="45"/>
      <c r="AC277" s="46"/>
      <c r="AD277" s="46"/>
      <c r="AE277" s="45"/>
      <c r="AF277" s="45"/>
      <c r="AH277" s="51"/>
      <c r="AI277" s="45"/>
      <c r="AJ277" s="45"/>
      <c r="AL277" s="45"/>
      <c r="AM277" s="46"/>
      <c r="AN277" s="46"/>
    </row>
    <row r="278" spans="1:40">
      <c r="H278" s="50"/>
      <c r="I278" s="50"/>
      <c r="J278" s="326"/>
      <c r="K278" s="326"/>
      <c r="L278" s="50"/>
      <c r="M278" s="50"/>
      <c r="N278" s="50"/>
      <c r="O278" s="50"/>
      <c r="P278" s="50"/>
      <c r="Q278" s="50"/>
      <c r="R278" s="50"/>
      <c r="V278" s="50"/>
      <c r="Y278" s="50"/>
      <c r="Z278" s="326"/>
      <c r="AA278" s="50"/>
      <c r="AB278" s="50"/>
      <c r="AC278" s="50"/>
      <c r="AD278" s="50"/>
      <c r="AE278" s="50"/>
      <c r="AF278" s="50"/>
      <c r="AI278" s="50"/>
      <c r="AJ278" s="50"/>
      <c r="AK278" s="111"/>
      <c r="AL278" s="50"/>
      <c r="AM278" s="46"/>
      <c r="AN278" s="46"/>
    </row>
    <row r="279" spans="1:40">
      <c r="F279" s="50"/>
    </row>
    <row r="280" spans="1:40">
      <c r="C280" s="42"/>
      <c r="F280" s="45"/>
      <c r="H280" s="45"/>
      <c r="I280" s="45"/>
      <c r="J280" s="326"/>
      <c r="K280" s="326"/>
      <c r="L280" s="45"/>
      <c r="M280" s="45"/>
      <c r="N280" s="46"/>
      <c r="O280" s="46"/>
      <c r="P280" s="45"/>
      <c r="Q280" s="45"/>
      <c r="R280" s="45"/>
      <c r="S280" s="45"/>
      <c r="T280" s="42"/>
      <c r="V280" s="45"/>
      <c r="Y280" s="45"/>
      <c r="Z280" s="326"/>
      <c r="AA280" s="45"/>
      <c r="AB280" s="45"/>
      <c r="AC280" s="46"/>
      <c r="AD280" s="46"/>
      <c r="AE280" s="45"/>
      <c r="AF280" s="45"/>
      <c r="AH280" s="46"/>
      <c r="AI280" s="45"/>
      <c r="AJ280" s="45"/>
      <c r="AL280" s="45"/>
      <c r="AM280" s="46"/>
      <c r="AN280" s="46"/>
    </row>
    <row r="281" spans="1:40">
      <c r="F281" s="50"/>
      <c r="H281" s="50"/>
      <c r="I281" s="50"/>
      <c r="J281" s="326"/>
      <c r="K281" s="326"/>
      <c r="L281" s="50"/>
      <c r="M281" s="50"/>
      <c r="N281" s="50"/>
      <c r="O281" s="50"/>
      <c r="P281" s="50"/>
      <c r="Q281" s="50"/>
      <c r="R281" s="50"/>
      <c r="S281" s="45"/>
      <c r="V281" s="50"/>
      <c r="Y281" s="50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  <c r="AM281" s="46"/>
      <c r="AN281" s="46"/>
    </row>
    <row r="282" spans="1:40">
      <c r="C282" s="42"/>
      <c r="T282" s="42"/>
    </row>
    <row r="283" spans="1:40">
      <c r="C283" s="42"/>
      <c r="F283" s="45"/>
      <c r="H283" s="45"/>
      <c r="I283" s="45"/>
      <c r="L283" s="45"/>
      <c r="M283" s="45"/>
      <c r="N283" s="46"/>
      <c r="O283" s="46"/>
      <c r="P283" s="164"/>
      <c r="Q283" s="164"/>
      <c r="R283" s="45"/>
      <c r="T283" s="42"/>
      <c r="V283" s="45"/>
      <c r="Y283" s="45"/>
      <c r="AA283" s="45"/>
      <c r="AB283" s="45"/>
      <c r="AC283" s="46"/>
      <c r="AD283" s="46"/>
      <c r="AE283" s="45"/>
      <c r="AF283" s="45"/>
      <c r="AH283" s="46"/>
      <c r="AI283" s="164"/>
      <c r="AJ283" s="164"/>
      <c r="AL283" s="45"/>
      <c r="AM283" s="46"/>
      <c r="AN283" s="46"/>
    </row>
    <row r="284" spans="1:40">
      <c r="H284" s="50"/>
      <c r="I284" s="50"/>
      <c r="J284" s="326"/>
      <c r="K284" s="326"/>
      <c r="L284" s="50"/>
      <c r="M284" s="50"/>
      <c r="N284" s="50"/>
      <c r="O284" s="50"/>
      <c r="P284" s="50"/>
      <c r="Q284" s="50"/>
      <c r="R284" s="50"/>
      <c r="V284" s="50"/>
      <c r="Y284" s="50"/>
      <c r="Z284" s="326"/>
      <c r="AA284" s="50"/>
      <c r="AB284" s="50"/>
      <c r="AC284" s="50"/>
      <c r="AD284" s="50"/>
      <c r="AE284" s="50"/>
      <c r="AF284" s="50"/>
      <c r="AI284" s="50"/>
      <c r="AJ284" s="50"/>
      <c r="AK284" s="111"/>
      <c r="AL284" s="50"/>
    </row>
    <row r="285" spans="1:40">
      <c r="F285" s="50"/>
    </row>
    <row r="286" spans="1:40">
      <c r="C286" s="42"/>
      <c r="L286" s="45"/>
      <c r="M286" s="45"/>
      <c r="N286" s="45"/>
      <c r="O286" s="45"/>
      <c r="P286" s="45"/>
      <c r="Q286" s="45"/>
      <c r="R286" s="45"/>
      <c r="S286" s="45"/>
      <c r="T286" s="42"/>
      <c r="AA286" s="45"/>
      <c r="AB286" s="45"/>
      <c r="AC286" s="45"/>
      <c r="AD286" s="45"/>
      <c r="AI286" s="45"/>
      <c r="AJ286" s="45"/>
      <c r="AL286" s="45"/>
    </row>
    <row r="287" spans="1:40">
      <c r="A287" s="42"/>
    </row>
    <row r="289" spans="1:40">
      <c r="H289" s="42"/>
      <c r="I289" s="42"/>
      <c r="Y289" s="42"/>
    </row>
    <row r="291" spans="1:40">
      <c r="L291" s="42"/>
      <c r="M291" s="42"/>
      <c r="AA291" s="42"/>
      <c r="AB291" s="42"/>
    </row>
    <row r="292" spans="1:40">
      <c r="R292" s="42"/>
      <c r="AK292" s="110"/>
      <c r="AL292" s="42"/>
    </row>
    <row r="293" spans="1:40">
      <c r="R293" s="42"/>
      <c r="AK293" s="110"/>
      <c r="AL293" s="42"/>
    </row>
    <row r="294" spans="1:40">
      <c r="A294" s="42"/>
      <c r="R294" s="42"/>
      <c r="AK294" s="110"/>
      <c r="AL294" s="42"/>
    </row>
    <row r="295" spans="1:40">
      <c r="L295" s="42"/>
      <c r="M295" s="42"/>
      <c r="AA295" s="42"/>
      <c r="AB295" s="42"/>
    </row>
    <row r="296" spans="1:40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107"/>
      <c r="AH296" s="49"/>
      <c r="AI296" s="49"/>
      <c r="AJ296" s="49"/>
      <c r="AK296" s="107"/>
      <c r="AL296" s="49"/>
      <c r="AM296" s="49"/>
      <c r="AN296" s="49"/>
    </row>
    <row r="297" spans="1:40">
      <c r="L297" s="44"/>
      <c r="M297" s="44"/>
      <c r="N297" s="44"/>
      <c r="O297" s="44"/>
      <c r="R297" s="44"/>
      <c r="AA297" s="44"/>
      <c r="AB297" s="44"/>
      <c r="AC297" s="44"/>
      <c r="AD297" s="44"/>
      <c r="AE297" s="44"/>
      <c r="AF297" s="44"/>
      <c r="AG297" s="102"/>
      <c r="AH297" s="44"/>
      <c r="AK297" s="102"/>
      <c r="AL297" s="44"/>
      <c r="AM297" s="44"/>
      <c r="AN297" s="44"/>
    </row>
    <row r="298" spans="1:40">
      <c r="L298" s="44"/>
      <c r="M298" s="44"/>
      <c r="N298" s="44"/>
      <c r="O298" s="44"/>
      <c r="R298" s="44"/>
      <c r="Z298" s="44"/>
      <c r="AA298" s="44"/>
      <c r="AB298" s="44"/>
      <c r="AC298" s="44"/>
      <c r="AD298" s="44"/>
      <c r="AE298" s="44"/>
      <c r="AF298" s="44"/>
      <c r="AG298" s="102"/>
      <c r="AH298" s="44"/>
      <c r="AK298" s="102"/>
      <c r="AL298" s="44"/>
      <c r="AM298" s="44"/>
      <c r="AN298" s="44"/>
    </row>
    <row r="299" spans="1:40">
      <c r="A299" s="44"/>
      <c r="C299" s="44"/>
      <c r="D299" s="44"/>
      <c r="E299" s="44"/>
      <c r="F299" s="44"/>
      <c r="J299" s="44"/>
      <c r="K299" s="44"/>
      <c r="L299" s="44"/>
      <c r="M299" s="44"/>
      <c r="N299" s="44"/>
      <c r="O299" s="44"/>
      <c r="P299" s="44"/>
      <c r="Q299" s="44"/>
      <c r="R299" s="44"/>
      <c r="T299" s="44"/>
      <c r="U299" s="44"/>
      <c r="V299" s="44"/>
      <c r="Z299" s="44"/>
      <c r="AA299" s="44"/>
      <c r="AB299" s="44"/>
      <c r="AC299" s="44"/>
      <c r="AD299" s="44"/>
      <c r="AE299" s="44"/>
      <c r="AF299" s="44"/>
      <c r="AG299" s="102"/>
      <c r="AH299" s="44"/>
      <c r="AI299" s="44"/>
      <c r="AJ299" s="44"/>
      <c r="AK299" s="102"/>
      <c r="AL299" s="44"/>
      <c r="AM299" s="44"/>
      <c r="AN299" s="44"/>
    </row>
    <row r="300" spans="1:40">
      <c r="A300" s="44"/>
      <c r="C300" s="44"/>
      <c r="D300" s="44"/>
      <c r="E300" s="44"/>
      <c r="F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T300" s="44"/>
      <c r="U300" s="44"/>
      <c r="V300" s="44"/>
      <c r="Y300" s="44"/>
      <c r="Z300" s="44"/>
      <c r="AA300" s="44"/>
      <c r="AB300" s="44"/>
      <c r="AC300" s="44"/>
      <c r="AD300" s="44"/>
      <c r="AE300" s="44"/>
      <c r="AF300" s="44"/>
      <c r="AG300" s="102"/>
      <c r="AH300" s="44"/>
      <c r="AI300" s="44"/>
      <c r="AJ300" s="44"/>
      <c r="AK300" s="102"/>
      <c r="AL300" s="44"/>
      <c r="AM300" s="44"/>
      <c r="AN300" s="44"/>
    </row>
    <row r="301" spans="1:40">
      <c r="C301" s="44"/>
      <c r="D301" s="44"/>
      <c r="E301" s="44"/>
      <c r="F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T301" s="44"/>
      <c r="U301" s="44"/>
      <c r="V301" s="44"/>
      <c r="Y301" s="44"/>
      <c r="Z301" s="44"/>
      <c r="AA301" s="44"/>
      <c r="AB301" s="44"/>
      <c r="AC301" s="44"/>
      <c r="AD301" s="44"/>
      <c r="AE301" s="44"/>
      <c r="AF301" s="44"/>
      <c r="AG301" s="102"/>
      <c r="AH301" s="44"/>
      <c r="AI301" s="44"/>
      <c r="AJ301" s="44"/>
      <c r="AK301" s="102"/>
      <c r="AL301" s="44"/>
      <c r="AM301" s="44"/>
      <c r="AN301" s="44"/>
    </row>
    <row r="302" spans="1:40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107"/>
      <c r="AH302" s="49"/>
      <c r="AI302" s="49"/>
      <c r="AJ302" s="49"/>
      <c r="AK302" s="107"/>
      <c r="AL302" s="49"/>
      <c r="AM302" s="49"/>
      <c r="AN302" s="49"/>
    </row>
    <row r="303" spans="1:40"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Y303" s="44"/>
      <c r="Z303" s="44"/>
      <c r="AA303" s="44"/>
      <c r="AB303" s="44"/>
      <c r="AC303" s="44"/>
      <c r="AD303" s="44"/>
      <c r="AE303" s="44"/>
      <c r="AF303" s="44"/>
      <c r="AG303" s="102"/>
      <c r="AH303" s="44"/>
      <c r="AI303" s="44"/>
      <c r="AJ303" s="44"/>
      <c r="AK303" s="102"/>
      <c r="AL303" s="44"/>
      <c r="AM303" s="44"/>
      <c r="AN303" s="44"/>
    </row>
    <row r="304" spans="1:40">
      <c r="C304" s="42"/>
      <c r="D304" s="42"/>
      <c r="E304" s="42"/>
      <c r="T304" s="42"/>
      <c r="U304" s="42"/>
    </row>
    <row r="305" spans="3:40">
      <c r="D305" s="42"/>
      <c r="E305" s="42"/>
      <c r="U305" s="42"/>
    </row>
    <row r="307" spans="3:40">
      <c r="C307" s="42"/>
      <c r="T307" s="42"/>
    </row>
    <row r="308" spans="3:40">
      <c r="C308" s="42"/>
      <c r="F308" s="164"/>
      <c r="H308" s="164"/>
      <c r="I308" s="164"/>
      <c r="J308" s="132"/>
      <c r="K308" s="132"/>
      <c r="L308" s="45"/>
      <c r="M308" s="45"/>
      <c r="N308" s="46"/>
      <c r="O308" s="46"/>
      <c r="P308" s="45"/>
      <c r="Q308" s="45"/>
      <c r="R308" s="45"/>
      <c r="T308" s="42"/>
      <c r="V308" s="164"/>
      <c r="W308" s="45"/>
      <c r="X308" s="45"/>
      <c r="Y308" s="164"/>
      <c r="Z308" s="132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>
      <c r="C309" s="42"/>
      <c r="F309" s="45"/>
      <c r="H309" s="45"/>
      <c r="I309" s="45"/>
      <c r="J309" s="326"/>
      <c r="K309" s="326"/>
      <c r="L309" s="45"/>
      <c r="M309" s="45"/>
      <c r="N309" s="46"/>
      <c r="O309" s="46"/>
      <c r="P309" s="45"/>
      <c r="Q309" s="45"/>
      <c r="R309" s="45"/>
      <c r="T309" s="42"/>
      <c r="V309" s="164"/>
      <c r="W309" s="45"/>
      <c r="X309" s="45"/>
      <c r="Y309" s="164"/>
      <c r="Z309" s="326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>
      <c r="C310" s="42"/>
      <c r="F310" s="164"/>
      <c r="H310" s="164"/>
      <c r="I310" s="164"/>
      <c r="J310" s="132"/>
      <c r="K310" s="132"/>
      <c r="L310" s="45"/>
      <c r="M310" s="45"/>
      <c r="N310" s="46"/>
      <c r="O310" s="46"/>
      <c r="P310" s="45"/>
      <c r="Q310" s="45"/>
      <c r="R310" s="45"/>
      <c r="T310" s="42"/>
      <c r="V310" s="164"/>
      <c r="W310" s="45"/>
      <c r="X310" s="45"/>
      <c r="Y310" s="164"/>
      <c r="Z310" s="132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>
      <c r="C311" s="42"/>
      <c r="F311" s="164"/>
      <c r="H311" s="164"/>
      <c r="I311" s="164"/>
      <c r="J311" s="132"/>
      <c r="K311" s="132"/>
      <c r="L311" s="45"/>
      <c r="M311" s="45"/>
      <c r="N311" s="46"/>
      <c r="O311" s="46"/>
      <c r="P311" s="45"/>
      <c r="Q311" s="45"/>
      <c r="R311" s="45"/>
      <c r="T311" s="42"/>
      <c r="V311" s="164"/>
      <c r="W311" s="45"/>
      <c r="X311" s="45"/>
      <c r="Y311" s="164"/>
      <c r="Z311" s="132"/>
      <c r="AA311" s="45"/>
      <c r="AB311" s="45"/>
      <c r="AC311" s="46"/>
      <c r="AD311" s="46"/>
      <c r="AE311" s="45"/>
      <c r="AF311" s="45"/>
      <c r="AH311" s="51"/>
      <c r="AI311" s="45"/>
      <c r="AJ311" s="45"/>
      <c r="AL311" s="45"/>
      <c r="AM311" s="46"/>
      <c r="AN311" s="46"/>
    </row>
    <row r="312" spans="3:40">
      <c r="C312" s="42"/>
      <c r="F312" s="164"/>
      <c r="H312" s="164"/>
      <c r="I312" s="164"/>
      <c r="J312" s="132"/>
      <c r="K312" s="132"/>
      <c r="L312" s="45"/>
      <c r="M312" s="45"/>
      <c r="N312" s="46"/>
      <c r="O312" s="46"/>
      <c r="P312" s="45"/>
      <c r="Q312" s="45"/>
      <c r="R312" s="45"/>
      <c r="T312" s="42"/>
      <c r="V312" s="164"/>
      <c r="W312" s="45"/>
      <c r="X312" s="45"/>
      <c r="Y312" s="164"/>
      <c r="Z312" s="132"/>
      <c r="AA312" s="45"/>
      <c r="AB312" s="45"/>
      <c r="AC312" s="46"/>
      <c r="AD312" s="46"/>
      <c r="AE312" s="45"/>
      <c r="AF312" s="45"/>
      <c r="AH312" s="51"/>
      <c r="AI312" s="45"/>
      <c r="AJ312" s="45"/>
      <c r="AL312" s="45"/>
      <c r="AM312" s="46"/>
      <c r="AN312" s="46"/>
    </row>
    <row r="313" spans="3:40">
      <c r="C313" s="42"/>
      <c r="F313" s="45"/>
      <c r="H313" s="45"/>
      <c r="I313" s="45"/>
      <c r="J313" s="132"/>
      <c r="K313" s="132"/>
      <c r="L313" s="45"/>
      <c r="M313" s="45"/>
      <c r="N313" s="46"/>
      <c r="O313" s="46"/>
      <c r="P313" s="45"/>
      <c r="Q313" s="45"/>
      <c r="R313" s="45"/>
      <c r="T313" s="42"/>
      <c r="V313" s="164"/>
      <c r="W313" s="45"/>
      <c r="X313" s="45"/>
      <c r="Y313" s="164"/>
      <c r="Z313" s="132"/>
      <c r="AA313" s="45"/>
      <c r="AB313" s="45"/>
      <c r="AC313" s="46"/>
      <c r="AD313" s="46"/>
      <c r="AE313" s="45"/>
      <c r="AF313" s="45"/>
      <c r="AH313" s="51"/>
      <c r="AI313" s="45"/>
      <c r="AJ313" s="45"/>
      <c r="AL313" s="45"/>
      <c r="AM313" s="46"/>
      <c r="AN313" s="46"/>
    </row>
    <row r="314" spans="3:40">
      <c r="C314" s="42"/>
      <c r="F314" s="45"/>
      <c r="H314" s="45"/>
      <c r="I314" s="45"/>
      <c r="J314" s="132"/>
      <c r="K314" s="132"/>
      <c r="L314" s="45"/>
      <c r="M314" s="45"/>
      <c r="N314" s="46"/>
      <c r="O314" s="46"/>
      <c r="P314" s="45"/>
      <c r="Q314" s="45"/>
      <c r="R314" s="45"/>
      <c r="T314" s="42"/>
      <c r="V314" s="164"/>
      <c r="W314" s="45"/>
      <c r="X314" s="45"/>
      <c r="Y314" s="164"/>
      <c r="Z314" s="132"/>
      <c r="AA314" s="45"/>
      <c r="AB314" s="45"/>
      <c r="AC314" s="46"/>
      <c r="AD314" s="46"/>
      <c r="AE314" s="45"/>
      <c r="AF314" s="45"/>
      <c r="AH314" s="51"/>
      <c r="AI314" s="45"/>
      <c r="AJ314" s="45"/>
      <c r="AL314" s="45"/>
      <c r="AM314" s="46"/>
      <c r="AN314" s="46"/>
    </row>
    <row r="315" spans="3:40">
      <c r="F315" s="54"/>
      <c r="H315" s="338"/>
      <c r="I315" s="338"/>
      <c r="J315" s="132"/>
      <c r="K315" s="132"/>
      <c r="L315" s="54"/>
      <c r="M315" s="54"/>
      <c r="N315" s="50"/>
      <c r="O315" s="50"/>
      <c r="P315" s="54"/>
      <c r="Q315" s="54"/>
      <c r="R315" s="54"/>
      <c r="V315" s="54"/>
      <c r="W315" s="45"/>
      <c r="X315" s="45"/>
      <c r="Y315" s="54"/>
      <c r="Z315" s="132"/>
      <c r="AA315" s="54"/>
      <c r="AB315" s="54"/>
      <c r="AC315" s="55"/>
      <c r="AD315" s="55"/>
      <c r="AE315" s="54"/>
      <c r="AF315" s="54"/>
      <c r="AH315" s="51"/>
      <c r="AI315" s="54"/>
      <c r="AJ315" s="54"/>
      <c r="AK315" s="107"/>
      <c r="AL315" s="54"/>
      <c r="AM315" s="46"/>
      <c r="AN315" s="46"/>
    </row>
    <row r="316" spans="3:40">
      <c r="C316" s="42"/>
      <c r="F316" s="45"/>
      <c r="H316" s="45"/>
      <c r="I316" s="45"/>
      <c r="J316" s="132"/>
      <c r="K316" s="132"/>
      <c r="L316" s="45"/>
      <c r="M316" s="45"/>
      <c r="N316" s="51"/>
      <c r="O316" s="51"/>
      <c r="P316" s="45"/>
      <c r="Q316" s="45"/>
      <c r="R316" s="45"/>
      <c r="T316" s="44"/>
      <c r="V316" s="45"/>
      <c r="W316" s="45"/>
      <c r="X316" s="45"/>
      <c r="Y316" s="45"/>
      <c r="Z316" s="132"/>
      <c r="AA316" s="45"/>
      <c r="AB316" s="45"/>
      <c r="AC316" s="51"/>
      <c r="AD316" s="51"/>
      <c r="AE316" s="45"/>
      <c r="AF316" s="45"/>
      <c r="AH316" s="51"/>
      <c r="AI316" s="45"/>
      <c r="AJ316" s="45"/>
      <c r="AL316" s="45"/>
      <c r="AM316" s="46"/>
      <c r="AN316" s="46"/>
    </row>
    <row r="317" spans="3:40">
      <c r="F317" s="49"/>
      <c r="H317" s="49"/>
      <c r="I317" s="49"/>
      <c r="L317" s="49"/>
      <c r="M317" s="49"/>
      <c r="N317" s="55"/>
      <c r="O317" s="55"/>
      <c r="P317" s="54"/>
      <c r="Q317" s="54"/>
      <c r="R317" s="54"/>
      <c r="V317" s="54"/>
      <c r="Y317" s="54"/>
      <c r="Z317" s="326"/>
      <c r="AA317" s="54"/>
      <c r="AB317" s="54"/>
      <c r="AC317" s="54"/>
      <c r="AD317" s="54"/>
      <c r="AE317" s="54"/>
      <c r="AF317" s="54"/>
      <c r="AI317" s="54"/>
      <c r="AJ317" s="54"/>
      <c r="AK317" s="107"/>
      <c r="AL317" s="54"/>
      <c r="AM317" s="55"/>
      <c r="AN317" s="55"/>
    </row>
    <row r="322" spans="1:40">
      <c r="N322" s="45"/>
      <c r="O322" s="45"/>
      <c r="P322" s="45"/>
      <c r="Q322" s="45"/>
      <c r="R322" s="45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>
      <c r="C323" s="42"/>
      <c r="D323" s="42"/>
      <c r="E323" s="42"/>
      <c r="J323" s="56"/>
      <c r="K323" s="56"/>
      <c r="T323" s="42"/>
      <c r="U323" s="42"/>
      <c r="Z323" s="56"/>
      <c r="AE323" s="45"/>
      <c r="AF323" s="45"/>
      <c r="AI323" s="45"/>
      <c r="AJ323" s="45"/>
      <c r="AL323" s="45"/>
      <c r="AM323" s="46"/>
      <c r="AN323" s="46"/>
    </row>
    <row r="324" spans="1:40">
      <c r="D324" s="42"/>
      <c r="E324" s="42"/>
      <c r="F324" s="45"/>
      <c r="H324" s="45"/>
      <c r="I324" s="45"/>
      <c r="J324" s="132"/>
      <c r="K324" s="132"/>
      <c r="L324" s="45"/>
      <c r="M324" s="45"/>
      <c r="N324" s="46"/>
      <c r="O324" s="46"/>
      <c r="P324" s="45"/>
      <c r="Q324" s="45"/>
      <c r="R324" s="45"/>
      <c r="U324" s="42"/>
      <c r="V324" s="45"/>
      <c r="Y324" s="45"/>
      <c r="Z324" s="132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1:40">
      <c r="F325" s="45"/>
      <c r="H325" s="45"/>
      <c r="I325" s="45"/>
      <c r="J325" s="326"/>
      <c r="K325" s="326"/>
      <c r="L325" s="45"/>
      <c r="M325" s="45"/>
      <c r="N325" s="45"/>
      <c r="O325" s="45"/>
      <c r="P325" s="45"/>
      <c r="Q325" s="45"/>
      <c r="R325" s="45"/>
      <c r="V325" s="45"/>
      <c r="Y325" s="45"/>
      <c r="Z325" s="326"/>
      <c r="AA325" s="45"/>
      <c r="AB325" s="45"/>
      <c r="AC325" s="45"/>
      <c r="AD325" s="45"/>
      <c r="AE325" s="45"/>
      <c r="AF325" s="45"/>
      <c r="AH325" s="51"/>
      <c r="AI325" s="164"/>
      <c r="AJ325" s="164"/>
      <c r="AL325" s="45"/>
      <c r="AM325" s="46"/>
      <c r="AN325" s="46"/>
    </row>
    <row r="326" spans="1:40">
      <c r="C326" s="42"/>
      <c r="F326" s="164"/>
      <c r="H326" s="164"/>
      <c r="I326" s="164"/>
      <c r="J326" s="325"/>
      <c r="K326" s="325"/>
      <c r="L326" s="45"/>
      <c r="M326" s="45"/>
      <c r="N326" s="46"/>
      <c r="O326" s="46"/>
      <c r="P326" s="45"/>
      <c r="Q326" s="45"/>
      <c r="R326" s="45"/>
      <c r="T326" s="42"/>
      <c r="V326" s="164"/>
      <c r="Y326" s="164"/>
      <c r="Z326" s="325"/>
      <c r="AA326" s="45"/>
      <c r="AB326" s="45"/>
      <c r="AC326" s="46"/>
      <c r="AD326" s="46"/>
      <c r="AE326" s="45"/>
      <c r="AF326" s="45"/>
      <c r="AH326" s="51"/>
      <c r="AI326" s="45"/>
      <c r="AJ326" s="45"/>
      <c r="AL326" s="45"/>
      <c r="AM326" s="46"/>
      <c r="AN326" s="46"/>
    </row>
    <row r="327" spans="1:40">
      <c r="F327" s="49"/>
      <c r="H327" s="49"/>
      <c r="I327" s="49"/>
      <c r="L327" s="49"/>
      <c r="M327" s="49"/>
      <c r="N327" s="49"/>
      <c r="O327" s="49"/>
      <c r="P327" s="49"/>
      <c r="Q327" s="49"/>
      <c r="R327" s="49"/>
      <c r="V327" s="49"/>
      <c r="Y327" s="49"/>
      <c r="AA327" s="49"/>
      <c r="AB327" s="49"/>
      <c r="AC327" s="49"/>
      <c r="AD327" s="49"/>
      <c r="AE327" s="49"/>
      <c r="AF327" s="49"/>
      <c r="AG327" s="107"/>
      <c r="AH327" s="49"/>
      <c r="AI327" s="49"/>
      <c r="AJ327" s="49"/>
      <c r="AK327" s="107"/>
      <c r="AL327" s="49"/>
      <c r="AM327" s="49"/>
      <c r="AN327" s="49"/>
    </row>
    <row r="328" spans="1:40">
      <c r="C328" s="44"/>
      <c r="F328" s="164"/>
      <c r="H328" s="164"/>
      <c r="I328" s="164"/>
      <c r="J328" s="316"/>
      <c r="K328" s="316"/>
      <c r="L328" s="164"/>
      <c r="M328" s="164"/>
      <c r="N328" s="46"/>
      <c r="O328" s="46"/>
      <c r="P328" s="164"/>
      <c r="Q328" s="164"/>
      <c r="R328" s="164"/>
      <c r="T328" s="44"/>
      <c r="V328" s="45"/>
      <c r="Y328" s="45"/>
      <c r="Z328" s="47"/>
      <c r="AA328" s="45"/>
      <c r="AB328" s="45"/>
      <c r="AC328" s="46"/>
      <c r="AD328" s="46"/>
      <c r="AH328" s="51"/>
      <c r="AI328" s="45"/>
      <c r="AJ328" s="45"/>
      <c r="AL328" s="45"/>
      <c r="AM328" s="46"/>
      <c r="AN328" s="46"/>
    </row>
    <row r="329" spans="1:40">
      <c r="F329" s="54"/>
      <c r="H329" s="54"/>
      <c r="I329" s="54"/>
      <c r="J329" s="326"/>
      <c r="K329" s="326"/>
      <c r="L329" s="54"/>
      <c r="M329" s="54"/>
      <c r="N329" s="54"/>
      <c r="O329" s="54"/>
      <c r="P329" s="54"/>
      <c r="Q329" s="54"/>
      <c r="R329" s="54"/>
      <c r="V329" s="49"/>
      <c r="Y329" s="49"/>
      <c r="AA329" s="49"/>
      <c r="AB329" s="49"/>
      <c r="AC329" s="49"/>
      <c r="AD329" s="49"/>
      <c r="AE329" s="49"/>
      <c r="AF329" s="49"/>
      <c r="AG329" s="107"/>
      <c r="AH329" s="49"/>
      <c r="AI329" s="49"/>
      <c r="AJ329" s="49"/>
      <c r="AK329" s="107"/>
      <c r="AL329" s="49"/>
      <c r="AM329" s="49"/>
      <c r="AN329" s="49"/>
    </row>
    <row r="330" spans="1:40">
      <c r="F330" s="164"/>
      <c r="H330" s="164"/>
      <c r="I330" s="164"/>
      <c r="J330" s="336"/>
      <c r="K330" s="336"/>
      <c r="L330" s="45"/>
      <c r="M330" s="45"/>
      <c r="N330" s="46"/>
      <c r="O330" s="46"/>
      <c r="P330" s="45"/>
      <c r="Q330" s="45"/>
      <c r="R330" s="45"/>
    </row>
    <row r="331" spans="1:40">
      <c r="A331" s="42"/>
      <c r="F331" s="164"/>
      <c r="H331" s="164"/>
      <c r="I331" s="164"/>
      <c r="J331" s="316"/>
      <c r="K331" s="316"/>
      <c r="L331" s="45"/>
      <c r="M331" s="45"/>
      <c r="N331" s="46"/>
      <c r="O331" s="46"/>
      <c r="P331" s="45"/>
      <c r="Q331" s="45"/>
      <c r="R331" s="45"/>
    </row>
    <row r="332" spans="1:40">
      <c r="F332" s="164"/>
      <c r="H332" s="164"/>
      <c r="I332" s="164"/>
      <c r="J332" s="316"/>
      <c r="K332" s="316"/>
      <c r="L332" s="45"/>
      <c r="M332" s="45"/>
      <c r="N332" s="46"/>
      <c r="O332" s="46"/>
      <c r="P332" s="45"/>
      <c r="Q332" s="45"/>
      <c r="R332" s="45"/>
    </row>
    <row r="333" spans="1:40">
      <c r="A333" s="42"/>
    </row>
    <row r="336" spans="1:40">
      <c r="H336" s="42"/>
      <c r="I336" s="42"/>
      <c r="Y336" s="42"/>
    </row>
    <row r="338" spans="1:40">
      <c r="L338" s="42"/>
      <c r="M338" s="42"/>
      <c r="AA338" s="42"/>
      <c r="AB338" s="42"/>
    </row>
    <row r="339" spans="1:40">
      <c r="R339" s="42"/>
      <c r="AK339" s="110"/>
      <c r="AL339" s="42"/>
    </row>
    <row r="340" spans="1:40">
      <c r="R340" s="42"/>
      <c r="AK340" s="110"/>
      <c r="AL340" s="42"/>
    </row>
    <row r="341" spans="1:40">
      <c r="A341" s="42"/>
      <c r="R341" s="42"/>
      <c r="AK341" s="110"/>
      <c r="AL341" s="42"/>
    </row>
    <row r="342" spans="1:40">
      <c r="L342" s="42"/>
      <c r="M342" s="42"/>
      <c r="AA342" s="42"/>
      <c r="AB342" s="42"/>
    </row>
    <row r="343" spans="1:40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107"/>
      <c r="AH343" s="49"/>
      <c r="AI343" s="49"/>
      <c r="AJ343" s="49"/>
      <c r="AK343" s="107"/>
      <c r="AL343" s="49"/>
      <c r="AM343" s="49"/>
      <c r="AN343" s="49"/>
    </row>
    <row r="344" spans="1:40">
      <c r="L344" s="44"/>
      <c r="M344" s="44"/>
      <c r="N344" s="44"/>
      <c r="O344" s="44"/>
      <c r="R344" s="44"/>
      <c r="AA344" s="44"/>
      <c r="AB344" s="44"/>
      <c r="AC344" s="44"/>
      <c r="AD344" s="44"/>
      <c r="AE344" s="44"/>
      <c r="AF344" s="44"/>
      <c r="AG344" s="102"/>
      <c r="AH344" s="44"/>
      <c r="AK344" s="102"/>
      <c r="AL344" s="44"/>
      <c r="AM344" s="44"/>
      <c r="AN344" s="44"/>
    </row>
    <row r="345" spans="1:40">
      <c r="L345" s="44"/>
      <c r="M345" s="44"/>
      <c r="N345" s="44"/>
      <c r="O345" s="44"/>
      <c r="R345" s="44"/>
      <c r="Z345" s="44"/>
      <c r="AA345" s="44"/>
      <c r="AB345" s="44"/>
      <c r="AC345" s="44"/>
      <c r="AD345" s="44"/>
      <c r="AE345" s="44"/>
      <c r="AF345" s="44"/>
      <c r="AG345" s="102"/>
      <c r="AH345" s="44"/>
      <c r="AK345" s="102"/>
      <c r="AL345" s="44"/>
      <c r="AM345" s="44"/>
      <c r="AN345" s="44"/>
    </row>
    <row r="346" spans="1:40">
      <c r="A346" s="44"/>
      <c r="C346" s="44"/>
      <c r="D346" s="44"/>
      <c r="E346" s="44"/>
      <c r="F346" s="44"/>
      <c r="J346" s="44"/>
      <c r="K346" s="44"/>
      <c r="L346" s="44"/>
      <c r="M346" s="44"/>
      <c r="N346" s="44"/>
      <c r="O346" s="44"/>
      <c r="P346" s="44"/>
      <c r="Q346" s="44"/>
      <c r="R346" s="44"/>
      <c r="T346" s="44"/>
      <c r="U346" s="44"/>
      <c r="V346" s="44"/>
      <c r="Z346" s="44"/>
      <c r="AA346" s="44"/>
      <c r="AB346" s="44"/>
      <c r="AC346" s="44"/>
      <c r="AD346" s="44"/>
      <c r="AE346" s="44"/>
      <c r="AF346" s="44"/>
      <c r="AG346" s="102"/>
      <c r="AH346" s="44"/>
      <c r="AI346" s="44"/>
      <c r="AJ346" s="44"/>
      <c r="AK346" s="102"/>
      <c r="AL346" s="44"/>
      <c r="AM346" s="44"/>
      <c r="AN346" s="44"/>
    </row>
    <row r="347" spans="1:40">
      <c r="A347" s="44"/>
      <c r="C347" s="44"/>
      <c r="D347" s="44"/>
      <c r="E347" s="44"/>
      <c r="F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Y347" s="44"/>
      <c r="Z347" s="44"/>
      <c r="AA347" s="44"/>
      <c r="AB347" s="44"/>
      <c r="AC347" s="44"/>
      <c r="AD347" s="44"/>
      <c r="AE347" s="44"/>
      <c r="AF347" s="44"/>
      <c r="AG347" s="102"/>
      <c r="AH347" s="44"/>
      <c r="AI347" s="44"/>
      <c r="AJ347" s="44"/>
      <c r="AK347" s="102"/>
      <c r="AL347" s="44"/>
      <c r="AM347" s="44"/>
      <c r="AN347" s="44"/>
    </row>
    <row r="348" spans="1:40">
      <c r="C348" s="44"/>
      <c r="D348" s="44"/>
      <c r="E348" s="44"/>
      <c r="F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T348" s="44"/>
      <c r="U348" s="44"/>
      <c r="V348" s="44"/>
      <c r="Y348" s="44"/>
      <c r="Z348" s="44"/>
      <c r="AA348" s="44"/>
      <c r="AB348" s="44"/>
      <c r="AC348" s="44"/>
      <c r="AD348" s="44"/>
      <c r="AE348" s="44"/>
      <c r="AF348" s="44"/>
      <c r="AG348" s="102"/>
      <c r="AH348" s="44"/>
      <c r="AI348" s="44"/>
      <c r="AJ348" s="44"/>
      <c r="AK348" s="102"/>
      <c r="AL348" s="44"/>
      <c r="AM348" s="44"/>
      <c r="AN348" s="44"/>
    </row>
    <row r="349" spans="1:40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107"/>
      <c r="AH349" s="49"/>
      <c r="AI349" s="49"/>
      <c r="AJ349" s="49"/>
      <c r="AK349" s="107"/>
      <c r="AL349" s="49"/>
      <c r="AM349" s="49"/>
      <c r="AN349" s="49"/>
    </row>
    <row r="350" spans="1:40"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Y350" s="44"/>
      <c r="Z350" s="44"/>
      <c r="AA350" s="44"/>
      <c r="AB350" s="44"/>
      <c r="AC350" s="44"/>
      <c r="AD350" s="44"/>
      <c r="AE350" s="44"/>
      <c r="AF350" s="44"/>
      <c r="AG350" s="102"/>
      <c r="AH350" s="44"/>
      <c r="AI350" s="44"/>
      <c r="AJ350" s="44"/>
      <c r="AK350" s="102"/>
      <c r="AL350" s="44"/>
      <c r="AM350" s="44"/>
      <c r="AN350" s="44"/>
    </row>
    <row r="351" spans="1:40">
      <c r="C351" s="42"/>
      <c r="D351" s="42"/>
      <c r="E351" s="42"/>
      <c r="T351" s="42"/>
      <c r="U351" s="42"/>
    </row>
    <row r="353" spans="3:40">
      <c r="C353" s="42"/>
      <c r="T353" s="42"/>
    </row>
    <row r="354" spans="3:40">
      <c r="C354" s="42"/>
      <c r="F354" s="164"/>
      <c r="H354" s="164"/>
      <c r="I354" s="164"/>
      <c r="J354" s="326"/>
      <c r="K354" s="326"/>
      <c r="L354" s="45"/>
      <c r="M354" s="45"/>
      <c r="N354" s="46"/>
      <c r="O354" s="46"/>
      <c r="P354" s="45"/>
      <c r="Q354" s="45"/>
      <c r="R354" s="45"/>
      <c r="T354" s="42"/>
      <c r="V354" s="164"/>
      <c r="Y354" s="164"/>
      <c r="Z354" s="326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>
      <c r="C355" s="42"/>
      <c r="T355" s="42"/>
    </row>
    <row r="356" spans="3:40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45"/>
      <c r="Y356" s="45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>
      <c r="C360" s="42"/>
      <c r="J360" s="56"/>
      <c r="K360" s="56"/>
      <c r="T360" s="42"/>
      <c r="Z360" s="56"/>
    </row>
    <row r="361" spans="3:40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Y361" s="45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Y363" s="45"/>
      <c r="Z363" s="132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3:40">
      <c r="C364" s="42"/>
      <c r="J364" s="56"/>
      <c r="K364" s="56"/>
      <c r="T364" s="42"/>
      <c r="Z364" s="56"/>
    </row>
    <row r="365" spans="3:40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>
      <c r="C367" s="42"/>
      <c r="J367" s="56"/>
      <c r="K367" s="56"/>
      <c r="T367" s="42"/>
      <c r="Z367" s="56"/>
    </row>
    <row r="368" spans="3:40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3:40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3:40">
      <c r="F371" s="50"/>
      <c r="H371" s="50"/>
      <c r="I371" s="50"/>
      <c r="J371" s="132"/>
      <c r="K371" s="132"/>
      <c r="L371" s="50"/>
      <c r="M371" s="50"/>
      <c r="N371" s="50"/>
      <c r="O371" s="50"/>
      <c r="P371" s="50"/>
      <c r="Q371" s="50"/>
      <c r="R371" s="50"/>
      <c r="V371" s="50"/>
      <c r="Y371" s="50"/>
      <c r="Z371" s="132"/>
      <c r="AA371" s="50"/>
      <c r="AB371" s="50"/>
      <c r="AC371" s="50"/>
      <c r="AD371" s="50"/>
      <c r="AE371" s="50"/>
      <c r="AF371" s="50"/>
      <c r="AI371" s="50"/>
      <c r="AJ371" s="50"/>
      <c r="AK371" s="111"/>
      <c r="AL371" s="50"/>
    </row>
    <row r="372" spans="3:40">
      <c r="C372" s="44"/>
      <c r="F372" s="45"/>
      <c r="H372" s="45"/>
      <c r="I372" s="45"/>
      <c r="J372" s="56"/>
      <c r="K372" s="56"/>
      <c r="L372" s="45"/>
      <c r="M372" s="45"/>
      <c r="N372" s="51"/>
      <c r="O372" s="51"/>
      <c r="P372" s="45"/>
      <c r="Q372" s="45"/>
      <c r="R372" s="45"/>
      <c r="T372" s="44"/>
      <c r="V372" s="45"/>
      <c r="Y372" s="45"/>
      <c r="Z372" s="56"/>
      <c r="AA372" s="45"/>
      <c r="AB372" s="45"/>
      <c r="AC372" s="45"/>
      <c r="AD372" s="45"/>
      <c r="AE372" s="45"/>
      <c r="AF372" s="45"/>
      <c r="AH372" s="51"/>
      <c r="AI372" s="45"/>
      <c r="AJ372" s="45"/>
      <c r="AL372" s="45"/>
      <c r="AM372" s="46"/>
      <c r="AN372" s="46"/>
    </row>
    <row r="373" spans="3:40">
      <c r="F373" s="50"/>
      <c r="H373" s="50"/>
      <c r="I373" s="50"/>
      <c r="J373" s="132"/>
      <c r="K373" s="132"/>
      <c r="L373" s="50"/>
      <c r="M373" s="50"/>
      <c r="N373" s="50"/>
      <c r="O373" s="50"/>
      <c r="P373" s="50"/>
      <c r="Q373" s="50"/>
      <c r="R373" s="50"/>
      <c r="V373" s="50"/>
      <c r="Y373" s="50"/>
      <c r="Z373" s="132"/>
      <c r="AA373" s="50"/>
      <c r="AB373" s="50"/>
      <c r="AC373" s="50"/>
      <c r="AD373" s="50"/>
      <c r="AE373" s="50"/>
      <c r="AF373" s="50"/>
      <c r="AI373" s="50"/>
      <c r="AJ373" s="50"/>
      <c r="AK373" s="111"/>
      <c r="AL373" s="50"/>
    </row>
    <row r="374" spans="3:40">
      <c r="C374" s="42"/>
      <c r="J374" s="56"/>
      <c r="K374" s="56"/>
      <c r="T374" s="42"/>
      <c r="Z374" s="56"/>
    </row>
    <row r="375" spans="3:40">
      <c r="C375" s="42"/>
      <c r="J375" s="56"/>
      <c r="K375" s="56"/>
      <c r="T375" s="42"/>
      <c r="Z375" s="56"/>
    </row>
    <row r="376" spans="3:40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>
      <c r="C377" s="42"/>
      <c r="F377" s="164"/>
      <c r="H377" s="164"/>
      <c r="I377" s="164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>
      <c r="C379" s="42"/>
      <c r="F379" s="164"/>
      <c r="H379" s="164"/>
      <c r="I379" s="164"/>
      <c r="J379" s="132"/>
      <c r="K379" s="132"/>
      <c r="L379" s="45"/>
      <c r="M379" s="45"/>
      <c r="N379" s="46"/>
      <c r="O379" s="46"/>
      <c r="P379" s="45"/>
      <c r="Q379" s="45"/>
      <c r="R379" s="45"/>
      <c r="T379" s="42"/>
      <c r="V379" s="45"/>
      <c r="Y379" s="45"/>
      <c r="Z379" s="132"/>
      <c r="AA379" s="45"/>
      <c r="AB379" s="45"/>
      <c r="AC379" s="46"/>
      <c r="AD379" s="46"/>
      <c r="AE379" s="45"/>
      <c r="AF379" s="45"/>
      <c r="AH379" s="51"/>
      <c r="AI379" s="45"/>
      <c r="AJ379" s="45"/>
      <c r="AL379" s="45"/>
      <c r="AM379" s="46"/>
      <c r="AN379" s="46"/>
    </row>
    <row r="380" spans="3:40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132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>
      <c r="C383" s="42"/>
      <c r="J383" s="56"/>
      <c r="K383" s="56"/>
      <c r="T383" s="42"/>
      <c r="Z383" s="56"/>
    </row>
    <row r="384" spans="3:40">
      <c r="C384" s="42"/>
      <c r="F384" s="164"/>
      <c r="H384" s="164"/>
      <c r="I384" s="164"/>
      <c r="J384" s="132"/>
      <c r="K384" s="132"/>
      <c r="L384" s="45"/>
      <c r="M384" s="45"/>
      <c r="N384" s="46"/>
      <c r="O384" s="46"/>
      <c r="P384" s="45"/>
      <c r="Q384" s="45"/>
      <c r="R384" s="45"/>
      <c r="T384" s="42"/>
      <c r="V384" s="45"/>
      <c r="Y384" s="45"/>
      <c r="Z384" s="132"/>
      <c r="AA384" s="45"/>
      <c r="AB384" s="45"/>
      <c r="AC384" s="46"/>
      <c r="AD384" s="46"/>
      <c r="AE384" s="45"/>
      <c r="AF384" s="45"/>
      <c r="AH384" s="51"/>
      <c r="AI384" s="45"/>
      <c r="AJ384" s="45"/>
      <c r="AL384" s="45"/>
      <c r="AM384" s="46"/>
      <c r="AN384" s="46"/>
    </row>
    <row r="385" spans="3:40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Y385" s="45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Y386" s="45"/>
      <c r="Z386" s="132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45"/>
      <c r="Y387" s="45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>
      <c r="C388" s="42"/>
      <c r="J388" s="56"/>
      <c r="K388" s="56"/>
      <c r="T388" s="42"/>
      <c r="Z388" s="56"/>
    </row>
    <row r="389" spans="3:40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Y389" s="45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Y390" s="45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>
      <c r="C392" s="42"/>
      <c r="F392" s="164"/>
      <c r="H392" s="164"/>
      <c r="I392" s="164"/>
      <c r="J392" s="132"/>
      <c r="K392" s="132"/>
      <c r="L392" s="45"/>
      <c r="M392" s="45"/>
      <c r="N392" s="46"/>
      <c r="O392" s="46"/>
      <c r="P392" s="45"/>
      <c r="Q392" s="45"/>
      <c r="R392" s="45"/>
      <c r="T392" s="42"/>
      <c r="V392" s="45"/>
      <c r="Y392" s="45"/>
      <c r="Z392" s="132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3:40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>
      <c r="F394" s="50"/>
      <c r="H394" s="50"/>
      <c r="I394" s="50"/>
      <c r="J394" s="326"/>
      <c r="K394" s="326"/>
      <c r="L394" s="50"/>
      <c r="M394" s="50"/>
      <c r="N394" s="50"/>
      <c r="O394" s="50"/>
      <c r="P394" s="50"/>
      <c r="Q394" s="50"/>
      <c r="R394" s="50"/>
      <c r="V394" s="50"/>
      <c r="Y394" s="50"/>
      <c r="Z394" s="132"/>
      <c r="AA394" s="50"/>
      <c r="AB394" s="50"/>
      <c r="AC394" s="50"/>
      <c r="AD394" s="50"/>
      <c r="AE394" s="50"/>
      <c r="AF394" s="50"/>
      <c r="AI394" s="50"/>
      <c r="AJ394" s="50"/>
      <c r="AK394" s="111"/>
      <c r="AL394" s="50"/>
    </row>
    <row r="395" spans="3:40">
      <c r="C395" s="42"/>
      <c r="F395" s="45"/>
      <c r="H395" s="45"/>
      <c r="I395" s="45"/>
      <c r="L395" s="45"/>
      <c r="M395" s="45"/>
      <c r="N395" s="51"/>
      <c r="O395" s="51"/>
      <c r="P395" s="45"/>
      <c r="Q395" s="45"/>
      <c r="R395" s="45"/>
      <c r="T395" s="42"/>
      <c r="V395" s="45"/>
      <c r="Y395" s="45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>
      <c r="F396" s="50"/>
      <c r="H396" s="50"/>
      <c r="I396" s="50"/>
      <c r="J396" s="326"/>
      <c r="K396" s="326"/>
      <c r="L396" s="50"/>
      <c r="M396" s="50"/>
      <c r="N396" s="50"/>
      <c r="O396" s="50"/>
      <c r="P396" s="50"/>
      <c r="Q396" s="50"/>
      <c r="R396" s="50"/>
      <c r="V396" s="50"/>
      <c r="Y396" s="50"/>
      <c r="Z396" s="326"/>
      <c r="AA396" s="50"/>
      <c r="AB396" s="50"/>
      <c r="AC396" s="50"/>
      <c r="AD396" s="50"/>
      <c r="AE396" s="50"/>
      <c r="AF396" s="50"/>
      <c r="AI396" s="50"/>
      <c r="AJ396" s="50"/>
      <c r="AK396" s="111"/>
      <c r="AL396" s="50"/>
    </row>
    <row r="397" spans="3:40">
      <c r="C397" s="42"/>
      <c r="T397" s="42"/>
    </row>
    <row r="398" spans="3:40">
      <c r="C398" s="42"/>
      <c r="F398" s="164"/>
      <c r="H398" s="164"/>
      <c r="I398" s="164"/>
      <c r="J398" s="316"/>
      <c r="K398" s="316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Z398" s="316"/>
      <c r="AA398" s="45"/>
      <c r="AB398" s="45"/>
      <c r="AC398" s="46"/>
      <c r="AD398" s="46"/>
      <c r="AE398" s="45"/>
      <c r="AF398" s="45"/>
      <c r="AH398" s="51"/>
      <c r="AI398" s="45"/>
      <c r="AJ398" s="45"/>
      <c r="AL398" s="45"/>
      <c r="AM398" s="46"/>
      <c r="AN398" s="46"/>
    </row>
    <row r="399" spans="3:40">
      <c r="C399" s="42"/>
      <c r="F399" s="164"/>
      <c r="H399" s="164"/>
      <c r="I399" s="164"/>
      <c r="J399" s="316"/>
      <c r="K399" s="316"/>
      <c r="L399" s="45"/>
      <c r="M399" s="45"/>
      <c r="N399" s="46"/>
      <c r="O399" s="46"/>
      <c r="P399" s="45"/>
      <c r="Q399" s="45"/>
      <c r="R399" s="45"/>
      <c r="T399" s="42"/>
      <c r="V399" s="45"/>
      <c r="Y399" s="45"/>
      <c r="Z399" s="316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>
      <c r="F400" s="50"/>
      <c r="H400" s="45"/>
      <c r="I400" s="45"/>
      <c r="J400" s="326"/>
      <c r="K400" s="326"/>
      <c r="L400" s="50"/>
      <c r="M400" s="50"/>
      <c r="N400" s="50"/>
      <c r="O400" s="50"/>
      <c r="P400" s="50"/>
      <c r="Q400" s="50"/>
      <c r="R400" s="50"/>
      <c r="V400" s="50"/>
      <c r="Y400" s="45"/>
      <c r="Z400" s="326"/>
      <c r="AA400" s="50"/>
      <c r="AB400" s="50"/>
      <c r="AC400" s="50"/>
      <c r="AD400" s="50"/>
      <c r="AE400" s="50"/>
      <c r="AF400" s="50"/>
      <c r="AI400" s="50"/>
      <c r="AJ400" s="50"/>
      <c r="AK400" s="111"/>
      <c r="AL400" s="50"/>
    </row>
    <row r="401" spans="1:40">
      <c r="F401" s="45"/>
      <c r="H401" s="45"/>
      <c r="I401" s="45"/>
      <c r="J401" s="326"/>
      <c r="K401" s="326"/>
      <c r="L401" s="45"/>
      <c r="M401" s="45"/>
      <c r="N401" s="45"/>
      <c r="O401" s="45"/>
      <c r="P401" s="45"/>
      <c r="Q401" s="45"/>
      <c r="R401" s="45"/>
      <c r="V401" s="45"/>
      <c r="Y401" s="45"/>
      <c r="Z401" s="326"/>
      <c r="AA401" s="45"/>
      <c r="AB401" s="45"/>
      <c r="AC401" s="45"/>
      <c r="AD401" s="45"/>
      <c r="AE401" s="45"/>
      <c r="AF401" s="45"/>
      <c r="AI401" s="45"/>
      <c r="AJ401" s="45"/>
      <c r="AL401" s="45"/>
    </row>
    <row r="402" spans="1:40">
      <c r="C402" s="42"/>
      <c r="F402" s="45"/>
      <c r="H402" s="45"/>
      <c r="I402" s="45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AA402" s="45"/>
      <c r="AB402" s="45"/>
      <c r="AC402" s="46"/>
      <c r="AD402" s="46"/>
      <c r="AE402" s="45"/>
      <c r="AF402" s="45"/>
      <c r="AH402" s="51"/>
      <c r="AI402" s="164"/>
      <c r="AJ402" s="164"/>
      <c r="AL402" s="45"/>
      <c r="AM402" s="46"/>
      <c r="AN402" s="46"/>
    </row>
    <row r="403" spans="1:40">
      <c r="H403" s="50"/>
      <c r="I403" s="50"/>
      <c r="J403" s="326"/>
      <c r="K403" s="326"/>
      <c r="L403" s="50"/>
      <c r="M403" s="50"/>
      <c r="N403" s="50"/>
      <c r="O403" s="50"/>
      <c r="P403" s="50"/>
      <c r="Q403" s="50"/>
      <c r="R403" s="50"/>
      <c r="V403" s="50"/>
      <c r="Y403" s="50"/>
      <c r="Z403" s="326"/>
      <c r="AA403" s="50"/>
      <c r="AB403" s="50"/>
      <c r="AC403" s="50"/>
      <c r="AD403" s="50"/>
      <c r="AE403" s="50"/>
      <c r="AF403" s="50"/>
      <c r="AI403" s="50"/>
      <c r="AJ403" s="50"/>
      <c r="AK403" s="111"/>
      <c r="AL403" s="50"/>
    </row>
    <row r="404" spans="1:40">
      <c r="F404" s="50"/>
    </row>
    <row r="405" spans="1:40">
      <c r="A405" s="42"/>
      <c r="T405" s="42"/>
    </row>
    <row r="406" spans="1:40">
      <c r="A406" s="42"/>
      <c r="T406" s="42"/>
    </row>
    <row r="407" spans="1:40">
      <c r="A407" s="42"/>
      <c r="T407" s="42"/>
    </row>
    <row r="408" spans="1:40">
      <c r="A408" s="42"/>
      <c r="T408" s="42"/>
    </row>
    <row r="409" spans="1:40">
      <c r="A409" s="42"/>
      <c r="T409" s="42"/>
    </row>
    <row r="410" spans="1:40">
      <c r="A410" s="42"/>
      <c r="T410" s="42"/>
    </row>
    <row r="411" spans="1:40">
      <c r="A411" s="42"/>
      <c r="T411" s="42"/>
    </row>
    <row r="412" spans="1:40">
      <c r="A412" s="42"/>
      <c r="T412" s="42"/>
    </row>
    <row r="413" spans="1:40">
      <c r="A413" s="42"/>
      <c r="T413" s="42"/>
    </row>
    <row r="415" spans="1:40">
      <c r="A415" s="42"/>
    </row>
    <row r="417" spans="1:40">
      <c r="H417" s="42"/>
      <c r="I417" s="42"/>
      <c r="Y417" s="42"/>
    </row>
    <row r="419" spans="1:40">
      <c r="L419" s="42"/>
      <c r="M419" s="42"/>
      <c r="AA419" s="42"/>
      <c r="AB419" s="42"/>
    </row>
    <row r="420" spans="1:40">
      <c r="R420" s="42"/>
      <c r="AK420" s="110"/>
      <c r="AL420" s="42"/>
    </row>
    <row r="421" spans="1:40">
      <c r="R421" s="42"/>
      <c r="AK421" s="110"/>
      <c r="AL421" s="42"/>
    </row>
    <row r="422" spans="1:40">
      <c r="A422" s="42"/>
      <c r="R422" s="42"/>
      <c r="AK422" s="110"/>
      <c r="AL422" s="42"/>
    </row>
    <row r="423" spans="1:40">
      <c r="L423" s="42"/>
      <c r="M423" s="42"/>
      <c r="AA423" s="42"/>
      <c r="AB423" s="42"/>
    </row>
    <row r="424" spans="1:40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107"/>
      <c r="AH424" s="49"/>
      <c r="AI424" s="49"/>
      <c r="AJ424" s="49"/>
      <c r="AK424" s="107"/>
      <c r="AL424" s="49"/>
      <c r="AM424" s="49"/>
      <c r="AN424" s="49"/>
    </row>
    <row r="425" spans="1:40">
      <c r="L425" s="44"/>
      <c r="M425" s="44"/>
      <c r="N425" s="44"/>
      <c r="O425" s="44"/>
      <c r="R425" s="44"/>
      <c r="AA425" s="44"/>
      <c r="AB425" s="44"/>
      <c r="AC425" s="44"/>
      <c r="AD425" s="44"/>
      <c r="AE425" s="44"/>
      <c r="AF425" s="44"/>
      <c r="AG425" s="102"/>
      <c r="AH425" s="44"/>
      <c r="AK425" s="102"/>
      <c r="AL425" s="44"/>
      <c r="AM425" s="44"/>
      <c r="AN425" s="44"/>
    </row>
    <row r="426" spans="1:40">
      <c r="L426" s="44"/>
      <c r="M426" s="44"/>
      <c r="N426" s="44"/>
      <c r="O426" s="44"/>
      <c r="R426" s="44"/>
      <c r="Z426" s="44"/>
      <c r="AA426" s="44"/>
      <c r="AB426" s="44"/>
      <c r="AC426" s="44"/>
      <c r="AD426" s="44"/>
      <c r="AE426" s="44"/>
      <c r="AF426" s="44"/>
      <c r="AG426" s="102"/>
      <c r="AH426" s="44"/>
      <c r="AK426" s="102"/>
      <c r="AL426" s="44"/>
      <c r="AM426" s="44"/>
      <c r="AN426" s="44"/>
    </row>
    <row r="427" spans="1:40">
      <c r="A427" s="44"/>
      <c r="C427" s="44"/>
      <c r="D427" s="44"/>
      <c r="E427" s="44"/>
      <c r="F427" s="44"/>
      <c r="J427" s="44"/>
      <c r="K427" s="44"/>
      <c r="L427" s="44"/>
      <c r="M427" s="44"/>
      <c r="N427" s="44"/>
      <c r="O427" s="44"/>
      <c r="P427" s="44"/>
      <c r="Q427" s="44"/>
      <c r="R427" s="44"/>
      <c r="T427" s="44"/>
      <c r="U427" s="44"/>
      <c r="V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>
      <c r="A428" s="44"/>
      <c r="C428" s="44"/>
      <c r="D428" s="44"/>
      <c r="E428" s="44"/>
      <c r="F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T428" s="44"/>
      <c r="U428" s="44"/>
      <c r="V428" s="44"/>
      <c r="Y428" s="44"/>
      <c r="Z428" s="44"/>
      <c r="AA428" s="44"/>
      <c r="AB428" s="44"/>
      <c r="AC428" s="44"/>
      <c r="AD428" s="44"/>
      <c r="AE428" s="44"/>
      <c r="AF428" s="44"/>
      <c r="AG428" s="102"/>
      <c r="AH428" s="44"/>
      <c r="AI428" s="44"/>
      <c r="AJ428" s="44"/>
      <c r="AK428" s="102"/>
      <c r="AL428" s="44"/>
      <c r="AM428" s="44"/>
      <c r="AN428" s="44"/>
    </row>
    <row r="429" spans="1:40">
      <c r="C429" s="44"/>
      <c r="D429" s="44"/>
      <c r="E429" s="44"/>
      <c r="F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T429" s="44"/>
      <c r="U429" s="44"/>
      <c r="V429" s="44"/>
      <c r="Y429" s="44"/>
      <c r="Z429" s="44"/>
      <c r="AA429" s="44"/>
      <c r="AB429" s="44"/>
      <c r="AC429" s="44"/>
      <c r="AD429" s="44"/>
      <c r="AE429" s="44"/>
      <c r="AF429" s="44"/>
      <c r="AG429" s="102"/>
      <c r="AH429" s="44"/>
      <c r="AI429" s="44"/>
      <c r="AJ429" s="44"/>
      <c r="AK429" s="102"/>
      <c r="AL429" s="44"/>
      <c r="AM429" s="44"/>
      <c r="AN429" s="44"/>
    </row>
    <row r="430" spans="1:40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107"/>
      <c r="AH430" s="49"/>
      <c r="AI430" s="49"/>
      <c r="AJ430" s="49"/>
      <c r="AK430" s="107"/>
      <c r="AL430" s="49"/>
      <c r="AM430" s="49"/>
      <c r="AN430" s="49"/>
    </row>
    <row r="431" spans="1:40"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Y431" s="44"/>
      <c r="Z431" s="44"/>
      <c r="AA431" s="44"/>
      <c r="AB431" s="44"/>
      <c r="AC431" s="44"/>
      <c r="AD431" s="44"/>
      <c r="AE431" s="44"/>
      <c r="AF431" s="44"/>
      <c r="AG431" s="102"/>
      <c r="AH431" s="44"/>
      <c r="AI431" s="44"/>
      <c r="AJ431" s="44"/>
      <c r="AK431" s="102"/>
      <c r="AL431" s="44"/>
      <c r="AM431" s="44"/>
      <c r="AN431" s="44"/>
    </row>
    <row r="432" spans="1:40">
      <c r="C432" s="42"/>
      <c r="D432" s="42"/>
      <c r="E432" s="42"/>
      <c r="T432" s="42"/>
      <c r="U432" s="42"/>
    </row>
    <row r="433" spans="3:40">
      <c r="D433" s="42"/>
      <c r="E433" s="42"/>
      <c r="U433" s="42"/>
    </row>
    <row r="435" spans="3:40">
      <c r="C435" s="42"/>
      <c r="F435" s="45"/>
      <c r="J435" s="53"/>
      <c r="K435" s="53"/>
      <c r="L435" s="45"/>
      <c r="M435" s="45"/>
      <c r="R435" s="45"/>
      <c r="T435" s="42"/>
      <c r="V435" s="45"/>
      <c r="Z435" s="53"/>
      <c r="AA435" s="45"/>
      <c r="AB435" s="45"/>
      <c r="AH435" s="45"/>
      <c r="AL435" s="45"/>
    </row>
    <row r="436" spans="3:40">
      <c r="C436" s="42"/>
      <c r="F436" s="45"/>
      <c r="R436" s="45"/>
      <c r="T436" s="42"/>
      <c r="V436" s="45"/>
      <c r="AH436" s="45"/>
      <c r="AL436" s="45"/>
    </row>
    <row r="437" spans="3:40">
      <c r="AI437" s="45"/>
      <c r="AJ437" s="45"/>
      <c r="AL437" s="45"/>
      <c r="AM437" s="46"/>
      <c r="AN437" s="46"/>
    </row>
    <row r="438" spans="3:40">
      <c r="C438" s="42"/>
      <c r="F438" s="164"/>
      <c r="H438" s="164"/>
      <c r="I438" s="164"/>
      <c r="J438" s="336"/>
      <c r="K438" s="336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336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>
      <c r="F439" s="45"/>
      <c r="H439" s="45"/>
      <c r="I439" s="45"/>
      <c r="J439" s="47"/>
      <c r="K439" s="47"/>
      <c r="L439" s="45"/>
      <c r="M439" s="45"/>
      <c r="P439" s="45"/>
      <c r="Q439" s="45"/>
      <c r="R439" s="45"/>
      <c r="V439" s="45"/>
      <c r="Y439" s="45"/>
      <c r="Z439" s="47"/>
      <c r="AA439" s="45"/>
      <c r="AB439" s="45"/>
      <c r="AI439" s="45"/>
      <c r="AJ439" s="45"/>
      <c r="AL439" s="45"/>
      <c r="AM439" s="46"/>
      <c r="AN439" s="46"/>
    </row>
    <row r="440" spans="3:40">
      <c r="F440" s="45"/>
      <c r="R440" s="45"/>
      <c r="V440" s="45"/>
      <c r="AL440" s="45"/>
      <c r="AM440" s="46"/>
      <c r="AN440" s="46"/>
    </row>
    <row r="441" spans="3:40">
      <c r="C441" s="42"/>
      <c r="F441" s="45"/>
      <c r="J441" s="53"/>
      <c r="K441" s="53"/>
      <c r="L441" s="45"/>
      <c r="M441" s="45"/>
      <c r="N441" s="46"/>
      <c r="O441" s="46"/>
      <c r="R441" s="45"/>
      <c r="T441" s="42"/>
      <c r="V441" s="45"/>
      <c r="Z441" s="53"/>
      <c r="AA441" s="45"/>
      <c r="AB441" s="45"/>
      <c r="AC441" s="46"/>
      <c r="AD441" s="46"/>
      <c r="AL441" s="45"/>
      <c r="AM441" s="46"/>
      <c r="AN441" s="46"/>
    </row>
    <row r="442" spans="3:40">
      <c r="C442" s="42"/>
      <c r="F442" s="45"/>
      <c r="H442" s="45"/>
      <c r="I442" s="45"/>
      <c r="J442" s="53"/>
      <c r="K442" s="53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53"/>
      <c r="AA442" s="45"/>
      <c r="AB442" s="45"/>
      <c r="AC442" s="46"/>
      <c r="AD442" s="46"/>
      <c r="AI442" s="45"/>
      <c r="AJ442" s="45"/>
      <c r="AL442" s="45"/>
      <c r="AM442" s="46"/>
      <c r="AN442" s="46"/>
    </row>
    <row r="443" spans="3:40">
      <c r="C443" s="42"/>
      <c r="T443" s="42"/>
      <c r="AM443" s="46"/>
      <c r="AN443" s="46"/>
    </row>
    <row r="444" spans="3:40">
      <c r="C444" s="42"/>
      <c r="T444" s="42"/>
      <c r="AM444" s="46"/>
      <c r="AN444" s="46"/>
    </row>
    <row r="445" spans="3:40">
      <c r="AM445" s="46"/>
      <c r="AN445" s="46"/>
    </row>
    <row r="446" spans="3:40">
      <c r="C446" s="42"/>
      <c r="F446" s="164"/>
      <c r="H446" s="164"/>
      <c r="I446" s="164"/>
      <c r="J446" s="336"/>
      <c r="K446" s="336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336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>
      <c r="F447" s="50"/>
      <c r="H447" s="50"/>
      <c r="I447" s="50"/>
      <c r="J447" s="326"/>
      <c r="K447" s="326"/>
      <c r="L447" s="50"/>
      <c r="M447" s="50"/>
      <c r="N447" s="50"/>
      <c r="O447" s="50"/>
      <c r="P447" s="50"/>
      <c r="Q447" s="50"/>
      <c r="R447" s="50"/>
      <c r="V447" s="50"/>
      <c r="Y447" s="50"/>
      <c r="Z447" s="326"/>
      <c r="AA447" s="50"/>
      <c r="AB447" s="50"/>
      <c r="AC447" s="50"/>
      <c r="AD447" s="50"/>
      <c r="AE447" s="50"/>
      <c r="AF447" s="50"/>
      <c r="AI447" s="50"/>
      <c r="AJ447" s="50"/>
      <c r="AK447" s="111"/>
      <c r="AL447" s="50"/>
      <c r="AM447" s="46"/>
      <c r="AN447" s="46"/>
    </row>
    <row r="448" spans="3:40">
      <c r="H448" s="45"/>
      <c r="I448" s="45"/>
      <c r="Y448" s="45"/>
      <c r="AM448" s="46"/>
      <c r="AN448" s="46"/>
    </row>
    <row r="449" spans="1:40">
      <c r="C449" s="42"/>
      <c r="F449" s="45"/>
      <c r="H449" s="45"/>
      <c r="I449" s="45"/>
      <c r="L449" s="45"/>
      <c r="M449" s="45"/>
      <c r="N449" s="46"/>
      <c r="O449" s="46"/>
      <c r="P449" s="164"/>
      <c r="Q449" s="164"/>
      <c r="R449" s="45"/>
      <c r="T449" s="42"/>
      <c r="V449" s="45"/>
      <c r="Y449" s="45"/>
      <c r="AA449" s="45"/>
      <c r="AB449" s="45"/>
      <c r="AC449" s="46"/>
      <c r="AD449" s="46"/>
      <c r="AE449" s="45"/>
      <c r="AF449" s="45"/>
      <c r="AH449" s="51"/>
      <c r="AI449" s="164"/>
      <c r="AJ449" s="164"/>
      <c r="AL449" s="45"/>
      <c r="AM449" s="46"/>
      <c r="AN449" s="46"/>
    </row>
    <row r="450" spans="1:40">
      <c r="H450" s="50"/>
      <c r="I450" s="50"/>
      <c r="J450" s="326"/>
      <c r="K450" s="326"/>
      <c r="L450" s="50"/>
      <c r="M450" s="50"/>
      <c r="N450" s="50"/>
      <c r="O450" s="50"/>
      <c r="P450" s="50"/>
      <c r="Q450" s="50"/>
      <c r="R450" s="50"/>
      <c r="V450" s="50"/>
      <c r="Y450" s="50"/>
      <c r="Z450" s="326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  <c r="AM450" s="46"/>
      <c r="AN450" s="46"/>
    </row>
    <row r="451" spans="1:40">
      <c r="F451" s="50"/>
    </row>
    <row r="452" spans="1:40">
      <c r="F452" s="45"/>
      <c r="H452" s="45"/>
      <c r="I452" s="45"/>
      <c r="J452" s="47"/>
      <c r="K452" s="47"/>
      <c r="L452" s="45"/>
      <c r="M452" s="45"/>
      <c r="N452" s="45"/>
      <c r="O452" s="45"/>
      <c r="P452" s="45"/>
      <c r="Q452" s="45"/>
      <c r="R452" s="45"/>
      <c r="V452" s="45"/>
      <c r="Y452" s="45"/>
      <c r="Z452" s="47"/>
      <c r="AA452" s="45"/>
      <c r="AB452" s="45"/>
      <c r="AC452" s="45"/>
      <c r="AD452" s="45"/>
      <c r="AE452" s="45"/>
      <c r="AF452" s="45"/>
      <c r="AH452" s="45"/>
      <c r="AI452" s="45"/>
      <c r="AJ452" s="45"/>
      <c r="AL452" s="45"/>
    </row>
    <row r="453" spans="1:40">
      <c r="A453" s="42"/>
    </row>
    <row r="455" spans="1:40">
      <c r="H455" s="42"/>
      <c r="I455" s="42"/>
      <c r="Y455" s="42"/>
    </row>
    <row r="457" spans="1:40">
      <c r="L457" s="42"/>
      <c r="M457" s="42"/>
      <c r="AA457" s="42"/>
      <c r="AB457" s="42"/>
    </row>
    <row r="458" spans="1:40">
      <c r="R458" s="42"/>
      <c r="AK458" s="110"/>
      <c r="AL458" s="42"/>
    </row>
    <row r="459" spans="1:40">
      <c r="R459" s="42"/>
      <c r="AK459" s="110"/>
      <c r="AL459" s="42"/>
    </row>
    <row r="460" spans="1:40">
      <c r="A460" s="42"/>
      <c r="R460" s="42"/>
      <c r="AK460" s="110"/>
      <c r="AL460" s="42"/>
    </row>
    <row r="461" spans="1:40">
      <c r="L461" s="42"/>
      <c r="M461" s="42"/>
      <c r="AA461" s="42"/>
      <c r="AB461" s="42"/>
    </row>
    <row r="462" spans="1:40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107"/>
      <c r="AH462" s="49"/>
      <c r="AI462" s="49"/>
      <c r="AJ462" s="49"/>
      <c r="AK462" s="107"/>
      <c r="AL462" s="49"/>
      <c r="AM462" s="49"/>
      <c r="AN462" s="49"/>
    </row>
    <row r="463" spans="1:40">
      <c r="L463" s="44"/>
      <c r="M463" s="44"/>
      <c r="N463" s="44"/>
      <c r="O463" s="44"/>
      <c r="R463" s="44"/>
      <c r="AA463" s="44"/>
      <c r="AB463" s="44"/>
      <c r="AC463" s="44"/>
      <c r="AD463" s="44"/>
      <c r="AE463" s="44"/>
      <c r="AF463" s="44"/>
      <c r="AG463" s="102"/>
      <c r="AH463" s="44"/>
      <c r="AK463" s="102"/>
      <c r="AL463" s="44"/>
      <c r="AM463" s="44"/>
      <c r="AN463" s="44"/>
    </row>
    <row r="464" spans="1:40">
      <c r="L464" s="44"/>
      <c r="M464" s="44"/>
      <c r="N464" s="44"/>
      <c r="O464" s="44"/>
      <c r="R464" s="44"/>
      <c r="Z464" s="44"/>
      <c r="AA464" s="44"/>
      <c r="AB464" s="44"/>
      <c r="AC464" s="44"/>
      <c r="AD464" s="44"/>
      <c r="AE464" s="44"/>
      <c r="AF464" s="44"/>
      <c r="AG464" s="102"/>
      <c r="AH464" s="44"/>
      <c r="AK464" s="102"/>
      <c r="AL464" s="44"/>
      <c r="AM464" s="44"/>
      <c r="AN464" s="44"/>
    </row>
    <row r="465" spans="1:40">
      <c r="A465" s="44"/>
      <c r="C465" s="44"/>
      <c r="D465" s="44"/>
      <c r="E465" s="44"/>
      <c r="F465" s="44"/>
      <c r="J465" s="44"/>
      <c r="K465" s="44"/>
      <c r="L465" s="44"/>
      <c r="M465" s="44"/>
      <c r="N465" s="44"/>
      <c r="O465" s="44"/>
      <c r="P465" s="44"/>
      <c r="Q465" s="44"/>
      <c r="R465" s="44"/>
      <c r="T465" s="44"/>
      <c r="U465" s="44"/>
      <c r="V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1:40">
      <c r="A466" s="44"/>
      <c r="C466" s="44"/>
      <c r="D466" s="44"/>
      <c r="E466" s="44"/>
      <c r="F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T466" s="44"/>
      <c r="U466" s="44"/>
      <c r="V466" s="44"/>
      <c r="Y466" s="44"/>
      <c r="Z466" s="44"/>
      <c r="AA466" s="44"/>
      <c r="AB466" s="44"/>
      <c r="AC466" s="44"/>
      <c r="AD466" s="44"/>
      <c r="AE466" s="44"/>
      <c r="AF466" s="44"/>
      <c r="AG466" s="102"/>
      <c r="AH466" s="44"/>
      <c r="AI466" s="44"/>
      <c r="AJ466" s="44"/>
      <c r="AK466" s="102"/>
      <c r="AL466" s="44"/>
      <c r="AM466" s="44"/>
      <c r="AN466" s="44"/>
    </row>
    <row r="467" spans="1:40">
      <c r="C467" s="44"/>
      <c r="D467" s="44"/>
      <c r="E467" s="44"/>
      <c r="F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T467" s="44"/>
      <c r="U467" s="44"/>
      <c r="V467" s="44"/>
      <c r="Y467" s="44"/>
      <c r="Z467" s="44"/>
      <c r="AA467" s="44"/>
      <c r="AB467" s="44"/>
      <c r="AC467" s="44"/>
      <c r="AD467" s="44"/>
      <c r="AE467" s="44"/>
      <c r="AF467" s="44"/>
      <c r="AG467" s="102"/>
      <c r="AH467" s="44"/>
      <c r="AI467" s="44"/>
      <c r="AJ467" s="44"/>
      <c r="AK467" s="102"/>
      <c r="AL467" s="44"/>
      <c r="AM467" s="44"/>
      <c r="AN467" s="44"/>
    </row>
    <row r="468" spans="1:40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107"/>
      <c r="AH468" s="49"/>
      <c r="AI468" s="49"/>
      <c r="AJ468" s="49"/>
      <c r="AK468" s="107"/>
      <c r="AL468" s="49"/>
      <c r="AM468" s="49"/>
      <c r="AN468" s="49"/>
    </row>
    <row r="469" spans="1:40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Y469" s="44"/>
      <c r="Z469" s="44"/>
      <c r="AA469" s="44"/>
      <c r="AB469" s="44"/>
      <c r="AC469" s="44"/>
      <c r="AD469" s="44"/>
      <c r="AE469" s="44"/>
      <c r="AF469" s="44"/>
      <c r="AG469" s="102"/>
      <c r="AH469" s="44"/>
      <c r="AI469" s="44"/>
      <c r="AJ469" s="44"/>
      <c r="AK469" s="102"/>
      <c r="AL469" s="44"/>
      <c r="AM469" s="44"/>
      <c r="AN469" s="44"/>
    </row>
    <row r="470" spans="1:40">
      <c r="C470" s="42"/>
      <c r="D470" s="42"/>
      <c r="E470" s="42"/>
      <c r="T470" s="42"/>
      <c r="U470" s="42"/>
      <c r="V470" s="45"/>
      <c r="W470" s="45"/>
      <c r="X470" s="45"/>
      <c r="Y470" s="45"/>
      <c r="Z470" s="336"/>
    </row>
    <row r="472" spans="1:40">
      <c r="C472" s="42"/>
      <c r="T472" s="42"/>
      <c r="V472" s="45"/>
      <c r="W472" s="45"/>
      <c r="X472" s="45"/>
      <c r="Y472" s="45"/>
      <c r="Z472" s="336"/>
    </row>
    <row r="473" spans="1:40">
      <c r="C473" s="42"/>
      <c r="F473" s="164"/>
      <c r="H473" s="164"/>
      <c r="I473" s="164"/>
      <c r="J473" s="132"/>
      <c r="K473" s="132"/>
      <c r="L473" s="45"/>
      <c r="M473" s="45"/>
      <c r="N473" s="46"/>
      <c r="O473" s="46"/>
      <c r="P473" s="45"/>
      <c r="Q473" s="45"/>
      <c r="R473" s="45"/>
      <c r="T473" s="42"/>
      <c r="V473" s="45"/>
      <c r="W473" s="45"/>
      <c r="X473" s="45"/>
      <c r="Y473" s="45"/>
      <c r="Z473" s="132"/>
      <c r="AA473" s="45"/>
      <c r="AB473" s="45"/>
      <c r="AC473" s="46"/>
      <c r="AD473" s="46"/>
      <c r="AE473" s="45"/>
      <c r="AF473" s="45"/>
      <c r="AH473" s="51"/>
      <c r="AI473" s="45"/>
      <c r="AJ473" s="45"/>
      <c r="AL473" s="45"/>
      <c r="AM473" s="46"/>
      <c r="AN473" s="46"/>
    </row>
    <row r="474" spans="1:40">
      <c r="C474" s="42"/>
      <c r="F474" s="164"/>
      <c r="H474" s="164"/>
      <c r="I474" s="164"/>
      <c r="J474" s="132"/>
      <c r="K474" s="132"/>
      <c r="L474" s="45"/>
      <c r="M474" s="45"/>
      <c r="N474" s="46"/>
      <c r="O474" s="46"/>
      <c r="P474" s="45"/>
      <c r="Q474" s="45"/>
      <c r="R474" s="45"/>
      <c r="T474" s="42"/>
      <c r="V474" s="45"/>
      <c r="W474" s="45"/>
      <c r="X474" s="45"/>
      <c r="Y474" s="45"/>
      <c r="Z474" s="132"/>
      <c r="AA474" s="45"/>
      <c r="AB474" s="45"/>
      <c r="AC474" s="46"/>
      <c r="AD474" s="46"/>
      <c r="AE474" s="45"/>
      <c r="AF474" s="45"/>
      <c r="AH474" s="51"/>
      <c r="AI474" s="45"/>
      <c r="AJ474" s="45"/>
      <c r="AL474" s="45"/>
      <c r="AM474" s="46"/>
      <c r="AN474" s="46"/>
    </row>
    <row r="475" spans="1:40">
      <c r="C475" s="42"/>
      <c r="F475" s="164"/>
      <c r="H475" s="164"/>
      <c r="I475" s="164"/>
      <c r="J475" s="132"/>
      <c r="K475" s="132"/>
      <c r="L475" s="45"/>
      <c r="M475" s="45"/>
      <c r="N475" s="46"/>
      <c r="O475" s="46"/>
      <c r="P475" s="45"/>
      <c r="Q475" s="45"/>
      <c r="R475" s="45"/>
      <c r="T475" s="42"/>
      <c r="V475" s="45"/>
      <c r="W475" s="45"/>
      <c r="X475" s="45"/>
      <c r="Y475" s="45"/>
      <c r="Z475" s="132"/>
      <c r="AA475" s="45"/>
      <c r="AB475" s="45"/>
      <c r="AC475" s="46"/>
      <c r="AD475" s="46"/>
      <c r="AE475" s="45"/>
      <c r="AF475" s="45"/>
      <c r="AH475" s="51"/>
      <c r="AI475" s="45"/>
      <c r="AJ475" s="45"/>
      <c r="AL475" s="45"/>
      <c r="AM475" s="46"/>
      <c r="AN475" s="46"/>
    </row>
    <row r="476" spans="1:40">
      <c r="C476" s="42"/>
      <c r="F476" s="164"/>
      <c r="H476" s="164"/>
      <c r="I476" s="164"/>
      <c r="J476" s="132"/>
      <c r="K476" s="132"/>
      <c r="L476" s="45"/>
      <c r="M476" s="45"/>
      <c r="N476" s="46"/>
      <c r="O476" s="46"/>
      <c r="P476" s="45"/>
      <c r="Q476" s="45"/>
      <c r="R476" s="45"/>
      <c r="T476" s="42"/>
      <c r="V476" s="45"/>
      <c r="W476" s="45"/>
      <c r="X476" s="45"/>
      <c r="Y476" s="45"/>
      <c r="Z476" s="132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1:40">
      <c r="J477" s="56"/>
      <c r="K477" s="56"/>
      <c r="V477" s="45"/>
      <c r="W477" s="45"/>
      <c r="X477" s="45"/>
      <c r="Y477" s="45"/>
      <c r="Z477" s="132"/>
    </row>
    <row r="478" spans="1:40">
      <c r="C478" s="42"/>
      <c r="F478" s="164"/>
      <c r="H478" s="164"/>
      <c r="I478" s="164"/>
      <c r="J478" s="132"/>
      <c r="K478" s="132"/>
      <c r="L478" s="45"/>
      <c r="M478" s="45"/>
      <c r="N478" s="46"/>
      <c r="O478" s="46"/>
      <c r="P478" s="45"/>
      <c r="Q478" s="45"/>
      <c r="R478" s="45"/>
      <c r="T478" s="42"/>
      <c r="V478" s="45"/>
      <c r="W478" s="45"/>
      <c r="X478" s="45"/>
      <c r="Y478" s="45"/>
      <c r="Z478" s="132"/>
      <c r="AA478" s="45"/>
      <c r="AB478" s="45"/>
      <c r="AC478" s="46"/>
      <c r="AD478" s="46"/>
      <c r="AE478" s="45"/>
      <c r="AF478" s="45"/>
      <c r="AH478" s="51"/>
      <c r="AI478" s="45"/>
      <c r="AJ478" s="45"/>
      <c r="AL478" s="45"/>
      <c r="AM478" s="51"/>
      <c r="AN478" s="51"/>
    </row>
    <row r="479" spans="1:40">
      <c r="C479" s="42"/>
      <c r="J479" s="56"/>
      <c r="K479" s="56"/>
      <c r="T479" s="42"/>
      <c r="V479" s="45"/>
      <c r="W479" s="45"/>
      <c r="X479" s="45"/>
      <c r="Y479" s="45"/>
      <c r="Z479" s="132"/>
    </row>
    <row r="480" spans="1:40">
      <c r="C480" s="42"/>
      <c r="F480" s="164"/>
      <c r="H480" s="164"/>
      <c r="I480" s="164"/>
      <c r="J480" s="132"/>
      <c r="K480" s="132"/>
      <c r="L480" s="45"/>
      <c r="M480" s="45"/>
      <c r="N480" s="46"/>
      <c r="O480" s="46"/>
      <c r="P480" s="45"/>
      <c r="Q480" s="45"/>
      <c r="R480" s="45"/>
      <c r="T480" s="42"/>
      <c r="V480" s="45"/>
      <c r="W480" s="45"/>
      <c r="X480" s="45"/>
      <c r="Y480" s="45"/>
      <c r="Z480" s="132"/>
      <c r="AA480" s="45"/>
      <c r="AB480" s="45"/>
      <c r="AC480" s="46"/>
      <c r="AD480" s="46"/>
      <c r="AE480" s="45"/>
      <c r="AF480" s="45"/>
      <c r="AH480" s="51"/>
      <c r="AI480" s="45"/>
      <c r="AJ480" s="45"/>
      <c r="AL480" s="45"/>
      <c r="AM480" s="51"/>
      <c r="AN480" s="51"/>
    </row>
    <row r="481" spans="1:40">
      <c r="J481" s="56"/>
      <c r="K481" s="56"/>
      <c r="Z481" s="56"/>
    </row>
    <row r="482" spans="1:40">
      <c r="C482" s="42"/>
      <c r="J482" s="56"/>
      <c r="K482" s="56"/>
      <c r="T482" s="42"/>
      <c r="V482" s="45"/>
      <c r="W482" s="45"/>
      <c r="X482" s="45"/>
      <c r="Y482" s="45"/>
      <c r="Z482" s="132"/>
    </row>
    <row r="483" spans="1:40">
      <c r="C483" s="42"/>
      <c r="F483" s="164"/>
      <c r="H483" s="164"/>
      <c r="I483" s="164"/>
      <c r="J483" s="132"/>
      <c r="K483" s="132"/>
      <c r="L483" s="45"/>
      <c r="M483" s="45"/>
      <c r="N483" s="46"/>
      <c r="O483" s="46"/>
      <c r="P483" s="45"/>
      <c r="Q483" s="45"/>
      <c r="R483" s="45"/>
      <c r="T483" s="42"/>
      <c r="V483" s="45"/>
      <c r="W483" s="45"/>
      <c r="X483" s="45"/>
      <c r="Y483" s="45"/>
      <c r="Z483" s="132"/>
      <c r="AA483" s="45"/>
      <c r="AB483" s="45"/>
      <c r="AC483" s="46"/>
      <c r="AD483" s="46"/>
      <c r="AE483" s="45"/>
      <c r="AF483" s="45"/>
      <c r="AH483" s="51"/>
      <c r="AI483" s="45"/>
      <c r="AJ483" s="45"/>
      <c r="AL483" s="45"/>
      <c r="AM483" s="51"/>
      <c r="AN483" s="51"/>
    </row>
    <row r="484" spans="1:40">
      <c r="C484" s="42"/>
      <c r="F484" s="164"/>
      <c r="H484" s="164"/>
      <c r="I484" s="164"/>
      <c r="J484" s="132"/>
      <c r="K484" s="132"/>
      <c r="L484" s="45"/>
      <c r="M484" s="45"/>
      <c r="N484" s="46"/>
      <c r="O484" s="46"/>
      <c r="P484" s="45"/>
      <c r="Q484" s="45"/>
      <c r="R484" s="45"/>
      <c r="T484" s="42"/>
      <c r="V484" s="45"/>
      <c r="W484" s="45"/>
      <c r="X484" s="45"/>
      <c r="Y484" s="45"/>
      <c r="Z484" s="132"/>
      <c r="AA484" s="45"/>
      <c r="AB484" s="45"/>
      <c r="AC484" s="46"/>
      <c r="AD484" s="46"/>
      <c r="AE484" s="45"/>
      <c r="AF484" s="45"/>
      <c r="AH484" s="51"/>
      <c r="AI484" s="45"/>
      <c r="AJ484" s="45"/>
      <c r="AL484" s="45"/>
      <c r="AM484" s="51"/>
      <c r="AN484" s="51"/>
    </row>
    <row r="485" spans="1:40">
      <c r="F485" s="50"/>
      <c r="H485" s="50"/>
      <c r="I485" s="50"/>
      <c r="J485" s="132"/>
      <c r="K485" s="132"/>
      <c r="L485" s="50"/>
      <c r="M485" s="50"/>
      <c r="N485" s="50"/>
      <c r="O485" s="50"/>
      <c r="P485" s="50"/>
      <c r="Q485" s="50"/>
      <c r="R485" s="50"/>
      <c r="V485" s="50"/>
      <c r="Y485" s="50"/>
      <c r="Z485" s="326"/>
      <c r="AA485" s="50"/>
      <c r="AB485" s="50"/>
      <c r="AC485" s="50"/>
      <c r="AD485" s="50"/>
      <c r="AE485" s="50"/>
      <c r="AF485" s="50"/>
      <c r="AI485" s="50"/>
      <c r="AJ485" s="50"/>
      <c r="AK485" s="111"/>
      <c r="AL485" s="50"/>
    </row>
    <row r="486" spans="1:40">
      <c r="C486" s="42"/>
      <c r="F486" s="45"/>
      <c r="H486" s="45"/>
      <c r="I486" s="45"/>
      <c r="L486" s="45"/>
      <c r="M486" s="45"/>
      <c r="N486" s="46"/>
      <c r="O486" s="46"/>
      <c r="P486" s="164"/>
      <c r="Q486" s="164"/>
      <c r="R486" s="45"/>
      <c r="T486" s="42"/>
      <c r="V486" s="45"/>
      <c r="W486" s="45"/>
      <c r="X486" s="45"/>
      <c r="Y486" s="45"/>
      <c r="Z486" s="336"/>
      <c r="AA486" s="45"/>
      <c r="AB486" s="45"/>
      <c r="AC486" s="46"/>
      <c r="AD486" s="46"/>
      <c r="AE486" s="45"/>
      <c r="AF486" s="45"/>
      <c r="AH486" s="51"/>
      <c r="AI486" s="164"/>
      <c r="AJ486" s="164"/>
      <c r="AL486" s="45"/>
      <c r="AM486" s="51"/>
      <c r="AN486" s="51"/>
    </row>
    <row r="487" spans="1:40">
      <c r="H487" s="50"/>
      <c r="I487" s="50"/>
      <c r="J487" s="326"/>
      <c r="K487" s="326"/>
      <c r="L487" s="50"/>
      <c r="M487" s="50"/>
      <c r="N487" s="50"/>
      <c r="O487" s="50"/>
      <c r="P487" s="50"/>
      <c r="Q487" s="50"/>
      <c r="R487" s="50"/>
      <c r="V487" s="50"/>
      <c r="Y487" s="50"/>
      <c r="Z487" s="326"/>
      <c r="AA487" s="50"/>
      <c r="AB487" s="50"/>
      <c r="AC487" s="50"/>
      <c r="AD487" s="50"/>
      <c r="AE487" s="50"/>
      <c r="AF487" s="50"/>
      <c r="AI487" s="50"/>
      <c r="AJ487" s="50"/>
      <c r="AK487" s="111"/>
      <c r="AL487" s="50"/>
    </row>
    <row r="488" spans="1:40">
      <c r="F488" s="50"/>
    </row>
    <row r="490" spans="1:40">
      <c r="A490" s="42"/>
    </row>
    <row r="492" spans="1:40">
      <c r="H492" s="42"/>
      <c r="I492" s="42"/>
      <c r="Y492" s="42"/>
    </row>
    <row r="494" spans="1:40">
      <c r="L494" s="42"/>
      <c r="M494" s="42"/>
      <c r="AA494" s="42"/>
      <c r="AB494" s="42"/>
    </row>
    <row r="495" spans="1:40">
      <c r="R495" s="42"/>
      <c r="AK495" s="110"/>
      <c r="AL495" s="42"/>
    </row>
    <row r="496" spans="1:40">
      <c r="R496" s="42"/>
      <c r="AK496" s="110"/>
      <c r="AL496" s="42"/>
    </row>
    <row r="497" spans="1:40">
      <c r="A497" s="42"/>
      <c r="R497" s="42"/>
      <c r="AK497" s="110"/>
      <c r="AL497" s="42"/>
    </row>
    <row r="498" spans="1:40">
      <c r="L498" s="42"/>
      <c r="M498" s="42"/>
      <c r="AA498" s="42"/>
      <c r="AB498" s="42"/>
    </row>
    <row r="499" spans="1:40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107"/>
      <c r="AH499" s="49"/>
      <c r="AI499" s="49"/>
      <c r="AJ499" s="49"/>
      <c r="AK499" s="107"/>
      <c r="AL499" s="49"/>
      <c r="AM499" s="49"/>
      <c r="AN499" s="49"/>
    </row>
    <row r="500" spans="1:40">
      <c r="L500" s="44"/>
      <c r="M500" s="44"/>
      <c r="N500" s="44"/>
      <c r="O500" s="44"/>
      <c r="R500" s="44"/>
      <c r="AA500" s="44"/>
      <c r="AB500" s="44"/>
      <c r="AC500" s="44"/>
      <c r="AD500" s="44"/>
      <c r="AE500" s="44"/>
      <c r="AF500" s="44"/>
      <c r="AG500" s="102"/>
      <c r="AH500" s="44"/>
      <c r="AK500" s="102"/>
      <c r="AL500" s="44"/>
      <c r="AM500" s="44"/>
      <c r="AN500" s="44"/>
    </row>
    <row r="501" spans="1:40">
      <c r="L501" s="44"/>
      <c r="M501" s="44"/>
      <c r="N501" s="44"/>
      <c r="O501" s="44"/>
      <c r="R501" s="44"/>
      <c r="Z501" s="44"/>
      <c r="AA501" s="44"/>
      <c r="AB501" s="44"/>
      <c r="AC501" s="44"/>
      <c r="AD501" s="44"/>
      <c r="AE501" s="44"/>
      <c r="AF501" s="44"/>
      <c r="AG501" s="102"/>
      <c r="AH501" s="44"/>
      <c r="AK501" s="102"/>
      <c r="AL501" s="44"/>
      <c r="AM501" s="44"/>
      <c r="AN501" s="44"/>
    </row>
    <row r="502" spans="1:40">
      <c r="A502" s="44"/>
      <c r="C502" s="44"/>
      <c r="D502" s="44"/>
      <c r="E502" s="44"/>
      <c r="F502" s="44"/>
      <c r="J502" s="44"/>
      <c r="K502" s="44"/>
      <c r="L502" s="44"/>
      <c r="M502" s="44"/>
      <c r="N502" s="44"/>
      <c r="O502" s="44"/>
      <c r="P502" s="44"/>
      <c r="Q502" s="44"/>
      <c r="R502" s="44"/>
      <c r="T502" s="44"/>
      <c r="U502" s="44"/>
      <c r="V502" s="44"/>
      <c r="Z502" s="44"/>
      <c r="AA502" s="44"/>
      <c r="AB502" s="44"/>
      <c r="AC502" s="44"/>
      <c r="AD502" s="44"/>
      <c r="AE502" s="44"/>
      <c r="AF502" s="44"/>
      <c r="AG502" s="102"/>
      <c r="AH502" s="44"/>
      <c r="AI502" s="44"/>
      <c r="AJ502" s="44"/>
      <c r="AK502" s="102"/>
      <c r="AL502" s="44"/>
      <c r="AM502" s="44"/>
      <c r="AN502" s="44"/>
    </row>
    <row r="503" spans="1:40">
      <c r="A503" s="44"/>
      <c r="C503" s="44"/>
      <c r="D503" s="44"/>
      <c r="E503" s="44"/>
      <c r="F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T503" s="44"/>
      <c r="U503" s="44"/>
      <c r="V503" s="44"/>
      <c r="Y503" s="44"/>
      <c r="Z503" s="44"/>
      <c r="AA503" s="44"/>
      <c r="AB503" s="44"/>
      <c r="AC503" s="44"/>
      <c r="AD503" s="44"/>
      <c r="AE503" s="44"/>
      <c r="AF503" s="44"/>
      <c r="AG503" s="102"/>
      <c r="AH503" s="44"/>
      <c r="AI503" s="44"/>
      <c r="AJ503" s="44"/>
      <c r="AK503" s="102"/>
      <c r="AL503" s="44"/>
      <c r="AM503" s="44"/>
      <c r="AN503" s="44"/>
    </row>
    <row r="504" spans="1:40">
      <c r="C504" s="44"/>
      <c r="D504" s="44"/>
      <c r="E504" s="44"/>
      <c r="F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Y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107"/>
      <c r="AH505" s="49"/>
      <c r="AI505" s="49"/>
      <c r="AJ505" s="49"/>
      <c r="AK505" s="107"/>
      <c r="AL505" s="49"/>
      <c r="AM505" s="49"/>
      <c r="AN505" s="49"/>
    </row>
    <row r="506" spans="1:40"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Y506" s="44"/>
      <c r="Z506" s="44"/>
      <c r="AA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</row>
    <row r="507" spans="1:40">
      <c r="C507" s="42"/>
      <c r="D507" s="42"/>
      <c r="E507" s="42"/>
      <c r="T507" s="42"/>
      <c r="U507" s="42"/>
    </row>
    <row r="509" spans="1:40">
      <c r="C509" s="42"/>
      <c r="T509" s="42"/>
    </row>
    <row r="510" spans="1:40">
      <c r="C510" s="42"/>
      <c r="T510" s="42"/>
    </row>
    <row r="511" spans="1:40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51"/>
      <c r="AN511" s="51"/>
    </row>
    <row r="512" spans="1:40">
      <c r="C512" s="42"/>
      <c r="F512" s="45"/>
      <c r="H512" s="45"/>
      <c r="I512" s="45"/>
      <c r="J512" s="56"/>
      <c r="K512" s="56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56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3:40">
      <c r="C513" s="42"/>
      <c r="F513" s="45"/>
      <c r="H513" s="45"/>
      <c r="I513" s="45"/>
      <c r="J513" s="56"/>
      <c r="K513" s="56"/>
      <c r="L513" s="45"/>
      <c r="M513" s="45"/>
      <c r="N513" s="46"/>
      <c r="O513" s="46"/>
      <c r="P513" s="45"/>
      <c r="Q513" s="45"/>
      <c r="R513" s="45"/>
      <c r="T513" s="42"/>
      <c r="V513" s="45"/>
      <c r="W513" s="45"/>
      <c r="X513" s="45"/>
      <c r="Y513" s="45"/>
      <c r="Z513" s="56"/>
      <c r="AA513" s="45"/>
      <c r="AB513" s="45"/>
      <c r="AC513" s="46"/>
      <c r="AD513" s="46"/>
      <c r="AE513" s="45"/>
      <c r="AF513" s="45"/>
      <c r="AH513" s="51"/>
      <c r="AI513" s="45"/>
      <c r="AJ513" s="45"/>
      <c r="AL513" s="45"/>
      <c r="AM513" s="51"/>
      <c r="AN513" s="51"/>
    </row>
    <row r="514" spans="3:40">
      <c r="C514" s="42"/>
      <c r="F514" s="45"/>
      <c r="H514" s="45"/>
      <c r="I514" s="45"/>
      <c r="J514" s="56"/>
      <c r="K514" s="56"/>
      <c r="T514" s="42"/>
      <c r="V514" s="45"/>
      <c r="Z514" s="56"/>
    </row>
    <row r="515" spans="3:40">
      <c r="C515" s="42"/>
      <c r="F515" s="164"/>
      <c r="H515" s="164"/>
      <c r="I515" s="164"/>
      <c r="J515" s="132"/>
      <c r="K515" s="132"/>
      <c r="L515" s="45"/>
      <c r="M515" s="45"/>
      <c r="N515" s="46"/>
      <c r="O515" s="46"/>
      <c r="P515" s="45"/>
      <c r="Q515" s="45"/>
      <c r="R515" s="45"/>
      <c r="T515" s="42"/>
      <c r="V515" s="45"/>
      <c r="W515" s="45"/>
      <c r="X515" s="45"/>
      <c r="Y515" s="45"/>
      <c r="Z515" s="132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51"/>
      <c r="AN515" s="51"/>
    </row>
    <row r="516" spans="3:40">
      <c r="C516" s="42"/>
      <c r="F516" s="45"/>
      <c r="H516" s="45"/>
      <c r="I516" s="45"/>
      <c r="J516" s="56"/>
      <c r="K516" s="56"/>
      <c r="T516" s="42"/>
      <c r="V516" s="45"/>
      <c r="W516" s="45"/>
      <c r="X516" s="45"/>
      <c r="Y516" s="45"/>
      <c r="Z516" s="56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3:40">
      <c r="C517" s="42"/>
      <c r="F517" s="164"/>
      <c r="H517" s="164"/>
      <c r="I517" s="164"/>
      <c r="J517" s="132"/>
      <c r="K517" s="132"/>
      <c r="L517" s="45"/>
      <c r="M517" s="45"/>
      <c r="N517" s="46"/>
      <c r="O517" s="46"/>
      <c r="P517" s="45"/>
      <c r="Q517" s="45"/>
      <c r="R517" s="45"/>
      <c r="T517" s="42"/>
      <c r="V517" s="45"/>
      <c r="W517" s="45"/>
      <c r="X517" s="45"/>
      <c r="Y517" s="45"/>
      <c r="Z517" s="132"/>
      <c r="AA517" s="45"/>
      <c r="AB517" s="45"/>
      <c r="AC517" s="46"/>
      <c r="AD517" s="46"/>
      <c r="AE517" s="45"/>
      <c r="AF517" s="45"/>
      <c r="AH517" s="51"/>
      <c r="AI517" s="45"/>
      <c r="AJ517" s="45"/>
      <c r="AL517" s="45"/>
      <c r="AM517" s="51"/>
      <c r="AN517" s="51"/>
    </row>
    <row r="518" spans="3:40">
      <c r="C518" s="42"/>
      <c r="F518" s="45"/>
      <c r="H518" s="45"/>
      <c r="I518" s="45"/>
      <c r="J518" s="56"/>
      <c r="K518" s="56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56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3:40">
      <c r="F519" s="45"/>
      <c r="H519" s="45"/>
      <c r="I519" s="45"/>
      <c r="J519" s="56"/>
      <c r="K519" s="56"/>
      <c r="Z519" s="56"/>
    </row>
    <row r="520" spans="3:40">
      <c r="C520" s="42"/>
      <c r="F520" s="45"/>
      <c r="H520" s="164"/>
      <c r="I520" s="164"/>
      <c r="J520" s="132"/>
      <c r="K520" s="132"/>
      <c r="L520" s="45"/>
      <c r="M520" s="45"/>
      <c r="N520" s="46"/>
      <c r="O520" s="46"/>
      <c r="P520" s="45"/>
      <c r="Q520" s="45"/>
      <c r="R520" s="45"/>
      <c r="T520" s="42"/>
      <c r="V520" s="45"/>
      <c r="W520" s="45"/>
      <c r="X520" s="45"/>
      <c r="Y520" s="45"/>
      <c r="Z520" s="132"/>
      <c r="AA520" s="45"/>
      <c r="AB520" s="45"/>
      <c r="AC520" s="46"/>
      <c r="AD520" s="46"/>
      <c r="AE520" s="45"/>
      <c r="AF520" s="45"/>
      <c r="AH520" s="51"/>
      <c r="AI520" s="45"/>
      <c r="AJ520" s="45"/>
      <c r="AL520" s="45"/>
      <c r="AM520" s="51"/>
      <c r="AN520" s="51"/>
    </row>
    <row r="521" spans="3:40">
      <c r="F521" s="50"/>
      <c r="H521" s="50"/>
      <c r="I521" s="50"/>
      <c r="J521" s="132"/>
      <c r="K521" s="132"/>
      <c r="L521" s="50"/>
      <c r="M521" s="50"/>
      <c r="N521" s="50"/>
      <c r="O521" s="50"/>
      <c r="P521" s="50"/>
      <c r="Q521" s="50"/>
      <c r="R521" s="50"/>
      <c r="V521" s="50"/>
      <c r="Y521" s="50"/>
      <c r="Z521" s="132"/>
      <c r="AA521" s="50"/>
      <c r="AB521" s="50"/>
      <c r="AC521" s="50"/>
      <c r="AD521" s="50"/>
      <c r="AE521" s="50"/>
      <c r="AF521" s="50"/>
      <c r="AI521" s="50"/>
      <c r="AJ521" s="50"/>
      <c r="AK521" s="111"/>
      <c r="AL521" s="50"/>
    </row>
    <row r="522" spans="3:40">
      <c r="C522" s="42"/>
      <c r="F522" s="45"/>
      <c r="H522" s="45"/>
      <c r="I522" s="45"/>
      <c r="J522" s="56"/>
      <c r="K522" s="56"/>
      <c r="L522" s="45"/>
      <c r="M522" s="45"/>
      <c r="P522" s="45"/>
      <c r="Q522" s="45"/>
      <c r="R522" s="45"/>
      <c r="T522" s="42"/>
      <c r="V522" s="45"/>
      <c r="Y522" s="45"/>
      <c r="Z522" s="56"/>
      <c r="AA522" s="45"/>
      <c r="AB522" s="45"/>
      <c r="AC522" s="51"/>
      <c r="AD522" s="51"/>
      <c r="AE522" s="45"/>
      <c r="AF522" s="45"/>
      <c r="AH522" s="51"/>
      <c r="AI522" s="45"/>
      <c r="AJ522" s="45"/>
      <c r="AL522" s="45"/>
      <c r="AM522" s="51"/>
      <c r="AN522" s="51"/>
    </row>
    <row r="523" spans="3:40">
      <c r="F523" s="50"/>
      <c r="H523" s="50"/>
      <c r="I523" s="50"/>
      <c r="J523" s="132"/>
      <c r="K523" s="132"/>
      <c r="L523" s="50"/>
      <c r="M523" s="50"/>
      <c r="N523" s="50"/>
      <c r="O523" s="50"/>
      <c r="P523" s="50"/>
      <c r="Q523" s="50"/>
      <c r="R523" s="50"/>
      <c r="V523" s="50"/>
      <c r="Y523" s="50"/>
      <c r="Z523" s="132"/>
      <c r="AA523" s="50"/>
      <c r="AB523" s="50"/>
      <c r="AC523" s="50"/>
      <c r="AD523" s="50"/>
      <c r="AE523" s="50"/>
      <c r="AF523" s="50"/>
      <c r="AI523" s="50"/>
      <c r="AJ523" s="50"/>
      <c r="AK523" s="111"/>
      <c r="AL523" s="50"/>
    </row>
    <row r="524" spans="3:40">
      <c r="J524" s="56"/>
      <c r="K524" s="56"/>
      <c r="Z524" s="56"/>
    </row>
    <row r="525" spans="3:40">
      <c r="C525" s="42"/>
      <c r="J525" s="56"/>
      <c r="K525" s="56"/>
      <c r="T525" s="42"/>
      <c r="Z525" s="56"/>
    </row>
    <row r="526" spans="3:40">
      <c r="C526" s="42"/>
      <c r="J526" s="56"/>
      <c r="K526" s="56"/>
      <c r="T526" s="42"/>
      <c r="Z526" s="56"/>
    </row>
    <row r="527" spans="3:40">
      <c r="C527" s="42"/>
      <c r="F527" s="164"/>
      <c r="H527" s="164"/>
      <c r="I527" s="164"/>
      <c r="J527" s="132"/>
      <c r="K527" s="132"/>
      <c r="L527" s="45"/>
      <c r="M527" s="45"/>
      <c r="N527" s="46"/>
      <c r="O527" s="46"/>
      <c r="P527" s="45"/>
      <c r="Q527" s="45"/>
      <c r="R527" s="45"/>
      <c r="T527" s="42"/>
      <c r="V527" s="45"/>
      <c r="W527" s="45"/>
      <c r="X527" s="45"/>
      <c r="Y527" s="45"/>
      <c r="Z527" s="132"/>
      <c r="AA527" s="45"/>
      <c r="AB527" s="45"/>
      <c r="AC527" s="46"/>
      <c r="AD527" s="46"/>
      <c r="AE527" s="45"/>
      <c r="AF527" s="45"/>
      <c r="AH527" s="51"/>
      <c r="AI527" s="45"/>
      <c r="AJ527" s="45"/>
      <c r="AL527" s="45"/>
      <c r="AM527" s="51"/>
      <c r="AN527" s="51"/>
    </row>
    <row r="528" spans="3:40">
      <c r="C528" s="42"/>
      <c r="J528" s="56"/>
      <c r="K528" s="56"/>
      <c r="T528" s="42"/>
      <c r="Z528" s="56"/>
    </row>
    <row r="529" spans="1:40">
      <c r="C529" s="42"/>
      <c r="F529" s="164"/>
      <c r="H529" s="164"/>
      <c r="I529" s="164"/>
      <c r="J529" s="132"/>
      <c r="K529" s="132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132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51"/>
      <c r="AN529" s="51"/>
    </row>
    <row r="530" spans="1:40">
      <c r="F530" s="50"/>
      <c r="H530" s="50"/>
      <c r="I530" s="50"/>
      <c r="J530" s="132"/>
      <c r="K530" s="132"/>
      <c r="L530" s="50"/>
      <c r="M530" s="50"/>
      <c r="N530" s="50"/>
      <c r="O530" s="50"/>
      <c r="P530" s="50"/>
      <c r="Q530" s="50"/>
      <c r="R530" s="50"/>
      <c r="V530" s="50"/>
      <c r="Y530" s="50"/>
      <c r="Z530" s="132"/>
      <c r="AA530" s="50"/>
      <c r="AB530" s="50"/>
      <c r="AC530" s="50"/>
      <c r="AD530" s="50"/>
      <c r="AE530" s="50"/>
      <c r="AF530" s="50"/>
      <c r="AI530" s="50"/>
      <c r="AJ530" s="50"/>
      <c r="AK530" s="111"/>
      <c r="AL530" s="50"/>
    </row>
    <row r="531" spans="1:40">
      <c r="C531" s="42"/>
      <c r="F531" s="45"/>
      <c r="H531" s="45"/>
      <c r="I531" s="45"/>
      <c r="J531" s="56"/>
      <c r="K531" s="56"/>
      <c r="L531" s="45"/>
      <c r="M531" s="45"/>
      <c r="N531" s="51"/>
      <c r="O531" s="51"/>
      <c r="P531" s="45"/>
      <c r="Q531" s="45"/>
      <c r="R531" s="45"/>
      <c r="T531" s="42"/>
      <c r="V531" s="45"/>
      <c r="Y531" s="45"/>
      <c r="Z531" s="56"/>
      <c r="AA531" s="45"/>
      <c r="AB531" s="45"/>
      <c r="AC531" s="51"/>
      <c r="AD531" s="51"/>
      <c r="AE531" s="45"/>
      <c r="AF531" s="45"/>
      <c r="AH531" s="51"/>
      <c r="AI531" s="45"/>
      <c r="AJ531" s="45"/>
      <c r="AL531" s="45"/>
      <c r="AM531" s="51"/>
      <c r="AN531" s="51"/>
    </row>
    <row r="532" spans="1:40">
      <c r="F532" s="50"/>
      <c r="H532" s="50"/>
      <c r="I532" s="50"/>
      <c r="J532" s="132"/>
      <c r="K532" s="132"/>
      <c r="L532" s="50"/>
      <c r="M532" s="50"/>
      <c r="N532" s="50"/>
      <c r="O532" s="50"/>
      <c r="P532" s="50"/>
      <c r="Q532" s="50"/>
      <c r="R532" s="50"/>
      <c r="V532" s="50"/>
      <c r="Y532" s="50"/>
      <c r="Z532" s="326"/>
      <c r="AA532" s="50"/>
      <c r="AB532" s="50"/>
      <c r="AC532" s="50"/>
      <c r="AD532" s="50"/>
      <c r="AE532" s="50"/>
      <c r="AF532" s="50"/>
      <c r="AI532" s="50"/>
      <c r="AJ532" s="50"/>
      <c r="AK532" s="111"/>
      <c r="AL532" s="50"/>
    </row>
    <row r="533" spans="1:40">
      <c r="J533" s="56"/>
      <c r="K533" s="56"/>
    </row>
    <row r="534" spans="1:40">
      <c r="C534" s="42"/>
      <c r="F534" s="45"/>
      <c r="H534" s="45"/>
      <c r="I534" s="45"/>
      <c r="J534" s="56"/>
      <c r="K534" s="56"/>
      <c r="L534" s="45"/>
      <c r="M534" s="45"/>
      <c r="N534" s="46"/>
      <c r="O534" s="46"/>
      <c r="P534" s="164"/>
      <c r="Q534" s="164"/>
      <c r="R534" s="45"/>
      <c r="T534" s="42"/>
      <c r="V534" s="45"/>
      <c r="Y534" s="45"/>
      <c r="AA534" s="45"/>
      <c r="AB534" s="45"/>
      <c r="AC534" s="51"/>
      <c r="AD534" s="51"/>
      <c r="AE534" s="45"/>
      <c r="AF534" s="45"/>
      <c r="AH534" s="51"/>
      <c r="AI534" s="164"/>
      <c r="AJ534" s="164"/>
      <c r="AL534" s="45"/>
      <c r="AM534" s="51"/>
      <c r="AN534" s="51"/>
    </row>
    <row r="535" spans="1:40">
      <c r="H535" s="50"/>
      <c r="I535" s="50"/>
      <c r="J535" s="132"/>
      <c r="K535" s="132"/>
      <c r="L535" s="50"/>
      <c r="M535" s="50"/>
      <c r="N535" s="50"/>
      <c r="O535" s="50"/>
      <c r="P535" s="50"/>
      <c r="Q535" s="50"/>
      <c r="R535" s="50"/>
      <c r="V535" s="50"/>
      <c r="Y535" s="50"/>
      <c r="Z535" s="326"/>
      <c r="AA535" s="50"/>
      <c r="AB535" s="50"/>
      <c r="AC535" s="50"/>
      <c r="AD535" s="50"/>
      <c r="AE535" s="50"/>
      <c r="AF535" s="50"/>
      <c r="AI535" s="50"/>
      <c r="AJ535" s="50"/>
      <c r="AK535" s="111"/>
      <c r="AL535" s="50"/>
    </row>
    <row r="536" spans="1:40">
      <c r="F536" s="50"/>
    </row>
    <row r="538" spans="1:40">
      <c r="A538" s="42"/>
    </row>
    <row r="540" spans="1:40">
      <c r="H540" s="42"/>
      <c r="I540" s="42"/>
      <c r="Y540" s="42"/>
    </row>
    <row r="542" spans="1:40">
      <c r="L542" s="42"/>
      <c r="M542" s="42"/>
      <c r="AA542" s="42"/>
      <c r="AB542" s="42"/>
    </row>
    <row r="543" spans="1:40">
      <c r="R543" s="42"/>
      <c r="AK543" s="110"/>
      <c r="AL543" s="42"/>
    </row>
    <row r="544" spans="1:40">
      <c r="R544" s="42"/>
      <c r="AK544" s="110"/>
      <c r="AL544" s="42"/>
    </row>
    <row r="545" spans="1:40">
      <c r="A545" s="42"/>
      <c r="R545" s="42"/>
      <c r="AK545" s="110"/>
      <c r="AL545" s="42"/>
    </row>
    <row r="546" spans="1:40">
      <c r="L546" s="42"/>
      <c r="M546" s="42"/>
      <c r="AA546" s="42"/>
      <c r="AB546" s="42"/>
    </row>
    <row r="547" spans="1:40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107"/>
      <c r="AH547" s="49"/>
      <c r="AI547" s="49"/>
      <c r="AJ547" s="49"/>
      <c r="AK547" s="107"/>
      <c r="AL547" s="49"/>
      <c r="AM547" s="49"/>
      <c r="AN547" s="49"/>
    </row>
    <row r="548" spans="1:40">
      <c r="L548" s="44"/>
      <c r="M548" s="44"/>
      <c r="N548" s="44"/>
      <c r="O548" s="44"/>
      <c r="R548" s="44"/>
      <c r="AA548" s="44"/>
      <c r="AB548" s="44"/>
      <c r="AC548" s="44"/>
      <c r="AD548" s="44"/>
      <c r="AE548" s="44"/>
      <c r="AF548" s="44"/>
      <c r="AG548" s="102"/>
      <c r="AH548" s="44"/>
      <c r="AK548" s="102"/>
      <c r="AL548" s="44"/>
      <c r="AM548" s="44"/>
      <c r="AN548" s="44"/>
    </row>
    <row r="549" spans="1:40">
      <c r="L549" s="44"/>
      <c r="M549" s="44"/>
      <c r="N549" s="44"/>
      <c r="O549" s="44"/>
      <c r="R549" s="44"/>
      <c r="Z549" s="44"/>
      <c r="AA549" s="44"/>
      <c r="AB549" s="44"/>
      <c r="AC549" s="44"/>
      <c r="AD549" s="44"/>
      <c r="AE549" s="44"/>
      <c r="AF549" s="44"/>
      <c r="AG549" s="102"/>
      <c r="AH549" s="44"/>
      <c r="AK549" s="102"/>
      <c r="AL549" s="44"/>
      <c r="AM549" s="44"/>
      <c r="AN549" s="44"/>
    </row>
    <row r="550" spans="1:40">
      <c r="A550" s="44"/>
      <c r="C550" s="44"/>
      <c r="D550" s="44"/>
      <c r="E550" s="44"/>
      <c r="F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>
      <c r="A551" s="44"/>
      <c r="C551" s="44"/>
      <c r="D551" s="44"/>
      <c r="E551" s="44"/>
      <c r="F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T551" s="44"/>
      <c r="U551" s="44"/>
      <c r="V551" s="44"/>
      <c r="Y551" s="44"/>
      <c r="Z551" s="44"/>
      <c r="AA551" s="44"/>
      <c r="AB551" s="44"/>
      <c r="AC551" s="44"/>
      <c r="AD551" s="44"/>
      <c r="AE551" s="44"/>
      <c r="AF551" s="44"/>
      <c r="AG551" s="102"/>
      <c r="AH551" s="44"/>
      <c r="AI551" s="44"/>
      <c r="AJ551" s="44"/>
      <c r="AK551" s="102"/>
      <c r="AL551" s="44"/>
      <c r="AM551" s="44"/>
      <c r="AN551" s="44"/>
    </row>
    <row r="552" spans="1:40">
      <c r="C552" s="44"/>
      <c r="D552" s="44"/>
      <c r="E552" s="44"/>
      <c r="F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T552" s="44"/>
      <c r="U552" s="44"/>
      <c r="V552" s="44"/>
      <c r="Y552" s="44"/>
      <c r="Z552" s="44"/>
      <c r="AA552" s="44"/>
      <c r="AB552" s="44"/>
      <c r="AC552" s="44"/>
      <c r="AD552" s="44"/>
      <c r="AE552" s="44"/>
      <c r="AF552" s="44"/>
      <c r="AG552" s="102"/>
      <c r="AH552" s="44"/>
      <c r="AI552" s="44"/>
      <c r="AJ552" s="44"/>
      <c r="AK552" s="102"/>
      <c r="AL552" s="44"/>
      <c r="AM552" s="44"/>
      <c r="AN552" s="44"/>
    </row>
    <row r="553" spans="1:40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107"/>
      <c r="AH553" s="49"/>
      <c r="AI553" s="49"/>
      <c r="AJ553" s="49"/>
      <c r="AK553" s="107"/>
      <c r="AL553" s="49"/>
      <c r="AM553" s="49"/>
      <c r="AN553" s="49"/>
    </row>
    <row r="554" spans="1:40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Y554" s="44"/>
      <c r="Z554" s="44"/>
      <c r="AA554" s="44"/>
      <c r="AB554" s="44"/>
      <c r="AC554" s="44"/>
      <c r="AD554" s="44"/>
      <c r="AE554" s="44"/>
      <c r="AF554" s="44"/>
      <c r="AG554" s="102"/>
      <c r="AH554" s="44"/>
      <c r="AI554" s="44"/>
      <c r="AJ554" s="44"/>
      <c r="AK554" s="102"/>
      <c r="AL554" s="44"/>
      <c r="AM554" s="44"/>
      <c r="AN554" s="44"/>
    </row>
    <row r="555" spans="1:40">
      <c r="C555" s="42"/>
      <c r="D555" s="42"/>
      <c r="E555" s="42"/>
      <c r="T555" s="42"/>
      <c r="U555" s="42"/>
    </row>
    <row r="557" spans="1:40">
      <c r="C557" s="42"/>
      <c r="D557" s="42"/>
      <c r="E557" s="42"/>
      <c r="T557" s="42"/>
      <c r="U557" s="42"/>
    </row>
    <row r="558" spans="1:40">
      <c r="C558" s="42"/>
      <c r="T558" s="42"/>
    </row>
    <row r="559" spans="1:40">
      <c r="C559" s="42"/>
      <c r="T559" s="42"/>
    </row>
    <row r="560" spans="1:40">
      <c r="C560" s="42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46"/>
      <c r="AN560" s="46"/>
    </row>
    <row r="561" spans="3:40">
      <c r="C561" s="42"/>
      <c r="F561" s="164"/>
      <c r="J561" s="56"/>
      <c r="K561" s="56"/>
      <c r="T561" s="42"/>
      <c r="V561" s="45"/>
      <c r="W561" s="45"/>
      <c r="X561" s="45"/>
      <c r="Y561" s="45"/>
      <c r="Z561" s="132"/>
    </row>
    <row r="562" spans="3:40">
      <c r="C562" s="42"/>
      <c r="H562" s="164"/>
      <c r="I562" s="164"/>
      <c r="J562" s="132"/>
      <c r="K562" s="132"/>
      <c r="L562" s="45"/>
      <c r="M562" s="45"/>
      <c r="N562" s="46"/>
      <c r="O562" s="46"/>
      <c r="P562" s="45"/>
      <c r="Q562" s="45"/>
      <c r="R562" s="45"/>
      <c r="T562" s="42"/>
      <c r="V562" s="45"/>
      <c r="W562" s="45"/>
      <c r="X562" s="45"/>
      <c r="Y562" s="45"/>
      <c r="Z562" s="132"/>
      <c r="AA562" s="45"/>
      <c r="AB562" s="45"/>
      <c r="AC562" s="46"/>
      <c r="AD562" s="46"/>
      <c r="AE562" s="45"/>
      <c r="AF562" s="45"/>
      <c r="AH562" s="51"/>
      <c r="AI562" s="45"/>
      <c r="AJ562" s="45"/>
      <c r="AL562" s="45"/>
      <c r="AM562" s="46"/>
      <c r="AN562" s="46"/>
    </row>
    <row r="563" spans="3:40">
      <c r="C563" s="42"/>
      <c r="F563" s="164"/>
      <c r="J563" s="56"/>
      <c r="K563" s="56"/>
      <c r="T563" s="42"/>
      <c r="V563" s="45"/>
      <c r="W563" s="45"/>
      <c r="X563" s="45"/>
      <c r="Y563" s="45"/>
      <c r="Z563" s="132"/>
    </row>
    <row r="564" spans="3:40">
      <c r="C564" s="42"/>
      <c r="H564" s="164"/>
      <c r="I564" s="164"/>
      <c r="J564" s="132"/>
      <c r="K564" s="132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132"/>
      <c r="AA564" s="45"/>
      <c r="AB564" s="45"/>
      <c r="AC564" s="46"/>
      <c r="AD564" s="46"/>
      <c r="AE564" s="45"/>
      <c r="AF564" s="45"/>
      <c r="AH564" s="51"/>
      <c r="AI564" s="45"/>
      <c r="AJ564" s="45"/>
      <c r="AL564" s="45"/>
      <c r="AM564" s="46"/>
      <c r="AN564" s="46"/>
    </row>
    <row r="565" spans="3:40">
      <c r="C565" s="42"/>
      <c r="F565" s="164"/>
      <c r="J565" s="56"/>
      <c r="K565" s="56"/>
      <c r="T565" s="42"/>
      <c r="V565" s="45"/>
      <c r="W565" s="45"/>
      <c r="X565" s="45"/>
      <c r="Y565" s="45"/>
      <c r="Z565" s="132"/>
    </row>
    <row r="566" spans="3:40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46"/>
      <c r="AN566" s="46"/>
    </row>
    <row r="567" spans="3:40">
      <c r="C567" s="42"/>
      <c r="F567" s="164"/>
      <c r="J567" s="56"/>
      <c r="K567" s="56"/>
      <c r="T567" s="42"/>
      <c r="V567" s="45"/>
      <c r="W567" s="45"/>
      <c r="X567" s="45"/>
      <c r="Y567" s="45"/>
      <c r="Z567" s="132"/>
    </row>
    <row r="568" spans="3:40">
      <c r="C568" s="42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45"/>
      <c r="AJ568" s="45"/>
      <c r="AL568" s="45"/>
      <c r="AM568" s="46"/>
      <c r="AN568" s="46"/>
    </row>
    <row r="569" spans="3:40">
      <c r="C569" s="42"/>
      <c r="F569" s="164"/>
      <c r="J569" s="56"/>
      <c r="K569" s="56"/>
      <c r="T569" s="42"/>
      <c r="V569" s="45"/>
      <c r="W569" s="45"/>
      <c r="X569" s="45"/>
      <c r="Y569" s="45"/>
      <c r="Z569" s="132"/>
    </row>
    <row r="570" spans="3:40">
      <c r="C570" s="42"/>
      <c r="H570" s="164"/>
      <c r="I570" s="164"/>
      <c r="J570" s="132"/>
      <c r="K570" s="132"/>
      <c r="L570" s="45"/>
      <c r="M570" s="45"/>
      <c r="N570" s="46"/>
      <c r="O570" s="46"/>
      <c r="P570" s="45"/>
      <c r="Q570" s="45"/>
      <c r="R570" s="45"/>
      <c r="T570" s="42"/>
      <c r="V570" s="45"/>
      <c r="W570" s="45"/>
      <c r="X570" s="45"/>
      <c r="Y570" s="45"/>
      <c r="Z570" s="132"/>
      <c r="AA570" s="45"/>
      <c r="AB570" s="45"/>
      <c r="AC570" s="46"/>
      <c r="AD570" s="46"/>
      <c r="AE570" s="45"/>
      <c r="AF570" s="45"/>
      <c r="AH570" s="51"/>
      <c r="AI570" s="45"/>
      <c r="AJ570" s="45"/>
      <c r="AL570" s="45"/>
      <c r="AM570" s="46"/>
      <c r="AN570" s="46"/>
    </row>
    <row r="571" spans="3:40">
      <c r="F571" s="164"/>
      <c r="H571" s="50"/>
      <c r="I571" s="50"/>
      <c r="J571" s="132"/>
      <c r="K571" s="132"/>
      <c r="L571" s="50"/>
      <c r="M571" s="50"/>
      <c r="N571" s="50"/>
      <c r="O571" s="50"/>
      <c r="P571" s="50"/>
      <c r="Q571" s="50"/>
      <c r="R571" s="50"/>
      <c r="V571" s="50"/>
      <c r="Y571" s="50"/>
      <c r="Z571" s="132"/>
      <c r="AA571" s="50"/>
      <c r="AB571" s="50"/>
      <c r="AC571" s="50"/>
      <c r="AD571" s="50"/>
      <c r="AE571" s="50"/>
      <c r="AF571" s="50"/>
      <c r="AI571" s="50"/>
      <c r="AJ571" s="50"/>
      <c r="AK571" s="111"/>
      <c r="AL571" s="50"/>
      <c r="AM571" s="46"/>
      <c r="AN571" s="46"/>
    </row>
    <row r="572" spans="3:40">
      <c r="C572" s="42"/>
      <c r="F572" s="50"/>
      <c r="H572" s="45"/>
      <c r="I572" s="45"/>
      <c r="J572" s="56"/>
      <c r="K572" s="56"/>
      <c r="L572" s="45"/>
      <c r="M572" s="45"/>
      <c r="N572" s="46"/>
      <c r="O572" s="46"/>
      <c r="P572" s="164"/>
      <c r="Q572" s="164"/>
      <c r="R572" s="45"/>
      <c r="T572" s="42"/>
      <c r="V572" s="45"/>
      <c r="W572" s="45"/>
      <c r="X572" s="45"/>
      <c r="Y572" s="45"/>
      <c r="Z572" s="132"/>
      <c r="AA572" s="45"/>
      <c r="AB572" s="45"/>
      <c r="AC572" s="46"/>
      <c r="AD572" s="46"/>
      <c r="AE572" s="45"/>
      <c r="AF572" s="45"/>
      <c r="AH572" s="51"/>
      <c r="AI572" s="164"/>
      <c r="AJ572" s="164"/>
      <c r="AL572" s="45"/>
      <c r="AM572" s="46"/>
      <c r="AN572" s="46"/>
    </row>
    <row r="573" spans="3:40">
      <c r="F573" s="45"/>
      <c r="H573" s="50"/>
      <c r="I573" s="50"/>
      <c r="J573" s="132"/>
      <c r="K573" s="132"/>
      <c r="L573" s="50"/>
      <c r="M573" s="50"/>
      <c r="N573" s="50"/>
      <c r="O573" s="50"/>
      <c r="P573" s="50"/>
      <c r="Q573" s="50"/>
      <c r="R573" s="50"/>
      <c r="V573" s="50"/>
      <c r="Y573" s="50"/>
      <c r="Z573" s="132"/>
      <c r="AA573" s="50"/>
      <c r="AB573" s="50"/>
      <c r="AC573" s="50"/>
      <c r="AD573" s="50"/>
      <c r="AE573" s="50"/>
      <c r="AF573" s="50"/>
      <c r="AI573" s="50"/>
      <c r="AJ573" s="50"/>
      <c r="AK573" s="111"/>
      <c r="AL573" s="50"/>
    </row>
    <row r="574" spans="3:40">
      <c r="C574" s="42"/>
      <c r="D574" s="42"/>
      <c r="E574" s="42"/>
      <c r="F574" s="50"/>
      <c r="J574" s="56"/>
      <c r="K574" s="56"/>
      <c r="T574" s="42"/>
      <c r="U574" s="42"/>
      <c r="V574" s="45"/>
      <c r="W574" s="45"/>
      <c r="X574" s="45"/>
      <c r="Y574" s="45"/>
      <c r="Z574" s="132"/>
    </row>
    <row r="575" spans="3:40">
      <c r="C575" s="42"/>
      <c r="J575" s="56"/>
      <c r="K575" s="56"/>
      <c r="T575" s="42"/>
      <c r="V575" s="45"/>
      <c r="W575" s="45"/>
      <c r="X575" s="45"/>
      <c r="Y575" s="45"/>
      <c r="Z575" s="132"/>
    </row>
    <row r="576" spans="3:40">
      <c r="C576" s="42"/>
      <c r="J576" s="56"/>
      <c r="K576" s="56"/>
      <c r="T576" s="42"/>
      <c r="V576" s="45"/>
      <c r="W576" s="45"/>
      <c r="X576" s="45"/>
      <c r="Y576" s="45"/>
      <c r="Z576" s="132"/>
    </row>
    <row r="577" spans="3:40">
      <c r="C577" s="42"/>
      <c r="H577" s="164"/>
      <c r="I577" s="164"/>
      <c r="J577" s="132"/>
      <c r="K577" s="132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Z577" s="132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46"/>
      <c r="AN577" s="46"/>
    </row>
    <row r="578" spans="3:40">
      <c r="C578" s="42"/>
      <c r="F578" s="164"/>
      <c r="J578" s="56"/>
      <c r="K578" s="56"/>
      <c r="T578" s="42"/>
      <c r="V578" s="45"/>
      <c r="W578" s="45"/>
      <c r="X578" s="45"/>
      <c r="Y578" s="45"/>
      <c r="Z578" s="132"/>
    </row>
    <row r="579" spans="3:40">
      <c r="C579" s="42"/>
      <c r="H579" s="164"/>
      <c r="I579" s="164"/>
      <c r="J579" s="132"/>
      <c r="K579" s="132"/>
      <c r="L579" s="45"/>
      <c r="M579" s="45"/>
      <c r="N579" s="46"/>
      <c r="O579" s="46"/>
      <c r="P579" s="45"/>
      <c r="Q579" s="45"/>
      <c r="R579" s="45"/>
      <c r="T579" s="42"/>
      <c r="V579" s="45"/>
      <c r="W579" s="45"/>
      <c r="X579" s="45"/>
      <c r="Y579" s="45"/>
      <c r="Z579" s="132"/>
      <c r="AA579" s="45"/>
      <c r="AB579" s="45"/>
      <c r="AC579" s="46"/>
      <c r="AD579" s="46"/>
      <c r="AE579" s="45"/>
      <c r="AF579" s="45"/>
      <c r="AH579" s="51"/>
      <c r="AI579" s="45"/>
      <c r="AJ579" s="45"/>
      <c r="AL579" s="45"/>
      <c r="AM579" s="46"/>
      <c r="AN579" s="46"/>
    </row>
    <row r="580" spans="3:40">
      <c r="F580" s="164"/>
      <c r="H580" s="50"/>
      <c r="I580" s="50"/>
      <c r="J580" s="132"/>
      <c r="K580" s="132"/>
      <c r="L580" s="50"/>
      <c r="M580" s="50"/>
      <c r="N580" s="50"/>
      <c r="O580" s="50"/>
      <c r="P580" s="50"/>
      <c r="Q580" s="50"/>
      <c r="R580" s="50"/>
      <c r="V580" s="50"/>
      <c r="Y580" s="50"/>
      <c r="Z580" s="326"/>
      <c r="AA580" s="50"/>
      <c r="AB580" s="50"/>
      <c r="AC580" s="50"/>
      <c r="AD580" s="50"/>
      <c r="AE580" s="50"/>
      <c r="AF580" s="50"/>
      <c r="AI580" s="50"/>
      <c r="AJ580" s="50"/>
      <c r="AK580" s="111"/>
      <c r="AL580" s="50"/>
    </row>
    <row r="581" spans="3:40">
      <c r="C581" s="42"/>
      <c r="F581" s="50"/>
      <c r="H581" s="45"/>
      <c r="I581" s="45"/>
      <c r="L581" s="45"/>
      <c r="M581" s="45"/>
      <c r="N581" s="46"/>
      <c r="O581" s="46"/>
      <c r="P581" s="164"/>
      <c r="Q581" s="164"/>
      <c r="R581" s="45"/>
      <c r="T581" s="42"/>
      <c r="V581" s="45"/>
      <c r="W581" s="45"/>
      <c r="X581" s="45"/>
      <c r="Y581" s="45"/>
      <c r="Z581" s="336"/>
      <c r="AA581" s="45"/>
      <c r="AB581" s="45"/>
      <c r="AC581" s="46"/>
      <c r="AD581" s="46"/>
      <c r="AE581" s="45"/>
      <c r="AF581" s="45"/>
      <c r="AH581" s="51"/>
      <c r="AI581" s="164"/>
      <c r="AJ581" s="164"/>
      <c r="AL581" s="45"/>
      <c r="AM581" s="46"/>
      <c r="AN581" s="46"/>
    </row>
    <row r="582" spans="3:40">
      <c r="F582" s="45"/>
      <c r="H582" s="50"/>
      <c r="I582" s="50"/>
      <c r="J582" s="326"/>
      <c r="K582" s="326"/>
      <c r="L582" s="50"/>
      <c r="M582" s="50"/>
      <c r="N582" s="50"/>
      <c r="O582" s="50"/>
      <c r="P582" s="50"/>
      <c r="Q582" s="50"/>
      <c r="R582" s="50"/>
      <c r="V582" s="50"/>
      <c r="Y582" s="50"/>
      <c r="Z582" s="326"/>
      <c r="AA582" s="50"/>
      <c r="AB582" s="50"/>
      <c r="AC582" s="50"/>
      <c r="AD582" s="50"/>
      <c r="AE582" s="50"/>
      <c r="AF582" s="50"/>
      <c r="AI582" s="50"/>
      <c r="AJ582" s="50"/>
      <c r="AK582" s="111"/>
      <c r="AL582" s="50"/>
    </row>
    <row r="583" spans="3:40">
      <c r="C583" s="42"/>
      <c r="D583" s="42"/>
      <c r="E583" s="42"/>
      <c r="F583" s="50"/>
      <c r="T583" s="42"/>
      <c r="U583" s="42"/>
      <c r="V583" s="45"/>
      <c r="W583" s="45"/>
      <c r="X583" s="45"/>
      <c r="Y583" s="45"/>
      <c r="Z583" s="336"/>
    </row>
    <row r="584" spans="3:40">
      <c r="C584" s="42"/>
      <c r="T584" s="42"/>
      <c r="V584" s="45"/>
      <c r="W584" s="45"/>
      <c r="X584" s="45"/>
      <c r="Y584" s="45"/>
      <c r="Z584" s="336"/>
    </row>
    <row r="585" spans="3:40">
      <c r="C585" s="42"/>
      <c r="H585" s="164"/>
      <c r="I585" s="164"/>
      <c r="J585" s="336"/>
      <c r="K585" s="336"/>
      <c r="L585" s="45"/>
      <c r="M585" s="45"/>
      <c r="N585" s="46"/>
      <c r="O585" s="46"/>
      <c r="P585" s="45"/>
      <c r="Q585" s="45"/>
      <c r="R585" s="45"/>
      <c r="T585" s="42"/>
      <c r="V585" s="45"/>
      <c r="W585" s="45"/>
      <c r="X585" s="45"/>
      <c r="Y585" s="45"/>
      <c r="Z585" s="336"/>
      <c r="AA585" s="45"/>
      <c r="AB585" s="45"/>
      <c r="AC585" s="46"/>
      <c r="AD585" s="46"/>
      <c r="AE585" s="45"/>
      <c r="AF585" s="45"/>
      <c r="AH585" s="51"/>
      <c r="AI585" s="45"/>
      <c r="AJ585" s="45"/>
      <c r="AL585" s="45"/>
      <c r="AM585" s="46"/>
      <c r="AN585" s="46"/>
    </row>
    <row r="586" spans="3:40">
      <c r="C586" s="42"/>
      <c r="F586" s="164"/>
      <c r="T586" s="42"/>
      <c r="V586" s="45"/>
      <c r="W586" s="45"/>
      <c r="X586" s="45"/>
      <c r="Y586" s="45"/>
      <c r="Z586" s="336"/>
    </row>
    <row r="587" spans="3:40">
      <c r="C587" s="42"/>
      <c r="H587" s="164"/>
      <c r="I587" s="164"/>
      <c r="J587" s="336"/>
      <c r="K587" s="336"/>
      <c r="L587" s="45"/>
      <c r="M587" s="45"/>
      <c r="N587" s="46"/>
      <c r="O587" s="46"/>
      <c r="P587" s="45"/>
      <c r="Q587" s="45"/>
      <c r="R587" s="45"/>
      <c r="T587" s="42"/>
      <c r="V587" s="45"/>
      <c r="W587" s="45"/>
      <c r="X587" s="45"/>
      <c r="Y587" s="45"/>
      <c r="Z587" s="336"/>
      <c r="AA587" s="45"/>
      <c r="AB587" s="45"/>
      <c r="AC587" s="46"/>
      <c r="AD587" s="46"/>
      <c r="AE587" s="45"/>
      <c r="AF587" s="45"/>
      <c r="AH587" s="51"/>
      <c r="AI587" s="45"/>
      <c r="AJ587" s="45"/>
      <c r="AL587" s="45"/>
      <c r="AM587" s="46"/>
      <c r="AN587" s="46"/>
    </row>
    <row r="588" spans="3:40">
      <c r="C588" s="42"/>
      <c r="F588" s="164"/>
      <c r="T588" s="42"/>
      <c r="V588" s="45"/>
      <c r="W588" s="45"/>
      <c r="X588" s="45"/>
      <c r="Y588" s="45"/>
      <c r="Z588" s="336"/>
    </row>
    <row r="589" spans="3:40">
      <c r="C589" s="42"/>
      <c r="H589" s="164"/>
      <c r="I589" s="164"/>
      <c r="J589" s="336"/>
      <c r="K589" s="33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336"/>
      <c r="AA589" s="45"/>
      <c r="AB589" s="45"/>
      <c r="AC589" s="46"/>
      <c r="AD589" s="46"/>
      <c r="AE589" s="45"/>
      <c r="AF589" s="45"/>
      <c r="AH589" s="51"/>
      <c r="AI589" s="45"/>
      <c r="AJ589" s="45"/>
      <c r="AL589" s="45"/>
      <c r="AM589" s="46"/>
      <c r="AN589" s="46"/>
    </row>
    <row r="590" spans="3:40">
      <c r="C590" s="42"/>
      <c r="F590" s="164"/>
      <c r="T590" s="42"/>
      <c r="V590" s="45"/>
      <c r="W590" s="45"/>
      <c r="X590" s="45"/>
      <c r="Y590" s="45"/>
      <c r="Z590" s="336"/>
    </row>
    <row r="591" spans="3:40">
      <c r="C591" s="42"/>
      <c r="H591" s="164"/>
      <c r="I591" s="164"/>
      <c r="J591" s="336"/>
      <c r="K591" s="336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Z591" s="336"/>
      <c r="AA591" s="45"/>
      <c r="AB591" s="45"/>
      <c r="AC591" s="46"/>
      <c r="AD591" s="46"/>
      <c r="AE591" s="45"/>
      <c r="AF591" s="45"/>
      <c r="AH591" s="51"/>
      <c r="AI591" s="45"/>
      <c r="AJ591" s="45"/>
      <c r="AL591" s="45"/>
      <c r="AM591" s="46"/>
      <c r="AN591" s="46"/>
    </row>
    <row r="592" spans="3:40">
      <c r="F592" s="164"/>
      <c r="H592" s="50"/>
      <c r="I592" s="50"/>
      <c r="J592" s="326"/>
      <c r="K592" s="326"/>
      <c r="L592" s="50"/>
      <c r="M592" s="50"/>
      <c r="N592" s="50"/>
      <c r="O592" s="50"/>
      <c r="P592" s="50"/>
      <c r="Q592" s="50"/>
      <c r="R592" s="50"/>
      <c r="V592" s="50"/>
      <c r="Y592" s="50"/>
      <c r="Z592" s="326"/>
      <c r="AA592" s="50"/>
      <c r="AB592" s="50"/>
      <c r="AC592" s="50"/>
      <c r="AD592" s="50"/>
      <c r="AE592" s="50"/>
      <c r="AF592" s="50"/>
      <c r="AI592" s="50"/>
      <c r="AJ592" s="50"/>
      <c r="AK592" s="111"/>
      <c r="AL592" s="50"/>
    </row>
    <row r="593" spans="1:40">
      <c r="C593" s="42"/>
      <c r="F593" s="50"/>
      <c r="H593" s="45"/>
      <c r="I593" s="45"/>
      <c r="L593" s="45"/>
      <c r="M593" s="45"/>
      <c r="N593" s="46"/>
      <c r="O593" s="46"/>
      <c r="P593" s="164"/>
      <c r="Q593" s="164"/>
      <c r="R593" s="45"/>
      <c r="T593" s="42"/>
      <c r="V593" s="45"/>
      <c r="W593" s="45"/>
      <c r="X593" s="45"/>
      <c r="Y593" s="45"/>
      <c r="Z593" s="336"/>
      <c r="AA593" s="45"/>
      <c r="AB593" s="45"/>
      <c r="AC593" s="46"/>
      <c r="AD593" s="46"/>
      <c r="AE593" s="45"/>
      <c r="AF593" s="45"/>
      <c r="AH593" s="51"/>
      <c r="AI593" s="164"/>
      <c r="AJ593" s="164"/>
      <c r="AL593" s="45"/>
      <c r="AM593" s="46"/>
      <c r="AN593" s="46"/>
    </row>
    <row r="594" spans="1:40">
      <c r="F594" s="45"/>
      <c r="H594" s="50"/>
      <c r="I594" s="50"/>
      <c r="J594" s="326"/>
      <c r="K594" s="326"/>
      <c r="L594" s="50"/>
      <c r="M594" s="50"/>
      <c r="N594" s="50"/>
      <c r="O594" s="50"/>
      <c r="P594" s="50"/>
      <c r="Q594" s="50"/>
      <c r="R594" s="50"/>
      <c r="V594" s="50"/>
      <c r="Y594" s="50"/>
      <c r="Z594" s="326"/>
      <c r="AA594" s="50"/>
      <c r="AB594" s="50"/>
      <c r="AC594" s="50"/>
      <c r="AD594" s="50"/>
      <c r="AE594" s="50"/>
      <c r="AF594" s="50"/>
      <c r="AI594" s="50"/>
      <c r="AJ594" s="50"/>
      <c r="AK594" s="111"/>
      <c r="AL594" s="50"/>
    </row>
    <row r="595" spans="1:40">
      <c r="C595" s="42"/>
      <c r="F595" s="50"/>
      <c r="H595" s="45"/>
      <c r="I595" s="45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51"/>
      <c r="AN595" s="51"/>
    </row>
    <row r="596" spans="1:40">
      <c r="F596" s="45"/>
      <c r="H596" s="50"/>
      <c r="I596" s="50"/>
      <c r="J596" s="326"/>
      <c r="K596" s="326"/>
      <c r="L596" s="50"/>
      <c r="M596" s="50"/>
      <c r="N596" s="50"/>
      <c r="O596" s="50"/>
      <c r="P596" s="50"/>
      <c r="Q596" s="50"/>
      <c r="R596" s="50"/>
      <c r="V596" s="50"/>
      <c r="Y596" s="50"/>
      <c r="Z596" s="326"/>
      <c r="AA596" s="50"/>
      <c r="AB596" s="50"/>
      <c r="AC596" s="50"/>
      <c r="AD596" s="50"/>
      <c r="AE596" s="50"/>
      <c r="AF596" s="50"/>
      <c r="AI596" s="50"/>
      <c r="AJ596" s="50"/>
      <c r="AK596" s="111"/>
      <c r="AL596" s="50"/>
    </row>
    <row r="598" spans="1:40">
      <c r="F598" s="50"/>
    </row>
    <row r="599" spans="1:40">
      <c r="A599" s="42"/>
    </row>
    <row r="601" spans="1:40">
      <c r="H601" s="42"/>
      <c r="I601" s="42"/>
      <c r="Y601" s="42"/>
    </row>
    <row r="603" spans="1:40">
      <c r="L603" s="42"/>
      <c r="M603" s="42"/>
      <c r="AA603" s="42"/>
      <c r="AB603" s="42"/>
    </row>
    <row r="604" spans="1:40">
      <c r="R604" s="42"/>
      <c r="AK604" s="110"/>
      <c r="AL604" s="42"/>
    </row>
    <row r="605" spans="1:40">
      <c r="R605" s="42"/>
      <c r="AK605" s="110"/>
      <c r="AL605" s="42"/>
    </row>
    <row r="606" spans="1:40">
      <c r="A606" s="42"/>
      <c r="R606" s="42"/>
      <c r="AK606" s="110"/>
      <c r="AL606" s="42"/>
    </row>
    <row r="607" spans="1:40">
      <c r="L607" s="42"/>
      <c r="M607" s="42"/>
      <c r="AA607" s="42"/>
      <c r="AB607" s="42"/>
    </row>
    <row r="608" spans="1:40">
      <c r="A608" s="49"/>
      <c r="B608" s="49"/>
      <c r="C608" s="49"/>
      <c r="D608" s="49"/>
      <c r="E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107"/>
      <c r="AH608" s="49"/>
      <c r="AI608" s="49"/>
      <c r="AJ608" s="49"/>
      <c r="AK608" s="107"/>
      <c r="AL608" s="49"/>
      <c r="AM608" s="49"/>
      <c r="AN608" s="49"/>
    </row>
    <row r="609" spans="1:40">
      <c r="F609" s="49"/>
      <c r="L609" s="44"/>
      <c r="M609" s="44"/>
      <c r="N609" s="44"/>
      <c r="O609" s="44"/>
      <c r="R609" s="44"/>
      <c r="AA609" s="44"/>
      <c r="AB609" s="44"/>
      <c r="AC609" s="44"/>
      <c r="AD609" s="44"/>
      <c r="AE609" s="44"/>
      <c r="AF609" s="44"/>
      <c r="AG609" s="102"/>
      <c r="AH609" s="44"/>
      <c r="AK609" s="102"/>
      <c r="AL609" s="44"/>
      <c r="AM609" s="44"/>
      <c r="AN609" s="44"/>
    </row>
    <row r="610" spans="1:40">
      <c r="L610" s="44"/>
      <c r="M610" s="44"/>
      <c r="N610" s="44"/>
      <c r="O610" s="44"/>
      <c r="R610" s="44"/>
      <c r="Z610" s="44"/>
      <c r="AA610" s="44"/>
      <c r="AB610" s="44"/>
      <c r="AC610" s="44"/>
      <c r="AD610" s="44"/>
      <c r="AE610" s="44"/>
      <c r="AF610" s="44"/>
      <c r="AG610" s="102"/>
      <c r="AH610" s="44"/>
      <c r="AK610" s="102"/>
      <c r="AL610" s="44"/>
      <c r="AM610" s="44"/>
      <c r="AN610" s="44"/>
    </row>
    <row r="611" spans="1:40">
      <c r="A611" s="44"/>
      <c r="C611" s="44"/>
      <c r="D611" s="44"/>
      <c r="E611" s="44"/>
      <c r="J611" s="44"/>
      <c r="K611" s="44"/>
      <c r="L611" s="44"/>
      <c r="M611" s="44"/>
      <c r="N611" s="44"/>
      <c r="O611" s="44"/>
      <c r="P611" s="44"/>
      <c r="Q611" s="44"/>
      <c r="R611" s="44"/>
      <c r="T611" s="44"/>
      <c r="U611" s="44"/>
      <c r="V611" s="44"/>
      <c r="Z611" s="44"/>
      <c r="AA611" s="44"/>
      <c r="AB611" s="44"/>
      <c r="AC611" s="44"/>
      <c r="AD611" s="44"/>
      <c r="AE611" s="44"/>
      <c r="AF611" s="44"/>
      <c r="AG611" s="102"/>
      <c r="AH611" s="44"/>
      <c r="AI611" s="44"/>
      <c r="AJ611" s="44"/>
      <c r="AK611" s="102"/>
      <c r="AL611" s="44"/>
      <c r="AM611" s="44"/>
      <c r="AN611" s="44"/>
    </row>
    <row r="612" spans="1:40">
      <c r="A612" s="44"/>
      <c r="C612" s="44"/>
      <c r="D612" s="44"/>
      <c r="E612" s="44"/>
      <c r="F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T612" s="44"/>
      <c r="U612" s="44"/>
      <c r="V612" s="44"/>
      <c r="Y612" s="44"/>
      <c r="Z612" s="44"/>
      <c r="AA612" s="44"/>
      <c r="AB612" s="44"/>
      <c r="AC612" s="44"/>
      <c r="AD612" s="44"/>
      <c r="AE612" s="44"/>
      <c r="AF612" s="44"/>
      <c r="AG612" s="102"/>
      <c r="AH612" s="44"/>
      <c r="AI612" s="44"/>
      <c r="AJ612" s="44"/>
      <c r="AK612" s="102"/>
      <c r="AL612" s="44"/>
      <c r="AM612" s="44"/>
      <c r="AN612" s="44"/>
    </row>
    <row r="613" spans="1:40">
      <c r="C613" s="44"/>
      <c r="D613" s="44"/>
      <c r="E613" s="44"/>
      <c r="F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T613" s="44"/>
      <c r="U613" s="44"/>
      <c r="V613" s="44"/>
      <c r="Y613" s="44"/>
      <c r="Z613" s="44"/>
      <c r="AA613" s="44"/>
      <c r="AB613" s="44"/>
      <c r="AC613" s="44"/>
      <c r="AD613" s="44"/>
      <c r="AE613" s="44"/>
      <c r="AF613" s="44"/>
      <c r="AG613" s="102"/>
      <c r="AH613" s="44"/>
      <c r="AI613" s="44"/>
      <c r="AJ613" s="44"/>
      <c r="AK613" s="102"/>
      <c r="AL613" s="44"/>
      <c r="AM613" s="44"/>
      <c r="AN613" s="44"/>
    </row>
    <row r="614" spans="1:40">
      <c r="A614" s="49"/>
      <c r="B614" s="49"/>
      <c r="C614" s="49"/>
      <c r="D614" s="49"/>
      <c r="E614" s="49"/>
      <c r="F614" s="44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107"/>
      <c r="AH614" s="49"/>
      <c r="AI614" s="49"/>
      <c r="AJ614" s="49"/>
      <c r="AK614" s="107"/>
      <c r="AL614" s="49"/>
      <c r="AM614" s="49"/>
      <c r="AN614" s="49"/>
    </row>
    <row r="615" spans="1:40">
      <c r="F615" s="49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Y615" s="44"/>
      <c r="Z615" s="44"/>
      <c r="AA615" s="44"/>
      <c r="AB615" s="44"/>
      <c r="AC615" s="44"/>
      <c r="AD615" s="44"/>
      <c r="AE615" s="44"/>
      <c r="AF615" s="44"/>
      <c r="AG615" s="102"/>
      <c r="AH615" s="44"/>
      <c r="AI615" s="44"/>
      <c r="AJ615" s="44"/>
      <c r="AK615" s="102"/>
      <c r="AL615" s="44"/>
      <c r="AM615" s="44"/>
      <c r="AN615" s="44"/>
    </row>
    <row r="616" spans="1:40">
      <c r="C616" s="42"/>
      <c r="D616" s="42"/>
      <c r="E616" s="42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1:40">
      <c r="F617" s="45"/>
      <c r="H617" s="50"/>
      <c r="I617" s="50"/>
      <c r="J617" s="326"/>
      <c r="K617" s="326"/>
      <c r="L617" s="50"/>
      <c r="M617" s="50"/>
      <c r="N617" s="50"/>
      <c r="O617" s="50"/>
      <c r="P617" s="50"/>
      <c r="Q617" s="50"/>
      <c r="R617" s="50"/>
      <c r="V617" s="50"/>
      <c r="Y617" s="50"/>
      <c r="Z617" s="326"/>
      <c r="AA617" s="50"/>
      <c r="AB617" s="50"/>
      <c r="AC617" s="50"/>
      <c r="AD617" s="50"/>
      <c r="AE617" s="50"/>
      <c r="AF617" s="50"/>
      <c r="AI617" s="50"/>
      <c r="AJ617" s="50"/>
      <c r="AK617" s="111"/>
      <c r="AL617" s="50"/>
      <c r="AM617" s="46"/>
      <c r="AN617" s="46"/>
    </row>
    <row r="618" spans="1:40">
      <c r="C618" s="42"/>
      <c r="F618" s="50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1:40">
      <c r="F619" s="45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V619" s="45"/>
      <c r="Y619" s="45"/>
      <c r="Z619" s="47"/>
      <c r="AA619" s="45"/>
      <c r="AB619" s="45"/>
      <c r="AC619" s="47"/>
      <c r="AD619" s="47"/>
      <c r="AH619" s="51"/>
      <c r="AI619" s="45"/>
      <c r="AJ619" s="45"/>
      <c r="AL619" s="45"/>
      <c r="AM619" s="46"/>
      <c r="AN619" s="46"/>
    </row>
    <row r="620" spans="1:40">
      <c r="C620" s="42"/>
      <c r="D620" s="42"/>
      <c r="E620" s="42"/>
      <c r="F620" s="45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1:40">
      <c r="C621" s="42"/>
      <c r="D621" s="42"/>
      <c r="E621" s="42"/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T621" s="42"/>
      <c r="U621" s="42"/>
      <c r="V621" s="45"/>
      <c r="Y621" s="45"/>
      <c r="Z621" s="47"/>
      <c r="AA621" s="45"/>
      <c r="AB621" s="45"/>
      <c r="AC621" s="47"/>
      <c r="AD621" s="47"/>
      <c r="AE621" s="45"/>
      <c r="AF621" s="45"/>
      <c r="AH621" s="51"/>
      <c r="AI621" s="45"/>
      <c r="AJ621" s="45"/>
      <c r="AL621" s="45"/>
      <c r="AM621" s="46"/>
      <c r="AN621" s="46"/>
    </row>
    <row r="622" spans="1:40">
      <c r="C622" s="42"/>
      <c r="D622" s="42"/>
      <c r="E622" s="42"/>
      <c r="F622" s="45"/>
      <c r="H622" s="45"/>
      <c r="I622" s="45"/>
      <c r="J622" s="47"/>
      <c r="K622" s="47"/>
      <c r="L622" s="45"/>
      <c r="M622" s="45"/>
      <c r="N622" s="47"/>
      <c r="O622" s="47"/>
      <c r="P622" s="45"/>
      <c r="Q622" s="45"/>
      <c r="R622" s="45"/>
      <c r="T622" s="42"/>
      <c r="U622" s="42"/>
      <c r="V622" s="45"/>
      <c r="Y622" s="45"/>
      <c r="Z622" s="47"/>
      <c r="AA622" s="45"/>
      <c r="AB622" s="45"/>
      <c r="AC622" s="47"/>
      <c r="AD622" s="47"/>
      <c r="AE622" s="45"/>
      <c r="AF622" s="45"/>
      <c r="AH622" s="51"/>
      <c r="AI622" s="45"/>
      <c r="AJ622" s="45"/>
      <c r="AL622" s="45"/>
      <c r="AM622" s="46"/>
      <c r="AN622" s="46"/>
    </row>
    <row r="623" spans="1:40">
      <c r="C623" s="42"/>
      <c r="D623" s="42"/>
      <c r="E623" s="42"/>
      <c r="F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U623" s="42"/>
      <c r="V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1:40">
      <c r="C624" s="42"/>
      <c r="D624" s="42"/>
      <c r="E624" s="42"/>
      <c r="F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U624" s="42"/>
      <c r="V624" s="45"/>
      <c r="Y624" s="45"/>
      <c r="Z624" s="47"/>
      <c r="AA624" s="45"/>
      <c r="AB624" s="45"/>
      <c r="AC624" s="47"/>
      <c r="AD624" s="47"/>
      <c r="AE624" s="45"/>
      <c r="AF624" s="45"/>
      <c r="AH624" s="51"/>
      <c r="AI624" s="45"/>
      <c r="AJ624" s="45"/>
      <c r="AL624" s="45"/>
      <c r="AM624" s="46"/>
      <c r="AN624" s="46"/>
    </row>
    <row r="625" spans="3:40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Y625" s="45"/>
      <c r="Z625" s="47"/>
      <c r="AA625" s="45"/>
      <c r="AB625" s="45"/>
      <c r="AC625" s="47"/>
      <c r="AD625" s="47"/>
      <c r="AE625" s="45"/>
      <c r="AF625" s="45"/>
      <c r="AH625" s="51"/>
      <c r="AI625" s="45"/>
      <c r="AJ625" s="45"/>
      <c r="AL625" s="45"/>
      <c r="AM625" s="46"/>
      <c r="AN625" s="46"/>
    </row>
    <row r="626" spans="3:40">
      <c r="F626" s="45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  <c r="AM626" s="46"/>
      <c r="AN626" s="46"/>
    </row>
    <row r="627" spans="3:40">
      <c r="C627" s="42"/>
      <c r="F627" s="50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V627" s="45"/>
      <c r="Y627" s="45"/>
      <c r="Z627" s="47"/>
      <c r="AA627" s="45"/>
      <c r="AB627" s="45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3:40"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V628" s="45"/>
      <c r="Y628" s="45"/>
      <c r="Z628" s="47"/>
      <c r="AA628" s="45"/>
      <c r="AB628" s="45"/>
      <c r="AC628" s="47"/>
      <c r="AD628" s="47"/>
      <c r="AH628" s="51"/>
      <c r="AI628" s="45"/>
      <c r="AJ628" s="45"/>
      <c r="AL628" s="45"/>
      <c r="AM628" s="46"/>
      <c r="AN628" s="46"/>
    </row>
    <row r="629" spans="3:40">
      <c r="C629" s="42"/>
      <c r="D629" s="42"/>
      <c r="E629" s="42"/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T629" s="42"/>
      <c r="U629" s="42"/>
      <c r="V629" s="45"/>
      <c r="Y629" s="45"/>
      <c r="Z629" s="47"/>
      <c r="AA629" s="45"/>
      <c r="AB629" s="45"/>
      <c r="AC629" s="47"/>
      <c r="AD629" s="47"/>
      <c r="AE629" s="45"/>
      <c r="AF629" s="45"/>
      <c r="AH629" s="51"/>
      <c r="AI629" s="45"/>
      <c r="AJ629" s="45"/>
      <c r="AL629" s="45"/>
      <c r="AM629" s="46"/>
      <c r="AN629" s="46"/>
    </row>
    <row r="630" spans="3:40">
      <c r="F630" s="45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  <c r="AM630" s="46"/>
      <c r="AN630" s="46"/>
    </row>
    <row r="631" spans="3:40">
      <c r="C631" s="42"/>
      <c r="F631" s="50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T631" s="42"/>
      <c r="V631" s="45"/>
      <c r="Y631" s="45"/>
      <c r="Z631" s="47"/>
      <c r="AA631" s="45"/>
      <c r="AB631" s="45"/>
      <c r="AC631" s="47"/>
      <c r="AD631" s="47"/>
      <c r="AE631" s="45"/>
      <c r="AF631" s="45"/>
      <c r="AH631" s="51"/>
      <c r="AI631" s="45"/>
      <c r="AJ631" s="45"/>
      <c r="AL631" s="45"/>
      <c r="AM631" s="46"/>
      <c r="AN631" s="46"/>
    </row>
    <row r="632" spans="3:40"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V632" s="45"/>
      <c r="Y632" s="45"/>
      <c r="Z632" s="47"/>
      <c r="AA632" s="45"/>
      <c r="AB632" s="45"/>
      <c r="AC632" s="47"/>
      <c r="AD632" s="47"/>
      <c r="AH632" s="51"/>
      <c r="AI632" s="45"/>
      <c r="AJ632" s="45"/>
      <c r="AL632" s="45"/>
      <c r="AM632" s="46"/>
      <c r="AN632" s="46"/>
    </row>
    <row r="633" spans="3:40">
      <c r="C633" s="42"/>
      <c r="D633" s="42"/>
      <c r="E633" s="42"/>
      <c r="F633" s="45"/>
      <c r="H633" s="45"/>
      <c r="I633" s="45"/>
      <c r="J633" s="47"/>
      <c r="K633" s="47"/>
      <c r="L633" s="45"/>
      <c r="M633" s="45"/>
      <c r="N633" s="47"/>
      <c r="O633" s="47"/>
      <c r="P633" s="45"/>
      <c r="Q633" s="45"/>
      <c r="R633" s="45"/>
      <c r="T633" s="42"/>
      <c r="U633" s="42"/>
      <c r="V633" s="45"/>
      <c r="Y633" s="45"/>
      <c r="Z633" s="47"/>
      <c r="AA633" s="45"/>
      <c r="AB633" s="45"/>
      <c r="AC633" s="47"/>
      <c r="AD633" s="47"/>
      <c r="AE633" s="45"/>
      <c r="AF633" s="45"/>
      <c r="AH633" s="51"/>
      <c r="AI633" s="45"/>
      <c r="AJ633" s="45"/>
      <c r="AL633" s="45"/>
      <c r="AM633" s="46"/>
      <c r="AN633" s="46"/>
    </row>
    <row r="634" spans="3:40">
      <c r="C634" s="42"/>
      <c r="D634" s="42"/>
      <c r="E634" s="42"/>
      <c r="F634" s="45"/>
      <c r="G634" s="45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U634" s="42"/>
      <c r="V634" s="45"/>
      <c r="W634" s="45"/>
      <c r="X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3:40">
      <c r="C635" s="42"/>
      <c r="D635" s="42"/>
      <c r="E635" s="42"/>
      <c r="F635" s="45"/>
      <c r="G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U635" s="42"/>
      <c r="V635" s="45"/>
      <c r="W635" s="45"/>
      <c r="X635" s="45"/>
      <c r="Y635" s="45"/>
      <c r="Z635" s="47"/>
      <c r="AA635" s="45"/>
      <c r="AB635" s="45"/>
      <c r="AC635" s="47"/>
      <c r="AD635" s="47"/>
      <c r="AE635" s="45"/>
      <c r="AF635" s="45"/>
      <c r="AH635" s="51"/>
      <c r="AI635" s="45"/>
      <c r="AJ635" s="45"/>
      <c r="AL635" s="45"/>
      <c r="AM635" s="46"/>
      <c r="AN635" s="46"/>
    </row>
    <row r="636" spans="3:40">
      <c r="C636" s="42"/>
      <c r="D636" s="42"/>
      <c r="E636" s="42"/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T636" s="42"/>
      <c r="U636" s="42"/>
      <c r="V636" s="45"/>
      <c r="Y636" s="45"/>
      <c r="Z636" s="47"/>
      <c r="AA636" s="45"/>
      <c r="AB636" s="45"/>
      <c r="AC636" s="47"/>
      <c r="AD636" s="47"/>
      <c r="AE636" s="45"/>
      <c r="AF636" s="45"/>
      <c r="AH636" s="51"/>
      <c r="AI636" s="45"/>
      <c r="AJ636" s="45"/>
      <c r="AL636" s="45"/>
      <c r="AM636" s="46"/>
      <c r="AN636" s="46"/>
    </row>
    <row r="637" spans="3:40">
      <c r="C637" s="42"/>
      <c r="D637" s="42"/>
      <c r="E637" s="42"/>
      <c r="F637" s="45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U637" s="42"/>
      <c r="V637" s="45"/>
      <c r="Y637" s="45"/>
      <c r="Z637" s="47"/>
      <c r="AA637" s="45"/>
      <c r="AB637" s="45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3:40">
      <c r="C638" s="42"/>
      <c r="D638" s="42"/>
      <c r="E638" s="42"/>
      <c r="F638" s="45"/>
      <c r="H638" s="45"/>
      <c r="I638" s="45"/>
      <c r="J638" s="47"/>
      <c r="K638" s="47"/>
      <c r="L638" s="45"/>
      <c r="M638" s="45"/>
      <c r="N638" s="47"/>
      <c r="O638" s="47"/>
      <c r="P638" s="45"/>
      <c r="Q638" s="45"/>
      <c r="R638" s="45"/>
      <c r="T638" s="42"/>
      <c r="U638" s="42"/>
      <c r="V638" s="45"/>
      <c r="Y638" s="45"/>
      <c r="Z638" s="47"/>
      <c r="AA638" s="45"/>
      <c r="AB638" s="45"/>
      <c r="AC638" s="47"/>
      <c r="AD638" s="47"/>
      <c r="AE638" s="45"/>
      <c r="AF638" s="45"/>
      <c r="AH638" s="51"/>
      <c r="AI638" s="45"/>
      <c r="AJ638" s="45"/>
      <c r="AL638" s="45"/>
      <c r="AM638" s="46"/>
      <c r="AN638" s="46"/>
    </row>
    <row r="639" spans="3:40">
      <c r="C639" s="42"/>
      <c r="D639" s="42"/>
      <c r="E639" s="42"/>
      <c r="F639" s="45"/>
      <c r="H639" s="45"/>
      <c r="I639" s="45"/>
      <c r="J639" s="47"/>
      <c r="K639" s="47"/>
      <c r="L639" s="45"/>
      <c r="M639" s="45"/>
      <c r="N639" s="47"/>
      <c r="O639" s="47"/>
      <c r="P639" s="45"/>
      <c r="Q639" s="45"/>
      <c r="R639" s="45"/>
      <c r="T639" s="42"/>
      <c r="U639" s="42"/>
      <c r="V639" s="45"/>
      <c r="Y639" s="45"/>
      <c r="Z639" s="47"/>
      <c r="AA639" s="45"/>
      <c r="AB639" s="45"/>
      <c r="AC639" s="47"/>
      <c r="AD639" s="47"/>
      <c r="AE639" s="45"/>
      <c r="AF639" s="45"/>
      <c r="AH639" s="51"/>
      <c r="AI639" s="45"/>
      <c r="AJ639" s="45"/>
      <c r="AL639" s="45"/>
      <c r="AM639" s="46"/>
      <c r="AN639" s="46"/>
    </row>
    <row r="640" spans="3:40">
      <c r="F640" s="45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  <c r="AM640" s="46"/>
      <c r="AN640" s="46"/>
    </row>
    <row r="641" spans="3:40">
      <c r="C641" s="42"/>
      <c r="F641" s="50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V641" s="45"/>
      <c r="Y641" s="45"/>
      <c r="Z641" s="47"/>
      <c r="AA641" s="45"/>
      <c r="AB641" s="45"/>
      <c r="AC641" s="47"/>
      <c r="AD641" s="47"/>
      <c r="AE641" s="45"/>
      <c r="AF641" s="45"/>
      <c r="AH641" s="51"/>
      <c r="AI641" s="45"/>
      <c r="AJ641" s="45"/>
      <c r="AL641" s="45"/>
      <c r="AM641" s="46"/>
      <c r="AN641" s="46"/>
    </row>
    <row r="642" spans="3:40">
      <c r="F642" s="45"/>
      <c r="V642" s="45"/>
      <c r="Y642" s="45"/>
      <c r="Z642" s="326"/>
      <c r="AA642" s="45"/>
      <c r="AB642" s="45"/>
      <c r="AC642" s="45"/>
      <c r="AD642" s="45"/>
      <c r="AE642" s="45"/>
      <c r="AF642" s="45"/>
      <c r="AI642" s="45"/>
      <c r="AJ642" s="45"/>
      <c r="AL642" s="45"/>
      <c r="AM642" s="46"/>
      <c r="AN642" s="46"/>
    </row>
    <row r="643" spans="3:40">
      <c r="C643" s="42"/>
      <c r="D643" s="42"/>
      <c r="E643" s="42"/>
      <c r="L643" s="45"/>
      <c r="M643" s="45"/>
      <c r="N643" s="47"/>
      <c r="O643" s="47"/>
      <c r="R643" s="45"/>
      <c r="T643" s="42"/>
      <c r="U643" s="42"/>
      <c r="AA643" s="45"/>
      <c r="AB643" s="45"/>
      <c r="AC643" s="47"/>
      <c r="AD643" s="47"/>
      <c r="AE643" s="45"/>
      <c r="AF643" s="45"/>
      <c r="AH643" s="51"/>
      <c r="AL643" s="45"/>
      <c r="AM643" s="46"/>
      <c r="AN643" s="46"/>
    </row>
    <row r="644" spans="3:40">
      <c r="D644" s="42"/>
      <c r="E644" s="42"/>
      <c r="H644" s="164"/>
      <c r="I644" s="164"/>
      <c r="J644" s="47"/>
      <c r="K644" s="47"/>
      <c r="L644" s="45"/>
      <c r="M644" s="45"/>
      <c r="N644" s="47"/>
      <c r="O644" s="47"/>
      <c r="P644" s="164"/>
      <c r="Q644" s="164"/>
      <c r="R644" s="45"/>
      <c r="U644" s="42"/>
      <c r="V644" s="45"/>
      <c r="Y644" s="45"/>
      <c r="Z644" s="47"/>
      <c r="AA644" s="45"/>
      <c r="AB644" s="45"/>
      <c r="AC644" s="47"/>
      <c r="AD644" s="47"/>
      <c r="AE644" s="45"/>
      <c r="AF644" s="45"/>
      <c r="AH644" s="51"/>
      <c r="AI644" s="45"/>
      <c r="AJ644" s="45"/>
      <c r="AL644" s="45"/>
      <c r="AM644" s="46"/>
      <c r="AN644" s="46"/>
    </row>
    <row r="645" spans="3:40">
      <c r="F645" s="164"/>
      <c r="H645" s="50"/>
      <c r="I645" s="50"/>
      <c r="J645" s="326"/>
      <c r="K645" s="326"/>
      <c r="L645" s="50"/>
      <c r="M645" s="50"/>
      <c r="N645" s="50"/>
      <c r="O645" s="50"/>
      <c r="P645" s="50"/>
      <c r="Q645" s="50"/>
      <c r="R645" s="50"/>
      <c r="V645" s="50"/>
      <c r="Y645" s="50"/>
      <c r="Z645" s="326"/>
      <c r="AA645" s="50"/>
      <c r="AB645" s="50"/>
      <c r="AC645" s="50"/>
      <c r="AD645" s="50"/>
      <c r="AE645" s="50"/>
      <c r="AF645" s="50"/>
      <c r="AI645" s="50"/>
      <c r="AJ645" s="50"/>
      <c r="AK645" s="111"/>
      <c r="AL645" s="50"/>
      <c r="AM645" s="46"/>
      <c r="AN645" s="46"/>
    </row>
    <row r="646" spans="3:40">
      <c r="C646" s="42"/>
      <c r="F646" s="50"/>
      <c r="H646" s="45"/>
      <c r="I646" s="45"/>
      <c r="J646" s="47"/>
      <c r="K646" s="47"/>
      <c r="L646" s="45"/>
      <c r="M646" s="45"/>
      <c r="N646" s="47"/>
      <c r="O646" s="47"/>
      <c r="P646" s="45"/>
      <c r="Q646" s="45"/>
      <c r="R646" s="45"/>
      <c r="T646" s="42"/>
      <c r="V646" s="45"/>
      <c r="Y646" s="45"/>
      <c r="Z646" s="47"/>
      <c r="AA646" s="45"/>
      <c r="AB646" s="45"/>
      <c r="AC646" s="47"/>
      <c r="AD646" s="47"/>
      <c r="AE646" s="45"/>
      <c r="AF646" s="45"/>
      <c r="AH646" s="51"/>
      <c r="AI646" s="45"/>
      <c r="AJ646" s="45"/>
      <c r="AL646" s="45"/>
      <c r="AM646" s="46"/>
      <c r="AN646" s="46"/>
    </row>
    <row r="647" spans="3:40">
      <c r="F647" s="45"/>
      <c r="H647" s="45"/>
      <c r="I647" s="45"/>
      <c r="J647" s="47"/>
      <c r="K647" s="47"/>
      <c r="L647" s="45"/>
      <c r="M647" s="45"/>
      <c r="N647" s="47"/>
      <c r="O647" s="47"/>
      <c r="P647" s="45"/>
      <c r="Q647" s="45"/>
      <c r="R647" s="45"/>
      <c r="V647" s="45"/>
      <c r="Y647" s="45"/>
      <c r="Z647" s="47"/>
      <c r="AA647" s="45"/>
      <c r="AB647" s="45"/>
      <c r="AC647" s="47"/>
      <c r="AD647" s="47"/>
      <c r="AH647" s="51"/>
      <c r="AI647" s="45"/>
      <c r="AJ647" s="45"/>
      <c r="AL647" s="45"/>
      <c r="AM647" s="46"/>
      <c r="AN647" s="46"/>
    </row>
    <row r="648" spans="3:40">
      <c r="D648" s="42"/>
      <c r="E648" s="42"/>
      <c r="F648" s="45"/>
      <c r="H648" s="45"/>
      <c r="I648" s="45"/>
      <c r="J648" s="47"/>
      <c r="K648" s="47"/>
      <c r="L648" s="164"/>
      <c r="M648" s="164"/>
      <c r="N648" s="47"/>
      <c r="O648" s="47"/>
      <c r="P648" s="45"/>
      <c r="Q648" s="45"/>
      <c r="R648" s="45"/>
      <c r="U648" s="42"/>
      <c r="V648" s="45"/>
      <c r="Y648" s="45"/>
      <c r="Z648" s="47"/>
      <c r="AA648" s="164"/>
      <c r="AB648" s="164"/>
      <c r="AC648" s="47"/>
      <c r="AD648" s="47"/>
      <c r="AE648" s="45"/>
      <c r="AF648" s="45"/>
      <c r="AH648" s="51"/>
      <c r="AI648" s="45"/>
      <c r="AJ648" s="45"/>
      <c r="AL648" s="45"/>
      <c r="AM648" s="46"/>
      <c r="AN648" s="46"/>
    </row>
    <row r="649" spans="3:40">
      <c r="D649" s="42"/>
      <c r="E649" s="42"/>
      <c r="F649" s="45"/>
      <c r="H649" s="45"/>
      <c r="I649" s="45"/>
      <c r="J649" s="47"/>
      <c r="K649" s="47"/>
      <c r="L649" s="164"/>
      <c r="M649" s="164"/>
      <c r="N649" s="47"/>
      <c r="O649" s="47"/>
      <c r="P649" s="45"/>
      <c r="Q649" s="45"/>
      <c r="R649" s="45"/>
      <c r="U649" s="42"/>
      <c r="V649" s="45"/>
      <c r="Y649" s="45"/>
      <c r="Z649" s="47"/>
      <c r="AA649" s="164"/>
      <c r="AB649" s="164"/>
      <c r="AC649" s="47"/>
      <c r="AD649" s="47"/>
      <c r="AE649" s="45"/>
      <c r="AF649" s="45"/>
      <c r="AH649" s="51"/>
      <c r="AI649" s="45"/>
      <c r="AJ649" s="45"/>
      <c r="AL649" s="45"/>
      <c r="AM649" s="46"/>
      <c r="AN649" s="46"/>
    </row>
    <row r="650" spans="3:40">
      <c r="D650" s="42"/>
      <c r="E650" s="42"/>
      <c r="F650" s="45"/>
      <c r="H650" s="45"/>
      <c r="I650" s="45"/>
      <c r="J650" s="47"/>
      <c r="K650" s="47"/>
      <c r="L650" s="164"/>
      <c r="M650" s="164"/>
      <c r="N650" s="47"/>
      <c r="O650" s="47"/>
      <c r="P650" s="45"/>
      <c r="Q650" s="45"/>
      <c r="R650" s="45"/>
      <c r="U650" s="42"/>
      <c r="V650" s="45"/>
      <c r="Y650" s="45"/>
      <c r="Z650" s="47"/>
      <c r="AA650" s="164"/>
      <c r="AB650" s="164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3:40">
      <c r="F651" s="45"/>
      <c r="H651" s="50"/>
      <c r="I651" s="50"/>
      <c r="J651" s="326"/>
      <c r="K651" s="326"/>
      <c r="L651" s="50"/>
      <c r="M651" s="50"/>
      <c r="N651" s="50"/>
      <c r="O651" s="50"/>
      <c r="P651" s="50"/>
      <c r="Q651" s="50"/>
      <c r="R651" s="50"/>
      <c r="V651" s="50"/>
      <c r="Y651" s="50"/>
      <c r="Z651" s="326"/>
      <c r="AA651" s="50"/>
      <c r="AB651" s="50"/>
      <c r="AC651" s="50"/>
      <c r="AD651" s="50"/>
      <c r="AE651" s="50"/>
      <c r="AF651" s="50"/>
      <c r="AI651" s="50"/>
      <c r="AJ651" s="50"/>
      <c r="AK651" s="111"/>
      <c r="AL651" s="50"/>
      <c r="AM651" s="46"/>
      <c r="AN651" s="46"/>
    </row>
    <row r="652" spans="3:40">
      <c r="C652" s="42"/>
      <c r="F652" s="50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3:40"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V653" s="45"/>
      <c r="Y653" s="45"/>
      <c r="Z653" s="47"/>
      <c r="AA653" s="45"/>
      <c r="AB653" s="45"/>
      <c r="AC653" s="47"/>
      <c r="AD653" s="47"/>
      <c r="AH653" s="51"/>
      <c r="AI653" s="45"/>
      <c r="AJ653" s="45"/>
      <c r="AL653" s="45"/>
      <c r="AM653" s="46"/>
      <c r="AN653" s="46"/>
    </row>
    <row r="654" spans="3:40">
      <c r="C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3:40">
      <c r="F655" s="45"/>
      <c r="H655" s="50"/>
      <c r="I655" s="50"/>
      <c r="J655" s="326"/>
      <c r="K655" s="326"/>
      <c r="L655" s="50"/>
      <c r="M655" s="50"/>
      <c r="N655" s="50"/>
      <c r="O655" s="50"/>
      <c r="P655" s="50"/>
      <c r="Q655" s="50"/>
      <c r="R655" s="50"/>
      <c r="V655" s="50"/>
      <c r="Y655" s="50"/>
      <c r="Z655" s="326"/>
      <c r="AA655" s="50"/>
      <c r="AB655" s="50"/>
      <c r="AC655" s="50"/>
      <c r="AD655" s="50"/>
      <c r="AE655" s="50"/>
      <c r="AF655" s="50"/>
      <c r="AI655" s="50"/>
      <c r="AJ655" s="50"/>
      <c r="AK655" s="111"/>
      <c r="AL655" s="50"/>
    </row>
    <row r="657" spans="1:20">
      <c r="C657" s="42"/>
      <c r="F657" s="50"/>
      <c r="L657" s="45"/>
      <c r="M657" s="45"/>
      <c r="P657" s="45"/>
      <c r="Q657" s="45"/>
      <c r="R657" s="45"/>
      <c r="T657" s="42"/>
    </row>
    <row r="658" spans="1:20">
      <c r="A658" s="42"/>
      <c r="L658" s="45"/>
      <c r="M658" s="45"/>
      <c r="P658" s="45"/>
      <c r="Q658" s="45"/>
      <c r="R658" s="45"/>
    </row>
    <row r="659" spans="1:20">
      <c r="L659" s="45"/>
      <c r="M659" s="45"/>
      <c r="P659" s="45"/>
      <c r="Q659" s="45"/>
      <c r="R659" s="45"/>
    </row>
    <row r="660" spans="1:20">
      <c r="L660" s="45"/>
      <c r="M660" s="45"/>
      <c r="P660" s="45"/>
      <c r="Q660" s="45"/>
      <c r="R660" s="45"/>
    </row>
    <row r="661" spans="1:20">
      <c r="L661" s="45"/>
      <c r="M661" s="45"/>
      <c r="P661" s="45"/>
      <c r="Q661" s="45"/>
      <c r="R661" s="45"/>
    </row>
    <row r="662" spans="1:20">
      <c r="L662" s="45"/>
      <c r="M662" s="45"/>
      <c r="P662" s="45"/>
      <c r="Q662" s="45"/>
      <c r="R662" s="45"/>
    </row>
    <row r="663" spans="1:20">
      <c r="L663" s="45"/>
      <c r="M663" s="45"/>
      <c r="P663" s="45"/>
      <c r="Q663" s="45"/>
      <c r="R663" s="45"/>
    </row>
    <row r="696" spans="49:49">
      <c r="AW696" s="45"/>
    </row>
    <row r="697" spans="49:49">
      <c r="AW697" s="45"/>
    </row>
    <row r="698" spans="49:49">
      <c r="AW698" s="45"/>
    </row>
    <row r="699" spans="49:49">
      <c r="AW699" s="45"/>
    </row>
    <row r="700" spans="49:49">
      <c r="AW700" s="45"/>
    </row>
    <row r="701" spans="49:49">
      <c r="AW701" s="45"/>
    </row>
    <row r="704" spans="49:49">
      <c r="AW704" s="45"/>
    </row>
    <row r="705" spans="49:49">
      <c r="AW705" s="45"/>
    </row>
    <row r="706" spans="49:49">
      <c r="AW706" s="45"/>
    </row>
    <row r="707" spans="49:49">
      <c r="AW707" s="45"/>
    </row>
    <row r="708" spans="49:49">
      <c r="AW708" s="45"/>
    </row>
    <row r="709" spans="49:49">
      <c r="AW709" s="45"/>
    </row>
    <row r="710" spans="49:49">
      <c r="AW710" s="45"/>
    </row>
    <row r="711" spans="49:49">
      <c r="AW711" s="45"/>
    </row>
    <row r="714" spans="49:49">
      <c r="AW714" s="45"/>
    </row>
    <row r="715" spans="49:49">
      <c r="AW715" s="45"/>
    </row>
    <row r="718" spans="49:49">
      <c r="AW718" s="45"/>
    </row>
    <row r="719" spans="49:49">
      <c r="AW719" s="45"/>
    </row>
    <row r="720" spans="49:49">
      <c r="AW720" s="45"/>
    </row>
    <row r="721" spans="45:57">
      <c r="AW721" s="45"/>
    </row>
    <row r="729" spans="45:57">
      <c r="AY729" s="42"/>
    </row>
    <row r="730" spans="45:57">
      <c r="AY730" s="42"/>
    </row>
    <row r="731" spans="45:57">
      <c r="BD731" s="42"/>
    </row>
    <row r="732" spans="45:57">
      <c r="BD732" s="42"/>
    </row>
    <row r="733" spans="45:57">
      <c r="AS733" s="42"/>
      <c r="BD733" s="42"/>
    </row>
    <row r="735" spans="45:57"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</row>
    <row r="736" spans="45:57">
      <c r="AX736" s="42"/>
    </row>
    <row r="737" spans="45:69">
      <c r="AX737" s="49"/>
      <c r="AY737" s="49"/>
      <c r="AZ737" s="49"/>
      <c r="BA737" s="49"/>
      <c r="BC737" s="44"/>
      <c r="BD737" s="44"/>
    </row>
    <row r="738" spans="45:69">
      <c r="AV738" s="44"/>
      <c r="AW738" s="44"/>
      <c r="AZ738" s="44"/>
      <c r="BA738" s="44"/>
      <c r="BC738" s="44"/>
      <c r="BD738" s="44"/>
      <c r="BE738" s="44"/>
      <c r="BG738" s="49"/>
      <c r="BH738" s="42"/>
      <c r="BK738" s="49"/>
      <c r="BM738" s="49"/>
      <c r="BN738" s="42"/>
      <c r="BQ738" s="49"/>
    </row>
    <row r="739" spans="45:69"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H739" s="44"/>
      <c r="BI739" s="44"/>
      <c r="BJ739" s="44"/>
      <c r="BN739" s="44"/>
      <c r="BO739" s="44"/>
      <c r="BP739" s="44"/>
    </row>
    <row r="740" spans="45:69">
      <c r="AS740" s="44"/>
      <c r="AU740" s="42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G740" s="44"/>
      <c r="BH740" s="44"/>
      <c r="BI740" s="44"/>
      <c r="BJ740" s="44"/>
      <c r="BK740" s="44"/>
      <c r="BM740" s="44"/>
      <c r="BN740" s="44"/>
      <c r="BO740" s="44"/>
      <c r="BP740" s="44"/>
      <c r="BQ740" s="44"/>
    </row>
    <row r="741" spans="45:69">
      <c r="AS741" s="44"/>
      <c r="AU741" s="42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G741" s="44"/>
      <c r="BH741" s="44"/>
      <c r="BI741" s="44"/>
      <c r="BJ741" s="44"/>
      <c r="BK741" s="44"/>
      <c r="BM741" s="44"/>
      <c r="BN741" s="44"/>
      <c r="BO741" s="44"/>
      <c r="BP741" s="44"/>
      <c r="BQ741" s="44"/>
    </row>
    <row r="742" spans="45:69"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G742" s="49"/>
      <c r="BH742" s="49"/>
      <c r="BI742" s="49"/>
      <c r="BJ742" s="49"/>
      <c r="BK742" s="49"/>
      <c r="BM742" s="49"/>
      <c r="BN742" s="49"/>
      <c r="BO742" s="49"/>
      <c r="BP742" s="49"/>
      <c r="BQ742" s="49"/>
    </row>
    <row r="743" spans="45:69"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</row>
    <row r="744" spans="45:69">
      <c r="AU744" s="42"/>
      <c r="AV744" s="44"/>
      <c r="AY744" s="47"/>
    </row>
    <row r="745" spans="45:69">
      <c r="AV745" s="44"/>
      <c r="AW745" s="45"/>
      <c r="AX745" s="56"/>
      <c r="AY745" s="56"/>
      <c r="AZ745" s="56"/>
      <c r="BA745" s="46"/>
      <c r="BB745" s="56"/>
      <c r="BC745" s="47"/>
      <c r="BD745" s="47"/>
      <c r="BE745" s="46"/>
      <c r="BG745" s="56"/>
      <c r="BH745" s="56"/>
      <c r="BI745" s="56"/>
      <c r="BJ745" s="56"/>
      <c r="BK745" s="56"/>
      <c r="BM745" s="56"/>
      <c r="BN745" s="56"/>
      <c r="BO745" s="56"/>
      <c r="BP745" s="56"/>
      <c r="BQ745" s="56"/>
    </row>
    <row r="746" spans="45:69">
      <c r="AV746" s="44"/>
      <c r="AW746" s="45"/>
      <c r="AX746" s="56"/>
      <c r="AY746" s="56"/>
      <c r="AZ746" s="56"/>
      <c r="BA746" s="46"/>
      <c r="BB746" s="56"/>
      <c r="BC746" s="47"/>
      <c r="BD746" s="47"/>
      <c r="BE746" s="46"/>
      <c r="BG746" s="56"/>
      <c r="BH746" s="56"/>
      <c r="BI746" s="56"/>
      <c r="BJ746" s="56"/>
      <c r="BK746" s="56"/>
      <c r="BM746" s="56"/>
      <c r="BN746" s="56"/>
      <c r="BO746" s="56"/>
      <c r="BP746" s="56"/>
      <c r="BQ746" s="56"/>
    </row>
    <row r="747" spans="45:69">
      <c r="AV747" s="44"/>
      <c r="AW747" s="45"/>
      <c r="AX747" s="56"/>
      <c r="AY747" s="56"/>
      <c r="AZ747" s="56"/>
      <c r="BA747" s="46"/>
      <c r="BB747" s="56"/>
      <c r="BC747" s="47"/>
      <c r="BD747" s="47"/>
      <c r="BE747" s="46"/>
      <c r="BG747" s="56"/>
      <c r="BH747" s="56"/>
      <c r="BI747" s="56"/>
      <c r="BJ747" s="56"/>
      <c r="BK747" s="56"/>
      <c r="BM747" s="56"/>
      <c r="BN747" s="56"/>
      <c r="BO747" s="56"/>
      <c r="BP747" s="56"/>
      <c r="BQ747" s="56"/>
    </row>
    <row r="748" spans="45:69">
      <c r="AV748" s="44"/>
      <c r="AW748" s="45"/>
      <c r="AX748" s="56"/>
      <c r="AY748" s="56"/>
      <c r="AZ748" s="56"/>
      <c r="BA748" s="46"/>
      <c r="BB748" s="56"/>
      <c r="BC748" s="47"/>
      <c r="BD748" s="47"/>
      <c r="BE748" s="46"/>
      <c r="BG748" s="56"/>
      <c r="BH748" s="56"/>
      <c r="BI748" s="56"/>
      <c r="BJ748" s="56"/>
      <c r="BK748" s="56"/>
      <c r="BM748" s="56"/>
      <c r="BN748" s="56"/>
      <c r="BO748" s="56"/>
      <c r="BP748" s="56"/>
      <c r="BQ748" s="56"/>
    </row>
    <row r="749" spans="45:69">
      <c r="AV749" s="44"/>
      <c r="AW749" s="45"/>
      <c r="AX749" s="56"/>
      <c r="AY749" s="56"/>
      <c r="AZ749" s="56"/>
      <c r="BA749" s="46"/>
      <c r="BB749" s="56"/>
      <c r="BC749" s="47"/>
      <c r="BD749" s="47"/>
      <c r="BE749" s="46"/>
      <c r="BG749" s="56"/>
      <c r="BH749" s="56"/>
      <c r="BI749" s="56"/>
      <c r="BJ749" s="56"/>
      <c r="BK749" s="56"/>
      <c r="BM749" s="56"/>
      <c r="BN749" s="56"/>
      <c r="BO749" s="56"/>
      <c r="BP749" s="56"/>
      <c r="BQ749" s="56"/>
    </row>
    <row r="750" spans="45:69">
      <c r="AV750" s="44"/>
      <c r="AW750" s="45"/>
      <c r="AX750" s="56"/>
      <c r="AY750" s="56"/>
      <c r="AZ750" s="56"/>
      <c r="BA750" s="46"/>
      <c r="BB750" s="56"/>
      <c r="BC750" s="47"/>
      <c r="BD750" s="47"/>
      <c r="BE750" s="46"/>
      <c r="BG750" s="56"/>
      <c r="BH750" s="56"/>
      <c r="BI750" s="56"/>
      <c r="BJ750" s="56"/>
      <c r="BK750" s="56"/>
      <c r="BM750" s="56"/>
      <c r="BN750" s="56"/>
      <c r="BO750" s="56"/>
      <c r="BP750" s="56"/>
      <c r="BQ750" s="56"/>
    </row>
    <row r="751" spans="45:69">
      <c r="AV751" s="44"/>
      <c r="AW751" s="45"/>
      <c r="AX751" s="56"/>
      <c r="AY751" s="56"/>
      <c r="AZ751" s="56"/>
      <c r="BA751" s="46"/>
      <c r="BB751" s="56"/>
      <c r="BC751" s="47"/>
      <c r="BD751" s="47"/>
      <c r="BE751" s="46"/>
      <c r="BG751" s="56"/>
      <c r="BH751" s="56"/>
      <c r="BI751" s="56"/>
      <c r="BJ751" s="56"/>
      <c r="BK751" s="56"/>
      <c r="BM751" s="56"/>
      <c r="BN751" s="56"/>
      <c r="BO751" s="56"/>
      <c r="BP751" s="56"/>
      <c r="BQ751" s="56"/>
    </row>
    <row r="752" spans="45:69">
      <c r="AY752" s="47"/>
      <c r="AZ752" s="56"/>
      <c r="BA752" s="46"/>
      <c r="BB752" s="56"/>
      <c r="BC752" s="47"/>
      <c r="BD752" s="47"/>
      <c r="BE752" s="46"/>
      <c r="BK752" s="56"/>
      <c r="BQ752" s="56"/>
    </row>
    <row r="753" spans="45:69">
      <c r="AV753" s="44"/>
      <c r="AY753" s="47"/>
      <c r="AZ753" s="56"/>
      <c r="BA753" s="46"/>
      <c r="BB753" s="56"/>
      <c r="BC753" s="47"/>
      <c r="BD753" s="47"/>
      <c r="BE753" s="46"/>
      <c r="BK753" s="56"/>
      <c r="BQ753" s="56"/>
    </row>
    <row r="754" spans="45:69">
      <c r="AV754" s="44"/>
      <c r="AW754" s="45"/>
      <c r="AX754" s="56"/>
      <c r="AY754" s="56"/>
      <c r="AZ754" s="56"/>
      <c r="BA754" s="46"/>
      <c r="BB754" s="56"/>
      <c r="BC754" s="47"/>
      <c r="BD754" s="47"/>
      <c r="BE754" s="46"/>
      <c r="BG754" s="56"/>
      <c r="BH754" s="56"/>
      <c r="BI754" s="56"/>
      <c r="BJ754" s="56"/>
      <c r="BK754" s="56"/>
      <c r="BM754" s="56"/>
      <c r="BN754" s="56"/>
      <c r="BO754" s="56"/>
      <c r="BP754" s="56"/>
      <c r="BQ754" s="56"/>
    </row>
    <row r="755" spans="45:69">
      <c r="AV755" s="44"/>
      <c r="AW755" s="45"/>
      <c r="AX755" s="56"/>
      <c r="AY755" s="56"/>
      <c r="AZ755" s="56"/>
      <c r="BA755" s="46"/>
      <c r="BB755" s="56"/>
      <c r="BC755" s="47"/>
      <c r="BD755" s="47"/>
      <c r="BE755" s="46"/>
      <c r="BG755" s="56"/>
      <c r="BH755" s="56"/>
      <c r="BI755" s="56"/>
      <c r="BJ755" s="56"/>
      <c r="BK755" s="56"/>
      <c r="BM755" s="56"/>
      <c r="BN755" s="56"/>
      <c r="BO755" s="56"/>
      <c r="BP755" s="56"/>
      <c r="BQ755" s="56"/>
    </row>
    <row r="756" spans="45:69">
      <c r="AV756" s="44"/>
      <c r="AW756" s="45"/>
      <c r="AX756" s="56"/>
      <c r="AY756" s="56"/>
      <c r="AZ756" s="56"/>
      <c r="BA756" s="46"/>
      <c r="BB756" s="56"/>
      <c r="BC756" s="47"/>
      <c r="BD756" s="47"/>
      <c r="BE756" s="46"/>
      <c r="BG756" s="56"/>
      <c r="BH756" s="56"/>
      <c r="BI756" s="56"/>
      <c r="BJ756" s="56"/>
      <c r="BK756" s="56"/>
      <c r="BM756" s="56"/>
      <c r="BN756" s="56"/>
      <c r="BO756" s="56"/>
      <c r="BP756" s="56"/>
      <c r="BQ756" s="56"/>
    </row>
    <row r="757" spans="45:69">
      <c r="AV757" s="44"/>
      <c r="AW757" s="45"/>
      <c r="AX757" s="56"/>
      <c r="AY757" s="56"/>
      <c r="AZ757" s="56"/>
      <c r="BA757" s="46"/>
      <c r="BB757" s="56"/>
      <c r="BC757" s="47"/>
      <c r="BD757" s="47"/>
      <c r="BE757" s="46"/>
      <c r="BG757" s="56"/>
      <c r="BH757" s="56"/>
      <c r="BI757" s="56"/>
      <c r="BJ757" s="56"/>
      <c r="BK757" s="56"/>
      <c r="BM757" s="56"/>
      <c r="BN757" s="56"/>
      <c r="BO757" s="56"/>
      <c r="BP757" s="56"/>
      <c r="BQ757" s="56"/>
    </row>
    <row r="758" spans="45:69">
      <c r="AV758" s="44"/>
      <c r="AW758" s="45"/>
      <c r="AX758" s="56"/>
      <c r="AY758" s="56"/>
      <c r="AZ758" s="56"/>
      <c r="BA758" s="46"/>
      <c r="BB758" s="56"/>
      <c r="BC758" s="47"/>
      <c r="BD758" s="47"/>
      <c r="BE758" s="46"/>
      <c r="BG758" s="56"/>
      <c r="BH758" s="56"/>
      <c r="BI758" s="56"/>
      <c r="BJ758" s="56"/>
      <c r="BK758" s="56"/>
      <c r="BM758" s="56"/>
      <c r="BN758" s="56"/>
      <c r="BO758" s="56"/>
      <c r="BP758" s="56"/>
      <c r="BQ758" s="56"/>
    </row>
    <row r="759" spans="45:69">
      <c r="AV759" s="44"/>
      <c r="AW759" s="45"/>
      <c r="AX759" s="56"/>
      <c r="AY759" s="56"/>
      <c r="AZ759" s="56"/>
      <c r="BA759" s="46"/>
      <c r="BB759" s="56"/>
      <c r="BC759" s="47"/>
      <c r="BD759" s="47"/>
      <c r="BE759" s="46"/>
      <c r="BG759" s="56"/>
      <c r="BH759" s="56"/>
      <c r="BI759" s="56"/>
      <c r="BJ759" s="56"/>
      <c r="BK759" s="56"/>
      <c r="BM759" s="56"/>
      <c r="BN759" s="56"/>
      <c r="BO759" s="56"/>
      <c r="BP759" s="56"/>
      <c r="BQ759" s="56"/>
    </row>
    <row r="760" spans="45:69">
      <c r="AV760" s="44"/>
      <c r="AW760" s="45"/>
      <c r="AX760" s="56"/>
      <c r="AY760" s="56"/>
      <c r="AZ760" s="56"/>
      <c r="BA760" s="46"/>
      <c r="BB760" s="56"/>
      <c r="BC760" s="47"/>
      <c r="BD760" s="47"/>
      <c r="BE760" s="46"/>
      <c r="BG760" s="56"/>
      <c r="BH760" s="56"/>
      <c r="BI760" s="56"/>
      <c r="BJ760" s="56"/>
      <c r="BK760" s="56"/>
      <c r="BM760" s="56"/>
      <c r="BN760" s="56"/>
      <c r="BO760" s="56"/>
      <c r="BP760" s="56"/>
      <c r="BQ760" s="56"/>
    </row>
    <row r="761" spans="45:69">
      <c r="AV761" s="44"/>
      <c r="AW761" s="45"/>
      <c r="AX761" s="56"/>
      <c r="AY761" s="56"/>
      <c r="AZ761" s="56"/>
      <c r="BA761" s="46"/>
      <c r="BB761" s="56"/>
      <c r="BC761" s="47"/>
      <c r="BD761" s="47"/>
      <c r="BE761" s="46"/>
      <c r="BG761" s="56"/>
      <c r="BH761" s="56"/>
      <c r="BI761" s="56"/>
      <c r="BJ761" s="56"/>
      <c r="BK761" s="56"/>
      <c r="BM761" s="56"/>
      <c r="BN761" s="56"/>
      <c r="BO761" s="56"/>
      <c r="BP761" s="56"/>
      <c r="BQ761" s="56"/>
    </row>
    <row r="762" spans="45:69">
      <c r="AY762" s="47"/>
      <c r="AZ762" s="56"/>
      <c r="BA762" s="46"/>
      <c r="BB762" s="56"/>
      <c r="BC762" s="47"/>
      <c r="BD762" s="47"/>
      <c r="BE762" s="46"/>
      <c r="BK762" s="56"/>
      <c r="BQ762" s="56"/>
    </row>
    <row r="763" spans="45:69">
      <c r="AU763" s="42"/>
      <c r="AZ763" s="56"/>
      <c r="BB763" s="56"/>
      <c r="BG763" s="56"/>
      <c r="BH763" s="56"/>
      <c r="BJ763" s="56"/>
      <c r="BK763" s="56"/>
    </row>
    <row r="764" spans="45:69">
      <c r="AZ764" s="56"/>
      <c r="BB764" s="56"/>
    </row>
    <row r="765" spans="45:69">
      <c r="AS765" s="42"/>
      <c r="AZ765" s="56"/>
      <c r="BB765" s="56"/>
      <c r="BI765" s="56"/>
    </row>
    <row r="766" spans="45:69">
      <c r="AZ766" s="56"/>
      <c r="BB766" s="56"/>
    </row>
    <row r="767" spans="45:69">
      <c r="AY767" s="56"/>
      <c r="BB767" s="56"/>
    </row>
    <row r="768" spans="45:69">
      <c r="AY768" s="42"/>
      <c r="AZ768" s="56"/>
      <c r="BB768" s="56"/>
    </row>
    <row r="769" spans="45:75">
      <c r="AY769" s="42"/>
      <c r="AZ769" s="56"/>
      <c r="BB769" s="56"/>
    </row>
    <row r="770" spans="45:75">
      <c r="AZ770" s="56"/>
      <c r="BB770" s="56"/>
      <c r="BD770" s="42"/>
    </row>
    <row r="771" spans="45:75">
      <c r="AZ771" s="56"/>
      <c r="BB771" s="56"/>
      <c r="BD771" s="42"/>
    </row>
    <row r="772" spans="45:75">
      <c r="AS772" s="42"/>
      <c r="AZ772" s="56"/>
      <c r="BB772" s="56"/>
      <c r="BD772" s="42"/>
    </row>
    <row r="773" spans="45:75">
      <c r="AZ773" s="56"/>
      <c r="BB773" s="56"/>
    </row>
    <row r="774" spans="45:75">
      <c r="AS774" s="49"/>
      <c r="AT774" s="49"/>
      <c r="AU774" s="49"/>
      <c r="AV774" s="49"/>
      <c r="AW774" s="49"/>
      <c r="AX774" s="49"/>
      <c r="AY774" s="49"/>
      <c r="AZ774" s="57"/>
      <c r="BA774" s="49"/>
      <c r="BB774" s="57"/>
      <c r="BC774" s="49"/>
      <c r="BD774" s="49"/>
      <c r="BE774" s="49"/>
    </row>
    <row r="775" spans="45:75">
      <c r="AX775" s="42"/>
      <c r="AZ775" s="56"/>
      <c r="BB775" s="56"/>
    </row>
    <row r="776" spans="45:75">
      <c r="AX776" s="49"/>
      <c r="AY776" s="49"/>
      <c r="AZ776" s="57"/>
      <c r="BA776" s="49"/>
      <c r="BB776" s="56"/>
      <c r="BC776" s="44"/>
      <c r="BD776" s="44"/>
    </row>
    <row r="777" spans="45:75">
      <c r="AV777" s="44"/>
      <c r="AW777" s="44"/>
      <c r="AZ777" s="58"/>
      <c r="BA777" s="44"/>
      <c r="BB777" s="56"/>
      <c r="BC777" s="44"/>
      <c r="BD777" s="44"/>
      <c r="BE777" s="44"/>
      <c r="BG777" s="49"/>
      <c r="BH777" s="49"/>
      <c r="BI777" s="42"/>
      <c r="BM777" s="49"/>
      <c r="BN777" s="49"/>
      <c r="BP777" s="49"/>
      <c r="BQ777" s="49"/>
      <c r="BR777" s="42"/>
      <c r="BV777" s="49"/>
      <c r="BW777" s="49"/>
    </row>
    <row r="778" spans="45:75">
      <c r="AV778" s="44"/>
      <c r="AW778" s="44"/>
      <c r="AX778" s="44"/>
      <c r="AY778" s="44"/>
      <c r="AZ778" s="58"/>
      <c r="BA778" s="44"/>
      <c r="BB778" s="58"/>
      <c r="BC778" s="44"/>
      <c r="BD778" s="44"/>
      <c r="BE778" s="44"/>
      <c r="BH778" s="44"/>
      <c r="BI778" s="44"/>
      <c r="BJ778" s="44"/>
      <c r="BK778" s="44"/>
      <c r="BL778" s="44"/>
      <c r="BM778" s="44"/>
      <c r="BQ778" s="44"/>
      <c r="BR778" s="44"/>
      <c r="BS778" s="44"/>
      <c r="BT778" s="44"/>
      <c r="BU778" s="44"/>
      <c r="BV778" s="44"/>
    </row>
    <row r="779" spans="45:75">
      <c r="AS779" s="44"/>
      <c r="AU779" s="42"/>
      <c r="AV779" s="44"/>
      <c r="AW779" s="44"/>
      <c r="AX779" s="44"/>
      <c r="AY779" s="44"/>
      <c r="AZ779" s="58"/>
      <c r="BA779" s="44"/>
      <c r="BB779" s="58"/>
      <c r="BC779" s="44"/>
      <c r="BD779" s="44"/>
      <c r="BE779" s="44"/>
      <c r="BG779" s="44"/>
      <c r="BH779" s="44"/>
      <c r="BI779" s="44"/>
      <c r="BJ779" s="44"/>
      <c r="BK779" s="44"/>
      <c r="BL779" s="44"/>
      <c r="BM779" s="44"/>
      <c r="BN779" s="44"/>
      <c r="BP779" s="44"/>
      <c r="BQ779" s="44"/>
      <c r="BR779" s="44"/>
      <c r="BS779" s="44"/>
      <c r="BT779" s="44"/>
      <c r="BU779" s="44"/>
      <c r="BV779" s="44"/>
      <c r="BW779" s="44"/>
    </row>
    <row r="780" spans="45:75">
      <c r="AS780" s="44"/>
      <c r="AU780" s="42"/>
      <c r="AV780" s="44"/>
      <c r="AW780" s="44"/>
      <c r="AX780" s="44"/>
      <c r="AY780" s="44"/>
      <c r="AZ780" s="58"/>
      <c r="BA780" s="44"/>
      <c r="BB780" s="58"/>
      <c r="BC780" s="44"/>
      <c r="BD780" s="44"/>
      <c r="BE780" s="44"/>
      <c r="BG780" s="44"/>
      <c r="BH780" s="44"/>
      <c r="BI780" s="44"/>
      <c r="BJ780" s="44"/>
      <c r="BK780" s="44"/>
      <c r="BL780" s="44"/>
      <c r="BM780" s="44"/>
      <c r="BN780" s="44"/>
      <c r="BP780" s="44"/>
      <c r="BQ780" s="44"/>
      <c r="BR780" s="44"/>
      <c r="BS780" s="44"/>
      <c r="BT780" s="44"/>
      <c r="BU780" s="44"/>
      <c r="BV780" s="44"/>
      <c r="BW780" s="44"/>
    </row>
    <row r="781" spans="45:75">
      <c r="AS781" s="49"/>
      <c r="AT781" s="49"/>
      <c r="AU781" s="49"/>
      <c r="AV781" s="49"/>
      <c r="AW781" s="49"/>
      <c r="AX781" s="49"/>
      <c r="AY781" s="49"/>
      <c r="AZ781" s="57"/>
      <c r="BA781" s="49"/>
      <c r="BB781" s="57"/>
      <c r="BC781" s="49"/>
      <c r="BD781" s="49"/>
      <c r="BE781" s="49"/>
      <c r="BG781" s="49"/>
      <c r="BH781" s="49"/>
      <c r="BI781" s="49"/>
      <c r="BJ781" s="49"/>
      <c r="BK781" s="49"/>
      <c r="BL781" s="49"/>
      <c r="BM781" s="49"/>
      <c r="BN781" s="49"/>
      <c r="BP781" s="49"/>
      <c r="BQ781" s="49"/>
      <c r="BR781" s="49"/>
      <c r="BS781" s="49"/>
      <c r="BT781" s="49"/>
      <c r="BU781" s="49"/>
      <c r="BV781" s="49"/>
      <c r="BW781" s="49"/>
    </row>
    <row r="782" spans="45:75">
      <c r="AV782" s="44"/>
      <c r="AW782" s="44"/>
      <c r="AX782" s="44"/>
      <c r="AY782" s="44"/>
      <c r="AZ782" s="58"/>
      <c r="BA782" s="44"/>
      <c r="BB782" s="58"/>
      <c r="BC782" s="44"/>
      <c r="BD782" s="44"/>
      <c r="BE782" s="44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5:75">
      <c r="AU783" s="42"/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5:75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9:75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9:75"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</row>
    <row r="787" spans="49:75">
      <c r="AW787" s="45"/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</row>
    <row r="788" spans="49:75"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</row>
    <row r="789" spans="49:75"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</row>
    <row r="790" spans="49:75"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</row>
    <row r="791" spans="49:75">
      <c r="AW791" s="45"/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</row>
    <row r="792" spans="49:75">
      <c r="AW792" s="45"/>
      <c r="AX792" s="56"/>
      <c r="AY792" s="56"/>
      <c r="AZ792" s="56"/>
      <c r="BA792" s="51"/>
      <c r="BB792" s="56"/>
      <c r="BC792" s="56"/>
      <c r="BD792" s="56"/>
      <c r="BE792" s="51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</row>
    <row r="793" spans="49:75">
      <c r="AW793" s="45"/>
      <c r="AX793" s="56"/>
      <c r="AY793" s="56"/>
      <c r="AZ793" s="56"/>
      <c r="BA793" s="51"/>
      <c r="BB793" s="56"/>
      <c r="BC793" s="56"/>
      <c r="BD793" s="56"/>
      <c r="BE793" s="51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</row>
    <row r="794" spans="49:75">
      <c r="AW794" s="45"/>
      <c r="AX794" s="56"/>
      <c r="AY794" s="56"/>
      <c r="AZ794" s="56"/>
      <c r="BA794" s="51"/>
      <c r="BB794" s="56"/>
      <c r="BC794" s="56"/>
      <c r="BD794" s="56"/>
      <c r="BE794" s="51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</row>
    <row r="795" spans="49:75">
      <c r="AW795" s="45"/>
      <c r="AX795" s="56"/>
      <c r="AY795" s="56"/>
      <c r="AZ795" s="56"/>
      <c r="BA795" s="51"/>
      <c r="BB795" s="56"/>
      <c r="BC795" s="56"/>
      <c r="BD795" s="56"/>
      <c r="BE795" s="51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</row>
    <row r="796" spans="49:75">
      <c r="AW796" s="45"/>
      <c r="AX796" s="56"/>
      <c r="AY796" s="56"/>
      <c r="AZ796" s="56"/>
      <c r="BA796" s="51"/>
      <c r="BB796" s="56"/>
      <c r="BC796" s="56"/>
      <c r="BD796" s="56"/>
      <c r="BE796" s="51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</row>
    <row r="797" spans="49:75">
      <c r="AW797" s="45"/>
      <c r="AX797" s="56"/>
      <c r="AY797" s="56"/>
      <c r="AZ797" s="56"/>
      <c r="BA797" s="51"/>
      <c r="BB797" s="56"/>
      <c r="BC797" s="56"/>
      <c r="BD797" s="56"/>
      <c r="BE797" s="51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</row>
    <row r="798" spans="49:75">
      <c r="AW798" s="45"/>
      <c r="AX798" s="56"/>
      <c r="AY798" s="56"/>
      <c r="AZ798" s="56"/>
      <c r="BA798" s="51"/>
      <c r="BB798" s="56"/>
      <c r="BC798" s="56"/>
      <c r="BD798" s="56"/>
      <c r="BE798" s="51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</row>
    <row r="799" spans="49:75">
      <c r="AW799" s="45"/>
      <c r="AX799" s="56"/>
      <c r="AY799" s="56"/>
      <c r="AZ799" s="56"/>
      <c r="BA799" s="51"/>
      <c r="BB799" s="56"/>
      <c r="BC799" s="56"/>
      <c r="BD799" s="56"/>
      <c r="BE799" s="51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</row>
    <row r="800" spans="49:75">
      <c r="AW800" s="45"/>
      <c r="AX800" s="56"/>
      <c r="AY800" s="56"/>
      <c r="AZ800" s="56"/>
      <c r="BA800" s="51"/>
      <c r="BB800" s="56"/>
      <c r="BC800" s="56"/>
      <c r="BD800" s="56"/>
      <c r="BE800" s="51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</row>
    <row r="801" spans="45:75">
      <c r="AW801" s="45"/>
      <c r="AX801" s="56"/>
      <c r="AY801" s="56"/>
      <c r="AZ801" s="56"/>
      <c r="BA801" s="51"/>
      <c r="BB801" s="56"/>
      <c r="BC801" s="56"/>
      <c r="BD801" s="56"/>
      <c r="BE801" s="51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</row>
    <row r="802" spans="45:75">
      <c r="AW802" s="45"/>
      <c r="AX802" s="56"/>
      <c r="AY802" s="56"/>
      <c r="AZ802" s="56"/>
      <c r="BA802" s="51"/>
      <c r="BB802" s="56"/>
      <c r="BC802" s="56"/>
      <c r="BD802" s="56"/>
      <c r="BE802" s="51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</row>
    <row r="803" spans="45:75">
      <c r="AW803" s="45"/>
      <c r="AX803" s="56"/>
      <c r="AY803" s="56"/>
      <c r="AZ803" s="56"/>
      <c r="BA803" s="51"/>
      <c r="BB803" s="56"/>
      <c r="BC803" s="56"/>
      <c r="BD803" s="56"/>
      <c r="BE803" s="51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</row>
    <row r="804" spans="45:75">
      <c r="AW804" s="45"/>
      <c r="AX804" s="56"/>
      <c r="AY804" s="56"/>
      <c r="AZ804" s="56"/>
      <c r="BA804" s="51"/>
      <c r="BB804" s="56"/>
      <c r="BC804" s="56"/>
      <c r="BD804" s="56"/>
      <c r="BE804" s="51"/>
      <c r="BG804" s="49"/>
      <c r="BH804" s="49"/>
      <c r="BI804" s="42"/>
      <c r="BM804" s="49"/>
      <c r="BN804" s="49"/>
      <c r="BO804" s="56"/>
      <c r="BP804" s="49"/>
      <c r="BQ804" s="49"/>
      <c r="BR804" s="42"/>
      <c r="BV804" s="49"/>
      <c r="BW804" s="49"/>
    </row>
    <row r="805" spans="45:75">
      <c r="AU805" s="42"/>
      <c r="AV805" s="44"/>
      <c r="AW805" s="45"/>
      <c r="AX805" s="56"/>
      <c r="AY805" s="56"/>
      <c r="AZ805" s="56"/>
      <c r="BA805" s="51"/>
      <c r="BB805" s="56"/>
      <c r="BC805" s="56"/>
      <c r="BD805" s="56"/>
      <c r="BE805" s="51"/>
      <c r="BG805" s="58"/>
      <c r="BH805" s="56"/>
      <c r="BI805" s="56"/>
      <c r="BJ805" s="56"/>
      <c r="BK805" s="58"/>
      <c r="BL805" s="59"/>
      <c r="BM805" s="56"/>
      <c r="BN805" s="58"/>
      <c r="BO805" s="56"/>
      <c r="BP805" s="58"/>
      <c r="BQ805" s="56"/>
      <c r="BR805" s="56"/>
      <c r="BS805" s="56"/>
      <c r="BT805" s="58"/>
      <c r="BU805" s="59"/>
      <c r="BV805" s="56"/>
      <c r="BW805" s="58"/>
    </row>
    <row r="806" spans="45:75">
      <c r="AV806" s="44"/>
      <c r="AW806" s="45"/>
      <c r="AX806" s="56"/>
      <c r="AY806" s="56"/>
      <c r="AZ806" s="56"/>
      <c r="BA806" s="51"/>
      <c r="BB806" s="56"/>
      <c r="BC806" s="56"/>
      <c r="BD806" s="56"/>
      <c r="BE806" s="51"/>
      <c r="BG806" s="56"/>
      <c r="BH806" s="56"/>
      <c r="BI806" s="56"/>
      <c r="BJ806" s="56"/>
      <c r="BK806" s="56"/>
      <c r="BL806" s="59"/>
      <c r="BM806" s="56"/>
      <c r="BN806" s="56"/>
      <c r="BO806" s="56"/>
      <c r="BP806" s="56"/>
      <c r="BQ806" s="56"/>
      <c r="BR806" s="56"/>
      <c r="BS806" s="56"/>
      <c r="BT806" s="56"/>
      <c r="BU806" s="59"/>
      <c r="BV806" s="56"/>
      <c r="BW806" s="56"/>
    </row>
    <row r="807" spans="45:75">
      <c r="AV807" s="44"/>
      <c r="AW807" s="45"/>
      <c r="AX807" s="56"/>
      <c r="AY807" s="56"/>
      <c r="AZ807" s="56"/>
      <c r="BA807" s="51"/>
      <c r="BB807" s="56"/>
      <c r="BC807" s="56"/>
      <c r="BD807" s="56"/>
      <c r="BE807" s="51"/>
      <c r="BG807" s="56"/>
      <c r="BH807" s="56"/>
      <c r="BI807" s="56"/>
      <c r="BJ807" s="56"/>
      <c r="BK807" s="56"/>
      <c r="BL807" s="59"/>
      <c r="BM807" s="56"/>
      <c r="BN807" s="56"/>
      <c r="BO807" s="56"/>
      <c r="BP807" s="56"/>
      <c r="BQ807" s="56"/>
      <c r="BR807" s="56"/>
      <c r="BS807" s="56"/>
      <c r="BT807" s="56"/>
      <c r="BU807" s="59"/>
      <c r="BV807" s="56"/>
      <c r="BW807" s="56"/>
    </row>
    <row r="808" spans="45:75">
      <c r="AV808" s="44"/>
      <c r="AW808" s="45"/>
      <c r="AX808" s="56"/>
      <c r="AY808" s="56"/>
      <c r="AZ808" s="56"/>
      <c r="BA808" s="51"/>
      <c r="BB808" s="56"/>
      <c r="BC808" s="56"/>
      <c r="BD808" s="56"/>
      <c r="BE808" s="51"/>
      <c r="BG808" s="56"/>
      <c r="BH808" s="56"/>
      <c r="BI808" s="56"/>
      <c r="BJ808" s="56"/>
      <c r="BK808" s="56"/>
      <c r="BL808" s="59"/>
      <c r="BM808" s="56"/>
      <c r="BN808" s="56"/>
      <c r="BO808" s="56"/>
      <c r="BP808" s="56"/>
      <c r="BQ808" s="56"/>
      <c r="BR808" s="56"/>
      <c r="BS808" s="56"/>
      <c r="BT808" s="56"/>
      <c r="BU808" s="59"/>
      <c r="BV808" s="56"/>
      <c r="BW808" s="56"/>
    </row>
    <row r="809" spans="45:75">
      <c r="AX809" s="56"/>
      <c r="AY809" s="56"/>
      <c r="AZ809" s="56"/>
      <c r="BA809" s="51"/>
      <c r="BB809" s="56"/>
      <c r="BC809" s="56"/>
      <c r="BD809" s="56"/>
      <c r="BE809" s="51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</row>
    <row r="810" spans="45:75">
      <c r="AU810" s="42"/>
    </row>
    <row r="811" spans="45:75">
      <c r="AU811" s="42"/>
      <c r="AZ811" s="56"/>
      <c r="BA811" s="51"/>
      <c r="BB811" s="56"/>
      <c r="BC811" s="56"/>
      <c r="BD811" s="56"/>
      <c r="BE811" s="51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</row>
    <row r="812" spans="45:75">
      <c r="AS812" s="42"/>
      <c r="AZ812" s="56"/>
      <c r="BB812" s="56"/>
    </row>
    <row r="813" spans="45:75">
      <c r="AZ813" s="56"/>
      <c r="BB813" s="56"/>
      <c r="BO813" s="56"/>
      <c r="BP813" s="56"/>
      <c r="BQ813" s="56"/>
      <c r="BR813" s="56"/>
      <c r="BS813" s="56"/>
      <c r="BT813" s="56"/>
      <c r="BU813" s="56"/>
      <c r="BV813" s="56"/>
    </row>
    <row r="814" spans="45:75">
      <c r="AY814" s="56"/>
      <c r="AZ814" s="56"/>
      <c r="BB814" s="56"/>
      <c r="BO814" s="56"/>
      <c r="BP814" s="56"/>
      <c r="BQ814" s="56"/>
      <c r="BR814" s="56"/>
      <c r="BS814" s="56"/>
      <c r="BT814" s="56"/>
      <c r="BU814" s="56"/>
      <c r="BV814" s="56"/>
    </row>
    <row r="815" spans="45:75">
      <c r="AY815" s="42"/>
      <c r="AZ815" s="56"/>
      <c r="BB815" s="56"/>
      <c r="BO815" s="56"/>
      <c r="BP815" s="56"/>
      <c r="BQ815" s="56"/>
      <c r="BR815" s="56"/>
      <c r="BS815" s="56"/>
      <c r="BT815" s="56"/>
      <c r="BU815" s="56"/>
      <c r="BV815" s="56"/>
    </row>
    <row r="816" spans="45:75">
      <c r="AY816" s="42"/>
      <c r="AZ816" s="56"/>
      <c r="BB816" s="56"/>
      <c r="BO816" s="56"/>
      <c r="BP816" s="56"/>
      <c r="BQ816" s="56"/>
      <c r="BR816" s="56"/>
      <c r="BS816" s="56"/>
      <c r="BT816" s="56"/>
      <c r="BU816" s="56"/>
      <c r="BV816" s="56"/>
    </row>
    <row r="817" spans="45:74">
      <c r="AZ817" s="56"/>
      <c r="BB817" s="56"/>
      <c r="BD817" s="42"/>
      <c r="BO817" s="56"/>
      <c r="BP817" s="56"/>
      <c r="BQ817" s="56"/>
      <c r="BR817" s="56"/>
      <c r="BS817" s="56"/>
      <c r="BT817" s="56"/>
      <c r="BU817" s="56"/>
      <c r="BV817" s="56"/>
    </row>
    <row r="818" spans="45:74">
      <c r="AZ818" s="56"/>
      <c r="BB818" s="56"/>
      <c r="BD818" s="42"/>
      <c r="BO818" s="56"/>
      <c r="BP818" s="56"/>
      <c r="BQ818" s="56"/>
      <c r="BR818" s="56"/>
      <c r="BS818" s="56"/>
      <c r="BT818" s="56"/>
      <c r="BU818" s="56"/>
      <c r="BV818" s="56"/>
    </row>
    <row r="819" spans="45:74">
      <c r="AS819" s="42"/>
      <c r="AZ819" s="56"/>
      <c r="BB819" s="56"/>
      <c r="BD819" s="42"/>
      <c r="BO819" s="56"/>
      <c r="BP819" s="56"/>
      <c r="BQ819" s="56"/>
      <c r="BR819" s="56"/>
      <c r="BS819" s="56"/>
      <c r="BT819" s="56"/>
      <c r="BU819" s="56"/>
      <c r="BV819" s="56"/>
    </row>
    <row r="820" spans="45:74">
      <c r="AZ820" s="56"/>
      <c r="BB820" s="56"/>
      <c r="BO820" s="56"/>
      <c r="BP820" s="56"/>
      <c r="BQ820" s="56"/>
      <c r="BR820" s="56"/>
      <c r="BS820" s="56"/>
      <c r="BT820" s="56"/>
      <c r="BU820" s="56"/>
      <c r="BV820" s="56"/>
    </row>
    <row r="821" spans="45:74">
      <c r="AS821" s="49"/>
      <c r="AT821" s="49"/>
      <c r="AU821" s="49"/>
      <c r="AV821" s="49"/>
      <c r="AW821" s="49"/>
      <c r="AX821" s="49"/>
      <c r="AY821" s="49"/>
      <c r="AZ821" s="57"/>
      <c r="BA821" s="49"/>
      <c r="BB821" s="57"/>
      <c r="BC821" s="49"/>
      <c r="BD821" s="49"/>
      <c r="BE821" s="49"/>
      <c r="BO821" s="56"/>
      <c r="BP821" s="56"/>
      <c r="BQ821" s="56"/>
      <c r="BR821" s="56"/>
      <c r="BS821" s="56"/>
      <c r="BT821" s="56"/>
      <c r="BU821" s="56"/>
      <c r="BV821" s="56"/>
    </row>
    <row r="822" spans="45:74">
      <c r="AX822" s="42"/>
      <c r="AZ822" s="56"/>
      <c r="BB822" s="56"/>
      <c r="BO822" s="56"/>
      <c r="BP822" s="56"/>
      <c r="BQ822" s="56"/>
      <c r="BR822" s="56"/>
      <c r="BS822" s="56"/>
      <c r="BT822" s="56"/>
      <c r="BU822" s="56"/>
      <c r="BV822" s="56"/>
    </row>
    <row r="823" spans="45:74">
      <c r="AX823" s="49"/>
      <c r="AY823" s="49"/>
      <c r="AZ823" s="57"/>
      <c r="BA823" s="49"/>
      <c r="BB823" s="56"/>
      <c r="BC823" s="44"/>
      <c r="BD823" s="44"/>
      <c r="BO823" s="56"/>
      <c r="BP823" s="56"/>
      <c r="BQ823" s="56"/>
      <c r="BR823" s="56"/>
      <c r="BS823" s="56"/>
      <c r="BT823" s="56"/>
      <c r="BU823" s="56"/>
      <c r="BV823" s="56"/>
    </row>
    <row r="824" spans="45:74">
      <c r="AV824" s="44"/>
      <c r="AW824" s="44"/>
      <c r="AZ824" s="58"/>
      <c r="BA824" s="44"/>
      <c r="BB824" s="56"/>
      <c r="BC824" s="44"/>
      <c r="BD824" s="44"/>
      <c r="BE824" s="44"/>
      <c r="BG824" s="49"/>
      <c r="BH824" s="42"/>
      <c r="BK824" s="49"/>
      <c r="BM824" s="49"/>
      <c r="BN824" s="42"/>
      <c r="BQ824" s="49"/>
    </row>
    <row r="825" spans="45:74">
      <c r="AV825" s="44"/>
      <c r="AW825" s="44"/>
      <c r="AX825" s="44"/>
      <c r="AY825" s="44"/>
      <c r="AZ825" s="58"/>
      <c r="BA825" s="44"/>
      <c r="BB825" s="58"/>
      <c r="BC825" s="44"/>
      <c r="BD825" s="44"/>
      <c r="BE825" s="44"/>
      <c r="BH825" s="44"/>
      <c r="BI825" s="44"/>
      <c r="BN825" s="44"/>
      <c r="BO825" s="44"/>
    </row>
    <row r="826" spans="45:74">
      <c r="AS826" s="44"/>
      <c r="AU826" s="42"/>
      <c r="AV826" s="44"/>
      <c r="AW826" s="44"/>
      <c r="AX826" s="44"/>
      <c r="AY826" s="44"/>
      <c r="AZ826" s="58"/>
      <c r="BA826" s="44"/>
      <c r="BB826" s="58"/>
      <c r="BC826" s="44"/>
      <c r="BD826" s="44"/>
      <c r="BE826" s="44"/>
      <c r="BG826" s="44"/>
      <c r="BH826" s="44"/>
      <c r="BI826" s="44"/>
      <c r="BJ826" s="44"/>
      <c r="BK826" s="44"/>
      <c r="BM826" s="44"/>
      <c r="BN826" s="44"/>
      <c r="BO826" s="44"/>
      <c r="BP826" s="44"/>
      <c r="BQ826" s="44"/>
    </row>
    <row r="827" spans="45:74">
      <c r="AS827" s="44"/>
      <c r="AU827" s="42"/>
      <c r="AV827" s="44"/>
      <c r="AW827" s="44"/>
      <c r="AX827" s="44"/>
      <c r="AY827" s="44"/>
      <c r="AZ827" s="58"/>
      <c r="BA827" s="44"/>
      <c r="BB827" s="58"/>
      <c r="BC827" s="44"/>
      <c r="BD827" s="44"/>
      <c r="BE827" s="44"/>
      <c r="BG827" s="44"/>
      <c r="BH827" s="44"/>
      <c r="BI827" s="44"/>
      <c r="BJ827" s="44"/>
      <c r="BK827" s="44"/>
      <c r="BM827" s="44"/>
      <c r="BN827" s="44"/>
      <c r="BO827" s="44"/>
      <c r="BP827" s="44"/>
      <c r="BQ827" s="44"/>
    </row>
    <row r="828" spans="45:74">
      <c r="AS828" s="49"/>
      <c r="AT828" s="49"/>
      <c r="AU828" s="49"/>
      <c r="AV828" s="49"/>
      <c r="AW828" s="49"/>
      <c r="AX828" s="49"/>
      <c r="AY828" s="49"/>
      <c r="AZ828" s="57"/>
      <c r="BA828" s="49"/>
      <c r="BB828" s="57"/>
      <c r="BC828" s="49"/>
      <c r="BD828" s="49"/>
      <c r="BE828" s="49"/>
      <c r="BG828" s="49"/>
      <c r="BH828" s="49"/>
      <c r="BI828" s="49"/>
      <c r="BJ828" s="49"/>
      <c r="BK828" s="49"/>
      <c r="BM828" s="49"/>
      <c r="BN828" s="49"/>
      <c r="BO828" s="49"/>
      <c r="BP828" s="49"/>
      <c r="BQ828" s="49"/>
    </row>
    <row r="829" spans="45:74">
      <c r="AV829" s="44"/>
      <c r="AW829" s="44"/>
      <c r="AX829" s="44"/>
      <c r="AY829" s="44"/>
      <c r="AZ829" s="58"/>
      <c r="BA829" s="44"/>
      <c r="BB829" s="58"/>
      <c r="BC829" s="44"/>
      <c r="BD829" s="44"/>
      <c r="BE829" s="44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</row>
    <row r="830" spans="45:74">
      <c r="AT830" s="42"/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5:74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</row>
    <row r="832" spans="45:74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</row>
    <row r="833" spans="48:71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8:71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</row>
    <row r="835" spans="48:71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</row>
    <row r="836" spans="48:71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</row>
    <row r="837" spans="48:71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</row>
    <row r="838" spans="48:71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</row>
    <row r="839" spans="48:71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</row>
    <row r="840" spans="48:71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</row>
    <row r="841" spans="48:71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</row>
    <row r="842" spans="48:71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</row>
    <row r="843" spans="48:71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</row>
    <row r="844" spans="48:71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</row>
    <row r="845" spans="48:71"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</row>
    <row r="846" spans="48:71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</row>
    <row r="847" spans="48:71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</row>
    <row r="848" spans="48:71">
      <c r="AZ848" s="56"/>
      <c r="BB848" s="56"/>
      <c r="BC848" s="56"/>
      <c r="BD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</row>
    <row r="849" spans="46:57">
      <c r="AT849" s="42"/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</row>
    <row r="850" spans="46:57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</row>
    <row r="851" spans="46:57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</row>
    <row r="852" spans="46:57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</row>
    <row r="853" spans="46:57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</row>
    <row r="854" spans="46:57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</row>
    <row r="855" spans="46:57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</row>
    <row r="856" spans="46:57">
      <c r="AV856" s="45"/>
      <c r="AW856" s="45"/>
      <c r="AX856" s="56"/>
      <c r="AY856" s="56"/>
      <c r="AZ856" s="56"/>
      <c r="BA856" s="51"/>
      <c r="BB856" s="56"/>
      <c r="BC856" s="56"/>
      <c r="BD856" s="56"/>
      <c r="BE856" s="51"/>
    </row>
    <row r="857" spans="46:57">
      <c r="AV857" s="45"/>
      <c r="AW857" s="45"/>
      <c r="AX857" s="56"/>
      <c r="AY857" s="56"/>
      <c r="AZ857" s="56"/>
      <c r="BA857" s="51"/>
      <c r="BB857" s="56"/>
      <c r="BC857" s="56"/>
      <c r="BD857" s="56"/>
      <c r="BE857" s="51"/>
    </row>
    <row r="858" spans="46:57">
      <c r="AV858" s="45"/>
      <c r="AW858" s="45"/>
      <c r="AX858" s="56"/>
      <c r="AY858" s="56"/>
      <c r="AZ858" s="56"/>
      <c r="BA858" s="51"/>
      <c r="BB858" s="56"/>
      <c r="BC858" s="56"/>
      <c r="BD858" s="56"/>
      <c r="BE858" s="51"/>
    </row>
    <row r="859" spans="46:57">
      <c r="AV859" s="45"/>
      <c r="AW859" s="45"/>
      <c r="AX859" s="56"/>
      <c r="AY859" s="56"/>
      <c r="AZ859" s="56"/>
      <c r="BA859" s="51"/>
      <c r="BB859" s="56"/>
      <c r="BC859" s="56"/>
      <c r="BD859" s="56"/>
      <c r="BE859" s="51"/>
    </row>
    <row r="860" spans="46:57">
      <c r="AV860" s="45"/>
      <c r="AW860" s="45"/>
      <c r="AX860" s="56"/>
      <c r="AY860" s="56"/>
      <c r="AZ860" s="56"/>
      <c r="BA860" s="51"/>
      <c r="BB860" s="56"/>
      <c r="BC860" s="56"/>
      <c r="BD860" s="56"/>
      <c r="BE860" s="51"/>
    </row>
    <row r="861" spans="46:57">
      <c r="AV861" s="45"/>
      <c r="AW861" s="45"/>
      <c r="AX861" s="56"/>
      <c r="AY861" s="56"/>
      <c r="AZ861" s="56"/>
      <c r="BA861" s="51"/>
      <c r="BB861" s="56"/>
      <c r="BC861" s="56"/>
      <c r="BD861" s="56"/>
      <c r="BE861" s="51"/>
    </row>
    <row r="862" spans="46:57"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</row>
    <row r="863" spans="46:57">
      <c r="AV863" s="45"/>
      <c r="AW863" s="45"/>
      <c r="AX863" s="56"/>
      <c r="AY863" s="56"/>
      <c r="AZ863" s="56"/>
      <c r="BA863" s="51"/>
      <c r="BB863" s="56"/>
      <c r="BC863" s="56"/>
      <c r="BD863" s="56"/>
      <c r="BE863" s="51"/>
    </row>
    <row r="864" spans="46:57">
      <c r="AV864" s="45"/>
      <c r="AW864" s="45"/>
      <c r="AX864" s="56"/>
      <c r="AY864" s="56"/>
      <c r="AZ864" s="56"/>
      <c r="BA864" s="51"/>
      <c r="BB864" s="56"/>
      <c r="BC864" s="56"/>
      <c r="BD864" s="56"/>
      <c r="BE864" s="51"/>
    </row>
    <row r="865" spans="45:57"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</row>
    <row r="866" spans="45:57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</row>
    <row r="867" spans="45:57">
      <c r="BB867" s="56"/>
    </row>
    <row r="868" spans="45:57">
      <c r="AU868" s="42"/>
      <c r="BB868" s="56"/>
    </row>
    <row r="869" spans="45:57">
      <c r="AU869" s="42"/>
    </row>
    <row r="870" spans="45:57">
      <c r="AU870" s="42"/>
      <c r="BB870" s="56"/>
    </row>
    <row r="871" spans="45:57">
      <c r="AS871" s="42"/>
      <c r="AZ871" s="56"/>
      <c r="BB871" s="56"/>
    </row>
    <row r="872" spans="45:57">
      <c r="AZ872" s="56"/>
      <c r="BB872" s="56"/>
    </row>
    <row r="873" spans="45:57">
      <c r="AY873" s="56"/>
      <c r="AZ873" s="56"/>
      <c r="BB873" s="56"/>
    </row>
    <row r="874" spans="45:57">
      <c r="AY874" s="42"/>
      <c r="AZ874" s="56"/>
      <c r="BB874" s="56"/>
    </row>
    <row r="875" spans="45:57">
      <c r="AY875" s="42"/>
      <c r="AZ875" s="56"/>
      <c r="BB875" s="56"/>
    </row>
    <row r="876" spans="45:57">
      <c r="AZ876" s="56"/>
      <c r="BB876" s="56"/>
      <c r="BD876" s="42"/>
    </row>
    <row r="877" spans="45:57">
      <c r="AZ877" s="56"/>
      <c r="BB877" s="56"/>
      <c r="BD877" s="42"/>
    </row>
    <row r="878" spans="45:57">
      <c r="AS878" s="42"/>
      <c r="AZ878" s="56"/>
      <c r="BB878" s="56"/>
      <c r="BD878" s="42"/>
    </row>
    <row r="879" spans="45:57">
      <c r="AZ879" s="56"/>
      <c r="BB879" s="56"/>
    </row>
    <row r="880" spans="45:57">
      <c r="AS880" s="49"/>
      <c r="AT880" s="49"/>
      <c r="AU880" s="49"/>
      <c r="AV880" s="49"/>
      <c r="AW880" s="49"/>
      <c r="AX880" s="49"/>
      <c r="AY880" s="49"/>
      <c r="AZ880" s="57"/>
      <c r="BA880" s="49"/>
      <c r="BB880" s="57"/>
      <c r="BC880" s="49"/>
      <c r="BD880" s="49"/>
      <c r="BE880" s="49"/>
    </row>
    <row r="881" spans="45:57">
      <c r="AX881" s="42"/>
      <c r="AZ881" s="56"/>
      <c r="BB881" s="56"/>
    </row>
    <row r="882" spans="45:57">
      <c r="AX882" s="49"/>
      <c r="AY882" s="49"/>
      <c r="AZ882" s="57"/>
      <c r="BA882" s="49"/>
      <c r="BB882" s="56"/>
      <c r="BC882" s="44"/>
      <c r="BD882" s="44"/>
    </row>
    <row r="883" spans="45:57">
      <c r="AV883" s="44"/>
      <c r="AW883" s="44"/>
      <c r="AZ883" s="58"/>
      <c r="BA883" s="44"/>
      <c r="BB883" s="56"/>
      <c r="BC883" s="44"/>
      <c r="BD883" s="44"/>
      <c r="BE883" s="44"/>
    </row>
    <row r="884" spans="45:57">
      <c r="AV884" s="44"/>
      <c r="AW884" s="44"/>
      <c r="AX884" s="44"/>
      <c r="AY884" s="44"/>
      <c r="AZ884" s="58"/>
      <c r="BA884" s="44"/>
      <c r="BB884" s="58"/>
      <c r="BC884" s="44"/>
      <c r="BD884" s="44"/>
      <c r="BE884" s="44"/>
    </row>
    <row r="885" spans="45:57">
      <c r="AS885" s="44"/>
      <c r="AU885" s="42"/>
      <c r="AV885" s="44"/>
      <c r="AW885" s="44"/>
      <c r="AX885" s="44"/>
      <c r="AY885" s="44"/>
      <c r="AZ885" s="58"/>
      <c r="BA885" s="44"/>
      <c r="BB885" s="58"/>
      <c r="BC885" s="44"/>
      <c r="BD885" s="44"/>
      <c r="BE885" s="44"/>
    </row>
    <row r="886" spans="45:57">
      <c r="AS886" s="44"/>
      <c r="AU886" s="42"/>
      <c r="AV886" s="44"/>
      <c r="AW886" s="44"/>
      <c r="AX886" s="44"/>
      <c r="AY886" s="44"/>
      <c r="AZ886" s="58"/>
      <c r="BA886" s="44"/>
      <c r="BB886" s="58"/>
      <c r="BC886" s="44"/>
      <c r="BD886" s="44"/>
      <c r="BE886" s="44"/>
    </row>
    <row r="887" spans="45:57">
      <c r="AS887" s="49"/>
      <c r="AT887" s="49"/>
      <c r="AU887" s="49"/>
      <c r="AV887" s="49"/>
      <c r="AW887" s="49"/>
      <c r="AX887" s="49"/>
      <c r="AY887" s="49"/>
      <c r="AZ887" s="57"/>
      <c r="BA887" s="49"/>
      <c r="BB887" s="57"/>
      <c r="BC887" s="49"/>
      <c r="BD887" s="49"/>
      <c r="BE887" s="49"/>
    </row>
    <row r="888" spans="45:57">
      <c r="AV888" s="44"/>
      <c r="AW888" s="44"/>
      <c r="AX888" s="44"/>
      <c r="AY888" s="44"/>
      <c r="AZ888" s="58"/>
      <c r="BA888" s="44"/>
      <c r="BB888" s="58"/>
      <c r="BC888" s="44"/>
      <c r="BD888" s="44"/>
      <c r="BE888" s="44"/>
    </row>
    <row r="889" spans="45:57">
      <c r="AT889" s="42"/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5:57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5:57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5:57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5:57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5:57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5:57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5:57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6:57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6:57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6:57">
      <c r="AV899" s="45"/>
      <c r="AW899" s="45"/>
      <c r="BB899" s="56"/>
    </row>
    <row r="900" spans="46:57">
      <c r="AT900" s="42"/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6:57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6:57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6:57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6:57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6:57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6:57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6:57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6:57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6:57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1" spans="46:57">
      <c r="AU911" s="42"/>
    </row>
    <row r="912" spans="46:57">
      <c r="AU912" s="42"/>
    </row>
    <row r="913" spans="45:47">
      <c r="AU913" s="42"/>
    </row>
    <row r="914" spans="45:47">
      <c r="AS914" s="42"/>
    </row>
    <row r="935" spans="52:71">
      <c r="AZ935" s="56"/>
      <c r="BB935" s="56"/>
      <c r="BC935" s="56"/>
      <c r="BD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>
      <c r="AZ936" s="56"/>
      <c r="BB936" s="56"/>
      <c r="BC936" s="56"/>
      <c r="BD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</row>
    <row r="937" spans="52:71">
      <c r="AZ937" s="56"/>
      <c r="BB937" s="56"/>
      <c r="BC937" s="56"/>
      <c r="BD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</row>
    <row r="938" spans="52:71">
      <c r="AZ938" s="56"/>
      <c r="BB938" s="56"/>
      <c r="BC938" s="56"/>
      <c r="BD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</row>
    <row r="939" spans="52:71">
      <c r="AZ939" s="56"/>
      <c r="BB939" s="56"/>
      <c r="BC939" s="56"/>
      <c r="BD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</row>
    <row r="940" spans="52:71">
      <c r="AZ940" s="56"/>
      <c r="BB940" s="56"/>
      <c r="BC940" s="56"/>
      <c r="BD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</row>
    <row r="941" spans="52:71">
      <c r="AZ941" s="56"/>
      <c r="BB941" s="56"/>
      <c r="BC941" s="56"/>
      <c r="BD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</row>
    <row r="942" spans="52:71">
      <c r="AZ942" s="56"/>
      <c r="BB942" s="56"/>
      <c r="BC942" s="56"/>
      <c r="BD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</row>
    <row r="943" spans="52:71">
      <c r="AZ943" s="56"/>
      <c r="BB943" s="56"/>
      <c r="BC943" s="56"/>
      <c r="BD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</row>
    <row r="944" spans="52:71">
      <c r="AZ944" s="56"/>
      <c r="BB944" s="56"/>
      <c r="BC944" s="56"/>
      <c r="BD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</row>
    <row r="945" spans="52:71">
      <c r="AZ945" s="56"/>
      <c r="BB945" s="56"/>
      <c r="BC945" s="56"/>
      <c r="BD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</row>
    <row r="946" spans="52:71">
      <c r="AZ946" s="56"/>
      <c r="BB946" s="56"/>
      <c r="BC946" s="56"/>
      <c r="BD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</row>
    <row r="947" spans="52:71">
      <c r="AZ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</row>
    <row r="948" spans="52:71">
      <c r="AZ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</row>
    <row r="949" spans="52:71">
      <c r="AZ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</row>
    <row r="950" spans="52:71">
      <c r="AZ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</row>
    <row r="951" spans="52:71">
      <c r="AZ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</row>
    <row r="952" spans="52:71">
      <c r="AZ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</row>
    <row r="953" spans="52:71">
      <c r="AZ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</row>
    <row r="954" spans="52:71">
      <c r="AZ954" s="56"/>
    </row>
    <row r="955" spans="52:71">
      <c r="AZ955" s="56"/>
    </row>
    <row r="969" spans="1:28">
      <c r="A969" s="42"/>
    </row>
    <row r="972" spans="1:28">
      <c r="Y972" s="42"/>
    </row>
    <row r="973" spans="1:28">
      <c r="A973" s="42"/>
      <c r="H973" s="42"/>
      <c r="I973" s="42"/>
    </row>
    <row r="974" spans="1:28">
      <c r="A974" s="42"/>
      <c r="V974" s="44"/>
      <c r="AA974" s="44"/>
      <c r="AB974" s="44"/>
    </row>
    <row r="975" spans="1:28">
      <c r="A975" s="42"/>
      <c r="V975" s="49"/>
      <c r="AA975" s="49"/>
      <c r="AB975" s="49"/>
    </row>
    <row r="976" spans="1:28">
      <c r="A976" s="42"/>
      <c r="U976" s="42"/>
      <c r="AA976" s="44"/>
      <c r="AB976" s="44"/>
    </row>
    <row r="977" spans="1:28">
      <c r="A977" s="42"/>
    </row>
    <row r="978" spans="1:28">
      <c r="A978" s="42"/>
      <c r="U978" s="42"/>
      <c r="AA978" s="44"/>
      <c r="AB978" s="44"/>
    </row>
    <row r="979" spans="1:28">
      <c r="A979" s="42"/>
    </row>
    <row r="980" spans="1:28">
      <c r="A980" s="42"/>
      <c r="U980" s="42"/>
      <c r="V980" s="339"/>
      <c r="AA980" s="44"/>
      <c r="AB980" s="44"/>
    </row>
    <row r="981" spans="1:28">
      <c r="A981" s="42"/>
    </row>
    <row r="982" spans="1:28">
      <c r="A982" s="42"/>
      <c r="U982" s="42"/>
      <c r="AA982" s="44"/>
      <c r="AB982" s="44"/>
    </row>
    <row r="983" spans="1:28">
      <c r="A983" s="42"/>
    </row>
    <row r="984" spans="1:28">
      <c r="A984" s="42"/>
      <c r="U984" s="42"/>
      <c r="AA984" s="44"/>
      <c r="AB984" s="44"/>
    </row>
    <row r="985" spans="1:28">
      <c r="A985" s="42"/>
    </row>
    <row r="986" spans="1:28">
      <c r="A986" s="42"/>
    </row>
    <row r="987" spans="1:28">
      <c r="A987" s="42"/>
    </row>
    <row r="988" spans="1:28">
      <c r="A988" s="42"/>
    </row>
    <row r="989" spans="1:28">
      <c r="A989" s="42"/>
    </row>
    <row r="990" spans="1:28">
      <c r="A990" s="42"/>
    </row>
    <row r="991" spans="1:28">
      <c r="A991" s="42"/>
    </row>
    <row r="992" spans="1:28">
      <c r="A992" s="42"/>
    </row>
    <row r="993" spans="1:9">
      <c r="A993" s="42"/>
    </row>
    <row r="994" spans="1:9">
      <c r="A994" s="42"/>
    </row>
    <row r="995" spans="1:9">
      <c r="A995" s="42"/>
      <c r="H995" s="42"/>
      <c r="I995" s="42"/>
    </row>
    <row r="998" spans="1:9">
      <c r="A998" s="42"/>
    </row>
    <row r="1001" spans="1:9">
      <c r="A1001" s="42"/>
    </row>
    <row r="1004" spans="1:9">
      <c r="A1004" s="42"/>
    </row>
    <row r="1005" spans="1:9">
      <c r="A1005" s="42"/>
    </row>
    <row r="1006" spans="1:9">
      <c r="A1006" s="42"/>
    </row>
    <row r="1007" spans="1:9">
      <c r="A1007" s="42"/>
    </row>
    <row r="1008" spans="1:9">
      <c r="A1008" s="42"/>
    </row>
    <row r="1009" spans="1:1">
      <c r="A1009" s="42"/>
    </row>
    <row r="1010" spans="1:1">
      <c r="A1010" s="42"/>
    </row>
    <row r="1011" spans="1:1">
      <c r="A1011" s="42"/>
    </row>
    <row r="1012" spans="1:1">
      <c r="A1012" s="42"/>
    </row>
    <row r="1013" spans="1:1">
      <c r="A1013" s="42"/>
    </row>
    <row r="1014" spans="1:1">
      <c r="A1014" s="42"/>
    </row>
    <row r="1015" spans="1:1">
      <c r="A1015" s="42"/>
    </row>
    <row r="1016" spans="1:1">
      <c r="A1016" s="42"/>
    </row>
    <row r="1017" spans="1:1">
      <c r="A1017" s="42"/>
    </row>
    <row r="1018" spans="1:1">
      <c r="A1018" s="42"/>
    </row>
    <row r="1019" spans="1:1">
      <c r="A1019" s="42"/>
    </row>
    <row r="1020" spans="1:1">
      <c r="A1020" s="42"/>
    </row>
    <row r="1021" spans="1:1">
      <c r="A1021" s="42"/>
    </row>
    <row r="1022" spans="1:1">
      <c r="A1022" s="42"/>
    </row>
    <row r="1023" spans="1:1">
      <c r="A1023" s="42"/>
    </row>
    <row r="1024" spans="1:1">
      <c r="A1024" s="42"/>
    </row>
    <row r="1025" spans="1:1">
      <c r="A1025" s="42"/>
    </row>
    <row r="1026" spans="1:1">
      <c r="A1026" s="42"/>
    </row>
    <row r="1027" spans="1:1">
      <c r="A1027" s="42"/>
    </row>
    <row r="1028" spans="1:1">
      <c r="A1028" s="42"/>
    </row>
    <row r="1029" spans="1:1">
      <c r="A1029" s="42"/>
    </row>
    <row r="1030" spans="1:1">
      <c r="A1030" s="42"/>
    </row>
    <row r="1031" spans="1:1">
      <c r="A1031" s="42"/>
    </row>
    <row r="1032" spans="1:1">
      <c r="A1032" s="42"/>
    </row>
    <row r="1033" spans="1:1">
      <c r="A1033" s="42"/>
    </row>
    <row r="1034" spans="1:1">
      <c r="A1034" s="42"/>
    </row>
    <row r="1035" spans="1:1">
      <c r="A1035" s="42"/>
    </row>
    <row r="1036" spans="1:1">
      <c r="A1036" s="42"/>
    </row>
    <row r="1037" spans="1:1">
      <c r="A1037" s="42"/>
    </row>
    <row r="1038" spans="1:1">
      <c r="A1038" s="42"/>
    </row>
    <row r="1043" spans="1:1">
      <c r="A1043" s="42"/>
    </row>
    <row r="1044" spans="1:1">
      <c r="A1044" s="42"/>
    </row>
    <row r="1047" spans="1:1">
      <c r="A1047" s="42"/>
    </row>
    <row r="1049" spans="1:1">
      <c r="A1049" s="42"/>
    </row>
    <row r="1051" spans="1:1">
      <c r="A1051" s="42"/>
    </row>
    <row r="1053" spans="1:1">
      <c r="A1053" s="42"/>
    </row>
    <row r="1056" spans="1:1">
      <c r="A1056" s="42"/>
    </row>
    <row r="1057" spans="1:1">
      <c r="A1057" s="42"/>
    </row>
    <row r="1058" spans="1:1">
      <c r="A1058" s="42"/>
    </row>
    <row r="1059" spans="1:1">
      <c r="A1059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</sheetData>
  <customSheetViews>
    <customSheetView guid="{F562D92E-120C-4AE9-9663-89E64D41DC53}" scale="75" fitToPage="1" topLeftCell="T49">
      <selection activeCell="P40" sqref="P4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35F19056-2E6F-4935-B863-78836FE990BF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18BDED73-BFA0-442E-87EC-CED86EE4CF94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3"/>
      <headerFooter alignWithMargins="0"/>
    </customSheetView>
    <customSheetView guid="{0BC1F393-8A13-47D5-BC6C-0C99615B5AB9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4"/>
      <headerFooter alignWithMargins="0"/>
    </customSheetView>
    <customSheetView guid="{6B3D5C27-2FDE-4561-9575-1E98BFB869D0}" scale="75" fitToPage="1" showRuler="0">
      <pane xSplit="19.567567567567568" topLeftCell="V1"/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5"/>
      <headerFooter alignWithMargins="0"/>
    </customSheetView>
    <customSheetView guid="{8FB94551-8874-4095-B8FB-5316E0D2FD2C}" scale="75" fitToPage="1" showRuler="0">
      <pane xSplit="19.567567567567568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C77C99-DBF7-40B8-99B8-01B75826CDCB}" scale="75" fitToPage="1" showRuler="0">
      <pane xSplit="19.567567567567568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2EA35095-1ADC-4CC7-8C3C-B487D65FA247}" scale="75" fitToPage="1" showRuler="0">
      <pane xSplit="18.295081967213115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8"/>
      <headerFooter alignWithMargins="0"/>
    </customSheetView>
    <customSheetView guid="{2431C9E5-7CC2-4B8D-99C3-962247B1DBF5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9"/>
      <headerFooter alignWithMargins="0"/>
    </customSheetView>
    <customSheetView guid="{4BC93440-BA85-4935-A8C9-66DC6AE5DE5E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10"/>
      <headerFooter alignWithMargins="0"/>
    </customSheetView>
    <customSheetView guid="{0C49E549-011E-46F4-A82E-2CC8951A9C1E}" scale="75" fitToPage="1" showRuler="0">
      <pane xSplit="11.484848484848484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195DF303-1BBD-4236-94B5-47432850B006}" scale="75" fitToPage="1" showRuler="0">
      <pane xSplit="11.212121212121213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mergeCells count="1">
    <mergeCell ref="T48:AQ48"/>
  </mergeCells>
  <phoneticPr fontId="12" type="noConversion"/>
  <pageMargins left="0.5" right="0.5" top="1" bottom="0" header="0" footer="0"/>
  <pageSetup scale="65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transitionEntry="1" codeName="Sheet23">
    <pageSetUpPr fitToPage="1"/>
  </sheetPr>
  <dimension ref="A1:BX1052"/>
  <sheetViews>
    <sheetView workbookViewId="0"/>
  </sheetViews>
  <sheetFormatPr defaultColWidth="9.69921875" defaultRowHeight="15.75"/>
  <cols>
    <col min="1" max="1" width="5.09765625" style="41" customWidth="1"/>
    <col min="2" max="2" width="0.3984375" style="41" customWidth="1"/>
    <col min="3" max="3" width="6.69921875" style="41" customWidth="1"/>
    <col min="4" max="4" width="39.59765625" style="41" customWidth="1"/>
    <col min="5" max="5" width="0.296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1.5976562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7.6992187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5.59765625" style="41" customWidth="1"/>
    <col min="23" max="23" width="39.69921875" style="41" customWidth="1"/>
    <col min="24" max="24" width="1.5976562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2.296875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>
      <c r="A7" s="41" t="str">
        <f>TYPE</f>
        <v>TYPE OF FILING: _X_ ORIGINAL   ___UPDATED  ___ REVISED</v>
      </c>
      <c r="R7" s="48" t="str">
        <f>"PAGE 16 OF "&amp;TEXT(Page_Num_2.3,"00")</f>
        <v>PAGE 16 OF 24</v>
      </c>
      <c r="AK7" s="110"/>
      <c r="AL7" s="42"/>
    </row>
    <row r="8" spans="1:40">
      <c r="A8" s="42" t="s">
        <v>170</v>
      </c>
      <c r="R8" s="42" t="s">
        <v>3</v>
      </c>
      <c r="AK8" s="110"/>
      <c r="AL8" s="42"/>
    </row>
    <row r="9" spans="1:40">
      <c r="A9" s="130" t="str">
        <f>TIME</f>
        <v>12 Months Projected with Riders</v>
      </c>
      <c r="N9" s="42"/>
      <c r="R9" s="41" t="str">
        <f>WIT</f>
        <v>B. L. Sailers</v>
      </c>
      <c r="AK9" s="110"/>
      <c r="AL9" s="42"/>
    </row>
    <row r="10" spans="1:40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T10" s="395"/>
      <c r="AA10" s="42"/>
      <c r="AB10" s="42"/>
    </row>
    <row r="11" spans="1:40">
      <c r="A11" s="49"/>
      <c r="B11" s="49"/>
      <c r="C11" s="49"/>
      <c r="D11" s="49"/>
      <c r="E11" s="49"/>
      <c r="F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T11" s="50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107"/>
      <c r="AH11" s="49"/>
      <c r="AI11" s="49"/>
      <c r="AJ11" s="49"/>
      <c r="AK11" s="107"/>
      <c r="AL11" s="49"/>
      <c r="AM11" s="49"/>
      <c r="AN11" s="49"/>
    </row>
    <row r="12" spans="1:40" ht="18" customHeight="1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T12" s="132"/>
      <c r="Y12" s="44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>
      <c r="L13" s="44" t="s">
        <v>12</v>
      </c>
      <c r="M13" s="44"/>
      <c r="N13" s="44" t="s">
        <v>13</v>
      </c>
      <c r="O13" s="44"/>
      <c r="R13" s="44" t="s">
        <v>11</v>
      </c>
      <c r="T13" s="132"/>
      <c r="Y13" s="44"/>
      <c r="Z13" s="44"/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132"/>
      <c r="V14" s="44"/>
      <c r="Y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>
      <c r="A15" s="44" t="s">
        <v>22</v>
      </c>
      <c r="C15" s="44" t="s">
        <v>23</v>
      </c>
      <c r="D15" s="44" t="s">
        <v>24</v>
      </c>
      <c r="E15" s="44"/>
      <c r="F15" s="44" t="s">
        <v>55</v>
      </c>
      <c r="H15" s="44" t="s">
        <v>26</v>
      </c>
      <c r="I15" s="44"/>
      <c r="J15" s="60" t="s">
        <v>1130</v>
      </c>
      <c r="K15" s="44"/>
      <c r="L15" s="44" t="s">
        <v>9</v>
      </c>
      <c r="M15" s="44"/>
      <c r="N15" s="44" t="s">
        <v>9</v>
      </c>
      <c r="O15" s="44"/>
      <c r="P15" s="44" t="s">
        <v>1129</v>
      </c>
      <c r="Q15" s="44"/>
      <c r="R15" s="304" t="s">
        <v>28</v>
      </c>
      <c r="T15" s="132"/>
      <c r="U15" s="40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T16" s="132"/>
      <c r="U16" s="42"/>
      <c r="V16" s="49"/>
      <c r="W16" s="49"/>
      <c r="X16" s="49"/>
      <c r="Z16" s="49"/>
      <c r="AA16" s="49"/>
      <c r="AB16" s="49"/>
      <c r="AC16" s="49"/>
      <c r="AD16" s="49"/>
      <c r="AE16" s="49"/>
      <c r="AF16" s="49"/>
      <c r="AG16" s="107"/>
      <c r="AH16" s="49"/>
      <c r="AI16" s="49"/>
      <c r="AJ16" s="49"/>
      <c r="AK16" s="107"/>
      <c r="AL16" s="49"/>
      <c r="AM16" s="49"/>
      <c r="AN16" s="49"/>
    </row>
    <row r="17" spans="1:43" ht="17.100000000000001" customHeight="1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312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T17" s="132"/>
      <c r="U17" s="40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3">
      <c r="H18" s="44"/>
      <c r="I18" s="44"/>
      <c r="J18" s="60"/>
      <c r="K18" s="44"/>
      <c r="L18" s="44"/>
      <c r="M18" s="44"/>
      <c r="N18" s="44"/>
      <c r="O18" s="44"/>
      <c r="P18" s="44"/>
      <c r="Q18" s="44"/>
      <c r="R18" s="44"/>
      <c r="T18" s="132"/>
      <c r="U18" s="42"/>
      <c r="Z18" s="44"/>
      <c r="AA18" s="44"/>
      <c r="AB18" s="44"/>
      <c r="AC18" s="44"/>
      <c r="AD18" s="44"/>
      <c r="AE18" s="44"/>
      <c r="AF18" s="44"/>
      <c r="AG18" s="102"/>
      <c r="AH18" s="44"/>
      <c r="AI18" s="44"/>
      <c r="AJ18" s="44"/>
      <c r="AK18" s="102"/>
      <c r="AL18" s="44"/>
      <c r="AM18" s="44"/>
      <c r="AN18" s="44"/>
    </row>
    <row r="19" spans="1:43" ht="27.75" customHeight="1">
      <c r="A19" s="41">
        <v>1</v>
      </c>
      <c r="C19" s="133" t="s">
        <v>239</v>
      </c>
      <c r="D19" s="310" t="s">
        <v>240</v>
      </c>
      <c r="F19" s="3"/>
      <c r="G19" s="1"/>
      <c r="H19" s="3"/>
      <c r="I19" s="3"/>
      <c r="J19" s="1"/>
      <c r="K19" s="1"/>
      <c r="L19" s="3"/>
      <c r="M19" s="3"/>
      <c r="N19" s="4"/>
      <c r="O19" s="4"/>
      <c r="P19" s="68"/>
      <c r="Q19" s="68"/>
      <c r="R19" s="3"/>
      <c r="T19" s="40"/>
      <c r="U19" s="40"/>
      <c r="V19" s="40"/>
      <c r="W19" s="40"/>
      <c r="X19" s="40"/>
      <c r="Y19" s="120"/>
      <c r="Z19" s="40"/>
      <c r="AA19" s="40"/>
      <c r="AB19" s="40"/>
      <c r="AC19" s="40"/>
      <c r="AD19" s="40"/>
      <c r="AE19" s="40"/>
      <c r="AF19" s="40"/>
      <c r="AG19" s="100"/>
      <c r="AH19" s="40"/>
      <c r="AI19" s="40"/>
      <c r="AJ19" s="40"/>
      <c r="AK19" s="100"/>
      <c r="AL19" s="40"/>
      <c r="AM19" s="40"/>
      <c r="AN19" s="40"/>
      <c r="AO19" s="40"/>
      <c r="AP19" s="40"/>
      <c r="AQ19" s="100"/>
    </row>
    <row r="20" spans="1:43">
      <c r="C20" s="133"/>
      <c r="D20" s="310"/>
      <c r="F20" s="3"/>
      <c r="G20" s="1"/>
      <c r="H20" s="3"/>
      <c r="I20" s="3"/>
      <c r="J20" s="1"/>
      <c r="K20" s="1"/>
      <c r="L20" s="3"/>
      <c r="M20" s="3"/>
      <c r="N20" s="4"/>
      <c r="O20" s="4"/>
      <c r="P20" s="68"/>
      <c r="Q20" s="68"/>
      <c r="R20" s="3"/>
      <c r="T20" s="40"/>
      <c r="U20" s="40"/>
      <c r="V20" s="40"/>
      <c r="W20" s="40"/>
      <c r="X20" s="40"/>
      <c r="Y20" s="120"/>
      <c r="Z20" s="40"/>
      <c r="AA20" s="40"/>
      <c r="AB20" s="40"/>
      <c r="AC20" s="40"/>
      <c r="AD20" s="40"/>
      <c r="AE20" s="40"/>
      <c r="AF20" s="40"/>
      <c r="AG20" s="100"/>
      <c r="AH20" s="40"/>
      <c r="AI20" s="40"/>
      <c r="AJ20" s="40"/>
      <c r="AK20" s="100"/>
      <c r="AL20" s="40"/>
      <c r="AM20" s="40"/>
      <c r="AN20" s="40"/>
      <c r="AO20" s="40"/>
      <c r="AP20" s="40"/>
      <c r="AQ20" s="100"/>
    </row>
    <row r="21" spans="1:43" ht="30" customHeight="1">
      <c r="A21" s="41">
        <v>2</v>
      </c>
      <c r="C21" s="42" t="s">
        <v>241</v>
      </c>
      <c r="F21" s="318">
        <v>30661</v>
      </c>
      <c r="G21" s="1"/>
      <c r="H21" s="318">
        <f>SUM('[17]Forecast kWh'!$U$21:$U$32)</f>
        <v>8542179</v>
      </c>
      <c r="I21" s="1"/>
      <c r="J21" s="134">
        <f>ROUND(AC56+(AC56*LT_COS_RATE),6)</f>
        <v>7.5946E-2</v>
      </c>
      <c r="K21" s="1"/>
      <c r="L21" s="66">
        <f>ROUND((H21*J21),0)</f>
        <v>648744</v>
      </c>
      <c r="M21" s="1"/>
      <c r="N21" s="70">
        <f>ROUND((L21/L$28)*100,1)</f>
        <v>96.5</v>
      </c>
      <c r="O21" s="1"/>
      <c r="P21" s="66">
        <f>P28</f>
        <v>29788</v>
      </c>
      <c r="Q21" s="1"/>
      <c r="R21" s="66">
        <f>P21+L21</f>
        <v>678532</v>
      </c>
      <c r="Y21" s="120"/>
      <c r="AE21" s="44"/>
      <c r="AF21" s="44"/>
      <c r="AG21" s="102"/>
      <c r="AH21" s="44"/>
      <c r="AI21" s="44"/>
      <c r="AJ21" s="44"/>
      <c r="AK21" s="102"/>
      <c r="AL21" s="44"/>
      <c r="AO21" s="44"/>
      <c r="AP21" s="44"/>
      <c r="AQ21" s="102"/>
    </row>
    <row r="22" spans="1:43" ht="15.75" customHeight="1">
      <c r="C22" s="310"/>
      <c r="F22" s="164"/>
      <c r="G22" s="1"/>
      <c r="H22" s="164"/>
      <c r="I22" s="1"/>
      <c r="J22" s="134"/>
      <c r="K22" s="1"/>
      <c r="L22" s="3"/>
      <c r="M22" s="1"/>
      <c r="N22" s="4"/>
      <c r="O22" s="1"/>
      <c r="P22" s="3"/>
      <c r="Q22" s="1"/>
      <c r="R22" s="3"/>
      <c r="Y22" s="120"/>
      <c r="AE22" s="44"/>
      <c r="AF22" s="44"/>
      <c r="AG22" s="102"/>
      <c r="AH22" s="44"/>
      <c r="AI22" s="44"/>
      <c r="AJ22" s="44"/>
      <c r="AK22" s="102"/>
      <c r="AL22" s="44"/>
      <c r="AO22" s="44"/>
      <c r="AP22" s="44"/>
      <c r="AQ22" s="102"/>
    </row>
    <row r="23" spans="1:43" ht="17.100000000000001" customHeight="1">
      <c r="A23" s="41">
        <v>3</v>
      </c>
      <c r="C23" s="133" t="s">
        <v>476</v>
      </c>
      <c r="F23" s="164"/>
      <c r="G23" s="1"/>
      <c r="H23" s="164"/>
      <c r="I23" s="1"/>
      <c r="J23" s="134"/>
      <c r="K23" s="1"/>
      <c r="L23" s="3"/>
      <c r="M23" s="1"/>
      <c r="N23" s="4"/>
      <c r="O23" s="1"/>
      <c r="P23" s="3"/>
      <c r="Q23" s="1"/>
      <c r="R23" s="3"/>
      <c r="Y23" s="120"/>
      <c r="AE23" s="44"/>
      <c r="AF23" s="44"/>
      <c r="AG23" s="102"/>
      <c r="AH23" s="44"/>
      <c r="AI23" s="44"/>
      <c r="AJ23" s="44"/>
      <c r="AK23" s="102"/>
      <c r="AL23" s="44"/>
      <c r="AO23" s="44"/>
      <c r="AP23" s="44"/>
      <c r="AQ23" s="102"/>
    </row>
    <row r="24" spans="1:43" ht="17.100000000000001" customHeight="1">
      <c r="A24" s="41">
        <v>4</v>
      </c>
      <c r="C24" s="128" t="str">
        <f>ESM_Name</f>
        <v>ENVIRONMENTAL SURCHARGE MECHANISM RIDER (ESM)</v>
      </c>
      <c r="F24" s="164"/>
      <c r="G24" s="1"/>
      <c r="H24" s="164"/>
      <c r="I24" s="1"/>
      <c r="J24" s="387">
        <f>PRO_ESM_NONRES</f>
        <v>5.4606095773317587E-3</v>
      </c>
      <c r="K24" s="1"/>
      <c r="L24" s="3">
        <f>ROUND((R21-(PRO_BASE_FUEL*H21)+R25)*J24,0)</f>
        <v>2245</v>
      </c>
      <c r="M24" s="1"/>
      <c r="N24" s="4">
        <f>ROUND((L24/L$28)*100,1)</f>
        <v>0.3</v>
      </c>
      <c r="O24" s="1"/>
      <c r="P24" s="3"/>
      <c r="Q24" s="1"/>
      <c r="R24" s="3">
        <f>P24+L24</f>
        <v>2245</v>
      </c>
      <c r="Y24" s="120"/>
      <c r="AE24" s="44"/>
      <c r="AF24" s="44"/>
      <c r="AG24" s="102"/>
      <c r="AH24" s="44"/>
      <c r="AI24" s="44"/>
      <c r="AJ24" s="44"/>
      <c r="AK24" s="102"/>
      <c r="AL24" s="44"/>
      <c r="AO24" s="44"/>
      <c r="AP24" s="44"/>
      <c r="AQ24" s="102"/>
    </row>
    <row r="25" spans="1:43" ht="15.75" customHeight="1">
      <c r="A25" s="41">
        <v>5</v>
      </c>
      <c r="C25" s="128" t="str">
        <f>PSM_Name</f>
        <v>PROFIT SHARING MECHANISM (PSM)</v>
      </c>
      <c r="F25" s="164"/>
      <c r="G25" s="1"/>
      <c r="H25" s="164"/>
      <c r="I25" s="1"/>
      <c r="J25" s="327">
        <f>PRO_PSM</f>
        <v>2.4750000000000002E-3</v>
      </c>
      <c r="K25" s="1"/>
      <c r="L25" s="66">
        <f>ROUND($H$21*J25,0)</f>
        <v>21142</v>
      </c>
      <c r="M25" s="1"/>
      <c r="N25" s="104">
        <f>ROUND((L25/L$28)*100,1)</f>
        <v>3.1</v>
      </c>
      <c r="O25" s="1"/>
      <c r="P25" s="66"/>
      <c r="Q25" s="1"/>
      <c r="R25" s="66">
        <f>P25+L25</f>
        <v>21142</v>
      </c>
      <c r="Y25" s="120"/>
      <c r="AE25" s="44"/>
      <c r="AF25" s="44"/>
      <c r="AG25" s="102"/>
      <c r="AH25" s="44"/>
      <c r="AI25" s="44"/>
      <c r="AJ25" s="44"/>
      <c r="AK25" s="102"/>
      <c r="AL25" s="44"/>
      <c r="AO25" s="44"/>
      <c r="AP25" s="44"/>
      <c r="AQ25" s="102"/>
    </row>
    <row r="26" spans="1:43" ht="20.100000000000001" customHeight="1">
      <c r="A26" s="41">
        <v>6</v>
      </c>
      <c r="C26" s="133" t="s">
        <v>463</v>
      </c>
      <c r="F26" s="318"/>
      <c r="G26" s="1"/>
      <c r="H26" s="318"/>
      <c r="I26" s="1"/>
      <c r="J26" s="320"/>
      <c r="K26" s="1"/>
      <c r="L26" s="72">
        <f>SUM(L24:L25)</f>
        <v>23387</v>
      </c>
      <c r="M26" s="1"/>
      <c r="N26" s="105">
        <f>ROUND((L26/L$28)*100,1)</f>
        <v>3.5</v>
      </c>
      <c r="O26" s="1"/>
      <c r="P26" s="72"/>
      <c r="Q26" s="1"/>
      <c r="R26" s="72">
        <f>SUM(R24:R25)</f>
        <v>23387</v>
      </c>
      <c r="Y26" s="120"/>
      <c r="AE26" s="44"/>
      <c r="AF26" s="44"/>
      <c r="AG26" s="102"/>
      <c r="AH26" s="44"/>
      <c r="AI26" s="44"/>
      <c r="AJ26" s="44"/>
      <c r="AK26" s="102"/>
      <c r="AL26" s="44"/>
      <c r="AO26" s="44"/>
      <c r="AP26" s="44"/>
      <c r="AQ26" s="102"/>
    </row>
    <row r="27" spans="1:43" ht="15.75" customHeight="1">
      <c r="C27" s="133"/>
      <c r="F27" s="164"/>
      <c r="G27" s="1"/>
      <c r="H27" s="164"/>
      <c r="I27" s="1"/>
      <c r="J27" s="320"/>
      <c r="K27" s="1"/>
      <c r="L27" s="3"/>
      <c r="M27" s="1"/>
      <c r="N27" s="4"/>
      <c r="O27" s="1"/>
      <c r="P27" s="3"/>
      <c r="Q27" s="1"/>
      <c r="R27" s="3"/>
      <c r="Y27" s="120"/>
      <c r="AE27" s="44"/>
      <c r="AF27" s="44"/>
      <c r="AG27" s="102"/>
      <c r="AH27" s="44"/>
      <c r="AI27" s="44"/>
      <c r="AJ27" s="44"/>
      <c r="AK27" s="102"/>
      <c r="AL27" s="44"/>
      <c r="AO27" s="44"/>
      <c r="AP27" s="44"/>
      <c r="AQ27" s="102"/>
    </row>
    <row r="28" spans="1:43" ht="20.100000000000001" customHeight="1" thickBot="1">
      <c r="A28" s="41">
        <v>7</v>
      </c>
      <c r="C28" s="133" t="s">
        <v>466</v>
      </c>
      <c r="F28" s="67">
        <f>F21</f>
        <v>30661</v>
      </c>
      <c r="G28" s="1"/>
      <c r="H28" s="67">
        <f>H21</f>
        <v>8542179</v>
      </c>
      <c r="I28" s="3"/>
      <c r="J28" s="1"/>
      <c r="K28" s="1"/>
      <c r="L28" s="67">
        <f>L21+L26</f>
        <v>672131</v>
      </c>
      <c r="M28" s="3"/>
      <c r="N28" s="396">
        <f>SUM(N21,N26)</f>
        <v>100</v>
      </c>
      <c r="O28" s="4"/>
      <c r="P28" s="67">
        <f>ROUND(H28*CUR_FAC,0)</f>
        <v>29788</v>
      </c>
      <c r="Q28" s="68"/>
      <c r="R28" s="67">
        <f>R21+R26</f>
        <v>701919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00"/>
      <c r="AH28" s="40"/>
      <c r="AI28" s="40"/>
      <c r="AJ28" s="40"/>
      <c r="AK28" s="100"/>
      <c r="AL28" s="40"/>
      <c r="AM28" s="40"/>
      <c r="AN28" s="40"/>
      <c r="AO28" s="40"/>
      <c r="AP28" s="40"/>
      <c r="AQ28" s="100"/>
    </row>
    <row r="29" spans="1:43" ht="16.5" thickTop="1">
      <c r="C29" s="42"/>
      <c r="F29" s="3"/>
      <c r="G29" s="1"/>
      <c r="H29" s="3"/>
      <c r="I29" s="3"/>
      <c r="J29" s="1"/>
      <c r="K29" s="1"/>
      <c r="L29" s="3"/>
      <c r="M29" s="3"/>
      <c r="N29" s="6"/>
      <c r="O29" s="4"/>
      <c r="P29" s="3"/>
      <c r="Q29" s="68"/>
      <c r="R29" s="3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100"/>
      <c r="AH29" s="40"/>
      <c r="AI29" s="40"/>
      <c r="AJ29" s="40"/>
      <c r="AK29" s="100"/>
      <c r="AL29" s="40"/>
      <c r="AM29" s="40"/>
      <c r="AN29" s="40"/>
      <c r="AO29" s="40"/>
      <c r="AP29" s="40"/>
      <c r="AQ29" s="100"/>
    </row>
    <row r="30" spans="1:43" ht="21.95" customHeight="1">
      <c r="C30" s="140"/>
      <c r="T30" s="42"/>
    </row>
    <row r="31" spans="1:43">
      <c r="C31" s="140" t="str">
        <f>"(1) REFLECTS FUEL COMPONENT OF "&amp;TEXT(PRO_FAC,"$0.000000;($0.000000)")&amp;" PER KWH."</f>
        <v>(1) REFLECTS FUEL COMPONENT OF $0.003487 PER KWH.</v>
      </c>
      <c r="T31" s="42"/>
    </row>
    <row r="32" spans="1:43">
      <c r="C32" s="140" t="str">
        <f>"(2) REFLECTS FUEL COST RECOVERY INCLUDED IN BASE RATES OF "&amp;TEXT(PRO_BASE_FUEL,"$0.000000;($0.000000)")&amp;"  PER KWH."</f>
        <v>(2) REFLECTS FUEL COST RECOVERY INCLUDED IN BASE RATES OF $0.033780  PER KWH.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100"/>
      <c r="AH32" s="40"/>
      <c r="AI32" s="40"/>
      <c r="AJ32" s="40"/>
      <c r="AK32" s="100"/>
      <c r="AL32" s="40"/>
      <c r="AM32" s="40"/>
      <c r="AN32" s="40"/>
      <c r="AO32" s="40"/>
      <c r="AP32" s="40"/>
      <c r="AQ32" s="100"/>
    </row>
    <row r="33" spans="1:76">
      <c r="A33" s="42"/>
      <c r="AE33" s="44"/>
      <c r="AF33" s="44"/>
      <c r="AG33" s="102"/>
      <c r="AH33" s="44"/>
      <c r="AI33" s="44"/>
      <c r="AJ33" s="44"/>
      <c r="AK33" s="102"/>
      <c r="AL33" s="44"/>
      <c r="AO33" s="44"/>
      <c r="AP33" s="44"/>
      <c r="AQ33" s="102"/>
    </row>
    <row r="34" spans="1:76">
      <c r="C34" s="42"/>
      <c r="F34" s="45"/>
      <c r="H34" s="45"/>
      <c r="I34" s="45"/>
      <c r="J34" s="326"/>
      <c r="K34" s="326"/>
      <c r="L34" s="45"/>
      <c r="M34" s="45"/>
      <c r="N34" s="46"/>
      <c r="O34" s="46"/>
      <c r="P34" s="45"/>
      <c r="Q34" s="45"/>
      <c r="R34" s="45"/>
      <c r="AC34" s="44"/>
      <c r="AD34" s="44"/>
      <c r="AE34" s="44"/>
      <c r="AF34" s="44"/>
      <c r="AG34" s="102"/>
      <c r="AH34" s="44"/>
      <c r="AI34" s="44"/>
      <c r="AJ34" s="44"/>
      <c r="AK34" s="102"/>
      <c r="AL34" s="44"/>
      <c r="AO34" s="44"/>
      <c r="AP34" s="44"/>
      <c r="AQ34" s="102"/>
    </row>
    <row r="35" spans="1:76">
      <c r="C35" s="42"/>
      <c r="F35" s="45"/>
      <c r="H35" s="45"/>
      <c r="I35" s="45"/>
      <c r="L35" s="45"/>
      <c r="M35" s="45"/>
      <c r="N35" s="46"/>
      <c r="O35" s="46"/>
      <c r="P35" s="45"/>
      <c r="Q35" s="45"/>
      <c r="R35" s="45"/>
      <c r="T35" s="44"/>
      <c r="V35" s="44"/>
      <c r="W35" s="44"/>
      <c r="X35" s="44"/>
      <c r="Y35" s="44"/>
      <c r="AA35" s="44"/>
      <c r="AB35" s="44"/>
      <c r="AC35" s="44"/>
      <c r="AD35" s="44"/>
      <c r="AE35" s="44"/>
      <c r="AF35" s="44"/>
      <c r="AG35" s="102"/>
      <c r="AH35" s="44"/>
      <c r="AI35" s="44"/>
      <c r="AJ35" s="44"/>
      <c r="AK35" s="102"/>
      <c r="AL35" s="44"/>
      <c r="AM35" s="44"/>
      <c r="AN35" s="44"/>
      <c r="AO35" s="44"/>
      <c r="AP35" s="44"/>
      <c r="AQ35" s="102"/>
      <c r="AS35" s="45"/>
      <c r="AT35" s="45"/>
      <c r="AU35" s="46"/>
      <c r="BX35" s="329"/>
    </row>
    <row r="36" spans="1:76">
      <c r="C36" s="42"/>
      <c r="F36" s="45"/>
      <c r="H36" s="45"/>
      <c r="I36" s="45"/>
      <c r="L36" s="45"/>
      <c r="M36" s="45"/>
      <c r="N36" s="46"/>
      <c r="O36" s="46"/>
      <c r="P36" s="164"/>
      <c r="Q36" s="164"/>
      <c r="R36" s="45"/>
      <c r="T36" s="40" t="str">
        <f>NAME</f>
        <v>DUKE ENERGY KENTUCKY, INC.</v>
      </c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100"/>
      <c r="AH36" s="40"/>
      <c r="AI36" s="40"/>
      <c r="AJ36" s="40"/>
      <c r="AK36" s="100"/>
      <c r="AL36" s="40"/>
      <c r="AM36" s="40"/>
      <c r="AN36" s="40"/>
      <c r="AO36" s="40"/>
      <c r="AP36" s="40"/>
      <c r="AQ36" s="100"/>
      <c r="AS36" s="45"/>
      <c r="AT36" s="45"/>
      <c r="AU36" s="46"/>
    </row>
    <row r="37" spans="1:76">
      <c r="C37" s="42"/>
      <c r="F37" s="45"/>
      <c r="H37" s="45"/>
      <c r="I37" s="45"/>
      <c r="L37" s="45"/>
      <c r="M37" s="45"/>
      <c r="N37" s="46"/>
      <c r="O37" s="46"/>
      <c r="P37" s="45"/>
      <c r="Q37" s="164"/>
      <c r="R37" s="45"/>
      <c r="T37" s="40" t="str">
        <f>CASE_NO</f>
        <v>CASE NO.   2024-00354</v>
      </c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40"/>
      <c r="AP37" s="40"/>
      <c r="AQ37" s="100"/>
      <c r="AS37" s="45"/>
      <c r="AT37" s="45"/>
      <c r="AU37" s="46"/>
    </row>
    <row r="38" spans="1:76">
      <c r="T38" s="40" t="str">
        <f>TITLE</f>
        <v>ANNUALIZED TEST YEAR REVENUES AT PROPOSED VS. MOST CURRENT RATES</v>
      </c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00"/>
      <c r="AH38" s="40"/>
      <c r="AI38" s="40"/>
      <c r="AJ38" s="40"/>
      <c r="AK38" s="100"/>
      <c r="AL38" s="40"/>
      <c r="AM38" s="40"/>
      <c r="AN38" s="40"/>
      <c r="AO38" s="40"/>
      <c r="AP38" s="40"/>
      <c r="AQ38" s="100"/>
      <c r="AS38" s="45"/>
      <c r="AT38" s="45"/>
      <c r="AU38" s="335"/>
    </row>
    <row r="39" spans="1:76">
      <c r="C39" s="42"/>
      <c r="L39" s="45"/>
      <c r="M39" s="45"/>
      <c r="N39" s="45"/>
      <c r="O39" s="45"/>
      <c r="P39" s="45"/>
      <c r="Q39" s="45"/>
      <c r="R39" s="45"/>
      <c r="T39" s="40" t="str">
        <f>DATE</f>
        <v>FOR THE TWELVE MONTHS ENDED June 30, 2026</v>
      </c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40"/>
      <c r="AP39" s="40"/>
      <c r="AQ39" s="100"/>
      <c r="AS39" s="45"/>
      <c r="AT39" s="45"/>
      <c r="AU39" s="46"/>
    </row>
    <row r="40" spans="1:76">
      <c r="A40" s="42"/>
      <c r="T40" s="40" t="str">
        <f>SERVICE</f>
        <v>(ELECTRIC SERVICE)</v>
      </c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100"/>
      <c r="AH40" s="40"/>
      <c r="AI40" s="40"/>
      <c r="AJ40" s="40"/>
      <c r="AK40" s="100"/>
      <c r="AL40" s="40"/>
      <c r="AM40" s="40"/>
      <c r="AN40" s="40"/>
      <c r="AO40" s="40"/>
      <c r="AP40" s="40"/>
      <c r="AQ40" s="100"/>
      <c r="AS40" s="45"/>
      <c r="AT40" s="45"/>
      <c r="AU40" s="46"/>
    </row>
    <row r="41" spans="1:76">
      <c r="C41" s="42"/>
      <c r="F41" s="45"/>
      <c r="H41" s="45"/>
      <c r="I41" s="45"/>
      <c r="J41" s="47"/>
      <c r="K41" s="47"/>
      <c r="L41" s="45"/>
      <c r="M41" s="45"/>
      <c r="N41" s="46"/>
      <c r="O41" s="46"/>
      <c r="P41" s="45"/>
      <c r="Q41" s="45"/>
      <c r="R41" s="45"/>
      <c r="T41" s="41" t="str">
        <f>DATA_PERIOD</f>
        <v>DATA: ____ BASE PERIOD   __X__FORECASTED PERIOD</v>
      </c>
      <c r="AO41" s="42" t="s">
        <v>157</v>
      </c>
      <c r="AQ41" s="110"/>
      <c r="AS41" s="45"/>
      <c r="AT41" s="45"/>
      <c r="AU41" s="46"/>
    </row>
    <row r="42" spans="1:76">
      <c r="F42" s="50"/>
      <c r="H42" s="50"/>
      <c r="I42" s="50"/>
      <c r="J42" s="326"/>
      <c r="K42" s="326"/>
      <c r="L42" s="50"/>
      <c r="M42" s="50"/>
      <c r="N42" s="50"/>
      <c r="O42" s="50"/>
      <c r="P42" s="50"/>
      <c r="Q42" s="50"/>
      <c r="R42" s="50"/>
      <c r="T42" s="41" t="str">
        <f>TYPE</f>
        <v>TYPE OF FILING: _X_ ORIGINAL   ___UPDATED  ___ REVISED</v>
      </c>
      <c r="AO42" s="48" t="str">
        <f>"PAGE 16 OF "&amp;TEXT(Page_Num_2.2,"00")</f>
        <v>PAGE 16 OF 24</v>
      </c>
      <c r="AQ42" s="110"/>
      <c r="AS42" s="45"/>
      <c r="AT42" s="45"/>
      <c r="AU42" s="46"/>
    </row>
    <row r="43" spans="1:76">
      <c r="C43" s="42"/>
      <c r="F43" s="45"/>
      <c r="H43" s="45"/>
      <c r="I43" s="45"/>
      <c r="J43" s="47"/>
      <c r="K43" s="47"/>
      <c r="L43" s="45"/>
      <c r="M43" s="45"/>
      <c r="N43" s="46"/>
      <c r="O43" s="46"/>
      <c r="P43" s="45"/>
      <c r="Q43" s="45"/>
      <c r="R43" s="45"/>
      <c r="T43" s="42" t="s">
        <v>170</v>
      </c>
      <c r="AO43" s="42" t="s">
        <v>3</v>
      </c>
      <c r="AQ43" s="110"/>
      <c r="AS43" s="45"/>
      <c r="AT43" s="45"/>
      <c r="AU43" s="46"/>
    </row>
    <row r="44" spans="1:76">
      <c r="A44" s="42"/>
      <c r="F44" s="45"/>
      <c r="H44" s="45"/>
      <c r="I44" s="45"/>
      <c r="J44" s="47"/>
      <c r="K44" s="47"/>
      <c r="L44" s="45"/>
      <c r="M44" s="45"/>
      <c r="N44" s="45"/>
      <c r="O44" s="45"/>
      <c r="P44" s="45"/>
      <c r="Q44" s="45"/>
      <c r="R44" s="45"/>
      <c r="T44" s="130" t="str">
        <f>TIME</f>
        <v>12 Months Projected with Riders</v>
      </c>
      <c r="AG44" s="110"/>
      <c r="AO44" s="41" t="str">
        <f>WIT</f>
        <v>B. L. Sailers</v>
      </c>
      <c r="AR44" s="45"/>
      <c r="AS44" s="45"/>
      <c r="AT44" s="45"/>
      <c r="AU44" s="46"/>
    </row>
    <row r="45" spans="1:76">
      <c r="L45" s="45"/>
      <c r="M45" s="45"/>
      <c r="N45" s="45"/>
      <c r="O45" s="45"/>
      <c r="P45" s="45"/>
      <c r="Q45" s="45"/>
      <c r="R45" s="45"/>
      <c r="T45" s="40" t="s">
        <v>130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  <c r="AR45" s="45"/>
      <c r="AS45" s="45"/>
      <c r="AT45" s="45"/>
      <c r="AU45" s="46"/>
    </row>
    <row r="46" spans="1:76">
      <c r="H46" s="42"/>
      <c r="I46" s="42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3"/>
      <c r="AF46" s="43"/>
      <c r="AG46" s="101"/>
      <c r="AH46" s="43"/>
      <c r="AI46" s="43"/>
      <c r="AJ46" s="43"/>
      <c r="AK46" s="101"/>
      <c r="AL46" s="43"/>
      <c r="AM46" s="43"/>
      <c r="AN46" s="49"/>
      <c r="AO46" s="49"/>
      <c r="AP46" s="49"/>
      <c r="AQ46" s="107"/>
      <c r="AR46" s="45"/>
    </row>
    <row r="47" spans="1:76" ht="18" customHeight="1">
      <c r="L47" s="42"/>
      <c r="M47" s="4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44" t="s">
        <v>8</v>
      </c>
      <c r="AF47" s="44"/>
      <c r="AG47" s="102" t="s">
        <v>7</v>
      </c>
      <c r="AH47" s="44"/>
      <c r="AI47" s="44" t="s">
        <v>9</v>
      </c>
      <c r="AJ47" s="44"/>
      <c r="AK47" s="102" t="s">
        <v>10</v>
      </c>
      <c r="AL47" s="44"/>
      <c r="AN47" s="62"/>
      <c r="AO47" s="63" t="s">
        <v>8</v>
      </c>
      <c r="AP47" s="63"/>
      <c r="AQ47" s="109" t="s">
        <v>11</v>
      </c>
      <c r="AR47" s="164"/>
    </row>
    <row r="48" spans="1:76">
      <c r="R48" s="42"/>
      <c r="AC48" s="44" t="s">
        <v>14</v>
      </c>
      <c r="AD48" s="44"/>
      <c r="AE48" s="44" t="s">
        <v>12</v>
      </c>
      <c r="AF48" s="44"/>
      <c r="AG48" s="102" t="s">
        <v>13</v>
      </c>
      <c r="AH48" s="44"/>
      <c r="AI48" s="44" t="s">
        <v>15</v>
      </c>
      <c r="AJ48" s="44"/>
      <c r="AK48" s="102" t="s">
        <v>16</v>
      </c>
      <c r="AL48" s="44"/>
      <c r="AO48" s="44" t="s">
        <v>11</v>
      </c>
      <c r="AP48" s="44"/>
      <c r="AQ48" s="102" t="s">
        <v>9</v>
      </c>
      <c r="AR48" s="164"/>
      <c r="AU48" s="44"/>
    </row>
    <row r="49" spans="1:51">
      <c r="R49" s="42"/>
      <c r="T49" s="44" t="s">
        <v>17</v>
      </c>
      <c r="V49" s="44" t="s">
        <v>18</v>
      </c>
      <c r="W49" s="44" t="s">
        <v>19</v>
      </c>
      <c r="X49" s="44"/>
      <c r="Y49" s="44" t="s">
        <v>20</v>
      </c>
      <c r="AC49" s="44" t="s">
        <v>8</v>
      </c>
      <c r="AD49" s="44"/>
      <c r="AE49" s="44" t="s">
        <v>841</v>
      </c>
      <c r="AF49" s="44"/>
      <c r="AG49" s="102" t="s">
        <v>841</v>
      </c>
      <c r="AH49" s="44"/>
      <c r="AI49" s="60" t="s">
        <v>964</v>
      </c>
      <c r="AJ49" s="44"/>
      <c r="AK49" s="277" t="s">
        <v>964</v>
      </c>
      <c r="AL49" s="44"/>
      <c r="AM49" s="44" t="s">
        <v>841</v>
      </c>
      <c r="AN49" s="44"/>
      <c r="AO49" s="44" t="s">
        <v>9</v>
      </c>
      <c r="AP49" s="44"/>
      <c r="AQ49" s="102" t="s">
        <v>21</v>
      </c>
      <c r="AR49" s="45"/>
      <c r="AU49" s="44"/>
    </row>
    <row r="50" spans="1:51">
      <c r="A50" s="42"/>
      <c r="R50" s="42"/>
      <c r="T50" s="44" t="s">
        <v>22</v>
      </c>
      <c r="V50" s="44" t="s">
        <v>23</v>
      </c>
      <c r="W50" s="44" t="s">
        <v>24</v>
      </c>
      <c r="X50" s="44"/>
      <c r="Y50" s="44" t="s">
        <v>55</v>
      </c>
      <c r="AA50" s="44" t="s">
        <v>26</v>
      </c>
      <c r="AB50" s="44"/>
      <c r="AC50" s="60" t="s">
        <v>1130</v>
      </c>
      <c r="AD50" s="44"/>
      <c r="AE50" s="44" t="s">
        <v>9</v>
      </c>
      <c r="AF50" s="44"/>
      <c r="AG50" s="102" t="s">
        <v>9</v>
      </c>
      <c r="AH50" s="44"/>
      <c r="AI50" s="304" t="s">
        <v>29</v>
      </c>
      <c r="AJ50" s="304"/>
      <c r="AK50" s="311" t="s">
        <v>30</v>
      </c>
      <c r="AL50" s="44"/>
      <c r="AM50" s="44" t="s">
        <v>1129</v>
      </c>
      <c r="AN50" s="44"/>
      <c r="AO50" s="304" t="s">
        <v>31</v>
      </c>
      <c r="AP50" s="304"/>
      <c r="AQ50" s="311" t="s">
        <v>32</v>
      </c>
      <c r="AR50" s="45"/>
      <c r="AU50" s="44"/>
    </row>
    <row r="51" spans="1:51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V51" s="304" t="s">
        <v>33</v>
      </c>
      <c r="W51" s="304" t="s">
        <v>34</v>
      </c>
      <c r="X51" s="304"/>
      <c r="Y51" s="304" t="s">
        <v>35</v>
      </c>
      <c r="Z51" s="130"/>
      <c r="AA51" s="304" t="s">
        <v>36</v>
      </c>
      <c r="AB51" s="304"/>
      <c r="AC51" s="304" t="s">
        <v>42</v>
      </c>
      <c r="AD51" s="304"/>
      <c r="AE51" s="304" t="s">
        <v>43</v>
      </c>
      <c r="AF51" s="304"/>
      <c r="AG51" s="311" t="s">
        <v>44</v>
      </c>
      <c r="AH51" s="304"/>
      <c r="AI51" s="304" t="s">
        <v>45</v>
      </c>
      <c r="AJ51" s="304"/>
      <c r="AK51" s="311" t="s">
        <v>46</v>
      </c>
      <c r="AL51" s="304"/>
      <c r="AM51" s="304" t="s">
        <v>40</v>
      </c>
      <c r="AN51" s="304"/>
      <c r="AO51" s="304" t="s">
        <v>47</v>
      </c>
      <c r="AP51" s="304"/>
      <c r="AQ51" s="311" t="s">
        <v>48</v>
      </c>
    </row>
    <row r="52" spans="1:51" ht="17.100000000000001" customHeight="1">
      <c r="L52" s="44"/>
      <c r="M52" s="44"/>
      <c r="N52" s="44"/>
      <c r="O52" s="44"/>
      <c r="R52" s="44"/>
      <c r="T52" s="62"/>
      <c r="U52" s="62"/>
      <c r="V52" s="62"/>
      <c r="W52" s="62"/>
      <c r="X52" s="62"/>
      <c r="Y52" s="62"/>
      <c r="Z52" s="62"/>
      <c r="AA52" s="397" t="s">
        <v>49</v>
      </c>
      <c r="AB52" s="397"/>
      <c r="AC52" s="398" t="s">
        <v>312</v>
      </c>
      <c r="AD52" s="397"/>
      <c r="AE52" s="397" t="s">
        <v>50</v>
      </c>
      <c r="AF52" s="397"/>
      <c r="AG52" s="399" t="s">
        <v>51</v>
      </c>
      <c r="AH52" s="397"/>
      <c r="AI52" s="397" t="s">
        <v>50</v>
      </c>
      <c r="AJ52" s="397"/>
      <c r="AK52" s="399" t="s">
        <v>51</v>
      </c>
      <c r="AL52" s="397"/>
      <c r="AM52" s="397" t="s">
        <v>50</v>
      </c>
      <c r="AN52" s="397"/>
      <c r="AO52" s="397" t="s">
        <v>50</v>
      </c>
      <c r="AP52" s="397"/>
      <c r="AQ52" s="399" t="s">
        <v>51</v>
      </c>
    </row>
    <row r="53" spans="1:51">
      <c r="L53" s="44"/>
      <c r="M53" s="44"/>
      <c r="N53" s="44"/>
      <c r="O53" s="44"/>
      <c r="R53" s="44"/>
      <c r="Y53" s="1"/>
      <c r="Z53" s="1"/>
      <c r="AA53" s="2"/>
      <c r="AB53" s="2"/>
      <c r="AC53" s="60"/>
      <c r="AD53" s="2"/>
      <c r="AE53" s="2"/>
      <c r="AF53" s="2"/>
      <c r="AG53" s="108"/>
      <c r="AH53" s="2"/>
      <c r="AI53" s="2"/>
      <c r="AJ53" s="2"/>
      <c r="AK53" s="108"/>
      <c r="AL53" s="2"/>
      <c r="AM53" s="2"/>
      <c r="AN53" s="2"/>
      <c r="AO53" s="2"/>
      <c r="AP53" s="2"/>
      <c r="AQ53" s="108"/>
    </row>
    <row r="54" spans="1:51" ht="30" customHeight="1">
      <c r="L54" s="44"/>
      <c r="M54" s="44"/>
      <c r="N54" s="44"/>
      <c r="O54" s="44"/>
      <c r="R54" s="44"/>
      <c r="T54" s="41">
        <v>1</v>
      </c>
      <c r="V54" s="133" t="s">
        <v>239</v>
      </c>
      <c r="W54" s="310" t="s">
        <v>240</v>
      </c>
      <c r="X54" s="130"/>
      <c r="Y54" s="400"/>
      <c r="Z54" s="1"/>
      <c r="AA54" s="3"/>
      <c r="AB54" s="3"/>
      <c r="AC54" s="1"/>
      <c r="AD54" s="340"/>
      <c r="AE54" s="3"/>
      <c r="AF54" s="3"/>
      <c r="AG54" s="103"/>
      <c r="AH54" s="4"/>
      <c r="AI54" s="3"/>
      <c r="AJ54" s="3"/>
      <c r="AK54" s="103"/>
      <c r="AL54" s="6"/>
      <c r="AM54" s="68"/>
      <c r="AN54" s="68"/>
      <c r="AO54" s="3"/>
      <c r="AP54" s="3"/>
      <c r="AQ54" s="103"/>
      <c r="AW54" s="68"/>
      <c r="AX54" s="1"/>
      <c r="AY54" s="1"/>
    </row>
    <row r="55" spans="1:51" ht="15.75" customHeight="1">
      <c r="L55" s="44"/>
      <c r="M55" s="44"/>
      <c r="N55" s="44"/>
      <c r="O55" s="44"/>
      <c r="R55" s="44"/>
      <c r="V55" s="133"/>
      <c r="W55" s="310"/>
      <c r="X55" s="130"/>
      <c r="Y55" s="400"/>
      <c r="Z55" s="1"/>
      <c r="AA55" s="3"/>
      <c r="AB55" s="3"/>
      <c r="AC55" s="1"/>
      <c r="AD55" s="340"/>
      <c r="AE55" s="3"/>
      <c r="AF55" s="3"/>
      <c r="AG55" s="103"/>
      <c r="AH55" s="4"/>
      <c r="AI55" s="3"/>
      <c r="AJ55" s="3"/>
      <c r="AK55" s="103"/>
      <c r="AL55" s="6"/>
      <c r="AM55" s="68"/>
      <c r="AN55" s="68"/>
      <c r="AO55" s="3"/>
      <c r="AP55" s="3"/>
      <c r="AQ55" s="103"/>
      <c r="AW55" s="68"/>
      <c r="AX55" s="1"/>
      <c r="AY55" s="1"/>
    </row>
    <row r="56" spans="1:51" ht="30" customHeight="1">
      <c r="L56" s="44"/>
      <c r="M56" s="44"/>
      <c r="N56" s="44"/>
      <c r="O56" s="44"/>
      <c r="R56" s="44"/>
      <c r="T56" s="41">
        <v>2</v>
      </c>
      <c r="V56" s="42" t="s">
        <v>241</v>
      </c>
      <c r="Y56" s="69">
        <f>F21</f>
        <v>30661</v>
      </c>
      <c r="Z56" s="1"/>
      <c r="AA56" s="69">
        <f>H21</f>
        <v>8542179</v>
      </c>
      <c r="AB56" s="1"/>
      <c r="AC56" s="390">
        <v>6.6466999999999998E-2</v>
      </c>
      <c r="AD56" s="340"/>
      <c r="AE56" s="66">
        <f>ROUND((AA56*AC56),0)</f>
        <v>567773</v>
      </c>
      <c r="AF56" s="3"/>
      <c r="AG56" s="104">
        <f>ROUND((AE56/AE$63)*100,1)</f>
        <v>96.1</v>
      </c>
      <c r="AH56" s="4"/>
      <c r="AI56" s="66">
        <f>L21-AE56</f>
        <v>80971</v>
      </c>
      <c r="AJ56" s="3"/>
      <c r="AK56" s="104">
        <f>ROUND((AI56/AE56)*100,1)</f>
        <v>14.3</v>
      </c>
      <c r="AL56" s="6"/>
      <c r="AM56" s="66">
        <f>ROUND($AM$63/$AA$63*AA56,0)</f>
        <v>29788</v>
      </c>
      <c r="AN56" s="68"/>
      <c r="AO56" s="66">
        <f>AE56+AM56</f>
        <v>597561</v>
      </c>
      <c r="AP56" s="3"/>
      <c r="AQ56" s="104">
        <f>ROUND((AI56/AO56)*100,1)</f>
        <v>13.6</v>
      </c>
      <c r="AU56" s="120"/>
      <c r="AW56" s="68"/>
      <c r="AX56" s="1"/>
      <c r="AY56" s="1"/>
    </row>
    <row r="57" spans="1:51" ht="15.75" customHeight="1">
      <c r="L57" s="44"/>
      <c r="M57" s="44"/>
      <c r="N57" s="44"/>
      <c r="O57" s="44"/>
      <c r="R57" s="44"/>
      <c r="V57" s="42"/>
      <c r="Y57" s="68"/>
      <c r="Z57" s="1"/>
      <c r="AA57" s="68"/>
      <c r="AB57" s="1"/>
      <c r="AC57" s="390"/>
      <c r="AD57" s="340"/>
      <c r="AE57" s="3"/>
      <c r="AF57" s="3"/>
      <c r="AG57" s="103"/>
      <c r="AH57" s="4"/>
      <c r="AI57" s="3"/>
      <c r="AJ57" s="3"/>
      <c r="AK57" s="103"/>
      <c r="AL57" s="6"/>
      <c r="AM57" s="3"/>
      <c r="AN57" s="68"/>
      <c r="AO57" s="3"/>
      <c r="AP57" s="3"/>
      <c r="AQ57" s="103"/>
      <c r="AU57" s="120"/>
      <c r="AW57" s="68"/>
      <c r="AX57" s="1"/>
      <c r="AY57" s="1"/>
    </row>
    <row r="58" spans="1:51" ht="19.5" customHeight="1">
      <c r="L58" s="44"/>
      <c r="M58" s="44"/>
      <c r="N58" s="44"/>
      <c r="O58" s="44"/>
      <c r="R58" s="44"/>
      <c r="T58" s="41">
        <f>A23</f>
        <v>3</v>
      </c>
      <c r="V58" s="133" t="s">
        <v>476</v>
      </c>
      <c r="Y58" s="68"/>
      <c r="Z58" s="1"/>
      <c r="AA58" s="68"/>
      <c r="AB58" s="1"/>
      <c r="AC58" s="390"/>
      <c r="AD58" s="340"/>
      <c r="AE58" s="3"/>
      <c r="AF58" s="3"/>
      <c r="AG58" s="103"/>
      <c r="AH58" s="4"/>
      <c r="AI58" s="3"/>
      <c r="AJ58" s="3"/>
      <c r="AK58" s="103"/>
      <c r="AL58" s="6"/>
      <c r="AM58" s="3"/>
      <c r="AN58" s="68"/>
      <c r="AO58" s="3"/>
      <c r="AP58" s="3"/>
      <c r="AQ58" s="103"/>
      <c r="AU58" s="120"/>
      <c r="AW58" s="68"/>
      <c r="AX58" s="1"/>
      <c r="AY58" s="1"/>
    </row>
    <row r="59" spans="1:51" ht="19.5" customHeight="1">
      <c r="L59" s="44"/>
      <c r="M59" s="44"/>
      <c r="N59" s="44"/>
      <c r="O59" s="44"/>
      <c r="R59" s="44"/>
      <c r="T59" s="41">
        <f>A24</f>
        <v>4</v>
      </c>
      <c r="V59" s="128" t="str">
        <f>C24</f>
        <v>ENVIRONMENTAL SURCHARGE MECHANISM RIDER (ESM)</v>
      </c>
      <c r="Y59" s="68"/>
      <c r="Z59" s="1"/>
      <c r="AA59" s="68"/>
      <c r="AB59" s="1"/>
      <c r="AC59" s="387">
        <f>CUR_ESM_NonRes</f>
        <v>6.4941608437496566E-3</v>
      </c>
      <c r="AD59" s="340"/>
      <c r="AE59" s="3">
        <f>ROUND((AO56-(CUR_BASE_FUEL*AA56)+AO60)*AC59,0)</f>
        <v>2144</v>
      </c>
      <c r="AF59" s="3"/>
      <c r="AG59" s="103">
        <f>ROUND((AE59/AE$63)*100,1)</f>
        <v>0.4</v>
      </c>
      <c r="AH59" s="4"/>
      <c r="AI59" s="3">
        <f>L24-AE59</f>
        <v>101</v>
      </c>
      <c r="AJ59" s="3"/>
      <c r="AK59" s="103">
        <f>IF(AE59=0,0,ROUND((AI59/AE59)*100,1))</f>
        <v>4.7</v>
      </c>
      <c r="AL59" s="6"/>
      <c r="AM59" s="3"/>
      <c r="AN59" s="68"/>
      <c r="AO59" s="3">
        <f>AE59+AM59</f>
        <v>2144</v>
      </c>
      <c r="AP59" s="3"/>
      <c r="AQ59" s="103">
        <f>IF(AO59=0,0,ROUND((AI59/AO59)*100,1))</f>
        <v>4.7</v>
      </c>
      <c r="AU59" s="120"/>
      <c r="AW59" s="68"/>
      <c r="AX59" s="1"/>
      <c r="AY59" s="1"/>
    </row>
    <row r="60" spans="1:51" ht="15.75" customHeight="1">
      <c r="L60" s="44"/>
      <c r="M60" s="44"/>
      <c r="N60" s="44"/>
      <c r="O60" s="44"/>
      <c r="R60" s="44"/>
      <c r="T60" s="41">
        <f>A25</f>
        <v>5</v>
      </c>
      <c r="V60" s="128" t="str">
        <f>C25</f>
        <v>PROFIT SHARING MECHANISM (PSM)</v>
      </c>
      <c r="Y60" s="68"/>
      <c r="Z60" s="1"/>
      <c r="AA60" s="68"/>
      <c r="AB60" s="1"/>
      <c r="AC60" s="134">
        <f>RS_PSM</f>
        <v>2.4750000000000002E-3</v>
      </c>
      <c r="AD60" s="340"/>
      <c r="AE60" s="66">
        <f>ROUND($AA$56*AC60,0)</f>
        <v>21142</v>
      </c>
      <c r="AF60" s="3"/>
      <c r="AG60" s="104">
        <f>ROUND((AE60/AE$63)*100,1)</f>
        <v>3.6</v>
      </c>
      <c r="AH60" s="4"/>
      <c r="AI60" s="66">
        <f>L25-AE60</f>
        <v>0</v>
      </c>
      <c r="AJ60" s="3"/>
      <c r="AK60" s="104">
        <f>ROUND((AI60/AE60)*100,1)</f>
        <v>0</v>
      </c>
      <c r="AL60" s="6"/>
      <c r="AM60" s="66"/>
      <c r="AN60" s="68"/>
      <c r="AO60" s="66">
        <f>AE60+AM60</f>
        <v>21142</v>
      </c>
      <c r="AP60" s="3"/>
      <c r="AQ60" s="104">
        <f>ROUND((AI60/AO60)*100,1)</f>
        <v>0</v>
      </c>
      <c r="AU60" s="120"/>
      <c r="AW60" s="68"/>
      <c r="AX60" s="1"/>
      <c r="AY60" s="1"/>
    </row>
    <row r="61" spans="1:51" ht="20.100000000000001" customHeight="1">
      <c r="L61" s="44"/>
      <c r="M61" s="44"/>
      <c r="N61" s="44"/>
      <c r="O61" s="44"/>
      <c r="R61" s="44"/>
      <c r="T61" s="41">
        <f>A26</f>
        <v>6</v>
      </c>
      <c r="V61" s="133" t="s">
        <v>463</v>
      </c>
      <c r="Y61" s="69"/>
      <c r="Z61" s="1"/>
      <c r="AA61" s="69"/>
      <c r="AB61" s="1"/>
      <c r="AC61" s="401"/>
      <c r="AD61" s="340"/>
      <c r="AE61" s="72">
        <f>SUM(AE59:AE60)</f>
        <v>23286</v>
      </c>
      <c r="AF61" s="3"/>
      <c r="AG61" s="104">
        <f>ROUND((AE61/AE$63)*100,1)</f>
        <v>3.9</v>
      </c>
      <c r="AH61" s="4"/>
      <c r="AI61" s="72">
        <f>SUM(AI59:AI60)</f>
        <v>101</v>
      </c>
      <c r="AJ61" s="3"/>
      <c r="AK61" s="104">
        <f>ROUND((AI61/AE61)*100,1)</f>
        <v>0.4</v>
      </c>
      <c r="AL61" s="6"/>
      <c r="AM61" s="72"/>
      <c r="AN61" s="68"/>
      <c r="AO61" s="72">
        <f>SUM(AO59:AO60)</f>
        <v>23286</v>
      </c>
      <c r="AP61" s="3"/>
      <c r="AQ61" s="105">
        <f>ROUND((AI61/AO61)*100,1)</f>
        <v>0.4</v>
      </c>
      <c r="AU61" s="120"/>
      <c r="AW61" s="68"/>
      <c r="AX61" s="1"/>
      <c r="AY61" s="1"/>
    </row>
    <row r="62" spans="1:51" ht="15.75" customHeight="1">
      <c r="L62" s="44"/>
      <c r="M62" s="44"/>
      <c r="N62" s="44"/>
      <c r="O62" s="44"/>
      <c r="R62" s="44"/>
      <c r="V62" s="42"/>
      <c r="Y62" s="68"/>
      <c r="Z62" s="1"/>
      <c r="AA62" s="68"/>
      <c r="AB62" s="1"/>
      <c r="AC62" s="401"/>
      <c r="AD62" s="340"/>
      <c r="AE62" s="3"/>
      <c r="AF62" s="3"/>
      <c r="AG62" s="103"/>
      <c r="AH62" s="4"/>
      <c r="AI62" s="3"/>
      <c r="AJ62" s="3"/>
      <c r="AK62" s="103"/>
      <c r="AL62" s="6"/>
      <c r="AM62" s="3"/>
      <c r="AN62" s="68"/>
      <c r="AO62" s="3"/>
      <c r="AP62" s="3"/>
      <c r="AQ62" s="103"/>
      <c r="AU62" s="120"/>
      <c r="AW62" s="68"/>
      <c r="AX62" s="1"/>
      <c r="AY62" s="1"/>
    </row>
    <row r="63" spans="1:51" ht="20.100000000000001" customHeight="1" thickBot="1">
      <c r="L63" s="44"/>
      <c r="M63" s="44"/>
      <c r="N63" s="44"/>
      <c r="O63" s="44"/>
      <c r="R63" s="44"/>
      <c r="T63" s="41">
        <f>A28</f>
        <v>7</v>
      </c>
      <c r="V63" s="133" t="s">
        <v>466</v>
      </c>
      <c r="Y63" s="67">
        <f>Y56</f>
        <v>30661</v>
      </c>
      <c r="Z63" s="1"/>
      <c r="AA63" s="67">
        <f>AA56</f>
        <v>8542179</v>
      </c>
      <c r="AB63" s="3"/>
      <c r="AC63" s="1"/>
      <c r="AD63" s="340"/>
      <c r="AE63" s="67">
        <f>AE61+AE56</f>
        <v>591059</v>
      </c>
      <c r="AF63" s="3"/>
      <c r="AG63" s="106">
        <v>100</v>
      </c>
      <c r="AH63" s="4"/>
      <c r="AI63" s="67">
        <f>AI56+AI61</f>
        <v>81072</v>
      </c>
      <c r="AJ63" s="3"/>
      <c r="AK63" s="106">
        <f>ROUND((AI63/AE63)*100,1)</f>
        <v>13.7</v>
      </c>
      <c r="AL63" s="6"/>
      <c r="AM63" s="402">
        <f>ROUND(AA63*CUR_FAC,0)</f>
        <v>29788</v>
      </c>
      <c r="AN63" s="68"/>
      <c r="AO63" s="67">
        <f>AO61+AO56</f>
        <v>620847</v>
      </c>
      <c r="AP63" s="3"/>
      <c r="AQ63" s="106">
        <f>ROUND((AI63/AO63)*100,1)</f>
        <v>13.1</v>
      </c>
      <c r="AW63" s="3"/>
    </row>
    <row r="64" spans="1:51" ht="16.5" thickTop="1">
      <c r="L64" s="44"/>
      <c r="M64" s="44"/>
      <c r="N64" s="44"/>
      <c r="O64" s="44"/>
      <c r="R64" s="44"/>
      <c r="V64" s="42"/>
      <c r="Y64" s="3"/>
      <c r="Z64" s="1"/>
      <c r="AA64" s="3"/>
      <c r="AB64" s="3"/>
      <c r="AC64" s="1"/>
      <c r="AD64" s="340"/>
      <c r="AE64" s="3"/>
      <c r="AF64" s="3"/>
      <c r="AG64" s="103"/>
      <c r="AH64" s="4"/>
      <c r="AI64" s="3"/>
      <c r="AJ64" s="3"/>
      <c r="AK64" s="103"/>
      <c r="AL64" s="6"/>
      <c r="AM64" s="3"/>
      <c r="AN64" s="68"/>
      <c r="AO64" s="3"/>
      <c r="AP64" s="3"/>
      <c r="AQ64" s="103"/>
      <c r="AW64" s="3"/>
    </row>
    <row r="65" spans="3:42" ht="21.95" customHeight="1">
      <c r="C65" s="42"/>
      <c r="F65" s="45"/>
      <c r="H65" s="45"/>
      <c r="I65" s="45"/>
      <c r="J65" s="47"/>
      <c r="K65" s="47"/>
      <c r="L65" s="45"/>
      <c r="M65" s="45"/>
      <c r="N65" s="46"/>
      <c r="O65" s="46"/>
      <c r="P65" s="45"/>
      <c r="Q65" s="45"/>
      <c r="R65" s="45"/>
      <c r="V65" s="140"/>
    </row>
    <row r="66" spans="3:42">
      <c r="C66" s="42"/>
      <c r="F66" s="45"/>
      <c r="H66" s="45"/>
      <c r="I66" s="45"/>
      <c r="J66" s="47"/>
      <c r="K66" s="47"/>
      <c r="L66" s="45"/>
      <c r="M66" s="45"/>
      <c r="N66" s="46"/>
      <c r="O66" s="46"/>
      <c r="P66" s="45"/>
      <c r="Q66" s="45"/>
      <c r="R66" s="45"/>
      <c r="V66" s="140" t="str">
        <f>"(1) REFLECTS FUEL COMPONENT OF "&amp;TEXT(CUR_FAC,"$0.000000;($0.000000)")&amp;" PER KWH."</f>
        <v>(1) REFLECTS FUEL COMPONENT OF $0.003487 PER KWH.</v>
      </c>
    </row>
    <row r="67" spans="3:42">
      <c r="C67" s="42"/>
      <c r="F67" s="45"/>
      <c r="H67" s="164"/>
      <c r="I67" s="164"/>
      <c r="J67" s="331"/>
      <c r="K67" s="331"/>
      <c r="L67" s="45"/>
      <c r="M67" s="45"/>
      <c r="N67" s="46"/>
      <c r="O67" s="46"/>
      <c r="P67" s="45"/>
      <c r="Q67" s="45"/>
      <c r="R67" s="45"/>
      <c r="T67" s="42"/>
      <c r="V67" s="140" t="str">
        <f>"(2) REFLECTS FUEL COST RECOVERY INCLUDED IN BASE RATES OF "&amp;TEXT(CUR_BASE_FUEL,"$0.000000;($0.000000)")&amp;"  PER KWH."</f>
        <v>(2) REFLECTS FUEL COST RECOVERY INCLUDED IN BASE RATES OF $0.033780  PER KWH.</v>
      </c>
    </row>
    <row r="68" spans="3:42">
      <c r="F68" s="50"/>
      <c r="H68" s="50"/>
      <c r="I68" s="50"/>
      <c r="J68" s="326"/>
      <c r="K68" s="326"/>
      <c r="L68" s="50"/>
      <c r="M68" s="50"/>
      <c r="N68" s="50"/>
      <c r="O68" s="50"/>
      <c r="P68" s="50"/>
      <c r="Q68" s="50"/>
      <c r="R68" s="50"/>
      <c r="V68" s="42"/>
      <c r="Y68" s="45"/>
      <c r="AA68" s="164"/>
      <c r="AB68" s="164"/>
      <c r="AC68" s="316"/>
      <c r="AD68" s="316"/>
      <c r="AE68" s="45"/>
      <c r="AF68" s="45"/>
      <c r="AH68" s="46"/>
      <c r="AI68" s="45"/>
      <c r="AJ68" s="45"/>
      <c r="AL68" s="51"/>
      <c r="AO68" s="45"/>
      <c r="AP68" s="45"/>
    </row>
    <row r="69" spans="3:42">
      <c r="F69" s="50"/>
      <c r="H69" s="50"/>
      <c r="I69" s="50"/>
      <c r="J69" s="326"/>
      <c r="K69" s="326"/>
      <c r="L69" s="50"/>
      <c r="M69" s="50"/>
      <c r="N69" s="50"/>
      <c r="O69" s="50"/>
      <c r="P69" s="50"/>
      <c r="Q69" s="50"/>
      <c r="R69" s="50"/>
      <c r="S69" s="45"/>
      <c r="V69" s="42"/>
      <c r="Y69" s="164"/>
      <c r="AA69" s="164"/>
      <c r="AB69" s="164"/>
      <c r="AC69" s="336"/>
      <c r="AD69" s="336"/>
      <c r="AE69" s="45"/>
      <c r="AF69" s="45"/>
      <c r="AH69" s="46"/>
      <c r="AI69" s="45"/>
      <c r="AJ69" s="45"/>
      <c r="AL69" s="46"/>
      <c r="AM69" s="45"/>
      <c r="AN69" s="45"/>
      <c r="AO69" s="45"/>
      <c r="AP69" s="45"/>
    </row>
    <row r="70" spans="3:42">
      <c r="C70" s="42"/>
      <c r="F70" s="164"/>
      <c r="H70" s="337"/>
      <c r="I70" s="337"/>
      <c r="J70" s="326"/>
      <c r="K70" s="326"/>
      <c r="L70" s="45"/>
      <c r="M70" s="45"/>
      <c r="N70" s="46"/>
      <c r="O70" s="46"/>
      <c r="P70" s="45"/>
      <c r="Q70" s="45"/>
      <c r="R70" s="45"/>
      <c r="S70" s="45"/>
      <c r="V70" s="42"/>
      <c r="Y70" s="164"/>
      <c r="AA70" s="45"/>
      <c r="AB70" s="45"/>
      <c r="AC70" s="316"/>
      <c r="AD70" s="316"/>
      <c r="AE70" s="45"/>
      <c r="AF70" s="45"/>
      <c r="AH70" s="46"/>
      <c r="AI70" s="45"/>
      <c r="AJ70" s="45"/>
      <c r="AL70" s="51"/>
      <c r="AM70" s="45"/>
      <c r="AN70" s="45"/>
      <c r="AO70" s="45"/>
      <c r="AP70" s="45"/>
    </row>
    <row r="71" spans="3:42">
      <c r="V71" s="42"/>
      <c r="Y71" s="164"/>
      <c r="AA71" s="45"/>
      <c r="AB71" s="45"/>
      <c r="AC71" s="316"/>
      <c r="AD71" s="316"/>
      <c r="AE71" s="45"/>
      <c r="AF71" s="45"/>
      <c r="AH71" s="46"/>
      <c r="AI71" s="45"/>
      <c r="AJ71" s="45"/>
      <c r="AL71" s="51"/>
      <c r="AM71" s="45"/>
      <c r="AN71" s="45"/>
      <c r="AO71" s="45"/>
      <c r="AP71" s="45"/>
    </row>
    <row r="72" spans="3:42">
      <c r="C72" s="42"/>
      <c r="F72" s="164"/>
      <c r="H72" s="164"/>
      <c r="I72" s="164"/>
      <c r="J72" s="316"/>
      <c r="K72" s="316"/>
      <c r="L72" s="45"/>
      <c r="M72" s="45"/>
      <c r="N72" s="46"/>
      <c r="O72" s="46"/>
      <c r="R72" s="45"/>
      <c r="V72" s="42"/>
      <c r="Y72" s="45"/>
      <c r="AA72" s="45"/>
      <c r="AB72" s="45"/>
      <c r="AC72" s="47"/>
      <c r="AD72" s="47"/>
      <c r="AE72" s="45"/>
      <c r="AF72" s="45"/>
      <c r="AH72" s="46"/>
      <c r="AI72" s="45"/>
      <c r="AJ72" s="45"/>
      <c r="AL72" s="51"/>
      <c r="AM72" s="45"/>
      <c r="AN72" s="45"/>
      <c r="AO72" s="45"/>
      <c r="AP72" s="45"/>
    </row>
    <row r="73" spans="3:42">
      <c r="C73" s="42"/>
      <c r="F73" s="164"/>
      <c r="H73" s="164"/>
      <c r="I73" s="164"/>
      <c r="J73" s="316"/>
      <c r="K73" s="316"/>
      <c r="L73" s="45"/>
      <c r="M73" s="45"/>
      <c r="N73" s="46"/>
      <c r="O73" s="46"/>
      <c r="R73" s="45"/>
      <c r="V73" s="42"/>
      <c r="Y73" s="45"/>
      <c r="AA73" s="45"/>
      <c r="AB73" s="45"/>
      <c r="AC73" s="47"/>
      <c r="AD73" s="47"/>
      <c r="AE73" s="45"/>
      <c r="AF73" s="45"/>
      <c r="AH73" s="46"/>
      <c r="AI73" s="45"/>
      <c r="AJ73" s="45"/>
      <c r="AL73" s="51"/>
      <c r="AM73" s="45"/>
      <c r="AN73" s="45"/>
      <c r="AO73" s="45"/>
      <c r="AP73" s="45"/>
    </row>
    <row r="74" spans="3:42">
      <c r="F74" s="50"/>
      <c r="H74" s="45"/>
      <c r="I74" s="45"/>
      <c r="J74" s="326"/>
      <c r="K74" s="326"/>
      <c r="L74" s="50"/>
      <c r="M74" s="50"/>
      <c r="N74" s="50"/>
      <c r="O74" s="50"/>
      <c r="P74" s="50"/>
      <c r="Q74" s="50"/>
      <c r="R74" s="50"/>
      <c r="V74" s="42"/>
      <c r="Y74" s="45"/>
      <c r="AA74" s="45"/>
      <c r="AB74" s="45"/>
      <c r="AC74" s="325"/>
      <c r="AD74" s="325"/>
      <c r="AE74" s="45"/>
      <c r="AF74" s="45"/>
      <c r="AH74" s="46"/>
      <c r="AI74" s="45"/>
      <c r="AJ74" s="45"/>
      <c r="AL74" s="51"/>
      <c r="AM74" s="45"/>
      <c r="AN74" s="45"/>
      <c r="AO74" s="45"/>
      <c r="AP74" s="45"/>
    </row>
    <row r="75" spans="3:42">
      <c r="F75" s="50"/>
      <c r="H75" s="45"/>
      <c r="I75" s="45"/>
      <c r="J75" s="326"/>
      <c r="K75" s="326"/>
      <c r="L75" s="50"/>
      <c r="M75" s="50"/>
      <c r="N75" s="50"/>
      <c r="O75" s="50"/>
      <c r="P75" s="50"/>
      <c r="Q75" s="50"/>
      <c r="R75" s="50"/>
    </row>
    <row r="76" spans="3:42">
      <c r="C76" s="42"/>
      <c r="F76" s="164"/>
      <c r="H76" s="164"/>
      <c r="I76" s="164"/>
      <c r="J76" s="336"/>
      <c r="K76" s="336"/>
      <c r="L76" s="45"/>
      <c r="M76" s="45"/>
      <c r="N76" s="46"/>
      <c r="O76" s="46"/>
      <c r="P76" s="45"/>
      <c r="Q76" s="45"/>
      <c r="R76" s="45"/>
      <c r="S76" s="45"/>
      <c r="V76" s="42"/>
      <c r="Y76" s="45"/>
      <c r="AA76" s="45"/>
      <c r="AB76" s="45"/>
      <c r="AC76" s="326"/>
      <c r="AD76" s="326"/>
      <c r="AE76" s="45"/>
      <c r="AF76" s="45"/>
      <c r="AH76" s="46"/>
      <c r="AI76" s="45"/>
      <c r="AJ76" s="45"/>
      <c r="AL76" s="46"/>
      <c r="AM76" s="45"/>
      <c r="AN76" s="45"/>
      <c r="AO76" s="45"/>
      <c r="AP76" s="45"/>
    </row>
    <row r="77" spans="3:42">
      <c r="C77" s="42"/>
      <c r="F77" s="164"/>
      <c r="H77" s="164"/>
      <c r="I77" s="164"/>
      <c r="J77" s="316"/>
      <c r="K77" s="316"/>
      <c r="L77" s="45"/>
      <c r="M77" s="45"/>
      <c r="N77" s="46"/>
      <c r="O77" s="46"/>
      <c r="P77" s="45"/>
      <c r="Q77" s="45"/>
      <c r="R77" s="45"/>
      <c r="V77" s="42"/>
    </row>
    <row r="78" spans="3:42">
      <c r="F78" s="45"/>
      <c r="H78" s="50"/>
      <c r="I78" s="50"/>
      <c r="J78" s="326"/>
      <c r="K78" s="326"/>
      <c r="L78" s="50"/>
      <c r="M78" s="50"/>
      <c r="N78" s="50"/>
      <c r="O78" s="50"/>
      <c r="P78" s="50"/>
      <c r="Q78" s="50"/>
      <c r="R78" s="50"/>
      <c r="V78" s="42"/>
      <c r="Y78" s="45"/>
      <c r="AA78" s="45"/>
      <c r="AB78" s="45"/>
      <c r="AE78" s="45"/>
      <c r="AF78" s="45"/>
      <c r="AH78" s="46"/>
      <c r="AI78" s="45"/>
      <c r="AJ78" s="45"/>
      <c r="AL78" s="46"/>
      <c r="AM78" s="164"/>
      <c r="AN78" s="164"/>
      <c r="AO78" s="45"/>
      <c r="AP78" s="45"/>
    </row>
    <row r="79" spans="3:42">
      <c r="F79" s="45"/>
      <c r="H79" s="50"/>
      <c r="I79" s="50"/>
      <c r="J79" s="326"/>
      <c r="K79" s="326"/>
      <c r="L79" s="50"/>
      <c r="M79" s="50"/>
      <c r="N79" s="50"/>
      <c r="O79" s="50"/>
      <c r="P79" s="50"/>
      <c r="Q79" s="50"/>
      <c r="R79" s="50"/>
    </row>
    <row r="80" spans="3:42">
      <c r="C80" s="42"/>
      <c r="F80" s="45"/>
      <c r="H80" s="45"/>
      <c r="I80" s="45"/>
      <c r="J80" s="326"/>
      <c r="K80" s="326"/>
      <c r="L80" s="45"/>
      <c r="M80" s="45"/>
      <c r="N80" s="45"/>
      <c r="O80" s="45"/>
      <c r="P80" s="45"/>
      <c r="Q80" s="45"/>
      <c r="R80" s="45"/>
      <c r="V80" s="42"/>
      <c r="AE80" s="45"/>
      <c r="AF80" s="45"/>
      <c r="AH80" s="45"/>
      <c r="AM80" s="45"/>
      <c r="AN80" s="45"/>
      <c r="AO80" s="45"/>
      <c r="AP80" s="45"/>
    </row>
    <row r="81" spans="1:40">
      <c r="C81" s="42"/>
      <c r="F81" s="45"/>
      <c r="H81" s="164"/>
      <c r="I81" s="164"/>
      <c r="J81" s="132"/>
      <c r="K81" s="132"/>
      <c r="L81" s="45"/>
      <c r="M81" s="45"/>
      <c r="N81" s="46"/>
      <c r="O81" s="46"/>
      <c r="P81" s="45"/>
      <c r="Q81" s="45"/>
      <c r="R81" s="45"/>
      <c r="T81" s="42"/>
    </row>
    <row r="82" spans="1:40">
      <c r="C82" s="42"/>
      <c r="H82" s="164"/>
      <c r="I82" s="164"/>
      <c r="J82" s="132"/>
      <c r="K82" s="132"/>
      <c r="L82" s="45"/>
      <c r="M82" s="45"/>
      <c r="N82" s="46"/>
      <c r="O82" s="46"/>
      <c r="P82" s="45"/>
      <c r="Q82" s="45"/>
      <c r="R82" s="45"/>
      <c r="T82" s="42"/>
      <c r="V82" s="164"/>
      <c r="Y82" s="164"/>
      <c r="Z82" s="336"/>
      <c r="AA82" s="45"/>
      <c r="AB82" s="45"/>
      <c r="AC82" s="46"/>
      <c r="AD82" s="46"/>
      <c r="AE82" s="45"/>
      <c r="AF82" s="45"/>
      <c r="AH82" s="46"/>
      <c r="AI82" s="45"/>
      <c r="AJ82" s="45"/>
      <c r="AL82" s="45"/>
      <c r="AM82" s="46"/>
      <c r="AN82" s="46"/>
    </row>
    <row r="83" spans="1:40">
      <c r="F83" s="45"/>
      <c r="H83" s="45"/>
      <c r="I83" s="45"/>
      <c r="J83" s="326"/>
      <c r="K83" s="326"/>
      <c r="L83" s="50"/>
      <c r="M83" s="50"/>
      <c r="N83" s="50"/>
      <c r="O83" s="50"/>
      <c r="P83" s="50"/>
      <c r="Q83" s="50"/>
      <c r="R83" s="50"/>
      <c r="T83" s="42"/>
      <c r="V83" s="164"/>
      <c r="Y83" s="45"/>
      <c r="Z83" s="316"/>
      <c r="AA83" s="45"/>
      <c r="AB83" s="45"/>
      <c r="AC83" s="46"/>
      <c r="AD83" s="46"/>
      <c r="AE83" s="45"/>
      <c r="AF83" s="45"/>
      <c r="AH83" s="51"/>
      <c r="AI83" s="45"/>
      <c r="AJ83" s="45"/>
      <c r="AL83" s="45"/>
      <c r="AM83" s="46"/>
      <c r="AN83" s="46"/>
    </row>
    <row r="84" spans="1:40">
      <c r="C84" s="42"/>
      <c r="F84" s="45"/>
      <c r="H84" s="45"/>
      <c r="I84" s="45"/>
      <c r="J84" s="47"/>
      <c r="K84" s="47"/>
      <c r="L84" s="45"/>
      <c r="M84" s="45"/>
      <c r="N84" s="46"/>
      <c r="O84" s="46"/>
      <c r="P84" s="45"/>
      <c r="Q84" s="45"/>
      <c r="R84" s="45"/>
      <c r="T84" s="42"/>
      <c r="V84" s="164"/>
      <c r="Y84" s="45"/>
      <c r="Z84" s="316"/>
      <c r="AA84" s="45"/>
      <c r="AB84" s="45"/>
      <c r="AC84" s="46"/>
      <c r="AD84" s="46"/>
      <c r="AE84" s="45"/>
      <c r="AF84" s="45"/>
      <c r="AH84" s="51"/>
      <c r="AI84" s="45"/>
      <c r="AJ84" s="45"/>
      <c r="AL84" s="45"/>
      <c r="AM84" s="46"/>
      <c r="AN84" s="46"/>
    </row>
    <row r="85" spans="1:40">
      <c r="F85" s="45"/>
      <c r="H85" s="45"/>
      <c r="I85" s="45"/>
      <c r="J85" s="326"/>
      <c r="K85" s="326"/>
      <c r="L85" s="50"/>
      <c r="M85" s="50"/>
      <c r="N85" s="50"/>
      <c r="O85" s="50"/>
      <c r="P85" s="50"/>
      <c r="Q85" s="50"/>
      <c r="R85" s="50"/>
      <c r="V85" s="45"/>
      <c r="Y85" s="50"/>
      <c r="Z85" s="326"/>
      <c r="AA85" s="50"/>
      <c r="AB85" s="50"/>
      <c r="AC85" s="50"/>
      <c r="AD85" s="50"/>
      <c r="AE85" s="50"/>
      <c r="AF85" s="50"/>
      <c r="AI85" s="50"/>
      <c r="AJ85" s="50"/>
      <c r="AK85" s="111"/>
      <c r="AL85" s="50"/>
      <c r="AM85" s="46"/>
      <c r="AN85" s="46"/>
    </row>
    <row r="86" spans="1:40">
      <c r="C86" s="42"/>
      <c r="F86" s="45"/>
      <c r="H86" s="45"/>
      <c r="I86" s="45"/>
      <c r="J86" s="47"/>
      <c r="K86" s="47"/>
      <c r="L86" s="45"/>
      <c r="M86" s="45"/>
      <c r="N86" s="46"/>
      <c r="O86" s="46"/>
      <c r="P86" s="45"/>
      <c r="Q86" s="45"/>
      <c r="R86" s="45"/>
      <c r="T86" s="42"/>
      <c r="V86" s="45"/>
      <c r="Y86" s="45"/>
      <c r="Z86" s="326"/>
      <c r="AA86" s="45"/>
      <c r="AB86" s="45"/>
      <c r="AC86" s="46"/>
      <c r="AD86" s="46"/>
      <c r="AE86" s="45"/>
      <c r="AF86" s="45"/>
      <c r="AH86" s="51"/>
      <c r="AI86" s="45"/>
      <c r="AJ86" s="45"/>
      <c r="AL86" s="45"/>
      <c r="AM86" s="46"/>
      <c r="AN86" s="46"/>
    </row>
    <row r="87" spans="1:40">
      <c r="C87" s="42"/>
      <c r="F87" s="164"/>
      <c r="H87" s="164"/>
      <c r="I87" s="164"/>
      <c r="J87" s="331"/>
      <c r="K87" s="331"/>
      <c r="L87" s="45"/>
      <c r="M87" s="45"/>
      <c r="N87" s="46"/>
      <c r="O87" s="46"/>
      <c r="P87" s="45"/>
      <c r="Q87" s="45"/>
      <c r="R87" s="45"/>
      <c r="V87" s="45"/>
      <c r="Y87" s="50"/>
      <c r="Z87" s="326"/>
      <c r="AA87" s="50"/>
      <c r="AB87" s="50"/>
      <c r="AC87" s="50"/>
      <c r="AD87" s="50"/>
      <c r="AE87" s="50"/>
      <c r="AF87" s="50"/>
      <c r="AI87" s="50"/>
      <c r="AJ87" s="50"/>
      <c r="AK87" s="111"/>
      <c r="AL87" s="50"/>
      <c r="AM87" s="46"/>
      <c r="AN87" s="46"/>
    </row>
    <row r="88" spans="1:40">
      <c r="F88" s="50"/>
      <c r="H88" s="50"/>
      <c r="I88" s="50"/>
      <c r="J88" s="326"/>
      <c r="K88" s="326"/>
      <c r="L88" s="50"/>
      <c r="M88" s="50"/>
      <c r="N88" s="50"/>
      <c r="O88" s="50"/>
      <c r="P88" s="50"/>
      <c r="Q88" s="50"/>
      <c r="R88" s="50"/>
      <c r="T88" s="42"/>
      <c r="V88" s="45"/>
      <c r="Y88" s="45"/>
      <c r="Z88" s="326"/>
      <c r="AA88" s="45"/>
      <c r="AB88" s="45"/>
      <c r="AC88" s="45"/>
      <c r="AD88" s="45"/>
      <c r="AE88" s="45"/>
      <c r="AF88" s="45"/>
      <c r="AH88" s="51"/>
      <c r="AI88" s="45"/>
      <c r="AJ88" s="45"/>
      <c r="AL88" s="45"/>
      <c r="AM88" s="46"/>
      <c r="AN88" s="46"/>
    </row>
    <row r="89" spans="1:40">
      <c r="C89" s="42"/>
      <c r="F89" s="45"/>
      <c r="H89" s="45"/>
      <c r="I89" s="45"/>
      <c r="J89" s="326"/>
      <c r="K89" s="326"/>
      <c r="L89" s="45"/>
      <c r="M89" s="45"/>
      <c r="N89" s="46"/>
      <c r="O89" s="46"/>
      <c r="P89" s="45"/>
      <c r="Q89" s="45"/>
      <c r="R89" s="45"/>
      <c r="S89" s="45"/>
      <c r="T89" s="42"/>
      <c r="V89" s="45"/>
      <c r="Y89" s="45"/>
      <c r="Z89" s="132"/>
      <c r="AA89" s="45"/>
      <c r="AB89" s="45"/>
      <c r="AC89" s="46"/>
      <c r="AD89" s="46"/>
      <c r="AE89" s="45"/>
      <c r="AF89" s="45"/>
      <c r="AH89" s="51"/>
      <c r="AI89" s="45"/>
      <c r="AJ89" s="45"/>
      <c r="AL89" s="45"/>
      <c r="AM89" s="46"/>
      <c r="AN89" s="46"/>
    </row>
    <row r="90" spans="1:40">
      <c r="F90" s="50"/>
      <c r="H90" s="50"/>
      <c r="I90" s="50"/>
      <c r="J90" s="326"/>
      <c r="K90" s="326"/>
      <c r="L90" s="50"/>
      <c r="M90" s="50"/>
      <c r="N90" s="50"/>
      <c r="O90" s="50"/>
      <c r="P90" s="50"/>
      <c r="Q90" s="50"/>
      <c r="R90" s="50"/>
      <c r="S90" s="45"/>
      <c r="T90" s="42"/>
      <c r="Y90" s="45"/>
      <c r="Z90" s="132"/>
      <c r="AA90" s="45"/>
      <c r="AB90" s="45"/>
      <c r="AC90" s="46"/>
      <c r="AD90" s="46"/>
      <c r="AE90" s="45"/>
      <c r="AF90" s="45"/>
      <c r="AH90" s="51"/>
      <c r="AI90" s="45"/>
      <c r="AJ90" s="45"/>
      <c r="AL90" s="45"/>
      <c r="AM90" s="46"/>
      <c r="AN90" s="46"/>
    </row>
    <row r="91" spans="1:40">
      <c r="C91" s="42"/>
      <c r="V91" s="45"/>
      <c r="Y91" s="45"/>
      <c r="Z91" s="326"/>
      <c r="AA91" s="50"/>
      <c r="AB91" s="50"/>
      <c r="AC91" s="50"/>
      <c r="AD91" s="50"/>
      <c r="AE91" s="50"/>
      <c r="AF91" s="50"/>
      <c r="AI91" s="50"/>
      <c r="AJ91" s="50"/>
      <c r="AK91" s="111"/>
      <c r="AL91" s="50"/>
      <c r="AM91" s="46"/>
      <c r="AN91" s="46"/>
    </row>
    <row r="92" spans="1:40">
      <c r="C92" s="42"/>
      <c r="F92" s="45"/>
      <c r="H92" s="45"/>
      <c r="I92" s="45"/>
      <c r="L92" s="45"/>
      <c r="M92" s="45"/>
      <c r="N92" s="46"/>
      <c r="O92" s="46"/>
      <c r="P92" s="164"/>
      <c r="Q92" s="164"/>
      <c r="R92" s="45"/>
      <c r="T92" s="42"/>
      <c r="V92" s="45"/>
      <c r="Y92" s="45"/>
      <c r="Z92" s="47"/>
      <c r="AA92" s="45"/>
      <c r="AB92" s="45"/>
      <c r="AC92" s="46"/>
      <c r="AD92" s="46"/>
      <c r="AE92" s="45"/>
      <c r="AF92" s="45"/>
      <c r="AH92" s="51"/>
      <c r="AI92" s="45"/>
      <c r="AJ92" s="45"/>
      <c r="AL92" s="45"/>
      <c r="AM92" s="46"/>
      <c r="AN92" s="46"/>
    </row>
    <row r="93" spans="1:40">
      <c r="F93" s="50"/>
      <c r="H93" s="50"/>
      <c r="I93" s="50"/>
      <c r="J93" s="326"/>
      <c r="K93" s="326"/>
      <c r="L93" s="50"/>
      <c r="M93" s="50"/>
      <c r="N93" s="50"/>
      <c r="O93" s="50"/>
      <c r="P93" s="50"/>
      <c r="Q93" s="50"/>
      <c r="R93" s="50"/>
      <c r="V93" s="45"/>
      <c r="Y93" s="45"/>
      <c r="Z93" s="326"/>
      <c r="AA93" s="50"/>
      <c r="AB93" s="50"/>
      <c r="AC93" s="50"/>
      <c r="AD93" s="50"/>
      <c r="AE93" s="50"/>
      <c r="AF93" s="50"/>
      <c r="AI93" s="50"/>
      <c r="AJ93" s="50"/>
      <c r="AK93" s="111"/>
      <c r="AL93" s="50"/>
      <c r="AM93" s="46"/>
      <c r="AN93" s="46"/>
    </row>
    <row r="94" spans="1:40">
      <c r="T94" s="42"/>
      <c r="V94" s="45"/>
      <c r="Y94" s="45"/>
      <c r="Z94" s="47"/>
      <c r="AA94" s="45"/>
      <c r="AB94" s="45"/>
      <c r="AC94" s="46"/>
      <c r="AD94" s="46"/>
      <c r="AE94" s="45"/>
      <c r="AF94" s="45"/>
      <c r="AH94" s="51"/>
      <c r="AI94" s="45"/>
      <c r="AJ94" s="45"/>
      <c r="AL94" s="45"/>
      <c r="AM94" s="46"/>
      <c r="AN94" s="46"/>
    </row>
    <row r="95" spans="1:40">
      <c r="C95" s="42"/>
      <c r="L95" s="45"/>
      <c r="M95" s="45"/>
      <c r="N95" s="45"/>
      <c r="O95" s="45"/>
      <c r="P95" s="45"/>
      <c r="Q95" s="45"/>
      <c r="R95" s="45"/>
      <c r="S95" s="45"/>
      <c r="T95" s="42"/>
      <c r="V95" s="164"/>
      <c r="Y95" s="45"/>
      <c r="Z95" s="331"/>
      <c r="AA95" s="45"/>
      <c r="AB95" s="45"/>
      <c r="AC95" s="46"/>
      <c r="AD95" s="46"/>
      <c r="AE95" s="45"/>
      <c r="AF95" s="45"/>
      <c r="AH95" s="51"/>
      <c r="AI95" s="45"/>
      <c r="AJ95" s="45"/>
      <c r="AL95" s="45"/>
      <c r="AM95" s="46"/>
      <c r="AN95" s="46"/>
    </row>
    <row r="96" spans="1:40">
      <c r="A96" s="42"/>
      <c r="V96" s="50"/>
      <c r="Y96" s="50"/>
      <c r="Z96" s="326"/>
      <c r="AA96" s="50"/>
      <c r="AB96" s="50"/>
      <c r="AC96" s="50"/>
      <c r="AD96" s="50"/>
      <c r="AE96" s="50"/>
      <c r="AF96" s="50"/>
      <c r="AI96" s="50"/>
      <c r="AJ96" s="50"/>
      <c r="AK96" s="111"/>
      <c r="AL96" s="50"/>
      <c r="AM96" s="46"/>
      <c r="AN96" s="46"/>
    </row>
    <row r="97" spans="1:40">
      <c r="T97" s="42"/>
      <c r="V97" s="45"/>
      <c r="Y97" s="45"/>
      <c r="Z97" s="326"/>
      <c r="AA97" s="45"/>
      <c r="AB97" s="45"/>
      <c r="AC97" s="46"/>
      <c r="AD97" s="46"/>
      <c r="AE97" s="45"/>
      <c r="AF97" s="45"/>
      <c r="AH97" s="46"/>
      <c r="AI97" s="45"/>
      <c r="AJ97" s="45"/>
      <c r="AL97" s="45"/>
      <c r="AM97" s="46"/>
      <c r="AN97" s="46"/>
    </row>
    <row r="98" spans="1:40">
      <c r="H98" s="42"/>
      <c r="I98" s="42"/>
      <c r="V98" s="50"/>
      <c r="Y98" s="50"/>
      <c r="Z98" s="326"/>
      <c r="AA98" s="50"/>
      <c r="AB98" s="50"/>
      <c r="AC98" s="50"/>
      <c r="AD98" s="50"/>
      <c r="AE98" s="50"/>
      <c r="AF98" s="50"/>
      <c r="AI98" s="50"/>
      <c r="AJ98" s="50"/>
      <c r="AK98" s="111"/>
      <c r="AL98" s="50"/>
      <c r="AM98" s="46"/>
      <c r="AN98" s="46"/>
    </row>
    <row r="99" spans="1:40">
      <c r="T99" s="42"/>
    </row>
    <row r="100" spans="1:40">
      <c r="L100" s="42"/>
      <c r="M100" s="42"/>
      <c r="AA100" s="42"/>
      <c r="AB100" s="42"/>
    </row>
    <row r="101" spans="1:40">
      <c r="R101" s="42"/>
      <c r="AK101" s="110"/>
      <c r="AL101" s="42"/>
    </row>
    <row r="102" spans="1:40">
      <c r="R102" s="42"/>
      <c r="AK102" s="110"/>
      <c r="AL102" s="42"/>
    </row>
    <row r="103" spans="1:40">
      <c r="A103" s="42"/>
      <c r="R103" s="42"/>
      <c r="AK103" s="110"/>
      <c r="AL103" s="42"/>
    </row>
    <row r="104" spans="1:40">
      <c r="L104" s="42"/>
      <c r="M104" s="42"/>
      <c r="AA104" s="42"/>
      <c r="AB104" s="42"/>
    </row>
    <row r="105" spans="1:40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107"/>
      <c r="AH105" s="49"/>
      <c r="AI105" s="49"/>
      <c r="AJ105" s="49"/>
      <c r="AK105" s="107"/>
      <c r="AL105" s="49"/>
      <c r="AM105" s="49"/>
      <c r="AN105" s="49"/>
    </row>
    <row r="106" spans="1:40">
      <c r="L106" s="44"/>
      <c r="M106" s="44"/>
      <c r="N106" s="44"/>
      <c r="O106" s="44"/>
      <c r="R106" s="44"/>
      <c r="AA106" s="44"/>
      <c r="AB106" s="44"/>
      <c r="AC106" s="44"/>
      <c r="AD106" s="44"/>
      <c r="AE106" s="44"/>
      <c r="AF106" s="44"/>
      <c r="AG106" s="102"/>
      <c r="AH106" s="44"/>
      <c r="AK106" s="102"/>
      <c r="AL106" s="44"/>
      <c r="AM106" s="44"/>
      <c r="AN106" s="44"/>
    </row>
    <row r="107" spans="1:40">
      <c r="L107" s="44"/>
      <c r="M107" s="44"/>
      <c r="N107" s="44"/>
      <c r="O107" s="44"/>
      <c r="R107" s="44"/>
      <c r="Z107" s="44"/>
      <c r="AA107" s="44"/>
      <c r="AB107" s="44"/>
      <c r="AC107" s="44"/>
      <c r="AD107" s="44"/>
      <c r="AE107" s="44"/>
      <c r="AF107" s="44"/>
      <c r="AG107" s="102"/>
      <c r="AH107" s="44"/>
      <c r="AK107" s="102"/>
      <c r="AL107" s="44"/>
      <c r="AM107" s="44"/>
      <c r="AN107" s="44"/>
    </row>
    <row r="108" spans="1:40">
      <c r="A108" s="44"/>
      <c r="C108" s="44"/>
      <c r="D108" s="44"/>
      <c r="E108" s="44"/>
      <c r="F108" s="44"/>
      <c r="J108" s="44"/>
      <c r="K108" s="44"/>
      <c r="L108" s="44"/>
      <c r="M108" s="44"/>
      <c r="N108" s="44"/>
      <c r="O108" s="44"/>
      <c r="P108" s="44"/>
      <c r="Q108" s="44"/>
      <c r="R108" s="44"/>
      <c r="T108" s="44"/>
      <c r="U108" s="44"/>
      <c r="V108" s="44"/>
      <c r="Z108" s="44"/>
      <c r="AA108" s="44"/>
      <c r="AB108" s="44"/>
      <c r="AC108" s="44"/>
      <c r="AD108" s="44"/>
      <c r="AE108" s="44"/>
      <c r="AF108" s="44"/>
      <c r="AG108" s="102"/>
      <c r="AH108" s="44"/>
      <c r="AI108" s="44"/>
      <c r="AJ108" s="44"/>
      <c r="AK108" s="102"/>
      <c r="AL108" s="44"/>
      <c r="AM108" s="44"/>
      <c r="AN108" s="44"/>
    </row>
    <row r="109" spans="1:40">
      <c r="A109" s="44"/>
      <c r="C109" s="44"/>
      <c r="D109" s="44"/>
      <c r="E109" s="44"/>
      <c r="F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T109" s="44"/>
      <c r="U109" s="44"/>
      <c r="V109" s="44"/>
      <c r="Y109" s="44"/>
      <c r="Z109" s="44"/>
      <c r="AA109" s="44"/>
      <c r="AB109" s="44"/>
      <c r="AC109" s="44"/>
      <c r="AD109" s="44"/>
      <c r="AE109" s="44"/>
      <c r="AF109" s="44"/>
      <c r="AG109" s="102"/>
      <c r="AH109" s="44"/>
      <c r="AI109" s="44"/>
      <c r="AJ109" s="44"/>
      <c r="AK109" s="102"/>
      <c r="AL109" s="44"/>
      <c r="AM109" s="44"/>
      <c r="AN109" s="44"/>
    </row>
    <row r="110" spans="1:40">
      <c r="C110" s="44"/>
      <c r="D110" s="44"/>
      <c r="E110" s="44"/>
      <c r="F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T110" s="44"/>
      <c r="U110" s="44"/>
      <c r="V110" s="44"/>
      <c r="Y110" s="44"/>
      <c r="Z110" s="44"/>
      <c r="AA110" s="44"/>
      <c r="AB110" s="44"/>
      <c r="AC110" s="44"/>
      <c r="AD110" s="44"/>
      <c r="AE110" s="44"/>
      <c r="AF110" s="44"/>
      <c r="AG110" s="102"/>
      <c r="AH110" s="44"/>
      <c r="AI110" s="44"/>
      <c r="AJ110" s="44"/>
      <c r="AK110" s="102"/>
      <c r="AL110" s="44"/>
      <c r="AM110" s="44"/>
      <c r="AN110" s="44"/>
    </row>
    <row r="111" spans="1:40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107"/>
      <c r="AH111" s="49"/>
      <c r="AI111" s="49"/>
      <c r="AJ111" s="49"/>
      <c r="AK111" s="107"/>
      <c r="AL111" s="49"/>
      <c r="AM111" s="49"/>
      <c r="AN111" s="49"/>
    </row>
    <row r="112" spans="1:40"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Y112" s="44"/>
      <c r="Z112" s="44"/>
      <c r="AA112" s="44"/>
      <c r="AB112" s="44"/>
      <c r="AC112" s="44"/>
      <c r="AD112" s="44"/>
      <c r="AE112" s="44"/>
      <c r="AF112" s="44"/>
      <c r="AG112" s="102"/>
      <c r="AH112" s="44"/>
      <c r="AI112" s="44"/>
      <c r="AJ112" s="44"/>
      <c r="AK112" s="102"/>
      <c r="AL112" s="44"/>
      <c r="AM112" s="44"/>
      <c r="AN112" s="44"/>
    </row>
    <row r="113" spans="3:40">
      <c r="C113" s="42"/>
      <c r="D113" s="42"/>
      <c r="E113" s="42"/>
      <c r="T113" s="42"/>
      <c r="U113" s="42"/>
    </row>
    <row r="114" spans="3:40">
      <c r="D114" s="42"/>
      <c r="E114" s="42"/>
      <c r="U114" s="42"/>
    </row>
    <row r="116" spans="3:40">
      <c r="C116" s="42"/>
      <c r="F116" s="164"/>
      <c r="H116" s="164"/>
      <c r="I116" s="164"/>
      <c r="J116" s="316"/>
      <c r="K116" s="316"/>
      <c r="L116" s="45"/>
      <c r="M116" s="45"/>
      <c r="N116" s="46"/>
      <c r="O116" s="46"/>
      <c r="R116" s="45"/>
      <c r="T116" s="42"/>
      <c r="V116" s="45"/>
      <c r="Y116" s="164"/>
      <c r="Z116" s="316"/>
      <c r="AA116" s="45"/>
      <c r="AB116" s="45"/>
      <c r="AC116" s="46"/>
      <c r="AD116" s="46"/>
      <c r="AE116" s="45"/>
      <c r="AF116" s="45"/>
      <c r="AG116" s="333"/>
      <c r="AH116" s="334"/>
      <c r="AL116" s="45"/>
      <c r="AM116" s="335"/>
      <c r="AN116" s="335"/>
    </row>
    <row r="117" spans="3:40">
      <c r="C117" s="42"/>
      <c r="F117" s="164"/>
      <c r="H117" s="164"/>
      <c r="I117" s="164"/>
      <c r="J117" s="316"/>
      <c r="K117" s="316"/>
      <c r="L117" s="45"/>
      <c r="M117" s="45"/>
      <c r="N117" s="46"/>
      <c r="O117" s="46"/>
      <c r="R117" s="45"/>
      <c r="T117" s="42"/>
      <c r="V117" s="45"/>
      <c r="Y117" s="164"/>
      <c r="Z117" s="316"/>
      <c r="AA117" s="45"/>
      <c r="AB117" s="45"/>
      <c r="AC117" s="46"/>
      <c r="AD117" s="46"/>
      <c r="AE117" s="45"/>
      <c r="AF117" s="45"/>
      <c r="AH117" s="51"/>
      <c r="AL117" s="45"/>
      <c r="AM117" s="46"/>
      <c r="AN117" s="46"/>
    </row>
    <row r="118" spans="3:40">
      <c r="F118" s="50"/>
      <c r="H118" s="45"/>
      <c r="I118" s="45"/>
      <c r="J118" s="326"/>
      <c r="K118" s="326"/>
      <c r="L118" s="50"/>
      <c r="M118" s="50"/>
      <c r="N118" s="50"/>
      <c r="O118" s="50"/>
      <c r="P118" s="50"/>
      <c r="Q118" s="50"/>
      <c r="R118" s="50"/>
      <c r="V118" s="50"/>
      <c r="Y118" s="45"/>
      <c r="Z118" s="326"/>
      <c r="AA118" s="50"/>
      <c r="AB118" s="50"/>
      <c r="AC118" s="50"/>
      <c r="AD118" s="50"/>
      <c r="AE118" s="50"/>
      <c r="AF118" s="50"/>
      <c r="AI118" s="50"/>
      <c r="AJ118" s="50"/>
      <c r="AK118" s="111"/>
      <c r="AL118" s="50"/>
      <c r="AM118" s="46"/>
      <c r="AN118" s="46"/>
    </row>
    <row r="119" spans="3:40">
      <c r="C119" s="42"/>
      <c r="F119" s="45"/>
      <c r="H119" s="45"/>
      <c r="I119" s="45"/>
      <c r="J119" s="326"/>
      <c r="K119" s="326"/>
      <c r="L119" s="45"/>
      <c r="M119" s="45"/>
      <c r="N119" s="46"/>
      <c r="O119" s="46"/>
      <c r="P119" s="45"/>
      <c r="Q119" s="45"/>
      <c r="R119" s="45"/>
      <c r="T119" s="42"/>
      <c r="V119" s="45"/>
      <c r="Y119" s="45"/>
      <c r="Z119" s="47"/>
      <c r="AA119" s="45"/>
      <c r="AB119" s="45"/>
      <c r="AC119" s="46"/>
      <c r="AD119" s="46"/>
      <c r="AE119" s="45"/>
      <c r="AF119" s="45"/>
      <c r="AH119" s="51"/>
      <c r="AI119" s="45"/>
      <c r="AJ119" s="45"/>
      <c r="AL119" s="45"/>
      <c r="AM119" s="46"/>
      <c r="AN119" s="46"/>
    </row>
    <row r="120" spans="3:40">
      <c r="F120" s="50"/>
      <c r="H120" s="45"/>
      <c r="I120" s="45"/>
      <c r="J120" s="326"/>
      <c r="K120" s="326"/>
      <c r="L120" s="50"/>
      <c r="M120" s="50"/>
      <c r="N120" s="50"/>
      <c r="O120" s="50"/>
      <c r="P120" s="50"/>
      <c r="Q120" s="50"/>
      <c r="R120" s="50"/>
      <c r="V120" s="50"/>
      <c r="Y120" s="45"/>
      <c r="Z120" s="326"/>
      <c r="AA120" s="50"/>
      <c r="AB120" s="50"/>
      <c r="AC120" s="50"/>
      <c r="AD120" s="50"/>
      <c r="AE120" s="50"/>
      <c r="AF120" s="50"/>
      <c r="AI120" s="50"/>
      <c r="AJ120" s="50"/>
      <c r="AK120" s="111"/>
      <c r="AL120" s="50"/>
      <c r="AM120" s="46"/>
      <c r="AN120" s="46"/>
    </row>
    <row r="121" spans="3:40">
      <c r="F121" s="45"/>
      <c r="H121" s="45"/>
      <c r="I121" s="45"/>
      <c r="J121" s="326"/>
      <c r="K121" s="326"/>
      <c r="L121" s="45"/>
      <c r="M121" s="45"/>
      <c r="N121" s="46"/>
      <c r="O121" s="46"/>
      <c r="P121" s="45"/>
      <c r="Q121" s="45"/>
      <c r="R121" s="45"/>
      <c r="V121" s="45"/>
      <c r="Y121" s="45"/>
      <c r="Z121" s="47"/>
      <c r="AA121" s="45"/>
      <c r="AB121" s="45"/>
      <c r="AC121" s="46"/>
      <c r="AD121" s="46"/>
      <c r="AE121" s="45"/>
      <c r="AF121" s="45"/>
      <c r="AH121" s="51"/>
      <c r="AI121" s="45"/>
      <c r="AJ121" s="45"/>
      <c r="AL121" s="45"/>
      <c r="AM121" s="46"/>
      <c r="AN121" s="46"/>
    </row>
    <row r="122" spans="3:40">
      <c r="C122" s="42"/>
      <c r="F122" s="164"/>
      <c r="H122" s="164"/>
      <c r="I122" s="164"/>
      <c r="J122" s="316"/>
      <c r="K122" s="316"/>
      <c r="L122" s="45"/>
      <c r="M122" s="45"/>
      <c r="N122" s="46"/>
      <c r="O122" s="46"/>
      <c r="P122" s="45"/>
      <c r="Q122" s="45"/>
      <c r="R122" s="45"/>
      <c r="T122" s="42"/>
      <c r="V122" s="164"/>
      <c r="Y122" s="45"/>
      <c r="Z122" s="316"/>
      <c r="AA122" s="45"/>
      <c r="AB122" s="45"/>
      <c r="AC122" s="46"/>
      <c r="AD122" s="46"/>
      <c r="AE122" s="45"/>
      <c r="AF122" s="45"/>
      <c r="AG122" s="333"/>
      <c r="AH122" s="334"/>
      <c r="AI122" s="45"/>
      <c r="AJ122" s="45"/>
      <c r="AL122" s="45"/>
      <c r="AM122" s="335"/>
      <c r="AN122" s="335"/>
    </row>
    <row r="123" spans="3:40">
      <c r="C123" s="42"/>
      <c r="F123" s="164"/>
      <c r="H123" s="164"/>
      <c r="I123" s="164"/>
      <c r="J123" s="316"/>
      <c r="K123" s="316"/>
      <c r="L123" s="45"/>
      <c r="M123" s="45"/>
      <c r="N123" s="46"/>
      <c r="O123" s="46"/>
      <c r="P123" s="45"/>
      <c r="Q123" s="45"/>
      <c r="R123" s="45"/>
      <c r="T123" s="42"/>
      <c r="V123" s="164"/>
      <c r="Y123" s="45"/>
      <c r="Z123" s="316"/>
      <c r="AA123" s="45"/>
      <c r="AB123" s="45"/>
      <c r="AC123" s="46"/>
      <c r="AD123" s="46"/>
      <c r="AE123" s="45"/>
      <c r="AF123" s="45"/>
      <c r="AH123" s="51"/>
      <c r="AI123" s="45"/>
      <c r="AJ123" s="45"/>
      <c r="AL123" s="45"/>
      <c r="AM123" s="46"/>
      <c r="AN123" s="46"/>
    </row>
    <row r="124" spans="3:40">
      <c r="F124" s="45"/>
      <c r="H124" s="50"/>
      <c r="I124" s="50"/>
      <c r="J124" s="326"/>
      <c r="K124" s="326"/>
      <c r="L124" s="50"/>
      <c r="M124" s="50"/>
      <c r="N124" s="50"/>
      <c r="O124" s="50"/>
      <c r="P124" s="50"/>
      <c r="Q124" s="50"/>
      <c r="R124" s="50"/>
      <c r="V124" s="45"/>
      <c r="Y124" s="50"/>
      <c r="Z124" s="326"/>
      <c r="AA124" s="50"/>
      <c r="AB124" s="50"/>
      <c r="AC124" s="50"/>
      <c r="AD124" s="50"/>
      <c r="AE124" s="50"/>
      <c r="AF124" s="50"/>
      <c r="AI124" s="50"/>
      <c r="AJ124" s="50"/>
      <c r="AK124" s="111"/>
      <c r="AL124" s="50"/>
      <c r="AM124" s="46"/>
      <c r="AN124" s="46"/>
    </row>
    <row r="125" spans="3:40">
      <c r="C125" s="42"/>
      <c r="F125" s="45"/>
      <c r="H125" s="45"/>
      <c r="I125" s="45"/>
      <c r="J125" s="326"/>
      <c r="K125" s="326"/>
      <c r="L125" s="45"/>
      <c r="M125" s="45"/>
      <c r="N125" s="46"/>
      <c r="O125" s="46"/>
      <c r="P125" s="45"/>
      <c r="Q125" s="45"/>
      <c r="R125" s="45"/>
      <c r="T125" s="42"/>
      <c r="V125" s="45"/>
      <c r="Y125" s="45"/>
      <c r="Z125" s="326"/>
      <c r="AA125" s="45"/>
      <c r="AB125" s="45"/>
      <c r="AC125" s="46"/>
      <c r="AD125" s="46"/>
      <c r="AE125" s="45"/>
      <c r="AF125" s="45"/>
      <c r="AH125" s="51"/>
      <c r="AI125" s="45"/>
      <c r="AJ125" s="45"/>
      <c r="AL125" s="45"/>
      <c r="AM125" s="46"/>
      <c r="AN125" s="46"/>
    </row>
    <row r="126" spans="3:40">
      <c r="F126" s="45"/>
      <c r="H126" s="50"/>
      <c r="I126" s="50"/>
      <c r="J126" s="326"/>
      <c r="K126" s="326"/>
      <c r="L126" s="50"/>
      <c r="M126" s="50"/>
      <c r="N126" s="50"/>
      <c r="O126" s="50"/>
      <c r="P126" s="50"/>
      <c r="Q126" s="50"/>
      <c r="R126" s="50"/>
      <c r="V126" s="45"/>
      <c r="Y126" s="50"/>
      <c r="Z126" s="326"/>
      <c r="AA126" s="50"/>
      <c r="AB126" s="50"/>
      <c r="AC126" s="50"/>
      <c r="AD126" s="50"/>
      <c r="AE126" s="50"/>
      <c r="AF126" s="50"/>
      <c r="AI126" s="50"/>
      <c r="AJ126" s="50"/>
      <c r="AK126" s="111"/>
      <c r="AL126" s="50"/>
      <c r="AM126" s="46"/>
      <c r="AN126" s="46"/>
    </row>
    <row r="127" spans="3:40">
      <c r="F127" s="45"/>
      <c r="H127" s="45"/>
      <c r="I127" s="45"/>
      <c r="J127" s="326"/>
      <c r="K127" s="326"/>
      <c r="L127" s="45"/>
      <c r="M127" s="45"/>
      <c r="N127" s="45"/>
      <c r="O127" s="45"/>
      <c r="P127" s="45"/>
      <c r="Q127" s="45"/>
      <c r="R127" s="45"/>
      <c r="V127" s="45"/>
      <c r="Y127" s="45"/>
      <c r="Z127" s="326"/>
      <c r="AA127" s="45"/>
      <c r="AB127" s="45"/>
      <c r="AC127" s="45"/>
      <c r="AD127" s="45"/>
      <c r="AE127" s="45"/>
      <c r="AF127" s="45"/>
      <c r="AH127" s="51"/>
      <c r="AI127" s="45"/>
      <c r="AJ127" s="45"/>
      <c r="AL127" s="45"/>
      <c r="AM127" s="46"/>
      <c r="AN127" s="46"/>
    </row>
    <row r="128" spans="3:40">
      <c r="C128" s="42"/>
      <c r="F128" s="164"/>
      <c r="H128" s="164"/>
      <c r="I128" s="164"/>
      <c r="J128" s="331"/>
      <c r="K128" s="331"/>
      <c r="L128" s="45"/>
      <c r="M128" s="45"/>
      <c r="N128" s="46"/>
      <c r="O128" s="46"/>
      <c r="P128" s="164"/>
      <c r="Q128" s="164"/>
      <c r="R128" s="45"/>
      <c r="T128" s="42"/>
      <c r="V128" s="164"/>
      <c r="Y128" s="164"/>
      <c r="Z128" s="336"/>
      <c r="AA128" s="45"/>
      <c r="AB128" s="45"/>
      <c r="AC128" s="46"/>
      <c r="AD128" s="46"/>
      <c r="AE128" s="45"/>
      <c r="AF128" s="45"/>
      <c r="AH128" s="51"/>
      <c r="AI128" s="164"/>
      <c r="AJ128" s="164"/>
      <c r="AL128" s="45"/>
      <c r="AM128" s="46"/>
      <c r="AN128" s="46"/>
    </row>
    <row r="129" spans="1:40">
      <c r="C129" s="42"/>
      <c r="F129" s="164"/>
      <c r="H129" s="164"/>
      <c r="I129" s="164"/>
      <c r="J129" s="331"/>
      <c r="K129" s="331"/>
      <c r="L129" s="45"/>
      <c r="M129" s="45"/>
      <c r="N129" s="46"/>
      <c r="O129" s="46"/>
      <c r="P129" s="164"/>
      <c r="Q129" s="164"/>
      <c r="R129" s="45"/>
      <c r="T129" s="42"/>
      <c r="V129" s="164"/>
      <c r="Y129" s="45"/>
      <c r="Z129" s="325"/>
      <c r="AA129" s="45"/>
      <c r="AB129" s="45"/>
      <c r="AC129" s="46"/>
      <c r="AD129" s="46"/>
      <c r="AE129" s="45"/>
      <c r="AF129" s="45"/>
      <c r="AH129" s="51"/>
      <c r="AI129" s="164"/>
      <c r="AJ129" s="164"/>
      <c r="AL129" s="45"/>
      <c r="AM129" s="46"/>
      <c r="AN129" s="46"/>
    </row>
    <row r="130" spans="1:40">
      <c r="C130" s="42"/>
      <c r="F130" s="164"/>
      <c r="H130" s="164"/>
      <c r="I130" s="164"/>
      <c r="J130" s="331"/>
      <c r="K130" s="331"/>
      <c r="L130" s="45"/>
      <c r="M130" s="45"/>
      <c r="N130" s="46"/>
      <c r="O130" s="46"/>
      <c r="P130" s="164"/>
      <c r="Q130" s="164"/>
      <c r="R130" s="45"/>
      <c r="T130" s="42"/>
      <c r="V130" s="164"/>
      <c r="Y130" s="45"/>
      <c r="Z130" s="325"/>
      <c r="AA130" s="45"/>
      <c r="AB130" s="45"/>
      <c r="AC130" s="46"/>
      <c r="AD130" s="46"/>
      <c r="AE130" s="45"/>
      <c r="AF130" s="45"/>
      <c r="AH130" s="51"/>
      <c r="AI130" s="164"/>
      <c r="AJ130" s="164"/>
      <c r="AL130" s="45"/>
      <c r="AM130" s="46"/>
      <c r="AN130" s="46"/>
    </row>
    <row r="131" spans="1:40">
      <c r="F131" s="50"/>
      <c r="H131" s="50"/>
      <c r="I131" s="50"/>
      <c r="J131" s="326"/>
      <c r="K131" s="326"/>
      <c r="L131" s="50"/>
      <c r="M131" s="50"/>
      <c r="N131" s="50"/>
      <c r="O131" s="50"/>
      <c r="P131" s="50"/>
      <c r="Q131" s="50"/>
      <c r="R131" s="50"/>
      <c r="V131" s="50"/>
      <c r="Y131" s="50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1:40">
      <c r="C132" s="42"/>
      <c r="F132" s="45"/>
      <c r="H132" s="45"/>
      <c r="I132" s="45"/>
      <c r="J132" s="47"/>
      <c r="K132" s="47"/>
      <c r="L132" s="45"/>
      <c r="M132" s="45"/>
      <c r="N132" s="46"/>
      <c r="O132" s="46"/>
      <c r="P132" s="45"/>
      <c r="Q132" s="45"/>
      <c r="R132" s="45"/>
      <c r="T132" s="42"/>
      <c r="V132" s="45"/>
      <c r="Y132" s="45"/>
      <c r="Z132" s="47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1:40">
      <c r="F133" s="50"/>
      <c r="H133" s="50"/>
      <c r="I133" s="50"/>
      <c r="J133" s="326"/>
      <c r="K133" s="326"/>
      <c r="L133" s="50"/>
      <c r="M133" s="50"/>
      <c r="N133" s="50"/>
      <c r="O133" s="50"/>
      <c r="P133" s="50"/>
      <c r="Q133" s="50"/>
      <c r="R133" s="50"/>
      <c r="V133" s="50"/>
      <c r="Y133" s="50"/>
      <c r="Z133" s="326"/>
      <c r="AA133" s="50"/>
      <c r="AB133" s="50"/>
      <c r="AC133" s="50"/>
      <c r="AD133" s="50"/>
      <c r="AE133" s="50"/>
      <c r="AF133" s="50"/>
      <c r="AI133" s="50"/>
      <c r="AJ133" s="50"/>
      <c r="AK133" s="111"/>
      <c r="AL133" s="50"/>
      <c r="AM133" s="46"/>
      <c r="AN133" s="46"/>
    </row>
    <row r="134" spans="1:40">
      <c r="C134" s="42"/>
      <c r="F134" s="45"/>
      <c r="H134" s="45"/>
      <c r="I134" s="45"/>
      <c r="J134" s="47"/>
      <c r="K134" s="47"/>
      <c r="L134" s="45"/>
      <c r="M134" s="45"/>
      <c r="N134" s="46"/>
      <c r="O134" s="46"/>
      <c r="P134" s="45"/>
      <c r="Q134" s="45"/>
      <c r="R134" s="45"/>
      <c r="T134" s="42"/>
      <c r="V134" s="45"/>
      <c r="Y134" s="45"/>
      <c r="Z134" s="47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1:40">
      <c r="C135" s="42"/>
      <c r="F135" s="45"/>
      <c r="H135" s="45"/>
      <c r="I135" s="45"/>
      <c r="J135" s="47"/>
      <c r="K135" s="47"/>
      <c r="L135" s="45"/>
      <c r="M135" s="45"/>
      <c r="N135" s="46"/>
      <c r="O135" s="46"/>
      <c r="P135" s="45"/>
      <c r="Q135" s="45"/>
      <c r="R135" s="45"/>
      <c r="T135" s="42"/>
      <c r="V135" s="45"/>
      <c r="Y135" s="45"/>
      <c r="Z135" s="47"/>
      <c r="AA135" s="45"/>
      <c r="AB135" s="45"/>
      <c r="AC135" s="46"/>
      <c r="AD135" s="46"/>
      <c r="AE135" s="45"/>
      <c r="AF135" s="45"/>
      <c r="AH135" s="51"/>
      <c r="AI135" s="45"/>
      <c r="AJ135" s="45"/>
      <c r="AL135" s="45"/>
      <c r="AM135" s="46"/>
      <c r="AN135" s="46"/>
    </row>
    <row r="136" spans="1:40">
      <c r="F136" s="50"/>
      <c r="H136" s="50"/>
      <c r="I136" s="50"/>
      <c r="J136" s="326"/>
      <c r="K136" s="326"/>
      <c r="L136" s="50"/>
      <c r="M136" s="50"/>
      <c r="N136" s="50"/>
      <c r="O136" s="50"/>
      <c r="P136" s="50"/>
      <c r="Q136" s="50"/>
      <c r="R136" s="50"/>
      <c r="V136" s="50"/>
      <c r="Y136" s="50"/>
      <c r="Z136" s="326"/>
      <c r="AA136" s="50"/>
      <c r="AB136" s="50"/>
      <c r="AC136" s="50"/>
      <c r="AD136" s="50"/>
      <c r="AE136" s="50"/>
      <c r="AF136" s="50"/>
      <c r="AI136" s="50"/>
      <c r="AJ136" s="50"/>
      <c r="AK136" s="111"/>
      <c r="AL136" s="50"/>
      <c r="AM136" s="45"/>
      <c r="AN136" s="45"/>
    </row>
    <row r="137" spans="1:40">
      <c r="F137" s="45"/>
      <c r="H137" s="45"/>
      <c r="I137" s="45"/>
      <c r="J137" s="47"/>
      <c r="K137" s="47"/>
      <c r="L137" s="45"/>
      <c r="M137" s="45"/>
      <c r="N137" s="45"/>
      <c r="O137" s="45"/>
      <c r="P137" s="45"/>
      <c r="Q137" s="45"/>
      <c r="R137" s="45"/>
      <c r="V137" s="45"/>
      <c r="Y137" s="45"/>
      <c r="Z137" s="47"/>
      <c r="AA137" s="45"/>
      <c r="AB137" s="45"/>
      <c r="AC137" s="45"/>
      <c r="AD137" s="45"/>
    </row>
    <row r="138" spans="1:40">
      <c r="C138" s="42"/>
      <c r="F138" s="45"/>
      <c r="H138" s="45"/>
      <c r="I138" s="45"/>
      <c r="J138" s="47"/>
      <c r="K138" s="47"/>
      <c r="L138" s="45"/>
      <c r="M138" s="45"/>
      <c r="N138" s="45"/>
      <c r="O138" s="45"/>
      <c r="P138" s="45"/>
      <c r="Q138" s="45"/>
      <c r="R138" s="45"/>
      <c r="T138" s="42"/>
      <c r="V138" s="45"/>
      <c r="Y138" s="45"/>
      <c r="Z138" s="47"/>
      <c r="AA138" s="45"/>
      <c r="AB138" s="45"/>
      <c r="AC138" s="45"/>
      <c r="AD138" s="45"/>
    </row>
    <row r="139" spans="1:40">
      <c r="A139" s="42"/>
    </row>
    <row r="141" spans="1:40">
      <c r="H141" s="42"/>
      <c r="I141" s="42"/>
      <c r="Y141" s="42"/>
    </row>
    <row r="143" spans="1:40">
      <c r="L143" s="42"/>
      <c r="M143" s="42"/>
      <c r="AA143" s="42"/>
      <c r="AB143" s="42"/>
    </row>
    <row r="144" spans="1:40">
      <c r="R144" s="42"/>
      <c r="AK144" s="110"/>
      <c r="AL144" s="42"/>
    </row>
    <row r="145" spans="1:40">
      <c r="R145" s="42"/>
      <c r="AK145" s="110"/>
      <c r="AL145" s="42"/>
    </row>
    <row r="146" spans="1:40">
      <c r="A146" s="42"/>
      <c r="R146" s="42"/>
      <c r="AK146" s="110"/>
      <c r="AL146" s="42"/>
    </row>
    <row r="147" spans="1:40">
      <c r="L147" s="42"/>
      <c r="M147" s="42"/>
      <c r="AA147" s="42"/>
      <c r="AB147" s="42"/>
    </row>
    <row r="148" spans="1:40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107"/>
      <c r="AH148" s="49"/>
      <c r="AI148" s="49"/>
      <c r="AJ148" s="49"/>
      <c r="AK148" s="107"/>
      <c r="AL148" s="49"/>
      <c r="AM148" s="49"/>
      <c r="AN148" s="49"/>
    </row>
    <row r="149" spans="1:40">
      <c r="L149" s="44"/>
      <c r="M149" s="44"/>
      <c r="N149" s="44"/>
      <c r="O149" s="44"/>
      <c r="R149" s="44"/>
      <c r="AA149" s="44"/>
      <c r="AB149" s="44"/>
      <c r="AC149" s="44"/>
      <c r="AD149" s="44"/>
      <c r="AE149" s="44"/>
      <c r="AF149" s="44"/>
      <c r="AG149" s="102"/>
      <c r="AH149" s="44"/>
      <c r="AK149" s="102"/>
      <c r="AL149" s="44"/>
      <c r="AM149" s="44"/>
      <c r="AN149" s="44"/>
    </row>
    <row r="150" spans="1:40">
      <c r="L150" s="44"/>
      <c r="M150" s="44"/>
      <c r="N150" s="44"/>
      <c r="O150" s="44"/>
      <c r="R150" s="44"/>
      <c r="Z150" s="44"/>
      <c r="AA150" s="44"/>
      <c r="AB150" s="44"/>
      <c r="AC150" s="44"/>
      <c r="AD150" s="44"/>
      <c r="AE150" s="44"/>
      <c r="AF150" s="44"/>
      <c r="AG150" s="102"/>
      <c r="AH150" s="44"/>
      <c r="AK150" s="102"/>
      <c r="AL150" s="44"/>
      <c r="AM150" s="44"/>
      <c r="AN150" s="44"/>
    </row>
    <row r="151" spans="1:40">
      <c r="A151" s="44"/>
      <c r="C151" s="44"/>
      <c r="D151" s="44"/>
      <c r="E151" s="44"/>
      <c r="F151" s="44"/>
      <c r="J151" s="44"/>
      <c r="K151" s="44"/>
      <c r="L151" s="44"/>
      <c r="M151" s="44"/>
      <c r="N151" s="44"/>
      <c r="O151" s="44"/>
      <c r="P151" s="44"/>
      <c r="Q151" s="44"/>
      <c r="R151" s="44"/>
      <c r="T151" s="44"/>
      <c r="U151" s="44"/>
      <c r="V151" s="44"/>
      <c r="Z151" s="44"/>
      <c r="AA151" s="44"/>
      <c r="AB151" s="44"/>
      <c r="AC151" s="44"/>
      <c r="AD151" s="44"/>
      <c r="AE151" s="44"/>
      <c r="AF151" s="44"/>
      <c r="AG151" s="102"/>
      <c r="AH151" s="44"/>
      <c r="AI151" s="44"/>
      <c r="AJ151" s="44"/>
      <c r="AK151" s="102"/>
      <c r="AL151" s="44"/>
      <c r="AM151" s="44"/>
      <c r="AN151" s="44"/>
    </row>
    <row r="152" spans="1:40">
      <c r="A152" s="44"/>
      <c r="C152" s="44"/>
      <c r="D152" s="44"/>
      <c r="E152" s="44"/>
      <c r="F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T152" s="44"/>
      <c r="U152" s="44"/>
      <c r="V152" s="44"/>
      <c r="Y152" s="44"/>
      <c r="Z152" s="44"/>
      <c r="AA152" s="44"/>
      <c r="AB152" s="44"/>
      <c r="AC152" s="44"/>
      <c r="AD152" s="44"/>
      <c r="AE152" s="44"/>
      <c r="AF152" s="44"/>
      <c r="AG152" s="102"/>
      <c r="AH152" s="44"/>
      <c r="AI152" s="44"/>
      <c r="AJ152" s="44"/>
      <c r="AK152" s="102"/>
      <c r="AL152" s="44"/>
      <c r="AM152" s="44"/>
      <c r="AN152" s="44"/>
    </row>
    <row r="153" spans="1:40">
      <c r="C153" s="44"/>
      <c r="D153" s="44"/>
      <c r="E153" s="44"/>
      <c r="F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T153" s="44"/>
      <c r="U153" s="44"/>
      <c r="V153" s="44"/>
      <c r="Y153" s="44"/>
      <c r="Z153" s="44"/>
      <c r="AA153" s="44"/>
      <c r="AB153" s="44"/>
      <c r="AC153" s="44"/>
      <c r="AD153" s="44"/>
      <c r="AE153" s="44"/>
      <c r="AF153" s="44"/>
      <c r="AG153" s="102"/>
      <c r="AH153" s="44"/>
      <c r="AI153" s="44"/>
      <c r="AJ153" s="44"/>
      <c r="AK153" s="102"/>
      <c r="AL153" s="44"/>
      <c r="AM153" s="44"/>
      <c r="AN153" s="44"/>
    </row>
    <row r="154" spans="1:40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107"/>
      <c r="AH154" s="49"/>
      <c r="AI154" s="49"/>
      <c r="AJ154" s="49"/>
      <c r="AK154" s="107"/>
      <c r="AL154" s="49"/>
      <c r="AM154" s="49"/>
      <c r="AN154" s="49"/>
    </row>
    <row r="155" spans="1:40"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Y155" s="44"/>
      <c r="Z155" s="44"/>
      <c r="AA155" s="44"/>
      <c r="AB155" s="44"/>
      <c r="AC155" s="44"/>
      <c r="AD155" s="44"/>
      <c r="AE155" s="44"/>
      <c r="AF155" s="44"/>
      <c r="AG155" s="102"/>
      <c r="AH155" s="44"/>
      <c r="AI155" s="44"/>
      <c r="AJ155" s="44"/>
      <c r="AK155" s="102"/>
      <c r="AL155" s="44"/>
      <c r="AM155" s="44"/>
      <c r="AN155" s="44"/>
    </row>
    <row r="156" spans="1:40">
      <c r="C156" s="42"/>
      <c r="D156" s="42"/>
      <c r="E156" s="42"/>
      <c r="T156" s="42"/>
      <c r="U156" s="42"/>
    </row>
    <row r="158" spans="1:40">
      <c r="C158" s="42"/>
      <c r="F158" s="164"/>
      <c r="H158" s="329"/>
      <c r="I158" s="329"/>
      <c r="J158" s="316"/>
      <c r="K158" s="316"/>
      <c r="L158" s="45"/>
      <c r="M158" s="45"/>
      <c r="R158" s="45"/>
      <c r="T158" s="42"/>
      <c r="V158" s="45"/>
      <c r="Z158" s="316"/>
      <c r="AA158" s="45"/>
      <c r="AB158" s="45"/>
      <c r="AE158" s="45"/>
      <c r="AF158" s="45"/>
      <c r="AG158" s="333"/>
      <c r="AH158" s="334"/>
      <c r="AI158" s="45"/>
      <c r="AJ158" s="45"/>
      <c r="AL158" s="45"/>
      <c r="AM158" s="335"/>
      <c r="AN158" s="335"/>
    </row>
    <row r="159" spans="1:40">
      <c r="F159" s="164"/>
      <c r="H159" s="329"/>
      <c r="I159" s="329"/>
      <c r="J159" s="329"/>
      <c r="K159" s="329"/>
      <c r="R159" s="45"/>
      <c r="V159" s="45"/>
      <c r="Z159" s="329"/>
    </row>
    <row r="160" spans="1:40">
      <c r="C160" s="42"/>
      <c r="F160" s="164"/>
      <c r="H160" s="164"/>
      <c r="I160" s="164"/>
      <c r="J160" s="331"/>
      <c r="K160" s="331"/>
      <c r="L160" s="45"/>
      <c r="M160" s="45"/>
      <c r="N160" s="46"/>
      <c r="O160" s="46"/>
      <c r="P160" s="164"/>
      <c r="Q160" s="164"/>
      <c r="R160" s="45"/>
      <c r="T160" s="42"/>
      <c r="V160" s="45"/>
      <c r="Y160" s="45"/>
      <c r="Z160" s="325"/>
      <c r="AA160" s="45"/>
      <c r="AB160" s="45"/>
      <c r="AC160" s="46"/>
      <c r="AD160" s="46"/>
      <c r="AE160" s="45"/>
      <c r="AF160" s="45"/>
      <c r="AH160" s="51"/>
      <c r="AI160" s="164"/>
      <c r="AJ160" s="164"/>
      <c r="AL160" s="45"/>
      <c r="AM160" s="46"/>
      <c r="AN160" s="46"/>
    </row>
    <row r="161" spans="3:40">
      <c r="F161" s="50"/>
      <c r="H161" s="50"/>
      <c r="I161" s="50"/>
      <c r="J161" s="326"/>
      <c r="K161" s="326"/>
      <c r="L161" s="50"/>
      <c r="M161" s="50"/>
      <c r="N161" s="50"/>
      <c r="O161" s="50"/>
      <c r="P161" s="50"/>
      <c r="Q161" s="50"/>
      <c r="R161" s="50"/>
      <c r="V161" s="50"/>
      <c r="Y161" s="50"/>
      <c r="Z161" s="326"/>
      <c r="AA161" s="50"/>
      <c r="AB161" s="50"/>
      <c r="AC161" s="50"/>
      <c r="AD161" s="50"/>
      <c r="AE161" s="50"/>
      <c r="AF161" s="50"/>
      <c r="AI161" s="50"/>
      <c r="AJ161" s="50"/>
      <c r="AK161" s="111"/>
      <c r="AL161" s="50"/>
    </row>
    <row r="162" spans="3:40">
      <c r="D162" s="42"/>
      <c r="E162" s="42"/>
      <c r="F162" s="45"/>
      <c r="H162" s="45"/>
      <c r="I162" s="45"/>
      <c r="J162" s="47"/>
      <c r="K162" s="47"/>
      <c r="L162" s="45"/>
      <c r="M162" s="45"/>
      <c r="N162" s="46"/>
      <c r="O162" s="46"/>
      <c r="P162" s="45"/>
      <c r="Q162" s="45"/>
      <c r="R162" s="45"/>
      <c r="U162" s="42"/>
      <c r="V162" s="45"/>
      <c r="Y162" s="45"/>
      <c r="Z162" s="47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3:40">
      <c r="F163" s="50"/>
      <c r="H163" s="50"/>
      <c r="I163" s="50"/>
      <c r="J163" s="326"/>
      <c r="K163" s="326"/>
      <c r="L163" s="50"/>
      <c r="M163" s="50"/>
      <c r="N163" s="50"/>
      <c r="O163" s="50"/>
      <c r="P163" s="50"/>
      <c r="Q163" s="50"/>
      <c r="R163" s="50"/>
      <c r="V163" s="50"/>
      <c r="Y163" s="50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</row>
    <row r="164" spans="3:40">
      <c r="R164" s="45"/>
    </row>
    <row r="165" spans="3:40">
      <c r="R165" s="45"/>
    </row>
    <row r="166" spans="3:40">
      <c r="R166" s="45"/>
    </row>
    <row r="167" spans="3:40">
      <c r="C167" s="42"/>
      <c r="D167" s="42"/>
      <c r="E167" s="42"/>
      <c r="H167" s="45"/>
      <c r="I167" s="45"/>
      <c r="J167" s="47"/>
      <c r="K167" s="47"/>
      <c r="L167" s="45"/>
      <c r="M167" s="45"/>
      <c r="N167" s="46"/>
      <c r="O167" s="46"/>
      <c r="P167" s="45"/>
      <c r="Q167" s="45"/>
      <c r="R167" s="45"/>
      <c r="T167" s="42"/>
      <c r="U167" s="42"/>
      <c r="Y167" s="45"/>
      <c r="Z167" s="47"/>
      <c r="AA167" s="45"/>
      <c r="AB167" s="45"/>
      <c r="AC167" s="46"/>
      <c r="AD167" s="46"/>
    </row>
    <row r="168" spans="3:40">
      <c r="H168" s="45"/>
      <c r="I168" s="45"/>
      <c r="J168" s="47"/>
      <c r="K168" s="47"/>
      <c r="L168" s="45"/>
      <c r="M168" s="45"/>
      <c r="N168" s="46"/>
      <c r="O168" s="46"/>
      <c r="P168" s="45"/>
      <c r="Q168" s="45"/>
      <c r="R168" s="45"/>
      <c r="Y168" s="45"/>
      <c r="Z168" s="47"/>
      <c r="AA168" s="45"/>
      <c r="AB168" s="45"/>
      <c r="AC168" s="46"/>
      <c r="AD168" s="46"/>
    </row>
    <row r="169" spans="3:40">
      <c r="C169" s="42"/>
      <c r="F169" s="164"/>
      <c r="H169" s="164"/>
      <c r="I169" s="164"/>
      <c r="J169" s="52"/>
      <c r="K169" s="52"/>
      <c r="L169" s="164"/>
      <c r="M169" s="164"/>
      <c r="N169" s="46"/>
      <c r="O169" s="46"/>
      <c r="P169" s="45"/>
      <c r="Q169" s="45"/>
      <c r="R169" s="45"/>
      <c r="T169" s="42"/>
      <c r="V169" s="45"/>
      <c r="Y169" s="45"/>
      <c r="Z169" s="52"/>
      <c r="AA169" s="45"/>
      <c r="AB169" s="45"/>
      <c r="AC169" s="46"/>
      <c r="AD169" s="46"/>
      <c r="AE169" s="45"/>
      <c r="AF169" s="45"/>
      <c r="AH169" s="51"/>
      <c r="AI169" s="45"/>
      <c r="AJ169" s="45"/>
      <c r="AL169" s="45"/>
      <c r="AM169" s="46"/>
      <c r="AN169" s="46"/>
    </row>
    <row r="170" spans="3:40">
      <c r="F170" s="164"/>
      <c r="H170" s="329"/>
      <c r="I170" s="329"/>
      <c r="J170" s="329"/>
      <c r="K170" s="329"/>
      <c r="R170" s="45"/>
      <c r="V170" s="45"/>
      <c r="Z170" s="329"/>
    </row>
    <row r="171" spans="3:40">
      <c r="C171" s="42"/>
      <c r="F171" s="164"/>
      <c r="H171" s="164"/>
      <c r="I171" s="164"/>
      <c r="J171" s="316"/>
      <c r="K171" s="316"/>
      <c r="L171" s="45"/>
      <c r="M171" s="45"/>
      <c r="N171" s="46"/>
      <c r="O171" s="46"/>
      <c r="P171" s="45"/>
      <c r="Q171" s="45"/>
      <c r="R171" s="45"/>
      <c r="T171" s="42"/>
      <c r="V171" s="45"/>
      <c r="Y171" s="45"/>
      <c r="Z171" s="316"/>
      <c r="AA171" s="45"/>
      <c r="AB171" s="45"/>
      <c r="AC171" s="46"/>
      <c r="AD171" s="46"/>
      <c r="AE171" s="45"/>
      <c r="AF171" s="45"/>
      <c r="AH171" s="51"/>
      <c r="AI171" s="45"/>
      <c r="AJ171" s="45"/>
      <c r="AL171" s="45"/>
      <c r="AM171" s="46"/>
      <c r="AN171" s="46"/>
    </row>
    <row r="172" spans="3:40">
      <c r="F172" s="164"/>
      <c r="H172" s="329"/>
      <c r="I172" s="329"/>
      <c r="J172" s="329"/>
      <c r="K172" s="329"/>
      <c r="R172" s="45"/>
      <c r="V172" s="45"/>
      <c r="Z172" s="329"/>
    </row>
    <row r="173" spans="3:40">
      <c r="C173" s="42"/>
      <c r="F173" s="164"/>
      <c r="H173" s="164"/>
      <c r="I173" s="164"/>
      <c r="J173" s="331"/>
      <c r="K173" s="331"/>
      <c r="L173" s="45"/>
      <c r="M173" s="45"/>
      <c r="N173" s="46"/>
      <c r="O173" s="46"/>
      <c r="P173" s="45"/>
      <c r="Q173" s="45"/>
      <c r="R173" s="45"/>
      <c r="T173" s="42"/>
      <c r="V173" s="45"/>
      <c r="Y173" s="45"/>
      <c r="Z173" s="325"/>
      <c r="AA173" s="45"/>
      <c r="AB173" s="45"/>
      <c r="AC173" s="46"/>
      <c r="AD173" s="46"/>
      <c r="AE173" s="45"/>
      <c r="AF173" s="45"/>
      <c r="AH173" s="51"/>
      <c r="AI173" s="45"/>
      <c r="AJ173" s="45"/>
      <c r="AL173" s="45"/>
      <c r="AM173" s="46"/>
      <c r="AN173" s="46"/>
    </row>
    <row r="174" spans="3:40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S174" s="45"/>
      <c r="V174" s="50"/>
      <c r="Y174" s="50"/>
      <c r="Z174" s="326"/>
      <c r="AA174" s="50"/>
      <c r="AB174" s="50"/>
      <c r="AC174" s="50"/>
      <c r="AD174" s="50"/>
      <c r="AE174" s="50"/>
      <c r="AF174" s="50"/>
      <c r="AI174" s="50"/>
      <c r="AJ174" s="50"/>
      <c r="AK174" s="111"/>
      <c r="AL174" s="50"/>
    </row>
    <row r="175" spans="3:40">
      <c r="D175" s="42"/>
      <c r="E175" s="42"/>
      <c r="F175" s="45"/>
      <c r="H175" s="45"/>
      <c r="I175" s="45"/>
      <c r="J175" s="47"/>
      <c r="K175" s="47"/>
      <c r="L175" s="45"/>
      <c r="M175" s="45"/>
      <c r="N175" s="46"/>
      <c r="O175" s="46"/>
      <c r="P175" s="164"/>
      <c r="Q175" s="164"/>
      <c r="R175" s="45"/>
      <c r="S175" s="45"/>
      <c r="U175" s="42"/>
      <c r="V175" s="45"/>
      <c r="Y175" s="45"/>
      <c r="Z175" s="47"/>
      <c r="AA175" s="45"/>
      <c r="AB175" s="45"/>
      <c r="AC175" s="46"/>
      <c r="AD175" s="46"/>
      <c r="AE175" s="45"/>
      <c r="AF175" s="45"/>
      <c r="AH175" s="51"/>
      <c r="AI175" s="164"/>
      <c r="AJ175" s="164"/>
      <c r="AL175" s="45"/>
      <c r="AM175" s="46"/>
      <c r="AN175" s="46"/>
    </row>
    <row r="176" spans="3:40">
      <c r="F176" s="50"/>
      <c r="H176" s="50"/>
      <c r="I176" s="50"/>
      <c r="J176" s="326"/>
      <c r="K176" s="326"/>
      <c r="L176" s="50"/>
      <c r="M176" s="50"/>
      <c r="N176" s="50"/>
      <c r="O176" s="50"/>
      <c r="P176" s="50"/>
      <c r="Q176" s="50"/>
      <c r="R176" s="50"/>
      <c r="S176" s="45"/>
      <c r="V176" s="50"/>
      <c r="Y176" s="50"/>
      <c r="Z176" s="326"/>
      <c r="AA176" s="50"/>
      <c r="AB176" s="50"/>
      <c r="AC176" s="50"/>
      <c r="AD176" s="50"/>
      <c r="AE176" s="50"/>
      <c r="AF176" s="50"/>
      <c r="AI176" s="50"/>
      <c r="AJ176" s="50"/>
      <c r="AK176" s="111"/>
      <c r="AL176" s="50"/>
    </row>
    <row r="177" spans="1:40">
      <c r="R177" s="45"/>
    </row>
    <row r="178" spans="1:40">
      <c r="F178" s="45"/>
      <c r="H178" s="45"/>
      <c r="I178" s="45"/>
      <c r="J178" s="47"/>
      <c r="K178" s="47"/>
      <c r="L178" s="45"/>
      <c r="M178" s="45"/>
      <c r="N178" s="45"/>
      <c r="O178" s="45"/>
      <c r="P178" s="45"/>
      <c r="Q178" s="45"/>
      <c r="R178" s="45"/>
      <c r="V178" s="45"/>
      <c r="Y178" s="45"/>
      <c r="Z178" s="47"/>
      <c r="AA178" s="45"/>
      <c r="AB178" s="45"/>
      <c r="AC178" s="45"/>
      <c r="AD178" s="45"/>
    </row>
    <row r="179" spans="1:40">
      <c r="C179" s="42"/>
      <c r="F179" s="45"/>
      <c r="H179" s="45"/>
      <c r="I179" s="45"/>
      <c r="J179" s="47"/>
      <c r="K179" s="47"/>
      <c r="L179" s="45"/>
      <c r="M179" s="45"/>
      <c r="N179" s="45"/>
      <c r="O179" s="45"/>
      <c r="P179" s="45"/>
      <c r="Q179" s="45"/>
      <c r="R179" s="45"/>
      <c r="T179" s="42"/>
      <c r="V179" s="45"/>
      <c r="Y179" s="45"/>
      <c r="Z179" s="47"/>
      <c r="AA179" s="45"/>
      <c r="AB179" s="45"/>
      <c r="AC179" s="45"/>
      <c r="AD179" s="45"/>
    </row>
    <row r="180" spans="1:40">
      <c r="C180" s="42"/>
      <c r="T180" s="42"/>
    </row>
    <row r="181" spans="1:40">
      <c r="A181" s="42"/>
    </row>
    <row r="184" spans="1:40">
      <c r="H184" s="42"/>
      <c r="I184" s="42"/>
      <c r="Y184" s="42"/>
    </row>
    <row r="186" spans="1:40">
      <c r="L186" s="42"/>
      <c r="M186" s="42"/>
      <c r="AA186" s="42"/>
      <c r="AB186" s="42"/>
    </row>
    <row r="187" spans="1:40">
      <c r="R187" s="42"/>
      <c r="AK187" s="110"/>
      <c r="AL187" s="42"/>
    </row>
    <row r="188" spans="1:40">
      <c r="R188" s="42"/>
      <c r="AK188" s="110"/>
      <c r="AL188" s="42"/>
    </row>
    <row r="189" spans="1:40">
      <c r="A189" s="42"/>
      <c r="R189" s="42"/>
      <c r="AK189" s="110"/>
      <c r="AL189" s="42"/>
    </row>
    <row r="190" spans="1:40">
      <c r="L190" s="42"/>
      <c r="M190" s="42"/>
      <c r="AA190" s="42"/>
      <c r="AB190" s="42"/>
    </row>
    <row r="191" spans="1:40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107"/>
      <c r="AH191" s="49"/>
      <c r="AI191" s="49"/>
      <c r="AJ191" s="49"/>
      <c r="AK191" s="107"/>
      <c r="AL191" s="49"/>
      <c r="AM191" s="49"/>
      <c r="AN191" s="49"/>
    </row>
    <row r="192" spans="1:40">
      <c r="L192" s="44"/>
      <c r="M192" s="44"/>
      <c r="N192" s="44"/>
      <c r="O192" s="44"/>
      <c r="R192" s="44"/>
      <c r="AA192" s="44"/>
      <c r="AB192" s="44"/>
      <c r="AC192" s="44"/>
      <c r="AD192" s="44"/>
      <c r="AE192" s="44"/>
      <c r="AF192" s="44"/>
      <c r="AG192" s="102"/>
      <c r="AH192" s="44"/>
      <c r="AK192" s="102"/>
      <c r="AL192" s="44"/>
      <c r="AM192" s="44"/>
      <c r="AN192" s="44"/>
    </row>
    <row r="193" spans="1:40">
      <c r="L193" s="44"/>
      <c r="M193" s="44"/>
      <c r="N193" s="44"/>
      <c r="O193" s="44"/>
      <c r="R193" s="44"/>
      <c r="Z193" s="44"/>
      <c r="AA193" s="44"/>
      <c r="AB193" s="44"/>
      <c r="AC193" s="44"/>
      <c r="AD193" s="44"/>
      <c r="AE193" s="44"/>
      <c r="AF193" s="44"/>
      <c r="AG193" s="102"/>
      <c r="AH193" s="44"/>
      <c r="AK193" s="102"/>
      <c r="AL193" s="44"/>
      <c r="AM193" s="44"/>
      <c r="AN193" s="44"/>
    </row>
    <row r="194" spans="1:40">
      <c r="A194" s="44"/>
      <c r="C194" s="44"/>
      <c r="D194" s="44"/>
      <c r="E194" s="44"/>
      <c r="F194" s="44"/>
      <c r="J194" s="44"/>
      <c r="K194" s="44"/>
      <c r="L194" s="44"/>
      <c r="M194" s="44"/>
      <c r="N194" s="44"/>
      <c r="O194" s="44"/>
      <c r="P194" s="44"/>
      <c r="Q194" s="44"/>
      <c r="R194" s="44"/>
      <c r="T194" s="44"/>
      <c r="U194" s="44"/>
      <c r="V194" s="44"/>
      <c r="Z194" s="44"/>
      <c r="AA194" s="44"/>
      <c r="AB194" s="44"/>
      <c r="AC194" s="44"/>
      <c r="AD194" s="44"/>
      <c r="AE194" s="44"/>
      <c r="AF194" s="44"/>
      <c r="AG194" s="102"/>
      <c r="AH194" s="44"/>
      <c r="AI194" s="44"/>
      <c r="AJ194" s="44"/>
      <c r="AK194" s="102"/>
      <c r="AL194" s="44"/>
      <c r="AM194" s="44"/>
      <c r="AN194" s="44"/>
    </row>
    <row r="195" spans="1:40">
      <c r="A195" s="44"/>
      <c r="C195" s="44"/>
      <c r="D195" s="44"/>
      <c r="E195" s="44"/>
      <c r="F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T195" s="44"/>
      <c r="U195" s="44"/>
      <c r="V195" s="44"/>
      <c r="Y195" s="44"/>
      <c r="Z195" s="44"/>
      <c r="AA195" s="44"/>
      <c r="AB195" s="44"/>
      <c r="AC195" s="44"/>
      <c r="AD195" s="44"/>
      <c r="AE195" s="44"/>
      <c r="AF195" s="44"/>
      <c r="AG195" s="102"/>
      <c r="AH195" s="44"/>
      <c r="AI195" s="44"/>
      <c r="AJ195" s="44"/>
      <c r="AK195" s="102"/>
      <c r="AL195" s="44"/>
      <c r="AM195" s="44"/>
      <c r="AN195" s="44"/>
    </row>
    <row r="196" spans="1:40">
      <c r="C196" s="44"/>
      <c r="D196" s="44"/>
      <c r="E196" s="44"/>
      <c r="F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Y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107"/>
      <c r="AH197" s="49"/>
      <c r="AI197" s="49"/>
      <c r="AJ197" s="49"/>
      <c r="AK197" s="107"/>
      <c r="AL197" s="49"/>
      <c r="AM197" s="49"/>
      <c r="AN197" s="49"/>
    </row>
    <row r="198" spans="1:40"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>
      <c r="C199" s="42"/>
      <c r="D199" s="42"/>
      <c r="E199" s="42"/>
      <c r="T199" s="42"/>
      <c r="U199" s="42"/>
    </row>
    <row r="200" spans="1:40">
      <c r="D200" s="42"/>
      <c r="E200" s="42"/>
      <c r="U200" s="42"/>
    </row>
    <row r="202" spans="1:40">
      <c r="C202" s="42"/>
      <c r="F202" s="45"/>
      <c r="J202" s="53"/>
      <c r="K202" s="53"/>
      <c r="L202" s="45"/>
      <c r="M202" s="45"/>
      <c r="R202" s="45"/>
      <c r="T202" s="42"/>
      <c r="V202" s="45"/>
      <c r="Z202" s="53"/>
      <c r="AA202" s="45"/>
      <c r="AB202" s="45"/>
      <c r="AL202" s="45"/>
    </row>
    <row r="203" spans="1:40">
      <c r="F203" s="45"/>
      <c r="R203" s="45"/>
      <c r="V203" s="45"/>
      <c r="AL203" s="45"/>
    </row>
    <row r="204" spans="1:40">
      <c r="C204" s="42"/>
      <c r="F204" s="164"/>
      <c r="H204" s="164"/>
      <c r="I204" s="164"/>
      <c r="J204" s="316"/>
      <c r="K204" s="316"/>
      <c r="L204" s="45"/>
      <c r="M204" s="45"/>
      <c r="N204" s="46"/>
      <c r="O204" s="46"/>
      <c r="P204" s="45"/>
      <c r="Q204" s="45"/>
      <c r="R204" s="45"/>
      <c r="T204" s="42"/>
      <c r="V204" s="45"/>
      <c r="Y204" s="45"/>
      <c r="Z204" s="316"/>
      <c r="AA204" s="45"/>
      <c r="AB204" s="45"/>
      <c r="AC204" s="46"/>
      <c r="AD204" s="46"/>
      <c r="AE204" s="45"/>
      <c r="AF204" s="45"/>
      <c r="AH204" s="51"/>
      <c r="AI204" s="45"/>
      <c r="AJ204" s="45"/>
      <c r="AL204" s="45"/>
      <c r="AM204" s="46"/>
      <c r="AN204" s="46"/>
    </row>
    <row r="205" spans="1:40">
      <c r="C205" s="42"/>
      <c r="F205" s="164"/>
      <c r="H205" s="329"/>
      <c r="I205" s="329"/>
      <c r="J205" s="316"/>
      <c r="K205" s="316"/>
      <c r="L205" s="45"/>
      <c r="M205" s="45"/>
      <c r="N205" s="46"/>
      <c r="O205" s="46"/>
      <c r="P205" s="45"/>
      <c r="Q205" s="45"/>
      <c r="R205" s="45"/>
      <c r="T205" s="42"/>
      <c r="V205" s="45"/>
      <c r="Y205" s="45"/>
      <c r="Z205" s="316"/>
      <c r="AA205" s="45"/>
      <c r="AB205" s="45"/>
      <c r="AC205" s="46"/>
      <c r="AD205" s="46"/>
      <c r="AE205" s="45"/>
      <c r="AF205" s="45"/>
      <c r="AH205" s="51"/>
      <c r="AI205" s="45"/>
      <c r="AJ205" s="45"/>
      <c r="AL205" s="45"/>
      <c r="AM205" s="46"/>
      <c r="AN205" s="46"/>
    </row>
    <row r="206" spans="1:40">
      <c r="F206" s="50"/>
      <c r="H206" s="45"/>
      <c r="I206" s="45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45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</row>
    <row r="207" spans="1:40">
      <c r="C207" s="42"/>
      <c r="F207" s="45"/>
      <c r="H207" s="45"/>
      <c r="I207" s="45"/>
      <c r="J207" s="47"/>
      <c r="K207" s="47"/>
      <c r="L207" s="45"/>
      <c r="M207" s="45"/>
      <c r="N207" s="46"/>
      <c r="O207" s="46"/>
      <c r="P207" s="45"/>
      <c r="Q207" s="45"/>
      <c r="R207" s="45"/>
      <c r="T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1:40">
      <c r="F208" s="50"/>
      <c r="H208" s="45"/>
      <c r="I208" s="45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45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</row>
    <row r="209" spans="1:40">
      <c r="F209" s="45"/>
      <c r="R209" s="45"/>
      <c r="V209" s="45"/>
      <c r="AL209" s="45"/>
    </row>
    <row r="210" spans="1:40">
      <c r="C210" s="42"/>
      <c r="F210" s="45"/>
      <c r="R210" s="45"/>
      <c r="T210" s="42"/>
      <c r="V210" s="45"/>
      <c r="AL210" s="45"/>
    </row>
    <row r="211" spans="1:40">
      <c r="F211" s="45"/>
      <c r="R211" s="45"/>
      <c r="V211" s="45"/>
      <c r="AL211" s="45"/>
    </row>
    <row r="212" spans="1:40">
      <c r="C212" s="42"/>
      <c r="F212" s="45"/>
      <c r="H212" s="164"/>
      <c r="I212" s="164"/>
      <c r="J212" s="331"/>
      <c r="K212" s="331"/>
      <c r="L212" s="45"/>
      <c r="M212" s="45"/>
      <c r="N212" s="46"/>
      <c r="O212" s="46"/>
      <c r="P212" s="164"/>
      <c r="Q212" s="164"/>
      <c r="R212" s="45"/>
      <c r="T212" s="42"/>
      <c r="V212" s="45"/>
      <c r="Y212" s="45"/>
      <c r="Z212" s="325"/>
      <c r="AA212" s="45"/>
      <c r="AB212" s="45"/>
      <c r="AC212" s="46"/>
      <c r="AD212" s="46"/>
      <c r="AE212" s="45"/>
      <c r="AF212" s="45"/>
      <c r="AH212" s="51"/>
      <c r="AI212" s="164"/>
      <c r="AJ212" s="164"/>
      <c r="AL212" s="45"/>
      <c r="AM212" s="46"/>
      <c r="AN212" s="46"/>
    </row>
    <row r="213" spans="1:40">
      <c r="H213" s="50"/>
      <c r="I213" s="50"/>
      <c r="J213" s="326"/>
      <c r="K213" s="326"/>
      <c r="L213" s="50"/>
      <c r="M213" s="50"/>
      <c r="N213" s="50"/>
      <c r="O213" s="50"/>
      <c r="P213" s="50"/>
      <c r="Q213" s="50"/>
      <c r="R213" s="50"/>
      <c r="V213" s="50"/>
      <c r="Y213" s="50"/>
      <c r="Z213" s="326"/>
      <c r="AA213" s="50"/>
      <c r="AB213" s="50"/>
      <c r="AC213" s="50"/>
      <c r="AD213" s="50"/>
      <c r="AE213" s="50"/>
      <c r="AF213" s="50"/>
      <c r="AI213" s="50"/>
      <c r="AJ213" s="50"/>
      <c r="AK213" s="111"/>
      <c r="AL213" s="50"/>
    </row>
    <row r="214" spans="1:40">
      <c r="F214" s="50"/>
    </row>
    <row r="215" spans="1:40">
      <c r="C215" s="42"/>
      <c r="F215" s="45"/>
      <c r="H215" s="45"/>
      <c r="I215" s="45"/>
      <c r="J215" s="53"/>
      <c r="K215" s="53"/>
      <c r="L215" s="45"/>
      <c r="M215" s="45"/>
      <c r="N215" s="46"/>
      <c r="O215" s="46"/>
      <c r="P215" s="45"/>
      <c r="Q215" s="45"/>
      <c r="R215" s="45"/>
      <c r="T215" s="42"/>
      <c r="V215" s="45"/>
      <c r="Y215" s="45"/>
      <c r="Z215" s="53"/>
      <c r="AA215" s="45"/>
      <c r="AB215" s="45"/>
      <c r="AC215" s="46"/>
      <c r="AD215" s="46"/>
      <c r="AE215" s="45"/>
      <c r="AF215" s="45"/>
      <c r="AH215" s="51"/>
      <c r="AI215" s="45"/>
      <c r="AJ215" s="45"/>
      <c r="AL215" s="45"/>
      <c r="AM215" s="46"/>
      <c r="AN215" s="46"/>
    </row>
    <row r="216" spans="1:40">
      <c r="F216" s="50"/>
      <c r="H216" s="50"/>
      <c r="I216" s="50"/>
      <c r="J216" s="326"/>
      <c r="K216" s="326"/>
      <c r="L216" s="50"/>
      <c r="M216" s="50"/>
      <c r="N216" s="50"/>
      <c r="O216" s="50"/>
      <c r="P216" s="50"/>
      <c r="Q216" s="50"/>
      <c r="R216" s="50"/>
      <c r="V216" s="50"/>
      <c r="Y216" s="50"/>
      <c r="Z216" s="326"/>
      <c r="AA216" s="50"/>
      <c r="AB216" s="50"/>
      <c r="AC216" s="50"/>
      <c r="AD216" s="50"/>
      <c r="AE216" s="50"/>
      <c r="AF216" s="50"/>
      <c r="AI216" s="50"/>
      <c r="AJ216" s="50"/>
      <c r="AK216" s="111"/>
      <c r="AL216" s="50"/>
    </row>
    <row r="217" spans="1:40">
      <c r="R217" s="45"/>
      <c r="AH217" s="45"/>
    </row>
    <row r="218" spans="1:40">
      <c r="F218" s="45"/>
      <c r="H218" s="45"/>
      <c r="I218" s="45"/>
      <c r="J218" s="47"/>
      <c r="K218" s="47"/>
      <c r="L218" s="45"/>
      <c r="M218" s="45"/>
      <c r="N218" s="45"/>
      <c r="O218" s="45"/>
      <c r="P218" s="45"/>
      <c r="Q218" s="45"/>
      <c r="R218" s="45"/>
      <c r="V218" s="45"/>
      <c r="Y218" s="45"/>
      <c r="Z218" s="47"/>
      <c r="AA218" s="45"/>
      <c r="AB218" s="45"/>
      <c r="AC218" s="45"/>
      <c r="AD218" s="45"/>
      <c r="AE218" s="45"/>
      <c r="AF218" s="45"/>
      <c r="AH218" s="45"/>
    </row>
    <row r="219" spans="1:40">
      <c r="C219" s="42"/>
      <c r="F219" s="45"/>
      <c r="H219" s="45"/>
      <c r="I219" s="45"/>
      <c r="J219" s="47"/>
      <c r="K219" s="47"/>
      <c r="L219" s="45"/>
      <c r="M219" s="45"/>
      <c r="N219" s="45"/>
      <c r="O219" s="45"/>
      <c r="P219" s="45"/>
      <c r="Q219" s="45"/>
      <c r="R219" s="45"/>
      <c r="T219" s="42"/>
      <c r="V219" s="45"/>
      <c r="Y219" s="45"/>
      <c r="Z219" s="47"/>
      <c r="AA219" s="45"/>
      <c r="AB219" s="45"/>
      <c r="AC219" s="45"/>
      <c r="AD219" s="45"/>
      <c r="AE219" s="45"/>
      <c r="AF219" s="45"/>
      <c r="AH219" s="45"/>
    </row>
    <row r="220" spans="1:40">
      <c r="A220" s="42"/>
    </row>
    <row r="223" spans="1:40">
      <c r="H223" s="42"/>
      <c r="I223" s="42"/>
      <c r="Y223" s="42"/>
    </row>
    <row r="225" spans="1:40">
      <c r="L225" s="42"/>
      <c r="M225" s="42"/>
      <c r="AA225" s="42"/>
      <c r="AB225" s="42"/>
    </row>
    <row r="226" spans="1:40">
      <c r="R226" s="42"/>
      <c r="AK226" s="110"/>
      <c r="AL226" s="42"/>
    </row>
    <row r="227" spans="1:40">
      <c r="R227" s="42"/>
      <c r="AK227" s="110"/>
      <c r="AL227" s="42"/>
    </row>
    <row r="228" spans="1:40">
      <c r="A228" s="42"/>
      <c r="R228" s="42"/>
      <c r="AK228" s="110"/>
      <c r="AL228" s="42"/>
    </row>
    <row r="229" spans="1:40">
      <c r="L229" s="42"/>
      <c r="M229" s="42"/>
      <c r="AA229" s="42"/>
      <c r="AB229" s="42"/>
    </row>
    <row r="230" spans="1:40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107"/>
      <c r="AH230" s="49"/>
      <c r="AI230" s="49"/>
      <c r="AJ230" s="49"/>
      <c r="AK230" s="107"/>
      <c r="AL230" s="49"/>
      <c r="AM230" s="49"/>
      <c r="AN230" s="49"/>
    </row>
    <row r="231" spans="1:40">
      <c r="L231" s="44"/>
      <c r="M231" s="44"/>
      <c r="N231" s="44"/>
      <c r="O231" s="44"/>
      <c r="R231" s="44"/>
      <c r="AA231" s="44"/>
      <c r="AB231" s="44"/>
      <c r="AC231" s="44"/>
      <c r="AD231" s="44"/>
      <c r="AE231" s="44"/>
      <c r="AF231" s="44"/>
      <c r="AG231" s="102"/>
      <c r="AH231" s="44"/>
      <c r="AK231" s="102"/>
      <c r="AL231" s="44"/>
      <c r="AM231" s="44"/>
      <c r="AN231" s="44"/>
    </row>
    <row r="232" spans="1:40">
      <c r="L232" s="44"/>
      <c r="M232" s="44"/>
      <c r="N232" s="44"/>
      <c r="O232" s="44"/>
      <c r="R232" s="44"/>
      <c r="Z232" s="44"/>
      <c r="AA232" s="44"/>
      <c r="AB232" s="44"/>
      <c r="AC232" s="44"/>
      <c r="AD232" s="44"/>
      <c r="AE232" s="44"/>
      <c r="AF232" s="44"/>
      <c r="AG232" s="102"/>
      <c r="AH232" s="44"/>
      <c r="AK232" s="102"/>
      <c r="AL232" s="44"/>
      <c r="AM232" s="44"/>
      <c r="AN232" s="44"/>
    </row>
    <row r="233" spans="1:40">
      <c r="A233" s="44"/>
      <c r="C233" s="44"/>
      <c r="D233" s="44"/>
      <c r="E233" s="44"/>
      <c r="F233" s="44"/>
      <c r="J233" s="44"/>
      <c r="K233" s="44"/>
      <c r="L233" s="44"/>
      <c r="M233" s="44"/>
      <c r="N233" s="44"/>
      <c r="O233" s="44"/>
      <c r="P233" s="44"/>
      <c r="Q233" s="44"/>
      <c r="R233" s="44"/>
      <c r="T233" s="44"/>
      <c r="U233" s="44"/>
      <c r="V233" s="44"/>
      <c r="Z233" s="44"/>
      <c r="AA233" s="44"/>
      <c r="AB233" s="44"/>
      <c r="AC233" s="44"/>
      <c r="AD233" s="44"/>
      <c r="AE233" s="44"/>
      <c r="AF233" s="44"/>
      <c r="AG233" s="102"/>
      <c r="AH233" s="44"/>
      <c r="AI233" s="44"/>
      <c r="AJ233" s="44"/>
      <c r="AK233" s="102"/>
      <c r="AL233" s="44"/>
      <c r="AM233" s="44"/>
      <c r="AN233" s="44"/>
    </row>
    <row r="234" spans="1:40">
      <c r="A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T234" s="44"/>
      <c r="U234" s="44"/>
      <c r="V234" s="44"/>
      <c r="Y234" s="44"/>
      <c r="Z234" s="44"/>
      <c r="AA234" s="44"/>
      <c r="AB234" s="44"/>
      <c r="AC234" s="44"/>
      <c r="AD234" s="44"/>
      <c r="AE234" s="44"/>
      <c r="AF234" s="44"/>
      <c r="AG234" s="102"/>
      <c r="AH234" s="44"/>
      <c r="AI234" s="44"/>
      <c r="AJ234" s="44"/>
      <c r="AK234" s="102"/>
      <c r="AL234" s="44"/>
      <c r="AM234" s="44"/>
      <c r="AN234" s="44"/>
    </row>
    <row r="235" spans="1:40"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T235" s="44"/>
      <c r="U235" s="44"/>
      <c r="V235" s="44"/>
      <c r="Y235" s="44"/>
      <c r="Z235" s="44"/>
      <c r="AA235" s="44"/>
      <c r="AB235" s="44"/>
      <c r="AC235" s="44"/>
      <c r="AD235" s="44"/>
      <c r="AE235" s="44"/>
      <c r="AF235" s="44"/>
      <c r="AG235" s="102"/>
      <c r="AH235" s="44"/>
      <c r="AI235" s="44"/>
      <c r="AJ235" s="44"/>
      <c r="AK235" s="102"/>
      <c r="AL235" s="44"/>
      <c r="AM235" s="44"/>
      <c r="AN235" s="44"/>
    </row>
    <row r="236" spans="1:40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107"/>
      <c r="AH236" s="49"/>
      <c r="AI236" s="49"/>
      <c r="AJ236" s="49"/>
      <c r="AK236" s="107"/>
      <c r="AL236" s="49"/>
      <c r="AM236" s="49"/>
      <c r="AN236" s="49"/>
    </row>
    <row r="237" spans="1:40"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Y237" s="44"/>
      <c r="Z237" s="44"/>
      <c r="AA237" s="44"/>
      <c r="AB237" s="44"/>
      <c r="AC237" s="44"/>
      <c r="AD237" s="44"/>
      <c r="AE237" s="44"/>
      <c r="AF237" s="44"/>
      <c r="AG237" s="102"/>
      <c r="AH237" s="44"/>
      <c r="AI237" s="44"/>
      <c r="AJ237" s="44"/>
      <c r="AK237" s="102"/>
      <c r="AL237" s="44"/>
      <c r="AM237" s="44"/>
      <c r="AN237" s="44"/>
    </row>
    <row r="238" spans="1:40">
      <c r="C238" s="42"/>
      <c r="D238" s="42"/>
      <c r="E238" s="42"/>
      <c r="T238" s="42"/>
      <c r="U238" s="42"/>
    </row>
    <row r="239" spans="1:40">
      <c r="C239" s="42"/>
      <c r="T239" s="42"/>
    </row>
    <row r="241" spans="3:40">
      <c r="C241" s="42"/>
      <c r="F241" s="164"/>
      <c r="H241" s="164"/>
      <c r="I241" s="164"/>
      <c r="J241" s="316"/>
      <c r="K241" s="316"/>
      <c r="L241" s="45"/>
      <c r="M241" s="45"/>
      <c r="N241" s="46"/>
      <c r="O241" s="46"/>
      <c r="R241" s="45"/>
      <c r="T241" s="42"/>
      <c r="V241" s="45"/>
      <c r="Y241" s="164"/>
      <c r="Z241" s="316"/>
      <c r="AA241" s="45"/>
      <c r="AB241" s="45"/>
      <c r="AC241" s="46"/>
      <c r="AD241" s="46"/>
      <c r="AE241" s="45"/>
      <c r="AF241" s="45"/>
      <c r="AH241" s="51"/>
      <c r="AL241" s="45"/>
      <c r="AM241" s="46"/>
      <c r="AN241" s="46"/>
    </row>
    <row r="242" spans="3:40">
      <c r="F242" s="50"/>
      <c r="H242" s="45"/>
      <c r="I242" s="45"/>
      <c r="J242" s="326"/>
      <c r="K242" s="326"/>
      <c r="L242" s="50"/>
      <c r="M242" s="50"/>
      <c r="N242" s="50"/>
      <c r="O242" s="50"/>
      <c r="P242" s="50"/>
      <c r="Q242" s="50"/>
      <c r="R242" s="50"/>
      <c r="V242" s="50"/>
      <c r="Y242" s="45"/>
      <c r="Z242" s="326"/>
      <c r="AA242" s="50"/>
      <c r="AB242" s="50"/>
      <c r="AC242" s="50"/>
      <c r="AD242" s="50"/>
      <c r="AE242" s="50"/>
      <c r="AF242" s="50"/>
      <c r="AI242" s="50"/>
      <c r="AJ242" s="50"/>
      <c r="AK242" s="111"/>
      <c r="AL242" s="50"/>
      <c r="AM242" s="46"/>
      <c r="AN242" s="46"/>
    </row>
    <row r="243" spans="3:40">
      <c r="C243" s="42"/>
      <c r="F243" s="164"/>
      <c r="H243" s="164"/>
      <c r="I243" s="164"/>
      <c r="J243" s="336"/>
      <c r="K243" s="336"/>
      <c r="L243" s="45"/>
      <c r="M243" s="45"/>
      <c r="N243" s="46"/>
      <c r="O243" s="46"/>
      <c r="P243" s="45"/>
      <c r="Q243" s="45"/>
      <c r="R243" s="45"/>
      <c r="S243" s="45"/>
      <c r="T243" s="42"/>
      <c r="V243" s="164"/>
      <c r="Y243" s="164"/>
      <c r="Z243" s="336"/>
      <c r="AA243" s="45"/>
      <c r="AB243" s="45"/>
      <c r="AC243" s="46"/>
      <c r="AD243" s="46"/>
      <c r="AE243" s="45"/>
      <c r="AF243" s="45"/>
      <c r="AH243" s="46"/>
      <c r="AI243" s="45"/>
      <c r="AJ243" s="45"/>
      <c r="AL243" s="45"/>
      <c r="AM243" s="46"/>
      <c r="AN243" s="46"/>
    </row>
    <row r="244" spans="3:40">
      <c r="C244" s="42"/>
      <c r="F244" s="164"/>
      <c r="H244" s="164"/>
      <c r="I244" s="164"/>
      <c r="J244" s="316"/>
      <c r="K244" s="316"/>
      <c r="L244" s="45"/>
      <c r="M244" s="45"/>
      <c r="N244" s="46"/>
      <c r="O244" s="46"/>
      <c r="P244" s="45"/>
      <c r="Q244" s="45"/>
      <c r="R244" s="45"/>
      <c r="T244" s="42"/>
      <c r="V244" s="164"/>
      <c r="Y244" s="45"/>
      <c r="Z244" s="316"/>
      <c r="AA244" s="45"/>
      <c r="AB244" s="45"/>
      <c r="AC244" s="46"/>
      <c r="AD244" s="46"/>
      <c r="AE244" s="45"/>
      <c r="AF244" s="45"/>
      <c r="AH244" s="51"/>
      <c r="AI244" s="45"/>
      <c r="AJ244" s="45"/>
      <c r="AL244" s="45"/>
      <c r="AM244" s="46"/>
      <c r="AN244" s="46"/>
    </row>
    <row r="245" spans="3:40">
      <c r="C245" s="42"/>
      <c r="F245" s="164"/>
      <c r="H245" s="164"/>
      <c r="I245" s="164"/>
      <c r="J245" s="316"/>
      <c r="K245" s="316"/>
      <c r="L245" s="45"/>
      <c r="M245" s="45"/>
      <c r="N245" s="46"/>
      <c r="O245" s="46"/>
      <c r="P245" s="45"/>
      <c r="Q245" s="45"/>
      <c r="R245" s="45"/>
      <c r="T245" s="42"/>
      <c r="V245" s="164"/>
      <c r="Y245" s="45"/>
      <c r="Z245" s="316"/>
      <c r="AA245" s="45"/>
      <c r="AB245" s="45"/>
      <c r="AC245" s="46"/>
      <c r="AD245" s="46"/>
      <c r="AE245" s="45"/>
      <c r="AF245" s="45"/>
      <c r="AH245" s="51"/>
      <c r="AI245" s="45"/>
      <c r="AJ245" s="45"/>
      <c r="AL245" s="45"/>
      <c r="AM245" s="46"/>
      <c r="AN245" s="46"/>
    </row>
    <row r="246" spans="3:40">
      <c r="F246" s="50"/>
      <c r="H246" s="50"/>
      <c r="I246" s="50"/>
      <c r="J246" s="326"/>
      <c r="K246" s="326"/>
      <c r="L246" s="50"/>
      <c r="M246" s="50"/>
      <c r="N246" s="50"/>
      <c r="O246" s="50"/>
      <c r="P246" s="50"/>
      <c r="Q246" s="50"/>
      <c r="R246" s="50"/>
      <c r="V246" s="50"/>
      <c r="Y246" s="50"/>
      <c r="Z246" s="326"/>
      <c r="AA246" s="50"/>
      <c r="AB246" s="50"/>
      <c r="AC246" s="50"/>
      <c r="AD246" s="50"/>
      <c r="AE246" s="50"/>
      <c r="AF246" s="50"/>
      <c r="AI246" s="50"/>
      <c r="AJ246" s="50"/>
      <c r="AK246" s="111"/>
      <c r="AL246" s="50"/>
      <c r="AM246" s="46"/>
      <c r="AN246" s="46"/>
    </row>
    <row r="247" spans="3:40">
      <c r="C247" s="42"/>
      <c r="F247" s="45"/>
      <c r="H247" s="45"/>
      <c r="I247" s="45"/>
      <c r="J247" s="47"/>
      <c r="K247" s="47"/>
      <c r="L247" s="45"/>
      <c r="M247" s="45"/>
      <c r="N247" s="46"/>
      <c r="O247" s="46"/>
      <c r="P247" s="45"/>
      <c r="Q247" s="45"/>
      <c r="R247" s="45"/>
      <c r="T247" s="42"/>
      <c r="V247" s="45"/>
      <c r="Y247" s="45"/>
      <c r="Z247" s="47"/>
      <c r="AA247" s="45"/>
      <c r="AB247" s="45"/>
      <c r="AC247" s="46"/>
      <c r="AD247" s="46"/>
      <c r="AE247" s="45"/>
      <c r="AF247" s="45"/>
      <c r="AH247" s="51"/>
      <c r="AI247" s="45"/>
      <c r="AJ247" s="45"/>
      <c r="AL247" s="45"/>
      <c r="AM247" s="46"/>
      <c r="AN247" s="46"/>
    </row>
    <row r="248" spans="3:40">
      <c r="F248" s="50"/>
      <c r="H248" s="50"/>
      <c r="I248" s="50"/>
      <c r="J248" s="326"/>
      <c r="K248" s="326"/>
      <c r="L248" s="50"/>
      <c r="M248" s="50"/>
      <c r="N248" s="50"/>
      <c r="O248" s="50"/>
      <c r="P248" s="50"/>
      <c r="Q248" s="50"/>
      <c r="R248" s="50"/>
      <c r="V248" s="50"/>
      <c r="Y248" s="50"/>
      <c r="Z248" s="326"/>
      <c r="AA248" s="50"/>
      <c r="AB248" s="50"/>
      <c r="AC248" s="50"/>
      <c r="AD248" s="50"/>
      <c r="AE248" s="50"/>
      <c r="AF248" s="50"/>
      <c r="AI248" s="50"/>
      <c r="AJ248" s="50"/>
      <c r="AK248" s="111"/>
      <c r="AL248" s="50"/>
      <c r="AM248" s="46"/>
      <c r="AN248" s="46"/>
    </row>
    <row r="249" spans="3:40">
      <c r="C249" s="42"/>
      <c r="F249" s="45"/>
      <c r="H249" s="45"/>
      <c r="I249" s="45"/>
      <c r="J249" s="47"/>
      <c r="K249" s="47"/>
      <c r="L249" s="45"/>
      <c r="M249" s="45"/>
      <c r="N249" s="46"/>
      <c r="O249" s="46"/>
      <c r="P249" s="45"/>
      <c r="Q249" s="45"/>
      <c r="R249" s="45"/>
      <c r="T249" s="42"/>
      <c r="V249" s="45"/>
      <c r="Y249" s="45"/>
      <c r="Z249" s="47"/>
      <c r="AA249" s="45"/>
      <c r="AB249" s="45"/>
      <c r="AC249" s="46"/>
      <c r="AD249" s="46"/>
      <c r="AE249" s="45"/>
      <c r="AF249" s="45"/>
      <c r="AH249" s="51"/>
      <c r="AI249" s="45"/>
      <c r="AJ249" s="45"/>
      <c r="AL249" s="45"/>
      <c r="AM249" s="46"/>
      <c r="AN249" s="46"/>
    </row>
    <row r="250" spans="3:40">
      <c r="C250" s="42"/>
      <c r="F250" s="45"/>
      <c r="H250" s="164"/>
      <c r="I250" s="164"/>
      <c r="J250" s="331"/>
      <c r="K250" s="331"/>
      <c r="L250" s="45"/>
      <c r="M250" s="45"/>
      <c r="N250" s="46"/>
      <c r="O250" s="46"/>
      <c r="P250" s="45"/>
      <c r="Q250" s="45"/>
      <c r="R250" s="45"/>
      <c r="T250" s="42"/>
      <c r="V250" s="45"/>
      <c r="Y250" s="45"/>
      <c r="Z250" s="325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3:40">
      <c r="H251" s="50"/>
      <c r="I251" s="50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  <c r="AM251" s="46"/>
      <c r="AN251" s="46"/>
    </row>
    <row r="252" spans="3:40">
      <c r="F252" s="50"/>
    </row>
    <row r="253" spans="3:40">
      <c r="C253" s="42"/>
      <c r="F253" s="45"/>
      <c r="H253" s="45"/>
      <c r="I253" s="45"/>
      <c r="J253" s="326"/>
      <c r="K253" s="326"/>
      <c r="L253" s="45"/>
      <c r="M253" s="45"/>
      <c r="N253" s="46"/>
      <c r="O253" s="46"/>
      <c r="P253" s="45"/>
      <c r="Q253" s="45"/>
      <c r="R253" s="45"/>
      <c r="S253" s="45"/>
      <c r="T253" s="42"/>
      <c r="V253" s="45"/>
      <c r="Y253" s="45"/>
      <c r="Z253" s="326"/>
      <c r="AA253" s="45"/>
      <c r="AB253" s="45"/>
      <c r="AC253" s="46"/>
      <c r="AD253" s="46"/>
      <c r="AE253" s="45"/>
      <c r="AF253" s="45"/>
      <c r="AH253" s="46"/>
      <c r="AI253" s="45"/>
      <c r="AJ253" s="45"/>
      <c r="AL253" s="45"/>
      <c r="AM253" s="46"/>
      <c r="AN253" s="46"/>
    </row>
    <row r="254" spans="3:40">
      <c r="F254" s="50"/>
      <c r="H254" s="50"/>
      <c r="I254" s="50"/>
      <c r="J254" s="326"/>
      <c r="K254" s="326"/>
      <c r="L254" s="50"/>
      <c r="M254" s="50"/>
      <c r="N254" s="50"/>
      <c r="O254" s="50"/>
      <c r="P254" s="50"/>
      <c r="Q254" s="50"/>
      <c r="R254" s="50"/>
      <c r="S254" s="45"/>
      <c r="V254" s="50"/>
      <c r="Y254" s="50"/>
      <c r="Z254" s="326"/>
      <c r="AA254" s="50"/>
      <c r="AB254" s="50"/>
      <c r="AC254" s="50"/>
      <c r="AD254" s="50"/>
      <c r="AE254" s="50"/>
      <c r="AF254" s="50"/>
      <c r="AI254" s="50"/>
      <c r="AJ254" s="50"/>
      <c r="AK254" s="111"/>
      <c r="AL254" s="50"/>
      <c r="AM254" s="46"/>
      <c r="AN254" s="46"/>
    </row>
    <row r="255" spans="3:40">
      <c r="C255" s="42"/>
      <c r="H255" s="164"/>
      <c r="I255" s="164"/>
      <c r="J255" s="326"/>
      <c r="K255" s="326"/>
      <c r="L255" s="45"/>
      <c r="M255" s="45"/>
      <c r="N255" s="46"/>
      <c r="O255" s="46"/>
      <c r="P255" s="45"/>
      <c r="Q255" s="45"/>
      <c r="R255" s="45"/>
      <c r="S255" s="45"/>
      <c r="T255" s="42"/>
      <c r="V255" s="164"/>
      <c r="Y255" s="164"/>
      <c r="Z255" s="326"/>
      <c r="AA255" s="45"/>
      <c r="AB255" s="45"/>
      <c r="AC255" s="46"/>
      <c r="AD255" s="46"/>
      <c r="AE255" s="45"/>
      <c r="AF255" s="45"/>
      <c r="AI255" s="45"/>
      <c r="AJ255" s="45"/>
      <c r="AL255" s="45"/>
      <c r="AM255" s="46"/>
      <c r="AN255" s="46"/>
    </row>
    <row r="256" spans="3:40">
      <c r="F256" s="164"/>
    </row>
    <row r="257" spans="3:40">
      <c r="C257" s="42"/>
      <c r="F257" s="164"/>
      <c r="H257" s="164"/>
      <c r="I257" s="164"/>
      <c r="J257" s="316"/>
      <c r="K257" s="316"/>
      <c r="L257" s="45"/>
      <c r="M257" s="45"/>
      <c r="N257" s="46"/>
      <c r="O257" s="46"/>
      <c r="R257" s="45"/>
      <c r="T257" s="42"/>
      <c r="V257" s="45"/>
      <c r="Y257" s="164"/>
      <c r="Z257" s="316"/>
      <c r="AA257" s="45"/>
      <c r="AB257" s="45"/>
      <c r="AC257" s="46"/>
      <c r="AD257" s="46"/>
      <c r="AE257" s="45"/>
      <c r="AF257" s="45"/>
      <c r="AH257" s="51"/>
      <c r="AL257" s="45"/>
      <c r="AM257" s="46"/>
      <c r="AN257" s="46"/>
    </row>
    <row r="258" spans="3:40">
      <c r="F258" s="50"/>
      <c r="H258" s="45"/>
      <c r="I258" s="45"/>
      <c r="J258" s="326"/>
      <c r="K258" s="326"/>
      <c r="L258" s="50"/>
      <c r="M258" s="50"/>
      <c r="N258" s="50"/>
      <c r="O258" s="50"/>
      <c r="P258" s="50"/>
      <c r="Q258" s="50"/>
      <c r="R258" s="50"/>
      <c r="V258" s="50"/>
      <c r="Y258" s="45"/>
      <c r="Z258" s="326"/>
      <c r="AA258" s="50"/>
      <c r="AB258" s="50"/>
      <c r="AC258" s="50"/>
      <c r="AD258" s="50"/>
      <c r="AE258" s="50"/>
      <c r="AF258" s="50"/>
      <c r="AI258" s="50"/>
      <c r="AJ258" s="50"/>
      <c r="AK258" s="111"/>
      <c r="AL258" s="50"/>
      <c r="AM258" s="46"/>
      <c r="AN258" s="46"/>
    </row>
    <row r="259" spans="3:40">
      <c r="C259" s="42"/>
      <c r="F259" s="164"/>
      <c r="H259" s="164"/>
      <c r="I259" s="164"/>
      <c r="J259" s="336"/>
      <c r="K259" s="336"/>
      <c r="L259" s="45"/>
      <c r="M259" s="45"/>
      <c r="N259" s="46"/>
      <c r="O259" s="46"/>
      <c r="P259" s="45"/>
      <c r="Q259" s="45"/>
      <c r="R259" s="45"/>
      <c r="S259" s="45"/>
      <c r="T259" s="42"/>
      <c r="V259" s="164"/>
      <c r="Y259" s="164"/>
      <c r="Z259" s="336"/>
      <c r="AA259" s="45"/>
      <c r="AB259" s="45"/>
      <c r="AC259" s="46"/>
      <c r="AD259" s="46"/>
      <c r="AE259" s="45"/>
      <c r="AF259" s="45"/>
      <c r="AH259" s="46"/>
      <c r="AI259" s="45"/>
      <c r="AJ259" s="45"/>
      <c r="AL259" s="45"/>
      <c r="AM259" s="46"/>
      <c r="AN259" s="46"/>
    </row>
    <row r="260" spans="3:40">
      <c r="C260" s="42"/>
      <c r="F260" s="164"/>
      <c r="H260" s="164"/>
      <c r="I260" s="164"/>
      <c r="J260" s="316"/>
      <c r="K260" s="316"/>
      <c r="L260" s="45"/>
      <c r="M260" s="45"/>
      <c r="N260" s="46"/>
      <c r="O260" s="46"/>
      <c r="P260" s="45"/>
      <c r="Q260" s="45"/>
      <c r="R260" s="45"/>
      <c r="T260" s="42"/>
      <c r="V260" s="164"/>
      <c r="Y260" s="45"/>
      <c r="Z260" s="316"/>
      <c r="AA260" s="45"/>
      <c r="AB260" s="45"/>
      <c r="AC260" s="46"/>
      <c r="AD260" s="46"/>
      <c r="AE260" s="45"/>
      <c r="AF260" s="45"/>
      <c r="AH260" s="51"/>
      <c r="AI260" s="45"/>
      <c r="AJ260" s="45"/>
      <c r="AL260" s="45"/>
      <c r="AM260" s="46"/>
      <c r="AN260" s="46"/>
    </row>
    <row r="261" spans="3:40">
      <c r="C261" s="42"/>
      <c r="F261" s="164"/>
      <c r="H261" s="164"/>
      <c r="I261" s="164"/>
      <c r="J261" s="316"/>
      <c r="K261" s="316"/>
      <c r="L261" s="45"/>
      <c r="M261" s="45"/>
      <c r="N261" s="46"/>
      <c r="O261" s="46"/>
      <c r="P261" s="45"/>
      <c r="Q261" s="45"/>
      <c r="R261" s="45"/>
      <c r="T261" s="42"/>
      <c r="V261" s="164"/>
      <c r="Y261" s="45"/>
      <c r="Z261" s="316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3:40">
      <c r="F262" s="50"/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  <c r="AM262" s="46"/>
      <c r="AN262" s="46"/>
    </row>
    <row r="263" spans="3:40">
      <c r="C263" s="42"/>
      <c r="F263" s="45"/>
      <c r="H263" s="45"/>
      <c r="I263" s="45"/>
      <c r="J263" s="47"/>
      <c r="K263" s="47"/>
      <c r="L263" s="45"/>
      <c r="M263" s="45"/>
      <c r="N263" s="46"/>
      <c r="O263" s="46"/>
      <c r="P263" s="45"/>
      <c r="Q263" s="45"/>
      <c r="R263" s="45"/>
      <c r="T263" s="42"/>
      <c r="V263" s="45"/>
      <c r="Y263" s="45"/>
      <c r="Z263" s="47"/>
      <c r="AA263" s="45"/>
      <c r="AB263" s="45"/>
      <c r="AC263" s="46"/>
      <c r="AD263" s="46"/>
      <c r="AE263" s="45"/>
      <c r="AF263" s="45"/>
      <c r="AH263" s="51"/>
      <c r="AI263" s="45"/>
      <c r="AJ263" s="45"/>
      <c r="AL263" s="45"/>
      <c r="AM263" s="46"/>
      <c r="AN263" s="46"/>
    </row>
    <row r="264" spans="3:40">
      <c r="F264" s="50"/>
      <c r="H264" s="50"/>
      <c r="I264" s="50"/>
      <c r="J264" s="326"/>
      <c r="K264" s="326"/>
      <c r="L264" s="50"/>
      <c r="M264" s="50"/>
      <c r="N264" s="50"/>
      <c r="O264" s="50"/>
      <c r="P264" s="50"/>
      <c r="Q264" s="50"/>
      <c r="R264" s="50"/>
      <c r="V264" s="50"/>
      <c r="Y264" s="50"/>
      <c r="Z264" s="326"/>
      <c r="AA264" s="50"/>
      <c r="AB264" s="50"/>
      <c r="AC264" s="50"/>
      <c r="AD264" s="50"/>
      <c r="AE264" s="50"/>
      <c r="AF264" s="50"/>
      <c r="AI264" s="50"/>
      <c r="AJ264" s="50"/>
      <c r="AK264" s="111"/>
      <c r="AL264" s="50"/>
      <c r="AM264" s="46"/>
      <c r="AN264" s="46"/>
    </row>
    <row r="265" spans="3:40">
      <c r="C265" s="42"/>
      <c r="F265" s="45"/>
      <c r="H265" s="45"/>
      <c r="I265" s="45"/>
      <c r="J265" s="47"/>
      <c r="K265" s="47"/>
      <c r="L265" s="45"/>
      <c r="M265" s="45"/>
      <c r="N265" s="46"/>
      <c r="O265" s="46"/>
      <c r="P265" s="45"/>
      <c r="Q265" s="45"/>
      <c r="R265" s="45"/>
      <c r="T265" s="42"/>
      <c r="V265" s="45"/>
      <c r="Y265" s="45"/>
      <c r="Z265" s="47"/>
      <c r="AA265" s="45"/>
      <c r="AB265" s="45"/>
      <c r="AC265" s="46"/>
      <c r="AD265" s="46"/>
      <c r="AE265" s="45"/>
      <c r="AF265" s="45"/>
      <c r="AH265" s="51"/>
      <c r="AI265" s="45"/>
      <c r="AJ265" s="45"/>
      <c r="AL265" s="45"/>
      <c r="AM265" s="46"/>
      <c r="AN265" s="46"/>
    </row>
    <row r="266" spans="3:40">
      <c r="C266" s="42"/>
      <c r="F266" s="45"/>
      <c r="H266" s="164"/>
      <c r="I266" s="164"/>
      <c r="J266" s="331"/>
      <c r="K266" s="331"/>
      <c r="L266" s="45"/>
      <c r="M266" s="45"/>
      <c r="N266" s="46"/>
      <c r="O266" s="46"/>
      <c r="P266" s="45"/>
      <c r="Q266" s="45"/>
      <c r="R266" s="45"/>
      <c r="T266" s="42"/>
      <c r="V266" s="45"/>
      <c r="Y266" s="45"/>
      <c r="Z266" s="325"/>
      <c r="AA266" s="45"/>
      <c r="AB266" s="45"/>
      <c r="AC266" s="46"/>
      <c r="AD266" s="46"/>
      <c r="AE266" s="45"/>
      <c r="AF266" s="45"/>
      <c r="AH266" s="51"/>
      <c r="AI266" s="45"/>
      <c r="AJ266" s="45"/>
      <c r="AL266" s="45"/>
      <c r="AM266" s="46"/>
      <c r="AN266" s="46"/>
    </row>
    <row r="267" spans="3:40">
      <c r="H267" s="50"/>
      <c r="I267" s="50"/>
      <c r="J267" s="326"/>
      <c r="K267" s="326"/>
      <c r="L267" s="50"/>
      <c r="M267" s="50"/>
      <c r="N267" s="50"/>
      <c r="O267" s="50"/>
      <c r="P267" s="50"/>
      <c r="Q267" s="50"/>
      <c r="R267" s="50"/>
      <c r="V267" s="50"/>
      <c r="Y267" s="50"/>
      <c r="Z267" s="326"/>
      <c r="AA267" s="50"/>
      <c r="AB267" s="50"/>
      <c r="AC267" s="50"/>
      <c r="AD267" s="50"/>
      <c r="AE267" s="50"/>
      <c r="AF267" s="50"/>
      <c r="AI267" s="50"/>
      <c r="AJ267" s="50"/>
      <c r="AK267" s="111"/>
      <c r="AL267" s="50"/>
      <c r="AM267" s="46"/>
      <c r="AN267" s="46"/>
    </row>
    <row r="268" spans="3:40">
      <c r="F268" s="50"/>
    </row>
    <row r="269" spans="3:40">
      <c r="C269" s="42"/>
      <c r="F269" s="45"/>
      <c r="H269" s="45"/>
      <c r="I269" s="45"/>
      <c r="J269" s="326"/>
      <c r="K269" s="326"/>
      <c r="L269" s="45"/>
      <c r="M269" s="45"/>
      <c r="N269" s="46"/>
      <c r="O269" s="46"/>
      <c r="P269" s="45"/>
      <c r="Q269" s="45"/>
      <c r="R269" s="45"/>
      <c r="S269" s="45"/>
      <c r="T269" s="42"/>
      <c r="V269" s="45"/>
      <c r="Y269" s="45"/>
      <c r="Z269" s="326"/>
      <c r="AA269" s="45"/>
      <c r="AB269" s="45"/>
      <c r="AC269" s="46"/>
      <c r="AD269" s="46"/>
      <c r="AE269" s="45"/>
      <c r="AF269" s="45"/>
      <c r="AH269" s="46"/>
      <c r="AI269" s="45"/>
      <c r="AJ269" s="45"/>
      <c r="AL269" s="45"/>
      <c r="AM269" s="46"/>
      <c r="AN269" s="46"/>
    </row>
    <row r="270" spans="3:40">
      <c r="F270" s="50"/>
      <c r="H270" s="50"/>
      <c r="I270" s="50"/>
      <c r="J270" s="326"/>
      <c r="K270" s="326"/>
      <c r="L270" s="50"/>
      <c r="M270" s="50"/>
      <c r="N270" s="50"/>
      <c r="O270" s="50"/>
      <c r="P270" s="50"/>
      <c r="Q270" s="50"/>
      <c r="R270" s="50"/>
      <c r="S270" s="45"/>
      <c r="V270" s="50"/>
      <c r="Y270" s="50"/>
      <c r="Z270" s="326"/>
      <c r="AA270" s="50"/>
      <c r="AB270" s="50"/>
      <c r="AC270" s="50"/>
      <c r="AD270" s="50"/>
      <c r="AE270" s="50"/>
      <c r="AF270" s="50"/>
      <c r="AI270" s="50"/>
      <c r="AJ270" s="50"/>
      <c r="AK270" s="111"/>
      <c r="AL270" s="50"/>
      <c r="AM270" s="46"/>
      <c r="AN270" s="46"/>
    </row>
    <row r="271" spans="3:40">
      <c r="C271" s="42"/>
      <c r="T271" s="42"/>
    </row>
    <row r="272" spans="3:40">
      <c r="C272" s="42"/>
      <c r="F272" s="45"/>
      <c r="H272" s="45"/>
      <c r="I272" s="45"/>
      <c r="L272" s="45"/>
      <c r="M272" s="45"/>
      <c r="N272" s="46"/>
      <c r="O272" s="46"/>
      <c r="P272" s="164"/>
      <c r="Q272" s="164"/>
      <c r="R272" s="45"/>
      <c r="T272" s="42"/>
      <c r="V272" s="45"/>
      <c r="Y272" s="45"/>
      <c r="AA272" s="45"/>
      <c r="AB272" s="45"/>
      <c r="AC272" s="46"/>
      <c r="AD272" s="46"/>
      <c r="AE272" s="45"/>
      <c r="AF272" s="45"/>
      <c r="AH272" s="46"/>
      <c r="AI272" s="164"/>
      <c r="AJ272" s="164"/>
      <c r="AL272" s="45"/>
      <c r="AM272" s="46"/>
      <c r="AN272" s="46"/>
    </row>
    <row r="273" spans="1:40"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</row>
    <row r="274" spans="1:40">
      <c r="F274" s="50"/>
    </row>
    <row r="275" spans="1:40">
      <c r="C275" s="42"/>
      <c r="L275" s="45"/>
      <c r="M275" s="45"/>
      <c r="N275" s="45"/>
      <c r="O275" s="45"/>
      <c r="P275" s="45"/>
      <c r="Q275" s="45"/>
      <c r="R275" s="45"/>
      <c r="S275" s="45"/>
      <c r="T275" s="42"/>
      <c r="AA275" s="45"/>
      <c r="AB275" s="45"/>
      <c r="AC275" s="45"/>
      <c r="AD275" s="45"/>
      <c r="AI275" s="45"/>
      <c r="AJ275" s="45"/>
      <c r="AL275" s="45"/>
    </row>
    <row r="276" spans="1:40">
      <c r="A276" s="42"/>
    </row>
    <row r="278" spans="1:40">
      <c r="H278" s="42"/>
      <c r="I278" s="42"/>
      <c r="Y278" s="42"/>
    </row>
    <row r="280" spans="1:40">
      <c r="L280" s="42"/>
      <c r="M280" s="42"/>
      <c r="AA280" s="42"/>
      <c r="AB280" s="42"/>
    </row>
    <row r="281" spans="1:40">
      <c r="R281" s="42"/>
      <c r="AK281" s="110"/>
      <c r="AL281" s="42"/>
    </row>
    <row r="282" spans="1:40">
      <c r="R282" s="42"/>
      <c r="AK282" s="110"/>
      <c r="AL282" s="42"/>
    </row>
    <row r="283" spans="1:40">
      <c r="A283" s="42"/>
      <c r="R283" s="42"/>
      <c r="AK283" s="110"/>
      <c r="AL283" s="42"/>
    </row>
    <row r="284" spans="1:40">
      <c r="L284" s="42"/>
      <c r="M284" s="42"/>
      <c r="AA284" s="42"/>
      <c r="AB284" s="42"/>
    </row>
    <row r="285" spans="1:40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107"/>
      <c r="AH285" s="49"/>
      <c r="AI285" s="49"/>
      <c r="AJ285" s="49"/>
      <c r="AK285" s="107"/>
      <c r="AL285" s="49"/>
      <c r="AM285" s="49"/>
      <c r="AN285" s="49"/>
    </row>
    <row r="286" spans="1:40">
      <c r="L286" s="44"/>
      <c r="M286" s="44"/>
      <c r="N286" s="44"/>
      <c r="O286" s="44"/>
      <c r="R286" s="44"/>
      <c r="AA286" s="44"/>
      <c r="AB286" s="44"/>
      <c r="AC286" s="44"/>
      <c r="AD286" s="44"/>
      <c r="AE286" s="44"/>
      <c r="AF286" s="44"/>
      <c r="AG286" s="102"/>
      <c r="AH286" s="44"/>
      <c r="AK286" s="102"/>
      <c r="AL286" s="44"/>
      <c r="AM286" s="44"/>
      <c r="AN286" s="44"/>
    </row>
    <row r="287" spans="1:40">
      <c r="L287" s="44"/>
      <c r="M287" s="44"/>
      <c r="N287" s="44"/>
      <c r="O287" s="44"/>
      <c r="R287" s="44"/>
      <c r="Z287" s="44"/>
      <c r="AA287" s="44"/>
      <c r="AB287" s="44"/>
      <c r="AC287" s="44"/>
      <c r="AD287" s="44"/>
      <c r="AE287" s="44"/>
      <c r="AF287" s="44"/>
      <c r="AG287" s="102"/>
      <c r="AH287" s="44"/>
      <c r="AK287" s="102"/>
      <c r="AL287" s="44"/>
      <c r="AM287" s="44"/>
      <c r="AN287" s="44"/>
    </row>
    <row r="288" spans="1:40">
      <c r="A288" s="44"/>
      <c r="C288" s="44"/>
      <c r="D288" s="44"/>
      <c r="E288" s="44"/>
      <c r="F288" s="44"/>
      <c r="J288" s="44"/>
      <c r="K288" s="44"/>
      <c r="L288" s="44"/>
      <c r="M288" s="44"/>
      <c r="N288" s="44"/>
      <c r="O288" s="44"/>
      <c r="P288" s="44"/>
      <c r="Q288" s="44"/>
      <c r="R288" s="44"/>
      <c r="T288" s="44"/>
      <c r="U288" s="44"/>
      <c r="V288" s="44"/>
      <c r="Z288" s="44"/>
      <c r="AA288" s="44"/>
      <c r="AB288" s="44"/>
      <c r="AC288" s="44"/>
      <c r="AD288" s="44"/>
      <c r="AE288" s="44"/>
      <c r="AF288" s="44"/>
      <c r="AG288" s="102"/>
      <c r="AH288" s="44"/>
      <c r="AI288" s="44"/>
      <c r="AJ288" s="44"/>
      <c r="AK288" s="102"/>
      <c r="AL288" s="44"/>
      <c r="AM288" s="44"/>
      <c r="AN288" s="44"/>
    </row>
    <row r="289" spans="1:40">
      <c r="A289" s="44"/>
      <c r="C289" s="44"/>
      <c r="D289" s="44"/>
      <c r="E289" s="44"/>
      <c r="F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T289" s="44"/>
      <c r="U289" s="44"/>
      <c r="V289" s="44"/>
      <c r="Y289" s="44"/>
      <c r="Z289" s="44"/>
      <c r="AA289" s="44"/>
      <c r="AB289" s="44"/>
      <c r="AC289" s="44"/>
      <c r="AD289" s="44"/>
      <c r="AE289" s="44"/>
      <c r="AF289" s="44"/>
      <c r="AG289" s="102"/>
      <c r="AH289" s="44"/>
      <c r="AI289" s="44"/>
      <c r="AJ289" s="44"/>
      <c r="AK289" s="102"/>
      <c r="AL289" s="44"/>
      <c r="AM289" s="44"/>
      <c r="AN289" s="44"/>
    </row>
    <row r="290" spans="1:40">
      <c r="C290" s="44"/>
      <c r="D290" s="44"/>
      <c r="E290" s="44"/>
      <c r="F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T290" s="44"/>
      <c r="U290" s="44"/>
      <c r="V290" s="44"/>
      <c r="Y290" s="44"/>
      <c r="Z290" s="44"/>
      <c r="AA290" s="44"/>
      <c r="AB290" s="44"/>
      <c r="AC290" s="44"/>
      <c r="AD290" s="44"/>
      <c r="AE290" s="44"/>
      <c r="AF290" s="44"/>
      <c r="AG290" s="102"/>
      <c r="AH290" s="44"/>
      <c r="AI290" s="44"/>
      <c r="AJ290" s="44"/>
      <c r="AK290" s="102"/>
      <c r="AL290" s="44"/>
      <c r="AM290" s="44"/>
      <c r="AN290" s="44"/>
    </row>
    <row r="291" spans="1:40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107"/>
      <c r="AH291" s="49"/>
      <c r="AI291" s="49"/>
      <c r="AJ291" s="49"/>
      <c r="AK291" s="107"/>
      <c r="AL291" s="49"/>
      <c r="AM291" s="49"/>
      <c r="AN291" s="49"/>
    </row>
    <row r="292" spans="1:40"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Y292" s="44"/>
      <c r="Z292" s="44"/>
      <c r="AA292" s="44"/>
      <c r="AB292" s="44"/>
      <c r="AC292" s="44"/>
      <c r="AD292" s="44"/>
      <c r="AE292" s="44"/>
      <c r="AF292" s="44"/>
      <c r="AG292" s="102"/>
      <c r="AH292" s="44"/>
      <c r="AI292" s="44"/>
      <c r="AJ292" s="44"/>
      <c r="AK292" s="102"/>
      <c r="AL292" s="44"/>
      <c r="AM292" s="44"/>
      <c r="AN292" s="44"/>
    </row>
    <row r="293" spans="1:40">
      <c r="C293" s="42"/>
      <c r="D293" s="42"/>
      <c r="E293" s="42"/>
      <c r="T293" s="42"/>
      <c r="U293" s="42"/>
    </row>
    <row r="294" spans="1:40">
      <c r="D294" s="42"/>
      <c r="E294" s="42"/>
      <c r="U294" s="42"/>
    </row>
    <row r="296" spans="1:40">
      <c r="C296" s="42"/>
      <c r="T296" s="42"/>
    </row>
    <row r="297" spans="1:40">
      <c r="C297" s="42"/>
      <c r="F297" s="164"/>
      <c r="H297" s="164"/>
      <c r="I297" s="164"/>
      <c r="J297" s="132"/>
      <c r="K297" s="132"/>
      <c r="L297" s="45"/>
      <c r="M297" s="45"/>
      <c r="N297" s="46"/>
      <c r="O297" s="46"/>
      <c r="P297" s="45"/>
      <c r="Q297" s="45"/>
      <c r="R297" s="45"/>
      <c r="T297" s="42"/>
      <c r="V297" s="164"/>
      <c r="W297" s="45"/>
      <c r="X297" s="45"/>
      <c r="Y297" s="164"/>
      <c r="Z297" s="132"/>
      <c r="AA297" s="45"/>
      <c r="AB297" s="45"/>
      <c r="AC297" s="46"/>
      <c r="AD297" s="46"/>
      <c r="AE297" s="45"/>
      <c r="AF297" s="45"/>
      <c r="AH297" s="51"/>
      <c r="AI297" s="45"/>
      <c r="AJ297" s="45"/>
      <c r="AL297" s="45"/>
      <c r="AM297" s="46"/>
      <c r="AN297" s="46"/>
    </row>
    <row r="298" spans="1:40">
      <c r="C298" s="42"/>
      <c r="F298" s="45"/>
      <c r="H298" s="45"/>
      <c r="I298" s="45"/>
      <c r="J298" s="326"/>
      <c r="K298" s="326"/>
      <c r="L298" s="45"/>
      <c r="M298" s="45"/>
      <c r="N298" s="46"/>
      <c r="O298" s="46"/>
      <c r="P298" s="45"/>
      <c r="Q298" s="45"/>
      <c r="R298" s="45"/>
      <c r="T298" s="42"/>
      <c r="V298" s="164"/>
      <c r="W298" s="45"/>
      <c r="X298" s="45"/>
      <c r="Y298" s="164"/>
      <c r="Z298" s="326"/>
      <c r="AA298" s="45"/>
      <c r="AB298" s="45"/>
      <c r="AC298" s="46"/>
      <c r="AD298" s="46"/>
      <c r="AE298" s="45"/>
      <c r="AF298" s="45"/>
      <c r="AH298" s="51"/>
      <c r="AI298" s="45"/>
      <c r="AJ298" s="45"/>
      <c r="AL298" s="45"/>
      <c r="AM298" s="46"/>
      <c r="AN298" s="46"/>
    </row>
    <row r="299" spans="1:40">
      <c r="C299" s="42"/>
      <c r="F299" s="164"/>
      <c r="H299" s="164"/>
      <c r="I299" s="164"/>
      <c r="J299" s="132"/>
      <c r="K299" s="132"/>
      <c r="L299" s="45"/>
      <c r="M299" s="45"/>
      <c r="N299" s="46"/>
      <c r="O299" s="46"/>
      <c r="P299" s="45"/>
      <c r="Q299" s="45"/>
      <c r="R299" s="45"/>
      <c r="T299" s="42"/>
      <c r="V299" s="164"/>
      <c r="W299" s="45"/>
      <c r="X299" s="45"/>
      <c r="Y299" s="164"/>
      <c r="Z299" s="132"/>
      <c r="AA299" s="45"/>
      <c r="AB299" s="45"/>
      <c r="AC299" s="46"/>
      <c r="AD299" s="46"/>
      <c r="AE299" s="45"/>
      <c r="AF299" s="45"/>
      <c r="AH299" s="51"/>
      <c r="AI299" s="45"/>
      <c r="AJ299" s="45"/>
      <c r="AL299" s="45"/>
      <c r="AM299" s="46"/>
      <c r="AN299" s="46"/>
    </row>
    <row r="300" spans="1:40">
      <c r="C300" s="42"/>
      <c r="F300" s="164"/>
      <c r="H300" s="164"/>
      <c r="I300" s="164"/>
      <c r="J300" s="132"/>
      <c r="K300" s="132"/>
      <c r="L300" s="45"/>
      <c r="M300" s="45"/>
      <c r="N300" s="46"/>
      <c r="O300" s="46"/>
      <c r="P300" s="45"/>
      <c r="Q300" s="45"/>
      <c r="R300" s="45"/>
      <c r="T300" s="42"/>
      <c r="V300" s="164"/>
      <c r="W300" s="45"/>
      <c r="X300" s="45"/>
      <c r="Y300" s="164"/>
      <c r="Z300" s="132"/>
      <c r="AA300" s="45"/>
      <c r="AB300" s="45"/>
      <c r="AC300" s="46"/>
      <c r="AD300" s="46"/>
      <c r="AE300" s="45"/>
      <c r="AF300" s="45"/>
      <c r="AH300" s="51"/>
      <c r="AI300" s="45"/>
      <c r="AJ300" s="45"/>
      <c r="AL300" s="45"/>
      <c r="AM300" s="46"/>
      <c r="AN300" s="46"/>
    </row>
    <row r="301" spans="1:40">
      <c r="C301" s="42"/>
      <c r="F301" s="164"/>
      <c r="H301" s="164"/>
      <c r="I301" s="164"/>
      <c r="J301" s="132"/>
      <c r="K301" s="132"/>
      <c r="L301" s="45"/>
      <c r="M301" s="45"/>
      <c r="N301" s="46"/>
      <c r="O301" s="46"/>
      <c r="P301" s="45"/>
      <c r="Q301" s="45"/>
      <c r="R301" s="45"/>
      <c r="T301" s="42"/>
      <c r="V301" s="164"/>
      <c r="W301" s="45"/>
      <c r="X301" s="45"/>
      <c r="Y301" s="164"/>
      <c r="Z301" s="132"/>
      <c r="AA301" s="45"/>
      <c r="AB301" s="45"/>
      <c r="AC301" s="46"/>
      <c r="AD301" s="46"/>
      <c r="AE301" s="45"/>
      <c r="AF301" s="45"/>
      <c r="AH301" s="51"/>
      <c r="AI301" s="45"/>
      <c r="AJ301" s="45"/>
      <c r="AL301" s="45"/>
      <c r="AM301" s="46"/>
      <c r="AN301" s="46"/>
    </row>
    <row r="302" spans="1:40">
      <c r="C302" s="42"/>
      <c r="F302" s="45"/>
      <c r="H302" s="45"/>
      <c r="I302" s="45"/>
      <c r="J302" s="132"/>
      <c r="K302" s="132"/>
      <c r="L302" s="45"/>
      <c r="M302" s="45"/>
      <c r="N302" s="46"/>
      <c r="O302" s="46"/>
      <c r="P302" s="45"/>
      <c r="Q302" s="45"/>
      <c r="R302" s="45"/>
      <c r="T302" s="42"/>
      <c r="V302" s="164"/>
      <c r="W302" s="45"/>
      <c r="X302" s="45"/>
      <c r="Y302" s="164"/>
      <c r="Z302" s="132"/>
      <c r="AA302" s="45"/>
      <c r="AB302" s="45"/>
      <c r="AC302" s="46"/>
      <c r="AD302" s="46"/>
      <c r="AE302" s="45"/>
      <c r="AF302" s="45"/>
      <c r="AH302" s="51"/>
      <c r="AI302" s="45"/>
      <c r="AJ302" s="45"/>
      <c r="AL302" s="45"/>
      <c r="AM302" s="46"/>
      <c r="AN302" s="46"/>
    </row>
    <row r="303" spans="1:40">
      <c r="C303" s="42"/>
      <c r="F303" s="45"/>
      <c r="H303" s="45"/>
      <c r="I303" s="45"/>
      <c r="J303" s="132"/>
      <c r="K303" s="132"/>
      <c r="L303" s="45"/>
      <c r="M303" s="45"/>
      <c r="N303" s="46"/>
      <c r="O303" s="46"/>
      <c r="P303" s="45"/>
      <c r="Q303" s="45"/>
      <c r="R303" s="45"/>
      <c r="T303" s="42"/>
      <c r="V303" s="164"/>
      <c r="W303" s="45"/>
      <c r="X303" s="45"/>
      <c r="Y303" s="164"/>
      <c r="Z303" s="132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1:40">
      <c r="F304" s="54"/>
      <c r="H304" s="338"/>
      <c r="I304" s="338"/>
      <c r="J304" s="132"/>
      <c r="K304" s="132"/>
      <c r="L304" s="54"/>
      <c r="M304" s="54"/>
      <c r="N304" s="50"/>
      <c r="O304" s="50"/>
      <c r="P304" s="54"/>
      <c r="Q304" s="54"/>
      <c r="R304" s="54"/>
      <c r="V304" s="54"/>
      <c r="W304" s="45"/>
      <c r="X304" s="45"/>
      <c r="Y304" s="54"/>
      <c r="Z304" s="132"/>
      <c r="AA304" s="54"/>
      <c r="AB304" s="54"/>
      <c r="AC304" s="55"/>
      <c r="AD304" s="55"/>
      <c r="AE304" s="54"/>
      <c r="AF304" s="54"/>
      <c r="AH304" s="51"/>
      <c r="AI304" s="54"/>
      <c r="AJ304" s="54"/>
      <c r="AK304" s="107"/>
      <c r="AL304" s="54"/>
      <c r="AM304" s="46"/>
      <c r="AN304" s="46"/>
    </row>
    <row r="305" spans="1:40">
      <c r="C305" s="42"/>
      <c r="F305" s="45"/>
      <c r="H305" s="45"/>
      <c r="I305" s="45"/>
      <c r="J305" s="132"/>
      <c r="K305" s="132"/>
      <c r="L305" s="45"/>
      <c r="M305" s="45"/>
      <c r="N305" s="51"/>
      <c r="O305" s="51"/>
      <c r="P305" s="45"/>
      <c r="Q305" s="45"/>
      <c r="R305" s="45"/>
      <c r="T305" s="44"/>
      <c r="V305" s="45"/>
      <c r="W305" s="45"/>
      <c r="X305" s="45"/>
      <c r="Y305" s="45"/>
      <c r="Z305" s="132"/>
      <c r="AA305" s="45"/>
      <c r="AB305" s="45"/>
      <c r="AC305" s="51"/>
      <c r="AD305" s="51"/>
      <c r="AE305" s="45"/>
      <c r="AF305" s="45"/>
      <c r="AH305" s="51"/>
      <c r="AI305" s="45"/>
      <c r="AJ305" s="45"/>
      <c r="AL305" s="45"/>
      <c r="AM305" s="46"/>
      <c r="AN305" s="46"/>
    </row>
    <row r="306" spans="1:40">
      <c r="F306" s="49"/>
      <c r="H306" s="49"/>
      <c r="I306" s="49"/>
      <c r="L306" s="49"/>
      <c r="M306" s="49"/>
      <c r="N306" s="55"/>
      <c r="O306" s="55"/>
      <c r="P306" s="54"/>
      <c r="Q306" s="54"/>
      <c r="R306" s="54"/>
      <c r="V306" s="54"/>
      <c r="Y306" s="54"/>
      <c r="Z306" s="326"/>
      <c r="AA306" s="54"/>
      <c r="AB306" s="54"/>
      <c r="AC306" s="54"/>
      <c r="AD306" s="54"/>
      <c r="AE306" s="54"/>
      <c r="AF306" s="54"/>
      <c r="AI306" s="54"/>
      <c r="AJ306" s="54"/>
      <c r="AK306" s="107"/>
      <c r="AL306" s="54"/>
      <c r="AM306" s="55"/>
      <c r="AN306" s="55"/>
    </row>
    <row r="311" spans="1:40">
      <c r="N311" s="45"/>
      <c r="O311" s="45"/>
      <c r="P311" s="45"/>
      <c r="Q311" s="45"/>
      <c r="R311" s="45"/>
      <c r="V311" s="45"/>
      <c r="Y311" s="45"/>
      <c r="Z311" s="47"/>
      <c r="AA311" s="45"/>
      <c r="AB311" s="45"/>
      <c r="AC311" s="46"/>
      <c r="AD311" s="46"/>
      <c r="AE311" s="45"/>
      <c r="AF311" s="45"/>
      <c r="AH311" s="51"/>
      <c r="AI311" s="45"/>
      <c r="AJ311" s="45"/>
      <c r="AL311" s="45"/>
      <c r="AM311" s="46"/>
      <c r="AN311" s="46"/>
    </row>
    <row r="312" spans="1:40">
      <c r="C312" s="42"/>
      <c r="D312" s="42"/>
      <c r="E312" s="42"/>
      <c r="J312" s="56"/>
      <c r="K312" s="56"/>
      <c r="T312" s="42"/>
      <c r="U312" s="42"/>
      <c r="Z312" s="56"/>
      <c r="AE312" s="45"/>
      <c r="AF312" s="45"/>
      <c r="AI312" s="45"/>
      <c r="AJ312" s="45"/>
      <c r="AL312" s="45"/>
      <c r="AM312" s="46"/>
      <c r="AN312" s="46"/>
    </row>
    <row r="313" spans="1:40">
      <c r="D313" s="42"/>
      <c r="E313" s="42"/>
      <c r="F313" s="45"/>
      <c r="H313" s="45"/>
      <c r="I313" s="45"/>
      <c r="J313" s="132"/>
      <c r="K313" s="132"/>
      <c r="L313" s="45"/>
      <c r="M313" s="45"/>
      <c r="N313" s="46"/>
      <c r="O313" s="46"/>
      <c r="P313" s="45"/>
      <c r="Q313" s="45"/>
      <c r="R313" s="45"/>
      <c r="U313" s="42"/>
      <c r="V313" s="45"/>
      <c r="Y313" s="45"/>
      <c r="Z313" s="132"/>
      <c r="AA313" s="45"/>
      <c r="AB313" s="45"/>
      <c r="AC313" s="46"/>
      <c r="AD313" s="46"/>
      <c r="AE313" s="45"/>
      <c r="AF313" s="45"/>
      <c r="AH313" s="51"/>
      <c r="AI313" s="45"/>
      <c r="AJ313" s="45"/>
      <c r="AL313" s="45"/>
      <c r="AM313" s="46"/>
      <c r="AN313" s="46"/>
    </row>
    <row r="314" spans="1:40">
      <c r="F314" s="45"/>
      <c r="H314" s="45"/>
      <c r="I314" s="45"/>
      <c r="J314" s="326"/>
      <c r="K314" s="326"/>
      <c r="L314" s="45"/>
      <c r="M314" s="45"/>
      <c r="N314" s="45"/>
      <c r="O314" s="45"/>
      <c r="P314" s="45"/>
      <c r="Q314" s="45"/>
      <c r="R314" s="45"/>
      <c r="V314" s="45"/>
      <c r="Y314" s="45"/>
      <c r="Z314" s="326"/>
      <c r="AA314" s="45"/>
      <c r="AB314" s="45"/>
      <c r="AC314" s="45"/>
      <c r="AD314" s="45"/>
      <c r="AE314" s="45"/>
      <c r="AF314" s="45"/>
      <c r="AH314" s="51"/>
      <c r="AI314" s="164"/>
      <c r="AJ314" s="164"/>
      <c r="AL314" s="45"/>
      <c r="AM314" s="46"/>
      <c r="AN314" s="46"/>
    </row>
    <row r="315" spans="1:40">
      <c r="C315" s="42"/>
      <c r="F315" s="164"/>
      <c r="H315" s="164"/>
      <c r="I315" s="164"/>
      <c r="J315" s="325"/>
      <c r="K315" s="325"/>
      <c r="L315" s="45"/>
      <c r="M315" s="45"/>
      <c r="N315" s="46"/>
      <c r="O315" s="46"/>
      <c r="P315" s="45"/>
      <c r="Q315" s="45"/>
      <c r="R315" s="45"/>
      <c r="T315" s="42"/>
      <c r="V315" s="164"/>
      <c r="Y315" s="164"/>
      <c r="Z315" s="325"/>
      <c r="AA315" s="45"/>
      <c r="AB315" s="45"/>
      <c r="AC315" s="46"/>
      <c r="AD315" s="46"/>
      <c r="AE315" s="45"/>
      <c r="AF315" s="45"/>
      <c r="AH315" s="51"/>
      <c r="AI315" s="45"/>
      <c r="AJ315" s="45"/>
      <c r="AL315" s="45"/>
      <c r="AM315" s="46"/>
      <c r="AN315" s="46"/>
    </row>
    <row r="316" spans="1:40">
      <c r="F316" s="49"/>
      <c r="H316" s="49"/>
      <c r="I316" s="49"/>
      <c r="L316" s="49"/>
      <c r="M316" s="49"/>
      <c r="N316" s="49"/>
      <c r="O316" s="49"/>
      <c r="P316" s="49"/>
      <c r="Q316" s="49"/>
      <c r="R316" s="49"/>
      <c r="V316" s="49"/>
      <c r="Y316" s="49"/>
      <c r="AA316" s="49"/>
      <c r="AB316" s="49"/>
      <c r="AC316" s="49"/>
      <c r="AD316" s="49"/>
      <c r="AE316" s="49"/>
      <c r="AF316" s="49"/>
      <c r="AG316" s="107"/>
      <c r="AH316" s="49"/>
      <c r="AI316" s="49"/>
      <c r="AJ316" s="49"/>
      <c r="AK316" s="107"/>
      <c r="AL316" s="49"/>
      <c r="AM316" s="49"/>
      <c r="AN316" s="49"/>
    </row>
    <row r="317" spans="1:40">
      <c r="C317" s="44"/>
      <c r="F317" s="164"/>
      <c r="H317" s="164"/>
      <c r="I317" s="164"/>
      <c r="J317" s="316"/>
      <c r="K317" s="316"/>
      <c r="L317" s="164"/>
      <c r="M317" s="164"/>
      <c r="N317" s="46"/>
      <c r="O317" s="46"/>
      <c r="P317" s="164"/>
      <c r="Q317" s="164"/>
      <c r="R317" s="164"/>
      <c r="T317" s="44"/>
      <c r="V317" s="45"/>
      <c r="Y317" s="45"/>
      <c r="Z317" s="47"/>
      <c r="AA317" s="45"/>
      <c r="AB317" s="45"/>
      <c r="AC317" s="46"/>
      <c r="AD317" s="46"/>
      <c r="AH317" s="51"/>
      <c r="AI317" s="45"/>
      <c r="AJ317" s="45"/>
      <c r="AL317" s="45"/>
      <c r="AM317" s="46"/>
      <c r="AN317" s="46"/>
    </row>
    <row r="318" spans="1:40">
      <c r="F318" s="54"/>
      <c r="H318" s="54"/>
      <c r="I318" s="54"/>
      <c r="J318" s="326"/>
      <c r="K318" s="326"/>
      <c r="L318" s="54"/>
      <c r="M318" s="54"/>
      <c r="N318" s="54"/>
      <c r="O318" s="54"/>
      <c r="P318" s="54"/>
      <c r="Q318" s="54"/>
      <c r="R318" s="54"/>
      <c r="V318" s="49"/>
      <c r="Y318" s="49"/>
      <c r="AA318" s="49"/>
      <c r="AB318" s="49"/>
      <c r="AC318" s="49"/>
      <c r="AD318" s="49"/>
      <c r="AE318" s="49"/>
      <c r="AF318" s="49"/>
      <c r="AG318" s="107"/>
      <c r="AH318" s="49"/>
      <c r="AI318" s="49"/>
      <c r="AJ318" s="49"/>
      <c r="AK318" s="107"/>
      <c r="AL318" s="49"/>
      <c r="AM318" s="49"/>
      <c r="AN318" s="49"/>
    </row>
    <row r="319" spans="1:40">
      <c r="F319" s="164"/>
      <c r="H319" s="164"/>
      <c r="I319" s="164"/>
      <c r="J319" s="336"/>
      <c r="K319" s="336"/>
      <c r="L319" s="45"/>
      <c r="M319" s="45"/>
      <c r="N319" s="46"/>
      <c r="O319" s="46"/>
      <c r="P319" s="45"/>
      <c r="Q319" s="45"/>
      <c r="R319" s="45"/>
    </row>
    <row r="320" spans="1:40">
      <c r="A320" s="42"/>
      <c r="F320" s="164"/>
      <c r="H320" s="164"/>
      <c r="I320" s="164"/>
      <c r="J320" s="316"/>
      <c r="K320" s="316"/>
      <c r="L320" s="45"/>
      <c r="M320" s="45"/>
      <c r="N320" s="46"/>
      <c r="O320" s="46"/>
      <c r="P320" s="45"/>
      <c r="Q320" s="45"/>
      <c r="R320" s="45"/>
    </row>
    <row r="321" spans="1:40">
      <c r="F321" s="164"/>
      <c r="H321" s="164"/>
      <c r="I321" s="164"/>
      <c r="J321" s="316"/>
      <c r="K321" s="316"/>
      <c r="L321" s="45"/>
      <c r="M321" s="45"/>
      <c r="N321" s="46"/>
      <c r="O321" s="46"/>
      <c r="P321" s="45"/>
      <c r="Q321" s="45"/>
      <c r="R321" s="45"/>
    </row>
    <row r="322" spans="1:40">
      <c r="A322" s="42"/>
    </row>
    <row r="325" spans="1:40">
      <c r="H325" s="42"/>
      <c r="I325" s="42"/>
      <c r="Y325" s="42"/>
    </row>
    <row r="327" spans="1:40">
      <c r="L327" s="42"/>
      <c r="M327" s="42"/>
      <c r="AA327" s="42"/>
      <c r="AB327" s="42"/>
    </row>
    <row r="328" spans="1:40">
      <c r="R328" s="42"/>
      <c r="AK328" s="110"/>
      <c r="AL328" s="42"/>
    </row>
    <row r="329" spans="1:40">
      <c r="R329" s="42"/>
      <c r="AK329" s="110"/>
      <c r="AL329" s="42"/>
    </row>
    <row r="330" spans="1:40">
      <c r="A330" s="42"/>
      <c r="R330" s="42"/>
      <c r="AK330" s="110"/>
      <c r="AL330" s="42"/>
    </row>
    <row r="331" spans="1:40">
      <c r="L331" s="42"/>
      <c r="M331" s="42"/>
      <c r="AA331" s="42"/>
      <c r="AB331" s="42"/>
    </row>
    <row r="332" spans="1:40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107"/>
      <c r="AH332" s="49"/>
      <c r="AI332" s="49"/>
      <c r="AJ332" s="49"/>
      <c r="AK332" s="107"/>
      <c r="AL332" s="49"/>
      <c r="AM332" s="49"/>
      <c r="AN332" s="49"/>
    </row>
    <row r="333" spans="1:40">
      <c r="L333" s="44"/>
      <c r="M333" s="44"/>
      <c r="N333" s="44"/>
      <c r="O333" s="44"/>
      <c r="R333" s="44"/>
      <c r="AA333" s="44"/>
      <c r="AB333" s="44"/>
      <c r="AC333" s="44"/>
      <c r="AD333" s="44"/>
      <c r="AE333" s="44"/>
      <c r="AF333" s="44"/>
      <c r="AG333" s="102"/>
      <c r="AH333" s="44"/>
      <c r="AK333" s="102"/>
      <c r="AL333" s="44"/>
      <c r="AM333" s="44"/>
      <c r="AN333" s="44"/>
    </row>
    <row r="334" spans="1:40">
      <c r="L334" s="44"/>
      <c r="M334" s="44"/>
      <c r="N334" s="44"/>
      <c r="O334" s="44"/>
      <c r="R334" s="44"/>
      <c r="Z334" s="44"/>
      <c r="AA334" s="44"/>
      <c r="AB334" s="44"/>
      <c r="AC334" s="44"/>
      <c r="AD334" s="44"/>
      <c r="AE334" s="44"/>
      <c r="AF334" s="44"/>
      <c r="AG334" s="102"/>
      <c r="AH334" s="44"/>
      <c r="AK334" s="102"/>
      <c r="AL334" s="44"/>
      <c r="AM334" s="44"/>
      <c r="AN334" s="44"/>
    </row>
    <row r="335" spans="1:40">
      <c r="A335" s="44"/>
      <c r="C335" s="44"/>
      <c r="D335" s="44"/>
      <c r="E335" s="44"/>
      <c r="F335" s="44"/>
      <c r="J335" s="44"/>
      <c r="K335" s="44"/>
      <c r="L335" s="44"/>
      <c r="M335" s="44"/>
      <c r="N335" s="44"/>
      <c r="O335" s="44"/>
      <c r="P335" s="44"/>
      <c r="Q335" s="44"/>
      <c r="R335" s="44"/>
      <c r="T335" s="44"/>
      <c r="U335" s="44"/>
      <c r="V335" s="44"/>
      <c r="Z335" s="44"/>
      <c r="AA335" s="44"/>
      <c r="AB335" s="44"/>
      <c r="AC335" s="44"/>
      <c r="AD335" s="44"/>
      <c r="AE335" s="44"/>
      <c r="AF335" s="44"/>
      <c r="AG335" s="102"/>
      <c r="AH335" s="44"/>
      <c r="AI335" s="44"/>
      <c r="AJ335" s="44"/>
      <c r="AK335" s="102"/>
      <c r="AL335" s="44"/>
      <c r="AM335" s="44"/>
      <c r="AN335" s="44"/>
    </row>
    <row r="336" spans="1:40">
      <c r="A336" s="44"/>
      <c r="C336" s="44"/>
      <c r="D336" s="44"/>
      <c r="E336" s="44"/>
      <c r="F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T336" s="44"/>
      <c r="U336" s="44"/>
      <c r="V336" s="44"/>
      <c r="Y336" s="44"/>
      <c r="Z336" s="44"/>
      <c r="AA336" s="44"/>
      <c r="AB336" s="44"/>
      <c r="AC336" s="44"/>
      <c r="AD336" s="44"/>
      <c r="AE336" s="44"/>
      <c r="AF336" s="44"/>
      <c r="AG336" s="102"/>
      <c r="AH336" s="44"/>
      <c r="AI336" s="44"/>
      <c r="AJ336" s="44"/>
      <c r="AK336" s="102"/>
      <c r="AL336" s="44"/>
      <c r="AM336" s="44"/>
      <c r="AN336" s="44"/>
    </row>
    <row r="337" spans="1:40">
      <c r="C337" s="44"/>
      <c r="D337" s="44"/>
      <c r="E337" s="44"/>
      <c r="F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T337" s="44"/>
      <c r="U337" s="44"/>
      <c r="V337" s="44"/>
      <c r="Y337" s="44"/>
      <c r="Z337" s="44"/>
      <c r="AA337" s="44"/>
      <c r="AB337" s="44"/>
      <c r="AC337" s="44"/>
      <c r="AD337" s="44"/>
      <c r="AE337" s="44"/>
      <c r="AF337" s="44"/>
      <c r="AG337" s="102"/>
      <c r="AH337" s="44"/>
      <c r="AI337" s="44"/>
      <c r="AJ337" s="44"/>
      <c r="AK337" s="102"/>
      <c r="AL337" s="44"/>
      <c r="AM337" s="44"/>
      <c r="AN337" s="44"/>
    </row>
    <row r="338" spans="1:40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107"/>
      <c r="AH338" s="49"/>
      <c r="AI338" s="49"/>
      <c r="AJ338" s="49"/>
      <c r="AK338" s="107"/>
      <c r="AL338" s="49"/>
      <c r="AM338" s="49"/>
      <c r="AN338" s="49"/>
    </row>
    <row r="339" spans="1:40"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Y339" s="44"/>
      <c r="Z339" s="44"/>
      <c r="AA339" s="44"/>
      <c r="AB339" s="44"/>
      <c r="AC339" s="44"/>
      <c r="AD339" s="44"/>
      <c r="AE339" s="44"/>
      <c r="AF339" s="44"/>
      <c r="AG339" s="102"/>
      <c r="AH339" s="44"/>
      <c r="AI339" s="44"/>
      <c r="AJ339" s="44"/>
      <c r="AK339" s="102"/>
      <c r="AL339" s="44"/>
      <c r="AM339" s="44"/>
      <c r="AN339" s="44"/>
    </row>
    <row r="340" spans="1:40">
      <c r="C340" s="42"/>
      <c r="D340" s="42"/>
      <c r="E340" s="42"/>
      <c r="T340" s="42"/>
      <c r="U340" s="42"/>
    </row>
    <row r="342" spans="1:40">
      <c r="C342" s="42"/>
      <c r="T342" s="42"/>
    </row>
    <row r="343" spans="1:40">
      <c r="C343" s="42"/>
      <c r="F343" s="164"/>
      <c r="H343" s="164"/>
      <c r="I343" s="164"/>
      <c r="J343" s="326"/>
      <c r="K343" s="326"/>
      <c r="L343" s="45"/>
      <c r="M343" s="45"/>
      <c r="N343" s="46"/>
      <c r="O343" s="46"/>
      <c r="P343" s="45"/>
      <c r="Q343" s="45"/>
      <c r="R343" s="45"/>
      <c r="T343" s="42"/>
      <c r="V343" s="164"/>
      <c r="Y343" s="164"/>
      <c r="Z343" s="326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1:40">
      <c r="C344" s="42"/>
      <c r="T344" s="42"/>
    </row>
    <row r="345" spans="1:40">
      <c r="C345" s="42"/>
      <c r="F345" s="164"/>
      <c r="H345" s="164"/>
      <c r="I345" s="164"/>
      <c r="J345" s="132"/>
      <c r="K345" s="132"/>
      <c r="L345" s="45"/>
      <c r="M345" s="45"/>
      <c r="N345" s="46"/>
      <c r="O345" s="46"/>
      <c r="P345" s="45"/>
      <c r="Q345" s="45"/>
      <c r="R345" s="45"/>
      <c r="T345" s="42"/>
      <c r="V345" s="45"/>
      <c r="Y345" s="45"/>
      <c r="Z345" s="132"/>
      <c r="AA345" s="45"/>
      <c r="AB345" s="45"/>
      <c r="AC345" s="46"/>
      <c r="AD345" s="46"/>
      <c r="AE345" s="45"/>
      <c r="AF345" s="45"/>
      <c r="AH345" s="51"/>
      <c r="AI345" s="45"/>
      <c r="AJ345" s="45"/>
      <c r="AL345" s="45"/>
      <c r="AM345" s="46"/>
      <c r="AN345" s="46"/>
    </row>
    <row r="346" spans="1:40">
      <c r="C346" s="42"/>
      <c r="F346" s="164"/>
      <c r="H346" s="164"/>
      <c r="I346" s="164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45"/>
      <c r="Y346" s="45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1:40">
      <c r="C347" s="42"/>
      <c r="F347" s="164"/>
      <c r="H347" s="164"/>
      <c r="I347" s="164"/>
      <c r="J347" s="132"/>
      <c r="K347" s="132"/>
      <c r="L347" s="45"/>
      <c r="M347" s="45"/>
      <c r="N347" s="46"/>
      <c r="O347" s="46"/>
      <c r="P347" s="45"/>
      <c r="Q347" s="45"/>
      <c r="R347" s="45"/>
      <c r="T347" s="42"/>
      <c r="V347" s="45"/>
      <c r="Y347" s="45"/>
      <c r="Z347" s="132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1:40">
      <c r="C348" s="42"/>
      <c r="F348" s="164"/>
      <c r="H348" s="164"/>
      <c r="I348" s="164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45"/>
      <c r="Y348" s="45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1:40">
      <c r="C349" s="42"/>
      <c r="J349" s="56"/>
      <c r="K349" s="56"/>
      <c r="T349" s="42"/>
      <c r="Z349" s="56"/>
    </row>
    <row r="350" spans="1:40">
      <c r="C350" s="42"/>
      <c r="F350" s="164"/>
      <c r="H350" s="164"/>
      <c r="I350" s="164"/>
      <c r="J350" s="132"/>
      <c r="K350" s="132"/>
      <c r="L350" s="45"/>
      <c r="M350" s="45"/>
      <c r="N350" s="46"/>
      <c r="O350" s="46"/>
      <c r="P350" s="45"/>
      <c r="Q350" s="45"/>
      <c r="R350" s="45"/>
      <c r="T350" s="42"/>
      <c r="V350" s="45"/>
      <c r="Y350" s="45"/>
      <c r="Z350" s="132"/>
      <c r="AA350" s="45"/>
      <c r="AB350" s="45"/>
      <c r="AC350" s="46"/>
      <c r="AD350" s="46"/>
      <c r="AE350" s="45"/>
      <c r="AF350" s="45"/>
      <c r="AH350" s="51"/>
      <c r="AI350" s="45"/>
      <c r="AJ350" s="45"/>
      <c r="AL350" s="45"/>
      <c r="AM350" s="46"/>
      <c r="AN350" s="46"/>
    </row>
    <row r="351" spans="1:40">
      <c r="C351" s="42"/>
      <c r="F351" s="164"/>
      <c r="H351" s="164"/>
      <c r="I351" s="164"/>
      <c r="J351" s="132"/>
      <c r="K351" s="132"/>
      <c r="L351" s="45"/>
      <c r="M351" s="45"/>
      <c r="N351" s="46"/>
      <c r="O351" s="46"/>
      <c r="P351" s="45"/>
      <c r="Q351" s="45"/>
      <c r="R351" s="45"/>
      <c r="T351" s="42"/>
      <c r="V351" s="45"/>
      <c r="Y351" s="45"/>
      <c r="Z351" s="132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1:40">
      <c r="C352" s="42"/>
      <c r="F352" s="164"/>
      <c r="H352" s="164"/>
      <c r="I352" s="164"/>
      <c r="J352" s="132"/>
      <c r="K352" s="132"/>
      <c r="L352" s="45"/>
      <c r="M352" s="45"/>
      <c r="N352" s="46"/>
      <c r="O352" s="46"/>
      <c r="P352" s="45"/>
      <c r="Q352" s="45"/>
      <c r="R352" s="45"/>
      <c r="T352" s="42"/>
      <c r="V352" s="45"/>
      <c r="Y352" s="45"/>
      <c r="Z352" s="132"/>
      <c r="AA352" s="45"/>
      <c r="AB352" s="45"/>
      <c r="AC352" s="46"/>
      <c r="AD352" s="46"/>
      <c r="AE352" s="45"/>
      <c r="AF352" s="45"/>
      <c r="AH352" s="51"/>
      <c r="AI352" s="45"/>
      <c r="AJ352" s="45"/>
      <c r="AL352" s="45"/>
      <c r="AM352" s="46"/>
      <c r="AN352" s="46"/>
    </row>
    <row r="353" spans="3:40">
      <c r="C353" s="42"/>
      <c r="J353" s="56"/>
      <c r="K353" s="56"/>
      <c r="T353" s="42"/>
      <c r="Z353" s="56"/>
    </row>
    <row r="354" spans="3:40">
      <c r="C354" s="42"/>
      <c r="F354" s="164"/>
      <c r="H354" s="164"/>
      <c r="I354" s="164"/>
      <c r="J354" s="132"/>
      <c r="K354" s="132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132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>
      <c r="C355" s="42"/>
      <c r="F355" s="164"/>
      <c r="H355" s="164"/>
      <c r="I355" s="164"/>
      <c r="J355" s="132"/>
      <c r="K355" s="132"/>
      <c r="L355" s="45"/>
      <c r="M355" s="45"/>
      <c r="N355" s="46"/>
      <c r="O355" s="46"/>
      <c r="P355" s="45"/>
      <c r="Q355" s="45"/>
      <c r="R355" s="45"/>
      <c r="T355" s="42"/>
      <c r="V355" s="45"/>
      <c r="Y355" s="45"/>
      <c r="Z355" s="132"/>
      <c r="AA355" s="45"/>
      <c r="AB355" s="45"/>
      <c r="AC355" s="46"/>
      <c r="AD355" s="46"/>
      <c r="AE355" s="45"/>
      <c r="AF355" s="45"/>
      <c r="AH355" s="51"/>
      <c r="AI355" s="45"/>
      <c r="AJ355" s="45"/>
      <c r="AL355" s="45"/>
      <c r="AM355" s="46"/>
      <c r="AN355" s="46"/>
    </row>
    <row r="356" spans="3:40">
      <c r="C356" s="42"/>
      <c r="J356" s="56"/>
      <c r="K356" s="56"/>
      <c r="T356" s="42"/>
      <c r="Z356" s="56"/>
    </row>
    <row r="357" spans="3:40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>
      <c r="F360" s="50"/>
      <c r="H360" s="50"/>
      <c r="I360" s="50"/>
      <c r="J360" s="132"/>
      <c r="K360" s="132"/>
      <c r="L360" s="50"/>
      <c r="M360" s="50"/>
      <c r="N360" s="50"/>
      <c r="O360" s="50"/>
      <c r="P360" s="50"/>
      <c r="Q360" s="50"/>
      <c r="R360" s="50"/>
      <c r="V360" s="50"/>
      <c r="Y360" s="50"/>
      <c r="Z360" s="132"/>
      <c r="AA360" s="50"/>
      <c r="AB360" s="50"/>
      <c r="AC360" s="50"/>
      <c r="AD360" s="50"/>
      <c r="AE360" s="50"/>
      <c r="AF360" s="50"/>
      <c r="AI360" s="50"/>
      <c r="AJ360" s="50"/>
      <c r="AK360" s="111"/>
      <c r="AL360" s="50"/>
    </row>
    <row r="361" spans="3:40">
      <c r="C361" s="44"/>
      <c r="F361" s="45"/>
      <c r="H361" s="45"/>
      <c r="I361" s="45"/>
      <c r="J361" s="56"/>
      <c r="K361" s="56"/>
      <c r="L361" s="45"/>
      <c r="M361" s="45"/>
      <c r="N361" s="51"/>
      <c r="O361" s="51"/>
      <c r="P361" s="45"/>
      <c r="Q361" s="45"/>
      <c r="R361" s="45"/>
      <c r="T361" s="44"/>
      <c r="V361" s="45"/>
      <c r="Y361" s="45"/>
      <c r="Z361" s="56"/>
      <c r="AA361" s="45"/>
      <c r="AB361" s="45"/>
      <c r="AC361" s="45"/>
      <c r="AD361" s="45"/>
      <c r="AE361" s="45"/>
      <c r="AF361" s="45"/>
      <c r="AH361" s="51"/>
      <c r="AI361" s="45"/>
      <c r="AJ361" s="45"/>
      <c r="AL361" s="45"/>
      <c r="AM361" s="46"/>
      <c r="AN361" s="46"/>
    </row>
    <row r="362" spans="3:40">
      <c r="F362" s="50"/>
      <c r="H362" s="50"/>
      <c r="I362" s="50"/>
      <c r="J362" s="132"/>
      <c r="K362" s="132"/>
      <c r="L362" s="50"/>
      <c r="M362" s="50"/>
      <c r="N362" s="50"/>
      <c r="O362" s="50"/>
      <c r="P362" s="50"/>
      <c r="Q362" s="50"/>
      <c r="R362" s="50"/>
      <c r="V362" s="50"/>
      <c r="Y362" s="50"/>
      <c r="Z362" s="132"/>
      <c r="AA362" s="50"/>
      <c r="AB362" s="50"/>
      <c r="AC362" s="50"/>
      <c r="AD362" s="50"/>
      <c r="AE362" s="50"/>
      <c r="AF362" s="50"/>
      <c r="AI362" s="50"/>
      <c r="AJ362" s="50"/>
      <c r="AK362" s="111"/>
      <c r="AL362" s="50"/>
    </row>
    <row r="363" spans="3:40">
      <c r="C363" s="42"/>
      <c r="J363" s="56"/>
      <c r="K363" s="56"/>
      <c r="T363" s="42"/>
      <c r="Z363" s="56"/>
    </row>
    <row r="364" spans="3:40">
      <c r="C364" s="42"/>
      <c r="J364" s="56"/>
      <c r="K364" s="56"/>
      <c r="T364" s="42"/>
      <c r="Z364" s="56"/>
    </row>
    <row r="365" spans="3:40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>
      <c r="C367" s="42"/>
      <c r="F367" s="164"/>
      <c r="H367" s="164"/>
      <c r="I367" s="164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45"/>
      <c r="Y367" s="45"/>
      <c r="Z367" s="132"/>
      <c r="AA367" s="45"/>
      <c r="AB367" s="45"/>
      <c r="AC367" s="46"/>
      <c r="AD367" s="46"/>
      <c r="AE367" s="45"/>
      <c r="AF367" s="45"/>
      <c r="AH367" s="51"/>
      <c r="AI367" s="45"/>
      <c r="AJ367" s="45"/>
      <c r="AL367" s="45"/>
      <c r="AM367" s="46"/>
      <c r="AN367" s="46"/>
    </row>
    <row r="368" spans="3:40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3:40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3:40">
      <c r="C371" s="42"/>
      <c r="F371" s="164"/>
      <c r="H371" s="164"/>
      <c r="I371" s="164"/>
      <c r="J371" s="132"/>
      <c r="K371" s="132"/>
      <c r="L371" s="45"/>
      <c r="M371" s="45"/>
      <c r="N371" s="46"/>
      <c r="O371" s="46"/>
      <c r="P371" s="45"/>
      <c r="Q371" s="45"/>
      <c r="R371" s="45"/>
      <c r="T371" s="42"/>
      <c r="V371" s="45"/>
      <c r="Y371" s="45"/>
      <c r="Z371" s="132"/>
      <c r="AA371" s="45"/>
      <c r="AB371" s="45"/>
      <c r="AC371" s="46"/>
      <c r="AD371" s="46"/>
      <c r="AE371" s="45"/>
      <c r="AF371" s="45"/>
      <c r="AH371" s="51"/>
      <c r="AI371" s="45"/>
      <c r="AJ371" s="45"/>
      <c r="AL371" s="45"/>
      <c r="AM371" s="46"/>
      <c r="AN371" s="46"/>
    </row>
    <row r="372" spans="3:40">
      <c r="C372" s="42"/>
      <c r="J372" s="56"/>
      <c r="K372" s="56"/>
      <c r="T372" s="42"/>
      <c r="Z372" s="56"/>
    </row>
    <row r="373" spans="3:40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Y373" s="45"/>
      <c r="Z373" s="132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Y374" s="45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45"/>
      <c r="Y375" s="45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>
      <c r="C377" s="42"/>
      <c r="J377" s="56"/>
      <c r="K377" s="56"/>
      <c r="T377" s="42"/>
      <c r="Z377" s="56"/>
    </row>
    <row r="378" spans="3:40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>
      <c r="C379" s="42"/>
      <c r="F379" s="164"/>
      <c r="H379" s="164"/>
      <c r="I379" s="164"/>
      <c r="J379" s="132"/>
      <c r="K379" s="132"/>
      <c r="L379" s="45"/>
      <c r="M379" s="45"/>
      <c r="N379" s="46"/>
      <c r="O379" s="46"/>
      <c r="P379" s="45"/>
      <c r="Q379" s="45"/>
      <c r="R379" s="45"/>
      <c r="T379" s="42"/>
      <c r="V379" s="45"/>
      <c r="Y379" s="45"/>
      <c r="Z379" s="132"/>
      <c r="AA379" s="45"/>
      <c r="AB379" s="45"/>
      <c r="AC379" s="46"/>
      <c r="AD379" s="46"/>
      <c r="AE379" s="45"/>
      <c r="AF379" s="45"/>
      <c r="AH379" s="51"/>
      <c r="AI379" s="45"/>
      <c r="AJ379" s="45"/>
      <c r="AL379" s="45"/>
      <c r="AM379" s="46"/>
      <c r="AN379" s="46"/>
    </row>
    <row r="380" spans="3:40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132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>
      <c r="F383" s="50"/>
      <c r="H383" s="50"/>
      <c r="I383" s="50"/>
      <c r="J383" s="326"/>
      <c r="K383" s="326"/>
      <c r="L383" s="50"/>
      <c r="M383" s="50"/>
      <c r="N383" s="50"/>
      <c r="O383" s="50"/>
      <c r="P383" s="50"/>
      <c r="Q383" s="50"/>
      <c r="R383" s="50"/>
      <c r="V383" s="50"/>
      <c r="Y383" s="50"/>
      <c r="Z383" s="132"/>
      <c r="AA383" s="50"/>
      <c r="AB383" s="50"/>
      <c r="AC383" s="50"/>
      <c r="AD383" s="50"/>
      <c r="AE383" s="50"/>
      <c r="AF383" s="50"/>
      <c r="AI383" s="50"/>
      <c r="AJ383" s="50"/>
      <c r="AK383" s="111"/>
      <c r="AL383" s="50"/>
    </row>
    <row r="384" spans="3:40">
      <c r="C384" s="42"/>
      <c r="F384" s="45"/>
      <c r="H384" s="45"/>
      <c r="I384" s="45"/>
      <c r="L384" s="45"/>
      <c r="M384" s="45"/>
      <c r="N384" s="51"/>
      <c r="O384" s="51"/>
      <c r="P384" s="45"/>
      <c r="Q384" s="45"/>
      <c r="R384" s="45"/>
      <c r="T384" s="42"/>
      <c r="V384" s="45"/>
      <c r="Y384" s="45"/>
      <c r="AA384" s="45"/>
      <c r="AB384" s="45"/>
      <c r="AC384" s="46"/>
      <c r="AD384" s="46"/>
      <c r="AE384" s="45"/>
      <c r="AF384" s="45"/>
      <c r="AH384" s="51"/>
      <c r="AI384" s="45"/>
      <c r="AJ384" s="45"/>
      <c r="AL384" s="45"/>
      <c r="AM384" s="46"/>
      <c r="AN384" s="46"/>
    </row>
    <row r="385" spans="1:40">
      <c r="F385" s="50"/>
      <c r="H385" s="50"/>
      <c r="I385" s="50"/>
      <c r="J385" s="326"/>
      <c r="K385" s="326"/>
      <c r="L385" s="50"/>
      <c r="M385" s="50"/>
      <c r="N385" s="50"/>
      <c r="O385" s="50"/>
      <c r="P385" s="50"/>
      <c r="Q385" s="50"/>
      <c r="R385" s="50"/>
      <c r="V385" s="50"/>
      <c r="Y385" s="50"/>
      <c r="Z385" s="326"/>
      <c r="AA385" s="50"/>
      <c r="AB385" s="50"/>
      <c r="AC385" s="50"/>
      <c r="AD385" s="50"/>
      <c r="AE385" s="50"/>
      <c r="AF385" s="50"/>
      <c r="AI385" s="50"/>
      <c r="AJ385" s="50"/>
      <c r="AK385" s="111"/>
      <c r="AL385" s="50"/>
    </row>
    <row r="386" spans="1:40">
      <c r="C386" s="42"/>
      <c r="T386" s="42"/>
    </row>
    <row r="387" spans="1:40">
      <c r="C387" s="42"/>
      <c r="F387" s="164"/>
      <c r="H387" s="164"/>
      <c r="I387" s="164"/>
      <c r="J387" s="316"/>
      <c r="K387" s="316"/>
      <c r="L387" s="45"/>
      <c r="M387" s="45"/>
      <c r="N387" s="46"/>
      <c r="O387" s="46"/>
      <c r="P387" s="45"/>
      <c r="Q387" s="45"/>
      <c r="R387" s="45"/>
      <c r="T387" s="42"/>
      <c r="V387" s="45"/>
      <c r="Y387" s="45"/>
      <c r="Z387" s="316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1:40">
      <c r="C388" s="42"/>
      <c r="F388" s="164"/>
      <c r="H388" s="164"/>
      <c r="I388" s="164"/>
      <c r="J388" s="316"/>
      <c r="K388" s="316"/>
      <c r="L388" s="45"/>
      <c r="M388" s="45"/>
      <c r="N388" s="46"/>
      <c r="O388" s="46"/>
      <c r="P388" s="45"/>
      <c r="Q388" s="45"/>
      <c r="R388" s="45"/>
      <c r="T388" s="42"/>
      <c r="V388" s="45"/>
      <c r="Y388" s="45"/>
      <c r="Z388" s="316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1:40">
      <c r="F389" s="50"/>
      <c r="H389" s="45"/>
      <c r="I389" s="45"/>
      <c r="J389" s="326"/>
      <c r="K389" s="326"/>
      <c r="L389" s="50"/>
      <c r="M389" s="50"/>
      <c r="N389" s="50"/>
      <c r="O389" s="50"/>
      <c r="P389" s="50"/>
      <c r="Q389" s="50"/>
      <c r="R389" s="50"/>
      <c r="V389" s="50"/>
      <c r="Y389" s="45"/>
      <c r="Z389" s="326"/>
      <c r="AA389" s="50"/>
      <c r="AB389" s="50"/>
      <c r="AC389" s="50"/>
      <c r="AD389" s="50"/>
      <c r="AE389" s="50"/>
      <c r="AF389" s="50"/>
      <c r="AI389" s="50"/>
      <c r="AJ389" s="50"/>
      <c r="AK389" s="111"/>
      <c r="AL389" s="50"/>
    </row>
    <row r="390" spans="1:40">
      <c r="F390" s="45"/>
      <c r="H390" s="45"/>
      <c r="I390" s="45"/>
      <c r="J390" s="326"/>
      <c r="K390" s="326"/>
      <c r="L390" s="45"/>
      <c r="M390" s="45"/>
      <c r="N390" s="45"/>
      <c r="O390" s="45"/>
      <c r="P390" s="45"/>
      <c r="Q390" s="45"/>
      <c r="R390" s="45"/>
      <c r="V390" s="45"/>
      <c r="Y390" s="45"/>
      <c r="Z390" s="326"/>
      <c r="AA390" s="45"/>
      <c r="AB390" s="45"/>
      <c r="AC390" s="45"/>
      <c r="AD390" s="45"/>
      <c r="AE390" s="45"/>
      <c r="AF390" s="45"/>
      <c r="AI390" s="45"/>
      <c r="AJ390" s="45"/>
      <c r="AL390" s="45"/>
    </row>
    <row r="391" spans="1:40">
      <c r="C391" s="42"/>
      <c r="F391" s="45"/>
      <c r="H391" s="45"/>
      <c r="I391" s="45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AA391" s="45"/>
      <c r="AB391" s="45"/>
      <c r="AC391" s="46"/>
      <c r="AD391" s="46"/>
      <c r="AE391" s="45"/>
      <c r="AF391" s="45"/>
      <c r="AH391" s="51"/>
      <c r="AI391" s="164"/>
      <c r="AJ391" s="164"/>
      <c r="AL391" s="45"/>
      <c r="AM391" s="46"/>
      <c r="AN391" s="46"/>
    </row>
    <row r="392" spans="1:40">
      <c r="H392" s="50"/>
      <c r="I392" s="50"/>
      <c r="J392" s="326"/>
      <c r="K392" s="326"/>
      <c r="L392" s="50"/>
      <c r="M392" s="50"/>
      <c r="N392" s="50"/>
      <c r="O392" s="50"/>
      <c r="P392" s="50"/>
      <c r="Q392" s="50"/>
      <c r="R392" s="50"/>
      <c r="V392" s="50"/>
      <c r="Y392" s="50"/>
      <c r="Z392" s="326"/>
      <c r="AA392" s="50"/>
      <c r="AB392" s="50"/>
      <c r="AC392" s="50"/>
      <c r="AD392" s="50"/>
      <c r="AE392" s="50"/>
      <c r="AF392" s="50"/>
      <c r="AI392" s="50"/>
      <c r="AJ392" s="50"/>
      <c r="AK392" s="111"/>
      <c r="AL392" s="50"/>
    </row>
    <row r="393" spans="1:40">
      <c r="F393" s="50"/>
    </row>
    <row r="394" spans="1:40">
      <c r="A394" s="42"/>
      <c r="T394" s="42"/>
    </row>
    <row r="395" spans="1:40">
      <c r="A395" s="42"/>
      <c r="T395" s="42"/>
    </row>
    <row r="396" spans="1:40">
      <c r="A396" s="42"/>
      <c r="T396" s="42"/>
    </row>
    <row r="397" spans="1:40">
      <c r="A397" s="42"/>
      <c r="T397" s="42"/>
    </row>
    <row r="398" spans="1:40">
      <c r="A398" s="42"/>
      <c r="T398" s="42"/>
    </row>
    <row r="399" spans="1:40">
      <c r="A399" s="42"/>
      <c r="T399" s="42"/>
    </row>
    <row r="400" spans="1:40">
      <c r="A400" s="42"/>
      <c r="T400" s="42"/>
    </row>
    <row r="401" spans="1:40">
      <c r="A401" s="42"/>
      <c r="T401" s="42"/>
    </row>
    <row r="402" spans="1:40">
      <c r="A402" s="42"/>
      <c r="T402" s="42"/>
    </row>
    <row r="404" spans="1:40">
      <c r="A404" s="42"/>
    </row>
    <row r="406" spans="1:40">
      <c r="H406" s="42"/>
      <c r="I406" s="42"/>
      <c r="Y406" s="42"/>
    </row>
    <row r="408" spans="1:40">
      <c r="L408" s="42"/>
      <c r="M408" s="42"/>
      <c r="AA408" s="42"/>
      <c r="AB408" s="42"/>
    </row>
    <row r="409" spans="1:40">
      <c r="R409" s="42"/>
      <c r="AK409" s="110"/>
      <c r="AL409" s="42"/>
    </row>
    <row r="410" spans="1:40">
      <c r="R410" s="42"/>
      <c r="AK410" s="110"/>
      <c r="AL410" s="42"/>
    </row>
    <row r="411" spans="1:40">
      <c r="A411" s="42"/>
      <c r="R411" s="42"/>
      <c r="AK411" s="110"/>
      <c r="AL411" s="42"/>
    </row>
    <row r="412" spans="1:40">
      <c r="L412" s="42"/>
      <c r="M412" s="42"/>
      <c r="AA412" s="42"/>
      <c r="AB412" s="42"/>
    </row>
    <row r="413" spans="1:40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107"/>
      <c r="AH413" s="49"/>
      <c r="AI413" s="49"/>
      <c r="AJ413" s="49"/>
      <c r="AK413" s="107"/>
      <c r="AL413" s="49"/>
      <c r="AM413" s="49"/>
      <c r="AN413" s="49"/>
    </row>
    <row r="414" spans="1:40">
      <c r="L414" s="44"/>
      <c r="M414" s="44"/>
      <c r="N414" s="44"/>
      <c r="O414" s="44"/>
      <c r="R414" s="44"/>
      <c r="AA414" s="44"/>
      <c r="AB414" s="44"/>
      <c r="AC414" s="44"/>
      <c r="AD414" s="44"/>
      <c r="AE414" s="44"/>
      <c r="AF414" s="44"/>
      <c r="AG414" s="102"/>
      <c r="AH414" s="44"/>
      <c r="AK414" s="102"/>
      <c r="AL414" s="44"/>
      <c r="AM414" s="44"/>
      <c r="AN414" s="44"/>
    </row>
    <row r="415" spans="1:40">
      <c r="L415" s="44"/>
      <c r="M415" s="44"/>
      <c r="N415" s="44"/>
      <c r="O415" s="44"/>
      <c r="R415" s="44"/>
      <c r="Z415" s="44"/>
      <c r="AA415" s="44"/>
      <c r="AB415" s="44"/>
      <c r="AC415" s="44"/>
      <c r="AD415" s="44"/>
      <c r="AE415" s="44"/>
      <c r="AF415" s="44"/>
      <c r="AG415" s="102"/>
      <c r="AH415" s="44"/>
      <c r="AK415" s="102"/>
      <c r="AL415" s="44"/>
      <c r="AM415" s="44"/>
      <c r="AN415" s="44"/>
    </row>
    <row r="416" spans="1:40">
      <c r="A416" s="44"/>
      <c r="C416" s="44"/>
      <c r="D416" s="44"/>
      <c r="E416" s="44"/>
      <c r="F416" s="44"/>
      <c r="J416" s="44"/>
      <c r="K416" s="44"/>
      <c r="L416" s="44"/>
      <c r="M416" s="44"/>
      <c r="N416" s="44"/>
      <c r="O416" s="44"/>
      <c r="P416" s="44"/>
      <c r="Q416" s="44"/>
      <c r="R416" s="44"/>
      <c r="T416" s="44"/>
      <c r="U416" s="44"/>
      <c r="V416" s="44"/>
      <c r="Z416" s="44"/>
      <c r="AA416" s="44"/>
      <c r="AB416" s="44"/>
      <c r="AC416" s="44"/>
      <c r="AD416" s="44"/>
      <c r="AE416" s="44"/>
      <c r="AF416" s="44"/>
      <c r="AG416" s="102"/>
      <c r="AH416" s="44"/>
      <c r="AI416" s="44"/>
      <c r="AJ416" s="44"/>
      <c r="AK416" s="102"/>
      <c r="AL416" s="44"/>
      <c r="AM416" s="44"/>
      <c r="AN416" s="44"/>
    </row>
    <row r="417" spans="1:40">
      <c r="A417" s="44"/>
      <c r="C417" s="44"/>
      <c r="D417" s="44"/>
      <c r="E417" s="44"/>
      <c r="F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T417" s="44"/>
      <c r="U417" s="44"/>
      <c r="V417" s="44"/>
      <c r="Y417" s="44"/>
      <c r="Z417" s="44"/>
      <c r="AA417" s="44"/>
      <c r="AB417" s="44"/>
      <c r="AC417" s="44"/>
      <c r="AD417" s="44"/>
      <c r="AE417" s="44"/>
      <c r="AF417" s="44"/>
      <c r="AG417" s="102"/>
      <c r="AH417" s="44"/>
      <c r="AI417" s="44"/>
      <c r="AJ417" s="44"/>
      <c r="AK417" s="102"/>
      <c r="AL417" s="44"/>
      <c r="AM417" s="44"/>
      <c r="AN417" s="44"/>
    </row>
    <row r="418" spans="1:40">
      <c r="C418" s="44"/>
      <c r="D418" s="44"/>
      <c r="E418" s="44"/>
      <c r="F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T418" s="44"/>
      <c r="U418" s="44"/>
      <c r="V418" s="44"/>
      <c r="Y418" s="44"/>
      <c r="Z418" s="44"/>
      <c r="AA418" s="44"/>
      <c r="AB418" s="44"/>
      <c r="AC418" s="44"/>
      <c r="AD418" s="44"/>
      <c r="AE418" s="44"/>
      <c r="AF418" s="44"/>
      <c r="AG418" s="102"/>
      <c r="AH418" s="44"/>
      <c r="AI418" s="44"/>
      <c r="AJ418" s="44"/>
      <c r="AK418" s="102"/>
      <c r="AL418" s="44"/>
      <c r="AM418" s="44"/>
      <c r="AN418" s="44"/>
    </row>
    <row r="419" spans="1:40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107"/>
      <c r="AH419" s="49"/>
      <c r="AI419" s="49"/>
      <c r="AJ419" s="49"/>
      <c r="AK419" s="107"/>
      <c r="AL419" s="49"/>
      <c r="AM419" s="49"/>
      <c r="AN419" s="49"/>
    </row>
    <row r="420" spans="1:40"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Y420" s="44"/>
      <c r="Z420" s="44"/>
      <c r="AA420" s="44"/>
      <c r="AB420" s="44"/>
      <c r="AC420" s="44"/>
      <c r="AD420" s="44"/>
      <c r="AE420" s="44"/>
      <c r="AF420" s="44"/>
      <c r="AG420" s="102"/>
      <c r="AH420" s="44"/>
      <c r="AI420" s="44"/>
      <c r="AJ420" s="44"/>
      <c r="AK420" s="102"/>
      <c r="AL420" s="44"/>
      <c r="AM420" s="44"/>
      <c r="AN420" s="44"/>
    </row>
    <row r="421" spans="1:40">
      <c r="C421" s="42"/>
      <c r="D421" s="42"/>
      <c r="E421" s="42"/>
      <c r="T421" s="42"/>
      <c r="U421" s="42"/>
    </row>
    <row r="422" spans="1:40">
      <c r="D422" s="42"/>
      <c r="E422" s="42"/>
      <c r="U422" s="42"/>
    </row>
    <row r="424" spans="1:40">
      <c r="C424" s="42"/>
      <c r="F424" s="45"/>
      <c r="J424" s="53"/>
      <c r="K424" s="53"/>
      <c r="L424" s="45"/>
      <c r="M424" s="45"/>
      <c r="R424" s="45"/>
      <c r="T424" s="42"/>
      <c r="V424" s="45"/>
      <c r="Z424" s="53"/>
      <c r="AA424" s="45"/>
      <c r="AB424" s="45"/>
      <c r="AH424" s="45"/>
      <c r="AL424" s="45"/>
    </row>
    <row r="425" spans="1:40">
      <c r="C425" s="42"/>
      <c r="F425" s="45"/>
      <c r="R425" s="45"/>
      <c r="T425" s="42"/>
      <c r="V425" s="45"/>
      <c r="AH425" s="45"/>
      <c r="AL425" s="45"/>
    </row>
    <row r="426" spans="1:40">
      <c r="AI426" s="45"/>
      <c r="AJ426" s="45"/>
      <c r="AL426" s="45"/>
      <c r="AM426" s="46"/>
      <c r="AN426" s="46"/>
    </row>
    <row r="427" spans="1:40">
      <c r="C427" s="42"/>
      <c r="F427" s="164"/>
      <c r="H427" s="164"/>
      <c r="I427" s="164"/>
      <c r="J427" s="336"/>
      <c r="K427" s="336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336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1:40">
      <c r="F428" s="45"/>
      <c r="H428" s="45"/>
      <c r="I428" s="45"/>
      <c r="J428" s="47"/>
      <c r="K428" s="47"/>
      <c r="L428" s="45"/>
      <c r="M428" s="45"/>
      <c r="P428" s="45"/>
      <c r="Q428" s="45"/>
      <c r="R428" s="45"/>
      <c r="V428" s="45"/>
      <c r="Y428" s="45"/>
      <c r="Z428" s="47"/>
      <c r="AA428" s="45"/>
      <c r="AB428" s="45"/>
      <c r="AI428" s="45"/>
      <c r="AJ428" s="45"/>
      <c r="AL428" s="45"/>
      <c r="AM428" s="46"/>
      <c r="AN428" s="46"/>
    </row>
    <row r="429" spans="1:40">
      <c r="F429" s="45"/>
      <c r="R429" s="45"/>
      <c r="V429" s="45"/>
      <c r="AL429" s="45"/>
      <c r="AM429" s="46"/>
      <c r="AN429" s="46"/>
    </row>
    <row r="430" spans="1:40">
      <c r="C430" s="42"/>
      <c r="F430" s="45"/>
      <c r="J430" s="53"/>
      <c r="K430" s="53"/>
      <c r="L430" s="45"/>
      <c r="M430" s="45"/>
      <c r="N430" s="46"/>
      <c r="O430" s="46"/>
      <c r="R430" s="45"/>
      <c r="T430" s="42"/>
      <c r="V430" s="45"/>
      <c r="Z430" s="53"/>
      <c r="AA430" s="45"/>
      <c r="AB430" s="45"/>
      <c r="AC430" s="46"/>
      <c r="AD430" s="46"/>
      <c r="AL430" s="45"/>
      <c r="AM430" s="46"/>
      <c r="AN430" s="46"/>
    </row>
    <row r="431" spans="1:40">
      <c r="C431" s="42"/>
      <c r="F431" s="45"/>
      <c r="H431" s="45"/>
      <c r="I431" s="45"/>
      <c r="J431" s="53"/>
      <c r="K431" s="53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53"/>
      <c r="AA431" s="45"/>
      <c r="AB431" s="45"/>
      <c r="AC431" s="46"/>
      <c r="AD431" s="46"/>
      <c r="AI431" s="45"/>
      <c r="AJ431" s="45"/>
      <c r="AL431" s="45"/>
      <c r="AM431" s="46"/>
      <c r="AN431" s="46"/>
    </row>
    <row r="432" spans="1:40">
      <c r="C432" s="42"/>
      <c r="T432" s="42"/>
      <c r="AM432" s="46"/>
      <c r="AN432" s="46"/>
    </row>
    <row r="433" spans="1:40">
      <c r="C433" s="42"/>
      <c r="T433" s="42"/>
      <c r="AM433" s="46"/>
      <c r="AN433" s="46"/>
    </row>
    <row r="434" spans="1:40">
      <c r="AM434" s="46"/>
      <c r="AN434" s="46"/>
    </row>
    <row r="435" spans="1:40">
      <c r="C435" s="42"/>
      <c r="F435" s="164"/>
      <c r="H435" s="164"/>
      <c r="I435" s="164"/>
      <c r="J435" s="336"/>
      <c r="K435" s="336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336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1:40">
      <c r="F436" s="50"/>
      <c r="H436" s="50"/>
      <c r="I436" s="50"/>
      <c r="J436" s="326"/>
      <c r="K436" s="326"/>
      <c r="L436" s="50"/>
      <c r="M436" s="50"/>
      <c r="N436" s="50"/>
      <c r="O436" s="50"/>
      <c r="P436" s="50"/>
      <c r="Q436" s="50"/>
      <c r="R436" s="50"/>
      <c r="V436" s="50"/>
      <c r="Y436" s="50"/>
      <c r="Z436" s="326"/>
      <c r="AA436" s="50"/>
      <c r="AB436" s="50"/>
      <c r="AC436" s="50"/>
      <c r="AD436" s="50"/>
      <c r="AE436" s="50"/>
      <c r="AF436" s="50"/>
      <c r="AI436" s="50"/>
      <c r="AJ436" s="50"/>
      <c r="AK436" s="111"/>
      <c r="AL436" s="50"/>
      <c r="AM436" s="46"/>
      <c r="AN436" s="46"/>
    </row>
    <row r="437" spans="1:40">
      <c r="H437" s="45"/>
      <c r="I437" s="45"/>
      <c r="Y437" s="45"/>
      <c r="AM437" s="46"/>
      <c r="AN437" s="46"/>
    </row>
    <row r="438" spans="1:40">
      <c r="C438" s="42"/>
      <c r="F438" s="45"/>
      <c r="H438" s="45"/>
      <c r="I438" s="45"/>
      <c r="L438" s="45"/>
      <c r="M438" s="45"/>
      <c r="N438" s="46"/>
      <c r="O438" s="46"/>
      <c r="P438" s="164"/>
      <c r="Q438" s="164"/>
      <c r="R438" s="45"/>
      <c r="T438" s="42"/>
      <c r="V438" s="45"/>
      <c r="Y438" s="45"/>
      <c r="AA438" s="45"/>
      <c r="AB438" s="45"/>
      <c r="AC438" s="46"/>
      <c r="AD438" s="46"/>
      <c r="AE438" s="45"/>
      <c r="AF438" s="45"/>
      <c r="AH438" s="51"/>
      <c r="AI438" s="164"/>
      <c r="AJ438" s="164"/>
      <c r="AL438" s="45"/>
      <c r="AM438" s="46"/>
      <c r="AN438" s="46"/>
    </row>
    <row r="439" spans="1:40">
      <c r="H439" s="50"/>
      <c r="I439" s="50"/>
      <c r="J439" s="326"/>
      <c r="K439" s="326"/>
      <c r="L439" s="50"/>
      <c r="M439" s="50"/>
      <c r="N439" s="50"/>
      <c r="O439" s="50"/>
      <c r="P439" s="50"/>
      <c r="Q439" s="50"/>
      <c r="R439" s="50"/>
      <c r="V439" s="50"/>
      <c r="Y439" s="50"/>
      <c r="Z439" s="326"/>
      <c r="AA439" s="50"/>
      <c r="AB439" s="50"/>
      <c r="AC439" s="50"/>
      <c r="AD439" s="50"/>
      <c r="AE439" s="50"/>
      <c r="AF439" s="50"/>
      <c r="AI439" s="50"/>
      <c r="AJ439" s="50"/>
      <c r="AK439" s="111"/>
      <c r="AL439" s="50"/>
      <c r="AM439" s="46"/>
      <c r="AN439" s="46"/>
    </row>
    <row r="440" spans="1:40">
      <c r="F440" s="50"/>
    </row>
    <row r="441" spans="1:40">
      <c r="F441" s="45"/>
      <c r="H441" s="45"/>
      <c r="I441" s="45"/>
      <c r="J441" s="47"/>
      <c r="K441" s="47"/>
      <c r="L441" s="45"/>
      <c r="M441" s="45"/>
      <c r="N441" s="45"/>
      <c r="O441" s="45"/>
      <c r="P441" s="45"/>
      <c r="Q441" s="45"/>
      <c r="R441" s="45"/>
      <c r="V441" s="45"/>
      <c r="Y441" s="45"/>
      <c r="Z441" s="47"/>
      <c r="AA441" s="45"/>
      <c r="AB441" s="45"/>
      <c r="AC441" s="45"/>
      <c r="AD441" s="45"/>
      <c r="AE441" s="45"/>
      <c r="AF441" s="45"/>
      <c r="AH441" s="45"/>
      <c r="AI441" s="45"/>
      <c r="AJ441" s="45"/>
      <c r="AL441" s="45"/>
    </row>
    <row r="442" spans="1:40">
      <c r="A442" s="42"/>
    </row>
    <row r="444" spans="1:40">
      <c r="H444" s="42"/>
      <c r="I444" s="42"/>
      <c r="Y444" s="42"/>
    </row>
    <row r="446" spans="1:40">
      <c r="L446" s="42"/>
      <c r="M446" s="42"/>
      <c r="AA446" s="42"/>
      <c r="AB446" s="42"/>
    </row>
    <row r="447" spans="1:40">
      <c r="R447" s="42"/>
      <c r="AK447" s="110"/>
      <c r="AL447" s="42"/>
    </row>
    <row r="448" spans="1:40">
      <c r="R448" s="42"/>
      <c r="AK448" s="110"/>
      <c r="AL448" s="42"/>
    </row>
    <row r="449" spans="1:40">
      <c r="A449" s="42"/>
      <c r="R449" s="42"/>
      <c r="AK449" s="110"/>
      <c r="AL449" s="42"/>
    </row>
    <row r="450" spans="1:40">
      <c r="L450" s="42"/>
      <c r="M450" s="42"/>
      <c r="AA450" s="42"/>
      <c r="AB450" s="42"/>
    </row>
    <row r="451" spans="1:40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107"/>
      <c r="AH451" s="49"/>
      <c r="AI451" s="49"/>
      <c r="AJ451" s="49"/>
      <c r="AK451" s="107"/>
      <c r="AL451" s="49"/>
      <c r="AM451" s="49"/>
      <c r="AN451" s="49"/>
    </row>
    <row r="452" spans="1:40">
      <c r="L452" s="44"/>
      <c r="M452" s="44"/>
      <c r="N452" s="44"/>
      <c r="O452" s="44"/>
      <c r="R452" s="44"/>
      <c r="AA452" s="44"/>
      <c r="AB452" s="44"/>
      <c r="AC452" s="44"/>
      <c r="AD452" s="44"/>
      <c r="AE452" s="44"/>
      <c r="AF452" s="44"/>
      <c r="AG452" s="102"/>
      <c r="AH452" s="44"/>
      <c r="AK452" s="102"/>
      <c r="AL452" s="44"/>
      <c r="AM452" s="44"/>
      <c r="AN452" s="44"/>
    </row>
    <row r="453" spans="1:40">
      <c r="L453" s="44"/>
      <c r="M453" s="44"/>
      <c r="N453" s="44"/>
      <c r="O453" s="44"/>
      <c r="R453" s="44"/>
      <c r="Z453" s="44"/>
      <c r="AA453" s="44"/>
      <c r="AB453" s="44"/>
      <c r="AC453" s="44"/>
      <c r="AD453" s="44"/>
      <c r="AE453" s="44"/>
      <c r="AF453" s="44"/>
      <c r="AG453" s="102"/>
      <c r="AH453" s="44"/>
      <c r="AK453" s="102"/>
      <c r="AL453" s="44"/>
      <c r="AM453" s="44"/>
      <c r="AN453" s="44"/>
    </row>
    <row r="454" spans="1:40">
      <c r="A454" s="44"/>
      <c r="C454" s="44"/>
      <c r="D454" s="44"/>
      <c r="E454" s="44"/>
      <c r="F454" s="44"/>
      <c r="J454" s="44"/>
      <c r="K454" s="44"/>
      <c r="L454" s="44"/>
      <c r="M454" s="44"/>
      <c r="N454" s="44"/>
      <c r="O454" s="44"/>
      <c r="P454" s="44"/>
      <c r="Q454" s="44"/>
      <c r="R454" s="44"/>
      <c r="T454" s="44"/>
      <c r="U454" s="44"/>
      <c r="V454" s="44"/>
      <c r="Z454" s="44"/>
      <c r="AA454" s="44"/>
      <c r="AB454" s="44"/>
      <c r="AC454" s="44"/>
      <c r="AD454" s="44"/>
      <c r="AE454" s="44"/>
      <c r="AF454" s="44"/>
      <c r="AG454" s="102"/>
      <c r="AH454" s="44"/>
      <c r="AI454" s="44"/>
      <c r="AJ454" s="44"/>
      <c r="AK454" s="102"/>
      <c r="AL454" s="44"/>
      <c r="AM454" s="44"/>
      <c r="AN454" s="44"/>
    </row>
    <row r="455" spans="1:40">
      <c r="A455" s="44"/>
      <c r="C455" s="44"/>
      <c r="D455" s="44"/>
      <c r="E455" s="44"/>
      <c r="F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T455" s="44"/>
      <c r="U455" s="44"/>
      <c r="V455" s="44"/>
      <c r="Y455" s="44"/>
      <c r="Z455" s="44"/>
      <c r="AA455" s="44"/>
      <c r="AB455" s="44"/>
      <c r="AC455" s="44"/>
      <c r="AD455" s="44"/>
      <c r="AE455" s="44"/>
      <c r="AF455" s="44"/>
      <c r="AG455" s="102"/>
      <c r="AH455" s="44"/>
      <c r="AI455" s="44"/>
      <c r="AJ455" s="44"/>
      <c r="AK455" s="102"/>
      <c r="AL455" s="44"/>
      <c r="AM455" s="44"/>
      <c r="AN455" s="44"/>
    </row>
    <row r="456" spans="1:40">
      <c r="C456" s="44"/>
      <c r="D456" s="44"/>
      <c r="E456" s="44"/>
      <c r="F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T456" s="44"/>
      <c r="U456" s="44"/>
      <c r="V456" s="44"/>
      <c r="Y456" s="44"/>
      <c r="Z456" s="44"/>
      <c r="AA456" s="44"/>
      <c r="AB456" s="44"/>
      <c r="AC456" s="44"/>
      <c r="AD456" s="44"/>
      <c r="AE456" s="44"/>
      <c r="AF456" s="44"/>
      <c r="AG456" s="102"/>
      <c r="AH456" s="44"/>
      <c r="AI456" s="44"/>
      <c r="AJ456" s="44"/>
      <c r="AK456" s="102"/>
      <c r="AL456" s="44"/>
      <c r="AM456" s="44"/>
      <c r="AN456" s="44"/>
    </row>
    <row r="457" spans="1:40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107"/>
      <c r="AH457" s="49"/>
      <c r="AI457" s="49"/>
      <c r="AJ457" s="49"/>
      <c r="AK457" s="107"/>
      <c r="AL457" s="49"/>
      <c r="AM457" s="49"/>
      <c r="AN457" s="49"/>
    </row>
    <row r="458" spans="1:40"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Y458" s="44"/>
      <c r="Z458" s="44"/>
      <c r="AA458" s="44"/>
      <c r="AB458" s="44"/>
      <c r="AC458" s="44"/>
      <c r="AD458" s="44"/>
      <c r="AE458" s="44"/>
      <c r="AF458" s="44"/>
      <c r="AG458" s="102"/>
      <c r="AH458" s="44"/>
      <c r="AI458" s="44"/>
      <c r="AJ458" s="44"/>
      <c r="AK458" s="102"/>
      <c r="AL458" s="44"/>
      <c r="AM458" s="44"/>
      <c r="AN458" s="44"/>
    </row>
    <row r="459" spans="1:40">
      <c r="C459" s="42"/>
      <c r="D459" s="42"/>
      <c r="E459" s="42"/>
      <c r="T459" s="42"/>
      <c r="U459" s="42"/>
      <c r="V459" s="45"/>
      <c r="W459" s="45"/>
      <c r="X459" s="45"/>
      <c r="Y459" s="45"/>
      <c r="Z459" s="336"/>
    </row>
    <row r="461" spans="1:40">
      <c r="C461" s="42"/>
      <c r="T461" s="42"/>
      <c r="V461" s="45"/>
      <c r="W461" s="45"/>
      <c r="X461" s="45"/>
      <c r="Y461" s="45"/>
      <c r="Z461" s="336"/>
    </row>
    <row r="462" spans="1:40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W462" s="45"/>
      <c r="X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1:40">
      <c r="C463" s="42"/>
      <c r="F463" s="164"/>
      <c r="H463" s="164"/>
      <c r="I463" s="164"/>
      <c r="J463" s="132"/>
      <c r="K463" s="132"/>
      <c r="L463" s="45"/>
      <c r="M463" s="45"/>
      <c r="N463" s="46"/>
      <c r="O463" s="46"/>
      <c r="P463" s="45"/>
      <c r="Q463" s="45"/>
      <c r="R463" s="45"/>
      <c r="T463" s="42"/>
      <c r="V463" s="45"/>
      <c r="W463" s="45"/>
      <c r="X463" s="45"/>
      <c r="Y463" s="45"/>
      <c r="Z463" s="132"/>
      <c r="AA463" s="45"/>
      <c r="AB463" s="45"/>
      <c r="AC463" s="46"/>
      <c r="AD463" s="46"/>
      <c r="AE463" s="45"/>
      <c r="AF463" s="45"/>
      <c r="AH463" s="51"/>
      <c r="AI463" s="45"/>
      <c r="AJ463" s="45"/>
      <c r="AL463" s="45"/>
      <c r="AM463" s="46"/>
      <c r="AN463" s="46"/>
    </row>
    <row r="464" spans="1:40">
      <c r="C464" s="42"/>
      <c r="F464" s="164"/>
      <c r="H464" s="164"/>
      <c r="I464" s="164"/>
      <c r="J464" s="132"/>
      <c r="K464" s="132"/>
      <c r="L464" s="45"/>
      <c r="M464" s="45"/>
      <c r="N464" s="46"/>
      <c r="O464" s="46"/>
      <c r="P464" s="45"/>
      <c r="Q464" s="45"/>
      <c r="R464" s="45"/>
      <c r="T464" s="42"/>
      <c r="V464" s="45"/>
      <c r="W464" s="45"/>
      <c r="X464" s="45"/>
      <c r="Y464" s="45"/>
      <c r="Z464" s="132"/>
      <c r="AA464" s="45"/>
      <c r="AB464" s="45"/>
      <c r="AC464" s="46"/>
      <c r="AD464" s="46"/>
      <c r="AE464" s="45"/>
      <c r="AF464" s="45"/>
      <c r="AH464" s="51"/>
      <c r="AI464" s="45"/>
      <c r="AJ464" s="45"/>
      <c r="AL464" s="45"/>
      <c r="AM464" s="46"/>
      <c r="AN464" s="46"/>
    </row>
    <row r="465" spans="1:40">
      <c r="C465" s="42"/>
      <c r="F465" s="164"/>
      <c r="H465" s="164"/>
      <c r="I465" s="164"/>
      <c r="J465" s="132"/>
      <c r="K465" s="132"/>
      <c r="L465" s="45"/>
      <c r="M465" s="45"/>
      <c r="N465" s="46"/>
      <c r="O465" s="46"/>
      <c r="P465" s="45"/>
      <c r="Q465" s="45"/>
      <c r="R465" s="45"/>
      <c r="T465" s="42"/>
      <c r="V465" s="45"/>
      <c r="W465" s="45"/>
      <c r="X465" s="45"/>
      <c r="Y465" s="45"/>
      <c r="Z465" s="132"/>
      <c r="AA465" s="45"/>
      <c r="AB465" s="45"/>
      <c r="AC465" s="46"/>
      <c r="AD465" s="46"/>
      <c r="AE465" s="45"/>
      <c r="AF465" s="45"/>
      <c r="AH465" s="51"/>
      <c r="AI465" s="45"/>
      <c r="AJ465" s="45"/>
      <c r="AL465" s="45"/>
      <c r="AM465" s="46"/>
      <c r="AN465" s="46"/>
    </row>
    <row r="466" spans="1:40">
      <c r="J466" s="56"/>
      <c r="K466" s="56"/>
      <c r="V466" s="45"/>
      <c r="W466" s="45"/>
      <c r="X466" s="45"/>
      <c r="Y466" s="45"/>
      <c r="Z466" s="132"/>
    </row>
    <row r="467" spans="1:40">
      <c r="C467" s="42"/>
      <c r="F467" s="164"/>
      <c r="H467" s="164"/>
      <c r="I467" s="164"/>
      <c r="J467" s="132"/>
      <c r="K467" s="132"/>
      <c r="L467" s="45"/>
      <c r="M467" s="45"/>
      <c r="N467" s="46"/>
      <c r="O467" s="46"/>
      <c r="P467" s="45"/>
      <c r="Q467" s="45"/>
      <c r="R467" s="45"/>
      <c r="T467" s="42"/>
      <c r="V467" s="45"/>
      <c r="W467" s="45"/>
      <c r="X467" s="45"/>
      <c r="Y467" s="45"/>
      <c r="Z467" s="132"/>
      <c r="AA467" s="45"/>
      <c r="AB467" s="45"/>
      <c r="AC467" s="46"/>
      <c r="AD467" s="46"/>
      <c r="AE467" s="45"/>
      <c r="AF467" s="45"/>
      <c r="AH467" s="51"/>
      <c r="AI467" s="45"/>
      <c r="AJ467" s="45"/>
      <c r="AL467" s="45"/>
      <c r="AM467" s="51"/>
      <c r="AN467" s="51"/>
    </row>
    <row r="468" spans="1:40">
      <c r="C468" s="42"/>
      <c r="J468" s="56"/>
      <c r="K468" s="56"/>
      <c r="T468" s="42"/>
      <c r="V468" s="45"/>
      <c r="W468" s="45"/>
      <c r="X468" s="45"/>
      <c r="Y468" s="45"/>
      <c r="Z468" s="132"/>
    </row>
    <row r="469" spans="1:40">
      <c r="C469" s="42"/>
      <c r="F469" s="164"/>
      <c r="H469" s="164"/>
      <c r="I469" s="164"/>
      <c r="J469" s="132"/>
      <c r="K469" s="132"/>
      <c r="L469" s="45"/>
      <c r="M469" s="45"/>
      <c r="N469" s="46"/>
      <c r="O469" s="46"/>
      <c r="P469" s="45"/>
      <c r="Q469" s="45"/>
      <c r="R469" s="45"/>
      <c r="T469" s="42"/>
      <c r="V469" s="45"/>
      <c r="W469" s="45"/>
      <c r="X469" s="45"/>
      <c r="Y469" s="45"/>
      <c r="Z469" s="132"/>
      <c r="AA469" s="45"/>
      <c r="AB469" s="45"/>
      <c r="AC469" s="46"/>
      <c r="AD469" s="46"/>
      <c r="AE469" s="45"/>
      <c r="AF469" s="45"/>
      <c r="AH469" s="51"/>
      <c r="AI469" s="45"/>
      <c r="AJ469" s="45"/>
      <c r="AL469" s="45"/>
      <c r="AM469" s="51"/>
      <c r="AN469" s="51"/>
    </row>
    <row r="470" spans="1:40">
      <c r="J470" s="56"/>
      <c r="K470" s="56"/>
      <c r="Z470" s="56"/>
    </row>
    <row r="471" spans="1:40">
      <c r="C471" s="42"/>
      <c r="J471" s="56"/>
      <c r="K471" s="56"/>
      <c r="T471" s="42"/>
      <c r="V471" s="45"/>
      <c r="W471" s="45"/>
      <c r="X471" s="45"/>
      <c r="Y471" s="45"/>
      <c r="Z471" s="132"/>
    </row>
    <row r="472" spans="1:40">
      <c r="C472" s="42"/>
      <c r="F472" s="164"/>
      <c r="H472" s="164"/>
      <c r="I472" s="164"/>
      <c r="J472" s="132"/>
      <c r="K472" s="132"/>
      <c r="L472" s="45"/>
      <c r="M472" s="45"/>
      <c r="N472" s="46"/>
      <c r="O472" s="46"/>
      <c r="P472" s="45"/>
      <c r="Q472" s="45"/>
      <c r="R472" s="45"/>
      <c r="T472" s="42"/>
      <c r="V472" s="45"/>
      <c r="W472" s="45"/>
      <c r="X472" s="45"/>
      <c r="Y472" s="45"/>
      <c r="Z472" s="132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51"/>
      <c r="AN472" s="51"/>
    </row>
    <row r="473" spans="1:40">
      <c r="C473" s="42"/>
      <c r="F473" s="164"/>
      <c r="H473" s="164"/>
      <c r="I473" s="164"/>
      <c r="J473" s="132"/>
      <c r="K473" s="132"/>
      <c r="L473" s="45"/>
      <c r="M473" s="45"/>
      <c r="N473" s="46"/>
      <c r="O473" s="46"/>
      <c r="P473" s="45"/>
      <c r="Q473" s="45"/>
      <c r="R473" s="45"/>
      <c r="T473" s="42"/>
      <c r="V473" s="45"/>
      <c r="W473" s="45"/>
      <c r="X473" s="45"/>
      <c r="Y473" s="45"/>
      <c r="Z473" s="132"/>
      <c r="AA473" s="45"/>
      <c r="AB473" s="45"/>
      <c r="AC473" s="46"/>
      <c r="AD473" s="46"/>
      <c r="AE473" s="45"/>
      <c r="AF473" s="45"/>
      <c r="AH473" s="51"/>
      <c r="AI473" s="45"/>
      <c r="AJ473" s="45"/>
      <c r="AL473" s="45"/>
      <c r="AM473" s="51"/>
      <c r="AN473" s="51"/>
    </row>
    <row r="474" spans="1:40">
      <c r="F474" s="50"/>
      <c r="H474" s="50"/>
      <c r="I474" s="50"/>
      <c r="J474" s="132"/>
      <c r="K474" s="132"/>
      <c r="L474" s="50"/>
      <c r="M474" s="50"/>
      <c r="N474" s="50"/>
      <c r="O474" s="50"/>
      <c r="P474" s="50"/>
      <c r="Q474" s="50"/>
      <c r="R474" s="50"/>
      <c r="V474" s="50"/>
      <c r="Y474" s="50"/>
      <c r="Z474" s="326"/>
      <c r="AA474" s="50"/>
      <c r="AB474" s="50"/>
      <c r="AC474" s="50"/>
      <c r="AD474" s="50"/>
      <c r="AE474" s="50"/>
      <c r="AF474" s="50"/>
      <c r="AI474" s="50"/>
      <c r="AJ474" s="50"/>
      <c r="AK474" s="111"/>
      <c r="AL474" s="50"/>
    </row>
    <row r="475" spans="1:40">
      <c r="C475" s="42"/>
      <c r="F475" s="45"/>
      <c r="H475" s="45"/>
      <c r="I475" s="45"/>
      <c r="L475" s="45"/>
      <c r="M475" s="45"/>
      <c r="N475" s="46"/>
      <c r="O475" s="46"/>
      <c r="P475" s="164"/>
      <c r="Q475" s="164"/>
      <c r="R475" s="45"/>
      <c r="T475" s="42"/>
      <c r="V475" s="45"/>
      <c r="W475" s="45"/>
      <c r="X475" s="45"/>
      <c r="Y475" s="45"/>
      <c r="Z475" s="336"/>
      <c r="AA475" s="45"/>
      <c r="AB475" s="45"/>
      <c r="AC475" s="46"/>
      <c r="AD475" s="46"/>
      <c r="AE475" s="45"/>
      <c r="AF475" s="45"/>
      <c r="AH475" s="51"/>
      <c r="AI475" s="164"/>
      <c r="AJ475" s="164"/>
      <c r="AL475" s="45"/>
      <c r="AM475" s="51"/>
      <c r="AN475" s="51"/>
    </row>
    <row r="476" spans="1:40">
      <c r="H476" s="50"/>
      <c r="I476" s="50"/>
      <c r="J476" s="326"/>
      <c r="K476" s="326"/>
      <c r="L476" s="50"/>
      <c r="M476" s="50"/>
      <c r="N476" s="50"/>
      <c r="O476" s="50"/>
      <c r="P476" s="50"/>
      <c r="Q476" s="50"/>
      <c r="R476" s="50"/>
      <c r="V476" s="50"/>
      <c r="Y476" s="50"/>
      <c r="Z476" s="326"/>
      <c r="AA476" s="50"/>
      <c r="AB476" s="50"/>
      <c r="AC476" s="50"/>
      <c r="AD476" s="50"/>
      <c r="AE476" s="50"/>
      <c r="AF476" s="50"/>
      <c r="AI476" s="50"/>
      <c r="AJ476" s="50"/>
      <c r="AK476" s="111"/>
      <c r="AL476" s="50"/>
    </row>
    <row r="477" spans="1:40">
      <c r="F477" s="50"/>
    </row>
    <row r="479" spans="1:40">
      <c r="A479" s="42"/>
    </row>
    <row r="481" spans="1:40">
      <c r="H481" s="42"/>
      <c r="I481" s="42"/>
      <c r="Y481" s="42"/>
    </row>
    <row r="483" spans="1:40">
      <c r="L483" s="42"/>
      <c r="M483" s="42"/>
      <c r="AA483" s="42"/>
      <c r="AB483" s="42"/>
    </row>
    <row r="484" spans="1:40">
      <c r="R484" s="42"/>
      <c r="AK484" s="110"/>
      <c r="AL484" s="42"/>
    </row>
    <row r="485" spans="1:40">
      <c r="R485" s="42"/>
      <c r="AK485" s="110"/>
      <c r="AL485" s="42"/>
    </row>
    <row r="486" spans="1:40">
      <c r="A486" s="42"/>
      <c r="R486" s="42"/>
      <c r="AK486" s="110"/>
      <c r="AL486" s="42"/>
    </row>
    <row r="487" spans="1:40">
      <c r="L487" s="42"/>
      <c r="M487" s="42"/>
      <c r="AA487" s="42"/>
      <c r="AB487" s="42"/>
    </row>
    <row r="488" spans="1:40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107"/>
      <c r="AH488" s="49"/>
      <c r="AI488" s="49"/>
      <c r="AJ488" s="49"/>
      <c r="AK488" s="107"/>
      <c r="AL488" s="49"/>
      <c r="AM488" s="49"/>
      <c r="AN488" s="49"/>
    </row>
    <row r="489" spans="1:40">
      <c r="L489" s="44"/>
      <c r="M489" s="44"/>
      <c r="N489" s="44"/>
      <c r="O489" s="44"/>
      <c r="R489" s="44"/>
      <c r="AA489" s="44"/>
      <c r="AB489" s="44"/>
      <c r="AC489" s="44"/>
      <c r="AD489" s="44"/>
      <c r="AE489" s="44"/>
      <c r="AF489" s="44"/>
      <c r="AG489" s="102"/>
      <c r="AH489" s="44"/>
      <c r="AK489" s="102"/>
      <c r="AL489" s="44"/>
      <c r="AM489" s="44"/>
      <c r="AN489" s="44"/>
    </row>
    <row r="490" spans="1:40">
      <c r="L490" s="44"/>
      <c r="M490" s="44"/>
      <c r="N490" s="44"/>
      <c r="O490" s="44"/>
      <c r="R490" s="44"/>
      <c r="Z490" s="44"/>
      <c r="AA490" s="44"/>
      <c r="AB490" s="44"/>
      <c r="AC490" s="44"/>
      <c r="AD490" s="44"/>
      <c r="AE490" s="44"/>
      <c r="AF490" s="44"/>
      <c r="AG490" s="102"/>
      <c r="AH490" s="44"/>
      <c r="AK490" s="102"/>
      <c r="AL490" s="44"/>
      <c r="AM490" s="44"/>
      <c r="AN490" s="44"/>
    </row>
    <row r="491" spans="1:40">
      <c r="A491" s="44"/>
      <c r="C491" s="44"/>
      <c r="D491" s="44"/>
      <c r="E491" s="44"/>
      <c r="F491" s="44"/>
      <c r="J491" s="44"/>
      <c r="K491" s="44"/>
      <c r="L491" s="44"/>
      <c r="M491" s="44"/>
      <c r="N491" s="44"/>
      <c r="O491" s="44"/>
      <c r="P491" s="44"/>
      <c r="Q491" s="44"/>
      <c r="R491" s="44"/>
      <c r="T491" s="44"/>
      <c r="U491" s="44"/>
      <c r="V491" s="44"/>
      <c r="Z491" s="44"/>
      <c r="AA491" s="44"/>
      <c r="AB491" s="44"/>
      <c r="AC491" s="44"/>
      <c r="AD491" s="44"/>
      <c r="AE491" s="44"/>
      <c r="AF491" s="44"/>
      <c r="AG491" s="102"/>
      <c r="AH491" s="44"/>
      <c r="AI491" s="44"/>
      <c r="AJ491" s="44"/>
      <c r="AK491" s="102"/>
      <c r="AL491" s="44"/>
      <c r="AM491" s="44"/>
      <c r="AN491" s="44"/>
    </row>
    <row r="492" spans="1:40">
      <c r="A492" s="44"/>
      <c r="C492" s="44"/>
      <c r="D492" s="44"/>
      <c r="E492" s="44"/>
      <c r="F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T492" s="44"/>
      <c r="U492" s="44"/>
      <c r="V492" s="44"/>
      <c r="Y492" s="44"/>
      <c r="Z492" s="44"/>
      <c r="AA492" s="44"/>
      <c r="AB492" s="44"/>
      <c r="AC492" s="44"/>
      <c r="AD492" s="44"/>
      <c r="AE492" s="44"/>
      <c r="AF492" s="44"/>
      <c r="AG492" s="102"/>
      <c r="AH492" s="44"/>
      <c r="AI492" s="44"/>
      <c r="AJ492" s="44"/>
      <c r="AK492" s="102"/>
      <c r="AL492" s="44"/>
      <c r="AM492" s="44"/>
      <c r="AN492" s="44"/>
    </row>
    <row r="493" spans="1:40">
      <c r="C493" s="44"/>
      <c r="D493" s="44"/>
      <c r="E493" s="44"/>
      <c r="F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T493" s="44"/>
      <c r="U493" s="44"/>
      <c r="V493" s="44"/>
      <c r="Y493" s="44"/>
      <c r="Z493" s="44"/>
      <c r="AA493" s="44"/>
      <c r="AB493" s="44"/>
      <c r="AC493" s="44"/>
      <c r="AD493" s="44"/>
      <c r="AE493" s="44"/>
      <c r="AF493" s="44"/>
      <c r="AG493" s="102"/>
      <c r="AH493" s="44"/>
      <c r="AI493" s="44"/>
      <c r="AJ493" s="44"/>
      <c r="AK493" s="102"/>
      <c r="AL493" s="44"/>
      <c r="AM493" s="44"/>
      <c r="AN493" s="44"/>
    </row>
    <row r="494" spans="1:40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107"/>
      <c r="AH494" s="49"/>
      <c r="AI494" s="49"/>
      <c r="AJ494" s="49"/>
      <c r="AK494" s="107"/>
      <c r="AL494" s="49"/>
      <c r="AM494" s="49"/>
      <c r="AN494" s="49"/>
    </row>
    <row r="495" spans="1:40"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Y495" s="44"/>
      <c r="Z495" s="44"/>
      <c r="AA495" s="44"/>
      <c r="AB495" s="44"/>
      <c r="AC495" s="44"/>
      <c r="AD495" s="44"/>
      <c r="AE495" s="44"/>
      <c r="AF495" s="44"/>
      <c r="AG495" s="102"/>
      <c r="AH495" s="44"/>
      <c r="AI495" s="44"/>
      <c r="AJ495" s="44"/>
      <c r="AK495" s="102"/>
      <c r="AL495" s="44"/>
      <c r="AM495" s="44"/>
      <c r="AN495" s="44"/>
    </row>
    <row r="496" spans="1:40">
      <c r="C496" s="42"/>
      <c r="D496" s="42"/>
      <c r="E496" s="42"/>
      <c r="T496" s="42"/>
      <c r="U496" s="42"/>
    </row>
    <row r="498" spans="3:40">
      <c r="C498" s="42"/>
      <c r="T498" s="42"/>
    </row>
    <row r="499" spans="3:40">
      <c r="C499" s="42"/>
      <c r="T499" s="42"/>
    </row>
    <row r="500" spans="3:40">
      <c r="C500" s="42"/>
      <c r="F500" s="164"/>
      <c r="H500" s="164"/>
      <c r="I500" s="164"/>
      <c r="J500" s="132"/>
      <c r="K500" s="132"/>
      <c r="L500" s="45"/>
      <c r="M500" s="45"/>
      <c r="N500" s="46"/>
      <c r="O500" s="46"/>
      <c r="P500" s="45"/>
      <c r="Q500" s="45"/>
      <c r="R500" s="45"/>
      <c r="T500" s="42"/>
      <c r="V500" s="45"/>
      <c r="W500" s="45"/>
      <c r="X500" s="45"/>
      <c r="Y500" s="45"/>
      <c r="Z500" s="132"/>
      <c r="AA500" s="45"/>
      <c r="AB500" s="45"/>
      <c r="AC500" s="46"/>
      <c r="AD500" s="46"/>
      <c r="AE500" s="45"/>
      <c r="AF500" s="45"/>
      <c r="AH500" s="51"/>
      <c r="AI500" s="45"/>
      <c r="AJ500" s="45"/>
      <c r="AL500" s="45"/>
      <c r="AM500" s="51"/>
      <c r="AN500" s="51"/>
    </row>
    <row r="501" spans="3:40">
      <c r="C501" s="42"/>
      <c r="F501" s="45"/>
      <c r="H501" s="45"/>
      <c r="I501" s="45"/>
      <c r="J501" s="56"/>
      <c r="K501" s="56"/>
      <c r="L501" s="45"/>
      <c r="M501" s="45"/>
      <c r="N501" s="46"/>
      <c r="O501" s="46"/>
      <c r="P501" s="45"/>
      <c r="Q501" s="45"/>
      <c r="R501" s="45"/>
      <c r="T501" s="42"/>
      <c r="V501" s="45"/>
      <c r="W501" s="45"/>
      <c r="X501" s="45"/>
      <c r="Y501" s="45"/>
      <c r="Z501" s="56"/>
      <c r="AA501" s="45"/>
      <c r="AB501" s="45"/>
      <c r="AC501" s="46"/>
      <c r="AD501" s="46"/>
      <c r="AE501" s="45"/>
      <c r="AF501" s="45"/>
      <c r="AH501" s="51"/>
      <c r="AI501" s="45"/>
      <c r="AJ501" s="45"/>
      <c r="AL501" s="45"/>
      <c r="AM501" s="51"/>
      <c r="AN501" s="51"/>
    </row>
    <row r="502" spans="3:40">
      <c r="C502" s="42"/>
      <c r="F502" s="45"/>
      <c r="H502" s="45"/>
      <c r="I502" s="45"/>
      <c r="J502" s="56"/>
      <c r="K502" s="56"/>
      <c r="L502" s="45"/>
      <c r="M502" s="45"/>
      <c r="N502" s="46"/>
      <c r="O502" s="46"/>
      <c r="P502" s="45"/>
      <c r="Q502" s="45"/>
      <c r="R502" s="45"/>
      <c r="T502" s="42"/>
      <c r="V502" s="45"/>
      <c r="W502" s="45"/>
      <c r="X502" s="45"/>
      <c r="Y502" s="45"/>
      <c r="Z502" s="56"/>
      <c r="AA502" s="45"/>
      <c r="AB502" s="45"/>
      <c r="AC502" s="46"/>
      <c r="AD502" s="46"/>
      <c r="AE502" s="45"/>
      <c r="AF502" s="45"/>
      <c r="AH502" s="51"/>
      <c r="AI502" s="45"/>
      <c r="AJ502" s="45"/>
      <c r="AL502" s="45"/>
      <c r="AM502" s="51"/>
      <c r="AN502" s="51"/>
    </row>
    <row r="503" spans="3:40">
      <c r="C503" s="42"/>
      <c r="F503" s="45"/>
      <c r="H503" s="45"/>
      <c r="I503" s="45"/>
      <c r="J503" s="56"/>
      <c r="K503" s="56"/>
      <c r="T503" s="42"/>
      <c r="V503" s="45"/>
      <c r="Z503" s="56"/>
    </row>
    <row r="504" spans="3:40">
      <c r="C504" s="42"/>
      <c r="F504" s="164"/>
      <c r="H504" s="164"/>
      <c r="I504" s="164"/>
      <c r="J504" s="132"/>
      <c r="K504" s="132"/>
      <c r="L504" s="45"/>
      <c r="M504" s="45"/>
      <c r="N504" s="46"/>
      <c r="O504" s="46"/>
      <c r="P504" s="45"/>
      <c r="Q504" s="45"/>
      <c r="R504" s="45"/>
      <c r="T504" s="42"/>
      <c r="V504" s="45"/>
      <c r="W504" s="45"/>
      <c r="X504" s="45"/>
      <c r="Y504" s="45"/>
      <c r="Z504" s="132"/>
      <c r="AA504" s="45"/>
      <c r="AB504" s="45"/>
      <c r="AC504" s="46"/>
      <c r="AD504" s="46"/>
      <c r="AE504" s="45"/>
      <c r="AF504" s="45"/>
      <c r="AH504" s="51"/>
      <c r="AI504" s="45"/>
      <c r="AJ504" s="45"/>
      <c r="AL504" s="45"/>
      <c r="AM504" s="51"/>
      <c r="AN504" s="51"/>
    </row>
    <row r="505" spans="3:40">
      <c r="C505" s="42"/>
      <c r="F505" s="45"/>
      <c r="H505" s="45"/>
      <c r="I505" s="45"/>
      <c r="J505" s="56"/>
      <c r="K505" s="56"/>
      <c r="T505" s="42"/>
      <c r="V505" s="45"/>
      <c r="W505" s="45"/>
      <c r="X505" s="45"/>
      <c r="Y505" s="45"/>
      <c r="Z505" s="56"/>
      <c r="AC505" s="46"/>
      <c r="AD505" s="46"/>
      <c r="AE505" s="45"/>
      <c r="AF505" s="45"/>
      <c r="AH505" s="51"/>
      <c r="AI505" s="45"/>
      <c r="AJ505" s="45"/>
      <c r="AL505" s="45"/>
      <c r="AM505" s="51"/>
      <c r="AN505" s="51"/>
    </row>
    <row r="506" spans="3:40">
      <c r="C506" s="42"/>
      <c r="F506" s="164"/>
      <c r="H506" s="164"/>
      <c r="I506" s="164"/>
      <c r="J506" s="132"/>
      <c r="K506" s="132"/>
      <c r="L506" s="45"/>
      <c r="M506" s="45"/>
      <c r="N506" s="46"/>
      <c r="O506" s="46"/>
      <c r="P506" s="45"/>
      <c r="Q506" s="45"/>
      <c r="R506" s="45"/>
      <c r="T506" s="42"/>
      <c r="V506" s="45"/>
      <c r="W506" s="45"/>
      <c r="X506" s="45"/>
      <c r="Y506" s="45"/>
      <c r="Z506" s="132"/>
      <c r="AA506" s="45"/>
      <c r="AB506" s="45"/>
      <c r="AC506" s="46"/>
      <c r="AD506" s="46"/>
      <c r="AE506" s="45"/>
      <c r="AF506" s="45"/>
      <c r="AH506" s="51"/>
      <c r="AI506" s="45"/>
      <c r="AJ506" s="45"/>
      <c r="AL506" s="45"/>
      <c r="AM506" s="51"/>
      <c r="AN506" s="51"/>
    </row>
    <row r="507" spans="3:40">
      <c r="C507" s="42"/>
      <c r="F507" s="45"/>
      <c r="H507" s="45"/>
      <c r="I507" s="45"/>
      <c r="J507" s="56"/>
      <c r="K507" s="56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56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51"/>
      <c r="AN507" s="51"/>
    </row>
    <row r="508" spans="3:40">
      <c r="F508" s="45"/>
      <c r="H508" s="45"/>
      <c r="I508" s="45"/>
      <c r="J508" s="56"/>
      <c r="K508" s="56"/>
      <c r="Z508" s="56"/>
    </row>
    <row r="509" spans="3:40">
      <c r="C509" s="42"/>
      <c r="F509" s="45"/>
      <c r="H509" s="164"/>
      <c r="I509" s="164"/>
      <c r="J509" s="132"/>
      <c r="K509" s="132"/>
      <c r="L509" s="45"/>
      <c r="M509" s="45"/>
      <c r="N509" s="46"/>
      <c r="O509" s="46"/>
      <c r="P509" s="45"/>
      <c r="Q509" s="45"/>
      <c r="R509" s="45"/>
      <c r="T509" s="42"/>
      <c r="V509" s="45"/>
      <c r="W509" s="45"/>
      <c r="X509" s="45"/>
      <c r="Y509" s="45"/>
      <c r="Z509" s="132"/>
      <c r="AA509" s="45"/>
      <c r="AB509" s="45"/>
      <c r="AC509" s="46"/>
      <c r="AD509" s="46"/>
      <c r="AE509" s="45"/>
      <c r="AF509" s="45"/>
      <c r="AH509" s="51"/>
      <c r="AI509" s="45"/>
      <c r="AJ509" s="45"/>
      <c r="AL509" s="45"/>
      <c r="AM509" s="51"/>
      <c r="AN509" s="51"/>
    </row>
    <row r="510" spans="3:40">
      <c r="F510" s="50"/>
      <c r="H510" s="50"/>
      <c r="I510" s="50"/>
      <c r="J510" s="132"/>
      <c r="K510" s="132"/>
      <c r="L510" s="50"/>
      <c r="M510" s="50"/>
      <c r="N510" s="50"/>
      <c r="O510" s="50"/>
      <c r="P510" s="50"/>
      <c r="Q510" s="50"/>
      <c r="R510" s="50"/>
      <c r="V510" s="50"/>
      <c r="Y510" s="50"/>
      <c r="Z510" s="132"/>
      <c r="AA510" s="50"/>
      <c r="AB510" s="50"/>
      <c r="AC510" s="50"/>
      <c r="AD510" s="50"/>
      <c r="AE510" s="50"/>
      <c r="AF510" s="50"/>
      <c r="AI510" s="50"/>
      <c r="AJ510" s="50"/>
      <c r="AK510" s="111"/>
      <c r="AL510" s="50"/>
    </row>
    <row r="511" spans="3:40">
      <c r="C511" s="42"/>
      <c r="F511" s="45"/>
      <c r="H511" s="45"/>
      <c r="I511" s="45"/>
      <c r="J511" s="56"/>
      <c r="K511" s="56"/>
      <c r="L511" s="45"/>
      <c r="M511" s="45"/>
      <c r="P511" s="45"/>
      <c r="Q511" s="45"/>
      <c r="R511" s="45"/>
      <c r="T511" s="42"/>
      <c r="V511" s="45"/>
      <c r="Y511" s="45"/>
      <c r="Z511" s="56"/>
      <c r="AA511" s="45"/>
      <c r="AB511" s="45"/>
      <c r="AC511" s="51"/>
      <c r="AD511" s="51"/>
      <c r="AE511" s="45"/>
      <c r="AF511" s="45"/>
      <c r="AH511" s="51"/>
      <c r="AI511" s="45"/>
      <c r="AJ511" s="45"/>
      <c r="AL511" s="45"/>
      <c r="AM511" s="51"/>
      <c r="AN511" s="51"/>
    </row>
    <row r="512" spans="3:40">
      <c r="F512" s="50"/>
      <c r="H512" s="50"/>
      <c r="I512" s="50"/>
      <c r="J512" s="132"/>
      <c r="K512" s="132"/>
      <c r="L512" s="50"/>
      <c r="M512" s="50"/>
      <c r="N512" s="50"/>
      <c r="O512" s="50"/>
      <c r="P512" s="50"/>
      <c r="Q512" s="50"/>
      <c r="R512" s="50"/>
      <c r="V512" s="50"/>
      <c r="Y512" s="50"/>
      <c r="Z512" s="132"/>
      <c r="AA512" s="50"/>
      <c r="AB512" s="50"/>
      <c r="AC512" s="50"/>
      <c r="AD512" s="50"/>
      <c r="AE512" s="50"/>
      <c r="AF512" s="50"/>
      <c r="AI512" s="50"/>
      <c r="AJ512" s="50"/>
      <c r="AK512" s="111"/>
      <c r="AL512" s="50"/>
    </row>
    <row r="513" spans="1:40">
      <c r="J513" s="56"/>
      <c r="K513" s="56"/>
      <c r="Z513" s="56"/>
    </row>
    <row r="514" spans="1:40">
      <c r="C514" s="42"/>
      <c r="J514" s="56"/>
      <c r="K514" s="56"/>
      <c r="T514" s="42"/>
      <c r="Z514" s="56"/>
    </row>
    <row r="515" spans="1:40">
      <c r="C515" s="42"/>
      <c r="J515" s="56"/>
      <c r="K515" s="56"/>
      <c r="T515" s="42"/>
      <c r="Z515" s="56"/>
    </row>
    <row r="516" spans="1:40">
      <c r="C516" s="42"/>
      <c r="F516" s="164"/>
      <c r="H516" s="164"/>
      <c r="I516" s="164"/>
      <c r="J516" s="132"/>
      <c r="K516" s="132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132"/>
      <c r="AA516" s="45"/>
      <c r="AB516" s="45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1:40">
      <c r="C517" s="42"/>
      <c r="J517" s="56"/>
      <c r="K517" s="56"/>
      <c r="T517" s="42"/>
      <c r="Z517" s="56"/>
    </row>
    <row r="518" spans="1:40">
      <c r="C518" s="42"/>
      <c r="F518" s="164"/>
      <c r="H518" s="164"/>
      <c r="I518" s="164"/>
      <c r="J518" s="132"/>
      <c r="K518" s="132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132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1:40">
      <c r="F519" s="50"/>
      <c r="H519" s="50"/>
      <c r="I519" s="50"/>
      <c r="J519" s="132"/>
      <c r="K519" s="132"/>
      <c r="L519" s="50"/>
      <c r="M519" s="50"/>
      <c r="N519" s="50"/>
      <c r="O519" s="50"/>
      <c r="P519" s="50"/>
      <c r="Q519" s="50"/>
      <c r="R519" s="50"/>
      <c r="V519" s="50"/>
      <c r="Y519" s="50"/>
      <c r="Z519" s="132"/>
      <c r="AA519" s="50"/>
      <c r="AB519" s="50"/>
      <c r="AC519" s="50"/>
      <c r="AD519" s="50"/>
      <c r="AE519" s="50"/>
      <c r="AF519" s="50"/>
      <c r="AI519" s="50"/>
      <c r="AJ519" s="50"/>
      <c r="AK519" s="111"/>
      <c r="AL519" s="50"/>
    </row>
    <row r="520" spans="1:40">
      <c r="C520" s="42"/>
      <c r="F520" s="45"/>
      <c r="H520" s="45"/>
      <c r="I520" s="45"/>
      <c r="J520" s="56"/>
      <c r="K520" s="56"/>
      <c r="L520" s="45"/>
      <c r="M520" s="45"/>
      <c r="N520" s="51"/>
      <c r="O520" s="51"/>
      <c r="P520" s="45"/>
      <c r="Q520" s="45"/>
      <c r="R520" s="45"/>
      <c r="T520" s="42"/>
      <c r="V520" s="45"/>
      <c r="Y520" s="45"/>
      <c r="Z520" s="56"/>
      <c r="AA520" s="45"/>
      <c r="AB520" s="45"/>
      <c r="AC520" s="51"/>
      <c r="AD520" s="51"/>
      <c r="AE520" s="45"/>
      <c r="AF520" s="45"/>
      <c r="AH520" s="51"/>
      <c r="AI520" s="45"/>
      <c r="AJ520" s="45"/>
      <c r="AL520" s="45"/>
      <c r="AM520" s="51"/>
      <c r="AN520" s="51"/>
    </row>
    <row r="521" spans="1:40">
      <c r="F521" s="50"/>
      <c r="H521" s="50"/>
      <c r="I521" s="50"/>
      <c r="J521" s="132"/>
      <c r="K521" s="132"/>
      <c r="L521" s="50"/>
      <c r="M521" s="50"/>
      <c r="N521" s="50"/>
      <c r="O521" s="50"/>
      <c r="P521" s="50"/>
      <c r="Q521" s="50"/>
      <c r="R521" s="50"/>
      <c r="V521" s="50"/>
      <c r="Y521" s="50"/>
      <c r="Z521" s="326"/>
      <c r="AA521" s="50"/>
      <c r="AB521" s="50"/>
      <c r="AC521" s="50"/>
      <c r="AD521" s="50"/>
      <c r="AE521" s="50"/>
      <c r="AF521" s="50"/>
      <c r="AI521" s="50"/>
      <c r="AJ521" s="50"/>
      <c r="AK521" s="111"/>
      <c r="AL521" s="50"/>
    </row>
    <row r="522" spans="1:40">
      <c r="J522" s="56"/>
      <c r="K522" s="56"/>
    </row>
    <row r="523" spans="1:40">
      <c r="C523" s="42"/>
      <c r="F523" s="45"/>
      <c r="H523" s="45"/>
      <c r="I523" s="45"/>
      <c r="J523" s="56"/>
      <c r="K523" s="56"/>
      <c r="L523" s="45"/>
      <c r="M523" s="45"/>
      <c r="N523" s="46"/>
      <c r="O523" s="46"/>
      <c r="P523" s="164"/>
      <c r="Q523" s="164"/>
      <c r="R523" s="45"/>
      <c r="T523" s="42"/>
      <c r="V523" s="45"/>
      <c r="Y523" s="45"/>
      <c r="AA523" s="45"/>
      <c r="AB523" s="45"/>
      <c r="AC523" s="51"/>
      <c r="AD523" s="51"/>
      <c r="AE523" s="45"/>
      <c r="AF523" s="45"/>
      <c r="AH523" s="51"/>
      <c r="AI523" s="164"/>
      <c r="AJ523" s="164"/>
      <c r="AL523" s="45"/>
      <c r="AM523" s="51"/>
      <c r="AN523" s="51"/>
    </row>
    <row r="524" spans="1:40">
      <c r="H524" s="50"/>
      <c r="I524" s="50"/>
      <c r="J524" s="132"/>
      <c r="K524" s="132"/>
      <c r="L524" s="50"/>
      <c r="M524" s="50"/>
      <c r="N524" s="50"/>
      <c r="O524" s="50"/>
      <c r="P524" s="50"/>
      <c r="Q524" s="50"/>
      <c r="R524" s="50"/>
      <c r="V524" s="50"/>
      <c r="Y524" s="50"/>
      <c r="Z524" s="326"/>
      <c r="AA524" s="50"/>
      <c r="AB524" s="50"/>
      <c r="AC524" s="50"/>
      <c r="AD524" s="50"/>
      <c r="AE524" s="50"/>
      <c r="AF524" s="50"/>
      <c r="AI524" s="50"/>
      <c r="AJ524" s="50"/>
      <c r="AK524" s="111"/>
      <c r="AL524" s="50"/>
    </row>
    <row r="525" spans="1:40">
      <c r="F525" s="50"/>
    </row>
    <row r="527" spans="1:40">
      <c r="A527" s="42"/>
    </row>
    <row r="529" spans="1:40">
      <c r="H529" s="42"/>
      <c r="I529" s="42"/>
      <c r="Y529" s="42"/>
    </row>
    <row r="531" spans="1:40">
      <c r="L531" s="42"/>
      <c r="M531" s="42"/>
      <c r="AA531" s="42"/>
      <c r="AB531" s="42"/>
    </row>
    <row r="532" spans="1:40">
      <c r="R532" s="42"/>
      <c r="AK532" s="110"/>
      <c r="AL532" s="42"/>
    </row>
    <row r="533" spans="1:40">
      <c r="R533" s="42"/>
      <c r="AK533" s="110"/>
      <c r="AL533" s="42"/>
    </row>
    <row r="534" spans="1:40">
      <c r="A534" s="42"/>
      <c r="R534" s="42"/>
      <c r="AK534" s="110"/>
      <c r="AL534" s="42"/>
    </row>
    <row r="535" spans="1:40">
      <c r="L535" s="42"/>
      <c r="M535" s="42"/>
      <c r="AA535" s="42"/>
      <c r="AB535" s="42"/>
    </row>
    <row r="536" spans="1:40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107"/>
      <c r="AH536" s="49"/>
      <c r="AI536" s="49"/>
      <c r="AJ536" s="49"/>
      <c r="AK536" s="107"/>
      <c r="AL536" s="49"/>
      <c r="AM536" s="49"/>
      <c r="AN536" s="49"/>
    </row>
    <row r="537" spans="1:40">
      <c r="L537" s="44"/>
      <c r="M537" s="44"/>
      <c r="N537" s="44"/>
      <c r="O537" s="44"/>
      <c r="R537" s="44"/>
      <c r="AA537" s="44"/>
      <c r="AB537" s="44"/>
      <c r="AC537" s="44"/>
      <c r="AD537" s="44"/>
      <c r="AE537" s="44"/>
      <c r="AF537" s="44"/>
      <c r="AG537" s="102"/>
      <c r="AH537" s="44"/>
      <c r="AK537" s="102"/>
      <c r="AL537" s="44"/>
      <c r="AM537" s="44"/>
      <c r="AN537" s="44"/>
    </row>
    <row r="538" spans="1:40">
      <c r="L538" s="44"/>
      <c r="M538" s="44"/>
      <c r="N538" s="44"/>
      <c r="O538" s="44"/>
      <c r="R538" s="44"/>
      <c r="Z538" s="44"/>
      <c r="AA538" s="44"/>
      <c r="AB538" s="44"/>
      <c r="AC538" s="44"/>
      <c r="AD538" s="44"/>
      <c r="AE538" s="44"/>
      <c r="AF538" s="44"/>
      <c r="AG538" s="102"/>
      <c r="AH538" s="44"/>
      <c r="AK538" s="102"/>
      <c r="AL538" s="44"/>
      <c r="AM538" s="44"/>
      <c r="AN538" s="44"/>
    </row>
    <row r="539" spans="1:40">
      <c r="A539" s="44"/>
      <c r="C539" s="44"/>
      <c r="D539" s="44"/>
      <c r="E539" s="44"/>
      <c r="F539" s="44"/>
      <c r="J539" s="44"/>
      <c r="K539" s="44"/>
      <c r="L539" s="44"/>
      <c r="M539" s="44"/>
      <c r="N539" s="44"/>
      <c r="O539" s="44"/>
      <c r="P539" s="44"/>
      <c r="Q539" s="44"/>
      <c r="R539" s="44"/>
      <c r="T539" s="44"/>
      <c r="U539" s="44"/>
      <c r="V539" s="44"/>
      <c r="Z539" s="44"/>
      <c r="AA539" s="44"/>
      <c r="AB539" s="44"/>
      <c r="AC539" s="44"/>
      <c r="AD539" s="44"/>
      <c r="AE539" s="44"/>
      <c r="AF539" s="44"/>
      <c r="AG539" s="102"/>
      <c r="AH539" s="44"/>
      <c r="AI539" s="44"/>
      <c r="AJ539" s="44"/>
      <c r="AK539" s="102"/>
      <c r="AL539" s="44"/>
      <c r="AM539" s="44"/>
      <c r="AN539" s="44"/>
    </row>
    <row r="540" spans="1:40">
      <c r="A540" s="44"/>
      <c r="C540" s="44"/>
      <c r="D540" s="44"/>
      <c r="E540" s="44"/>
      <c r="F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T540" s="44"/>
      <c r="U540" s="44"/>
      <c r="V540" s="44"/>
      <c r="Y540" s="44"/>
      <c r="Z540" s="44"/>
      <c r="AA540" s="44"/>
      <c r="AB540" s="44"/>
      <c r="AC540" s="44"/>
      <c r="AD540" s="44"/>
      <c r="AE540" s="44"/>
      <c r="AF540" s="44"/>
      <c r="AG540" s="102"/>
      <c r="AH540" s="44"/>
      <c r="AI540" s="44"/>
      <c r="AJ540" s="44"/>
      <c r="AK540" s="102"/>
      <c r="AL540" s="44"/>
      <c r="AM540" s="44"/>
      <c r="AN540" s="44"/>
    </row>
    <row r="541" spans="1:40">
      <c r="C541" s="44"/>
      <c r="D541" s="44"/>
      <c r="E541" s="44"/>
      <c r="F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T541" s="44"/>
      <c r="U541" s="44"/>
      <c r="V541" s="44"/>
      <c r="Y541" s="44"/>
      <c r="Z541" s="44"/>
      <c r="AA541" s="44"/>
      <c r="AB541" s="44"/>
      <c r="AC541" s="44"/>
      <c r="AD541" s="44"/>
      <c r="AE541" s="44"/>
      <c r="AF541" s="44"/>
      <c r="AG541" s="102"/>
      <c r="AH541" s="44"/>
      <c r="AI541" s="44"/>
      <c r="AJ541" s="44"/>
      <c r="AK541" s="102"/>
      <c r="AL541" s="44"/>
      <c r="AM541" s="44"/>
      <c r="AN541" s="44"/>
    </row>
    <row r="542" spans="1:40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107"/>
      <c r="AH542" s="49"/>
      <c r="AI542" s="49"/>
      <c r="AJ542" s="49"/>
      <c r="AK542" s="107"/>
      <c r="AL542" s="49"/>
      <c r="AM542" s="49"/>
      <c r="AN542" s="49"/>
    </row>
    <row r="543" spans="1:40"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Y543" s="44"/>
      <c r="Z543" s="44"/>
      <c r="AA543" s="44"/>
      <c r="AB543" s="44"/>
      <c r="AC543" s="44"/>
      <c r="AD543" s="44"/>
      <c r="AE543" s="44"/>
      <c r="AF543" s="44"/>
      <c r="AG543" s="102"/>
      <c r="AH543" s="44"/>
      <c r="AI543" s="44"/>
      <c r="AJ543" s="44"/>
      <c r="AK543" s="102"/>
      <c r="AL543" s="44"/>
      <c r="AM543" s="44"/>
      <c r="AN543" s="44"/>
    </row>
    <row r="544" spans="1:40">
      <c r="C544" s="42"/>
      <c r="D544" s="42"/>
      <c r="E544" s="42"/>
      <c r="T544" s="42"/>
      <c r="U544" s="42"/>
    </row>
    <row r="546" spans="3:40">
      <c r="C546" s="42"/>
      <c r="D546" s="42"/>
      <c r="E546" s="42"/>
      <c r="T546" s="42"/>
      <c r="U546" s="42"/>
    </row>
    <row r="547" spans="3:40">
      <c r="C547" s="42"/>
      <c r="T547" s="42"/>
    </row>
    <row r="548" spans="3:40">
      <c r="C548" s="42"/>
      <c r="T548" s="42"/>
    </row>
    <row r="549" spans="3:40">
      <c r="C549" s="42"/>
      <c r="H549" s="164"/>
      <c r="I549" s="164"/>
      <c r="J549" s="132"/>
      <c r="K549" s="132"/>
      <c r="L549" s="45"/>
      <c r="M549" s="45"/>
      <c r="N549" s="46"/>
      <c r="O549" s="46"/>
      <c r="P549" s="45"/>
      <c r="Q549" s="45"/>
      <c r="R549" s="45"/>
      <c r="T549" s="42"/>
      <c r="V549" s="45"/>
      <c r="W549" s="45"/>
      <c r="X549" s="45"/>
      <c r="Y549" s="45"/>
      <c r="Z549" s="132"/>
      <c r="AA549" s="45"/>
      <c r="AB549" s="45"/>
      <c r="AC549" s="46"/>
      <c r="AD549" s="46"/>
      <c r="AE549" s="45"/>
      <c r="AF549" s="45"/>
      <c r="AH549" s="51"/>
      <c r="AI549" s="45"/>
      <c r="AJ549" s="45"/>
      <c r="AL549" s="45"/>
      <c r="AM549" s="46"/>
      <c r="AN549" s="46"/>
    </row>
    <row r="550" spans="3:40">
      <c r="C550" s="42"/>
      <c r="F550" s="164"/>
      <c r="J550" s="56"/>
      <c r="K550" s="56"/>
      <c r="T550" s="42"/>
      <c r="V550" s="45"/>
      <c r="W550" s="45"/>
      <c r="X550" s="45"/>
      <c r="Y550" s="45"/>
      <c r="Z550" s="132"/>
    </row>
    <row r="551" spans="3:40">
      <c r="C551" s="42"/>
      <c r="H551" s="164"/>
      <c r="I551" s="164"/>
      <c r="J551" s="132"/>
      <c r="K551" s="132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132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46"/>
      <c r="AN551" s="46"/>
    </row>
    <row r="552" spans="3:40">
      <c r="C552" s="42"/>
      <c r="F552" s="164"/>
      <c r="J552" s="56"/>
      <c r="K552" s="56"/>
      <c r="T552" s="42"/>
      <c r="V552" s="45"/>
      <c r="W552" s="45"/>
      <c r="X552" s="45"/>
      <c r="Y552" s="45"/>
      <c r="Z552" s="132"/>
    </row>
    <row r="553" spans="3:40">
      <c r="C553" s="42"/>
      <c r="H553" s="164"/>
      <c r="I553" s="164"/>
      <c r="J553" s="132"/>
      <c r="K553" s="132"/>
      <c r="L553" s="45"/>
      <c r="M553" s="45"/>
      <c r="N553" s="46"/>
      <c r="O553" s="46"/>
      <c r="P553" s="45"/>
      <c r="Q553" s="45"/>
      <c r="R553" s="45"/>
      <c r="T553" s="42"/>
      <c r="V553" s="45"/>
      <c r="W553" s="45"/>
      <c r="X553" s="45"/>
      <c r="Y553" s="45"/>
      <c r="Z553" s="132"/>
      <c r="AA553" s="45"/>
      <c r="AB553" s="45"/>
      <c r="AC553" s="46"/>
      <c r="AD553" s="46"/>
      <c r="AE553" s="45"/>
      <c r="AF553" s="45"/>
      <c r="AH553" s="51"/>
      <c r="AI553" s="45"/>
      <c r="AJ553" s="45"/>
      <c r="AL553" s="45"/>
      <c r="AM553" s="46"/>
      <c r="AN553" s="46"/>
    </row>
    <row r="554" spans="3:40">
      <c r="C554" s="42"/>
      <c r="F554" s="164"/>
      <c r="J554" s="56"/>
      <c r="K554" s="56"/>
      <c r="T554" s="42"/>
      <c r="V554" s="45"/>
      <c r="W554" s="45"/>
      <c r="X554" s="45"/>
      <c r="Y554" s="45"/>
      <c r="Z554" s="132"/>
    </row>
    <row r="555" spans="3:40">
      <c r="C555" s="42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46"/>
      <c r="AN555" s="46"/>
    </row>
    <row r="556" spans="3:40">
      <c r="C556" s="42"/>
      <c r="F556" s="164"/>
      <c r="J556" s="56"/>
      <c r="K556" s="56"/>
      <c r="T556" s="42"/>
      <c r="V556" s="45"/>
      <c r="W556" s="45"/>
      <c r="X556" s="45"/>
      <c r="Y556" s="45"/>
      <c r="Z556" s="132"/>
    </row>
    <row r="557" spans="3:40">
      <c r="C557" s="42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46"/>
      <c r="AN557" s="46"/>
    </row>
    <row r="558" spans="3:40">
      <c r="C558" s="42"/>
      <c r="F558" s="164"/>
      <c r="J558" s="56"/>
      <c r="K558" s="56"/>
      <c r="T558" s="42"/>
      <c r="V558" s="45"/>
      <c r="W558" s="45"/>
      <c r="X558" s="45"/>
      <c r="Y558" s="45"/>
      <c r="Z558" s="132"/>
    </row>
    <row r="559" spans="3:40">
      <c r="C559" s="42"/>
      <c r="H559" s="164"/>
      <c r="I559" s="164"/>
      <c r="J559" s="132"/>
      <c r="K559" s="132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132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46"/>
      <c r="AN559" s="46"/>
    </row>
    <row r="560" spans="3:40">
      <c r="F560" s="164"/>
      <c r="H560" s="50"/>
      <c r="I560" s="50"/>
      <c r="J560" s="132"/>
      <c r="K560" s="132"/>
      <c r="L560" s="50"/>
      <c r="M560" s="50"/>
      <c r="N560" s="50"/>
      <c r="O560" s="50"/>
      <c r="P560" s="50"/>
      <c r="Q560" s="50"/>
      <c r="R560" s="50"/>
      <c r="V560" s="50"/>
      <c r="Y560" s="50"/>
      <c r="Z560" s="132"/>
      <c r="AA560" s="50"/>
      <c r="AB560" s="50"/>
      <c r="AC560" s="50"/>
      <c r="AD560" s="50"/>
      <c r="AE560" s="50"/>
      <c r="AF560" s="50"/>
      <c r="AI560" s="50"/>
      <c r="AJ560" s="50"/>
      <c r="AK560" s="111"/>
      <c r="AL560" s="50"/>
      <c r="AM560" s="46"/>
      <c r="AN560" s="46"/>
    </row>
    <row r="561" spans="3:40">
      <c r="C561" s="42"/>
      <c r="F561" s="50"/>
      <c r="H561" s="45"/>
      <c r="I561" s="45"/>
      <c r="J561" s="56"/>
      <c r="K561" s="56"/>
      <c r="L561" s="45"/>
      <c r="M561" s="45"/>
      <c r="N561" s="46"/>
      <c r="O561" s="46"/>
      <c r="P561" s="164"/>
      <c r="Q561" s="164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164"/>
      <c r="AJ561" s="164"/>
      <c r="AL561" s="45"/>
      <c r="AM561" s="46"/>
      <c r="AN561" s="46"/>
    </row>
    <row r="562" spans="3:40">
      <c r="F562" s="45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132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3:40">
      <c r="C563" s="42"/>
      <c r="D563" s="42"/>
      <c r="E563" s="42"/>
      <c r="F563" s="50"/>
      <c r="J563" s="56"/>
      <c r="K563" s="56"/>
      <c r="T563" s="42"/>
      <c r="U563" s="42"/>
      <c r="V563" s="45"/>
      <c r="W563" s="45"/>
      <c r="X563" s="45"/>
      <c r="Y563" s="45"/>
      <c r="Z563" s="132"/>
    </row>
    <row r="564" spans="3:40">
      <c r="C564" s="42"/>
      <c r="J564" s="56"/>
      <c r="K564" s="56"/>
      <c r="T564" s="42"/>
      <c r="V564" s="45"/>
      <c r="W564" s="45"/>
      <c r="X564" s="45"/>
      <c r="Y564" s="45"/>
      <c r="Z564" s="132"/>
    </row>
    <row r="565" spans="3:40">
      <c r="C565" s="42"/>
      <c r="J565" s="56"/>
      <c r="K565" s="56"/>
      <c r="T565" s="42"/>
      <c r="V565" s="45"/>
      <c r="W565" s="45"/>
      <c r="X565" s="45"/>
      <c r="Y565" s="45"/>
      <c r="Z565" s="132"/>
    </row>
    <row r="566" spans="3:40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46"/>
      <c r="AN566" s="46"/>
    </row>
    <row r="567" spans="3:40">
      <c r="C567" s="42"/>
      <c r="F567" s="164"/>
      <c r="J567" s="56"/>
      <c r="K567" s="56"/>
      <c r="T567" s="42"/>
      <c r="V567" s="45"/>
      <c r="W567" s="45"/>
      <c r="X567" s="45"/>
      <c r="Y567" s="45"/>
      <c r="Z567" s="132"/>
    </row>
    <row r="568" spans="3:40">
      <c r="C568" s="42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45"/>
      <c r="AJ568" s="45"/>
      <c r="AL568" s="45"/>
      <c r="AM568" s="46"/>
      <c r="AN568" s="46"/>
    </row>
    <row r="569" spans="3:40">
      <c r="F569" s="164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326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0" spans="3:40">
      <c r="C570" s="42"/>
      <c r="F570" s="50"/>
      <c r="H570" s="45"/>
      <c r="I570" s="45"/>
      <c r="L570" s="45"/>
      <c r="M570" s="45"/>
      <c r="N570" s="46"/>
      <c r="O570" s="46"/>
      <c r="P570" s="164"/>
      <c r="Q570" s="164"/>
      <c r="R570" s="45"/>
      <c r="T570" s="42"/>
      <c r="V570" s="45"/>
      <c r="W570" s="45"/>
      <c r="X570" s="45"/>
      <c r="Y570" s="45"/>
      <c r="Z570" s="336"/>
      <c r="AA570" s="45"/>
      <c r="AB570" s="45"/>
      <c r="AC570" s="46"/>
      <c r="AD570" s="46"/>
      <c r="AE570" s="45"/>
      <c r="AF570" s="45"/>
      <c r="AH570" s="51"/>
      <c r="AI570" s="164"/>
      <c r="AJ570" s="164"/>
      <c r="AL570" s="45"/>
      <c r="AM570" s="46"/>
      <c r="AN570" s="46"/>
    </row>
    <row r="571" spans="3:40">
      <c r="F571" s="45"/>
      <c r="H571" s="50"/>
      <c r="I571" s="50"/>
      <c r="J571" s="326"/>
      <c r="K571" s="326"/>
      <c r="L571" s="50"/>
      <c r="M571" s="50"/>
      <c r="N571" s="50"/>
      <c r="O571" s="50"/>
      <c r="P571" s="50"/>
      <c r="Q571" s="50"/>
      <c r="R571" s="50"/>
      <c r="V571" s="50"/>
      <c r="Y571" s="50"/>
      <c r="Z571" s="326"/>
      <c r="AA571" s="50"/>
      <c r="AB571" s="50"/>
      <c r="AC571" s="50"/>
      <c r="AD571" s="50"/>
      <c r="AE571" s="50"/>
      <c r="AF571" s="50"/>
      <c r="AI571" s="50"/>
      <c r="AJ571" s="50"/>
      <c r="AK571" s="111"/>
      <c r="AL571" s="50"/>
    </row>
    <row r="572" spans="3:40">
      <c r="C572" s="42"/>
      <c r="D572" s="42"/>
      <c r="E572" s="42"/>
      <c r="F572" s="50"/>
      <c r="T572" s="42"/>
      <c r="U572" s="42"/>
      <c r="V572" s="45"/>
      <c r="W572" s="45"/>
      <c r="X572" s="45"/>
      <c r="Y572" s="45"/>
      <c r="Z572" s="336"/>
    </row>
    <row r="573" spans="3:40">
      <c r="C573" s="42"/>
      <c r="T573" s="42"/>
      <c r="V573" s="45"/>
      <c r="W573" s="45"/>
      <c r="X573" s="45"/>
      <c r="Y573" s="45"/>
      <c r="Z573" s="336"/>
    </row>
    <row r="574" spans="3:40">
      <c r="C574" s="42"/>
      <c r="H574" s="164"/>
      <c r="I574" s="164"/>
      <c r="J574" s="336"/>
      <c r="K574" s="336"/>
      <c r="L574" s="45"/>
      <c r="M574" s="45"/>
      <c r="N574" s="46"/>
      <c r="O574" s="46"/>
      <c r="P574" s="45"/>
      <c r="Q574" s="45"/>
      <c r="R574" s="45"/>
      <c r="T574" s="42"/>
      <c r="V574" s="45"/>
      <c r="W574" s="45"/>
      <c r="X574" s="45"/>
      <c r="Y574" s="45"/>
      <c r="Z574" s="336"/>
      <c r="AA574" s="45"/>
      <c r="AB574" s="45"/>
      <c r="AC574" s="46"/>
      <c r="AD574" s="46"/>
      <c r="AE574" s="45"/>
      <c r="AF574" s="45"/>
      <c r="AH574" s="51"/>
      <c r="AI574" s="45"/>
      <c r="AJ574" s="45"/>
      <c r="AL574" s="45"/>
      <c r="AM574" s="46"/>
      <c r="AN574" s="46"/>
    </row>
    <row r="575" spans="3:40">
      <c r="C575" s="42"/>
      <c r="F575" s="164"/>
      <c r="T575" s="42"/>
      <c r="V575" s="45"/>
      <c r="W575" s="45"/>
      <c r="X575" s="45"/>
      <c r="Y575" s="45"/>
      <c r="Z575" s="336"/>
    </row>
    <row r="576" spans="3:40">
      <c r="C576" s="42"/>
      <c r="H576" s="164"/>
      <c r="I576" s="164"/>
      <c r="J576" s="336"/>
      <c r="K576" s="336"/>
      <c r="L576" s="45"/>
      <c r="M576" s="45"/>
      <c r="N576" s="46"/>
      <c r="O576" s="46"/>
      <c r="P576" s="45"/>
      <c r="Q576" s="45"/>
      <c r="R576" s="45"/>
      <c r="T576" s="42"/>
      <c r="V576" s="45"/>
      <c r="W576" s="45"/>
      <c r="X576" s="45"/>
      <c r="Y576" s="45"/>
      <c r="Z576" s="336"/>
      <c r="AA576" s="45"/>
      <c r="AB576" s="45"/>
      <c r="AC576" s="46"/>
      <c r="AD576" s="46"/>
      <c r="AE576" s="45"/>
      <c r="AF576" s="45"/>
      <c r="AH576" s="51"/>
      <c r="AI576" s="45"/>
      <c r="AJ576" s="45"/>
      <c r="AL576" s="45"/>
      <c r="AM576" s="46"/>
      <c r="AN576" s="46"/>
    </row>
    <row r="577" spans="1:40">
      <c r="C577" s="42"/>
      <c r="F577" s="164"/>
      <c r="T577" s="42"/>
      <c r="V577" s="45"/>
      <c r="W577" s="45"/>
      <c r="X577" s="45"/>
      <c r="Y577" s="45"/>
      <c r="Z577" s="336"/>
    </row>
    <row r="578" spans="1:40">
      <c r="C578" s="42"/>
      <c r="H578" s="164"/>
      <c r="I578" s="164"/>
      <c r="J578" s="336"/>
      <c r="K578" s="336"/>
      <c r="L578" s="45"/>
      <c r="M578" s="45"/>
      <c r="N578" s="46"/>
      <c r="O578" s="46"/>
      <c r="P578" s="45"/>
      <c r="Q578" s="45"/>
      <c r="R578" s="45"/>
      <c r="T578" s="42"/>
      <c r="V578" s="45"/>
      <c r="W578" s="45"/>
      <c r="X578" s="45"/>
      <c r="Y578" s="45"/>
      <c r="Z578" s="336"/>
      <c r="AA578" s="45"/>
      <c r="AB578" s="45"/>
      <c r="AC578" s="46"/>
      <c r="AD578" s="46"/>
      <c r="AE578" s="45"/>
      <c r="AF578" s="45"/>
      <c r="AH578" s="51"/>
      <c r="AI578" s="45"/>
      <c r="AJ578" s="45"/>
      <c r="AL578" s="45"/>
      <c r="AM578" s="46"/>
      <c r="AN578" s="46"/>
    </row>
    <row r="579" spans="1:40">
      <c r="C579" s="42"/>
      <c r="F579" s="164"/>
      <c r="T579" s="42"/>
      <c r="V579" s="45"/>
      <c r="W579" s="45"/>
      <c r="X579" s="45"/>
      <c r="Y579" s="45"/>
      <c r="Z579" s="336"/>
    </row>
    <row r="580" spans="1:40">
      <c r="C580" s="42"/>
      <c r="H580" s="164"/>
      <c r="I580" s="164"/>
      <c r="J580" s="336"/>
      <c r="K580" s="336"/>
      <c r="L580" s="45"/>
      <c r="M580" s="45"/>
      <c r="N580" s="46"/>
      <c r="O580" s="46"/>
      <c r="P580" s="45"/>
      <c r="Q580" s="45"/>
      <c r="R580" s="45"/>
      <c r="T580" s="42"/>
      <c r="V580" s="45"/>
      <c r="W580" s="45"/>
      <c r="X580" s="45"/>
      <c r="Y580" s="45"/>
      <c r="Z580" s="336"/>
      <c r="AA580" s="45"/>
      <c r="AB580" s="45"/>
      <c r="AC580" s="46"/>
      <c r="AD580" s="46"/>
      <c r="AE580" s="45"/>
      <c r="AF580" s="45"/>
      <c r="AH580" s="51"/>
      <c r="AI580" s="45"/>
      <c r="AJ580" s="45"/>
      <c r="AL580" s="45"/>
      <c r="AM580" s="46"/>
      <c r="AN580" s="46"/>
    </row>
    <row r="581" spans="1:40">
      <c r="F581" s="164"/>
      <c r="H581" s="50"/>
      <c r="I581" s="50"/>
      <c r="J581" s="326"/>
      <c r="K581" s="326"/>
      <c r="L581" s="50"/>
      <c r="M581" s="50"/>
      <c r="N581" s="50"/>
      <c r="O581" s="50"/>
      <c r="P581" s="50"/>
      <c r="Q581" s="50"/>
      <c r="R581" s="50"/>
      <c r="V581" s="50"/>
      <c r="Y581" s="50"/>
      <c r="Z581" s="326"/>
      <c r="AA581" s="50"/>
      <c r="AB581" s="50"/>
      <c r="AC581" s="50"/>
      <c r="AD581" s="50"/>
      <c r="AE581" s="50"/>
      <c r="AF581" s="50"/>
      <c r="AI581" s="50"/>
      <c r="AJ581" s="50"/>
      <c r="AK581" s="111"/>
      <c r="AL581" s="50"/>
    </row>
    <row r="582" spans="1:40">
      <c r="C582" s="42"/>
      <c r="F582" s="50"/>
      <c r="H582" s="45"/>
      <c r="I582" s="45"/>
      <c r="L582" s="45"/>
      <c r="M582" s="45"/>
      <c r="N582" s="46"/>
      <c r="O582" s="46"/>
      <c r="P582" s="164"/>
      <c r="Q582" s="164"/>
      <c r="R582" s="45"/>
      <c r="T582" s="42"/>
      <c r="V582" s="45"/>
      <c r="W582" s="45"/>
      <c r="X582" s="45"/>
      <c r="Y582" s="45"/>
      <c r="Z582" s="336"/>
      <c r="AA582" s="45"/>
      <c r="AB582" s="45"/>
      <c r="AC582" s="46"/>
      <c r="AD582" s="46"/>
      <c r="AE582" s="45"/>
      <c r="AF582" s="45"/>
      <c r="AH582" s="51"/>
      <c r="AI582" s="164"/>
      <c r="AJ582" s="164"/>
      <c r="AL582" s="45"/>
      <c r="AM582" s="46"/>
      <c r="AN582" s="46"/>
    </row>
    <row r="583" spans="1:40">
      <c r="F583" s="45"/>
      <c r="H583" s="50"/>
      <c r="I583" s="50"/>
      <c r="J583" s="326"/>
      <c r="K583" s="326"/>
      <c r="L583" s="50"/>
      <c r="M583" s="50"/>
      <c r="N583" s="50"/>
      <c r="O583" s="50"/>
      <c r="P583" s="50"/>
      <c r="Q583" s="50"/>
      <c r="R583" s="50"/>
      <c r="V583" s="50"/>
      <c r="Y583" s="50"/>
      <c r="Z583" s="326"/>
      <c r="AA583" s="50"/>
      <c r="AB583" s="50"/>
      <c r="AC583" s="50"/>
      <c r="AD583" s="50"/>
      <c r="AE583" s="50"/>
      <c r="AF583" s="50"/>
      <c r="AI583" s="50"/>
      <c r="AJ583" s="50"/>
      <c r="AK583" s="111"/>
      <c r="AL583" s="50"/>
    </row>
    <row r="584" spans="1:40">
      <c r="C584" s="42"/>
      <c r="F584" s="50"/>
      <c r="H584" s="45"/>
      <c r="I584" s="45"/>
      <c r="L584" s="45"/>
      <c r="M584" s="45"/>
      <c r="N584" s="46"/>
      <c r="O584" s="46"/>
      <c r="P584" s="45"/>
      <c r="Q584" s="45"/>
      <c r="R584" s="45"/>
      <c r="T584" s="42"/>
      <c r="V584" s="45"/>
      <c r="W584" s="45"/>
      <c r="X584" s="45"/>
      <c r="Y584" s="45"/>
      <c r="AA584" s="45"/>
      <c r="AB584" s="45"/>
      <c r="AC584" s="46"/>
      <c r="AD584" s="46"/>
      <c r="AE584" s="45"/>
      <c r="AF584" s="45"/>
      <c r="AH584" s="51"/>
      <c r="AI584" s="45"/>
      <c r="AJ584" s="45"/>
      <c r="AL584" s="45"/>
      <c r="AM584" s="51"/>
      <c r="AN584" s="51"/>
    </row>
    <row r="585" spans="1:40">
      <c r="F585" s="45"/>
      <c r="H585" s="50"/>
      <c r="I585" s="50"/>
      <c r="J585" s="326"/>
      <c r="K585" s="326"/>
      <c r="L585" s="50"/>
      <c r="M585" s="50"/>
      <c r="N585" s="50"/>
      <c r="O585" s="50"/>
      <c r="P585" s="50"/>
      <c r="Q585" s="50"/>
      <c r="R585" s="50"/>
      <c r="V585" s="50"/>
      <c r="Y585" s="50"/>
      <c r="Z585" s="326"/>
      <c r="AA585" s="50"/>
      <c r="AB585" s="50"/>
      <c r="AC585" s="50"/>
      <c r="AD585" s="50"/>
      <c r="AE585" s="50"/>
      <c r="AF585" s="50"/>
      <c r="AI585" s="50"/>
      <c r="AJ585" s="50"/>
      <c r="AK585" s="111"/>
      <c r="AL585" s="50"/>
    </row>
    <row r="587" spans="1:40">
      <c r="F587" s="50"/>
    </row>
    <row r="588" spans="1:40">
      <c r="A588" s="42"/>
    </row>
    <row r="590" spans="1:40">
      <c r="H590" s="42"/>
      <c r="I590" s="42"/>
      <c r="Y590" s="42"/>
    </row>
    <row r="592" spans="1:40">
      <c r="L592" s="42"/>
      <c r="M592" s="42"/>
      <c r="AA592" s="42"/>
      <c r="AB592" s="42"/>
    </row>
    <row r="593" spans="1:40">
      <c r="R593" s="42"/>
      <c r="AK593" s="110"/>
      <c r="AL593" s="42"/>
    </row>
    <row r="594" spans="1:40">
      <c r="R594" s="42"/>
      <c r="AK594" s="110"/>
      <c r="AL594" s="42"/>
    </row>
    <row r="595" spans="1:40">
      <c r="A595" s="42"/>
      <c r="R595" s="42"/>
      <c r="AK595" s="110"/>
      <c r="AL595" s="42"/>
    </row>
    <row r="596" spans="1:40">
      <c r="L596" s="42"/>
      <c r="M596" s="42"/>
      <c r="AA596" s="42"/>
      <c r="AB596" s="42"/>
    </row>
    <row r="597" spans="1:40">
      <c r="A597" s="49"/>
      <c r="B597" s="49"/>
      <c r="C597" s="49"/>
      <c r="D597" s="49"/>
      <c r="E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107"/>
      <c r="AH597" s="49"/>
      <c r="AI597" s="49"/>
      <c r="AJ597" s="49"/>
      <c r="AK597" s="107"/>
      <c r="AL597" s="49"/>
      <c r="AM597" s="49"/>
      <c r="AN597" s="49"/>
    </row>
    <row r="598" spans="1:40">
      <c r="F598" s="49"/>
      <c r="L598" s="44"/>
      <c r="M598" s="44"/>
      <c r="N598" s="44"/>
      <c r="O598" s="44"/>
      <c r="R598" s="44"/>
      <c r="AA598" s="44"/>
      <c r="AB598" s="44"/>
      <c r="AC598" s="44"/>
      <c r="AD598" s="44"/>
      <c r="AE598" s="44"/>
      <c r="AF598" s="44"/>
      <c r="AG598" s="102"/>
      <c r="AH598" s="44"/>
      <c r="AK598" s="102"/>
      <c r="AL598" s="44"/>
      <c r="AM598" s="44"/>
      <c r="AN598" s="44"/>
    </row>
    <row r="599" spans="1:40">
      <c r="L599" s="44"/>
      <c r="M599" s="44"/>
      <c r="N599" s="44"/>
      <c r="O599" s="44"/>
      <c r="R599" s="44"/>
      <c r="Z599" s="44"/>
      <c r="AA599" s="44"/>
      <c r="AB599" s="44"/>
      <c r="AC599" s="44"/>
      <c r="AD599" s="44"/>
      <c r="AE599" s="44"/>
      <c r="AF599" s="44"/>
      <c r="AG599" s="102"/>
      <c r="AH599" s="44"/>
      <c r="AK599" s="102"/>
      <c r="AL599" s="44"/>
      <c r="AM599" s="44"/>
      <c r="AN599" s="44"/>
    </row>
    <row r="600" spans="1:40">
      <c r="A600" s="44"/>
      <c r="C600" s="44"/>
      <c r="D600" s="44"/>
      <c r="E600" s="44"/>
      <c r="J600" s="44"/>
      <c r="K600" s="44"/>
      <c r="L600" s="44"/>
      <c r="M600" s="44"/>
      <c r="N600" s="44"/>
      <c r="O600" s="44"/>
      <c r="P600" s="44"/>
      <c r="Q600" s="44"/>
      <c r="R600" s="44"/>
      <c r="T600" s="44"/>
      <c r="U600" s="44"/>
      <c r="V600" s="44"/>
      <c r="Z600" s="44"/>
      <c r="AA600" s="44"/>
      <c r="AB600" s="44"/>
      <c r="AC600" s="44"/>
      <c r="AD600" s="44"/>
      <c r="AE600" s="44"/>
      <c r="AF600" s="44"/>
      <c r="AG600" s="102"/>
      <c r="AH600" s="44"/>
      <c r="AI600" s="44"/>
      <c r="AJ600" s="44"/>
      <c r="AK600" s="102"/>
      <c r="AL600" s="44"/>
      <c r="AM600" s="44"/>
      <c r="AN600" s="44"/>
    </row>
    <row r="601" spans="1:40">
      <c r="A601" s="44"/>
      <c r="C601" s="44"/>
      <c r="D601" s="44"/>
      <c r="E601" s="44"/>
      <c r="F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T601" s="44"/>
      <c r="U601" s="44"/>
      <c r="V601" s="44"/>
      <c r="Y601" s="44"/>
      <c r="Z601" s="44"/>
      <c r="AA601" s="44"/>
      <c r="AB601" s="44"/>
      <c r="AC601" s="44"/>
      <c r="AD601" s="44"/>
      <c r="AE601" s="44"/>
      <c r="AF601" s="44"/>
      <c r="AG601" s="102"/>
      <c r="AH601" s="44"/>
      <c r="AI601" s="44"/>
      <c r="AJ601" s="44"/>
      <c r="AK601" s="102"/>
      <c r="AL601" s="44"/>
      <c r="AM601" s="44"/>
      <c r="AN601" s="44"/>
    </row>
    <row r="602" spans="1:40">
      <c r="C602" s="44"/>
      <c r="D602" s="44"/>
      <c r="E602" s="44"/>
      <c r="F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T602" s="44"/>
      <c r="U602" s="44"/>
      <c r="V602" s="44"/>
      <c r="Y602" s="44"/>
      <c r="Z602" s="44"/>
      <c r="AA602" s="44"/>
      <c r="AB602" s="44"/>
      <c r="AC602" s="44"/>
      <c r="AD602" s="44"/>
      <c r="AE602" s="44"/>
      <c r="AF602" s="44"/>
      <c r="AG602" s="102"/>
      <c r="AH602" s="44"/>
      <c r="AI602" s="44"/>
      <c r="AJ602" s="44"/>
      <c r="AK602" s="102"/>
      <c r="AL602" s="44"/>
      <c r="AM602" s="44"/>
      <c r="AN602" s="44"/>
    </row>
    <row r="603" spans="1:40">
      <c r="A603" s="49"/>
      <c r="B603" s="49"/>
      <c r="C603" s="49"/>
      <c r="D603" s="49"/>
      <c r="E603" s="49"/>
      <c r="F603" s="44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107"/>
      <c r="AH603" s="49"/>
      <c r="AI603" s="49"/>
      <c r="AJ603" s="49"/>
      <c r="AK603" s="107"/>
      <c r="AL603" s="49"/>
      <c r="AM603" s="49"/>
      <c r="AN603" s="49"/>
    </row>
    <row r="604" spans="1:40">
      <c r="F604" s="49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Y604" s="44"/>
      <c r="Z604" s="44"/>
      <c r="AA604" s="44"/>
      <c r="AB604" s="44"/>
      <c r="AC604" s="44"/>
      <c r="AD604" s="44"/>
      <c r="AE604" s="44"/>
      <c r="AF604" s="44"/>
      <c r="AG604" s="102"/>
      <c r="AH604" s="44"/>
      <c r="AI604" s="44"/>
      <c r="AJ604" s="44"/>
      <c r="AK604" s="102"/>
      <c r="AL604" s="44"/>
      <c r="AM604" s="44"/>
      <c r="AN604" s="44"/>
    </row>
    <row r="605" spans="1:40">
      <c r="C605" s="42"/>
      <c r="D605" s="42"/>
      <c r="E605" s="42"/>
      <c r="H605" s="45"/>
      <c r="I605" s="45"/>
      <c r="J605" s="47"/>
      <c r="K605" s="47"/>
      <c r="L605" s="45"/>
      <c r="M605" s="45"/>
      <c r="N605" s="47"/>
      <c r="O605" s="47"/>
      <c r="P605" s="45"/>
      <c r="Q605" s="45"/>
      <c r="R605" s="45"/>
      <c r="T605" s="42"/>
      <c r="U605" s="42"/>
      <c r="V605" s="45"/>
      <c r="Y605" s="45"/>
      <c r="Z605" s="47"/>
      <c r="AA605" s="45"/>
      <c r="AB605" s="45"/>
      <c r="AC605" s="47"/>
      <c r="AD605" s="47"/>
      <c r="AE605" s="45"/>
      <c r="AF605" s="45"/>
      <c r="AH605" s="51"/>
      <c r="AI605" s="45"/>
      <c r="AJ605" s="45"/>
      <c r="AL605" s="45"/>
      <c r="AM605" s="46"/>
      <c r="AN605" s="46"/>
    </row>
    <row r="606" spans="1:40">
      <c r="F606" s="45"/>
      <c r="H606" s="50"/>
      <c r="I606" s="50"/>
      <c r="J606" s="326"/>
      <c r="K606" s="326"/>
      <c r="L606" s="50"/>
      <c r="M606" s="50"/>
      <c r="N606" s="50"/>
      <c r="O606" s="50"/>
      <c r="P606" s="50"/>
      <c r="Q606" s="50"/>
      <c r="R606" s="50"/>
      <c r="V606" s="50"/>
      <c r="Y606" s="50"/>
      <c r="Z606" s="326"/>
      <c r="AA606" s="50"/>
      <c r="AB606" s="50"/>
      <c r="AC606" s="50"/>
      <c r="AD606" s="50"/>
      <c r="AE606" s="50"/>
      <c r="AF606" s="50"/>
      <c r="AI606" s="50"/>
      <c r="AJ606" s="50"/>
      <c r="AK606" s="111"/>
      <c r="AL606" s="50"/>
      <c r="AM606" s="46"/>
      <c r="AN606" s="46"/>
    </row>
    <row r="607" spans="1:40">
      <c r="C607" s="42"/>
      <c r="F607" s="50"/>
      <c r="H607" s="45"/>
      <c r="I607" s="45"/>
      <c r="J607" s="47"/>
      <c r="K607" s="47"/>
      <c r="L607" s="45"/>
      <c r="M607" s="45"/>
      <c r="N607" s="47"/>
      <c r="O607" s="47"/>
      <c r="P607" s="45"/>
      <c r="Q607" s="45"/>
      <c r="R607" s="45"/>
      <c r="T607" s="42"/>
      <c r="V607" s="45"/>
      <c r="Y607" s="45"/>
      <c r="Z607" s="47"/>
      <c r="AA607" s="45"/>
      <c r="AB607" s="45"/>
      <c r="AC607" s="47"/>
      <c r="AD607" s="47"/>
      <c r="AE607" s="45"/>
      <c r="AF607" s="45"/>
      <c r="AH607" s="51"/>
      <c r="AI607" s="45"/>
      <c r="AJ607" s="45"/>
      <c r="AL607" s="45"/>
      <c r="AM607" s="46"/>
      <c r="AN607" s="46"/>
    </row>
    <row r="608" spans="1:40">
      <c r="F608" s="45"/>
      <c r="H608" s="45"/>
      <c r="I608" s="45"/>
      <c r="J608" s="47"/>
      <c r="K608" s="47"/>
      <c r="L608" s="45"/>
      <c r="M608" s="45"/>
      <c r="N608" s="47"/>
      <c r="O608" s="47"/>
      <c r="P608" s="45"/>
      <c r="Q608" s="45"/>
      <c r="R608" s="45"/>
      <c r="V608" s="45"/>
      <c r="Y608" s="45"/>
      <c r="Z608" s="47"/>
      <c r="AA608" s="45"/>
      <c r="AB608" s="45"/>
      <c r="AC608" s="47"/>
      <c r="AD608" s="47"/>
      <c r="AH608" s="51"/>
      <c r="AI608" s="45"/>
      <c r="AJ608" s="45"/>
      <c r="AL608" s="45"/>
      <c r="AM608" s="46"/>
      <c r="AN608" s="46"/>
    </row>
    <row r="609" spans="3:40">
      <c r="C609" s="42"/>
      <c r="D609" s="42"/>
      <c r="E609" s="42"/>
      <c r="F609" s="45"/>
      <c r="H609" s="45"/>
      <c r="I609" s="45"/>
      <c r="J609" s="47"/>
      <c r="K609" s="47"/>
      <c r="L609" s="45"/>
      <c r="M609" s="45"/>
      <c r="N609" s="47"/>
      <c r="O609" s="47"/>
      <c r="P609" s="45"/>
      <c r="Q609" s="45"/>
      <c r="R609" s="45"/>
      <c r="T609" s="42"/>
      <c r="U609" s="42"/>
      <c r="V609" s="45"/>
      <c r="Y609" s="45"/>
      <c r="Z609" s="47"/>
      <c r="AA609" s="45"/>
      <c r="AB609" s="45"/>
      <c r="AC609" s="47"/>
      <c r="AD609" s="47"/>
      <c r="AE609" s="45"/>
      <c r="AF609" s="45"/>
      <c r="AH609" s="51"/>
      <c r="AI609" s="45"/>
      <c r="AJ609" s="45"/>
      <c r="AL609" s="45"/>
      <c r="AM609" s="46"/>
      <c r="AN609" s="46"/>
    </row>
    <row r="610" spans="3:40">
      <c r="C610" s="42"/>
      <c r="D610" s="42"/>
      <c r="E610" s="42"/>
      <c r="F610" s="45"/>
      <c r="H610" s="45"/>
      <c r="I610" s="45"/>
      <c r="J610" s="47"/>
      <c r="K610" s="47"/>
      <c r="L610" s="45"/>
      <c r="M610" s="45"/>
      <c r="N610" s="47"/>
      <c r="O610" s="47"/>
      <c r="P610" s="45"/>
      <c r="Q610" s="45"/>
      <c r="R610" s="45"/>
      <c r="T610" s="42"/>
      <c r="U610" s="42"/>
      <c r="V610" s="45"/>
      <c r="Y610" s="45"/>
      <c r="Z610" s="47"/>
      <c r="AA610" s="45"/>
      <c r="AB610" s="45"/>
      <c r="AC610" s="47"/>
      <c r="AD610" s="47"/>
      <c r="AE610" s="45"/>
      <c r="AF610" s="45"/>
      <c r="AH610" s="51"/>
      <c r="AI610" s="45"/>
      <c r="AJ610" s="45"/>
      <c r="AL610" s="45"/>
      <c r="AM610" s="46"/>
      <c r="AN610" s="46"/>
    </row>
    <row r="611" spans="3:40">
      <c r="C611" s="42"/>
      <c r="D611" s="42"/>
      <c r="E611" s="42"/>
      <c r="F611" s="45"/>
      <c r="H611" s="45"/>
      <c r="I611" s="45"/>
      <c r="J611" s="47"/>
      <c r="K611" s="47"/>
      <c r="L611" s="45"/>
      <c r="M611" s="45"/>
      <c r="N611" s="47"/>
      <c r="O611" s="47"/>
      <c r="P611" s="45"/>
      <c r="Q611" s="45"/>
      <c r="R611" s="45"/>
      <c r="T611" s="42"/>
      <c r="U611" s="42"/>
      <c r="V611" s="45"/>
      <c r="Y611" s="45"/>
      <c r="Z611" s="47"/>
      <c r="AA611" s="45"/>
      <c r="AB611" s="45"/>
      <c r="AC611" s="47"/>
      <c r="AD611" s="47"/>
      <c r="AE611" s="45"/>
      <c r="AF611" s="45"/>
      <c r="AH611" s="51"/>
      <c r="AI611" s="45"/>
      <c r="AJ611" s="45"/>
      <c r="AL611" s="45"/>
      <c r="AM611" s="46"/>
      <c r="AN611" s="46"/>
    </row>
    <row r="612" spans="3:40">
      <c r="C612" s="42"/>
      <c r="D612" s="42"/>
      <c r="E612" s="42"/>
      <c r="F612" s="45"/>
      <c r="H612" s="45"/>
      <c r="I612" s="45"/>
      <c r="J612" s="47"/>
      <c r="K612" s="47"/>
      <c r="L612" s="45"/>
      <c r="M612" s="45"/>
      <c r="N612" s="47"/>
      <c r="O612" s="47"/>
      <c r="P612" s="45"/>
      <c r="Q612" s="45"/>
      <c r="R612" s="45"/>
      <c r="T612" s="42"/>
      <c r="U612" s="42"/>
      <c r="V612" s="45"/>
      <c r="Y612" s="45"/>
      <c r="Z612" s="47"/>
      <c r="AA612" s="45"/>
      <c r="AB612" s="45"/>
      <c r="AC612" s="47"/>
      <c r="AD612" s="47"/>
      <c r="AE612" s="45"/>
      <c r="AF612" s="45"/>
      <c r="AH612" s="51"/>
      <c r="AI612" s="45"/>
      <c r="AJ612" s="45"/>
      <c r="AL612" s="45"/>
      <c r="AM612" s="46"/>
      <c r="AN612" s="46"/>
    </row>
    <row r="613" spans="3:40">
      <c r="C613" s="42"/>
      <c r="D613" s="42"/>
      <c r="E613" s="42"/>
      <c r="F613" s="45"/>
      <c r="H613" s="45"/>
      <c r="I613" s="45"/>
      <c r="J613" s="47"/>
      <c r="K613" s="47"/>
      <c r="L613" s="45"/>
      <c r="M613" s="45"/>
      <c r="N613" s="47"/>
      <c r="O613" s="47"/>
      <c r="P613" s="45"/>
      <c r="Q613" s="45"/>
      <c r="R613" s="45"/>
      <c r="T613" s="42"/>
      <c r="U613" s="42"/>
      <c r="V613" s="45"/>
      <c r="Y613" s="45"/>
      <c r="Z613" s="47"/>
      <c r="AA613" s="45"/>
      <c r="AB613" s="45"/>
      <c r="AC613" s="47"/>
      <c r="AD613" s="47"/>
      <c r="AE613" s="45"/>
      <c r="AF613" s="45"/>
      <c r="AH613" s="51"/>
      <c r="AI613" s="45"/>
      <c r="AJ613" s="45"/>
      <c r="AL613" s="45"/>
      <c r="AM613" s="46"/>
      <c r="AN613" s="46"/>
    </row>
    <row r="614" spans="3:40">
      <c r="C614" s="42"/>
      <c r="D614" s="42"/>
      <c r="E614" s="42"/>
      <c r="F614" s="45"/>
      <c r="H614" s="45"/>
      <c r="I614" s="45"/>
      <c r="J614" s="47"/>
      <c r="K614" s="47"/>
      <c r="L614" s="45"/>
      <c r="M614" s="45"/>
      <c r="N614" s="47"/>
      <c r="O614" s="47"/>
      <c r="P614" s="45"/>
      <c r="Q614" s="45"/>
      <c r="R614" s="45"/>
      <c r="T614" s="42"/>
      <c r="U614" s="42"/>
      <c r="V614" s="45"/>
      <c r="Y614" s="45"/>
      <c r="Z614" s="47"/>
      <c r="AA614" s="45"/>
      <c r="AB614" s="45"/>
      <c r="AC614" s="47"/>
      <c r="AD614" s="47"/>
      <c r="AE614" s="45"/>
      <c r="AF614" s="45"/>
      <c r="AH614" s="51"/>
      <c r="AI614" s="45"/>
      <c r="AJ614" s="45"/>
      <c r="AL614" s="45"/>
      <c r="AM614" s="46"/>
      <c r="AN614" s="46"/>
    </row>
    <row r="615" spans="3:40">
      <c r="F615" s="45"/>
      <c r="H615" s="50"/>
      <c r="I615" s="50"/>
      <c r="J615" s="326"/>
      <c r="K615" s="326"/>
      <c r="L615" s="50"/>
      <c r="M615" s="50"/>
      <c r="N615" s="50"/>
      <c r="O615" s="50"/>
      <c r="P615" s="50"/>
      <c r="Q615" s="50"/>
      <c r="R615" s="50"/>
      <c r="V615" s="50"/>
      <c r="Y615" s="50"/>
      <c r="Z615" s="326"/>
      <c r="AA615" s="50"/>
      <c r="AB615" s="50"/>
      <c r="AC615" s="50"/>
      <c r="AD615" s="50"/>
      <c r="AE615" s="50"/>
      <c r="AF615" s="50"/>
      <c r="AI615" s="50"/>
      <c r="AJ615" s="50"/>
      <c r="AK615" s="111"/>
      <c r="AL615" s="50"/>
      <c r="AM615" s="46"/>
      <c r="AN615" s="46"/>
    </row>
    <row r="616" spans="3:40">
      <c r="C616" s="42"/>
      <c r="F616" s="50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3:40">
      <c r="F617" s="45"/>
      <c r="H617" s="45"/>
      <c r="I617" s="45"/>
      <c r="J617" s="47"/>
      <c r="K617" s="47"/>
      <c r="L617" s="45"/>
      <c r="M617" s="45"/>
      <c r="N617" s="47"/>
      <c r="O617" s="47"/>
      <c r="P617" s="45"/>
      <c r="Q617" s="45"/>
      <c r="R617" s="45"/>
      <c r="V617" s="45"/>
      <c r="Y617" s="45"/>
      <c r="Z617" s="47"/>
      <c r="AA617" s="45"/>
      <c r="AB617" s="45"/>
      <c r="AC617" s="47"/>
      <c r="AD617" s="47"/>
      <c r="AH617" s="51"/>
      <c r="AI617" s="45"/>
      <c r="AJ617" s="45"/>
      <c r="AL617" s="45"/>
      <c r="AM617" s="46"/>
      <c r="AN617" s="46"/>
    </row>
    <row r="618" spans="3:40">
      <c r="C618" s="42"/>
      <c r="D618" s="42"/>
      <c r="E618" s="42"/>
      <c r="F618" s="45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U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3:40">
      <c r="F619" s="45"/>
      <c r="H619" s="50"/>
      <c r="I619" s="50"/>
      <c r="J619" s="326"/>
      <c r="K619" s="326"/>
      <c r="L619" s="50"/>
      <c r="M619" s="50"/>
      <c r="N619" s="50"/>
      <c r="O619" s="50"/>
      <c r="P619" s="50"/>
      <c r="Q619" s="50"/>
      <c r="R619" s="50"/>
      <c r="V619" s="50"/>
      <c r="Y619" s="50"/>
      <c r="Z619" s="326"/>
      <c r="AA619" s="50"/>
      <c r="AB619" s="50"/>
      <c r="AC619" s="50"/>
      <c r="AD619" s="50"/>
      <c r="AE619" s="50"/>
      <c r="AF619" s="50"/>
      <c r="AI619" s="50"/>
      <c r="AJ619" s="50"/>
      <c r="AK619" s="111"/>
      <c r="AL619" s="50"/>
      <c r="AM619" s="46"/>
      <c r="AN619" s="46"/>
    </row>
    <row r="620" spans="3:40">
      <c r="C620" s="42"/>
      <c r="F620" s="50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3:40"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V621" s="45"/>
      <c r="Y621" s="45"/>
      <c r="Z621" s="47"/>
      <c r="AA621" s="45"/>
      <c r="AB621" s="45"/>
      <c r="AC621" s="47"/>
      <c r="AD621" s="47"/>
      <c r="AH621" s="51"/>
      <c r="AI621" s="45"/>
      <c r="AJ621" s="45"/>
      <c r="AL621" s="45"/>
      <c r="AM621" s="46"/>
      <c r="AN621" s="46"/>
    </row>
    <row r="622" spans="3:40">
      <c r="C622" s="42"/>
      <c r="D622" s="42"/>
      <c r="E622" s="42"/>
      <c r="F622" s="45"/>
      <c r="H622" s="45"/>
      <c r="I622" s="45"/>
      <c r="J622" s="47"/>
      <c r="K622" s="47"/>
      <c r="L622" s="45"/>
      <c r="M622" s="45"/>
      <c r="N622" s="47"/>
      <c r="O622" s="47"/>
      <c r="P622" s="45"/>
      <c r="Q622" s="45"/>
      <c r="R622" s="45"/>
      <c r="T622" s="42"/>
      <c r="U622" s="42"/>
      <c r="V622" s="45"/>
      <c r="Y622" s="45"/>
      <c r="Z622" s="47"/>
      <c r="AA622" s="45"/>
      <c r="AB622" s="45"/>
      <c r="AC622" s="47"/>
      <c r="AD622" s="47"/>
      <c r="AE622" s="45"/>
      <c r="AF622" s="45"/>
      <c r="AH622" s="51"/>
      <c r="AI622" s="45"/>
      <c r="AJ622" s="45"/>
      <c r="AL622" s="45"/>
      <c r="AM622" s="46"/>
      <c r="AN622" s="46"/>
    </row>
    <row r="623" spans="3:40">
      <c r="C623" s="42"/>
      <c r="D623" s="42"/>
      <c r="E623" s="42"/>
      <c r="F623" s="45"/>
      <c r="G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U623" s="42"/>
      <c r="V623" s="45"/>
      <c r="W623" s="45"/>
      <c r="X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3:40">
      <c r="C624" s="42"/>
      <c r="D624" s="42"/>
      <c r="E624" s="42"/>
      <c r="F624" s="45"/>
      <c r="G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U624" s="42"/>
      <c r="V624" s="45"/>
      <c r="W624" s="45"/>
      <c r="X624" s="45"/>
      <c r="Y624" s="45"/>
      <c r="Z624" s="47"/>
      <c r="AA624" s="45"/>
      <c r="AB624" s="45"/>
      <c r="AC624" s="47"/>
      <c r="AD624" s="47"/>
      <c r="AE624" s="45"/>
      <c r="AF624" s="45"/>
      <c r="AH624" s="51"/>
      <c r="AI624" s="45"/>
      <c r="AJ624" s="45"/>
      <c r="AL624" s="45"/>
      <c r="AM624" s="46"/>
      <c r="AN624" s="46"/>
    </row>
    <row r="625" spans="3:40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Y625" s="45"/>
      <c r="Z625" s="47"/>
      <c r="AA625" s="45"/>
      <c r="AB625" s="45"/>
      <c r="AC625" s="47"/>
      <c r="AD625" s="47"/>
      <c r="AE625" s="45"/>
      <c r="AF625" s="45"/>
      <c r="AH625" s="51"/>
      <c r="AI625" s="45"/>
      <c r="AJ625" s="45"/>
      <c r="AL625" s="45"/>
      <c r="AM625" s="46"/>
      <c r="AN625" s="46"/>
    </row>
    <row r="626" spans="3:40">
      <c r="C626" s="42"/>
      <c r="D626" s="42"/>
      <c r="E626" s="42"/>
      <c r="F626" s="45"/>
      <c r="H626" s="45"/>
      <c r="I626" s="45"/>
      <c r="J626" s="47"/>
      <c r="K626" s="47"/>
      <c r="L626" s="45"/>
      <c r="M626" s="45"/>
      <c r="N626" s="47"/>
      <c r="O626" s="47"/>
      <c r="P626" s="45"/>
      <c r="Q626" s="45"/>
      <c r="R626" s="45"/>
      <c r="T626" s="42"/>
      <c r="U626" s="42"/>
      <c r="V626" s="45"/>
      <c r="Y626" s="45"/>
      <c r="Z626" s="47"/>
      <c r="AA626" s="45"/>
      <c r="AB626" s="45"/>
      <c r="AC626" s="47"/>
      <c r="AD626" s="47"/>
      <c r="AE626" s="45"/>
      <c r="AF626" s="45"/>
      <c r="AH626" s="51"/>
      <c r="AI626" s="45"/>
      <c r="AJ626" s="45"/>
      <c r="AL626" s="45"/>
      <c r="AM626" s="46"/>
      <c r="AN626" s="46"/>
    </row>
    <row r="627" spans="3:40">
      <c r="C627" s="42"/>
      <c r="D627" s="42"/>
      <c r="E627" s="42"/>
      <c r="F627" s="45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U627" s="42"/>
      <c r="V627" s="45"/>
      <c r="Y627" s="45"/>
      <c r="Z627" s="47"/>
      <c r="AA627" s="45"/>
      <c r="AB627" s="45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3:40">
      <c r="C628" s="42"/>
      <c r="D628" s="42"/>
      <c r="E628" s="42"/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T628" s="42"/>
      <c r="U628" s="42"/>
      <c r="V628" s="45"/>
      <c r="Y628" s="45"/>
      <c r="Z628" s="47"/>
      <c r="AA628" s="45"/>
      <c r="AB628" s="45"/>
      <c r="AC628" s="47"/>
      <c r="AD628" s="47"/>
      <c r="AE628" s="45"/>
      <c r="AF628" s="45"/>
      <c r="AH628" s="51"/>
      <c r="AI628" s="45"/>
      <c r="AJ628" s="45"/>
      <c r="AL628" s="45"/>
      <c r="AM628" s="46"/>
      <c r="AN628" s="46"/>
    </row>
    <row r="629" spans="3:40">
      <c r="F629" s="45"/>
      <c r="H629" s="50"/>
      <c r="I629" s="50"/>
      <c r="J629" s="326"/>
      <c r="K629" s="326"/>
      <c r="L629" s="50"/>
      <c r="M629" s="50"/>
      <c r="N629" s="50"/>
      <c r="O629" s="50"/>
      <c r="P629" s="50"/>
      <c r="Q629" s="50"/>
      <c r="R629" s="50"/>
      <c r="V629" s="50"/>
      <c r="Y629" s="50"/>
      <c r="Z629" s="326"/>
      <c r="AA629" s="50"/>
      <c r="AB629" s="50"/>
      <c r="AC629" s="50"/>
      <c r="AD629" s="50"/>
      <c r="AE629" s="50"/>
      <c r="AF629" s="50"/>
      <c r="AI629" s="50"/>
      <c r="AJ629" s="50"/>
      <c r="AK629" s="111"/>
      <c r="AL629" s="50"/>
      <c r="AM629" s="46"/>
      <c r="AN629" s="46"/>
    </row>
    <row r="630" spans="3:40">
      <c r="C630" s="42"/>
      <c r="F630" s="50"/>
      <c r="H630" s="45"/>
      <c r="I630" s="45"/>
      <c r="J630" s="47"/>
      <c r="K630" s="47"/>
      <c r="L630" s="45"/>
      <c r="M630" s="45"/>
      <c r="N630" s="47"/>
      <c r="O630" s="47"/>
      <c r="P630" s="45"/>
      <c r="Q630" s="45"/>
      <c r="R630" s="45"/>
      <c r="T630" s="42"/>
      <c r="V630" s="45"/>
      <c r="Y630" s="45"/>
      <c r="Z630" s="47"/>
      <c r="AA630" s="45"/>
      <c r="AB630" s="45"/>
      <c r="AC630" s="47"/>
      <c r="AD630" s="47"/>
      <c r="AE630" s="45"/>
      <c r="AF630" s="45"/>
      <c r="AH630" s="51"/>
      <c r="AI630" s="45"/>
      <c r="AJ630" s="45"/>
      <c r="AL630" s="45"/>
      <c r="AM630" s="46"/>
      <c r="AN630" s="46"/>
    </row>
    <row r="631" spans="3:40">
      <c r="F631" s="45"/>
      <c r="V631" s="45"/>
      <c r="Y631" s="45"/>
      <c r="Z631" s="326"/>
      <c r="AA631" s="45"/>
      <c r="AB631" s="45"/>
      <c r="AC631" s="45"/>
      <c r="AD631" s="45"/>
      <c r="AE631" s="45"/>
      <c r="AF631" s="45"/>
      <c r="AI631" s="45"/>
      <c r="AJ631" s="45"/>
      <c r="AL631" s="45"/>
      <c r="AM631" s="46"/>
      <c r="AN631" s="46"/>
    </row>
    <row r="632" spans="3:40">
      <c r="C632" s="42"/>
      <c r="D632" s="42"/>
      <c r="E632" s="42"/>
      <c r="L632" s="45"/>
      <c r="M632" s="45"/>
      <c r="N632" s="47"/>
      <c r="O632" s="47"/>
      <c r="R632" s="45"/>
      <c r="T632" s="42"/>
      <c r="U632" s="42"/>
      <c r="AA632" s="45"/>
      <c r="AB632" s="45"/>
      <c r="AC632" s="47"/>
      <c r="AD632" s="47"/>
      <c r="AE632" s="45"/>
      <c r="AF632" s="45"/>
      <c r="AH632" s="51"/>
      <c r="AL632" s="45"/>
      <c r="AM632" s="46"/>
      <c r="AN632" s="46"/>
    </row>
    <row r="633" spans="3:40">
      <c r="D633" s="42"/>
      <c r="E633" s="42"/>
      <c r="H633" s="164"/>
      <c r="I633" s="164"/>
      <c r="J633" s="47"/>
      <c r="K633" s="47"/>
      <c r="L633" s="45"/>
      <c r="M633" s="45"/>
      <c r="N633" s="47"/>
      <c r="O633" s="47"/>
      <c r="P633" s="164"/>
      <c r="Q633" s="164"/>
      <c r="R633" s="45"/>
      <c r="U633" s="42"/>
      <c r="V633" s="45"/>
      <c r="Y633" s="45"/>
      <c r="Z633" s="47"/>
      <c r="AA633" s="45"/>
      <c r="AB633" s="45"/>
      <c r="AC633" s="47"/>
      <c r="AD633" s="47"/>
      <c r="AE633" s="45"/>
      <c r="AF633" s="45"/>
      <c r="AH633" s="51"/>
      <c r="AI633" s="45"/>
      <c r="AJ633" s="45"/>
      <c r="AL633" s="45"/>
      <c r="AM633" s="46"/>
      <c r="AN633" s="46"/>
    </row>
    <row r="634" spans="3:40">
      <c r="F634" s="164"/>
      <c r="H634" s="50"/>
      <c r="I634" s="50"/>
      <c r="J634" s="326"/>
      <c r="K634" s="326"/>
      <c r="L634" s="50"/>
      <c r="M634" s="50"/>
      <c r="N634" s="50"/>
      <c r="O634" s="50"/>
      <c r="P634" s="50"/>
      <c r="Q634" s="50"/>
      <c r="R634" s="50"/>
      <c r="V634" s="50"/>
      <c r="Y634" s="50"/>
      <c r="Z634" s="326"/>
      <c r="AA634" s="50"/>
      <c r="AB634" s="50"/>
      <c r="AC634" s="50"/>
      <c r="AD634" s="50"/>
      <c r="AE634" s="50"/>
      <c r="AF634" s="50"/>
      <c r="AI634" s="50"/>
      <c r="AJ634" s="50"/>
      <c r="AK634" s="111"/>
      <c r="AL634" s="50"/>
      <c r="AM634" s="46"/>
      <c r="AN634" s="46"/>
    </row>
    <row r="635" spans="3:40">
      <c r="C635" s="42"/>
      <c r="F635" s="50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V635" s="45"/>
      <c r="Y635" s="45"/>
      <c r="Z635" s="47"/>
      <c r="AA635" s="45"/>
      <c r="AB635" s="45"/>
      <c r="AC635" s="47"/>
      <c r="AD635" s="47"/>
      <c r="AE635" s="45"/>
      <c r="AF635" s="45"/>
      <c r="AH635" s="51"/>
      <c r="AI635" s="45"/>
      <c r="AJ635" s="45"/>
      <c r="AL635" s="45"/>
      <c r="AM635" s="46"/>
      <c r="AN635" s="46"/>
    </row>
    <row r="636" spans="3:40"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V636" s="45"/>
      <c r="Y636" s="45"/>
      <c r="Z636" s="47"/>
      <c r="AA636" s="45"/>
      <c r="AB636" s="45"/>
      <c r="AC636" s="47"/>
      <c r="AD636" s="47"/>
      <c r="AH636" s="51"/>
      <c r="AI636" s="45"/>
      <c r="AJ636" s="45"/>
      <c r="AL636" s="45"/>
      <c r="AM636" s="46"/>
      <c r="AN636" s="46"/>
    </row>
    <row r="637" spans="3:40">
      <c r="D637" s="42"/>
      <c r="E637" s="42"/>
      <c r="F637" s="45"/>
      <c r="H637" s="45"/>
      <c r="I637" s="45"/>
      <c r="J637" s="47"/>
      <c r="K637" s="47"/>
      <c r="L637" s="164"/>
      <c r="M637" s="164"/>
      <c r="N637" s="47"/>
      <c r="O637" s="47"/>
      <c r="P637" s="45"/>
      <c r="Q637" s="45"/>
      <c r="R637" s="45"/>
      <c r="U637" s="42"/>
      <c r="V637" s="45"/>
      <c r="Y637" s="45"/>
      <c r="Z637" s="47"/>
      <c r="AA637" s="164"/>
      <c r="AB637" s="164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3:40">
      <c r="D638" s="42"/>
      <c r="E638" s="42"/>
      <c r="F638" s="45"/>
      <c r="H638" s="45"/>
      <c r="I638" s="45"/>
      <c r="J638" s="47"/>
      <c r="K638" s="47"/>
      <c r="L638" s="164"/>
      <c r="M638" s="164"/>
      <c r="N638" s="47"/>
      <c r="O638" s="47"/>
      <c r="P638" s="45"/>
      <c r="Q638" s="45"/>
      <c r="R638" s="45"/>
      <c r="U638" s="42"/>
      <c r="V638" s="45"/>
      <c r="Y638" s="45"/>
      <c r="Z638" s="47"/>
      <c r="AA638" s="164"/>
      <c r="AB638" s="164"/>
      <c r="AC638" s="47"/>
      <c r="AD638" s="47"/>
      <c r="AE638" s="45"/>
      <c r="AF638" s="45"/>
      <c r="AH638" s="51"/>
      <c r="AI638" s="45"/>
      <c r="AJ638" s="45"/>
      <c r="AL638" s="45"/>
      <c r="AM638" s="46"/>
      <c r="AN638" s="46"/>
    </row>
    <row r="639" spans="3:40">
      <c r="D639" s="42"/>
      <c r="E639" s="42"/>
      <c r="F639" s="45"/>
      <c r="H639" s="45"/>
      <c r="I639" s="45"/>
      <c r="J639" s="47"/>
      <c r="K639" s="47"/>
      <c r="L639" s="164"/>
      <c r="M639" s="164"/>
      <c r="N639" s="47"/>
      <c r="O639" s="47"/>
      <c r="P639" s="45"/>
      <c r="Q639" s="45"/>
      <c r="R639" s="45"/>
      <c r="U639" s="42"/>
      <c r="V639" s="45"/>
      <c r="Y639" s="45"/>
      <c r="Z639" s="47"/>
      <c r="AA639" s="164"/>
      <c r="AB639" s="164"/>
      <c r="AC639" s="47"/>
      <c r="AD639" s="47"/>
      <c r="AE639" s="45"/>
      <c r="AF639" s="45"/>
      <c r="AH639" s="51"/>
      <c r="AI639" s="45"/>
      <c r="AJ639" s="45"/>
      <c r="AL639" s="45"/>
      <c r="AM639" s="46"/>
      <c r="AN639" s="46"/>
    </row>
    <row r="640" spans="3:40">
      <c r="F640" s="45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  <c r="AM640" s="46"/>
      <c r="AN640" s="46"/>
    </row>
    <row r="641" spans="1:40">
      <c r="C641" s="42"/>
      <c r="F641" s="50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V641" s="45"/>
      <c r="Y641" s="45"/>
      <c r="Z641" s="47"/>
      <c r="AA641" s="45"/>
      <c r="AB641" s="45"/>
      <c r="AC641" s="47"/>
      <c r="AD641" s="47"/>
      <c r="AE641" s="45"/>
      <c r="AF641" s="45"/>
      <c r="AH641" s="51"/>
      <c r="AI641" s="45"/>
      <c r="AJ641" s="45"/>
      <c r="AL641" s="45"/>
      <c r="AM641" s="46"/>
      <c r="AN641" s="46"/>
    </row>
    <row r="642" spans="1:40">
      <c r="F642" s="45"/>
      <c r="H642" s="45"/>
      <c r="I642" s="45"/>
      <c r="J642" s="47"/>
      <c r="K642" s="47"/>
      <c r="L642" s="45"/>
      <c r="M642" s="45"/>
      <c r="N642" s="47"/>
      <c r="O642" s="47"/>
      <c r="P642" s="45"/>
      <c r="Q642" s="45"/>
      <c r="R642" s="45"/>
      <c r="V642" s="45"/>
      <c r="Y642" s="45"/>
      <c r="Z642" s="47"/>
      <c r="AA642" s="45"/>
      <c r="AB642" s="45"/>
      <c r="AC642" s="47"/>
      <c r="AD642" s="47"/>
      <c r="AH642" s="51"/>
      <c r="AI642" s="45"/>
      <c r="AJ642" s="45"/>
      <c r="AL642" s="45"/>
      <c r="AM642" s="46"/>
      <c r="AN642" s="46"/>
    </row>
    <row r="643" spans="1:40">
      <c r="C643" s="42"/>
      <c r="F643" s="45"/>
      <c r="H643" s="45"/>
      <c r="I643" s="45"/>
      <c r="J643" s="47"/>
      <c r="K643" s="47"/>
      <c r="L643" s="45"/>
      <c r="M643" s="45"/>
      <c r="N643" s="47"/>
      <c r="O643" s="47"/>
      <c r="P643" s="45"/>
      <c r="Q643" s="45"/>
      <c r="R643" s="45"/>
      <c r="T643" s="42"/>
      <c r="V643" s="45"/>
      <c r="Y643" s="45"/>
      <c r="Z643" s="47"/>
      <c r="AA643" s="45"/>
      <c r="AB643" s="45"/>
      <c r="AC643" s="47"/>
      <c r="AD643" s="47"/>
      <c r="AE643" s="45"/>
      <c r="AF643" s="45"/>
      <c r="AH643" s="51"/>
      <c r="AI643" s="45"/>
      <c r="AJ643" s="45"/>
      <c r="AL643" s="45"/>
      <c r="AM643" s="46"/>
      <c r="AN643" s="46"/>
    </row>
    <row r="644" spans="1:40">
      <c r="F644" s="45"/>
      <c r="H644" s="50"/>
      <c r="I644" s="50"/>
      <c r="J644" s="326"/>
      <c r="K644" s="326"/>
      <c r="L644" s="50"/>
      <c r="M644" s="50"/>
      <c r="N644" s="50"/>
      <c r="O644" s="50"/>
      <c r="P644" s="50"/>
      <c r="Q644" s="50"/>
      <c r="R644" s="50"/>
      <c r="V644" s="50"/>
      <c r="Y644" s="50"/>
      <c r="Z644" s="326"/>
      <c r="AA644" s="50"/>
      <c r="AB644" s="50"/>
      <c r="AC644" s="50"/>
      <c r="AD644" s="50"/>
      <c r="AE644" s="50"/>
      <c r="AF644" s="50"/>
      <c r="AI644" s="50"/>
      <c r="AJ644" s="50"/>
      <c r="AK644" s="111"/>
      <c r="AL644" s="50"/>
    </row>
    <row r="646" spans="1:40">
      <c r="C646" s="42"/>
      <c r="F646" s="50"/>
      <c r="L646" s="45"/>
      <c r="M646" s="45"/>
      <c r="P646" s="45"/>
      <c r="Q646" s="45"/>
      <c r="R646" s="45"/>
      <c r="T646" s="42"/>
    </row>
    <row r="647" spans="1:40">
      <c r="A647" s="42"/>
      <c r="L647" s="45"/>
      <c r="M647" s="45"/>
      <c r="P647" s="45"/>
      <c r="Q647" s="45"/>
      <c r="R647" s="45"/>
    </row>
    <row r="648" spans="1:40">
      <c r="L648" s="45"/>
      <c r="M648" s="45"/>
      <c r="P648" s="45"/>
      <c r="Q648" s="45"/>
      <c r="R648" s="45"/>
    </row>
    <row r="649" spans="1:40">
      <c r="L649" s="45"/>
      <c r="M649" s="45"/>
      <c r="P649" s="45"/>
      <c r="Q649" s="45"/>
      <c r="R649" s="45"/>
    </row>
    <row r="650" spans="1:40">
      <c r="L650" s="45"/>
      <c r="M650" s="45"/>
      <c r="P650" s="45"/>
      <c r="Q650" s="45"/>
      <c r="R650" s="45"/>
    </row>
    <row r="651" spans="1:40">
      <c r="L651" s="45"/>
      <c r="M651" s="45"/>
      <c r="P651" s="45"/>
      <c r="Q651" s="45"/>
      <c r="R651" s="45"/>
    </row>
    <row r="652" spans="1:40">
      <c r="L652" s="45"/>
      <c r="M652" s="45"/>
      <c r="P652" s="45"/>
      <c r="Q652" s="45"/>
      <c r="R652" s="45"/>
    </row>
    <row r="685" spans="49:49">
      <c r="AW685" s="45"/>
    </row>
    <row r="686" spans="49:49">
      <c r="AW686" s="45"/>
    </row>
    <row r="687" spans="49:49">
      <c r="AW687" s="45"/>
    </row>
    <row r="688" spans="49:49">
      <c r="AW688" s="45"/>
    </row>
    <row r="689" spans="49:49">
      <c r="AW689" s="45"/>
    </row>
    <row r="690" spans="49:49">
      <c r="AW690" s="45"/>
    </row>
    <row r="693" spans="49:49">
      <c r="AW693" s="45"/>
    </row>
    <row r="694" spans="49:49">
      <c r="AW694" s="45"/>
    </row>
    <row r="695" spans="49:49">
      <c r="AW695" s="45"/>
    </row>
    <row r="696" spans="49:49">
      <c r="AW696" s="45"/>
    </row>
    <row r="697" spans="49:49">
      <c r="AW697" s="45"/>
    </row>
    <row r="698" spans="49:49">
      <c r="AW698" s="45"/>
    </row>
    <row r="699" spans="49:49">
      <c r="AW699" s="45"/>
    </row>
    <row r="700" spans="49:49">
      <c r="AW700" s="45"/>
    </row>
    <row r="703" spans="49:49">
      <c r="AW703" s="45"/>
    </row>
    <row r="704" spans="49:49">
      <c r="AW704" s="45"/>
    </row>
    <row r="707" spans="49:56">
      <c r="AW707" s="45"/>
    </row>
    <row r="708" spans="49:56">
      <c r="AW708" s="45"/>
    </row>
    <row r="709" spans="49:56">
      <c r="AW709" s="45"/>
    </row>
    <row r="710" spans="49:56">
      <c r="AW710" s="45"/>
    </row>
    <row r="718" spans="49:56">
      <c r="AY718" s="42"/>
    </row>
    <row r="719" spans="49:56">
      <c r="AY719" s="42"/>
    </row>
    <row r="720" spans="49:56">
      <c r="BD720" s="42"/>
    </row>
    <row r="721" spans="45:69">
      <c r="BD721" s="42"/>
    </row>
    <row r="722" spans="45:69">
      <c r="AS722" s="42"/>
      <c r="BD722" s="42"/>
    </row>
    <row r="724" spans="45:69"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</row>
    <row r="725" spans="45:69">
      <c r="AX725" s="42"/>
    </row>
    <row r="726" spans="45:69">
      <c r="AX726" s="49"/>
      <c r="AY726" s="49"/>
      <c r="AZ726" s="49"/>
      <c r="BA726" s="49"/>
      <c r="BC726" s="44"/>
      <c r="BD726" s="44"/>
    </row>
    <row r="727" spans="45:69">
      <c r="AV727" s="44"/>
      <c r="AW727" s="44"/>
      <c r="AZ727" s="44"/>
      <c r="BA727" s="44"/>
      <c r="BC727" s="44"/>
      <c r="BD727" s="44"/>
      <c r="BE727" s="44"/>
      <c r="BG727" s="49"/>
      <c r="BH727" s="42"/>
      <c r="BK727" s="49"/>
      <c r="BM727" s="49"/>
      <c r="BN727" s="42"/>
      <c r="BQ727" s="49"/>
    </row>
    <row r="728" spans="45:69"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H728" s="44"/>
      <c r="BI728" s="44"/>
      <c r="BJ728" s="44"/>
      <c r="BN728" s="44"/>
      <c r="BO728" s="44"/>
      <c r="BP728" s="44"/>
    </row>
    <row r="729" spans="45:69">
      <c r="AS729" s="44"/>
      <c r="AU729" s="42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G729" s="44"/>
      <c r="BH729" s="44"/>
      <c r="BI729" s="44"/>
      <c r="BJ729" s="44"/>
      <c r="BK729" s="44"/>
      <c r="BM729" s="44"/>
      <c r="BN729" s="44"/>
      <c r="BO729" s="44"/>
      <c r="BP729" s="44"/>
      <c r="BQ729" s="44"/>
    </row>
    <row r="730" spans="45:69">
      <c r="AS730" s="44"/>
      <c r="AU730" s="42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G730" s="44"/>
      <c r="BH730" s="44"/>
      <c r="BI730" s="44"/>
      <c r="BJ730" s="44"/>
      <c r="BK730" s="44"/>
      <c r="BM730" s="44"/>
      <c r="BN730" s="44"/>
      <c r="BO730" s="44"/>
      <c r="BP730" s="44"/>
      <c r="BQ730" s="44"/>
    </row>
    <row r="731" spans="45:69"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G731" s="49"/>
      <c r="BH731" s="49"/>
      <c r="BI731" s="49"/>
      <c r="BJ731" s="49"/>
      <c r="BK731" s="49"/>
      <c r="BM731" s="49"/>
      <c r="BN731" s="49"/>
      <c r="BO731" s="49"/>
      <c r="BP731" s="49"/>
      <c r="BQ731" s="49"/>
    </row>
    <row r="732" spans="45:69"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</row>
    <row r="733" spans="45:69">
      <c r="AU733" s="42"/>
      <c r="AV733" s="44"/>
      <c r="AY733" s="47"/>
    </row>
    <row r="734" spans="45:69">
      <c r="AV734" s="44"/>
      <c r="AW734" s="45"/>
      <c r="AX734" s="56"/>
      <c r="AY734" s="56"/>
      <c r="AZ734" s="56"/>
      <c r="BA734" s="46"/>
      <c r="BB734" s="56"/>
      <c r="BC734" s="47"/>
      <c r="BD734" s="47"/>
      <c r="BE734" s="46"/>
      <c r="BG734" s="56"/>
      <c r="BH734" s="56"/>
      <c r="BI734" s="56"/>
      <c r="BJ734" s="56"/>
      <c r="BK734" s="56"/>
      <c r="BM734" s="56"/>
      <c r="BN734" s="56"/>
      <c r="BO734" s="56"/>
      <c r="BP734" s="56"/>
      <c r="BQ734" s="56"/>
    </row>
    <row r="735" spans="45:69">
      <c r="AV735" s="44"/>
      <c r="AW735" s="45"/>
      <c r="AX735" s="56"/>
      <c r="AY735" s="56"/>
      <c r="AZ735" s="56"/>
      <c r="BA735" s="46"/>
      <c r="BB735" s="56"/>
      <c r="BC735" s="47"/>
      <c r="BD735" s="47"/>
      <c r="BE735" s="46"/>
      <c r="BG735" s="56"/>
      <c r="BH735" s="56"/>
      <c r="BI735" s="56"/>
      <c r="BJ735" s="56"/>
      <c r="BK735" s="56"/>
      <c r="BM735" s="56"/>
      <c r="BN735" s="56"/>
      <c r="BO735" s="56"/>
      <c r="BP735" s="56"/>
      <c r="BQ735" s="56"/>
    </row>
    <row r="736" spans="45:69">
      <c r="AV736" s="44"/>
      <c r="AW736" s="45"/>
      <c r="AX736" s="56"/>
      <c r="AY736" s="56"/>
      <c r="AZ736" s="56"/>
      <c r="BA736" s="46"/>
      <c r="BB736" s="56"/>
      <c r="BC736" s="47"/>
      <c r="BD736" s="47"/>
      <c r="BE736" s="46"/>
      <c r="BG736" s="56"/>
      <c r="BH736" s="56"/>
      <c r="BI736" s="56"/>
      <c r="BJ736" s="56"/>
      <c r="BK736" s="56"/>
      <c r="BM736" s="56"/>
      <c r="BN736" s="56"/>
      <c r="BO736" s="56"/>
      <c r="BP736" s="56"/>
      <c r="BQ736" s="56"/>
    </row>
    <row r="737" spans="47:69">
      <c r="AV737" s="44"/>
      <c r="AW737" s="45"/>
      <c r="AX737" s="56"/>
      <c r="AY737" s="56"/>
      <c r="AZ737" s="56"/>
      <c r="BA737" s="46"/>
      <c r="BB737" s="56"/>
      <c r="BC737" s="47"/>
      <c r="BD737" s="47"/>
      <c r="BE737" s="46"/>
      <c r="BG737" s="56"/>
      <c r="BH737" s="56"/>
      <c r="BI737" s="56"/>
      <c r="BJ737" s="56"/>
      <c r="BK737" s="56"/>
      <c r="BM737" s="56"/>
      <c r="BN737" s="56"/>
      <c r="BO737" s="56"/>
      <c r="BP737" s="56"/>
      <c r="BQ737" s="56"/>
    </row>
    <row r="738" spans="47:69">
      <c r="AV738" s="44"/>
      <c r="AW738" s="45"/>
      <c r="AX738" s="56"/>
      <c r="AY738" s="56"/>
      <c r="AZ738" s="56"/>
      <c r="BA738" s="46"/>
      <c r="BB738" s="56"/>
      <c r="BC738" s="47"/>
      <c r="BD738" s="47"/>
      <c r="BE738" s="46"/>
      <c r="BG738" s="56"/>
      <c r="BH738" s="56"/>
      <c r="BI738" s="56"/>
      <c r="BJ738" s="56"/>
      <c r="BK738" s="56"/>
      <c r="BM738" s="56"/>
      <c r="BN738" s="56"/>
      <c r="BO738" s="56"/>
      <c r="BP738" s="56"/>
      <c r="BQ738" s="56"/>
    </row>
    <row r="739" spans="47:69">
      <c r="AV739" s="44"/>
      <c r="AW739" s="45"/>
      <c r="AX739" s="56"/>
      <c r="AY739" s="56"/>
      <c r="AZ739" s="56"/>
      <c r="BA739" s="46"/>
      <c r="BB739" s="56"/>
      <c r="BC739" s="47"/>
      <c r="BD739" s="47"/>
      <c r="BE739" s="46"/>
      <c r="BG739" s="56"/>
      <c r="BH739" s="56"/>
      <c r="BI739" s="56"/>
      <c r="BJ739" s="56"/>
      <c r="BK739" s="56"/>
      <c r="BM739" s="56"/>
      <c r="BN739" s="56"/>
      <c r="BO739" s="56"/>
      <c r="BP739" s="56"/>
      <c r="BQ739" s="56"/>
    </row>
    <row r="740" spans="47:69">
      <c r="AV740" s="44"/>
      <c r="AW740" s="45"/>
      <c r="AX740" s="56"/>
      <c r="AY740" s="56"/>
      <c r="AZ740" s="56"/>
      <c r="BA740" s="46"/>
      <c r="BB740" s="56"/>
      <c r="BC740" s="47"/>
      <c r="BD740" s="47"/>
      <c r="BE740" s="46"/>
      <c r="BG740" s="56"/>
      <c r="BH740" s="56"/>
      <c r="BI740" s="56"/>
      <c r="BJ740" s="56"/>
      <c r="BK740" s="56"/>
      <c r="BM740" s="56"/>
      <c r="BN740" s="56"/>
      <c r="BO740" s="56"/>
      <c r="BP740" s="56"/>
      <c r="BQ740" s="56"/>
    </row>
    <row r="741" spans="47:69">
      <c r="AY741" s="47"/>
      <c r="AZ741" s="56"/>
      <c r="BA741" s="46"/>
      <c r="BB741" s="56"/>
      <c r="BC741" s="47"/>
      <c r="BD741" s="47"/>
      <c r="BE741" s="46"/>
      <c r="BK741" s="56"/>
      <c r="BQ741" s="56"/>
    </row>
    <row r="742" spans="47:69">
      <c r="AV742" s="44"/>
      <c r="AY742" s="47"/>
      <c r="AZ742" s="56"/>
      <c r="BA742" s="46"/>
      <c r="BB742" s="56"/>
      <c r="BC742" s="47"/>
      <c r="BD742" s="47"/>
      <c r="BE742" s="46"/>
      <c r="BK742" s="56"/>
      <c r="BQ742" s="56"/>
    </row>
    <row r="743" spans="47:69">
      <c r="AV743" s="44"/>
      <c r="AW743" s="45"/>
      <c r="AX743" s="56"/>
      <c r="AY743" s="56"/>
      <c r="AZ743" s="56"/>
      <c r="BA743" s="46"/>
      <c r="BB743" s="56"/>
      <c r="BC743" s="47"/>
      <c r="BD743" s="47"/>
      <c r="BE743" s="46"/>
      <c r="BG743" s="56"/>
      <c r="BH743" s="56"/>
      <c r="BI743" s="56"/>
      <c r="BJ743" s="56"/>
      <c r="BK743" s="56"/>
      <c r="BM743" s="56"/>
      <c r="BN743" s="56"/>
      <c r="BO743" s="56"/>
      <c r="BP743" s="56"/>
      <c r="BQ743" s="56"/>
    </row>
    <row r="744" spans="47:69">
      <c r="AV744" s="44"/>
      <c r="AW744" s="45"/>
      <c r="AX744" s="56"/>
      <c r="AY744" s="56"/>
      <c r="AZ744" s="56"/>
      <c r="BA744" s="46"/>
      <c r="BB744" s="56"/>
      <c r="BC744" s="47"/>
      <c r="BD744" s="47"/>
      <c r="BE744" s="46"/>
      <c r="BG744" s="56"/>
      <c r="BH744" s="56"/>
      <c r="BI744" s="56"/>
      <c r="BJ744" s="56"/>
      <c r="BK744" s="56"/>
      <c r="BM744" s="56"/>
      <c r="BN744" s="56"/>
      <c r="BO744" s="56"/>
      <c r="BP744" s="56"/>
      <c r="BQ744" s="56"/>
    </row>
    <row r="745" spans="47:69">
      <c r="AV745" s="44"/>
      <c r="AW745" s="45"/>
      <c r="AX745" s="56"/>
      <c r="AY745" s="56"/>
      <c r="AZ745" s="56"/>
      <c r="BA745" s="46"/>
      <c r="BB745" s="56"/>
      <c r="BC745" s="47"/>
      <c r="BD745" s="47"/>
      <c r="BE745" s="46"/>
      <c r="BG745" s="56"/>
      <c r="BH745" s="56"/>
      <c r="BI745" s="56"/>
      <c r="BJ745" s="56"/>
      <c r="BK745" s="56"/>
      <c r="BM745" s="56"/>
      <c r="BN745" s="56"/>
      <c r="BO745" s="56"/>
      <c r="BP745" s="56"/>
      <c r="BQ745" s="56"/>
    </row>
    <row r="746" spans="47:69">
      <c r="AV746" s="44"/>
      <c r="AW746" s="45"/>
      <c r="AX746" s="56"/>
      <c r="AY746" s="56"/>
      <c r="AZ746" s="56"/>
      <c r="BA746" s="46"/>
      <c r="BB746" s="56"/>
      <c r="BC746" s="47"/>
      <c r="BD746" s="47"/>
      <c r="BE746" s="46"/>
      <c r="BG746" s="56"/>
      <c r="BH746" s="56"/>
      <c r="BI746" s="56"/>
      <c r="BJ746" s="56"/>
      <c r="BK746" s="56"/>
      <c r="BM746" s="56"/>
      <c r="BN746" s="56"/>
      <c r="BO746" s="56"/>
      <c r="BP746" s="56"/>
      <c r="BQ746" s="56"/>
    </row>
    <row r="747" spans="47:69">
      <c r="AV747" s="44"/>
      <c r="AW747" s="45"/>
      <c r="AX747" s="56"/>
      <c r="AY747" s="56"/>
      <c r="AZ747" s="56"/>
      <c r="BA747" s="46"/>
      <c r="BB747" s="56"/>
      <c r="BC747" s="47"/>
      <c r="BD747" s="47"/>
      <c r="BE747" s="46"/>
      <c r="BG747" s="56"/>
      <c r="BH747" s="56"/>
      <c r="BI747" s="56"/>
      <c r="BJ747" s="56"/>
      <c r="BK747" s="56"/>
      <c r="BM747" s="56"/>
      <c r="BN747" s="56"/>
      <c r="BO747" s="56"/>
      <c r="BP747" s="56"/>
      <c r="BQ747" s="56"/>
    </row>
    <row r="748" spans="47:69">
      <c r="AV748" s="44"/>
      <c r="AW748" s="45"/>
      <c r="AX748" s="56"/>
      <c r="AY748" s="56"/>
      <c r="AZ748" s="56"/>
      <c r="BA748" s="46"/>
      <c r="BB748" s="56"/>
      <c r="BC748" s="47"/>
      <c r="BD748" s="47"/>
      <c r="BE748" s="46"/>
      <c r="BG748" s="56"/>
      <c r="BH748" s="56"/>
      <c r="BI748" s="56"/>
      <c r="BJ748" s="56"/>
      <c r="BK748" s="56"/>
      <c r="BM748" s="56"/>
      <c r="BN748" s="56"/>
      <c r="BO748" s="56"/>
      <c r="BP748" s="56"/>
      <c r="BQ748" s="56"/>
    </row>
    <row r="749" spans="47:69">
      <c r="AV749" s="44"/>
      <c r="AW749" s="45"/>
      <c r="AX749" s="56"/>
      <c r="AY749" s="56"/>
      <c r="AZ749" s="56"/>
      <c r="BA749" s="46"/>
      <c r="BB749" s="56"/>
      <c r="BC749" s="47"/>
      <c r="BD749" s="47"/>
      <c r="BE749" s="46"/>
      <c r="BG749" s="56"/>
      <c r="BH749" s="56"/>
      <c r="BI749" s="56"/>
      <c r="BJ749" s="56"/>
      <c r="BK749" s="56"/>
      <c r="BM749" s="56"/>
      <c r="BN749" s="56"/>
      <c r="BO749" s="56"/>
      <c r="BP749" s="56"/>
      <c r="BQ749" s="56"/>
    </row>
    <row r="750" spans="47:69">
      <c r="AV750" s="44"/>
      <c r="AW750" s="45"/>
      <c r="AX750" s="56"/>
      <c r="AY750" s="56"/>
      <c r="AZ750" s="56"/>
      <c r="BA750" s="46"/>
      <c r="BB750" s="56"/>
      <c r="BC750" s="47"/>
      <c r="BD750" s="47"/>
      <c r="BE750" s="46"/>
      <c r="BG750" s="56"/>
      <c r="BH750" s="56"/>
      <c r="BI750" s="56"/>
      <c r="BJ750" s="56"/>
      <c r="BK750" s="56"/>
      <c r="BM750" s="56"/>
      <c r="BN750" s="56"/>
      <c r="BO750" s="56"/>
      <c r="BP750" s="56"/>
      <c r="BQ750" s="56"/>
    </row>
    <row r="751" spans="47:69">
      <c r="AY751" s="47"/>
      <c r="AZ751" s="56"/>
      <c r="BA751" s="46"/>
      <c r="BB751" s="56"/>
      <c r="BC751" s="47"/>
      <c r="BD751" s="47"/>
      <c r="BE751" s="46"/>
      <c r="BK751" s="56"/>
      <c r="BQ751" s="56"/>
    </row>
    <row r="752" spans="47:69">
      <c r="AU752" s="42"/>
      <c r="AZ752" s="56"/>
      <c r="BB752" s="56"/>
      <c r="BG752" s="56"/>
      <c r="BH752" s="56"/>
      <c r="BJ752" s="56"/>
      <c r="BK752" s="56"/>
    </row>
    <row r="753" spans="45:75">
      <c r="AZ753" s="56"/>
      <c r="BB753" s="56"/>
    </row>
    <row r="754" spans="45:75">
      <c r="AS754" s="42"/>
      <c r="AZ754" s="56"/>
      <c r="BB754" s="56"/>
      <c r="BI754" s="56"/>
    </row>
    <row r="755" spans="45:75">
      <c r="AZ755" s="56"/>
      <c r="BB755" s="56"/>
    </row>
    <row r="756" spans="45:75">
      <c r="AY756" s="56"/>
      <c r="BB756" s="56"/>
    </row>
    <row r="757" spans="45:75">
      <c r="AY757" s="42"/>
      <c r="AZ757" s="56"/>
      <c r="BB757" s="56"/>
    </row>
    <row r="758" spans="45:75">
      <c r="AY758" s="42"/>
      <c r="AZ758" s="56"/>
      <c r="BB758" s="56"/>
    </row>
    <row r="759" spans="45:75">
      <c r="AZ759" s="56"/>
      <c r="BB759" s="56"/>
      <c r="BD759" s="42"/>
    </row>
    <row r="760" spans="45:75">
      <c r="AZ760" s="56"/>
      <c r="BB760" s="56"/>
      <c r="BD760" s="42"/>
    </row>
    <row r="761" spans="45:75">
      <c r="AS761" s="42"/>
      <c r="AZ761" s="56"/>
      <c r="BB761" s="56"/>
      <c r="BD761" s="42"/>
    </row>
    <row r="762" spans="45:75">
      <c r="AZ762" s="56"/>
      <c r="BB762" s="56"/>
    </row>
    <row r="763" spans="45:75">
      <c r="AS763" s="49"/>
      <c r="AT763" s="49"/>
      <c r="AU763" s="49"/>
      <c r="AV763" s="49"/>
      <c r="AW763" s="49"/>
      <c r="AX763" s="49"/>
      <c r="AY763" s="49"/>
      <c r="AZ763" s="57"/>
      <c r="BA763" s="49"/>
      <c r="BB763" s="57"/>
      <c r="BC763" s="49"/>
      <c r="BD763" s="49"/>
      <c r="BE763" s="49"/>
    </row>
    <row r="764" spans="45:75">
      <c r="AX764" s="42"/>
      <c r="AZ764" s="56"/>
      <c r="BB764" s="56"/>
    </row>
    <row r="765" spans="45:75">
      <c r="AX765" s="49"/>
      <c r="AY765" s="49"/>
      <c r="AZ765" s="57"/>
      <c r="BA765" s="49"/>
      <c r="BB765" s="56"/>
      <c r="BC765" s="44"/>
      <c r="BD765" s="44"/>
    </row>
    <row r="766" spans="45:75">
      <c r="AV766" s="44"/>
      <c r="AW766" s="44"/>
      <c r="AZ766" s="58"/>
      <c r="BA766" s="44"/>
      <c r="BB766" s="56"/>
      <c r="BC766" s="44"/>
      <c r="BD766" s="44"/>
      <c r="BE766" s="44"/>
      <c r="BG766" s="49"/>
      <c r="BH766" s="49"/>
      <c r="BI766" s="42"/>
      <c r="BM766" s="49"/>
      <c r="BN766" s="49"/>
      <c r="BP766" s="49"/>
      <c r="BQ766" s="49"/>
      <c r="BR766" s="42"/>
      <c r="BV766" s="49"/>
      <c r="BW766" s="49"/>
    </row>
    <row r="767" spans="45:75">
      <c r="AV767" s="44"/>
      <c r="AW767" s="44"/>
      <c r="AX767" s="44"/>
      <c r="AY767" s="44"/>
      <c r="AZ767" s="58"/>
      <c r="BA767" s="44"/>
      <c r="BB767" s="58"/>
      <c r="BC767" s="44"/>
      <c r="BD767" s="44"/>
      <c r="BE767" s="44"/>
      <c r="BH767" s="44"/>
      <c r="BI767" s="44"/>
      <c r="BJ767" s="44"/>
      <c r="BK767" s="44"/>
      <c r="BL767" s="44"/>
      <c r="BM767" s="44"/>
      <c r="BQ767" s="44"/>
      <c r="BR767" s="44"/>
      <c r="BS767" s="44"/>
      <c r="BT767" s="44"/>
      <c r="BU767" s="44"/>
      <c r="BV767" s="44"/>
    </row>
    <row r="768" spans="45:75">
      <c r="AS768" s="44"/>
      <c r="AU768" s="42"/>
      <c r="AV768" s="44"/>
      <c r="AW768" s="44"/>
      <c r="AX768" s="44"/>
      <c r="AY768" s="44"/>
      <c r="AZ768" s="58"/>
      <c r="BA768" s="44"/>
      <c r="BB768" s="58"/>
      <c r="BC768" s="44"/>
      <c r="BD768" s="44"/>
      <c r="BE768" s="44"/>
      <c r="BG768" s="44"/>
      <c r="BH768" s="44"/>
      <c r="BI768" s="44"/>
      <c r="BJ768" s="44"/>
      <c r="BK768" s="44"/>
      <c r="BL768" s="44"/>
      <c r="BM768" s="44"/>
      <c r="BN768" s="44"/>
      <c r="BP768" s="44"/>
      <c r="BQ768" s="44"/>
      <c r="BR768" s="44"/>
      <c r="BS768" s="44"/>
      <c r="BT768" s="44"/>
      <c r="BU768" s="44"/>
      <c r="BV768" s="44"/>
      <c r="BW768" s="44"/>
    </row>
    <row r="769" spans="45:75">
      <c r="AS769" s="44"/>
      <c r="AU769" s="42"/>
      <c r="AV769" s="44"/>
      <c r="AW769" s="44"/>
      <c r="AX769" s="44"/>
      <c r="AY769" s="44"/>
      <c r="AZ769" s="58"/>
      <c r="BA769" s="44"/>
      <c r="BB769" s="58"/>
      <c r="BC769" s="44"/>
      <c r="BD769" s="44"/>
      <c r="BE769" s="44"/>
      <c r="BG769" s="44"/>
      <c r="BH769" s="44"/>
      <c r="BI769" s="44"/>
      <c r="BJ769" s="44"/>
      <c r="BK769" s="44"/>
      <c r="BL769" s="44"/>
      <c r="BM769" s="44"/>
      <c r="BN769" s="44"/>
      <c r="BP769" s="44"/>
      <c r="BQ769" s="44"/>
      <c r="BR769" s="44"/>
      <c r="BS769" s="44"/>
      <c r="BT769" s="44"/>
      <c r="BU769" s="44"/>
      <c r="BV769" s="44"/>
      <c r="BW769" s="44"/>
    </row>
    <row r="770" spans="45:75">
      <c r="AS770" s="49"/>
      <c r="AT770" s="49"/>
      <c r="AU770" s="49"/>
      <c r="AV770" s="49"/>
      <c r="AW770" s="49"/>
      <c r="AX770" s="49"/>
      <c r="AY770" s="49"/>
      <c r="AZ770" s="57"/>
      <c r="BA770" s="49"/>
      <c r="BB770" s="57"/>
      <c r="BC770" s="49"/>
      <c r="BD770" s="49"/>
      <c r="BE770" s="49"/>
      <c r="BG770" s="49"/>
      <c r="BH770" s="49"/>
      <c r="BI770" s="49"/>
      <c r="BJ770" s="49"/>
      <c r="BK770" s="49"/>
      <c r="BL770" s="49"/>
      <c r="BM770" s="49"/>
      <c r="BN770" s="49"/>
      <c r="BP770" s="49"/>
      <c r="BQ770" s="49"/>
      <c r="BR770" s="49"/>
      <c r="BS770" s="49"/>
      <c r="BT770" s="49"/>
      <c r="BU770" s="49"/>
      <c r="BV770" s="49"/>
      <c r="BW770" s="49"/>
    </row>
    <row r="771" spans="45:75">
      <c r="AV771" s="44"/>
      <c r="AW771" s="44"/>
      <c r="AX771" s="44"/>
      <c r="AY771" s="44"/>
      <c r="AZ771" s="58"/>
      <c r="BA771" s="44"/>
      <c r="BB771" s="58"/>
      <c r="BC771" s="44"/>
      <c r="BD771" s="44"/>
      <c r="BE771" s="44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</row>
    <row r="772" spans="45:75">
      <c r="AU772" s="42"/>
      <c r="AW772" s="45"/>
      <c r="AX772" s="56"/>
      <c r="AY772" s="56"/>
      <c r="AZ772" s="56"/>
      <c r="BA772" s="51"/>
      <c r="BB772" s="56"/>
      <c r="BC772" s="56"/>
      <c r="BD772" s="56"/>
      <c r="BE772" s="51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</row>
    <row r="773" spans="45:75">
      <c r="AW773" s="45"/>
      <c r="AX773" s="56"/>
      <c r="AY773" s="56"/>
      <c r="AZ773" s="56"/>
      <c r="BA773" s="51"/>
      <c r="BB773" s="56"/>
      <c r="BC773" s="56"/>
      <c r="BD773" s="56"/>
      <c r="BE773" s="51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</row>
    <row r="774" spans="45:75">
      <c r="AW774" s="45"/>
      <c r="AX774" s="56"/>
      <c r="AY774" s="56"/>
      <c r="AZ774" s="56"/>
      <c r="BA774" s="51"/>
      <c r="BB774" s="56"/>
      <c r="BC774" s="56"/>
      <c r="BD774" s="56"/>
      <c r="BE774" s="51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</row>
    <row r="775" spans="45:75">
      <c r="AW775" s="45"/>
      <c r="AX775" s="56"/>
      <c r="AY775" s="56"/>
      <c r="AZ775" s="56"/>
      <c r="BA775" s="51"/>
      <c r="BB775" s="56"/>
      <c r="BC775" s="56"/>
      <c r="BD775" s="56"/>
      <c r="BE775" s="51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</row>
    <row r="776" spans="45:75">
      <c r="AW776" s="45"/>
      <c r="AX776" s="56"/>
      <c r="AY776" s="56"/>
      <c r="AZ776" s="56"/>
      <c r="BA776" s="51"/>
      <c r="BB776" s="56"/>
      <c r="BC776" s="56"/>
      <c r="BD776" s="56"/>
      <c r="BE776" s="51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</row>
    <row r="777" spans="45:75">
      <c r="AW777" s="45"/>
      <c r="AX777" s="56"/>
      <c r="AY777" s="56"/>
      <c r="AZ777" s="56"/>
      <c r="BA777" s="51"/>
      <c r="BB777" s="56"/>
      <c r="BC777" s="56"/>
      <c r="BD777" s="56"/>
      <c r="BE777" s="51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</row>
    <row r="778" spans="45:75">
      <c r="AW778" s="45"/>
      <c r="AX778" s="56"/>
      <c r="AY778" s="56"/>
      <c r="AZ778" s="56"/>
      <c r="BA778" s="51"/>
      <c r="BB778" s="56"/>
      <c r="BC778" s="56"/>
      <c r="BD778" s="56"/>
      <c r="BE778" s="51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</row>
    <row r="779" spans="45:75">
      <c r="AW779" s="45"/>
      <c r="AX779" s="56"/>
      <c r="AY779" s="56"/>
      <c r="AZ779" s="56"/>
      <c r="BA779" s="51"/>
      <c r="BB779" s="56"/>
      <c r="BC779" s="56"/>
      <c r="BD779" s="56"/>
      <c r="BE779" s="51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</row>
    <row r="780" spans="45:75">
      <c r="AW780" s="45"/>
      <c r="AX780" s="56"/>
      <c r="AY780" s="56"/>
      <c r="AZ780" s="56"/>
      <c r="BA780" s="51"/>
      <c r="BB780" s="56"/>
      <c r="BC780" s="56"/>
      <c r="BD780" s="56"/>
      <c r="BE780" s="51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</row>
    <row r="781" spans="45:75">
      <c r="AW781" s="45"/>
      <c r="AX781" s="56"/>
      <c r="AY781" s="56"/>
      <c r="AZ781" s="56"/>
      <c r="BA781" s="51"/>
      <c r="BB781" s="56"/>
      <c r="BC781" s="56"/>
      <c r="BD781" s="56"/>
      <c r="BE781" s="51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</row>
    <row r="782" spans="45:75">
      <c r="AW782" s="45"/>
      <c r="AX782" s="56"/>
      <c r="AY782" s="56"/>
      <c r="AZ782" s="56"/>
      <c r="BA782" s="51"/>
      <c r="BB782" s="56"/>
      <c r="BC782" s="56"/>
      <c r="BD782" s="56"/>
      <c r="BE782" s="51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5:75"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5:75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7:75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7:75"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</row>
    <row r="787" spans="47:75">
      <c r="AW787" s="45"/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</row>
    <row r="788" spans="47:75"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</row>
    <row r="789" spans="47:75"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</row>
    <row r="790" spans="47:75"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</row>
    <row r="791" spans="47:75">
      <c r="AW791" s="45"/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</row>
    <row r="792" spans="47:75">
      <c r="AW792" s="45"/>
      <c r="AX792" s="56"/>
      <c r="AY792" s="56"/>
      <c r="AZ792" s="56"/>
      <c r="BA792" s="51"/>
      <c r="BB792" s="56"/>
      <c r="BC792" s="56"/>
      <c r="BD792" s="56"/>
      <c r="BE792" s="51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</row>
    <row r="793" spans="47:75">
      <c r="AW793" s="45"/>
      <c r="AX793" s="56"/>
      <c r="AY793" s="56"/>
      <c r="AZ793" s="56"/>
      <c r="BA793" s="51"/>
      <c r="BB793" s="56"/>
      <c r="BC793" s="56"/>
      <c r="BD793" s="56"/>
      <c r="BE793" s="51"/>
      <c r="BG793" s="49"/>
      <c r="BH793" s="49"/>
      <c r="BI793" s="42"/>
      <c r="BM793" s="49"/>
      <c r="BN793" s="49"/>
      <c r="BO793" s="56"/>
      <c r="BP793" s="49"/>
      <c r="BQ793" s="49"/>
      <c r="BR793" s="42"/>
      <c r="BV793" s="49"/>
      <c r="BW793" s="49"/>
    </row>
    <row r="794" spans="47:75">
      <c r="AU794" s="42"/>
      <c r="AV794" s="44"/>
      <c r="AW794" s="45"/>
      <c r="AX794" s="56"/>
      <c r="AY794" s="56"/>
      <c r="AZ794" s="56"/>
      <c r="BA794" s="51"/>
      <c r="BB794" s="56"/>
      <c r="BC794" s="56"/>
      <c r="BD794" s="56"/>
      <c r="BE794" s="51"/>
      <c r="BG794" s="58"/>
      <c r="BH794" s="56"/>
      <c r="BI794" s="56"/>
      <c r="BJ794" s="56"/>
      <c r="BK794" s="58"/>
      <c r="BL794" s="59"/>
      <c r="BM794" s="56"/>
      <c r="BN794" s="58"/>
      <c r="BO794" s="56"/>
      <c r="BP794" s="58"/>
      <c r="BQ794" s="56"/>
      <c r="BR794" s="56"/>
      <c r="BS794" s="56"/>
      <c r="BT794" s="58"/>
      <c r="BU794" s="59"/>
      <c r="BV794" s="56"/>
      <c r="BW794" s="58"/>
    </row>
    <row r="795" spans="47:75">
      <c r="AV795" s="44"/>
      <c r="AW795" s="45"/>
      <c r="AX795" s="56"/>
      <c r="AY795" s="56"/>
      <c r="AZ795" s="56"/>
      <c r="BA795" s="51"/>
      <c r="BB795" s="56"/>
      <c r="BC795" s="56"/>
      <c r="BD795" s="56"/>
      <c r="BE795" s="51"/>
      <c r="BG795" s="56"/>
      <c r="BH795" s="56"/>
      <c r="BI795" s="56"/>
      <c r="BJ795" s="56"/>
      <c r="BK795" s="56"/>
      <c r="BL795" s="59"/>
      <c r="BM795" s="56"/>
      <c r="BN795" s="56"/>
      <c r="BO795" s="56"/>
      <c r="BP795" s="56"/>
      <c r="BQ795" s="56"/>
      <c r="BR795" s="56"/>
      <c r="BS795" s="56"/>
      <c r="BT795" s="56"/>
      <c r="BU795" s="59"/>
      <c r="BV795" s="56"/>
      <c r="BW795" s="56"/>
    </row>
    <row r="796" spans="47:75">
      <c r="AV796" s="44"/>
      <c r="AW796" s="45"/>
      <c r="AX796" s="56"/>
      <c r="AY796" s="56"/>
      <c r="AZ796" s="56"/>
      <c r="BA796" s="51"/>
      <c r="BB796" s="56"/>
      <c r="BC796" s="56"/>
      <c r="BD796" s="56"/>
      <c r="BE796" s="51"/>
      <c r="BG796" s="56"/>
      <c r="BH796" s="56"/>
      <c r="BI796" s="56"/>
      <c r="BJ796" s="56"/>
      <c r="BK796" s="56"/>
      <c r="BL796" s="59"/>
      <c r="BM796" s="56"/>
      <c r="BN796" s="56"/>
      <c r="BO796" s="56"/>
      <c r="BP796" s="56"/>
      <c r="BQ796" s="56"/>
      <c r="BR796" s="56"/>
      <c r="BS796" s="56"/>
      <c r="BT796" s="56"/>
      <c r="BU796" s="59"/>
      <c r="BV796" s="56"/>
      <c r="BW796" s="56"/>
    </row>
    <row r="797" spans="47:75">
      <c r="AV797" s="44"/>
      <c r="AW797" s="45"/>
      <c r="AX797" s="56"/>
      <c r="AY797" s="56"/>
      <c r="AZ797" s="56"/>
      <c r="BA797" s="51"/>
      <c r="BB797" s="56"/>
      <c r="BC797" s="56"/>
      <c r="BD797" s="56"/>
      <c r="BE797" s="51"/>
      <c r="BG797" s="56"/>
      <c r="BH797" s="56"/>
      <c r="BI797" s="56"/>
      <c r="BJ797" s="56"/>
      <c r="BK797" s="56"/>
      <c r="BL797" s="59"/>
      <c r="BM797" s="56"/>
      <c r="BN797" s="56"/>
      <c r="BO797" s="56"/>
      <c r="BP797" s="56"/>
      <c r="BQ797" s="56"/>
      <c r="BR797" s="56"/>
      <c r="BS797" s="56"/>
      <c r="BT797" s="56"/>
      <c r="BU797" s="59"/>
      <c r="BV797" s="56"/>
      <c r="BW797" s="56"/>
    </row>
    <row r="798" spans="47:75">
      <c r="AX798" s="56"/>
      <c r="AY798" s="56"/>
      <c r="AZ798" s="56"/>
      <c r="BA798" s="51"/>
      <c r="BB798" s="56"/>
      <c r="BC798" s="56"/>
      <c r="BD798" s="56"/>
      <c r="BE798" s="51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</row>
    <row r="799" spans="47:75">
      <c r="AU799" s="42"/>
    </row>
    <row r="800" spans="47:75">
      <c r="AU800" s="42"/>
      <c r="AZ800" s="56"/>
      <c r="BA800" s="51"/>
      <c r="BB800" s="56"/>
      <c r="BC800" s="56"/>
      <c r="BD800" s="56"/>
      <c r="BE800" s="51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</row>
    <row r="801" spans="45:74">
      <c r="AS801" s="42"/>
      <c r="AZ801" s="56"/>
      <c r="BB801" s="56"/>
    </row>
    <row r="802" spans="45:74">
      <c r="AZ802" s="56"/>
      <c r="BB802" s="56"/>
      <c r="BO802" s="56"/>
      <c r="BP802" s="56"/>
      <c r="BQ802" s="56"/>
      <c r="BR802" s="56"/>
      <c r="BS802" s="56"/>
      <c r="BT802" s="56"/>
      <c r="BU802" s="56"/>
      <c r="BV802" s="56"/>
    </row>
    <row r="803" spans="45:74">
      <c r="AY803" s="56"/>
      <c r="AZ803" s="56"/>
      <c r="BB803" s="56"/>
      <c r="BO803" s="56"/>
      <c r="BP803" s="56"/>
      <c r="BQ803" s="56"/>
      <c r="BR803" s="56"/>
      <c r="BS803" s="56"/>
      <c r="BT803" s="56"/>
      <c r="BU803" s="56"/>
      <c r="BV803" s="56"/>
    </row>
    <row r="804" spans="45:74">
      <c r="AY804" s="42"/>
      <c r="AZ804" s="56"/>
      <c r="BB804" s="56"/>
      <c r="BO804" s="56"/>
      <c r="BP804" s="56"/>
      <c r="BQ804" s="56"/>
      <c r="BR804" s="56"/>
      <c r="BS804" s="56"/>
      <c r="BT804" s="56"/>
      <c r="BU804" s="56"/>
      <c r="BV804" s="56"/>
    </row>
    <row r="805" spans="45:74">
      <c r="AY805" s="42"/>
      <c r="AZ805" s="56"/>
      <c r="BB805" s="56"/>
      <c r="BO805" s="56"/>
      <c r="BP805" s="56"/>
      <c r="BQ805" s="56"/>
      <c r="BR805" s="56"/>
      <c r="BS805" s="56"/>
      <c r="BT805" s="56"/>
      <c r="BU805" s="56"/>
      <c r="BV805" s="56"/>
    </row>
    <row r="806" spans="45:74">
      <c r="AZ806" s="56"/>
      <c r="BB806" s="56"/>
      <c r="BD806" s="42"/>
      <c r="BO806" s="56"/>
      <c r="BP806" s="56"/>
      <c r="BQ806" s="56"/>
      <c r="BR806" s="56"/>
      <c r="BS806" s="56"/>
      <c r="BT806" s="56"/>
      <c r="BU806" s="56"/>
      <c r="BV806" s="56"/>
    </row>
    <row r="807" spans="45:74">
      <c r="AZ807" s="56"/>
      <c r="BB807" s="56"/>
      <c r="BD807" s="42"/>
      <c r="BO807" s="56"/>
      <c r="BP807" s="56"/>
      <c r="BQ807" s="56"/>
      <c r="BR807" s="56"/>
      <c r="BS807" s="56"/>
      <c r="BT807" s="56"/>
      <c r="BU807" s="56"/>
      <c r="BV807" s="56"/>
    </row>
    <row r="808" spans="45:74">
      <c r="AS808" s="42"/>
      <c r="AZ808" s="56"/>
      <c r="BB808" s="56"/>
      <c r="BD808" s="42"/>
      <c r="BO808" s="56"/>
      <c r="BP808" s="56"/>
      <c r="BQ808" s="56"/>
      <c r="BR808" s="56"/>
      <c r="BS808" s="56"/>
      <c r="BT808" s="56"/>
      <c r="BU808" s="56"/>
      <c r="BV808" s="56"/>
    </row>
    <row r="809" spans="45:74">
      <c r="AZ809" s="56"/>
      <c r="BB809" s="56"/>
      <c r="BO809" s="56"/>
      <c r="BP809" s="56"/>
      <c r="BQ809" s="56"/>
      <c r="BR809" s="56"/>
      <c r="BS809" s="56"/>
      <c r="BT809" s="56"/>
      <c r="BU809" s="56"/>
      <c r="BV809" s="56"/>
    </row>
    <row r="810" spans="45:74">
      <c r="AS810" s="49"/>
      <c r="AT810" s="49"/>
      <c r="AU810" s="49"/>
      <c r="AV810" s="49"/>
      <c r="AW810" s="49"/>
      <c r="AX810" s="49"/>
      <c r="AY810" s="49"/>
      <c r="AZ810" s="57"/>
      <c r="BA810" s="49"/>
      <c r="BB810" s="57"/>
      <c r="BC810" s="49"/>
      <c r="BD810" s="49"/>
      <c r="BE810" s="49"/>
      <c r="BO810" s="56"/>
      <c r="BP810" s="56"/>
      <c r="BQ810" s="56"/>
      <c r="BR810" s="56"/>
      <c r="BS810" s="56"/>
      <c r="BT810" s="56"/>
      <c r="BU810" s="56"/>
      <c r="BV810" s="56"/>
    </row>
    <row r="811" spans="45:74">
      <c r="AX811" s="42"/>
      <c r="AZ811" s="56"/>
      <c r="BB811" s="56"/>
      <c r="BO811" s="56"/>
      <c r="BP811" s="56"/>
      <c r="BQ811" s="56"/>
      <c r="BR811" s="56"/>
      <c r="BS811" s="56"/>
      <c r="BT811" s="56"/>
      <c r="BU811" s="56"/>
      <c r="BV811" s="56"/>
    </row>
    <row r="812" spans="45:74">
      <c r="AX812" s="49"/>
      <c r="AY812" s="49"/>
      <c r="AZ812" s="57"/>
      <c r="BA812" s="49"/>
      <c r="BB812" s="56"/>
      <c r="BC812" s="44"/>
      <c r="BD812" s="44"/>
      <c r="BO812" s="56"/>
      <c r="BP812" s="56"/>
      <c r="BQ812" s="56"/>
      <c r="BR812" s="56"/>
      <c r="BS812" s="56"/>
      <c r="BT812" s="56"/>
      <c r="BU812" s="56"/>
      <c r="BV812" s="56"/>
    </row>
    <row r="813" spans="45:74">
      <c r="AV813" s="44"/>
      <c r="AW813" s="44"/>
      <c r="AZ813" s="58"/>
      <c r="BA813" s="44"/>
      <c r="BB813" s="56"/>
      <c r="BC813" s="44"/>
      <c r="BD813" s="44"/>
      <c r="BE813" s="44"/>
      <c r="BG813" s="49"/>
      <c r="BH813" s="42"/>
      <c r="BK813" s="49"/>
      <c r="BM813" s="49"/>
      <c r="BN813" s="42"/>
      <c r="BQ813" s="49"/>
    </row>
    <row r="814" spans="45:74">
      <c r="AV814" s="44"/>
      <c r="AW814" s="44"/>
      <c r="AX814" s="44"/>
      <c r="AY814" s="44"/>
      <c r="AZ814" s="58"/>
      <c r="BA814" s="44"/>
      <c r="BB814" s="58"/>
      <c r="BC814" s="44"/>
      <c r="BD814" s="44"/>
      <c r="BE814" s="44"/>
      <c r="BH814" s="44"/>
      <c r="BI814" s="44"/>
      <c r="BN814" s="44"/>
      <c r="BO814" s="44"/>
    </row>
    <row r="815" spans="45:74">
      <c r="AS815" s="44"/>
      <c r="AU815" s="42"/>
      <c r="AV815" s="44"/>
      <c r="AW815" s="44"/>
      <c r="AX815" s="44"/>
      <c r="AY815" s="44"/>
      <c r="AZ815" s="58"/>
      <c r="BA815" s="44"/>
      <c r="BB815" s="58"/>
      <c r="BC815" s="44"/>
      <c r="BD815" s="44"/>
      <c r="BE815" s="44"/>
      <c r="BG815" s="44"/>
      <c r="BH815" s="44"/>
      <c r="BI815" s="44"/>
      <c r="BJ815" s="44"/>
      <c r="BK815" s="44"/>
      <c r="BM815" s="44"/>
      <c r="BN815" s="44"/>
      <c r="BO815" s="44"/>
      <c r="BP815" s="44"/>
      <c r="BQ815" s="44"/>
    </row>
    <row r="816" spans="45:74">
      <c r="AS816" s="44"/>
      <c r="AU816" s="42"/>
      <c r="AV816" s="44"/>
      <c r="AW816" s="44"/>
      <c r="AX816" s="44"/>
      <c r="AY816" s="44"/>
      <c r="AZ816" s="58"/>
      <c r="BA816" s="44"/>
      <c r="BB816" s="58"/>
      <c r="BC816" s="44"/>
      <c r="BD816" s="44"/>
      <c r="BE816" s="44"/>
      <c r="BG816" s="44"/>
      <c r="BH816" s="44"/>
      <c r="BI816" s="44"/>
      <c r="BJ816" s="44"/>
      <c r="BK816" s="44"/>
      <c r="BM816" s="44"/>
      <c r="BN816" s="44"/>
      <c r="BO816" s="44"/>
      <c r="BP816" s="44"/>
      <c r="BQ816" s="44"/>
    </row>
    <row r="817" spans="45:71">
      <c r="AS817" s="49"/>
      <c r="AT817" s="49"/>
      <c r="AU817" s="49"/>
      <c r="AV817" s="49"/>
      <c r="AW817" s="49"/>
      <c r="AX817" s="49"/>
      <c r="AY817" s="49"/>
      <c r="AZ817" s="57"/>
      <c r="BA817" s="49"/>
      <c r="BB817" s="57"/>
      <c r="BC817" s="49"/>
      <c r="BD817" s="49"/>
      <c r="BE817" s="49"/>
      <c r="BG817" s="49"/>
      <c r="BH817" s="49"/>
      <c r="BI817" s="49"/>
      <c r="BJ817" s="49"/>
      <c r="BK817" s="49"/>
      <c r="BM817" s="49"/>
      <c r="BN817" s="49"/>
      <c r="BO817" s="49"/>
      <c r="BP817" s="49"/>
      <c r="BQ817" s="49"/>
    </row>
    <row r="818" spans="45:71">
      <c r="AV818" s="44"/>
      <c r="AW818" s="44"/>
      <c r="AX818" s="44"/>
      <c r="AY818" s="44"/>
      <c r="AZ818" s="58"/>
      <c r="BA818" s="44"/>
      <c r="BB818" s="58"/>
      <c r="BC818" s="44"/>
      <c r="BD818" s="44"/>
      <c r="BE818" s="44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</row>
    <row r="819" spans="45:71">
      <c r="AT819" s="42"/>
      <c r="AV819" s="45"/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</row>
    <row r="820" spans="45:71">
      <c r="AV820" s="45"/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</row>
    <row r="821" spans="45:71">
      <c r="AV821" s="45"/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</row>
    <row r="822" spans="45:71">
      <c r="AV822" s="45"/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</row>
    <row r="823" spans="45:71">
      <c r="AV823" s="45"/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</row>
    <row r="824" spans="45:71">
      <c r="AV824" s="45"/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</row>
    <row r="825" spans="45:71">
      <c r="AV825" s="45"/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</row>
    <row r="826" spans="45:71">
      <c r="AV826" s="45"/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</row>
    <row r="827" spans="45:71">
      <c r="AV827" s="45"/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</row>
    <row r="828" spans="45:71">
      <c r="AV828" s="45"/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</row>
    <row r="829" spans="45:71">
      <c r="AV829" s="45"/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</row>
    <row r="830" spans="45:71"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5:71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</row>
    <row r="832" spans="45:71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</row>
    <row r="833" spans="46:71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6:71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</row>
    <row r="835" spans="46:71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</row>
    <row r="836" spans="46:71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</row>
    <row r="837" spans="46:71">
      <c r="AZ837" s="56"/>
      <c r="BB837" s="56"/>
      <c r="BC837" s="56"/>
      <c r="BD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</row>
    <row r="838" spans="46:71">
      <c r="AT838" s="42"/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</row>
    <row r="839" spans="46:71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</row>
    <row r="840" spans="46:71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</row>
    <row r="841" spans="46:71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</row>
    <row r="842" spans="46:71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</row>
    <row r="843" spans="46:71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</row>
    <row r="844" spans="46:71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</row>
    <row r="845" spans="46:71"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</row>
    <row r="846" spans="46:71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</row>
    <row r="847" spans="46:71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</row>
    <row r="848" spans="46:71">
      <c r="AV848" s="45"/>
      <c r="AW848" s="45"/>
      <c r="AX848" s="56"/>
      <c r="AY848" s="56"/>
      <c r="AZ848" s="56"/>
      <c r="BA848" s="51"/>
      <c r="BB848" s="56"/>
      <c r="BC848" s="56"/>
      <c r="BD848" s="56"/>
      <c r="BE848" s="51"/>
    </row>
    <row r="849" spans="45:57"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</row>
    <row r="850" spans="45:57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</row>
    <row r="851" spans="45:57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</row>
    <row r="852" spans="45:57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</row>
    <row r="853" spans="45:57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</row>
    <row r="854" spans="45:57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</row>
    <row r="855" spans="45:57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</row>
    <row r="856" spans="45:57">
      <c r="BB856" s="56"/>
    </row>
    <row r="857" spans="45:57">
      <c r="AU857" s="42"/>
      <c r="BB857" s="56"/>
    </row>
    <row r="858" spans="45:57">
      <c r="AU858" s="42"/>
    </row>
    <row r="859" spans="45:57">
      <c r="AU859" s="42"/>
      <c r="BB859" s="56"/>
    </row>
    <row r="860" spans="45:57">
      <c r="AS860" s="42"/>
      <c r="AZ860" s="56"/>
      <c r="BB860" s="56"/>
    </row>
    <row r="861" spans="45:57">
      <c r="AZ861" s="56"/>
      <c r="BB861" s="56"/>
    </row>
    <row r="862" spans="45:57">
      <c r="AY862" s="56"/>
      <c r="AZ862" s="56"/>
      <c r="BB862" s="56"/>
    </row>
    <row r="863" spans="45:57">
      <c r="AY863" s="42"/>
      <c r="AZ863" s="56"/>
      <c r="BB863" s="56"/>
    </row>
    <row r="864" spans="45:57">
      <c r="AY864" s="42"/>
      <c r="AZ864" s="56"/>
      <c r="BB864" s="56"/>
    </row>
    <row r="865" spans="45:57">
      <c r="AZ865" s="56"/>
      <c r="BB865" s="56"/>
      <c r="BD865" s="42"/>
    </row>
    <row r="866" spans="45:57">
      <c r="AZ866" s="56"/>
      <c r="BB866" s="56"/>
      <c r="BD866" s="42"/>
    </row>
    <row r="867" spans="45:57">
      <c r="AS867" s="42"/>
      <c r="AZ867" s="56"/>
      <c r="BB867" s="56"/>
      <c r="BD867" s="42"/>
    </row>
    <row r="868" spans="45:57">
      <c r="AZ868" s="56"/>
      <c r="BB868" s="56"/>
    </row>
    <row r="869" spans="45:57">
      <c r="AS869" s="49"/>
      <c r="AT869" s="49"/>
      <c r="AU869" s="49"/>
      <c r="AV869" s="49"/>
      <c r="AW869" s="49"/>
      <c r="AX869" s="49"/>
      <c r="AY869" s="49"/>
      <c r="AZ869" s="57"/>
      <c r="BA869" s="49"/>
      <c r="BB869" s="57"/>
      <c r="BC869" s="49"/>
      <c r="BD869" s="49"/>
      <c r="BE869" s="49"/>
    </row>
    <row r="870" spans="45:57">
      <c r="AX870" s="42"/>
      <c r="AZ870" s="56"/>
      <c r="BB870" s="56"/>
    </row>
    <row r="871" spans="45:57">
      <c r="AX871" s="49"/>
      <c r="AY871" s="49"/>
      <c r="AZ871" s="57"/>
      <c r="BA871" s="49"/>
      <c r="BB871" s="56"/>
      <c r="BC871" s="44"/>
      <c r="BD871" s="44"/>
    </row>
    <row r="872" spans="45:57">
      <c r="AV872" s="44"/>
      <c r="AW872" s="44"/>
      <c r="AZ872" s="58"/>
      <c r="BA872" s="44"/>
      <c r="BB872" s="56"/>
      <c r="BC872" s="44"/>
      <c r="BD872" s="44"/>
      <c r="BE872" s="44"/>
    </row>
    <row r="873" spans="45:57">
      <c r="AV873" s="44"/>
      <c r="AW873" s="44"/>
      <c r="AX873" s="44"/>
      <c r="AY873" s="44"/>
      <c r="AZ873" s="58"/>
      <c r="BA873" s="44"/>
      <c r="BB873" s="58"/>
      <c r="BC873" s="44"/>
      <c r="BD873" s="44"/>
      <c r="BE873" s="44"/>
    </row>
    <row r="874" spans="45:57">
      <c r="AS874" s="44"/>
      <c r="AU874" s="42"/>
      <c r="AV874" s="44"/>
      <c r="AW874" s="44"/>
      <c r="AX874" s="44"/>
      <c r="AY874" s="44"/>
      <c r="AZ874" s="58"/>
      <c r="BA874" s="44"/>
      <c r="BB874" s="58"/>
      <c r="BC874" s="44"/>
      <c r="BD874" s="44"/>
      <c r="BE874" s="44"/>
    </row>
    <row r="875" spans="45:57">
      <c r="AS875" s="44"/>
      <c r="AU875" s="42"/>
      <c r="AV875" s="44"/>
      <c r="AW875" s="44"/>
      <c r="AX875" s="44"/>
      <c r="AY875" s="44"/>
      <c r="AZ875" s="58"/>
      <c r="BA875" s="44"/>
      <c r="BB875" s="58"/>
      <c r="BC875" s="44"/>
      <c r="BD875" s="44"/>
      <c r="BE875" s="44"/>
    </row>
    <row r="876" spans="45:57">
      <c r="AS876" s="49"/>
      <c r="AT876" s="49"/>
      <c r="AU876" s="49"/>
      <c r="AV876" s="49"/>
      <c r="AW876" s="49"/>
      <c r="AX876" s="49"/>
      <c r="AY876" s="49"/>
      <c r="AZ876" s="57"/>
      <c r="BA876" s="49"/>
      <c r="BB876" s="57"/>
      <c r="BC876" s="49"/>
      <c r="BD876" s="49"/>
      <c r="BE876" s="49"/>
    </row>
    <row r="877" spans="45:57">
      <c r="AV877" s="44"/>
      <c r="AW877" s="44"/>
      <c r="AX877" s="44"/>
      <c r="AY877" s="44"/>
      <c r="AZ877" s="58"/>
      <c r="BA877" s="44"/>
      <c r="BB877" s="58"/>
      <c r="BC877" s="44"/>
      <c r="BD877" s="44"/>
      <c r="BE877" s="44"/>
    </row>
    <row r="878" spans="45:57">
      <c r="AT878" s="42"/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</row>
    <row r="879" spans="45:57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</row>
    <row r="880" spans="45:57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</row>
    <row r="881" spans="46:57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</row>
    <row r="882" spans="46:57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6:57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6:57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6:57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6:57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6:57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6:57">
      <c r="AV888" s="45"/>
      <c r="AW888" s="45"/>
      <c r="BB888" s="56"/>
    </row>
    <row r="889" spans="46:57">
      <c r="AT889" s="42"/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6:57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6:57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6:57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6:57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6:57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6:57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57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900" spans="45:57">
      <c r="AU900" s="42"/>
    </row>
    <row r="901" spans="45:57">
      <c r="AU901" s="42"/>
    </row>
    <row r="902" spans="45:57">
      <c r="AU902" s="42"/>
    </row>
    <row r="903" spans="45:57">
      <c r="AS903" s="42"/>
    </row>
    <row r="924" spans="52:71">
      <c r="AZ924" s="56"/>
      <c r="BB924" s="56"/>
      <c r="BC924" s="56"/>
      <c r="BD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52:71">
      <c r="AZ925" s="56"/>
      <c r="BB925" s="56"/>
      <c r="BC925" s="56"/>
      <c r="BD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52:71">
      <c r="AZ926" s="56"/>
      <c r="BB926" s="56"/>
      <c r="BC926" s="56"/>
      <c r="BD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</row>
    <row r="927" spans="52:71">
      <c r="AZ927" s="56"/>
      <c r="BB927" s="56"/>
      <c r="BC927" s="56"/>
      <c r="BD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</row>
    <row r="928" spans="52:71">
      <c r="AZ928" s="56"/>
      <c r="BB928" s="56"/>
      <c r="BC928" s="56"/>
      <c r="BD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</row>
    <row r="929" spans="52:71">
      <c r="AZ929" s="56"/>
      <c r="BB929" s="56"/>
      <c r="BC929" s="56"/>
      <c r="BD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</row>
    <row r="930" spans="52:71">
      <c r="AZ930" s="56"/>
      <c r="BB930" s="56"/>
      <c r="BC930" s="56"/>
      <c r="BD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</row>
    <row r="931" spans="52:71">
      <c r="AZ931" s="56"/>
      <c r="BB931" s="56"/>
      <c r="BC931" s="56"/>
      <c r="BD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</row>
    <row r="932" spans="52:71">
      <c r="AZ932" s="56"/>
      <c r="BB932" s="56"/>
      <c r="BC932" s="56"/>
      <c r="BD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</row>
    <row r="933" spans="52:71">
      <c r="AZ933" s="56"/>
      <c r="BB933" s="56"/>
      <c r="BC933" s="56"/>
      <c r="BD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</row>
    <row r="934" spans="52:71">
      <c r="AZ934" s="56"/>
      <c r="BB934" s="56"/>
      <c r="BC934" s="56"/>
      <c r="BD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</row>
    <row r="935" spans="52:71">
      <c r="AZ935" s="56"/>
      <c r="BB935" s="56"/>
      <c r="BC935" s="56"/>
      <c r="BD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>
      <c r="AZ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</row>
    <row r="937" spans="52:71">
      <c r="AZ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</row>
    <row r="938" spans="52:71">
      <c r="AZ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</row>
    <row r="939" spans="52:71">
      <c r="AZ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</row>
    <row r="940" spans="52:71">
      <c r="AZ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</row>
    <row r="941" spans="52:71">
      <c r="AZ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</row>
    <row r="942" spans="52:71">
      <c r="AZ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</row>
    <row r="943" spans="52:71">
      <c r="AZ943" s="56"/>
    </row>
    <row r="944" spans="52:71">
      <c r="AZ944" s="56"/>
    </row>
    <row r="958" spans="1:1">
      <c r="A958" s="42"/>
    </row>
    <row r="961" spans="1:28">
      <c r="Y961" s="42"/>
    </row>
    <row r="962" spans="1:28">
      <c r="A962" s="42"/>
      <c r="H962" s="42"/>
      <c r="I962" s="42"/>
    </row>
    <row r="963" spans="1:28">
      <c r="A963" s="42"/>
      <c r="V963" s="44"/>
      <c r="AA963" s="44"/>
      <c r="AB963" s="44"/>
    </row>
    <row r="964" spans="1:28">
      <c r="A964" s="42"/>
      <c r="V964" s="49"/>
      <c r="AA964" s="49"/>
      <c r="AB964" s="49"/>
    </row>
    <row r="965" spans="1:28">
      <c r="A965" s="42"/>
      <c r="U965" s="42"/>
      <c r="AA965" s="44"/>
      <c r="AB965" s="44"/>
    </row>
    <row r="966" spans="1:28">
      <c r="A966" s="42"/>
    </row>
    <row r="967" spans="1:28">
      <c r="A967" s="42"/>
      <c r="U967" s="42"/>
      <c r="AA967" s="44"/>
      <c r="AB967" s="44"/>
    </row>
    <row r="968" spans="1:28">
      <c r="A968" s="42"/>
    </row>
    <row r="969" spans="1:28">
      <c r="A969" s="42"/>
      <c r="U969" s="42"/>
      <c r="V969" s="339"/>
      <c r="AA969" s="44"/>
      <c r="AB969" s="44"/>
    </row>
    <row r="970" spans="1:28">
      <c r="A970" s="42"/>
    </row>
    <row r="971" spans="1:28">
      <c r="A971" s="42"/>
      <c r="U971" s="42"/>
      <c r="AA971" s="44"/>
      <c r="AB971" s="44"/>
    </row>
    <row r="972" spans="1:28">
      <c r="A972" s="42"/>
    </row>
    <row r="973" spans="1:28">
      <c r="A973" s="42"/>
      <c r="U973" s="42"/>
      <c r="AA973" s="44"/>
      <c r="AB973" s="44"/>
    </row>
    <row r="974" spans="1:28">
      <c r="A974" s="42"/>
    </row>
    <row r="975" spans="1:28">
      <c r="A975" s="42"/>
    </row>
    <row r="976" spans="1:28">
      <c r="A976" s="42"/>
    </row>
    <row r="977" spans="1:9">
      <c r="A977" s="42"/>
    </row>
    <row r="978" spans="1:9">
      <c r="A978" s="42"/>
    </row>
    <row r="979" spans="1:9">
      <c r="A979" s="42"/>
    </row>
    <row r="980" spans="1:9">
      <c r="A980" s="42"/>
    </row>
    <row r="981" spans="1:9">
      <c r="A981" s="42"/>
    </row>
    <row r="982" spans="1:9">
      <c r="A982" s="42"/>
    </row>
    <row r="983" spans="1:9">
      <c r="A983" s="42"/>
    </row>
    <row r="984" spans="1:9">
      <c r="A984" s="42"/>
      <c r="H984" s="42"/>
      <c r="I984" s="42"/>
    </row>
    <row r="987" spans="1:9">
      <c r="A987" s="42"/>
    </row>
    <row r="990" spans="1:9">
      <c r="A990" s="42"/>
    </row>
    <row r="993" spans="1:1">
      <c r="A993" s="42"/>
    </row>
    <row r="994" spans="1:1">
      <c r="A994" s="42"/>
    </row>
    <row r="995" spans="1:1">
      <c r="A995" s="42"/>
    </row>
    <row r="996" spans="1:1">
      <c r="A996" s="42"/>
    </row>
    <row r="997" spans="1:1">
      <c r="A997" s="42"/>
    </row>
    <row r="998" spans="1:1">
      <c r="A998" s="42"/>
    </row>
    <row r="999" spans="1:1">
      <c r="A999" s="42"/>
    </row>
    <row r="1000" spans="1:1">
      <c r="A1000" s="42"/>
    </row>
    <row r="1001" spans="1:1">
      <c r="A1001" s="42"/>
    </row>
    <row r="1002" spans="1:1">
      <c r="A1002" s="42"/>
    </row>
    <row r="1003" spans="1:1">
      <c r="A1003" s="42"/>
    </row>
    <row r="1004" spans="1:1">
      <c r="A1004" s="42"/>
    </row>
    <row r="1005" spans="1:1">
      <c r="A1005" s="42"/>
    </row>
    <row r="1006" spans="1:1">
      <c r="A1006" s="42"/>
    </row>
    <row r="1007" spans="1:1">
      <c r="A1007" s="42"/>
    </row>
    <row r="1008" spans="1:1">
      <c r="A1008" s="42"/>
    </row>
    <row r="1009" spans="1:1">
      <c r="A1009" s="42"/>
    </row>
    <row r="1010" spans="1:1">
      <c r="A1010" s="42"/>
    </row>
    <row r="1011" spans="1:1">
      <c r="A1011" s="42"/>
    </row>
    <row r="1012" spans="1:1">
      <c r="A1012" s="42"/>
    </row>
    <row r="1013" spans="1:1">
      <c r="A1013" s="42"/>
    </row>
    <row r="1014" spans="1:1">
      <c r="A1014" s="42"/>
    </row>
    <row r="1015" spans="1:1">
      <c r="A1015" s="42"/>
    </row>
    <row r="1016" spans="1:1">
      <c r="A1016" s="42"/>
    </row>
    <row r="1017" spans="1:1">
      <c r="A1017" s="42"/>
    </row>
    <row r="1018" spans="1:1">
      <c r="A1018" s="42"/>
    </row>
    <row r="1019" spans="1:1">
      <c r="A1019" s="42"/>
    </row>
    <row r="1020" spans="1:1">
      <c r="A1020" s="42"/>
    </row>
    <row r="1021" spans="1:1">
      <c r="A1021" s="42"/>
    </row>
    <row r="1022" spans="1:1">
      <c r="A1022" s="42"/>
    </row>
    <row r="1023" spans="1:1">
      <c r="A1023" s="42"/>
    </row>
    <row r="1024" spans="1:1">
      <c r="A1024" s="42"/>
    </row>
    <row r="1025" spans="1:1">
      <c r="A1025" s="42"/>
    </row>
    <row r="1026" spans="1:1">
      <c r="A1026" s="42"/>
    </row>
    <row r="1027" spans="1:1">
      <c r="A1027" s="42"/>
    </row>
    <row r="1032" spans="1:1">
      <c r="A1032" s="42"/>
    </row>
    <row r="1033" spans="1:1">
      <c r="A1033" s="42"/>
    </row>
    <row r="1036" spans="1:1">
      <c r="A1036" s="42"/>
    </row>
    <row r="1038" spans="1:1">
      <c r="A1038" s="42"/>
    </row>
    <row r="1040" spans="1:1">
      <c r="A1040" s="42"/>
    </row>
    <row r="1042" spans="1:1">
      <c r="A1042" s="42"/>
    </row>
    <row r="1045" spans="1:1">
      <c r="A1045" s="42"/>
    </row>
    <row r="1046" spans="1:1">
      <c r="A1046" s="42"/>
    </row>
    <row r="1047" spans="1:1">
      <c r="A1047" s="42"/>
    </row>
    <row r="1048" spans="1:1">
      <c r="A1048" s="42"/>
    </row>
    <row r="1049" spans="1:1">
      <c r="A1049" s="42"/>
    </row>
    <row r="1050" spans="1:1">
      <c r="A1050" s="42"/>
    </row>
    <row r="1051" spans="1:1">
      <c r="A1051" s="42"/>
    </row>
    <row r="1052" spans="1:1">
      <c r="A1052" s="42"/>
    </row>
  </sheetData>
  <printOptions horizontalCentered="1"/>
  <pageMargins left="0.5" right="0.5" top="1" bottom="0" header="0" footer="0"/>
  <pageSetup scale="65" orientation="landscape" r:id="rId1"/>
  <headerFooter alignWithMargins="0"/>
  <rowBreaks count="16" manualBreakCount="16">
    <brk id="66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transitionEntry="1" codeName="Sheet17">
    <pageSetUpPr fitToPage="1"/>
  </sheetPr>
  <dimension ref="A1:BX1063"/>
  <sheetViews>
    <sheetView workbookViewId="0"/>
  </sheetViews>
  <sheetFormatPr defaultColWidth="9.69921875" defaultRowHeight="15.75"/>
  <cols>
    <col min="1" max="1" width="5.09765625" style="41" customWidth="1"/>
    <col min="2" max="2" width="0.3984375" style="41" customWidth="1"/>
    <col min="3" max="3" width="6.69921875" style="41" customWidth="1"/>
    <col min="4" max="4" width="42.69921875" style="41" customWidth="1"/>
    <col min="5" max="5" width="0.89843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1.29687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8.898437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4.59765625" style="41" customWidth="1"/>
    <col min="23" max="23" width="39" style="41" customWidth="1"/>
    <col min="24" max="24" width="0.5976562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1.8984375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V5" s="50"/>
      <c r="AA5" s="42"/>
      <c r="AB5" s="42"/>
    </row>
    <row r="6" spans="1:40">
      <c r="A6" s="41" t="str">
        <f>DATA_PERIOD</f>
        <v>DATA: ____ BASE PERIOD   __X__FORECASTED PERIOD</v>
      </c>
      <c r="R6" s="42" t="s">
        <v>156</v>
      </c>
      <c r="V6" s="50"/>
      <c r="AK6" s="110"/>
      <c r="AL6" s="42"/>
    </row>
    <row r="7" spans="1:40">
      <c r="A7" s="41" t="str">
        <f>TYPE</f>
        <v>TYPE OF FILING: _X_ ORIGINAL   ___UPDATED  ___ REVISED</v>
      </c>
      <c r="R7" s="48" t="str">
        <f>"PAGE 17 OF "&amp;TEXT(Page_Num_2.3,"00")</f>
        <v>PAGE 17 OF 24</v>
      </c>
      <c r="V7" s="132"/>
      <c r="AK7" s="110"/>
      <c r="AL7" s="42"/>
    </row>
    <row r="8" spans="1:40">
      <c r="A8" s="42" t="s">
        <v>170</v>
      </c>
      <c r="R8" s="42" t="s">
        <v>3</v>
      </c>
      <c r="V8" s="132"/>
      <c r="AK8" s="110"/>
      <c r="AL8" s="42"/>
    </row>
    <row r="9" spans="1:40">
      <c r="A9" s="130" t="str">
        <f>TIME</f>
        <v>12 Months Projected with Riders</v>
      </c>
      <c r="N9" s="42"/>
      <c r="R9" s="41" t="str">
        <f>WIT</f>
        <v>B. L. Sailers</v>
      </c>
      <c r="V9" s="132"/>
      <c r="AK9" s="110"/>
      <c r="AL9" s="42"/>
    </row>
    <row r="10" spans="1:40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V10" s="132"/>
      <c r="W10" s="40"/>
      <c r="AA10" s="42"/>
      <c r="AB10" s="42"/>
    </row>
    <row r="11" spans="1:40">
      <c r="A11" s="49"/>
      <c r="B11" s="49"/>
      <c r="C11" s="49"/>
      <c r="D11" s="49"/>
      <c r="E11" s="49"/>
      <c r="F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T11" s="49"/>
      <c r="U11" s="49"/>
      <c r="V11" s="132"/>
      <c r="W11" s="42"/>
      <c r="X11" s="49"/>
      <c r="Y11" s="49"/>
      <c r="Z11" s="49"/>
      <c r="AA11" s="49"/>
      <c r="AB11" s="49"/>
      <c r="AC11" s="49"/>
      <c r="AD11" s="49"/>
      <c r="AE11" s="49"/>
      <c r="AF11" s="49"/>
      <c r="AG11" s="107"/>
      <c r="AH11" s="49"/>
      <c r="AI11" s="49"/>
      <c r="AJ11" s="49"/>
      <c r="AK11" s="107"/>
      <c r="AL11" s="49"/>
      <c r="AM11" s="49"/>
      <c r="AN11" s="49"/>
    </row>
    <row r="12" spans="1:40" ht="18" customHeight="1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V12" s="132"/>
      <c r="W12" s="40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>
      <c r="L13" s="44" t="s">
        <v>12</v>
      </c>
      <c r="M13" s="44"/>
      <c r="N13" s="44" t="s">
        <v>13</v>
      </c>
      <c r="O13" s="44"/>
      <c r="R13" s="44" t="s">
        <v>11</v>
      </c>
      <c r="V13" s="132"/>
      <c r="W13" s="42"/>
      <c r="Z13" s="44"/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324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4"/>
      <c r="U15" s="44"/>
      <c r="V15" s="44"/>
      <c r="Y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107"/>
      <c r="AH16" s="49"/>
      <c r="AI16" s="49"/>
      <c r="AJ16" s="49"/>
      <c r="AK16" s="107"/>
      <c r="AL16" s="49"/>
      <c r="AM16" s="49"/>
      <c r="AN16" s="49"/>
    </row>
    <row r="17" spans="1:43" ht="17.100000000000001" customHeight="1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69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3">
      <c r="A18" s="41">
        <v>1</v>
      </c>
      <c r="C18" s="133" t="s">
        <v>86</v>
      </c>
      <c r="D18" s="310" t="s">
        <v>218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2"/>
      <c r="U18" s="42"/>
      <c r="Y18" s="44"/>
    </row>
    <row r="19" spans="1:43"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42"/>
      <c r="Y19" s="44"/>
    </row>
    <row r="20" spans="1:43">
      <c r="A20" s="41">
        <v>2</v>
      </c>
      <c r="C20" s="310" t="s">
        <v>219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43">
      <c r="A21" s="41">
        <v>3</v>
      </c>
      <c r="C21" s="310" t="s">
        <v>220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45"/>
      <c r="V21" s="50"/>
      <c r="Y21" s="45"/>
      <c r="Z21" s="164"/>
      <c r="AA21" s="45"/>
      <c r="AB21" s="45"/>
      <c r="AC21" s="46"/>
      <c r="AD21" s="46"/>
      <c r="AE21" s="45"/>
      <c r="AF21" s="45"/>
      <c r="AI21" s="45"/>
      <c r="AJ21" s="45"/>
      <c r="AL21" s="45"/>
    </row>
    <row r="22" spans="1:43">
      <c r="A22" s="41">
        <v>4</v>
      </c>
      <c r="C22" s="48" t="s">
        <v>88</v>
      </c>
      <c r="F22" s="164">
        <v>0</v>
      </c>
      <c r="G22" s="1"/>
      <c r="H22" s="164">
        <f>ROUND(F22*786/12,0)</f>
        <v>0</v>
      </c>
      <c r="I22" s="68"/>
      <c r="J22" s="132">
        <f>ROUND(AC72+(AC72*LT_COS_RATE),2)</f>
        <v>16.579999999999998</v>
      </c>
      <c r="K22" s="342"/>
      <c r="L22" s="3">
        <f>ROUND((F22*J22),0)</f>
        <v>0</v>
      </c>
      <c r="M22" s="3"/>
      <c r="N22" s="4">
        <f>ROUND((L22/L$45)*100,1)</f>
        <v>0</v>
      </c>
      <c r="O22" s="4"/>
      <c r="P22" s="3">
        <f>ROUND($P$45/$H$45*H22,0)</f>
        <v>0</v>
      </c>
      <c r="Q22" s="3"/>
      <c r="R22" s="3">
        <f>L22+P22</f>
        <v>0</v>
      </c>
      <c r="S22" s="45"/>
      <c r="V22" s="50"/>
      <c r="Y22" s="64"/>
      <c r="Z22" s="326"/>
      <c r="AA22" s="50"/>
      <c r="AB22" s="50"/>
      <c r="AC22" s="50"/>
      <c r="AD22" s="50"/>
      <c r="AE22" s="50"/>
      <c r="AF22" s="50"/>
      <c r="AI22" s="50"/>
      <c r="AJ22" s="50"/>
      <c r="AK22" s="111"/>
      <c r="AL22" s="50"/>
      <c r="AM22" s="46"/>
      <c r="AN22" s="46"/>
    </row>
    <row r="23" spans="1:43">
      <c r="A23" s="41">
        <v>5</v>
      </c>
      <c r="C23" s="48" t="s">
        <v>87</v>
      </c>
      <c r="F23" s="45">
        <v>139</v>
      </c>
      <c r="G23" s="1"/>
      <c r="H23" s="164">
        <f>ROUND(F23*786/12,0)</f>
        <v>9105</v>
      </c>
      <c r="I23" s="3"/>
      <c r="J23" s="132">
        <f>ROUND(AC73+(AC73*LT_COS_RATE),2)</f>
        <v>13.21</v>
      </c>
      <c r="K23" s="5"/>
      <c r="L23" s="3">
        <f>ROUND((F23*J23),0)</f>
        <v>1836</v>
      </c>
      <c r="M23" s="3"/>
      <c r="N23" s="4">
        <f>ROUND((L23/L$45)*100,1)</f>
        <v>1.7</v>
      </c>
      <c r="O23" s="4"/>
      <c r="P23" s="3">
        <f>ROUND($P$45/$H$45*H23,0)</f>
        <v>32</v>
      </c>
      <c r="Q23" s="3"/>
      <c r="R23" s="3">
        <f>L23+P23</f>
        <v>1868</v>
      </c>
      <c r="S23" s="45"/>
      <c r="V23" s="164"/>
      <c r="Y23" s="64"/>
      <c r="Z23" s="326"/>
      <c r="AA23" s="45"/>
      <c r="AB23" s="45"/>
      <c r="AC23" s="46"/>
      <c r="AD23" s="46"/>
      <c r="AE23" s="45"/>
      <c r="AF23" s="45"/>
      <c r="AI23" s="45"/>
      <c r="AJ23" s="45"/>
      <c r="AL23" s="45"/>
      <c r="AM23" s="46"/>
      <c r="AN23" s="46"/>
    </row>
    <row r="24" spans="1:43">
      <c r="A24" s="41">
        <v>6</v>
      </c>
      <c r="C24" s="310" t="s">
        <v>221</v>
      </c>
      <c r="F24" s="45"/>
      <c r="G24" s="1"/>
      <c r="H24" s="3"/>
      <c r="I24" s="3"/>
      <c r="J24" s="56"/>
      <c r="K24" s="5"/>
      <c r="L24" s="3"/>
      <c r="M24" s="3"/>
      <c r="N24" s="4"/>
      <c r="O24" s="4"/>
      <c r="P24" s="3"/>
      <c r="Q24" s="3"/>
      <c r="R24" s="3"/>
      <c r="S24" s="45"/>
      <c r="V24" s="164"/>
      <c r="Y24" s="132"/>
      <c r="Z24" s="326"/>
      <c r="AA24" s="45"/>
      <c r="AB24" s="45"/>
      <c r="AC24" s="46"/>
      <c r="AD24" s="46"/>
      <c r="AE24" s="45"/>
      <c r="AF24" s="45"/>
      <c r="AI24" s="45"/>
      <c r="AJ24" s="45"/>
      <c r="AL24" s="45"/>
      <c r="AM24" s="46"/>
      <c r="AN24" s="46"/>
    </row>
    <row r="25" spans="1:43">
      <c r="A25" s="41">
        <v>7</v>
      </c>
      <c r="C25" s="48" t="s">
        <v>222</v>
      </c>
      <c r="F25" s="45"/>
      <c r="G25" s="1"/>
      <c r="H25" s="3"/>
      <c r="I25" s="3"/>
      <c r="J25" s="56"/>
      <c r="K25" s="5"/>
      <c r="L25" s="1"/>
      <c r="M25" s="1"/>
      <c r="N25" s="1"/>
      <c r="O25" s="1"/>
      <c r="P25" s="1"/>
      <c r="Q25" s="1"/>
      <c r="R25" s="1"/>
      <c r="Y25" s="56"/>
    </row>
    <row r="26" spans="1:43">
      <c r="A26" s="41">
        <v>8</v>
      </c>
      <c r="C26" s="48" t="s">
        <v>223</v>
      </c>
      <c r="F26" s="164">
        <v>348</v>
      </c>
      <c r="G26" s="1"/>
      <c r="H26" s="164">
        <f>ROUND(F26*1215/12,0)</f>
        <v>35235</v>
      </c>
      <c r="I26" s="68"/>
      <c r="J26" s="132">
        <f>ROUND(AC76+(AC76*LT_COS_RATE),2)</f>
        <v>30.29</v>
      </c>
      <c r="K26" s="342"/>
      <c r="L26" s="3">
        <f>ROUND((F26*J26),0)</f>
        <v>10541</v>
      </c>
      <c r="M26" s="3"/>
      <c r="N26" s="4">
        <f>ROUND((L26/L$45)*100,1)</f>
        <v>9.6</v>
      </c>
      <c r="O26" s="4"/>
      <c r="P26" s="3">
        <f>ROUND($P$45/$H$45*H26,0)</f>
        <v>123</v>
      </c>
      <c r="Q26" s="3"/>
      <c r="R26" s="3">
        <f>L26+P26</f>
        <v>10664</v>
      </c>
      <c r="S26" s="45"/>
      <c r="Y26" s="64"/>
    </row>
    <row r="27" spans="1:43">
      <c r="A27" s="41">
        <v>9</v>
      </c>
      <c r="C27" s="310" t="s">
        <v>224</v>
      </c>
      <c r="F27" s="164"/>
      <c r="G27" s="1"/>
      <c r="H27" s="68"/>
      <c r="I27" s="68"/>
      <c r="J27" s="132"/>
      <c r="K27" s="342"/>
      <c r="L27" s="3"/>
      <c r="M27" s="3"/>
      <c r="N27" s="4"/>
      <c r="O27" s="4"/>
      <c r="P27" s="3"/>
      <c r="Q27" s="3"/>
      <c r="R27" s="3"/>
      <c r="Y27" s="56"/>
    </row>
    <row r="28" spans="1:43">
      <c r="A28" s="41">
        <v>10</v>
      </c>
      <c r="C28" s="42" t="s">
        <v>225</v>
      </c>
      <c r="F28" s="45">
        <v>372</v>
      </c>
      <c r="G28" s="1"/>
      <c r="H28" s="164">
        <f>ROUND(F28*786/12,0)</f>
        <v>24366</v>
      </c>
      <c r="I28" s="3"/>
      <c r="J28" s="132">
        <f>ROUND(AC78+(AC78*LT_COS_RATE),2)</f>
        <v>13.09</v>
      </c>
      <c r="K28" s="342"/>
      <c r="L28" s="3">
        <f>ROUND((F28*J28),0)</f>
        <v>4869</v>
      </c>
      <c r="M28" s="3"/>
      <c r="N28" s="4">
        <f>ROUND((L28/L$45)*100,1)</f>
        <v>4.5</v>
      </c>
      <c r="O28" s="4"/>
      <c r="P28" s="3">
        <f>ROUND($P$45/$H$45*H28,0)</f>
        <v>85</v>
      </c>
      <c r="Q28" s="3"/>
      <c r="R28" s="3">
        <f>L28+P28</f>
        <v>4954</v>
      </c>
      <c r="S28" s="45"/>
      <c r="Y28" s="64"/>
    </row>
    <row r="29" spans="1:43">
      <c r="A29" s="41">
        <v>11</v>
      </c>
      <c r="C29" s="42" t="s">
        <v>226</v>
      </c>
      <c r="F29" s="45">
        <v>6746</v>
      </c>
      <c r="G29" s="1"/>
      <c r="H29" s="164">
        <f>ROUND(F29*453/12,0)</f>
        <v>254662</v>
      </c>
      <c r="I29" s="3"/>
      <c r="J29" s="132">
        <f>ROUND(AC79+(AC79*LT_COS_RATE),2)</f>
        <v>12.09</v>
      </c>
      <c r="K29" s="342"/>
      <c r="L29" s="3">
        <f>ROUND((F29*J29),0)</f>
        <v>81559</v>
      </c>
      <c r="M29" s="3"/>
      <c r="N29" s="4">
        <f>ROUND((L29/L$45)*100,1)</f>
        <v>74.5</v>
      </c>
      <c r="O29" s="4"/>
      <c r="P29" s="3">
        <f>ROUND($P$45/$H$45*H29,0)</f>
        <v>888</v>
      </c>
      <c r="Q29" s="3"/>
      <c r="R29" s="3">
        <f>L29+P29</f>
        <v>82447</v>
      </c>
      <c r="S29" s="45"/>
      <c r="Y29" s="64"/>
    </row>
    <row r="30" spans="1:43">
      <c r="A30" s="41">
        <v>12</v>
      </c>
      <c r="C30" s="48" t="s">
        <v>217</v>
      </c>
      <c r="F30" s="45">
        <v>408</v>
      </c>
      <c r="G30" s="1"/>
      <c r="H30" s="164">
        <f>ROUND(F30*1914/12,0)</f>
        <v>65076</v>
      </c>
      <c r="I30" s="3"/>
      <c r="J30" s="132">
        <f>ROUND(AC80+(AC80*LT_COS_RATE),2)</f>
        <v>20.420000000000002</v>
      </c>
      <c r="K30" s="5"/>
      <c r="L30" s="3">
        <f>ROUND((F30*J30),0)</f>
        <v>8331</v>
      </c>
      <c r="M30" s="3"/>
      <c r="N30" s="4">
        <f>ROUND((L30/L$45)*100,1)</f>
        <v>7.6</v>
      </c>
      <c r="O30" s="4"/>
      <c r="P30" s="66">
        <f>P31-P22-P23-P26-P28-P29</f>
        <v>226</v>
      </c>
      <c r="Q30" s="3"/>
      <c r="R30" s="3">
        <f>L30+P30</f>
        <v>8557</v>
      </c>
      <c r="S30" s="45"/>
      <c r="Y30" s="64"/>
    </row>
    <row r="31" spans="1:43" ht="20.100000000000001" customHeight="1">
      <c r="A31" s="41">
        <v>13</v>
      </c>
      <c r="C31" s="133" t="s">
        <v>90</v>
      </c>
      <c r="F31" s="72">
        <f>SUM(F22:F30)</f>
        <v>8013</v>
      </c>
      <c r="G31" s="1"/>
      <c r="H31" s="72">
        <f>SUM(H22:H30)</f>
        <v>388444</v>
      </c>
      <c r="I31" s="3"/>
      <c r="J31" s="56"/>
      <c r="K31" s="5"/>
      <c r="L31" s="72">
        <f>SUM(L22:L30)</f>
        <v>107136</v>
      </c>
      <c r="M31" s="3"/>
      <c r="N31" s="74">
        <f>ROUND((L31/L$45)*100,1)</f>
        <v>97.9</v>
      </c>
      <c r="O31" s="1"/>
      <c r="P31" s="72">
        <f>ROUND($P$45/$H$45*H31,0)</f>
        <v>1354</v>
      </c>
      <c r="Q31" s="3"/>
      <c r="R31" s="72">
        <f>SUM(R22:R30)</f>
        <v>108490</v>
      </c>
      <c r="T31" s="40"/>
      <c r="U31" s="40"/>
      <c r="V31" s="40"/>
      <c r="W31" s="40"/>
      <c r="X31" s="40"/>
      <c r="Y31" s="403"/>
      <c r="Z31" s="40"/>
      <c r="AA31" s="40"/>
      <c r="AB31" s="40"/>
      <c r="AC31" s="40"/>
      <c r="AD31" s="40"/>
      <c r="AE31" s="40"/>
      <c r="AF31" s="40"/>
      <c r="AG31" s="100"/>
      <c r="AH31" s="40"/>
      <c r="AI31" s="40"/>
      <c r="AJ31" s="40"/>
      <c r="AK31" s="100"/>
      <c r="AL31" s="40"/>
      <c r="AM31" s="40"/>
      <c r="AN31" s="40"/>
      <c r="AO31" s="40"/>
      <c r="AP31" s="40"/>
      <c r="AQ31" s="100"/>
    </row>
    <row r="32" spans="1:43">
      <c r="F32" s="1"/>
      <c r="G32" s="1"/>
      <c r="H32" s="1"/>
      <c r="I32" s="1"/>
      <c r="J32" s="56"/>
      <c r="K32" s="5"/>
      <c r="L32" s="1"/>
      <c r="M32" s="1"/>
      <c r="N32" s="1"/>
      <c r="O32" s="1"/>
      <c r="P32" s="1"/>
      <c r="Q32" s="1"/>
      <c r="R32" s="1"/>
      <c r="Y32" s="56"/>
      <c r="AO32" s="42"/>
      <c r="AP32" s="42"/>
    </row>
    <row r="33" spans="1:76">
      <c r="A33" s="41">
        <v>14</v>
      </c>
      <c r="C33" s="310" t="s">
        <v>227</v>
      </c>
      <c r="F33" s="1"/>
      <c r="G33" s="1"/>
      <c r="H33" s="1"/>
      <c r="I33" s="1"/>
      <c r="J33" s="56"/>
      <c r="K33" s="5"/>
      <c r="L33" s="1"/>
      <c r="M33" s="1"/>
      <c r="N33" s="1"/>
      <c r="O33" s="1"/>
      <c r="P33" s="1"/>
      <c r="Q33" s="1"/>
      <c r="R33" s="1"/>
      <c r="T33" s="42"/>
      <c r="Y33" s="56"/>
    </row>
    <row r="34" spans="1:76">
      <c r="A34" s="41">
        <v>15</v>
      </c>
      <c r="C34" s="310" t="s">
        <v>220</v>
      </c>
      <c r="F34" s="1"/>
      <c r="G34" s="1"/>
      <c r="H34" s="1"/>
      <c r="I34" s="1"/>
      <c r="J34" s="56"/>
      <c r="K34" s="5"/>
      <c r="L34" s="1"/>
      <c r="M34" s="1"/>
      <c r="N34" s="1"/>
      <c r="O34" s="1"/>
      <c r="P34" s="1"/>
      <c r="Q34" s="1"/>
      <c r="R34" s="1"/>
      <c r="T34" s="42"/>
      <c r="Y34" s="56"/>
    </row>
    <row r="35" spans="1:76">
      <c r="A35" s="41">
        <v>16</v>
      </c>
      <c r="C35" s="48" t="s">
        <v>88</v>
      </c>
      <c r="F35" s="164">
        <v>0</v>
      </c>
      <c r="G35" s="1"/>
      <c r="H35" s="164">
        <f>ROUND(F35*616/12,0)</f>
        <v>0</v>
      </c>
      <c r="I35" s="68"/>
      <c r="J35" s="132">
        <f>ROUND(AC85+(AC85*LT_COS_RATE),2)</f>
        <v>10.039999999999999</v>
      </c>
      <c r="K35" s="342"/>
      <c r="L35" s="3">
        <f>ROUND((F35*J35),0)</f>
        <v>0</v>
      </c>
      <c r="M35" s="3"/>
      <c r="N35" s="4">
        <f>ROUND((L35/L$45)*100,1)</f>
        <v>0</v>
      </c>
      <c r="O35" s="4"/>
      <c r="P35" s="3">
        <f>ROUND($P$45/$H$45*H35,0)</f>
        <v>0</v>
      </c>
      <c r="Q35" s="3"/>
      <c r="R35" s="3">
        <f>L35+P35</f>
        <v>0</v>
      </c>
      <c r="S35" s="45"/>
      <c r="Y35" s="64"/>
      <c r="AE35" s="44"/>
      <c r="AF35" s="44"/>
      <c r="AG35" s="102"/>
      <c r="AH35" s="44"/>
      <c r="AI35" s="44"/>
      <c r="AJ35" s="44"/>
      <c r="AK35" s="102"/>
      <c r="AL35" s="44"/>
      <c r="AO35" s="44"/>
      <c r="AP35" s="44"/>
      <c r="AQ35" s="102"/>
    </row>
    <row r="36" spans="1:76">
      <c r="A36" s="41">
        <v>17</v>
      </c>
      <c r="C36" s="48" t="s">
        <v>87</v>
      </c>
      <c r="F36" s="164">
        <v>60</v>
      </c>
      <c r="G36" s="1"/>
      <c r="H36" s="164">
        <f>ROUND(F36*786/12,0)</f>
        <v>3930</v>
      </c>
      <c r="I36" s="68"/>
      <c r="J36" s="132">
        <f>ROUND(AC86+(AC86*LT_COS_RATE),2)</f>
        <v>12.77</v>
      </c>
      <c r="K36" s="342"/>
      <c r="L36" s="3">
        <f>ROUND((F36*J36),0)</f>
        <v>766</v>
      </c>
      <c r="M36" s="3"/>
      <c r="N36" s="70">
        <f>ROUND((L36/L$45)*100,1)</f>
        <v>0.7</v>
      </c>
      <c r="O36" s="4"/>
      <c r="P36" s="66">
        <f>ROUND($P$45/$H$45*H36,0)</f>
        <v>14</v>
      </c>
      <c r="Q36" s="3"/>
      <c r="R36" s="3">
        <f>L36+P36</f>
        <v>780</v>
      </c>
      <c r="S36" s="45"/>
      <c r="V36" s="44"/>
      <c r="W36" s="44"/>
      <c r="X36" s="44"/>
      <c r="Y36" s="64"/>
      <c r="AA36" s="44"/>
      <c r="AB36" s="44"/>
      <c r="AC36" s="44"/>
      <c r="AD36" s="44"/>
      <c r="AE36" s="44"/>
      <c r="AF36" s="44"/>
      <c r="AG36" s="102"/>
      <c r="AH36" s="44"/>
      <c r="AI36" s="44"/>
      <c r="AJ36" s="44"/>
      <c r="AK36" s="102"/>
      <c r="AL36" s="44"/>
      <c r="AM36" s="44"/>
      <c r="AN36" s="44"/>
      <c r="AO36" s="44"/>
      <c r="AP36" s="44"/>
      <c r="AQ36" s="102"/>
      <c r="AS36" s="45"/>
      <c r="AT36" s="45"/>
      <c r="AU36" s="46"/>
      <c r="BX36" s="329"/>
    </row>
    <row r="37" spans="1:76" ht="20.100000000000001" customHeight="1">
      <c r="A37" s="41">
        <v>18</v>
      </c>
      <c r="C37" s="310" t="s">
        <v>228</v>
      </c>
      <c r="F37" s="72">
        <f>SUM(F35:F36)</f>
        <v>60</v>
      </c>
      <c r="G37" s="1"/>
      <c r="H37" s="72">
        <f>SUM(H35:H36)</f>
        <v>3930</v>
      </c>
      <c r="I37" s="3"/>
      <c r="J37" s="5"/>
      <c r="K37" s="5"/>
      <c r="L37" s="72">
        <f>SUM(L35:L36)</f>
        <v>766</v>
      </c>
      <c r="M37" s="3"/>
      <c r="N37" s="74">
        <f>ROUND((L37/L$45)*100,1)</f>
        <v>0.7</v>
      </c>
      <c r="O37" s="6"/>
      <c r="P37" s="72">
        <f>ROUND($P$45/$H$45*H37,0)</f>
        <v>14</v>
      </c>
      <c r="Q37" s="3"/>
      <c r="R37" s="72">
        <f>SUM(R35:R36)</f>
        <v>780</v>
      </c>
      <c r="Y37" s="56"/>
      <c r="AA37" s="44"/>
      <c r="AB37" s="44"/>
      <c r="AC37" s="44"/>
      <c r="AD37" s="44"/>
      <c r="AE37" s="44"/>
      <c r="AF37" s="44"/>
      <c r="AG37" s="102"/>
      <c r="AH37" s="44"/>
      <c r="AI37" s="44"/>
      <c r="AJ37" s="44"/>
      <c r="AK37" s="102"/>
      <c r="AL37" s="44"/>
      <c r="AM37" s="44"/>
      <c r="AN37" s="44"/>
      <c r="AO37" s="44"/>
      <c r="AP37" s="44"/>
      <c r="AQ37" s="102"/>
      <c r="AS37" s="45"/>
      <c r="AT37" s="45"/>
      <c r="AU37" s="335"/>
    </row>
    <row r="38" spans="1:76" ht="20.100000000000001" customHeight="1">
      <c r="A38" s="41">
        <v>19</v>
      </c>
      <c r="C38" s="310" t="s">
        <v>468</v>
      </c>
      <c r="F38" s="72">
        <f>F37+F31</f>
        <v>8073</v>
      </c>
      <c r="G38" s="1"/>
      <c r="H38" s="72">
        <f>H37+H31</f>
        <v>392374</v>
      </c>
      <c r="I38" s="3"/>
      <c r="J38" s="5"/>
      <c r="K38" s="5"/>
      <c r="L38" s="72">
        <f>L37+L31</f>
        <v>107902</v>
      </c>
      <c r="M38" s="3"/>
      <c r="N38" s="74">
        <f>ROUND((L38/L$45)*100,1)</f>
        <v>98.6</v>
      </c>
      <c r="O38" s="6"/>
      <c r="P38" s="72">
        <f>P37+P31</f>
        <v>1368</v>
      </c>
      <c r="Q38" s="3"/>
      <c r="R38" s="72">
        <f>R37+R31</f>
        <v>109270</v>
      </c>
      <c r="Y38" s="56"/>
      <c r="AA38" s="44"/>
      <c r="AB38" s="44"/>
      <c r="AC38" s="44"/>
      <c r="AD38" s="44"/>
      <c r="AE38" s="44"/>
      <c r="AF38" s="44"/>
      <c r="AG38" s="102"/>
      <c r="AH38" s="44"/>
      <c r="AI38" s="44"/>
      <c r="AJ38" s="44"/>
      <c r="AK38" s="102"/>
      <c r="AL38" s="44"/>
      <c r="AM38" s="44"/>
      <c r="AN38" s="44"/>
      <c r="AO38" s="44"/>
      <c r="AP38" s="44"/>
      <c r="AQ38" s="102"/>
      <c r="AS38" s="45"/>
      <c r="AT38" s="45"/>
      <c r="AU38" s="335"/>
    </row>
    <row r="39" spans="1:76" ht="15.75" customHeight="1">
      <c r="C39" s="310"/>
      <c r="F39" s="3"/>
      <c r="G39" s="1"/>
      <c r="H39" s="3"/>
      <c r="I39" s="3"/>
      <c r="J39" s="5"/>
      <c r="K39" s="5"/>
      <c r="L39" s="3"/>
      <c r="M39" s="3"/>
      <c r="N39" s="4"/>
      <c r="O39" s="6"/>
      <c r="P39" s="3"/>
      <c r="Q39" s="3"/>
      <c r="R39" s="3"/>
      <c r="Y39" s="56"/>
      <c r="AA39" s="44"/>
      <c r="AB39" s="44"/>
      <c r="AC39" s="44"/>
      <c r="AD39" s="44"/>
      <c r="AE39" s="44"/>
      <c r="AF39" s="44"/>
      <c r="AG39" s="102"/>
      <c r="AH39" s="44"/>
      <c r="AI39" s="44"/>
      <c r="AJ39" s="44"/>
      <c r="AK39" s="102"/>
      <c r="AL39" s="44"/>
      <c r="AM39" s="44"/>
      <c r="AN39" s="44"/>
      <c r="AO39" s="44"/>
      <c r="AP39" s="44"/>
      <c r="AQ39" s="102"/>
      <c r="AS39" s="45"/>
      <c r="AT39" s="45"/>
      <c r="AU39" s="335"/>
    </row>
    <row r="40" spans="1:76" ht="15.75" customHeight="1">
      <c r="A40" s="41">
        <v>20</v>
      </c>
      <c r="C40" s="133" t="s">
        <v>467</v>
      </c>
      <c r="F40" s="3"/>
      <c r="G40" s="1"/>
      <c r="H40" s="3"/>
      <c r="I40" s="3"/>
      <c r="J40" s="5"/>
      <c r="K40" s="5"/>
      <c r="L40" s="3"/>
      <c r="M40" s="3"/>
      <c r="N40" s="4"/>
      <c r="O40" s="6"/>
      <c r="P40" s="3"/>
      <c r="Q40" s="3"/>
      <c r="R40" s="3"/>
      <c r="Y40" s="56"/>
      <c r="AA40" s="44"/>
      <c r="AB40" s="44"/>
      <c r="AC40" s="44"/>
      <c r="AD40" s="44"/>
      <c r="AE40" s="44"/>
      <c r="AF40" s="44"/>
      <c r="AG40" s="102"/>
      <c r="AH40" s="44"/>
      <c r="AI40" s="44"/>
      <c r="AJ40" s="44"/>
      <c r="AK40" s="102"/>
      <c r="AL40" s="44"/>
      <c r="AM40" s="44"/>
      <c r="AN40" s="44"/>
      <c r="AO40" s="44"/>
      <c r="AP40" s="44"/>
      <c r="AQ40" s="102"/>
      <c r="AS40" s="45"/>
      <c r="AT40" s="45"/>
      <c r="AU40" s="335"/>
    </row>
    <row r="41" spans="1:76" ht="15.75" customHeight="1">
      <c r="A41" s="41">
        <v>21</v>
      </c>
      <c r="C41" s="128" t="str">
        <f>ESM_Name</f>
        <v>ENVIRONMENTAL SURCHARGE MECHANISM RIDER (ESM)</v>
      </c>
      <c r="F41" s="3"/>
      <c r="G41" s="1"/>
      <c r="H41" s="3"/>
      <c r="I41" s="3"/>
      <c r="J41" s="387">
        <f>PRO_ESM_NONRES</f>
        <v>5.4606095773317587E-3</v>
      </c>
      <c r="K41" s="5"/>
      <c r="L41" s="3">
        <f>ROUND((R38-(PRO_BASE_FUEL*H38)+R42)*J41,0)</f>
        <v>530</v>
      </c>
      <c r="M41" s="3"/>
      <c r="N41" s="4">
        <f>ROUND((L41/L$45)*100,1)</f>
        <v>0.5</v>
      </c>
      <c r="O41" s="6"/>
      <c r="P41" s="3"/>
      <c r="Q41" s="3"/>
      <c r="R41" s="3">
        <f>L41+P41</f>
        <v>530</v>
      </c>
      <c r="Y41" s="56"/>
      <c r="AA41" s="44"/>
      <c r="AB41" s="44"/>
      <c r="AC41" s="44"/>
      <c r="AD41" s="44"/>
      <c r="AE41" s="44"/>
      <c r="AF41" s="44"/>
      <c r="AG41" s="102"/>
      <c r="AH41" s="44"/>
      <c r="AI41" s="44"/>
      <c r="AJ41" s="44"/>
      <c r="AK41" s="102"/>
      <c r="AL41" s="44"/>
      <c r="AM41" s="44"/>
      <c r="AN41" s="44"/>
      <c r="AO41" s="44"/>
      <c r="AP41" s="44"/>
      <c r="AQ41" s="102"/>
      <c r="AS41" s="45"/>
      <c r="AT41" s="45"/>
      <c r="AU41" s="335"/>
    </row>
    <row r="42" spans="1:76" ht="15.75" customHeight="1">
      <c r="A42" s="41">
        <v>22</v>
      </c>
      <c r="C42" s="128" t="str">
        <f>PSM_Name</f>
        <v>PROFIT SHARING MECHANISM (PSM)</v>
      </c>
      <c r="F42" s="3"/>
      <c r="G42" s="1"/>
      <c r="H42" s="3"/>
      <c r="I42" s="3"/>
      <c r="J42" s="327">
        <f>PRO_PSM</f>
        <v>2.4750000000000002E-3</v>
      </c>
      <c r="K42" s="5"/>
      <c r="L42" s="66">
        <f>ROUND($H$38*J42,0)</f>
        <v>971</v>
      </c>
      <c r="M42" s="3"/>
      <c r="N42" s="104">
        <f>ROUND((L42/L$45)*100,1)</f>
        <v>0.9</v>
      </c>
      <c r="O42" s="6"/>
      <c r="P42" s="66"/>
      <c r="Q42" s="3"/>
      <c r="R42" s="66">
        <f>L42+P42</f>
        <v>971</v>
      </c>
      <c r="Y42" s="56"/>
      <c r="AA42" s="44"/>
      <c r="AB42" s="44"/>
      <c r="AC42" s="44"/>
      <c r="AD42" s="44"/>
      <c r="AE42" s="44"/>
      <c r="AF42" s="44"/>
      <c r="AG42" s="102"/>
      <c r="AH42" s="44"/>
      <c r="AI42" s="44"/>
      <c r="AJ42" s="44"/>
      <c r="AK42" s="102"/>
      <c r="AL42" s="44"/>
      <c r="AM42" s="44"/>
      <c r="AN42" s="44"/>
      <c r="AO42" s="44"/>
      <c r="AP42" s="44"/>
      <c r="AQ42" s="102"/>
      <c r="AS42" s="45"/>
      <c r="AT42" s="45"/>
      <c r="AU42" s="335"/>
    </row>
    <row r="43" spans="1:76" ht="20.100000000000001" customHeight="1">
      <c r="A43" s="41">
        <v>23</v>
      </c>
      <c r="C43" s="133" t="s">
        <v>463</v>
      </c>
      <c r="F43" s="66"/>
      <c r="G43" s="1"/>
      <c r="H43" s="66"/>
      <c r="I43" s="3"/>
      <c r="J43" s="5"/>
      <c r="K43" s="5"/>
      <c r="L43" s="72">
        <f>SUM(L41:L42)</f>
        <v>1501</v>
      </c>
      <c r="M43" s="3"/>
      <c r="N43" s="105">
        <f>ROUND((L43/L$45)*100,1)</f>
        <v>1.4</v>
      </c>
      <c r="O43" s="6"/>
      <c r="P43" s="72"/>
      <c r="Q43" s="3"/>
      <c r="R43" s="72">
        <f>SUM(R41:R42)</f>
        <v>1501</v>
      </c>
      <c r="Y43" s="56"/>
      <c r="AA43" s="44"/>
      <c r="AB43" s="44"/>
      <c r="AC43" s="44"/>
      <c r="AD43" s="44"/>
      <c r="AE43" s="44"/>
      <c r="AF43" s="44"/>
      <c r="AG43" s="102"/>
      <c r="AH43" s="44"/>
      <c r="AI43" s="44"/>
      <c r="AJ43" s="44"/>
      <c r="AK43" s="102"/>
      <c r="AL43" s="44"/>
      <c r="AM43" s="44"/>
      <c r="AN43" s="44"/>
      <c r="AO43" s="44"/>
      <c r="AP43" s="44"/>
      <c r="AQ43" s="102"/>
      <c r="AS43" s="45"/>
      <c r="AT43" s="45"/>
      <c r="AU43" s="335"/>
    </row>
    <row r="44" spans="1:76" ht="15.75" customHeight="1">
      <c r="C44" s="310"/>
      <c r="F44" s="3"/>
      <c r="G44" s="1"/>
      <c r="H44" s="3"/>
      <c r="I44" s="3"/>
      <c r="J44" s="5"/>
      <c r="K44" s="5"/>
      <c r="L44" s="3"/>
      <c r="M44" s="3"/>
      <c r="N44" s="4"/>
      <c r="O44" s="6"/>
      <c r="P44" s="3"/>
      <c r="Q44" s="3"/>
      <c r="R44" s="3"/>
      <c r="V44" s="176"/>
      <c r="Y44" s="56"/>
      <c r="AA44" s="44"/>
      <c r="AB44" s="44"/>
      <c r="AC44" s="44"/>
      <c r="AD44" s="44"/>
      <c r="AE44" s="44"/>
      <c r="AF44" s="44"/>
      <c r="AG44" s="102"/>
      <c r="AH44" s="44"/>
      <c r="AI44" s="44"/>
      <c r="AJ44" s="44"/>
      <c r="AK44" s="102"/>
      <c r="AL44" s="44"/>
      <c r="AM44" s="44"/>
      <c r="AN44" s="44"/>
      <c r="AO44" s="44"/>
      <c r="AP44" s="44"/>
      <c r="AQ44" s="102"/>
      <c r="AS44" s="45"/>
      <c r="AT44" s="45"/>
      <c r="AU44" s="335"/>
    </row>
    <row r="45" spans="1:76" ht="20.100000000000001" customHeight="1" thickBot="1">
      <c r="A45" s="41">
        <v>24</v>
      </c>
      <c r="C45" s="133" t="s">
        <v>469</v>
      </c>
      <c r="F45" s="67">
        <f>F31+F37</f>
        <v>8073</v>
      </c>
      <c r="G45" s="1"/>
      <c r="H45" s="67">
        <f>H31+H37</f>
        <v>392374</v>
      </c>
      <c r="I45" s="3"/>
      <c r="J45" s="5"/>
      <c r="K45" s="5"/>
      <c r="L45" s="67">
        <f>L43+L38</f>
        <v>109403</v>
      </c>
      <c r="M45" s="3"/>
      <c r="N45" s="73">
        <v>100</v>
      </c>
      <c r="O45" s="4"/>
      <c r="P45" s="67">
        <f>ROUND(H45*CUR_FAC,0)</f>
        <v>1368</v>
      </c>
      <c r="Q45" s="68"/>
      <c r="R45" s="67">
        <f>R43+R38</f>
        <v>110771</v>
      </c>
      <c r="Y45" s="56"/>
      <c r="AS45" s="45"/>
      <c r="AT45" s="45"/>
      <c r="AU45" s="46"/>
    </row>
    <row r="46" spans="1:76" ht="16.5" thickTop="1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Y46" s="45"/>
      <c r="AO46" s="45"/>
      <c r="AP46" s="45"/>
      <c r="AS46" s="45"/>
      <c r="AT46" s="45"/>
      <c r="AU46" s="46"/>
    </row>
    <row r="47" spans="1:76">
      <c r="C47" s="140" t="s">
        <v>76</v>
      </c>
      <c r="V47" s="42"/>
      <c r="Y47" s="45"/>
      <c r="AA47" s="45"/>
      <c r="AB47" s="45"/>
      <c r="AC47" s="316"/>
      <c r="AD47" s="316"/>
      <c r="AE47" s="45"/>
      <c r="AF47" s="45"/>
      <c r="AH47" s="46"/>
      <c r="AI47" s="45"/>
      <c r="AJ47" s="45"/>
      <c r="AL47" s="51"/>
      <c r="AM47" s="45"/>
      <c r="AN47" s="45"/>
      <c r="AO47" s="45"/>
      <c r="AP47" s="45"/>
      <c r="AR47" s="45"/>
      <c r="AS47" s="45"/>
      <c r="AT47" s="45"/>
      <c r="AU47" s="46"/>
    </row>
    <row r="48" spans="1:76">
      <c r="C48" s="140" t="str">
        <f>"(2) REFLECTS FUEL COMPONENT OF "&amp;TEXT(PRO_FAC,"$0.000000;($0.000000)")&amp;" PER KWH."</f>
        <v>(2) REFLECTS FUEL COMPONENT OF $0.003487 PER KWH.</v>
      </c>
      <c r="V48" s="42"/>
      <c r="Y48" s="45"/>
      <c r="AA48" s="45"/>
      <c r="AB48" s="45"/>
      <c r="AC48" s="316"/>
      <c r="AD48" s="316"/>
      <c r="AE48" s="45"/>
      <c r="AF48" s="45"/>
      <c r="AH48" s="46"/>
      <c r="AI48" s="45"/>
      <c r="AJ48" s="45"/>
      <c r="AL48" s="51"/>
      <c r="AM48" s="45"/>
      <c r="AN48" s="45"/>
      <c r="AO48" s="45"/>
      <c r="AP48" s="45"/>
      <c r="AR48" s="45"/>
      <c r="AS48" s="45"/>
      <c r="AT48" s="45"/>
      <c r="AU48" s="46"/>
    </row>
    <row r="49" spans="1:47">
      <c r="A49" s="42"/>
      <c r="C49" s="140" t="str">
        <f>"(3) REFLECTS FUEL COST RECOVERY INCLUDED IN BASE RATES OF "&amp;TEXT(PRO_BASE_FUEL,"$0.000000;($0.000000)")&amp;"  PER KWH."</f>
        <v>(3) REFLECTS FUEL COST RECOVERY INCLUDED IN BASE RATES OF $0.033780  PER KWH.</v>
      </c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R49" s="45"/>
      <c r="AS49" s="45"/>
      <c r="AT49" s="45"/>
      <c r="AU49" s="46"/>
    </row>
    <row r="50" spans="1:47">
      <c r="H50" s="42"/>
      <c r="I50" s="42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100"/>
      <c r="AH50" s="40"/>
      <c r="AI50" s="40"/>
      <c r="AJ50" s="40"/>
      <c r="AK50" s="100"/>
      <c r="AR50" s="45"/>
    </row>
    <row r="51" spans="1:47">
      <c r="L51" s="42"/>
      <c r="M51" s="42"/>
      <c r="T51" s="40" t="str">
        <f>NAME</f>
        <v>DUKE ENERGY KENTUCKY, INC.</v>
      </c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100"/>
      <c r="AH51" s="40"/>
      <c r="AI51" s="40"/>
      <c r="AJ51" s="40"/>
      <c r="AK51" s="100"/>
      <c r="AL51" s="40"/>
      <c r="AM51" s="40"/>
      <c r="AN51" s="40"/>
      <c r="AO51" s="40"/>
      <c r="AP51" s="40"/>
      <c r="AQ51" s="100"/>
      <c r="AR51" s="164"/>
    </row>
    <row r="52" spans="1:47">
      <c r="F52" s="45"/>
      <c r="H52" s="45"/>
      <c r="I52" s="45"/>
      <c r="J52" s="56"/>
      <c r="K52" s="56"/>
      <c r="L52" s="50"/>
      <c r="M52" s="395"/>
      <c r="N52" s="46"/>
      <c r="O52" s="46"/>
      <c r="P52" s="45"/>
      <c r="Q52" s="45"/>
      <c r="R52" s="45"/>
      <c r="T52" s="40" t="str">
        <f>CASE_NO</f>
        <v>CASE NO.   2024-00354</v>
      </c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100"/>
      <c r="AH52" s="40"/>
      <c r="AI52" s="40"/>
      <c r="AJ52" s="40"/>
      <c r="AK52" s="100"/>
      <c r="AL52" s="40"/>
      <c r="AM52" s="40"/>
      <c r="AN52" s="40"/>
      <c r="AO52" s="40"/>
      <c r="AP52" s="40"/>
      <c r="AQ52" s="100"/>
      <c r="AR52" s="164"/>
    </row>
    <row r="53" spans="1:47"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50"/>
      <c r="T53" s="40" t="str">
        <f>TITLE</f>
        <v>ANNUALIZED TEST YEAR REVENUES AT PROPOSED VS. MOST CURRENT RATES</v>
      </c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00"/>
      <c r="AH53" s="40"/>
      <c r="AI53" s="40"/>
      <c r="AJ53" s="40"/>
      <c r="AK53" s="100"/>
      <c r="AL53" s="40"/>
      <c r="AM53" s="40"/>
      <c r="AN53" s="40"/>
      <c r="AO53" s="40"/>
      <c r="AP53" s="40"/>
      <c r="AQ53" s="100"/>
      <c r="AR53" s="164"/>
    </row>
    <row r="54" spans="1:47"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T54" s="40" t="str">
        <f>DATE</f>
        <v>FOR THE TWELVE MONTHS ENDED June 30, 2026</v>
      </c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100"/>
      <c r="AH54" s="40"/>
      <c r="AI54" s="40"/>
      <c r="AJ54" s="40"/>
      <c r="AK54" s="100"/>
      <c r="AL54" s="40"/>
      <c r="AM54" s="40"/>
      <c r="AN54" s="40"/>
      <c r="AO54" s="40"/>
      <c r="AP54" s="40"/>
      <c r="AQ54" s="100"/>
      <c r="AR54" s="45"/>
    </row>
    <row r="55" spans="1:47">
      <c r="A55" s="42"/>
      <c r="R55" s="42"/>
      <c r="T55" s="40" t="str">
        <f>SERVICE</f>
        <v>(ELECTRIC SERVICE)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  <c r="AR55" s="45"/>
    </row>
    <row r="56" spans="1:47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T56" s="41" t="str">
        <f>DATA_PERIOD</f>
        <v>DATA: ____ BASE PERIOD   __X__FORECASTED PERIOD</v>
      </c>
      <c r="AO56" s="42" t="s">
        <v>157</v>
      </c>
      <c r="AQ56" s="110"/>
    </row>
    <row r="57" spans="1:47">
      <c r="L57" s="44"/>
      <c r="M57" s="44"/>
      <c r="N57" s="44"/>
      <c r="O57" s="44"/>
      <c r="R57" s="44"/>
      <c r="T57" s="41" t="str">
        <f>TYPE</f>
        <v>TYPE OF FILING: _X_ ORIGINAL   ___UPDATED  ___ REVISED</v>
      </c>
      <c r="AO57" s="48" t="str">
        <f>"PAGE 17 OF "&amp;TEXT(Page_Num_2.2,"00")</f>
        <v>PAGE 17 OF 24</v>
      </c>
      <c r="AQ57" s="110"/>
    </row>
    <row r="58" spans="1:47">
      <c r="C58" s="44"/>
      <c r="D58" s="44"/>
      <c r="E58" s="44"/>
      <c r="F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T58" s="42" t="s">
        <v>170</v>
      </c>
      <c r="AO58" s="42" t="s">
        <v>3</v>
      </c>
      <c r="AQ58" s="110"/>
    </row>
    <row r="59" spans="1:47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T59" s="130" t="str">
        <f>TIME</f>
        <v>12 Months Projected with Riders</v>
      </c>
      <c r="AG59" s="110"/>
      <c r="AO59" s="41" t="str">
        <f>WIT</f>
        <v>B. L. Sailers</v>
      </c>
    </row>
    <row r="60" spans="1:47"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T60" s="40" t="s">
        <v>130</v>
      </c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100"/>
      <c r="AH60" s="40"/>
      <c r="AI60" s="40"/>
      <c r="AJ60" s="40"/>
      <c r="AK60" s="100"/>
      <c r="AL60" s="40"/>
      <c r="AM60" s="40"/>
      <c r="AN60" s="40"/>
      <c r="AO60" s="40"/>
      <c r="AP60" s="40"/>
      <c r="AQ60" s="100"/>
    </row>
    <row r="61" spans="1:47">
      <c r="C61" s="42"/>
      <c r="D61" s="42"/>
      <c r="E61" s="42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3"/>
      <c r="AF61" s="43"/>
      <c r="AG61" s="101"/>
      <c r="AH61" s="43"/>
      <c r="AI61" s="43"/>
      <c r="AJ61" s="43"/>
      <c r="AK61" s="101"/>
      <c r="AL61" s="43"/>
      <c r="AM61" s="43"/>
      <c r="AN61" s="49"/>
      <c r="AO61" s="49"/>
      <c r="AP61" s="49"/>
      <c r="AQ61" s="107"/>
    </row>
    <row r="62" spans="1:47" ht="18" customHeight="1">
      <c r="C62" s="4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44" t="s">
        <v>8</v>
      </c>
      <c r="AF62" s="44"/>
      <c r="AG62" s="102" t="s">
        <v>7</v>
      </c>
      <c r="AH62" s="44"/>
      <c r="AI62" s="44" t="s">
        <v>9</v>
      </c>
      <c r="AJ62" s="44"/>
      <c r="AK62" s="102" t="s">
        <v>10</v>
      </c>
      <c r="AL62" s="44"/>
      <c r="AN62" s="62"/>
      <c r="AO62" s="63" t="s">
        <v>8</v>
      </c>
      <c r="AP62" s="63"/>
      <c r="AQ62" s="109" t="s">
        <v>11</v>
      </c>
    </row>
    <row r="63" spans="1:47">
      <c r="AC63" s="44" t="s">
        <v>14</v>
      </c>
      <c r="AD63" s="44"/>
      <c r="AE63" s="44" t="s">
        <v>12</v>
      </c>
      <c r="AF63" s="44"/>
      <c r="AG63" s="102" t="s">
        <v>13</v>
      </c>
      <c r="AH63" s="44"/>
      <c r="AI63" s="44" t="s">
        <v>15</v>
      </c>
      <c r="AJ63" s="44"/>
      <c r="AK63" s="102" t="s">
        <v>16</v>
      </c>
      <c r="AL63" s="44"/>
      <c r="AO63" s="44" t="s">
        <v>11</v>
      </c>
      <c r="AP63" s="44"/>
      <c r="AQ63" s="102" t="s">
        <v>9</v>
      </c>
    </row>
    <row r="64" spans="1:47">
      <c r="C64" s="42"/>
      <c r="F64" s="164"/>
      <c r="H64" s="164"/>
      <c r="I64" s="164"/>
      <c r="J64" s="316"/>
      <c r="K64" s="316"/>
      <c r="L64" s="45"/>
      <c r="M64" s="45"/>
      <c r="N64" s="46"/>
      <c r="O64" s="46"/>
      <c r="R64" s="45"/>
      <c r="T64" s="44" t="s">
        <v>17</v>
      </c>
      <c r="V64" s="44" t="s">
        <v>18</v>
      </c>
      <c r="W64" s="44" t="s">
        <v>19</v>
      </c>
      <c r="X64" s="44"/>
      <c r="Y64" s="44" t="s">
        <v>20</v>
      </c>
      <c r="AC64" s="44" t="s">
        <v>8</v>
      </c>
      <c r="AD64" s="44"/>
      <c r="AE64" s="44" t="s">
        <v>841</v>
      </c>
      <c r="AF64" s="44"/>
      <c r="AG64" s="102" t="s">
        <v>841</v>
      </c>
      <c r="AH64" s="44"/>
      <c r="AI64" s="60" t="s">
        <v>964</v>
      </c>
      <c r="AJ64" s="44"/>
      <c r="AK64" s="277" t="s">
        <v>964</v>
      </c>
      <c r="AL64" s="44"/>
      <c r="AM64" s="44" t="s">
        <v>841</v>
      </c>
      <c r="AN64" s="44"/>
      <c r="AO64" s="44" t="s">
        <v>9</v>
      </c>
      <c r="AP64" s="44"/>
      <c r="AQ64" s="102" t="s">
        <v>21</v>
      </c>
    </row>
    <row r="65" spans="3:51">
      <c r="C65" s="42"/>
      <c r="F65" s="164"/>
      <c r="H65" s="164"/>
      <c r="I65" s="164"/>
      <c r="J65" s="316"/>
      <c r="K65" s="316"/>
      <c r="L65" s="45"/>
      <c r="M65" s="45"/>
      <c r="N65" s="46"/>
      <c r="O65" s="46"/>
      <c r="R65" s="45"/>
      <c r="T65" s="44" t="s">
        <v>22</v>
      </c>
      <c r="V65" s="44" t="s">
        <v>23</v>
      </c>
      <c r="W65" s="44" t="s">
        <v>24</v>
      </c>
      <c r="X65" s="44"/>
      <c r="Y65" s="44" t="s">
        <v>25</v>
      </c>
      <c r="AA65" s="44" t="s">
        <v>26</v>
      </c>
      <c r="AB65" s="44"/>
      <c r="AC65" s="60" t="s">
        <v>324</v>
      </c>
      <c r="AD65" s="44"/>
      <c r="AE65" s="44" t="s">
        <v>9</v>
      </c>
      <c r="AF65" s="44"/>
      <c r="AG65" s="102" t="s">
        <v>9</v>
      </c>
      <c r="AH65" s="44"/>
      <c r="AI65" s="304" t="s">
        <v>29</v>
      </c>
      <c r="AJ65" s="304"/>
      <c r="AK65" s="311" t="s">
        <v>30</v>
      </c>
      <c r="AL65" s="44"/>
      <c r="AM65" s="44" t="s">
        <v>323</v>
      </c>
      <c r="AN65" s="44"/>
      <c r="AO65" s="304" t="s">
        <v>31</v>
      </c>
      <c r="AP65" s="304"/>
      <c r="AQ65" s="311" t="s">
        <v>32</v>
      </c>
      <c r="AX65" s="41" t="s">
        <v>300</v>
      </c>
      <c r="AY65" s="41" t="s">
        <v>301</v>
      </c>
    </row>
    <row r="66" spans="3:51">
      <c r="C66" s="42"/>
      <c r="F66" s="164"/>
      <c r="H66" s="164"/>
      <c r="I66" s="164"/>
      <c r="J66" s="316"/>
      <c r="K66" s="316"/>
      <c r="L66" s="45"/>
      <c r="M66" s="45"/>
      <c r="N66" s="46"/>
      <c r="O66" s="46"/>
      <c r="R66" s="45"/>
      <c r="V66" s="304" t="s">
        <v>33</v>
      </c>
      <c r="W66" s="304" t="s">
        <v>34</v>
      </c>
      <c r="X66" s="304"/>
      <c r="Y66" s="304" t="s">
        <v>35</v>
      </c>
      <c r="Z66" s="130"/>
      <c r="AA66" s="304" t="s">
        <v>36</v>
      </c>
      <c r="AB66" s="304"/>
      <c r="AC66" s="304" t="s">
        <v>42</v>
      </c>
      <c r="AD66" s="304"/>
      <c r="AE66" s="304" t="s">
        <v>43</v>
      </c>
      <c r="AF66" s="304"/>
      <c r="AG66" s="311" t="s">
        <v>44</v>
      </c>
      <c r="AH66" s="304"/>
      <c r="AI66" s="304" t="s">
        <v>45</v>
      </c>
      <c r="AJ66" s="304"/>
      <c r="AK66" s="311" t="s">
        <v>46</v>
      </c>
      <c r="AL66" s="304"/>
      <c r="AM66" s="304" t="s">
        <v>40</v>
      </c>
      <c r="AN66" s="304"/>
      <c r="AO66" s="304" t="s">
        <v>47</v>
      </c>
      <c r="AP66" s="304"/>
      <c r="AQ66" s="311" t="s">
        <v>48</v>
      </c>
      <c r="AU66" s="44" t="s">
        <v>402</v>
      </c>
      <c r="AW66" s="41" t="s">
        <v>299</v>
      </c>
      <c r="AX66" s="41" t="s">
        <v>298</v>
      </c>
      <c r="AY66" s="41" t="s">
        <v>298</v>
      </c>
    </row>
    <row r="67" spans="3:51" ht="17.100000000000001" customHeight="1">
      <c r="F67" s="50"/>
      <c r="H67" s="45"/>
      <c r="I67" s="45"/>
      <c r="J67" s="326"/>
      <c r="K67" s="326"/>
      <c r="L67" s="50"/>
      <c r="M67" s="50"/>
      <c r="N67" s="50"/>
      <c r="O67" s="50"/>
      <c r="P67" s="50"/>
      <c r="Q67" s="50"/>
      <c r="R67" s="50"/>
      <c r="T67" s="62"/>
      <c r="U67" s="62"/>
      <c r="V67" s="62"/>
      <c r="W67" s="62"/>
      <c r="X67" s="62"/>
      <c r="Y67" s="62"/>
      <c r="Z67" s="62"/>
      <c r="AA67" s="345" t="s">
        <v>49</v>
      </c>
      <c r="AB67" s="345"/>
      <c r="AC67" s="344" t="s">
        <v>69</v>
      </c>
      <c r="AD67" s="345"/>
      <c r="AE67" s="345" t="s">
        <v>50</v>
      </c>
      <c r="AF67" s="345"/>
      <c r="AG67" s="346" t="s">
        <v>51</v>
      </c>
      <c r="AH67" s="345"/>
      <c r="AI67" s="345" t="s">
        <v>50</v>
      </c>
      <c r="AJ67" s="345"/>
      <c r="AK67" s="346" t="s">
        <v>51</v>
      </c>
      <c r="AL67" s="345"/>
      <c r="AM67" s="345" t="s">
        <v>50</v>
      </c>
      <c r="AN67" s="345"/>
      <c r="AO67" s="345" t="s">
        <v>50</v>
      </c>
      <c r="AP67" s="345"/>
      <c r="AQ67" s="346" t="s">
        <v>51</v>
      </c>
      <c r="AU67" s="44" t="s">
        <v>403</v>
      </c>
    </row>
    <row r="68" spans="3:51">
      <c r="C68" s="42"/>
      <c r="F68" s="45"/>
      <c r="H68" s="45"/>
      <c r="I68" s="45"/>
      <c r="J68" s="326"/>
      <c r="K68" s="326"/>
      <c r="L68" s="45"/>
      <c r="M68" s="45"/>
      <c r="N68" s="46"/>
      <c r="O68" s="46"/>
      <c r="P68" s="45"/>
      <c r="Q68" s="45"/>
      <c r="R68" s="45"/>
      <c r="T68" s="41">
        <v>1</v>
      </c>
      <c r="V68" s="133" t="s">
        <v>86</v>
      </c>
      <c r="W68" s="310" t="s">
        <v>218</v>
      </c>
      <c r="X68" s="42"/>
      <c r="Y68" s="1"/>
      <c r="Z68" s="1"/>
      <c r="AA68" s="1"/>
      <c r="AB68" s="1"/>
      <c r="AC68" s="1"/>
      <c r="AD68" s="1"/>
      <c r="AE68" s="1"/>
      <c r="AF68" s="1"/>
      <c r="AG68" s="103"/>
      <c r="AH68" s="1"/>
      <c r="AI68" s="1"/>
      <c r="AJ68" s="1"/>
      <c r="AK68" s="103"/>
      <c r="AL68" s="1"/>
      <c r="AM68" s="1"/>
      <c r="AN68" s="1"/>
      <c r="AO68" s="1"/>
      <c r="AP68" s="1"/>
      <c r="AQ68" s="103"/>
      <c r="AU68" s="44" t="s">
        <v>404</v>
      </c>
    </row>
    <row r="69" spans="3:51">
      <c r="C69" s="42"/>
      <c r="F69" s="164"/>
      <c r="H69" s="164"/>
      <c r="I69" s="164"/>
      <c r="J69" s="336"/>
      <c r="K69" s="336"/>
      <c r="L69" s="45"/>
      <c r="M69" s="45"/>
      <c r="N69" s="46"/>
      <c r="O69" s="46"/>
      <c r="P69" s="45"/>
      <c r="Q69" s="45"/>
      <c r="R69" s="45"/>
      <c r="S69" s="45"/>
      <c r="Y69" s="1"/>
      <c r="Z69" s="1"/>
      <c r="AA69" s="1"/>
      <c r="AB69" s="1"/>
      <c r="AC69" s="1"/>
      <c r="AD69" s="1"/>
      <c r="AE69" s="1"/>
      <c r="AF69" s="1"/>
      <c r="AG69" s="103"/>
      <c r="AH69" s="1"/>
      <c r="AI69" s="1"/>
      <c r="AJ69" s="1"/>
      <c r="AK69" s="103"/>
      <c r="AL69" s="1"/>
      <c r="AM69" s="1"/>
      <c r="AN69" s="1"/>
      <c r="AO69" s="1"/>
      <c r="AP69" s="1"/>
      <c r="AQ69" s="103"/>
    </row>
    <row r="70" spans="3:51">
      <c r="C70" s="42"/>
      <c r="F70" s="164"/>
      <c r="H70" s="164"/>
      <c r="I70" s="164"/>
      <c r="J70" s="316"/>
      <c r="K70" s="316"/>
      <c r="L70" s="45"/>
      <c r="M70" s="45"/>
      <c r="N70" s="46"/>
      <c r="O70" s="46"/>
      <c r="P70" s="45"/>
      <c r="Q70" s="45"/>
      <c r="R70" s="45"/>
      <c r="T70" s="41">
        <v>2</v>
      </c>
      <c r="V70" s="310" t="s">
        <v>219</v>
      </c>
      <c r="Y70" s="1"/>
      <c r="Z70" s="1"/>
      <c r="AA70" s="1"/>
      <c r="AB70" s="1"/>
      <c r="AC70" s="1"/>
      <c r="AD70" s="1"/>
      <c r="AE70" s="1"/>
      <c r="AF70" s="1"/>
      <c r="AG70" s="103"/>
      <c r="AH70" s="1"/>
      <c r="AI70" s="1"/>
      <c r="AJ70" s="1"/>
      <c r="AK70" s="103"/>
      <c r="AL70" s="1"/>
      <c r="AM70" s="1"/>
      <c r="AN70" s="1"/>
      <c r="AO70" s="1"/>
      <c r="AP70" s="1"/>
      <c r="AQ70" s="103"/>
    </row>
    <row r="71" spans="3:51">
      <c r="C71" s="42"/>
      <c r="F71" s="164"/>
      <c r="H71" s="164"/>
      <c r="I71" s="164"/>
      <c r="J71" s="316"/>
      <c r="K71" s="316"/>
      <c r="L71" s="45"/>
      <c r="M71" s="45"/>
      <c r="N71" s="46"/>
      <c r="O71" s="46"/>
      <c r="P71" s="45"/>
      <c r="Q71" s="45"/>
      <c r="R71" s="45"/>
      <c r="T71" s="41">
        <v>3</v>
      </c>
      <c r="V71" s="310" t="s">
        <v>220</v>
      </c>
      <c r="Y71" s="1"/>
      <c r="Z71" s="1"/>
      <c r="AA71" s="1"/>
      <c r="AB71" s="1"/>
      <c r="AC71" s="1"/>
      <c r="AD71" s="1"/>
      <c r="AE71" s="1"/>
      <c r="AF71" s="1"/>
      <c r="AG71" s="103"/>
      <c r="AH71" s="1"/>
      <c r="AI71" s="1"/>
      <c r="AJ71" s="1"/>
      <c r="AK71" s="103"/>
      <c r="AL71" s="1"/>
      <c r="AM71" s="1"/>
      <c r="AN71" s="1"/>
      <c r="AO71" s="1"/>
      <c r="AP71" s="1"/>
      <c r="AQ71" s="103"/>
    </row>
    <row r="72" spans="3:51">
      <c r="C72" s="42"/>
      <c r="F72" s="45"/>
      <c r="H72" s="45"/>
      <c r="I72" s="45"/>
      <c r="J72" s="326"/>
      <c r="K72" s="326"/>
      <c r="L72" s="45"/>
      <c r="M72" s="45"/>
      <c r="N72" s="46"/>
      <c r="O72" s="46"/>
      <c r="P72" s="45"/>
      <c r="Q72" s="45"/>
      <c r="R72" s="45"/>
      <c r="T72" s="41">
        <v>4</v>
      </c>
      <c r="V72" s="48" t="s">
        <v>88</v>
      </c>
      <c r="Y72" s="3">
        <f>F22</f>
        <v>0</v>
      </c>
      <c r="Z72" s="3"/>
      <c r="AA72" s="3">
        <f>H22</f>
        <v>0</v>
      </c>
      <c r="AB72" s="3"/>
      <c r="AC72" s="132">
        <v>14.51</v>
      </c>
      <c r="AD72" s="342"/>
      <c r="AE72" s="3">
        <f>ROUND((Y72*AC72),0)</f>
        <v>0</v>
      </c>
      <c r="AF72" s="3"/>
      <c r="AG72" s="103">
        <f>ROUND((AE72/AE$95)*100,1)</f>
        <v>0</v>
      </c>
      <c r="AH72" s="4"/>
      <c r="AI72" s="3">
        <f>L22-AE72</f>
        <v>0</v>
      </c>
      <c r="AJ72" s="3"/>
      <c r="AK72" s="103">
        <v>0</v>
      </c>
      <c r="AL72" s="6"/>
      <c r="AM72" s="3">
        <f>ROUND($AM$95/$AA$95*AA72,0)</f>
        <v>0</v>
      </c>
      <c r="AN72" s="3"/>
      <c r="AO72" s="3">
        <f>AE72+AM72</f>
        <v>0</v>
      </c>
      <c r="AP72" s="3"/>
      <c r="AQ72" s="103">
        <v>0</v>
      </c>
      <c r="AU72" s="56">
        <f>AC72-AX72</f>
        <v>12.78</v>
      </c>
      <c r="AW72" s="164">
        <v>616</v>
      </c>
      <c r="AX72" s="41">
        <f>ROUND((AW72/12)*CUR_BASE_FUEL,2)</f>
        <v>1.73</v>
      </c>
      <c r="AY72" s="41">
        <f>ROUND((AW72/12)*PRO_BASE_FUEL,2)</f>
        <v>1.73</v>
      </c>
    </row>
    <row r="73" spans="3:51">
      <c r="C73" s="42"/>
      <c r="F73" s="45"/>
      <c r="H73" s="45"/>
      <c r="I73" s="45"/>
      <c r="J73" s="326"/>
      <c r="K73" s="326"/>
      <c r="L73" s="45"/>
      <c r="M73" s="45"/>
      <c r="N73" s="45"/>
      <c r="O73" s="45"/>
      <c r="P73" s="45"/>
      <c r="Q73" s="45"/>
      <c r="R73" s="45"/>
      <c r="T73" s="41">
        <v>5</v>
      </c>
      <c r="V73" s="48" t="s">
        <v>87</v>
      </c>
      <c r="Y73" s="3">
        <f>F23</f>
        <v>139</v>
      </c>
      <c r="Z73" s="3"/>
      <c r="AA73" s="3">
        <f>H23</f>
        <v>9105</v>
      </c>
      <c r="AB73" s="3"/>
      <c r="AC73" s="56">
        <v>11.56</v>
      </c>
      <c r="AD73" s="5"/>
      <c r="AE73" s="3">
        <f>ROUND((Y73*AC73),0)</f>
        <v>1607</v>
      </c>
      <c r="AF73" s="3"/>
      <c r="AG73" s="103">
        <f>ROUND((AE73/AE$95)*100,1)</f>
        <v>1.7</v>
      </c>
      <c r="AH73" s="4"/>
      <c r="AI73" s="3">
        <f>L23-AE73</f>
        <v>229</v>
      </c>
      <c r="AJ73" s="3"/>
      <c r="AK73" s="103">
        <v>0</v>
      </c>
      <c r="AL73" s="6"/>
      <c r="AM73" s="3">
        <f>ROUND($AM$95/$AA$95*AA73,0)</f>
        <v>32</v>
      </c>
      <c r="AN73" s="3"/>
      <c r="AO73" s="3">
        <f>AE73+AM73</f>
        <v>1639</v>
      </c>
      <c r="AP73" s="3"/>
      <c r="AQ73" s="103">
        <v>0</v>
      </c>
      <c r="AU73" s="56">
        <f>AC73-AX73</f>
        <v>9.3500000000000014</v>
      </c>
      <c r="AW73" s="45">
        <v>786</v>
      </c>
      <c r="AX73" s="41">
        <f>ROUND((AW73/12)*CUR_BASE_FUEL,2)</f>
        <v>2.21</v>
      </c>
      <c r="AY73" s="41">
        <f>ROUND((AW73/12)*PRO_BASE_FUEL,2)</f>
        <v>2.21</v>
      </c>
    </row>
    <row r="74" spans="3:51">
      <c r="C74" s="42"/>
      <c r="F74" s="45"/>
      <c r="H74" s="164"/>
      <c r="I74" s="164"/>
      <c r="J74" s="132"/>
      <c r="K74" s="132"/>
      <c r="L74" s="45"/>
      <c r="M74" s="45"/>
      <c r="N74" s="46"/>
      <c r="O74" s="46"/>
      <c r="P74" s="45"/>
      <c r="Q74" s="45"/>
      <c r="R74" s="45"/>
      <c r="T74" s="41">
        <v>6</v>
      </c>
      <c r="V74" s="310" t="s">
        <v>221</v>
      </c>
      <c r="Y74" s="3"/>
      <c r="Z74" s="3"/>
      <c r="AA74" s="3"/>
      <c r="AB74" s="3"/>
      <c r="AC74" s="56"/>
      <c r="AD74" s="5"/>
      <c r="AE74" s="3"/>
      <c r="AF74" s="3"/>
      <c r="AG74" s="103"/>
      <c r="AH74" s="4"/>
      <c r="AI74" s="3"/>
      <c r="AJ74" s="3"/>
      <c r="AK74" s="103"/>
      <c r="AL74" s="6"/>
      <c r="AM74" s="3"/>
      <c r="AN74" s="3"/>
      <c r="AO74" s="3"/>
      <c r="AP74" s="3"/>
      <c r="AQ74" s="103"/>
      <c r="AW74" s="45"/>
    </row>
    <row r="75" spans="3:51">
      <c r="F75" s="45"/>
      <c r="H75" s="45"/>
      <c r="I75" s="45"/>
      <c r="J75" s="326"/>
      <c r="K75" s="326"/>
      <c r="L75" s="50"/>
      <c r="M75" s="50"/>
      <c r="N75" s="50"/>
      <c r="O75" s="50"/>
      <c r="P75" s="50"/>
      <c r="Q75" s="50"/>
      <c r="R75" s="50"/>
      <c r="T75" s="41">
        <v>7</v>
      </c>
      <c r="V75" s="48" t="s">
        <v>222</v>
      </c>
      <c r="Y75" s="3"/>
      <c r="Z75" s="1"/>
      <c r="AA75" s="1"/>
      <c r="AB75" s="1"/>
      <c r="AC75" s="56"/>
      <c r="AD75" s="5"/>
      <c r="AE75" s="1"/>
      <c r="AF75" s="1"/>
      <c r="AG75" s="103"/>
      <c r="AH75" s="1"/>
      <c r="AI75" s="1"/>
      <c r="AJ75" s="1"/>
      <c r="AK75" s="103"/>
      <c r="AL75" s="1"/>
      <c r="AM75" s="1"/>
      <c r="AN75" s="1"/>
      <c r="AO75" s="1"/>
      <c r="AP75" s="1"/>
      <c r="AQ75" s="103"/>
      <c r="AW75" s="45"/>
    </row>
    <row r="76" spans="3:51">
      <c r="C76" s="42"/>
      <c r="F76" s="45"/>
      <c r="H76" s="45"/>
      <c r="I76" s="45"/>
      <c r="J76" s="47"/>
      <c r="K76" s="47"/>
      <c r="L76" s="45"/>
      <c r="M76" s="45"/>
      <c r="N76" s="46"/>
      <c r="O76" s="46"/>
      <c r="P76" s="45"/>
      <c r="Q76" s="45"/>
      <c r="R76" s="45"/>
      <c r="T76" s="41">
        <v>8</v>
      </c>
      <c r="V76" s="48" t="s">
        <v>223</v>
      </c>
      <c r="Y76" s="3">
        <f>F26</f>
        <v>348</v>
      </c>
      <c r="Z76" s="3"/>
      <c r="AA76" s="3">
        <f>H26</f>
        <v>35235</v>
      </c>
      <c r="AB76" s="3"/>
      <c r="AC76" s="132">
        <v>26.51</v>
      </c>
      <c r="AD76" s="342"/>
      <c r="AE76" s="3">
        <f>ROUND((Y76*AC76),0)</f>
        <v>9225</v>
      </c>
      <c r="AF76" s="3"/>
      <c r="AG76" s="103">
        <f>ROUND((AE76/AE$95)*100,1)</f>
        <v>9.6</v>
      </c>
      <c r="AH76" s="4"/>
      <c r="AI76" s="3">
        <f>L26-AE76</f>
        <v>1316</v>
      </c>
      <c r="AJ76" s="3"/>
      <c r="AK76" s="103">
        <f>ROUND((AI76/AE76)*100,1)</f>
        <v>14.3</v>
      </c>
      <c r="AL76" s="6"/>
      <c r="AM76" s="3">
        <f>ROUND($AM$95/$AA$95*AA76,0)</f>
        <v>123</v>
      </c>
      <c r="AN76" s="3"/>
      <c r="AO76" s="3">
        <f>AE76+AM76</f>
        <v>9348</v>
      </c>
      <c r="AP76" s="3"/>
      <c r="AQ76" s="103">
        <f>ROUND((AI76/AO76)*100,1)</f>
        <v>14.1</v>
      </c>
      <c r="AU76" s="56">
        <f>AC76-AX76</f>
        <v>23.090000000000003</v>
      </c>
      <c r="AW76" s="164">
        <v>1215</v>
      </c>
      <c r="AX76" s="41">
        <f>ROUND((AW76/12)*CUR_BASE_FUEL,2)</f>
        <v>3.42</v>
      </c>
      <c r="AY76" s="41">
        <f>ROUND((AW76/12)*PRO_BASE_FUEL,2)</f>
        <v>3.42</v>
      </c>
    </row>
    <row r="77" spans="3:51">
      <c r="C77" s="42"/>
      <c r="F77" s="45"/>
      <c r="H77" s="45"/>
      <c r="I77" s="45"/>
      <c r="J77" s="47"/>
      <c r="K77" s="47"/>
      <c r="L77" s="45"/>
      <c r="M77" s="45"/>
      <c r="N77" s="46"/>
      <c r="O77" s="46"/>
      <c r="P77" s="45"/>
      <c r="Q77" s="45"/>
      <c r="R77" s="45"/>
      <c r="T77" s="41">
        <v>9</v>
      </c>
      <c r="V77" s="310" t="s">
        <v>224</v>
      </c>
      <c r="Y77" s="3"/>
      <c r="Z77" s="3"/>
      <c r="AA77" s="3"/>
      <c r="AB77" s="3"/>
      <c r="AC77" s="56"/>
      <c r="AD77" s="5"/>
      <c r="AE77" s="1"/>
      <c r="AF77" s="1"/>
      <c r="AG77" s="103"/>
      <c r="AH77" s="4"/>
      <c r="AI77" s="3"/>
      <c r="AJ77" s="3"/>
      <c r="AK77" s="103"/>
      <c r="AL77" s="6"/>
      <c r="AM77" s="3"/>
      <c r="AN77" s="3"/>
      <c r="AO77" s="3"/>
      <c r="AP77" s="3"/>
      <c r="AQ77" s="103"/>
      <c r="AW77" s="164"/>
    </row>
    <row r="78" spans="3:51">
      <c r="C78" s="42"/>
      <c r="F78" s="45"/>
      <c r="H78" s="164"/>
      <c r="I78" s="164"/>
      <c r="J78" s="331"/>
      <c r="K78" s="331"/>
      <c r="L78" s="45"/>
      <c r="M78" s="45"/>
      <c r="N78" s="46"/>
      <c r="O78" s="46"/>
      <c r="P78" s="45"/>
      <c r="Q78" s="45"/>
      <c r="R78" s="45"/>
      <c r="T78" s="41">
        <v>10</v>
      </c>
      <c r="V78" s="42" t="s">
        <v>225</v>
      </c>
      <c r="Y78" s="3">
        <f>F28</f>
        <v>372</v>
      </c>
      <c r="Z78" s="3"/>
      <c r="AA78" s="3">
        <f>H28</f>
        <v>24366</v>
      </c>
      <c r="AB78" s="3"/>
      <c r="AC78" s="132">
        <v>11.46</v>
      </c>
      <c r="AD78" s="342"/>
      <c r="AE78" s="3">
        <f>ROUND((Y78*AC78),0)</f>
        <v>4263</v>
      </c>
      <c r="AF78" s="3"/>
      <c r="AG78" s="103">
        <f>ROUND((AE78/AE$95)*100,1)</f>
        <v>4.4000000000000004</v>
      </c>
      <c r="AH78" s="4"/>
      <c r="AI78" s="3">
        <f>L28-AE78</f>
        <v>606</v>
      </c>
      <c r="AJ78" s="3"/>
      <c r="AK78" s="103">
        <f>ROUND((AI78/AE78)*100,1)</f>
        <v>14.2</v>
      </c>
      <c r="AL78" s="6"/>
      <c r="AM78" s="3">
        <f>ROUND($AM$95/$AA$95*AA78,0)</f>
        <v>85</v>
      </c>
      <c r="AN78" s="3"/>
      <c r="AO78" s="3">
        <f>AE78+AM78</f>
        <v>4348</v>
      </c>
      <c r="AP78" s="3"/>
      <c r="AQ78" s="103">
        <f>ROUND((AI78/AO78)*100,1)</f>
        <v>13.9</v>
      </c>
      <c r="AU78" s="56">
        <f>AC78-AX78</f>
        <v>9.25</v>
      </c>
      <c r="AW78" s="45">
        <v>786</v>
      </c>
      <c r="AX78" s="41">
        <f>ROUND((AW78/12)*CUR_BASE_FUEL,2)</f>
        <v>2.21</v>
      </c>
      <c r="AY78" s="41">
        <f>ROUND((AW78/12)*PRO_BASE_FUEL,2)</f>
        <v>2.21</v>
      </c>
    </row>
    <row r="79" spans="3:51">
      <c r="F79" s="50"/>
      <c r="H79" s="50"/>
      <c r="I79" s="50"/>
      <c r="J79" s="326"/>
      <c r="K79" s="326"/>
      <c r="L79" s="50"/>
      <c r="M79" s="50"/>
      <c r="N79" s="50"/>
      <c r="O79" s="50"/>
      <c r="P79" s="50"/>
      <c r="Q79" s="50"/>
      <c r="R79" s="50"/>
      <c r="T79" s="41">
        <v>11</v>
      </c>
      <c r="V79" s="42" t="s">
        <v>226</v>
      </c>
      <c r="Y79" s="3">
        <f>F29</f>
        <v>6746</v>
      </c>
      <c r="Z79" s="3"/>
      <c r="AA79" s="3">
        <f>H29</f>
        <v>254662</v>
      </c>
      <c r="AB79" s="3"/>
      <c r="AC79" s="56">
        <v>10.58</v>
      </c>
      <c r="AD79" s="5"/>
      <c r="AE79" s="3">
        <f>ROUND((Y79*AC79),0)</f>
        <v>71373</v>
      </c>
      <c r="AF79" s="3"/>
      <c r="AG79" s="103">
        <f>ROUND((AE79/AE$95)*100,1)-0.1</f>
        <v>74.300000000000011</v>
      </c>
      <c r="AH79" s="4"/>
      <c r="AI79" s="3">
        <f>L29-AE79</f>
        <v>10186</v>
      </c>
      <c r="AJ79" s="3"/>
      <c r="AK79" s="103">
        <f>ROUND((AI79/AE79)*100,1)</f>
        <v>14.3</v>
      </c>
      <c r="AL79" s="6"/>
      <c r="AM79" s="3">
        <f>ROUND($AM$95/$AA$95*AA79,0)-1</f>
        <v>887</v>
      </c>
      <c r="AN79" s="3"/>
      <c r="AO79" s="3">
        <f>AE79+AM79</f>
        <v>72260</v>
      </c>
      <c r="AP79" s="3"/>
      <c r="AQ79" s="103">
        <f>ROUND((AI79/AO79)*100,1)</f>
        <v>14.1</v>
      </c>
      <c r="AU79" s="56">
        <f>AC79-AX79</f>
        <v>9.3000000000000007</v>
      </c>
      <c r="AW79" s="45">
        <v>453</v>
      </c>
      <c r="AX79" s="41">
        <f>ROUND((AW79/12)*CUR_BASE_FUEL,2)</f>
        <v>1.28</v>
      </c>
      <c r="AY79" s="41">
        <f>ROUND((AW79/12)*PRO_BASE_FUEL,2)</f>
        <v>1.28</v>
      </c>
    </row>
    <row r="80" spans="3:51">
      <c r="F80" s="50"/>
      <c r="H80" s="50"/>
      <c r="I80" s="50"/>
      <c r="J80" s="326"/>
      <c r="K80" s="326"/>
      <c r="L80" s="50"/>
      <c r="M80" s="50"/>
      <c r="N80" s="50"/>
      <c r="O80" s="50"/>
      <c r="P80" s="50"/>
      <c r="Q80" s="50"/>
      <c r="R80" s="50"/>
      <c r="S80" s="45"/>
      <c r="T80" s="41">
        <v>12</v>
      </c>
      <c r="V80" s="48" t="s">
        <v>217</v>
      </c>
      <c r="Y80" s="3">
        <f>F30</f>
        <v>408</v>
      </c>
      <c r="Z80" s="1"/>
      <c r="AA80" s="3">
        <f>H30</f>
        <v>65076</v>
      </c>
      <c r="AB80" s="1"/>
      <c r="AC80" s="56">
        <v>17.87</v>
      </c>
      <c r="AD80" s="5"/>
      <c r="AE80" s="3">
        <f>ROUND((Y80*AC80),0)</f>
        <v>7291</v>
      </c>
      <c r="AF80" s="1"/>
      <c r="AG80" s="103">
        <f>ROUND((AE80/AE$95)*100,1)</f>
        <v>7.6</v>
      </c>
      <c r="AH80" s="1"/>
      <c r="AI80" s="3">
        <f>L30-AE80</f>
        <v>1040</v>
      </c>
      <c r="AJ80" s="1"/>
      <c r="AK80" s="104">
        <f>ROUND((AI80/AE80)*100,1)</f>
        <v>14.3</v>
      </c>
      <c r="AL80" s="1"/>
      <c r="AM80" s="66">
        <f>ROUND($AM$95/$AA$95*AA80,0)</f>
        <v>227</v>
      </c>
      <c r="AN80" s="1"/>
      <c r="AO80" s="3">
        <f>AE80+AM80</f>
        <v>7518</v>
      </c>
      <c r="AP80" s="1"/>
      <c r="AQ80" s="104">
        <f>ROUND((AI80/AO80)*100,1)</f>
        <v>13.8</v>
      </c>
      <c r="AU80" s="56">
        <f>AC80-AX80</f>
        <v>12.48</v>
      </c>
      <c r="AW80" s="45">
        <v>1914</v>
      </c>
      <c r="AX80" s="41">
        <f>ROUND((AW80/12)*CUR_BASE_FUEL,2)</f>
        <v>5.39</v>
      </c>
      <c r="AY80" s="41">
        <f>ROUND((AW80/12)*PRO_BASE_FUEL,2)</f>
        <v>5.39</v>
      </c>
    </row>
    <row r="81" spans="3:51" ht="20.100000000000001" customHeight="1">
      <c r="C81" s="42"/>
      <c r="F81" s="164"/>
      <c r="H81" s="164"/>
      <c r="I81" s="164"/>
      <c r="J81" s="316"/>
      <c r="K81" s="316"/>
      <c r="L81" s="45"/>
      <c r="M81" s="45"/>
      <c r="N81" s="46"/>
      <c r="O81" s="46"/>
      <c r="R81" s="45"/>
      <c r="T81" s="41">
        <v>13</v>
      </c>
      <c r="V81" s="133" t="s">
        <v>90</v>
      </c>
      <c r="Y81" s="72">
        <f>SUM(Y72:Y80)</f>
        <v>8013</v>
      </c>
      <c r="Z81" s="1"/>
      <c r="AA81" s="72">
        <f>SUM(AA72:AA80)</f>
        <v>388444</v>
      </c>
      <c r="AB81" s="3"/>
      <c r="AC81" s="56"/>
      <c r="AD81" s="5"/>
      <c r="AE81" s="72">
        <f>SUM(AE72:AE80)</f>
        <v>93759</v>
      </c>
      <c r="AF81" s="3"/>
      <c r="AG81" s="105">
        <f>SUM(AG72:AG80)</f>
        <v>97.600000000000009</v>
      </c>
      <c r="AH81" s="6"/>
      <c r="AI81" s="72">
        <f>SUM(AI72:AI80)</f>
        <v>13377</v>
      </c>
      <c r="AJ81" s="3"/>
      <c r="AK81" s="104">
        <f>ROUND((AI81/AE81)*100,1)</f>
        <v>14.3</v>
      </c>
      <c r="AL81" s="6"/>
      <c r="AM81" s="72">
        <f>ROUND($AM$95/$AA$95*AA81,0)</f>
        <v>1354</v>
      </c>
      <c r="AN81" s="3"/>
      <c r="AO81" s="72">
        <f>AE81+AM81</f>
        <v>95113</v>
      </c>
      <c r="AP81" s="3"/>
      <c r="AQ81" s="104">
        <f>ROUND((AI81/AO81)*100,1)</f>
        <v>14.1</v>
      </c>
      <c r="AW81" s="45"/>
    </row>
    <row r="82" spans="3:51">
      <c r="F82" s="50"/>
      <c r="H82" s="45"/>
      <c r="I82" s="45"/>
      <c r="J82" s="326"/>
      <c r="K82" s="326"/>
      <c r="L82" s="50"/>
      <c r="M82" s="50"/>
      <c r="N82" s="50"/>
      <c r="O82" s="50"/>
      <c r="P82" s="50"/>
      <c r="Q82" s="50"/>
      <c r="R82" s="50"/>
      <c r="Y82" s="1"/>
      <c r="Z82" s="1"/>
      <c r="AA82" s="1"/>
      <c r="AB82" s="1"/>
      <c r="AC82" s="56"/>
      <c r="AD82" s="5"/>
      <c r="AE82" s="1"/>
      <c r="AF82" s="1"/>
      <c r="AG82" s="103"/>
      <c r="AH82" s="1"/>
      <c r="AI82" s="1"/>
      <c r="AJ82" s="1"/>
      <c r="AK82" s="103"/>
      <c r="AL82" s="1"/>
      <c r="AM82" s="1"/>
      <c r="AN82" s="1"/>
      <c r="AO82" s="1"/>
      <c r="AP82" s="1"/>
      <c r="AQ82" s="103"/>
    </row>
    <row r="83" spans="3:51">
      <c r="F83" s="50"/>
      <c r="H83" s="45"/>
      <c r="I83" s="45"/>
      <c r="J83" s="326"/>
      <c r="K83" s="326"/>
      <c r="L83" s="50"/>
      <c r="M83" s="50"/>
      <c r="N83" s="50"/>
      <c r="O83" s="50"/>
      <c r="P83" s="50"/>
      <c r="Q83" s="50"/>
      <c r="R83" s="50"/>
      <c r="T83" s="41">
        <v>14</v>
      </c>
      <c r="V83" s="310" t="s">
        <v>227</v>
      </c>
      <c r="Y83" s="1"/>
      <c r="Z83" s="1"/>
      <c r="AA83" s="1"/>
      <c r="AB83" s="1"/>
      <c r="AC83" s="56"/>
      <c r="AD83" s="5"/>
      <c r="AE83" s="1"/>
      <c r="AF83" s="1"/>
      <c r="AG83" s="103"/>
      <c r="AH83" s="1"/>
      <c r="AI83" s="1"/>
      <c r="AJ83" s="1"/>
      <c r="AK83" s="103"/>
      <c r="AL83" s="1"/>
      <c r="AM83" s="1"/>
      <c r="AN83" s="1"/>
      <c r="AO83" s="1"/>
      <c r="AP83" s="1"/>
      <c r="AQ83" s="103"/>
    </row>
    <row r="84" spans="3:51">
      <c r="F84" s="50"/>
      <c r="H84" s="45"/>
      <c r="I84" s="45"/>
      <c r="J84" s="326"/>
      <c r="K84" s="326"/>
      <c r="L84" s="50"/>
      <c r="M84" s="50"/>
      <c r="N84" s="50"/>
      <c r="O84" s="50"/>
      <c r="P84" s="50"/>
      <c r="Q84" s="50"/>
      <c r="R84" s="50"/>
      <c r="T84" s="41">
        <v>15</v>
      </c>
      <c r="V84" s="310" t="s">
        <v>220</v>
      </c>
      <c r="Y84" s="1"/>
      <c r="Z84" s="1"/>
      <c r="AA84" s="1"/>
      <c r="AB84" s="1"/>
      <c r="AC84" s="56"/>
      <c r="AD84" s="5"/>
      <c r="AE84" s="1"/>
      <c r="AF84" s="1"/>
      <c r="AG84" s="103"/>
      <c r="AH84" s="1"/>
      <c r="AI84" s="1"/>
      <c r="AJ84" s="1"/>
      <c r="AK84" s="103"/>
      <c r="AL84" s="1"/>
      <c r="AM84" s="1"/>
      <c r="AN84" s="1"/>
      <c r="AO84" s="1"/>
      <c r="AP84" s="1"/>
      <c r="AQ84" s="103"/>
    </row>
    <row r="85" spans="3:51">
      <c r="F85" s="50"/>
      <c r="H85" s="45"/>
      <c r="I85" s="45"/>
      <c r="J85" s="326"/>
      <c r="K85" s="326"/>
      <c r="L85" s="50"/>
      <c r="M85" s="50"/>
      <c r="N85" s="50"/>
      <c r="O85" s="50"/>
      <c r="P85" s="50"/>
      <c r="Q85" s="50"/>
      <c r="R85" s="50"/>
      <c r="T85" s="41">
        <v>16</v>
      </c>
      <c r="V85" s="48" t="s">
        <v>88</v>
      </c>
      <c r="Y85" s="3">
        <f>F35</f>
        <v>0</v>
      </c>
      <c r="Z85" s="1"/>
      <c r="AA85" s="3">
        <f>H35</f>
        <v>0</v>
      </c>
      <c r="AB85" s="1"/>
      <c r="AC85" s="56">
        <v>8.7899999999999991</v>
      </c>
      <c r="AD85" s="5"/>
      <c r="AE85" s="3">
        <f>ROUND((Y85*AC85),0)</f>
        <v>0</v>
      </c>
      <c r="AF85" s="1"/>
      <c r="AG85" s="103">
        <f>ROUND((AE85/AE$95)*100,1)</f>
        <v>0</v>
      </c>
      <c r="AH85" s="1"/>
      <c r="AI85" s="3">
        <f>L35-AE85</f>
        <v>0</v>
      </c>
      <c r="AJ85" s="1"/>
      <c r="AK85" s="103">
        <v>0</v>
      </c>
      <c r="AL85" s="1"/>
      <c r="AM85" s="3">
        <f>ROUND($AM$95/$AA$95*AA85,0)</f>
        <v>0</v>
      </c>
      <c r="AN85" s="1"/>
      <c r="AO85" s="3">
        <f>AE85+AM85</f>
        <v>0</v>
      </c>
      <c r="AP85" s="1"/>
      <c r="AQ85" s="103">
        <v>0</v>
      </c>
      <c r="AU85" s="56">
        <f>AC85-AX85</f>
        <v>7.0559599999999989</v>
      </c>
      <c r="AW85" s="164">
        <v>616</v>
      </c>
      <c r="AX85" s="41">
        <f>ROUND((AW85/12)*CUR_BASE_FUEL,6)</f>
        <v>1.73404</v>
      </c>
      <c r="AY85" s="41">
        <f>ROUND((AW85/12)*PRO_BASE_FUEL,6)</f>
        <v>1.73404</v>
      </c>
    </row>
    <row r="86" spans="3:51">
      <c r="C86" s="42"/>
      <c r="F86" s="164"/>
      <c r="H86" s="164"/>
      <c r="I86" s="164"/>
      <c r="J86" s="336"/>
      <c r="K86" s="336"/>
      <c r="L86" s="45"/>
      <c r="M86" s="45"/>
      <c r="N86" s="46"/>
      <c r="O86" s="46"/>
      <c r="P86" s="45"/>
      <c r="Q86" s="45"/>
      <c r="R86" s="45"/>
      <c r="S86" s="45"/>
      <c r="T86" s="41">
        <v>17</v>
      </c>
      <c r="V86" s="48" t="s">
        <v>87</v>
      </c>
      <c r="Y86" s="3">
        <f>F36</f>
        <v>60</v>
      </c>
      <c r="Z86" s="1"/>
      <c r="AA86" s="3">
        <f>H36</f>
        <v>3930</v>
      </c>
      <c r="AB86" s="1"/>
      <c r="AC86" s="56">
        <v>11.18</v>
      </c>
      <c r="AD86" s="5"/>
      <c r="AE86" s="3">
        <f>ROUND((Y86*AC86),0)</f>
        <v>671</v>
      </c>
      <c r="AF86" s="1"/>
      <c r="AG86" s="104">
        <f>ROUND((AE86/AE$95)*100,1)</f>
        <v>0.7</v>
      </c>
      <c r="AH86" s="1"/>
      <c r="AI86" s="3">
        <f>L36-AE86</f>
        <v>95</v>
      </c>
      <c r="AJ86" s="1"/>
      <c r="AK86" s="104">
        <v>0</v>
      </c>
      <c r="AL86" s="1"/>
      <c r="AM86" s="66">
        <f>ROUND($AM$95/$AA$95*AA86,0)</f>
        <v>14</v>
      </c>
      <c r="AN86" s="1"/>
      <c r="AO86" s="3">
        <f>AE86+AM86</f>
        <v>685</v>
      </c>
      <c r="AP86" s="1"/>
      <c r="AQ86" s="104">
        <v>0</v>
      </c>
      <c r="AU86" s="56">
        <f>AC86-AX86</f>
        <v>8.9674099999999992</v>
      </c>
      <c r="AW86" s="164">
        <v>786</v>
      </c>
      <c r="AX86" s="41">
        <f>ROUND((AW86/12)*CUR_BASE_FUEL,6)</f>
        <v>2.2125900000000001</v>
      </c>
      <c r="AY86" s="41">
        <f>ROUND((AW86/12)*PRO_BASE_FUEL,6)</f>
        <v>2.2125900000000001</v>
      </c>
    </row>
    <row r="87" spans="3:51" ht="20.100000000000001" customHeight="1">
      <c r="C87" s="42"/>
      <c r="F87" s="164"/>
      <c r="H87" s="164"/>
      <c r="I87" s="164"/>
      <c r="J87" s="316"/>
      <c r="K87" s="316"/>
      <c r="L87" s="45"/>
      <c r="M87" s="45"/>
      <c r="N87" s="46"/>
      <c r="O87" s="46"/>
      <c r="P87" s="45"/>
      <c r="Q87" s="45"/>
      <c r="R87" s="45"/>
      <c r="T87" s="41">
        <v>18</v>
      </c>
      <c r="V87" s="310" t="s">
        <v>228</v>
      </c>
      <c r="Y87" s="72">
        <f>SUM(Y85:Y86)</f>
        <v>60</v>
      </c>
      <c r="Z87" s="1"/>
      <c r="AA87" s="72">
        <f>SUM(AA85:AA86)</f>
        <v>3930</v>
      </c>
      <c r="AB87" s="3"/>
      <c r="AC87" s="342"/>
      <c r="AD87" s="342"/>
      <c r="AE87" s="72">
        <f>SUM(AE85:AE86)</f>
        <v>671</v>
      </c>
      <c r="AF87" s="3"/>
      <c r="AG87" s="103">
        <f>ROUND((AE87/AE$95)*100,1)</f>
        <v>0.7</v>
      </c>
      <c r="AH87" s="4"/>
      <c r="AI87" s="72">
        <f>SUM(AI85:AI86)</f>
        <v>95</v>
      </c>
      <c r="AJ87" s="3"/>
      <c r="AK87" s="104">
        <f>ROUND((AI87/AE87)*100,1)</f>
        <v>14.2</v>
      </c>
      <c r="AL87" s="6"/>
      <c r="AM87" s="72">
        <f>ROUND($AM$95/$AA$95*AA87,0)</f>
        <v>14</v>
      </c>
      <c r="AN87" s="3"/>
      <c r="AO87" s="72">
        <f>SUM(AO85:AO86)</f>
        <v>685</v>
      </c>
      <c r="AP87" s="3"/>
      <c r="AQ87" s="104">
        <f>ROUND((AI87/AO87)*100,1)</f>
        <v>13.9</v>
      </c>
      <c r="AW87" s="3"/>
    </row>
    <row r="88" spans="3:51" ht="20.100000000000001" customHeight="1">
      <c r="C88" s="42"/>
      <c r="F88" s="164"/>
      <c r="H88" s="164"/>
      <c r="I88" s="164"/>
      <c r="J88" s="316"/>
      <c r="K88" s="316"/>
      <c r="L88" s="45"/>
      <c r="M88" s="45"/>
      <c r="N88" s="46"/>
      <c r="O88" s="46"/>
      <c r="P88" s="45"/>
      <c r="Q88" s="45"/>
      <c r="R88" s="45"/>
      <c r="T88" s="41">
        <v>19</v>
      </c>
      <c r="V88" s="310" t="s">
        <v>468</v>
      </c>
      <c r="Y88" s="72">
        <f>Y87+Y81</f>
        <v>8073</v>
      </c>
      <c r="Z88" s="1"/>
      <c r="AA88" s="72">
        <f>AA87+AA81</f>
        <v>392374</v>
      </c>
      <c r="AB88" s="3"/>
      <c r="AC88" s="342"/>
      <c r="AD88" s="342"/>
      <c r="AE88" s="72">
        <f>AE87+AE81</f>
        <v>94430</v>
      </c>
      <c r="AF88" s="3"/>
      <c r="AG88" s="105">
        <f>ROUND((AE88/AE$95)*100,1)</f>
        <v>98.4</v>
      </c>
      <c r="AH88" s="4"/>
      <c r="AI88" s="72">
        <f>AI87+AI81</f>
        <v>13472</v>
      </c>
      <c r="AJ88" s="3"/>
      <c r="AK88" s="105">
        <f>ROUND((AI88/AE88)*100,1)</f>
        <v>14.3</v>
      </c>
      <c r="AL88" s="6"/>
      <c r="AM88" s="72">
        <f>AM87+AM81</f>
        <v>1368</v>
      </c>
      <c r="AN88" s="3"/>
      <c r="AO88" s="72">
        <f>AO87+AO81</f>
        <v>95798</v>
      </c>
      <c r="AP88" s="3"/>
      <c r="AQ88" s="104">
        <f>ROUND((AI88/AO88)*100,1)</f>
        <v>14.1</v>
      </c>
      <c r="AW88" s="3"/>
    </row>
    <row r="89" spans="3:51" ht="15.75" customHeight="1">
      <c r="C89" s="42"/>
      <c r="F89" s="164"/>
      <c r="H89" s="164"/>
      <c r="I89" s="164"/>
      <c r="J89" s="316"/>
      <c r="K89" s="316"/>
      <c r="L89" s="45"/>
      <c r="M89" s="45"/>
      <c r="N89" s="46"/>
      <c r="O89" s="46"/>
      <c r="P89" s="45"/>
      <c r="Q89" s="45"/>
      <c r="R89" s="45"/>
      <c r="V89" s="310"/>
      <c r="Y89" s="3"/>
      <c r="Z89" s="1"/>
      <c r="AA89" s="3"/>
      <c r="AB89" s="3"/>
      <c r="AC89" s="342"/>
      <c r="AD89" s="342"/>
      <c r="AE89" s="3"/>
      <c r="AF89" s="3"/>
      <c r="AG89" s="103"/>
      <c r="AH89" s="4"/>
      <c r="AI89" s="3"/>
      <c r="AJ89" s="3"/>
      <c r="AK89" s="103"/>
      <c r="AL89" s="6"/>
      <c r="AM89" s="3"/>
      <c r="AN89" s="3"/>
      <c r="AO89" s="3"/>
      <c r="AP89" s="3"/>
      <c r="AQ89" s="103"/>
      <c r="AW89" s="3"/>
    </row>
    <row r="90" spans="3:51" ht="15.75" customHeight="1">
      <c r="C90" s="42"/>
      <c r="F90" s="164"/>
      <c r="H90" s="164"/>
      <c r="I90" s="164"/>
      <c r="J90" s="316"/>
      <c r="K90" s="316"/>
      <c r="L90" s="45"/>
      <c r="M90" s="45"/>
      <c r="N90" s="46"/>
      <c r="O90" s="46"/>
      <c r="P90" s="45"/>
      <c r="Q90" s="45"/>
      <c r="R90" s="45"/>
      <c r="T90" s="41">
        <f>A40</f>
        <v>20</v>
      </c>
      <c r="V90" s="133" t="s">
        <v>467</v>
      </c>
      <c r="Y90" s="3"/>
      <c r="Z90" s="1"/>
      <c r="AA90" s="3"/>
      <c r="AB90" s="3"/>
      <c r="AC90" s="342"/>
      <c r="AD90" s="342"/>
      <c r="AE90" s="3"/>
      <c r="AF90" s="3"/>
      <c r="AG90" s="103"/>
      <c r="AH90" s="4"/>
      <c r="AI90" s="3"/>
      <c r="AJ90" s="3"/>
      <c r="AK90" s="103"/>
      <c r="AL90" s="6"/>
      <c r="AM90" s="3"/>
      <c r="AN90" s="3"/>
      <c r="AO90" s="3"/>
      <c r="AP90" s="3"/>
      <c r="AQ90" s="103"/>
      <c r="AW90" s="3"/>
    </row>
    <row r="91" spans="3:51" ht="15.75" customHeight="1">
      <c r="C91" s="42"/>
      <c r="F91" s="164"/>
      <c r="H91" s="164"/>
      <c r="I91" s="164"/>
      <c r="J91" s="316"/>
      <c r="K91" s="316"/>
      <c r="L91" s="45"/>
      <c r="M91" s="45"/>
      <c r="N91" s="46"/>
      <c r="O91" s="46"/>
      <c r="P91" s="45"/>
      <c r="Q91" s="45"/>
      <c r="R91" s="45"/>
      <c r="T91" s="41">
        <f>A41</f>
        <v>21</v>
      </c>
      <c r="V91" s="128" t="str">
        <f>C41</f>
        <v>ENVIRONMENTAL SURCHARGE MECHANISM RIDER (ESM)</v>
      </c>
      <c r="Y91" s="3"/>
      <c r="Z91" s="1"/>
      <c r="AA91" s="3"/>
      <c r="AB91" s="3"/>
      <c r="AC91" s="387">
        <f>CUR_ESM_NonRes</f>
        <v>6.4941608437496566E-3</v>
      </c>
      <c r="AD91" s="342"/>
      <c r="AE91" s="3">
        <f>ROUND((AO88-(CUR_BASE_FUEL*AA88)+AO92)*AC91,0)</f>
        <v>542</v>
      </c>
      <c r="AF91" s="3"/>
      <c r="AG91" s="103">
        <f>ROUND((AE91/AE$95)*100,1)</f>
        <v>0.6</v>
      </c>
      <c r="AH91" s="4"/>
      <c r="AI91" s="3">
        <f>L41-AE91</f>
        <v>-12</v>
      </c>
      <c r="AJ91" s="3"/>
      <c r="AK91" s="103">
        <f>IF(AE91=0,0,ROUND((AI91/AE91)*100,1))</f>
        <v>-2.2000000000000002</v>
      </c>
      <c r="AL91" s="6"/>
      <c r="AM91" s="3"/>
      <c r="AN91" s="3"/>
      <c r="AO91" s="3">
        <f>AE91+AM91</f>
        <v>542</v>
      </c>
      <c r="AP91" s="3"/>
      <c r="AQ91" s="103">
        <f>IF(AO91=0,0,ROUND((AI91/AO91)*100,1))</f>
        <v>-2.2000000000000002</v>
      </c>
      <c r="AW91" s="3"/>
    </row>
    <row r="92" spans="3:51" ht="15.75" customHeight="1">
      <c r="C92" s="42"/>
      <c r="F92" s="164"/>
      <c r="H92" s="164"/>
      <c r="I92" s="164"/>
      <c r="J92" s="316"/>
      <c r="K92" s="316"/>
      <c r="L92" s="45"/>
      <c r="M92" s="45"/>
      <c r="N92" s="46"/>
      <c r="O92" s="46"/>
      <c r="P92" s="45"/>
      <c r="Q92" s="45"/>
      <c r="R92" s="45"/>
      <c r="T92" s="41">
        <f>A42</f>
        <v>22</v>
      </c>
      <c r="V92" s="128" t="str">
        <f>C42</f>
        <v>PROFIT SHARING MECHANISM (PSM)</v>
      </c>
      <c r="Y92" s="3"/>
      <c r="Z92" s="1"/>
      <c r="AA92" s="3"/>
      <c r="AB92" s="3"/>
      <c r="AC92" s="134">
        <f>RS_PSM</f>
        <v>2.4750000000000002E-3</v>
      </c>
      <c r="AD92" s="342"/>
      <c r="AE92" s="66">
        <f>ROUND($AA$88*AC92,0)</f>
        <v>971</v>
      </c>
      <c r="AF92" s="3"/>
      <c r="AG92" s="104">
        <f>ROUND((AE92/AE$95)*100,1)</f>
        <v>1</v>
      </c>
      <c r="AH92" s="4"/>
      <c r="AI92" s="3">
        <f>L42-AE92</f>
        <v>0</v>
      </c>
      <c r="AJ92" s="3"/>
      <c r="AK92" s="104">
        <f>ROUND((AI92/AE92)*100,1)</f>
        <v>0</v>
      </c>
      <c r="AL92" s="6"/>
      <c r="AM92" s="3"/>
      <c r="AN92" s="3"/>
      <c r="AO92" s="3">
        <f>AE92+AM92</f>
        <v>971</v>
      </c>
      <c r="AP92" s="3"/>
      <c r="AQ92" s="104">
        <f>ROUND((AI92/AO92)*100,1)</f>
        <v>0</v>
      </c>
      <c r="AW92" s="3"/>
    </row>
    <row r="93" spans="3:51" ht="20.100000000000001" customHeight="1">
      <c r="C93" s="42"/>
      <c r="F93" s="164"/>
      <c r="H93" s="164"/>
      <c r="I93" s="164"/>
      <c r="J93" s="316"/>
      <c r="K93" s="316"/>
      <c r="L93" s="45"/>
      <c r="M93" s="45"/>
      <c r="N93" s="46"/>
      <c r="O93" s="46"/>
      <c r="P93" s="45"/>
      <c r="Q93" s="45"/>
      <c r="R93" s="45"/>
      <c r="T93" s="41">
        <f>A43</f>
        <v>23</v>
      </c>
      <c r="V93" s="133" t="s">
        <v>463</v>
      </c>
      <c r="Y93" s="66"/>
      <c r="Z93" s="1"/>
      <c r="AA93" s="66"/>
      <c r="AB93" s="3"/>
      <c r="AC93" s="342"/>
      <c r="AD93" s="342"/>
      <c r="AE93" s="72">
        <f>SUM(AE91:AE92)</f>
        <v>1513</v>
      </c>
      <c r="AF93" s="3"/>
      <c r="AG93" s="105">
        <f>ROUND((AE93/AE$95)*100,1)</f>
        <v>1.6</v>
      </c>
      <c r="AH93" s="4"/>
      <c r="AI93" s="72">
        <f>SUM(AI91:AI92)</f>
        <v>-12</v>
      </c>
      <c r="AJ93" s="3"/>
      <c r="AK93" s="105">
        <f>ROUND((AI93/AE93)*100,1)</f>
        <v>-0.8</v>
      </c>
      <c r="AL93" s="6"/>
      <c r="AM93" s="72"/>
      <c r="AN93" s="3"/>
      <c r="AO93" s="72">
        <f>SUM(AO91:AO92)</f>
        <v>1513</v>
      </c>
      <c r="AP93" s="3"/>
      <c r="AQ93" s="104">
        <f>ROUND((AI93/AO93)*100,1)</f>
        <v>-0.8</v>
      </c>
      <c r="AW93" s="3"/>
    </row>
    <row r="94" spans="3:51" ht="15.75" customHeight="1">
      <c r="C94" s="42"/>
      <c r="F94" s="164"/>
      <c r="H94" s="164"/>
      <c r="I94" s="164"/>
      <c r="J94" s="316"/>
      <c r="K94" s="316"/>
      <c r="L94" s="45"/>
      <c r="M94" s="45"/>
      <c r="N94" s="46"/>
      <c r="O94" s="46"/>
      <c r="P94" s="45"/>
      <c r="Q94" s="45"/>
      <c r="R94" s="45"/>
      <c r="V94" s="310"/>
      <c r="Y94" s="3"/>
      <c r="Z94" s="1"/>
      <c r="AA94" s="3"/>
      <c r="AB94" s="3"/>
      <c r="AC94" s="342"/>
      <c r="AD94" s="342"/>
      <c r="AE94" s="3"/>
      <c r="AF94" s="3"/>
      <c r="AG94" s="103"/>
      <c r="AH94" s="4"/>
      <c r="AI94" s="3"/>
      <c r="AJ94" s="3"/>
      <c r="AK94" s="103"/>
      <c r="AL94" s="6"/>
      <c r="AM94" s="3"/>
      <c r="AN94" s="3"/>
      <c r="AO94" s="3"/>
      <c r="AP94" s="3"/>
      <c r="AQ94" s="103"/>
      <c r="AW94" s="3"/>
    </row>
    <row r="95" spans="3:51" ht="20.100000000000001" customHeight="1" thickBot="1">
      <c r="C95" s="42"/>
      <c r="F95" s="45"/>
      <c r="H95" s="45"/>
      <c r="I95" s="45"/>
      <c r="J95" s="47"/>
      <c r="K95" s="47"/>
      <c r="L95" s="45"/>
      <c r="M95" s="45"/>
      <c r="N95" s="46"/>
      <c r="O95" s="46"/>
      <c r="P95" s="45"/>
      <c r="Q95" s="45"/>
      <c r="R95" s="45"/>
      <c r="T95" s="41">
        <f>A45</f>
        <v>24</v>
      </c>
      <c r="V95" s="133" t="s">
        <v>469</v>
      </c>
      <c r="Y95" s="67">
        <f>Y88</f>
        <v>8073</v>
      </c>
      <c r="Z95" s="1"/>
      <c r="AA95" s="67">
        <f>AA88</f>
        <v>392374</v>
      </c>
      <c r="AB95" s="3"/>
      <c r="AC95" s="1"/>
      <c r="AD95" s="1"/>
      <c r="AE95" s="67">
        <f>AE88+AE93</f>
        <v>95943</v>
      </c>
      <c r="AF95" s="3"/>
      <c r="AG95" s="106">
        <v>100</v>
      </c>
      <c r="AH95" s="6"/>
      <c r="AI95" s="67">
        <f>AI88+AI93</f>
        <v>13460</v>
      </c>
      <c r="AJ95" s="3"/>
      <c r="AK95" s="106">
        <f>ROUND((AI95/AE95)*100,1)</f>
        <v>14</v>
      </c>
      <c r="AL95" s="6"/>
      <c r="AM95" s="75">
        <f>ROUND(AA95*CUR_FAC,0)</f>
        <v>1368</v>
      </c>
      <c r="AN95" s="68"/>
      <c r="AO95" s="67">
        <f>AO88+AO93</f>
        <v>97311</v>
      </c>
      <c r="AP95" s="3"/>
      <c r="AQ95" s="106">
        <f>ROUND((AI95/AO95)*100,1)</f>
        <v>13.8</v>
      </c>
      <c r="AW95" s="3"/>
    </row>
    <row r="96" spans="3:51" ht="16.5" thickTop="1">
      <c r="C96" s="42"/>
      <c r="F96" s="45"/>
      <c r="H96" s="45"/>
      <c r="I96" s="45"/>
      <c r="J96" s="47"/>
      <c r="K96" s="47"/>
      <c r="L96" s="45"/>
      <c r="M96" s="45"/>
      <c r="N96" s="46"/>
      <c r="O96" s="46"/>
      <c r="P96" s="45"/>
      <c r="Q96" s="45"/>
      <c r="R96" s="45"/>
      <c r="Y96" s="1"/>
      <c r="Z96" s="1"/>
      <c r="AA96" s="1"/>
      <c r="AB96" s="1"/>
      <c r="AC96" s="1"/>
      <c r="AD96" s="1"/>
      <c r="AE96" s="1"/>
      <c r="AF96" s="1"/>
      <c r="AG96" s="103"/>
      <c r="AH96" s="1"/>
      <c r="AI96" s="1"/>
      <c r="AJ96" s="1"/>
      <c r="AK96" s="103"/>
      <c r="AL96" s="1"/>
      <c r="AM96" s="1"/>
      <c r="AN96" s="1"/>
      <c r="AO96" s="1"/>
      <c r="AP96" s="1"/>
      <c r="AQ96" s="103"/>
    </row>
    <row r="97" spans="1:40">
      <c r="C97" s="42"/>
      <c r="F97" s="164"/>
      <c r="H97" s="164"/>
      <c r="I97" s="164"/>
      <c r="J97" s="331"/>
      <c r="K97" s="331"/>
      <c r="L97" s="45"/>
      <c r="M97" s="45"/>
      <c r="N97" s="46"/>
      <c r="O97" s="46"/>
      <c r="P97" s="45"/>
      <c r="Q97" s="45"/>
      <c r="R97" s="45"/>
      <c r="V97" s="140" t="s">
        <v>76</v>
      </c>
    </row>
    <row r="98" spans="1:40">
      <c r="C98" s="42"/>
      <c r="F98" s="164"/>
      <c r="H98" s="164"/>
      <c r="I98" s="164"/>
      <c r="J98" s="331"/>
      <c r="K98" s="331"/>
      <c r="L98" s="45"/>
      <c r="M98" s="45"/>
      <c r="N98" s="46"/>
      <c r="O98" s="46"/>
      <c r="P98" s="45"/>
      <c r="Q98" s="45"/>
      <c r="R98" s="45"/>
      <c r="V98" s="140" t="str">
        <f>"(2) REFLECTS FUEL COMPONENT OF "&amp;TEXT(CUR_FAC,"$0.000000;($0.000000)")&amp;" PER KWH."</f>
        <v>(2) REFLECTS FUEL COMPONENT OF $0.003487 PER KWH.</v>
      </c>
    </row>
    <row r="99" spans="1:40">
      <c r="F99" s="50"/>
      <c r="H99" s="50"/>
      <c r="I99" s="50"/>
      <c r="J99" s="326"/>
      <c r="K99" s="326"/>
      <c r="L99" s="50"/>
      <c r="M99" s="50"/>
      <c r="N99" s="50"/>
      <c r="O99" s="50"/>
      <c r="P99" s="50"/>
      <c r="Q99" s="50"/>
      <c r="R99" s="50"/>
      <c r="T99" s="42"/>
      <c r="V99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0" spans="1:40">
      <c r="C100" s="42"/>
      <c r="F100" s="45"/>
      <c r="H100" s="45"/>
      <c r="I100" s="45"/>
      <c r="J100" s="326"/>
      <c r="K100" s="326"/>
      <c r="L100" s="45"/>
      <c r="M100" s="45"/>
      <c r="N100" s="46"/>
      <c r="O100" s="46"/>
      <c r="P100" s="45"/>
      <c r="Q100" s="45"/>
      <c r="R100" s="45"/>
      <c r="S100" s="45"/>
      <c r="T100" s="42"/>
      <c r="V100" s="45"/>
      <c r="Y100" s="45"/>
      <c r="Z100" s="132"/>
      <c r="AA100" s="45"/>
      <c r="AB100" s="45"/>
      <c r="AC100" s="46"/>
      <c r="AD100" s="46"/>
      <c r="AE100" s="45"/>
      <c r="AF100" s="45"/>
      <c r="AH100" s="51"/>
      <c r="AI100" s="45"/>
      <c r="AJ100" s="45"/>
      <c r="AL100" s="45"/>
      <c r="AM100" s="46"/>
      <c r="AN100" s="46"/>
    </row>
    <row r="101" spans="1:40">
      <c r="F101" s="50"/>
      <c r="H101" s="50"/>
      <c r="I101" s="50"/>
      <c r="J101" s="326"/>
      <c r="K101" s="326"/>
      <c r="L101" s="50"/>
      <c r="M101" s="50"/>
      <c r="N101" s="50"/>
      <c r="O101" s="50"/>
      <c r="P101" s="50"/>
      <c r="Q101" s="50"/>
      <c r="R101" s="50"/>
      <c r="S101" s="45"/>
      <c r="T101" s="42"/>
      <c r="Y101" s="45"/>
      <c r="Z101" s="132"/>
      <c r="AA101" s="45"/>
      <c r="AB101" s="45"/>
      <c r="AC101" s="46"/>
      <c r="AD101" s="46"/>
      <c r="AE101" s="45"/>
      <c r="AF101" s="45"/>
      <c r="AH101" s="51"/>
      <c r="AI101" s="45"/>
      <c r="AJ101" s="45"/>
      <c r="AL101" s="45"/>
      <c r="AM101" s="46"/>
      <c r="AN101" s="46"/>
    </row>
    <row r="102" spans="1:40">
      <c r="C102" s="42"/>
      <c r="V102" s="45"/>
      <c r="Y102" s="45"/>
      <c r="Z102" s="326"/>
      <c r="AA102" s="50"/>
      <c r="AB102" s="50"/>
      <c r="AC102" s="50"/>
      <c r="AD102" s="50"/>
      <c r="AE102" s="50"/>
      <c r="AF102" s="50"/>
      <c r="AI102" s="50"/>
      <c r="AJ102" s="50"/>
      <c r="AK102" s="111"/>
      <c r="AL102" s="50"/>
      <c r="AM102" s="46"/>
      <c r="AN102" s="46"/>
    </row>
    <row r="103" spans="1:40">
      <c r="C103" s="42"/>
      <c r="F103" s="45"/>
      <c r="H103" s="45"/>
      <c r="I103" s="45"/>
      <c r="L103" s="45"/>
      <c r="M103" s="45"/>
      <c r="N103" s="46"/>
      <c r="O103" s="46"/>
      <c r="P103" s="164"/>
      <c r="Q103" s="164"/>
      <c r="R103" s="45"/>
      <c r="T103" s="42"/>
      <c r="V103" s="45"/>
      <c r="Y103" s="45"/>
      <c r="Z103" s="47"/>
      <c r="AA103" s="45"/>
      <c r="AB103" s="45"/>
      <c r="AC103" s="46"/>
      <c r="AD103" s="46"/>
      <c r="AE103" s="45"/>
      <c r="AF103" s="45"/>
      <c r="AH103" s="51"/>
      <c r="AI103" s="45"/>
      <c r="AJ103" s="45"/>
      <c r="AL103" s="45"/>
      <c r="AM103" s="46"/>
      <c r="AN103" s="46"/>
    </row>
    <row r="104" spans="1:40">
      <c r="F104" s="50"/>
      <c r="H104" s="50"/>
      <c r="I104" s="50"/>
      <c r="J104" s="326"/>
      <c r="K104" s="326"/>
      <c r="L104" s="50"/>
      <c r="M104" s="50"/>
      <c r="N104" s="50"/>
      <c r="O104" s="50"/>
      <c r="P104" s="50"/>
      <c r="Q104" s="50"/>
      <c r="R104" s="50"/>
      <c r="V104" s="45"/>
      <c r="Y104" s="45"/>
      <c r="Z104" s="326"/>
      <c r="AA104" s="50"/>
      <c r="AB104" s="50"/>
      <c r="AC104" s="50"/>
      <c r="AD104" s="50"/>
      <c r="AE104" s="50"/>
      <c r="AF104" s="50"/>
      <c r="AI104" s="50"/>
      <c r="AJ104" s="50"/>
      <c r="AK104" s="111"/>
      <c r="AL104" s="50"/>
      <c r="AM104" s="46"/>
      <c r="AN104" s="46"/>
    </row>
    <row r="105" spans="1:40">
      <c r="T105" s="42"/>
      <c r="V105" s="45"/>
      <c r="Y105" s="45"/>
      <c r="Z105" s="47"/>
      <c r="AA105" s="45"/>
      <c r="AB105" s="45"/>
      <c r="AC105" s="46"/>
      <c r="AD105" s="46"/>
      <c r="AE105" s="45"/>
      <c r="AF105" s="45"/>
      <c r="AH105" s="51"/>
      <c r="AI105" s="45"/>
      <c r="AJ105" s="45"/>
      <c r="AL105" s="45"/>
      <c r="AM105" s="46"/>
      <c r="AN105" s="46"/>
    </row>
    <row r="106" spans="1:40">
      <c r="C106" s="42"/>
      <c r="L106" s="45"/>
      <c r="M106" s="45"/>
      <c r="N106" s="45"/>
      <c r="O106" s="45"/>
      <c r="P106" s="45"/>
      <c r="Q106" s="45"/>
      <c r="R106" s="45"/>
      <c r="S106" s="45"/>
      <c r="T106" s="42"/>
      <c r="V106" s="164"/>
      <c r="Y106" s="45"/>
      <c r="Z106" s="331"/>
      <c r="AA106" s="45"/>
      <c r="AB106" s="45"/>
      <c r="AC106" s="46"/>
      <c r="AD106" s="46"/>
      <c r="AE106" s="45"/>
      <c r="AF106" s="45"/>
      <c r="AH106" s="51"/>
      <c r="AI106" s="45"/>
      <c r="AJ106" s="45"/>
      <c r="AL106" s="45"/>
      <c r="AM106" s="46"/>
      <c r="AN106" s="46"/>
    </row>
    <row r="107" spans="1:40">
      <c r="A107" s="42"/>
      <c r="V107" s="50"/>
      <c r="Y107" s="50"/>
      <c r="Z107" s="326"/>
      <c r="AA107" s="50"/>
      <c r="AB107" s="50"/>
      <c r="AC107" s="50"/>
      <c r="AD107" s="50"/>
      <c r="AE107" s="50"/>
      <c r="AF107" s="50"/>
      <c r="AI107" s="50"/>
      <c r="AJ107" s="50"/>
      <c r="AK107" s="111"/>
      <c r="AL107" s="50"/>
      <c r="AM107" s="46"/>
      <c r="AN107" s="46"/>
    </row>
    <row r="108" spans="1:40">
      <c r="T108" s="42"/>
      <c r="V108" s="45"/>
      <c r="Y108" s="45"/>
      <c r="Z108" s="326"/>
      <c r="AA108" s="45"/>
      <c r="AB108" s="45"/>
      <c r="AC108" s="46"/>
      <c r="AD108" s="46"/>
      <c r="AE108" s="45"/>
      <c r="AF108" s="45"/>
      <c r="AH108" s="46"/>
      <c r="AI108" s="45"/>
      <c r="AJ108" s="45"/>
      <c r="AL108" s="45"/>
      <c r="AM108" s="46"/>
      <c r="AN108" s="46"/>
    </row>
    <row r="109" spans="1:40">
      <c r="H109" s="42"/>
      <c r="I109" s="42"/>
      <c r="V109" s="50"/>
      <c r="Y109" s="50"/>
      <c r="Z109" s="326"/>
      <c r="AA109" s="50"/>
      <c r="AB109" s="50"/>
      <c r="AC109" s="50"/>
      <c r="AD109" s="50"/>
      <c r="AE109" s="50"/>
      <c r="AF109" s="50"/>
      <c r="AI109" s="50"/>
      <c r="AJ109" s="50"/>
      <c r="AK109" s="111"/>
      <c r="AL109" s="50"/>
      <c r="AM109" s="46"/>
      <c r="AN109" s="46"/>
    </row>
    <row r="110" spans="1:40">
      <c r="T110" s="42"/>
    </row>
    <row r="111" spans="1:40">
      <c r="L111" s="42"/>
      <c r="M111" s="42"/>
      <c r="AA111" s="42"/>
      <c r="AB111" s="42"/>
    </row>
    <row r="112" spans="1:40">
      <c r="R112" s="42"/>
      <c r="AK112" s="110"/>
      <c r="AL112" s="42"/>
    </row>
    <row r="113" spans="1:40">
      <c r="R113" s="42"/>
      <c r="AK113" s="110"/>
      <c r="AL113" s="42"/>
    </row>
    <row r="114" spans="1:40">
      <c r="A114" s="42"/>
      <c r="R114" s="42"/>
      <c r="AK114" s="110"/>
      <c r="AL114" s="42"/>
    </row>
    <row r="115" spans="1:40">
      <c r="L115" s="42"/>
      <c r="M115" s="42"/>
      <c r="AA115" s="42"/>
      <c r="AB115" s="42"/>
    </row>
    <row r="116" spans="1:40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107"/>
      <c r="AH116" s="49"/>
      <c r="AI116" s="49"/>
      <c r="AJ116" s="49"/>
      <c r="AK116" s="107"/>
      <c r="AL116" s="49"/>
      <c r="AM116" s="49"/>
      <c r="AN116" s="49"/>
    </row>
    <row r="117" spans="1:40">
      <c r="L117" s="44"/>
      <c r="M117" s="44"/>
      <c r="N117" s="44"/>
      <c r="O117" s="44"/>
      <c r="R117" s="44"/>
      <c r="AA117" s="44"/>
      <c r="AB117" s="44"/>
      <c r="AC117" s="44"/>
      <c r="AD117" s="44"/>
      <c r="AE117" s="44"/>
      <c r="AF117" s="44"/>
      <c r="AG117" s="102"/>
      <c r="AH117" s="44"/>
      <c r="AK117" s="102"/>
      <c r="AL117" s="44"/>
      <c r="AM117" s="44"/>
      <c r="AN117" s="44"/>
    </row>
    <row r="118" spans="1:40">
      <c r="L118" s="44"/>
      <c r="M118" s="44"/>
      <c r="N118" s="44"/>
      <c r="O118" s="44"/>
      <c r="R118" s="44"/>
      <c r="Z118" s="44"/>
      <c r="AA118" s="44"/>
      <c r="AB118" s="44"/>
      <c r="AC118" s="44"/>
      <c r="AD118" s="44"/>
      <c r="AE118" s="44"/>
      <c r="AF118" s="44"/>
      <c r="AG118" s="102"/>
      <c r="AH118" s="44"/>
      <c r="AK118" s="102"/>
      <c r="AL118" s="44"/>
      <c r="AM118" s="44"/>
      <c r="AN118" s="44"/>
    </row>
    <row r="119" spans="1:40">
      <c r="A119" s="44"/>
      <c r="C119" s="44"/>
      <c r="D119" s="44"/>
      <c r="E119" s="44"/>
      <c r="F119" s="44"/>
      <c r="J119" s="44"/>
      <c r="K119" s="44"/>
      <c r="L119" s="44"/>
      <c r="M119" s="44"/>
      <c r="N119" s="44"/>
      <c r="O119" s="44"/>
      <c r="P119" s="44"/>
      <c r="Q119" s="44"/>
      <c r="R119" s="44"/>
      <c r="T119" s="44"/>
      <c r="U119" s="44"/>
      <c r="V119" s="44"/>
      <c r="Z119" s="44"/>
      <c r="AA119" s="44"/>
      <c r="AB119" s="44"/>
      <c r="AC119" s="44"/>
      <c r="AD119" s="44"/>
      <c r="AE119" s="44"/>
      <c r="AF119" s="44"/>
      <c r="AG119" s="102"/>
      <c r="AH119" s="44"/>
      <c r="AI119" s="44"/>
      <c r="AJ119" s="44"/>
      <c r="AK119" s="102"/>
      <c r="AL119" s="44"/>
      <c r="AM119" s="44"/>
      <c r="AN119" s="44"/>
    </row>
    <row r="120" spans="1:40">
      <c r="A120" s="44"/>
      <c r="C120" s="44"/>
      <c r="D120" s="44"/>
      <c r="E120" s="44"/>
      <c r="F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T120" s="44"/>
      <c r="U120" s="44"/>
      <c r="V120" s="44"/>
      <c r="Y120" s="44"/>
      <c r="Z120" s="44"/>
      <c r="AA120" s="44"/>
      <c r="AB120" s="44"/>
      <c r="AC120" s="44"/>
      <c r="AD120" s="44"/>
      <c r="AE120" s="44"/>
      <c r="AF120" s="44"/>
      <c r="AG120" s="102"/>
      <c r="AH120" s="44"/>
      <c r="AI120" s="44"/>
      <c r="AJ120" s="44"/>
      <c r="AK120" s="102"/>
      <c r="AL120" s="44"/>
      <c r="AM120" s="44"/>
      <c r="AN120" s="44"/>
    </row>
    <row r="121" spans="1:40">
      <c r="C121" s="44"/>
      <c r="D121" s="44"/>
      <c r="E121" s="44"/>
      <c r="F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T121" s="44"/>
      <c r="U121" s="44"/>
      <c r="V121" s="44"/>
      <c r="Y121" s="44"/>
      <c r="Z121" s="44"/>
      <c r="AA121" s="44"/>
      <c r="AB121" s="44"/>
      <c r="AC121" s="44"/>
      <c r="AD121" s="44"/>
      <c r="AE121" s="44"/>
      <c r="AF121" s="44"/>
      <c r="AG121" s="102"/>
      <c r="AH121" s="44"/>
      <c r="AI121" s="44"/>
      <c r="AJ121" s="44"/>
      <c r="AK121" s="102"/>
      <c r="AL121" s="44"/>
      <c r="AM121" s="44"/>
      <c r="AN121" s="44"/>
    </row>
    <row r="122" spans="1:40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107"/>
      <c r="AH122" s="49"/>
      <c r="AI122" s="49"/>
      <c r="AJ122" s="49"/>
      <c r="AK122" s="107"/>
      <c r="AL122" s="49"/>
      <c r="AM122" s="49"/>
      <c r="AN122" s="49"/>
    </row>
    <row r="123" spans="1:40"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Y123" s="44"/>
      <c r="Z123" s="44"/>
      <c r="AA123" s="44"/>
      <c r="AB123" s="44"/>
      <c r="AC123" s="44"/>
      <c r="AD123" s="44"/>
      <c r="AE123" s="44"/>
      <c r="AF123" s="44"/>
      <c r="AG123" s="102"/>
      <c r="AH123" s="44"/>
      <c r="AI123" s="44"/>
      <c r="AJ123" s="44"/>
      <c r="AK123" s="102"/>
      <c r="AL123" s="44"/>
      <c r="AM123" s="44"/>
      <c r="AN123" s="44"/>
    </row>
    <row r="124" spans="1:40">
      <c r="C124" s="42"/>
      <c r="D124" s="42"/>
      <c r="E124" s="42"/>
      <c r="T124" s="42"/>
      <c r="U124" s="42"/>
    </row>
    <row r="125" spans="1:40">
      <c r="D125" s="42"/>
      <c r="E125" s="42"/>
      <c r="U125" s="42"/>
    </row>
    <row r="127" spans="1:40">
      <c r="C127" s="42"/>
      <c r="F127" s="164"/>
      <c r="H127" s="164"/>
      <c r="I127" s="164"/>
      <c r="J127" s="316"/>
      <c r="K127" s="316"/>
      <c r="L127" s="45"/>
      <c r="M127" s="45"/>
      <c r="N127" s="46"/>
      <c r="O127" s="46"/>
      <c r="R127" s="45"/>
      <c r="T127" s="42"/>
      <c r="V127" s="45"/>
      <c r="Y127" s="164"/>
      <c r="Z127" s="316"/>
      <c r="AA127" s="45"/>
      <c r="AB127" s="45"/>
      <c r="AC127" s="46"/>
      <c r="AD127" s="46"/>
      <c r="AE127" s="45"/>
      <c r="AF127" s="45"/>
      <c r="AG127" s="333"/>
      <c r="AH127" s="334"/>
      <c r="AL127" s="45"/>
      <c r="AM127" s="335"/>
      <c r="AN127" s="335"/>
    </row>
    <row r="128" spans="1:40">
      <c r="C128" s="42"/>
      <c r="F128" s="164"/>
      <c r="H128" s="164"/>
      <c r="I128" s="164"/>
      <c r="J128" s="316"/>
      <c r="K128" s="316"/>
      <c r="L128" s="45"/>
      <c r="M128" s="45"/>
      <c r="N128" s="46"/>
      <c r="O128" s="46"/>
      <c r="R128" s="45"/>
      <c r="T128" s="42"/>
      <c r="V128" s="45"/>
      <c r="Y128" s="164"/>
      <c r="Z128" s="316"/>
      <c r="AA128" s="45"/>
      <c r="AB128" s="45"/>
      <c r="AC128" s="46"/>
      <c r="AD128" s="46"/>
      <c r="AE128" s="45"/>
      <c r="AF128" s="45"/>
      <c r="AH128" s="51"/>
      <c r="AL128" s="45"/>
      <c r="AM128" s="46"/>
      <c r="AN128" s="46"/>
    </row>
    <row r="129" spans="3:40">
      <c r="F129" s="50"/>
      <c r="H129" s="45"/>
      <c r="I129" s="45"/>
      <c r="J129" s="326"/>
      <c r="K129" s="326"/>
      <c r="L129" s="50"/>
      <c r="M129" s="50"/>
      <c r="N129" s="50"/>
      <c r="O129" s="50"/>
      <c r="P129" s="50"/>
      <c r="Q129" s="50"/>
      <c r="R129" s="50"/>
      <c r="V129" s="50"/>
      <c r="Y129" s="45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>
      <c r="C130" s="42"/>
      <c r="F130" s="45"/>
      <c r="H130" s="45"/>
      <c r="I130" s="45"/>
      <c r="J130" s="326"/>
      <c r="K130" s="326"/>
      <c r="L130" s="45"/>
      <c r="M130" s="45"/>
      <c r="N130" s="46"/>
      <c r="O130" s="46"/>
      <c r="P130" s="45"/>
      <c r="Q130" s="45"/>
      <c r="R130" s="45"/>
      <c r="T130" s="42"/>
      <c r="V130" s="45"/>
      <c r="Y130" s="45"/>
      <c r="Z130" s="47"/>
      <c r="AA130" s="45"/>
      <c r="AB130" s="45"/>
      <c r="AC130" s="46"/>
      <c r="AD130" s="46"/>
      <c r="AE130" s="45"/>
      <c r="AF130" s="45"/>
      <c r="AH130" s="51"/>
      <c r="AI130" s="45"/>
      <c r="AJ130" s="45"/>
      <c r="AL130" s="45"/>
      <c r="AM130" s="46"/>
      <c r="AN130" s="46"/>
    </row>
    <row r="131" spans="3:40">
      <c r="F131" s="50"/>
      <c r="H131" s="45"/>
      <c r="I131" s="45"/>
      <c r="J131" s="326"/>
      <c r="K131" s="326"/>
      <c r="L131" s="50"/>
      <c r="M131" s="50"/>
      <c r="N131" s="50"/>
      <c r="O131" s="50"/>
      <c r="P131" s="50"/>
      <c r="Q131" s="50"/>
      <c r="R131" s="50"/>
      <c r="V131" s="50"/>
      <c r="Y131" s="45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3:40">
      <c r="F132" s="45"/>
      <c r="H132" s="45"/>
      <c r="I132" s="45"/>
      <c r="J132" s="326"/>
      <c r="K132" s="326"/>
      <c r="L132" s="45"/>
      <c r="M132" s="45"/>
      <c r="N132" s="46"/>
      <c r="O132" s="46"/>
      <c r="P132" s="45"/>
      <c r="Q132" s="45"/>
      <c r="R132" s="45"/>
      <c r="V132" s="45"/>
      <c r="Y132" s="45"/>
      <c r="Z132" s="47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3:40">
      <c r="C133" s="42"/>
      <c r="F133" s="164"/>
      <c r="H133" s="164"/>
      <c r="I133" s="164"/>
      <c r="J133" s="316"/>
      <c r="K133" s="316"/>
      <c r="L133" s="45"/>
      <c r="M133" s="45"/>
      <c r="N133" s="46"/>
      <c r="O133" s="46"/>
      <c r="P133" s="45"/>
      <c r="Q133" s="45"/>
      <c r="R133" s="45"/>
      <c r="T133" s="42"/>
      <c r="V133" s="164"/>
      <c r="Y133" s="45"/>
      <c r="Z133" s="316"/>
      <c r="AA133" s="45"/>
      <c r="AB133" s="45"/>
      <c r="AC133" s="46"/>
      <c r="AD133" s="46"/>
      <c r="AE133" s="45"/>
      <c r="AF133" s="45"/>
      <c r="AG133" s="333"/>
      <c r="AH133" s="334"/>
      <c r="AI133" s="45"/>
      <c r="AJ133" s="45"/>
      <c r="AL133" s="45"/>
      <c r="AM133" s="335"/>
      <c r="AN133" s="335"/>
    </row>
    <row r="134" spans="3:40">
      <c r="C134" s="42"/>
      <c r="F134" s="164"/>
      <c r="H134" s="164"/>
      <c r="I134" s="164"/>
      <c r="J134" s="316"/>
      <c r="K134" s="316"/>
      <c r="L134" s="45"/>
      <c r="M134" s="45"/>
      <c r="N134" s="46"/>
      <c r="O134" s="46"/>
      <c r="P134" s="45"/>
      <c r="Q134" s="45"/>
      <c r="R134" s="45"/>
      <c r="T134" s="42"/>
      <c r="V134" s="164"/>
      <c r="Y134" s="45"/>
      <c r="Z134" s="316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>
      <c r="F135" s="45"/>
      <c r="H135" s="50"/>
      <c r="I135" s="50"/>
      <c r="J135" s="326"/>
      <c r="K135" s="326"/>
      <c r="L135" s="50"/>
      <c r="M135" s="50"/>
      <c r="N135" s="50"/>
      <c r="O135" s="50"/>
      <c r="P135" s="50"/>
      <c r="Q135" s="50"/>
      <c r="R135" s="50"/>
      <c r="V135" s="45"/>
      <c r="Y135" s="50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>
      <c r="C136" s="42"/>
      <c r="F136" s="45"/>
      <c r="H136" s="45"/>
      <c r="I136" s="45"/>
      <c r="J136" s="326"/>
      <c r="K136" s="326"/>
      <c r="L136" s="45"/>
      <c r="M136" s="45"/>
      <c r="N136" s="46"/>
      <c r="O136" s="46"/>
      <c r="P136" s="45"/>
      <c r="Q136" s="45"/>
      <c r="R136" s="45"/>
      <c r="T136" s="42"/>
      <c r="V136" s="45"/>
      <c r="Y136" s="45"/>
      <c r="Z136" s="326"/>
      <c r="AA136" s="45"/>
      <c r="AB136" s="45"/>
      <c r="AC136" s="46"/>
      <c r="AD136" s="46"/>
      <c r="AE136" s="45"/>
      <c r="AF136" s="45"/>
      <c r="AH136" s="51"/>
      <c r="AI136" s="45"/>
      <c r="AJ136" s="45"/>
      <c r="AL136" s="45"/>
      <c r="AM136" s="46"/>
      <c r="AN136" s="46"/>
    </row>
    <row r="137" spans="3:40">
      <c r="F137" s="45"/>
      <c r="H137" s="50"/>
      <c r="I137" s="50"/>
      <c r="J137" s="326"/>
      <c r="K137" s="326"/>
      <c r="L137" s="50"/>
      <c r="M137" s="50"/>
      <c r="N137" s="50"/>
      <c r="O137" s="50"/>
      <c r="P137" s="50"/>
      <c r="Q137" s="50"/>
      <c r="R137" s="50"/>
      <c r="V137" s="45"/>
      <c r="Y137" s="50"/>
      <c r="Z137" s="326"/>
      <c r="AA137" s="50"/>
      <c r="AB137" s="50"/>
      <c r="AC137" s="50"/>
      <c r="AD137" s="50"/>
      <c r="AE137" s="50"/>
      <c r="AF137" s="50"/>
      <c r="AI137" s="50"/>
      <c r="AJ137" s="50"/>
      <c r="AK137" s="111"/>
      <c r="AL137" s="50"/>
      <c r="AM137" s="46"/>
      <c r="AN137" s="46"/>
    </row>
    <row r="138" spans="3:40">
      <c r="F138" s="45"/>
      <c r="H138" s="45"/>
      <c r="I138" s="45"/>
      <c r="J138" s="326"/>
      <c r="K138" s="326"/>
      <c r="L138" s="45"/>
      <c r="M138" s="45"/>
      <c r="N138" s="45"/>
      <c r="O138" s="45"/>
      <c r="P138" s="45"/>
      <c r="Q138" s="45"/>
      <c r="R138" s="45"/>
      <c r="V138" s="45"/>
      <c r="Y138" s="45"/>
      <c r="Z138" s="326"/>
      <c r="AA138" s="45"/>
      <c r="AB138" s="45"/>
      <c r="AC138" s="45"/>
      <c r="AD138" s="45"/>
      <c r="AE138" s="45"/>
      <c r="AF138" s="45"/>
      <c r="AH138" s="51"/>
      <c r="AI138" s="45"/>
      <c r="AJ138" s="45"/>
      <c r="AL138" s="45"/>
      <c r="AM138" s="46"/>
      <c r="AN138" s="46"/>
    </row>
    <row r="139" spans="3:40">
      <c r="C139" s="42"/>
      <c r="F139" s="164"/>
      <c r="H139" s="164"/>
      <c r="I139" s="164"/>
      <c r="J139" s="331"/>
      <c r="K139" s="331"/>
      <c r="L139" s="45"/>
      <c r="M139" s="45"/>
      <c r="N139" s="46"/>
      <c r="O139" s="46"/>
      <c r="P139" s="164"/>
      <c r="Q139" s="164"/>
      <c r="R139" s="45"/>
      <c r="T139" s="42"/>
      <c r="V139" s="164"/>
      <c r="Y139" s="164"/>
      <c r="Z139" s="336"/>
      <c r="AA139" s="45"/>
      <c r="AB139" s="45"/>
      <c r="AC139" s="46"/>
      <c r="AD139" s="46"/>
      <c r="AE139" s="45"/>
      <c r="AF139" s="45"/>
      <c r="AH139" s="51"/>
      <c r="AI139" s="164"/>
      <c r="AJ139" s="164"/>
      <c r="AL139" s="45"/>
      <c r="AM139" s="46"/>
      <c r="AN139" s="46"/>
    </row>
    <row r="140" spans="3:40">
      <c r="C140" s="42"/>
      <c r="F140" s="164"/>
      <c r="H140" s="164"/>
      <c r="I140" s="164"/>
      <c r="J140" s="331"/>
      <c r="K140" s="331"/>
      <c r="L140" s="45"/>
      <c r="M140" s="45"/>
      <c r="N140" s="46"/>
      <c r="O140" s="46"/>
      <c r="P140" s="164"/>
      <c r="Q140" s="164"/>
      <c r="R140" s="45"/>
      <c r="T140" s="42"/>
      <c r="V140" s="164"/>
      <c r="Y140" s="45"/>
      <c r="Z140" s="325"/>
      <c r="AA140" s="45"/>
      <c r="AB140" s="45"/>
      <c r="AC140" s="46"/>
      <c r="AD140" s="46"/>
      <c r="AE140" s="45"/>
      <c r="AF140" s="45"/>
      <c r="AH140" s="51"/>
      <c r="AI140" s="164"/>
      <c r="AJ140" s="164"/>
      <c r="AL140" s="45"/>
      <c r="AM140" s="46"/>
      <c r="AN140" s="46"/>
    </row>
    <row r="141" spans="3:40">
      <c r="C141" s="42"/>
      <c r="F141" s="164"/>
      <c r="H141" s="164"/>
      <c r="I141" s="164"/>
      <c r="J141" s="331"/>
      <c r="K141" s="331"/>
      <c r="L141" s="45"/>
      <c r="M141" s="45"/>
      <c r="N141" s="46"/>
      <c r="O141" s="46"/>
      <c r="P141" s="164"/>
      <c r="Q141" s="164"/>
      <c r="R141" s="45"/>
      <c r="T141" s="42"/>
      <c r="V141" s="164"/>
      <c r="Y141" s="45"/>
      <c r="Z141" s="325"/>
      <c r="AA141" s="45"/>
      <c r="AB141" s="45"/>
      <c r="AC141" s="46"/>
      <c r="AD141" s="46"/>
      <c r="AE141" s="45"/>
      <c r="AF141" s="45"/>
      <c r="AH141" s="51"/>
      <c r="AI141" s="164"/>
      <c r="AJ141" s="164"/>
      <c r="AL141" s="45"/>
      <c r="AM141" s="46"/>
      <c r="AN141" s="46"/>
    </row>
    <row r="142" spans="3:40">
      <c r="F142" s="50"/>
      <c r="H142" s="50"/>
      <c r="I142" s="50"/>
      <c r="J142" s="326"/>
      <c r="K142" s="326"/>
      <c r="L142" s="50"/>
      <c r="M142" s="50"/>
      <c r="N142" s="50"/>
      <c r="O142" s="50"/>
      <c r="P142" s="50"/>
      <c r="Q142" s="50"/>
      <c r="R142" s="50"/>
      <c r="V142" s="50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>
      <c r="C143" s="42"/>
      <c r="F143" s="45"/>
      <c r="H143" s="45"/>
      <c r="I143" s="45"/>
      <c r="J143" s="47"/>
      <c r="K143" s="47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47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>
      <c r="F144" s="50"/>
      <c r="H144" s="50"/>
      <c r="I144" s="50"/>
      <c r="J144" s="326"/>
      <c r="K144" s="326"/>
      <c r="L144" s="50"/>
      <c r="M144" s="50"/>
      <c r="N144" s="50"/>
      <c r="O144" s="50"/>
      <c r="P144" s="50"/>
      <c r="Q144" s="50"/>
      <c r="R144" s="50"/>
      <c r="V144" s="50"/>
      <c r="Y144" s="50"/>
      <c r="Z144" s="326"/>
      <c r="AA144" s="50"/>
      <c r="AB144" s="50"/>
      <c r="AC144" s="50"/>
      <c r="AD144" s="50"/>
      <c r="AE144" s="50"/>
      <c r="AF144" s="50"/>
      <c r="AI144" s="50"/>
      <c r="AJ144" s="50"/>
      <c r="AK144" s="111"/>
      <c r="AL144" s="50"/>
      <c r="AM144" s="46"/>
      <c r="AN144" s="46"/>
    </row>
    <row r="145" spans="1:40">
      <c r="C145" s="42"/>
      <c r="F145" s="45"/>
      <c r="H145" s="45"/>
      <c r="I145" s="45"/>
      <c r="J145" s="47"/>
      <c r="K145" s="47"/>
      <c r="L145" s="45"/>
      <c r="M145" s="45"/>
      <c r="N145" s="46"/>
      <c r="O145" s="46"/>
      <c r="P145" s="45"/>
      <c r="Q145" s="45"/>
      <c r="R145" s="45"/>
      <c r="T145" s="42"/>
      <c r="V145" s="45"/>
      <c r="Y145" s="45"/>
      <c r="Z145" s="47"/>
      <c r="AA145" s="45"/>
      <c r="AB145" s="45"/>
      <c r="AC145" s="46"/>
      <c r="AD145" s="46"/>
      <c r="AE145" s="45"/>
      <c r="AF145" s="45"/>
      <c r="AH145" s="51"/>
      <c r="AI145" s="45"/>
      <c r="AJ145" s="45"/>
      <c r="AL145" s="45"/>
      <c r="AM145" s="46"/>
      <c r="AN145" s="46"/>
    </row>
    <row r="146" spans="1:40">
      <c r="C146" s="42"/>
      <c r="F146" s="45"/>
      <c r="H146" s="45"/>
      <c r="I146" s="45"/>
      <c r="J146" s="47"/>
      <c r="K146" s="47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1:40">
      <c r="F147" s="50"/>
      <c r="H147" s="50"/>
      <c r="I147" s="50"/>
      <c r="J147" s="326"/>
      <c r="K147" s="326"/>
      <c r="L147" s="50"/>
      <c r="M147" s="50"/>
      <c r="N147" s="50"/>
      <c r="O147" s="50"/>
      <c r="P147" s="50"/>
      <c r="Q147" s="50"/>
      <c r="R147" s="50"/>
      <c r="V147" s="50"/>
      <c r="Y147" s="50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5"/>
      <c r="AN147" s="45"/>
    </row>
    <row r="148" spans="1:40">
      <c r="F148" s="45"/>
      <c r="H148" s="45"/>
      <c r="I148" s="45"/>
      <c r="J148" s="47"/>
      <c r="K148" s="47"/>
      <c r="L148" s="45"/>
      <c r="M148" s="45"/>
      <c r="N148" s="45"/>
      <c r="O148" s="45"/>
      <c r="P148" s="45"/>
      <c r="Q148" s="45"/>
      <c r="R148" s="45"/>
      <c r="V148" s="45"/>
      <c r="Y148" s="45"/>
      <c r="Z148" s="47"/>
      <c r="AA148" s="45"/>
      <c r="AB148" s="45"/>
      <c r="AC148" s="45"/>
      <c r="AD148" s="45"/>
    </row>
    <row r="149" spans="1:40">
      <c r="C149" s="42"/>
      <c r="F149" s="45"/>
      <c r="H149" s="45"/>
      <c r="I149" s="45"/>
      <c r="J149" s="47"/>
      <c r="K149" s="47"/>
      <c r="L149" s="45"/>
      <c r="M149" s="45"/>
      <c r="N149" s="45"/>
      <c r="O149" s="45"/>
      <c r="P149" s="45"/>
      <c r="Q149" s="45"/>
      <c r="R149" s="45"/>
      <c r="T149" s="42"/>
      <c r="V149" s="45"/>
      <c r="Y149" s="45"/>
      <c r="Z149" s="47"/>
      <c r="AA149" s="45"/>
      <c r="AB149" s="45"/>
      <c r="AC149" s="45"/>
      <c r="AD149" s="45"/>
    </row>
    <row r="150" spans="1:40">
      <c r="A150" s="42"/>
    </row>
    <row r="152" spans="1:40">
      <c r="H152" s="42"/>
      <c r="I152" s="42"/>
      <c r="Y152" s="42"/>
    </row>
    <row r="154" spans="1:40">
      <c r="L154" s="42"/>
      <c r="M154" s="42"/>
      <c r="AA154" s="42"/>
      <c r="AB154" s="42"/>
    </row>
    <row r="155" spans="1:40">
      <c r="R155" s="42"/>
      <c r="AK155" s="110"/>
      <c r="AL155" s="42"/>
    </row>
    <row r="156" spans="1:40">
      <c r="R156" s="42"/>
      <c r="AK156" s="110"/>
      <c r="AL156" s="42"/>
    </row>
    <row r="157" spans="1:40">
      <c r="A157" s="42"/>
      <c r="R157" s="42"/>
      <c r="AK157" s="110"/>
      <c r="AL157" s="42"/>
    </row>
    <row r="158" spans="1:40">
      <c r="L158" s="42"/>
      <c r="M158" s="42"/>
      <c r="AA158" s="42"/>
      <c r="AB158" s="42"/>
    </row>
    <row r="159" spans="1:40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107"/>
      <c r="AH159" s="49"/>
      <c r="AI159" s="49"/>
      <c r="AJ159" s="49"/>
      <c r="AK159" s="107"/>
      <c r="AL159" s="49"/>
      <c r="AM159" s="49"/>
      <c r="AN159" s="49"/>
    </row>
    <row r="160" spans="1:40">
      <c r="L160" s="44"/>
      <c r="M160" s="44"/>
      <c r="N160" s="44"/>
      <c r="O160" s="44"/>
      <c r="R160" s="44"/>
      <c r="AA160" s="44"/>
      <c r="AB160" s="44"/>
      <c r="AC160" s="44"/>
      <c r="AD160" s="44"/>
      <c r="AE160" s="44"/>
      <c r="AF160" s="44"/>
      <c r="AG160" s="102"/>
      <c r="AH160" s="44"/>
      <c r="AK160" s="102"/>
      <c r="AL160" s="44"/>
      <c r="AM160" s="44"/>
      <c r="AN160" s="44"/>
    </row>
    <row r="161" spans="1:40">
      <c r="L161" s="44"/>
      <c r="M161" s="44"/>
      <c r="N161" s="44"/>
      <c r="O161" s="44"/>
      <c r="R161" s="44"/>
      <c r="Z161" s="44"/>
      <c r="AA161" s="44"/>
      <c r="AB161" s="44"/>
      <c r="AC161" s="44"/>
      <c r="AD161" s="44"/>
      <c r="AE161" s="44"/>
      <c r="AF161" s="44"/>
      <c r="AG161" s="102"/>
      <c r="AH161" s="44"/>
      <c r="AK161" s="102"/>
      <c r="AL161" s="44"/>
      <c r="AM161" s="44"/>
      <c r="AN161" s="44"/>
    </row>
    <row r="162" spans="1:40">
      <c r="A162" s="44"/>
      <c r="C162" s="44"/>
      <c r="D162" s="44"/>
      <c r="E162" s="44"/>
      <c r="F162" s="44"/>
      <c r="J162" s="44"/>
      <c r="K162" s="44"/>
      <c r="L162" s="44"/>
      <c r="M162" s="44"/>
      <c r="N162" s="44"/>
      <c r="O162" s="44"/>
      <c r="P162" s="44"/>
      <c r="Q162" s="44"/>
      <c r="R162" s="44"/>
      <c r="T162" s="44"/>
      <c r="U162" s="44"/>
      <c r="V162" s="44"/>
      <c r="Z162" s="44"/>
      <c r="AA162" s="44"/>
      <c r="AB162" s="44"/>
      <c r="AC162" s="44"/>
      <c r="AD162" s="44"/>
      <c r="AE162" s="44"/>
      <c r="AF162" s="44"/>
      <c r="AG162" s="102"/>
      <c r="AH162" s="44"/>
      <c r="AI162" s="44"/>
      <c r="AJ162" s="44"/>
      <c r="AK162" s="102"/>
      <c r="AL162" s="44"/>
      <c r="AM162" s="44"/>
      <c r="AN162" s="44"/>
    </row>
    <row r="163" spans="1:40">
      <c r="A163" s="44"/>
      <c r="C163" s="44"/>
      <c r="D163" s="44"/>
      <c r="E163" s="44"/>
      <c r="F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T163" s="44"/>
      <c r="U163" s="44"/>
      <c r="V163" s="44"/>
      <c r="Y163" s="44"/>
      <c r="Z163" s="44"/>
      <c r="AA163" s="44"/>
      <c r="AB163" s="44"/>
      <c r="AC163" s="44"/>
      <c r="AD163" s="44"/>
      <c r="AE163" s="44"/>
      <c r="AF163" s="44"/>
      <c r="AG163" s="102"/>
      <c r="AH163" s="44"/>
      <c r="AI163" s="44"/>
      <c r="AJ163" s="44"/>
      <c r="AK163" s="102"/>
      <c r="AL163" s="44"/>
      <c r="AM163" s="44"/>
      <c r="AN163" s="44"/>
    </row>
    <row r="164" spans="1:40">
      <c r="C164" s="44"/>
      <c r="D164" s="44"/>
      <c r="E164" s="44"/>
      <c r="F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T164" s="44"/>
      <c r="U164" s="44"/>
      <c r="V164" s="44"/>
      <c r="Y164" s="44"/>
      <c r="Z164" s="44"/>
      <c r="AA164" s="44"/>
      <c r="AB164" s="44"/>
      <c r="AC164" s="44"/>
      <c r="AD164" s="44"/>
      <c r="AE164" s="44"/>
      <c r="AF164" s="44"/>
      <c r="AG164" s="102"/>
      <c r="AH164" s="44"/>
      <c r="AI164" s="44"/>
      <c r="AJ164" s="44"/>
      <c r="AK164" s="102"/>
      <c r="AL164" s="44"/>
      <c r="AM164" s="44"/>
      <c r="AN164" s="44"/>
    </row>
    <row r="165" spans="1:40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107"/>
      <c r="AH165" s="49"/>
      <c r="AI165" s="49"/>
      <c r="AJ165" s="49"/>
      <c r="AK165" s="107"/>
      <c r="AL165" s="49"/>
      <c r="AM165" s="49"/>
      <c r="AN165" s="49"/>
    </row>
    <row r="166" spans="1:40"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Y166" s="44"/>
      <c r="Z166" s="44"/>
      <c r="AA166" s="44"/>
      <c r="AB166" s="44"/>
      <c r="AC166" s="44"/>
      <c r="AD166" s="44"/>
      <c r="AE166" s="44"/>
      <c r="AF166" s="44"/>
      <c r="AG166" s="102"/>
      <c r="AH166" s="44"/>
      <c r="AI166" s="44"/>
      <c r="AJ166" s="44"/>
      <c r="AK166" s="102"/>
      <c r="AL166" s="44"/>
      <c r="AM166" s="44"/>
      <c r="AN166" s="44"/>
    </row>
    <row r="167" spans="1:40">
      <c r="C167" s="42"/>
      <c r="D167" s="42"/>
      <c r="E167" s="42"/>
      <c r="T167" s="42"/>
      <c r="U167" s="42"/>
    </row>
    <row r="169" spans="1:40">
      <c r="C169" s="42"/>
      <c r="F169" s="164"/>
      <c r="H169" s="329"/>
      <c r="I169" s="329"/>
      <c r="J169" s="316"/>
      <c r="K169" s="316"/>
      <c r="L169" s="45"/>
      <c r="M169" s="45"/>
      <c r="R169" s="45"/>
      <c r="T169" s="42"/>
      <c r="V169" s="45"/>
      <c r="Z169" s="316"/>
      <c r="AA169" s="45"/>
      <c r="AB169" s="45"/>
      <c r="AE169" s="45"/>
      <c r="AF169" s="45"/>
      <c r="AG169" s="333"/>
      <c r="AH169" s="334"/>
      <c r="AI169" s="45"/>
      <c r="AJ169" s="45"/>
      <c r="AL169" s="45"/>
      <c r="AM169" s="335"/>
      <c r="AN169" s="335"/>
    </row>
    <row r="170" spans="1:40">
      <c r="F170" s="164"/>
      <c r="H170" s="329"/>
      <c r="I170" s="329"/>
      <c r="J170" s="329"/>
      <c r="K170" s="329"/>
      <c r="R170" s="45"/>
      <c r="V170" s="45"/>
      <c r="Z170" s="329"/>
    </row>
    <row r="171" spans="1:40">
      <c r="C171" s="42"/>
      <c r="F171" s="164"/>
      <c r="H171" s="164"/>
      <c r="I171" s="164"/>
      <c r="J171" s="331"/>
      <c r="K171" s="331"/>
      <c r="L171" s="45"/>
      <c r="M171" s="45"/>
      <c r="N171" s="46"/>
      <c r="O171" s="46"/>
      <c r="P171" s="164"/>
      <c r="Q171" s="164"/>
      <c r="R171" s="45"/>
      <c r="T171" s="42"/>
      <c r="V171" s="45"/>
      <c r="Y171" s="45"/>
      <c r="Z171" s="325"/>
      <c r="AA171" s="45"/>
      <c r="AB171" s="45"/>
      <c r="AC171" s="46"/>
      <c r="AD171" s="46"/>
      <c r="AE171" s="45"/>
      <c r="AF171" s="45"/>
      <c r="AH171" s="51"/>
      <c r="AI171" s="164"/>
      <c r="AJ171" s="164"/>
      <c r="AL171" s="45"/>
      <c r="AM171" s="46"/>
      <c r="AN171" s="46"/>
    </row>
    <row r="172" spans="1:40">
      <c r="F172" s="50"/>
      <c r="H172" s="50"/>
      <c r="I172" s="50"/>
      <c r="J172" s="326"/>
      <c r="K172" s="326"/>
      <c r="L172" s="50"/>
      <c r="M172" s="50"/>
      <c r="N172" s="50"/>
      <c r="O172" s="50"/>
      <c r="P172" s="50"/>
      <c r="Q172" s="50"/>
      <c r="R172" s="50"/>
      <c r="V172" s="50"/>
      <c r="Y172" s="50"/>
      <c r="Z172" s="326"/>
      <c r="AA172" s="50"/>
      <c r="AB172" s="50"/>
      <c r="AC172" s="50"/>
      <c r="AD172" s="50"/>
      <c r="AE172" s="50"/>
      <c r="AF172" s="50"/>
      <c r="AI172" s="50"/>
      <c r="AJ172" s="50"/>
      <c r="AK172" s="111"/>
      <c r="AL172" s="50"/>
    </row>
    <row r="173" spans="1:40">
      <c r="D173" s="42"/>
      <c r="E173" s="42"/>
      <c r="F173" s="45"/>
      <c r="H173" s="45"/>
      <c r="I173" s="45"/>
      <c r="J173" s="47"/>
      <c r="K173" s="47"/>
      <c r="L173" s="45"/>
      <c r="M173" s="45"/>
      <c r="N173" s="46"/>
      <c r="O173" s="46"/>
      <c r="P173" s="45"/>
      <c r="Q173" s="45"/>
      <c r="R173" s="45"/>
      <c r="U173" s="42"/>
      <c r="V173" s="45"/>
      <c r="Y173" s="45"/>
      <c r="Z173" s="47"/>
      <c r="AA173" s="45"/>
      <c r="AB173" s="45"/>
      <c r="AC173" s="46"/>
      <c r="AD173" s="46"/>
      <c r="AE173" s="45"/>
      <c r="AF173" s="45"/>
      <c r="AH173" s="51"/>
      <c r="AI173" s="45"/>
      <c r="AJ173" s="45"/>
      <c r="AL173" s="45"/>
      <c r="AM173" s="46"/>
      <c r="AN173" s="46"/>
    </row>
    <row r="174" spans="1:40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V174" s="50"/>
      <c r="Y174" s="50"/>
      <c r="Z174" s="326"/>
      <c r="AA174" s="50"/>
      <c r="AB174" s="50"/>
      <c r="AC174" s="50"/>
      <c r="AD174" s="50"/>
      <c r="AE174" s="50"/>
      <c r="AF174" s="50"/>
      <c r="AI174" s="50"/>
      <c r="AJ174" s="50"/>
      <c r="AK174" s="111"/>
      <c r="AL174" s="50"/>
    </row>
    <row r="175" spans="1:40">
      <c r="R175" s="45"/>
    </row>
    <row r="176" spans="1:40">
      <c r="R176" s="45"/>
    </row>
    <row r="177" spans="1:40">
      <c r="R177" s="45"/>
    </row>
    <row r="178" spans="1:40">
      <c r="C178" s="42"/>
      <c r="D178" s="42"/>
      <c r="E178" s="42"/>
      <c r="H178" s="45"/>
      <c r="I178" s="45"/>
      <c r="J178" s="47"/>
      <c r="K178" s="47"/>
      <c r="L178" s="45"/>
      <c r="M178" s="45"/>
      <c r="N178" s="46"/>
      <c r="O178" s="46"/>
      <c r="P178" s="45"/>
      <c r="Q178" s="45"/>
      <c r="R178" s="45"/>
      <c r="T178" s="42"/>
      <c r="U178" s="42"/>
      <c r="Y178" s="45"/>
      <c r="Z178" s="47"/>
      <c r="AA178" s="45"/>
      <c r="AB178" s="45"/>
      <c r="AC178" s="46"/>
      <c r="AD178" s="46"/>
    </row>
    <row r="179" spans="1:40">
      <c r="H179" s="45"/>
      <c r="I179" s="45"/>
      <c r="J179" s="47"/>
      <c r="K179" s="47"/>
      <c r="L179" s="45"/>
      <c r="M179" s="45"/>
      <c r="N179" s="46"/>
      <c r="O179" s="46"/>
      <c r="P179" s="45"/>
      <c r="Q179" s="45"/>
      <c r="R179" s="45"/>
      <c r="Y179" s="45"/>
      <c r="Z179" s="47"/>
      <c r="AA179" s="45"/>
      <c r="AB179" s="45"/>
      <c r="AC179" s="46"/>
      <c r="AD179" s="46"/>
    </row>
    <row r="180" spans="1:40">
      <c r="C180" s="42"/>
      <c r="F180" s="164"/>
      <c r="H180" s="164"/>
      <c r="I180" s="164"/>
      <c r="J180" s="52"/>
      <c r="K180" s="52"/>
      <c r="L180" s="164"/>
      <c r="M180" s="164"/>
      <c r="N180" s="46"/>
      <c r="O180" s="46"/>
      <c r="P180" s="45"/>
      <c r="Q180" s="45"/>
      <c r="R180" s="45"/>
      <c r="T180" s="42"/>
      <c r="V180" s="45"/>
      <c r="Y180" s="45"/>
      <c r="Z180" s="52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1:40">
      <c r="F181" s="164"/>
      <c r="H181" s="329"/>
      <c r="I181" s="329"/>
      <c r="J181" s="329"/>
      <c r="K181" s="329"/>
      <c r="R181" s="45"/>
      <c r="V181" s="45"/>
      <c r="Z181" s="329"/>
    </row>
    <row r="182" spans="1:40">
      <c r="C182" s="42"/>
      <c r="F182" s="164"/>
      <c r="H182" s="164"/>
      <c r="I182" s="164"/>
      <c r="J182" s="316"/>
      <c r="K182" s="316"/>
      <c r="L182" s="45"/>
      <c r="M182" s="45"/>
      <c r="N182" s="46"/>
      <c r="O182" s="46"/>
      <c r="P182" s="45"/>
      <c r="Q182" s="45"/>
      <c r="R182" s="45"/>
      <c r="T182" s="42"/>
      <c r="V182" s="45"/>
      <c r="Y182" s="45"/>
      <c r="Z182" s="316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1:40">
      <c r="F183" s="164"/>
      <c r="H183" s="329"/>
      <c r="I183" s="329"/>
      <c r="J183" s="329"/>
      <c r="K183" s="329"/>
      <c r="R183" s="45"/>
      <c r="V183" s="45"/>
      <c r="Z183" s="329"/>
    </row>
    <row r="184" spans="1:40">
      <c r="C184" s="42"/>
      <c r="F184" s="164"/>
      <c r="H184" s="164"/>
      <c r="I184" s="164"/>
      <c r="J184" s="331"/>
      <c r="K184" s="331"/>
      <c r="L184" s="45"/>
      <c r="M184" s="45"/>
      <c r="N184" s="46"/>
      <c r="O184" s="46"/>
      <c r="P184" s="45"/>
      <c r="Q184" s="45"/>
      <c r="R184" s="45"/>
      <c r="T184" s="42"/>
      <c r="V184" s="45"/>
      <c r="Y184" s="45"/>
      <c r="Z184" s="325"/>
      <c r="AA184" s="45"/>
      <c r="AB184" s="45"/>
      <c r="AC184" s="46"/>
      <c r="AD184" s="46"/>
      <c r="AE184" s="45"/>
      <c r="AF184" s="45"/>
      <c r="AH184" s="51"/>
      <c r="AI184" s="45"/>
      <c r="AJ184" s="45"/>
      <c r="AL184" s="45"/>
      <c r="AM184" s="46"/>
      <c r="AN184" s="46"/>
    </row>
    <row r="185" spans="1:40">
      <c r="F185" s="50"/>
      <c r="H185" s="50"/>
      <c r="I185" s="50"/>
      <c r="J185" s="326"/>
      <c r="K185" s="326"/>
      <c r="L185" s="50"/>
      <c r="M185" s="50"/>
      <c r="N185" s="50"/>
      <c r="O185" s="50"/>
      <c r="P185" s="50"/>
      <c r="Q185" s="50"/>
      <c r="R185" s="50"/>
      <c r="S185" s="45"/>
      <c r="V185" s="50"/>
      <c r="Y185" s="50"/>
      <c r="Z185" s="326"/>
      <c r="AA185" s="50"/>
      <c r="AB185" s="50"/>
      <c r="AC185" s="50"/>
      <c r="AD185" s="50"/>
      <c r="AE185" s="50"/>
      <c r="AF185" s="50"/>
      <c r="AI185" s="50"/>
      <c r="AJ185" s="50"/>
      <c r="AK185" s="111"/>
      <c r="AL185" s="50"/>
    </row>
    <row r="186" spans="1:40">
      <c r="D186" s="42"/>
      <c r="E186" s="42"/>
      <c r="F186" s="45"/>
      <c r="H186" s="45"/>
      <c r="I186" s="45"/>
      <c r="J186" s="47"/>
      <c r="K186" s="47"/>
      <c r="L186" s="45"/>
      <c r="M186" s="45"/>
      <c r="N186" s="46"/>
      <c r="O186" s="46"/>
      <c r="P186" s="164"/>
      <c r="Q186" s="164"/>
      <c r="R186" s="45"/>
      <c r="S186" s="45"/>
      <c r="U186" s="42"/>
      <c r="V186" s="45"/>
      <c r="Y186" s="45"/>
      <c r="Z186" s="47"/>
      <c r="AA186" s="45"/>
      <c r="AB186" s="45"/>
      <c r="AC186" s="46"/>
      <c r="AD186" s="46"/>
      <c r="AE186" s="45"/>
      <c r="AF186" s="45"/>
      <c r="AH186" s="51"/>
      <c r="AI186" s="164"/>
      <c r="AJ186" s="164"/>
      <c r="AL186" s="45"/>
      <c r="AM186" s="46"/>
      <c r="AN186" s="46"/>
    </row>
    <row r="187" spans="1:40">
      <c r="F187" s="50"/>
      <c r="H187" s="50"/>
      <c r="I187" s="50"/>
      <c r="J187" s="326"/>
      <c r="K187" s="326"/>
      <c r="L187" s="50"/>
      <c r="M187" s="50"/>
      <c r="N187" s="50"/>
      <c r="O187" s="50"/>
      <c r="P187" s="50"/>
      <c r="Q187" s="50"/>
      <c r="R187" s="50"/>
      <c r="S187" s="45"/>
      <c r="V187" s="50"/>
      <c r="Y187" s="50"/>
      <c r="Z187" s="326"/>
      <c r="AA187" s="50"/>
      <c r="AB187" s="50"/>
      <c r="AC187" s="50"/>
      <c r="AD187" s="50"/>
      <c r="AE187" s="50"/>
      <c r="AF187" s="50"/>
      <c r="AI187" s="50"/>
      <c r="AJ187" s="50"/>
      <c r="AK187" s="111"/>
      <c r="AL187" s="50"/>
    </row>
    <row r="188" spans="1:40">
      <c r="R188" s="45"/>
    </row>
    <row r="189" spans="1:40">
      <c r="F189" s="45"/>
      <c r="H189" s="45"/>
      <c r="I189" s="45"/>
      <c r="J189" s="47"/>
      <c r="K189" s="47"/>
      <c r="L189" s="45"/>
      <c r="M189" s="45"/>
      <c r="N189" s="45"/>
      <c r="O189" s="45"/>
      <c r="P189" s="45"/>
      <c r="Q189" s="45"/>
      <c r="R189" s="45"/>
      <c r="V189" s="45"/>
      <c r="Y189" s="45"/>
      <c r="Z189" s="47"/>
      <c r="AA189" s="45"/>
      <c r="AB189" s="45"/>
      <c r="AC189" s="45"/>
      <c r="AD189" s="45"/>
    </row>
    <row r="190" spans="1:40">
      <c r="C190" s="42"/>
      <c r="F190" s="45"/>
      <c r="H190" s="45"/>
      <c r="I190" s="45"/>
      <c r="J190" s="47"/>
      <c r="K190" s="47"/>
      <c r="L190" s="45"/>
      <c r="M190" s="45"/>
      <c r="N190" s="45"/>
      <c r="O190" s="45"/>
      <c r="P190" s="45"/>
      <c r="Q190" s="45"/>
      <c r="R190" s="45"/>
      <c r="T190" s="42"/>
      <c r="V190" s="45"/>
      <c r="Y190" s="45"/>
      <c r="Z190" s="47"/>
      <c r="AA190" s="45"/>
      <c r="AB190" s="45"/>
      <c r="AC190" s="45"/>
      <c r="AD190" s="45"/>
    </row>
    <row r="191" spans="1:40">
      <c r="C191" s="42"/>
      <c r="T191" s="42"/>
    </row>
    <row r="192" spans="1:40">
      <c r="A192" s="42"/>
    </row>
    <row r="195" spans="1:40">
      <c r="H195" s="42"/>
      <c r="I195" s="42"/>
      <c r="Y195" s="42"/>
    </row>
    <row r="197" spans="1:40">
      <c r="L197" s="42"/>
      <c r="M197" s="42"/>
      <c r="AA197" s="42"/>
      <c r="AB197" s="42"/>
    </row>
    <row r="198" spans="1:40">
      <c r="R198" s="42"/>
      <c r="AK198" s="110"/>
      <c r="AL198" s="42"/>
    </row>
    <row r="199" spans="1:40">
      <c r="R199" s="42"/>
      <c r="AK199" s="110"/>
      <c r="AL199" s="42"/>
    </row>
    <row r="200" spans="1:40">
      <c r="A200" s="42"/>
      <c r="R200" s="42"/>
      <c r="AK200" s="110"/>
      <c r="AL200" s="42"/>
    </row>
    <row r="201" spans="1:40">
      <c r="L201" s="42"/>
      <c r="M201" s="42"/>
      <c r="AA201" s="42"/>
      <c r="AB201" s="42"/>
    </row>
    <row r="202" spans="1:40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107"/>
      <c r="AH202" s="49"/>
      <c r="AI202" s="49"/>
      <c r="AJ202" s="49"/>
      <c r="AK202" s="107"/>
      <c r="AL202" s="49"/>
      <c r="AM202" s="49"/>
      <c r="AN202" s="49"/>
    </row>
    <row r="203" spans="1:40">
      <c r="L203" s="44"/>
      <c r="M203" s="44"/>
      <c r="N203" s="44"/>
      <c r="O203" s="44"/>
      <c r="R203" s="44"/>
      <c r="AA203" s="44"/>
      <c r="AB203" s="44"/>
      <c r="AC203" s="44"/>
      <c r="AD203" s="44"/>
      <c r="AE203" s="44"/>
      <c r="AF203" s="44"/>
      <c r="AG203" s="102"/>
      <c r="AH203" s="44"/>
      <c r="AK203" s="102"/>
      <c r="AL203" s="44"/>
      <c r="AM203" s="44"/>
      <c r="AN203" s="44"/>
    </row>
    <row r="204" spans="1:40">
      <c r="L204" s="44"/>
      <c r="M204" s="44"/>
      <c r="N204" s="44"/>
      <c r="O204" s="44"/>
      <c r="R204" s="44"/>
      <c r="Z204" s="44"/>
      <c r="AA204" s="44"/>
      <c r="AB204" s="44"/>
      <c r="AC204" s="44"/>
      <c r="AD204" s="44"/>
      <c r="AE204" s="44"/>
      <c r="AF204" s="44"/>
      <c r="AG204" s="102"/>
      <c r="AH204" s="44"/>
      <c r="AK204" s="102"/>
      <c r="AL204" s="44"/>
      <c r="AM204" s="44"/>
      <c r="AN204" s="44"/>
    </row>
    <row r="205" spans="1:40">
      <c r="A205" s="44"/>
      <c r="C205" s="44"/>
      <c r="D205" s="44"/>
      <c r="E205" s="44"/>
      <c r="F205" s="44"/>
      <c r="J205" s="44"/>
      <c r="K205" s="44"/>
      <c r="L205" s="44"/>
      <c r="M205" s="44"/>
      <c r="N205" s="44"/>
      <c r="O205" s="44"/>
      <c r="P205" s="44"/>
      <c r="Q205" s="44"/>
      <c r="R205" s="44"/>
      <c r="T205" s="44"/>
      <c r="U205" s="44"/>
      <c r="V205" s="44"/>
      <c r="Z205" s="44"/>
      <c r="AA205" s="44"/>
      <c r="AB205" s="44"/>
      <c r="AC205" s="44"/>
      <c r="AD205" s="44"/>
      <c r="AE205" s="44"/>
      <c r="AF205" s="44"/>
      <c r="AG205" s="102"/>
      <c r="AH205" s="44"/>
      <c r="AI205" s="44"/>
      <c r="AJ205" s="44"/>
      <c r="AK205" s="102"/>
      <c r="AL205" s="44"/>
      <c r="AM205" s="44"/>
      <c r="AN205" s="44"/>
    </row>
    <row r="206" spans="1:40">
      <c r="A206" s="44"/>
      <c r="C206" s="44"/>
      <c r="D206" s="44"/>
      <c r="E206" s="44"/>
      <c r="F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T206" s="44"/>
      <c r="U206" s="44"/>
      <c r="V206" s="44"/>
      <c r="Y206" s="44"/>
      <c r="Z206" s="44"/>
      <c r="AA206" s="44"/>
      <c r="AB206" s="44"/>
      <c r="AC206" s="44"/>
      <c r="AD206" s="44"/>
      <c r="AE206" s="44"/>
      <c r="AF206" s="44"/>
      <c r="AG206" s="102"/>
      <c r="AH206" s="44"/>
      <c r="AI206" s="44"/>
      <c r="AJ206" s="44"/>
      <c r="AK206" s="102"/>
      <c r="AL206" s="44"/>
      <c r="AM206" s="44"/>
      <c r="AN206" s="44"/>
    </row>
    <row r="207" spans="1:40">
      <c r="C207" s="44"/>
      <c r="D207" s="44"/>
      <c r="E207" s="44"/>
      <c r="F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T207" s="44"/>
      <c r="U207" s="44"/>
      <c r="V207" s="44"/>
      <c r="Y207" s="44"/>
      <c r="Z207" s="44"/>
      <c r="AA207" s="44"/>
      <c r="AB207" s="44"/>
      <c r="AC207" s="44"/>
      <c r="AD207" s="44"/>
      <c r="AE207" s="44"/>
      <c r="AF207" s="44"/>
      <c r="AG207" s="102"/>
      <c r="AH207" s="44"/>
      <c r="AI207" s="44"/>
      <c r="AJ207" s="44"/>
      <c r="AK207" s="102"/>
      <c r="AL207" s="44"/>
      <c r="AM207" s="44"/>
      <c r="AN207" s="44"/>
    </row>
    <row r="208" spans="1:40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107"/>
      <c r="AH208" s="49"/>
      <c r="AI208" s="49"/>
      <c r="AJ208" s="49"/>
      <c r="AK208" s="107"/>
      <c r="AL208" s="49"/>
      <c r="AM208" s="49"/>
      <c r="AN208" s="49"/>
    </row>
    <row r="209" spans="3:40"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Y209" s="44"/>
      <c r="Z209" s="44"/>
      <c r="AA209" s="44"/>
      <c r="AB209" s="44"/>
      <c r="AC209" s="44"/>
      <c r="AD209" s="44"/>
      <c r="AE209" s="44"/>
      <c r="AF209" s="44"/>
      <c r="AG209" s="102"/>
      <c r="AH209" s="44"/>
      <c r="AI209" s="44"/>
      <c r="AJ209" s="44"/>
      <c r="AK209" s="102"/>
      <c r="AL209" s="44"/>
      <c r="AM209" s="44"/>
      <c r="AN209" s="44"/>
    </row>
    <row r="210" spans="3:40">
      <c r="C210" s="42"/>
      <c r="D210" s="42"/>
      <c r="E210" s="42"/>
      <c r="T210" s="42"/>
      <c r="U210" s="42"/>
    </row>
    <row r="211" spans="3:40">
      <c r="D211" s="42"/>
      <c r="E211" s="42"/>
      <c r="U211" s="42"/>
    </row>
    <row r="213" spans="3:40">
      <c r="C213" s="42"/>
      <c r="F213" s="45"/>
      <c r="J213" s="53"/>
      <c r="K213" s="53"/>
      <c r="L213" s="45"/>
      <c r="M213" s="45"/>
      <c r="R213" s="45"/>
      <c r="T213" s="42"/>
      <c r="V213" s="45"/>
      <c r="Z213" s="53"/>
      <c r="AA213" s="45"/>
      <c r="AB213" s="45"/>
      <c r="AL213" s="45"/>
    </row>
    <row r="214" spans="3:40">
      <c r="F214" s="45"/>
      <c r="R214" s="45"/>
      <c r="V214" s="45"/>
      <c r="AL214" s="45"/>
    </row>
    <row r="215" spans="3:40">
      <c r="C215" s="42"/>
      <c r="F215" s="164"/>
      <c r="H215" s="164"/>
      <c r="I215" s="164"/>
      <c r="J215" s="316"/>
      <c r="K215" s="316"/>
      <c r="L215" s="45"/>
      <c r="M215" s="45"/>
      <c r="N215" s="46"/>
      <c r="O215" s="46"/>
      <c r="P215" s="45"/>
      <c r="Q215" s="45"/>
      <c r="R215" s="45"/>
      <c r="T215" s="42"/>
      <c r="V215" s="45"/>
      <c r="Y215" s="45"/>
      <c r="Z215" s="316"/>
      <c r="AA215" s="45"/>
      <c r="AB215" s="45"/>
      <c r="AC215" s="46"/>
      <c r="AD215" s="46"/>
      <c r="AE215" s="45"/>
      <c r="AF215" s="45"/>
      <c r="AH215" s="51"/>
      <c r="AI215" s="45"/>
      <c r="AJ215" s="45"/>
      <c r="AL215" s="45"/>
      <c r="AM215" s="46"/>
      <c r="AN215" s="46"/>
    </row>
    <row r="216" spans="3:40">
      <c r="C216" s="42"/>
      <c r="F216" s="164"/>
      <c r="H216" s="329"/>
      <c r="I216" s="329"/>
      <c r="J216" s="316"/>
      <c r="K216" s="316"/>
      <c r="L216" s="45"/>
      <c r="M216" s="45"/>
      <c r="N216" s="46"/>
      <c r="O216" s="46"/>
      <c r="P216" s="45"/>
      <c r="Q216" s="45"/>
      <c r="R216" s="45"/>
      <c r="T216" s="42"/>
      <c r="V216" s="45"/>
      <c r="Y216" s="45"/>
      <c r="Z216" s="316"/>
      <c r="AA216" s="45"/>
      <c r="AB216" s="45"/>
      <c r="AC216" s="46"/>
      <c r="AD216" s="46"/>
      <c r="AE216" s="45"/>
      <c r="AF216" s="45"/>
      <c r="AH216" s="51"/>
      <c r="AI216" s="45"/>
      <c r="AJ216" s="45"/>
      <c r="AL216" s="45"/>
      <c r="AM216" s="46"/>
      <c r="AN216" s="46"/>
    </row>
    <row r="217" spans="3:40">
      <c r="F217" s="50"/>
      <c r="H217" s="45"/>
      <c r="I217" s="45"/>
      <c r="J217" s="326"/>
      <c r="K217" s="326"/>
      <c r="L217" s="50"/>
      <c r="M217" s="50"/>
      <c r="N217" s="50"/>
      <c r="O217" s="50"/>
      <c r="P217" s="50"/>
      <c r="Q217" s="50"/>
      <c r="R217" s="50"/>
      <c r="V217" s="50"/>
      <c r="Y217" s="45"/>
      <c r="Z217" s="326"/>
      <c r="AA217" s="50"/>
      <c r="AB217" s="50"/>
      <c r="AC217" s="50"/>
      <c r="AD217" s="50"/>
      <c r="AE217" s="50"/>
      <c r="AF217" s="50"/>
      <c r="AI217" s="50"/>
      <c r="AJ217" s="50"/>
      <c r="AK217" s="111"/>
      <c r="AL217" s="50"/>
    </row>
    <row r="218" spans="3:40">
      <c r="C218" s="42"/>
      <c r="F218" s="45"/>
      <c r="H218" s="45"/>
      <c r="I218" s="45"/>
      <c r="J218" s="47"/>
      <c r="K218" s="47"/>
      <c r="L218" s="45"/>
      <c r="M218" s="45"/>
      <c r="N218" s="46"/>
      <c r="O218" s="46"/>
      <c r="P218" s="45"/>
      <c r="Q218" s="45"/>
      <c r="R218" s="45"/>
      <c r="T218" s="42"/>
      <c r="V218" s="45"/>
      <c r="Y218" s="45"/>
      <c r="Z218" s="47"/>
      <c r="AA218" s="45"/>
      <c r="AB218" s="45"/>
      <c r="AC218" s="46"/>
      <c r="AD218" s="46"/>
      <c r="AE218" s="45"/>
      <c r="AF218" s="45"/>
      <c r="AH218" s="51"/>
      <c r="AI218" s="45"/>
      <c r="AJ218" s="45"/>
      <c r="AL218" s="45"/>
      <c r="AM218" s="46"/>
      <c r="AN218" s="46"/>
    </row>
    <row r="219" spans="3:40">
      <c r="F219" s="50"/>
      <c r="H219" s="45"/>
      <c r="I219" s="45"/>
      <c r="J219" s="326"/>
      <c r="K219" s="326"/>
      <c r="L219" s="50"/>
      <c r="M219" s="50"/>
      <c r="N219" s="50"/>
      <c r="O219" s="50"/>
      <c r="P219" s="50"/>
      <c r="Q219" s="50"/>
      <c r="R219" s="50"/>
      <c r="V219" s="50"/>
      <c r="Y219" s="45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</row>
    <row r="220" spans="3:40">
      <c r="F220" s="45"/>
      <c r="R220" s="45"/>
      <c r="V220" s="45"/>
      <c r="AL220" s="45"/>
    </row>
    <row r="221" spans="3:40">
      <c r="C221" s="42"/>
      <c r="F221" s="45"/>
      <c r="R221" s="45"/>
      <c r="T221" s="42"/>
      <c r="V221" s="45"/>
      <c r="AL221" s="45"/>
    </row>
    <row r="222" spans="3:40">
      <c r="F222" s="45"/>
      <c r="R222" s="45"/>
      <c r="V222" s="45"/>
      <c r="AL222" s="45"/>
    </row>
    <row r="223" spans="3:40">
      <c r="C223" s="42"/>
      <c r="F223" s="45"/>
      <c r="H223" s="164"/>
      <c r="I223" s="164"/>
      <c r="J223" s="331"/>
      <c r="K223" s="331"/>
      <c r="L223" s="45"/>
      <c r="M223" s="45"/>
      <c r="N223" s="46"/>
      <c r="O223" s="46"/>
      <c r="P223" s="164"/>
      <c r="Q223" s="164"/>
      <c r="R223" s="45"/>
      <c r="T223" s="42"/>
      <c r="V223" s="45"/>
      <c r="Y223" s="45"/>
      <c r="Z223" s="325"/>
      <c r="AA223" s="45"/>
      <c r="AB223" s="45"/>
      <c r="AC223" s="46"/>
      <c r="AD223" s="46"/>
      <c r="AE223" s="45"/>
      <c r="AF223" s="45"/>
      <c r="AH223" s="51"/>
      <c r="AI223" s="164"/>
      <c r="AJ223" s="164"/>
      <c r="AL223" s="45"/>
      <c r="AM223" s="46"/>
      <c r="AN223" s="46"/>
    </row>
    <row r="224" spans="3:40">
      <c r="H224" s="50"/>
      <c r="I224" s="50"/>
      <c r="J224" s="326"/>
      <c r="K224" s="326"/>
      <c r="L224" s="50"/>
      <c r="M224" s="50"/>
      <c r="N224" s="50"/>
      <c r="O224" s="50"/>
      <c r="P224" s="50"/>
      <c r="Q224" s="50"/>
      <c r="R224" s="50"/>
      <c r="V224" s="50"/>
      <c r="Y224" s="50"/>
      <c r="Z224" s="326"/>
      <c r="AA224" s="50"/>
      <c r="AB224" s="50"/>
      <c r="AC224" s="50"/>
      <c r="AD224" s="50"/>
      <c r="AE224" s="50"/>
      <c r="AF224" s="50"/>
      <c r="AI224" s="50"/>
      <c r="AJ224" s="50"/>
      <c r="AK224" s="111"/>
      <c r="AL224" s="50"/>
    </row>
    <row r="225" spans="1:40">
      <c r="F225" s="50"/>
    </row>
    <row r="226" spans="1:40">
      <c r="C226" s="42"/>
      <c r="F226" s="45"/>
      <c r="H226" s="45"/>
      <c r="I226" s="45"/>
      <c r="J226" s="53"/>
      <c r="K226" s="53"/>
      <c r="L226" s="45"/>
      <c r="M226" s="45"/>
      <c r="N226" s="46"/>
      <c r="O226" s="46"/>
      <c r="P226" s="45"/>
      <c r="Q226" s="45"/>
      <c r="R226" s="45"/>
      <c r="T226" s="42"/>
      <c r="V226" s="45"/>
      <c r="Y226" s="45"/>
      <c r="Z226" s="53"/>
      <c r="AA226" s="45"/>
      <c r="AB226" s="45"/>
      <c r="AC226" s="46"/>
      <c r="AD226" s="46"/>
      <c r="AE226" s="45"/>
      <c r="AF226" s="45"/>
      <c r="AH226" s="51"/>
      <c r="AI226" s="45"/>
      <c r="AJ226" s="45"/>
      <c r="AL226" s="45"/>
      <c r="AM226" s="46"/>
      <c r="AN226" s="46"/>
    </row>
    <row r="227" spans="1:40">
      <c r="F227" s="50"/>
      <c r="H227" s="50"/>
      <c r="I227" s="50"/>
      <c r="J227" s="326"/>
      <c r="K227" s="326"/>
      <c r="L227" s="50"/>
      <c r="M227" s="50"/>
      <c r="N227" s="50"/>
      <c r="O227" s="50"/>
      <c r="P227" s="50"/>
      <c r="Q227" s="50"/>
      <c r="R227" s="50"/>
      <c r="V227" s="50"/>
      <c r="Y227" s="50"/>
      <c r="Z227" s="326"/>
      <c r="AA227" s="50"/>
      <c r="AB227" s="50"/>
      <c r="AC227" s="50"/>
      <c r="AD227" s="50"/>
      <c r="AE227" s="50"/>
      <c r="AF227" s="50"/>
      <c r="AI227" s="50"/>
      <c r="AJ227" s="50"/>
      <c r="AK227" s="111"/>
      <c r="AL227" s="50"/>
    </row>
    <row r="228" spans="1:40">
      <c r="R228" s="45"/>
      <c r="AH228" s="45"/>
    </row>
    <row r="229" spans="1:40">
      <c r="F229" s="45"/>
      <c r="H229" s="45"/>
      <c r="I229" s="45"/>
      <c r="J229" s="47"/>
      <c r="K229" s="47"/>
      <c r="L229" s="45"/>
      <c r="M229" s="45"/>
      <c r="N229" s="45"/>
      <c r="O229" s="45"/>
      <c r="P229" s="45"/>
      <c r="Q229" s="45"/>
      <c r="R229" s="45"/>
      <c r="V229" s="45"/>
      <c r="Y229" s="45"/>
      <c r="Z229" s="47"/>
      <c r="AA229" s="45"/>
      <c r="AB229" s="45"/>
      <c r="AC229" s="45"/>
      <c r="AD229" s="45"/>
      <c r="AE229" s="45"/>
      <c r="AF229" s="45"/>
      <c r="AH229" s="45"/>
    </row>
    <row r="230" spans="1:40">
      <c r="C230" s="42"/>
      <c r="F230" s="45"/>
      <c r="H230" s="45"/>
      <c r="I230" s="45"/>
      <c r="J230" s="47"/>
      <c r="K230" s="47"/>
      <c r="L230" s="45"/>
      <c r="M230" s="45"/>
      <c r="N230" s="45"/>
      <c r="O230" s="45"/>
      <c r="P230" s="45"/>
      <c r="Q230" s="45"/>
      <c r="R230" s="45"/>
      <c r="T230" s="42"/>
      <c r="V230" s="45"/>
      <c r="Y230" s="45"/>
      <c r="Z230" s="47"/>
      <c r="AA230" s="45"/>
      <c r="AB230" s="45"/>
      <c r="AC230" s="45"/>
      <c r="AD230" s="45"/>
      <c r="AE230" s="45"/>
      <c r="AF230" s="45"/>
      <c r="AH230" s="45"/>
    </row>
    <row r="231" spans="1:40">
      <c r="A231" s="42"/>
    </row>
    <row r="234" spans="1:40">
      <c r="H234" s="42"/>
      <c r="I234" s="42"/>
      <c r="Y234" s="42"/>
    </row>
    <row r="236" spans="1:40">
      <c r="L236" s="42"/>
      <c r="M236" s="42"/>
      <c r="AA236" s="42"/>
      <c r="AB236" s="42"/>
    </row>
    <row r="237" spans="1:40">
      <c r="R237" s="42"/>
      <c r="AK237" s="110"/>
      <c r="AL237" s="42"/>
    </row>
    <row r="238" spans="1:40">
      <c r="R238" s="42"/>
      <c r="AK238" s="110"/>
      <c r="AL238" s="42"/>
    </row>
    <row r="239" spans="1:40">
      <c r="A239" s="42"/>
      <c r="R239" s="42"/>
      <c r="AK239" s="110"/>
      <c r="AL239" s="42"/>
    </row>
    <row r="240" spans="1:40">
      <c r="L240" s="42"/>
      <c r="M240" s="42"/>
      <c r="AA240" s="42"/>
      <c r="AB240" s="42"/>
    </row>
    <row r="241" spans="1:40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107"/>
      <c r="AH241" s="49"/>
      <c r="AI241" s="49"/>
      <c r="AJ241" s="49"/>
      <c r="AK241" s="107"/>
      <c r="AL241" s="49"/>
      <c r="AM241" s="49"/>
      <c r="AN241" s="49"/>
    </row>
    <row r="242" spans="1:40">
      <c r="L242" s="44"/>
      <c r="M242" s="44"/>
      <c r="N242" s="44"/>
      <c r="O242" s="44"/>
      <c r="R242" s="44"/>
      <c r="AA242" s="44"/>
      <c r="AB242" s="44"/>
      <c r="AC242" s="44"/>
      <c r="AD242" s="44"/>
      <c r="AE242" s="44"/>
      <c r="AF242" s="44"/>
      <c r="AG242" s="102"/>
      <c r="AH242" s="44"/>
      <c r="AK242" s="102"/>
      <c r="AL242" s="44"/>
      <c r="AM242" s="44"/>
      <c r="AN242" s="44"/>
    </row>
    <row r="243" spans="1:40">
      <c r="L243" s="44"/>
      <c r="M243" s="44"/>
      <c r="N243" s="44"/>
      <c r="O243" s="44"/>
      <c r="R243" s="44"/>
      <c r="Z243" s="44"/>
      <c r="AA243" s="44"/>
      <c r="AB243" s="44"/>
      <c r="AC243" s="44"/>
      <c r="AD243" s="44"/>
      <c r="AE243" s="44"/>
      <c r="AF243" s="44"/>
      <c r="AG243" s="102"/>
      <c r="AH243" s="44"/>
      <c r="AK243" s="102"/>
      <c r="AL243" s="44"/>
      <c r="AM243" s="44"/>
      <c r="AN243" s="44"/>
    </row>
    <row r="244" spans="1:40">
      <c r="A244" s="44"/>
      <c r="C244" s="44"/>
      <c r="D244" s="44"/>
      <c r="E244" s="44"/>
      <c r="F244" s="44"/>
      <c r="J244" s="44"/>
      <c r="K244" s="44"/>
      <c r="L244" s="44"/>
      <c r="M244" s="44"/>
      <c r="N244" s="44"/>
      <c r="O244" s="44"/>
      <c r="P244" s="44"/>
      <c r="Q244" s="44"/>
      <c r="R244" s="44"/>
      <c r="T244" s="44"/>
      <c r="U244" s="44"/>
      <c r="V244" s="44"/>
      <c r="Z244" s="44"/>
      <c r="AA244" s="44"/>
      <c r="AB244" s="44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</row>
    <row r="245" spans="1:40">
      <c r="A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T245" s="44"/>
      <c r="U245" s="44"/>
      <c r="V245" s="44"/>
      <c r="Y245" s="44"/>
      <c r="Z245" s="44"/>
      <c r="AA245" s="44"/>
      <c r="AB245" s="44"/>
      <c r="AC245" s="44"/>
      <c r="AD245" s="44"/>
      <c r="AE245" s="44"/>
      <c r="AF245" s="44"/>
      <c r="AG245" s="102"/>
      <c r="AH245" s="44"/>
      <c r="AI245" s="44"/>
      <c r="AJ245" s="44"/>
      <c r="AK245" s="102"/>
      <c r="AL245" s="44"/>
      <c r="AM245" s="44"/>
      <c r="AN245" s="44"/>
    </row>
    <row r="246" spans="1:40">
      <c r="C246" s="44"/>
      <c r="D246" s="44"/>
      <c r="E246" s="44"/>
      <c r="F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T246" s="44"/>
      <c r="U246" s="44"/>
      <c r="V246" s="44"/>
      <c r="Y246" s="44"/>
      <c r="Z246" s="44"/>
      <c r="AA246" s="44"/>
      <c r="AB246" s="44"/>
      <c r="AC246" s="44"/>
      <c r="AD246" s="44"/>
      <c r="AE246" s="44"/>
      <c r="AF246" s="44"/>
      <c r="AG246" s="102"/>
      <c r="AH246" s="44"/>
      <c r="AI246" s="44"/>
      <c r="AJ246" s="44"/>
      <c r="AK246" s="102"/>
      <c r="AL246" s="44"/>
      <c r="AM246" s="44"/>
      <c r="AN246" s="44"/>
    </row>
    <row r="247" spans="1:40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107"/>
      <c r="AH247" s="49"/>
      <c r="AI247" s="49"/>
      <c r="AJ247" s="49"/>
      <c r="AK247" s="107"/>
      <c r="AL247" s="49"/>
      <c r="AM247" s="49"/>
      <c r="AN247" s="49"/>
    </row>
    <row r="248" spans="1:40"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Y248" s="44"/>
      <c r="Z248" s="44"/>
      <c r="AA248" s="44"/>
      <c r="AB248" s="44"/>
      <c r="AC248" s="44"/>
      <c r="AD248" s="44"/>
      <c r="AE248" s="44"/>
      <c r="AF248" s="44"/>
      <c r="AG248" s="102"/>
      <c r="AH248" s="44"/>
      <c r="AI248" s="44"/>
      <c r="AJ248" s="44"/>
      <c r="AK248" s="102"/>
      <c r="AL248" s="44"/>
      <c r="AM248" s="44"/>
      <c r="AN248" s="44"/>
    </row>
    <row r="249" spans="1:40">
      <c r="C249" s="42"/>
      <c r="D249" s="42"/>
      <c r="E249" s="42"/>
      <c r="T249" s="42"/>
      <c r="U249" s="42"/>
    </row>
    <row r="250" spans="1:40">
      <c r="C250" s="42"/>
      <c r="T250" s="42"/>
    </row>
    <row r="252" spans="1:40">
      <c r="C252" s="42"/>
      <c r="F252" s="164"/>
      <c r="H252" s="164"/>
      <c r="I252" s="164"/>
      <c r="J252" s="316"/>
      <c r="K252" s="316"/>
      <c r="L252" s="45"/>
      <c r="M252" s="45"/>
      <c r="N252" s="46"/>
      <c r="O252" s="46"/>
      <c r="R252" s="45"/>
      <c r="T252" s="42"/>
      <c r="V252" s="45"/>
      <c r="Y252" s="164"/>
      <c r="Z252" s="316"/>
      <c r="AA252" s="45"/>
      <c r="AB252" s="45"/>
      <c r="AC252" s="46"/>
      <c r="AD252" s="46"/>
      <c r="AE252" s="45"/>
      <c r="AF252" s="45"/>
      <c r="AH252" s="51"/>
      <c r="AL252" s="45"/>
      <c r="AM252" s="46"/>
      <c r="AN252" s="46"/>
    </row>
    <row r="253" spans="1:40">
      <c r="F253" s="50"/>
      <c r="H253" s="45"/>
      <c r="I253" s="45"/>
      <c r="J253" s="326"/>
      <c r="K253" s="326"/>
      <c r="L253" s="50"/>
      <c r="M253" s="50"/>
      <c r="N253" s="50"/>
      <c r="O253" s="50"/>
      <c r="P253" s="50"/>
      <c r="Q253" s="50"/>
      <c r="R253" s="50"/>
      <c r="V253" s="50"/>
      <c r="Y253" s="45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  <c r="AM253" s="46"/>
      <c r="AN253" s="46"/>
    </row>
    <row r="254" spans="1:40">
      <c r="C254" s="42"/>
      <c r="F254" s="164"/>
      <c r="H254" s="164"/>
      <c r="I254" s="164"/>
      <c r="J254" s="336"/>
      <c r="K254" s="336"/>
      <c r="L254" s="45"/>
      <c r="M254" s="45"/>
      <c r="N254" s="46"/>
      <c r="O254" s="46"/>
      <c r="P254" s="45"/>
      <c r="Q254" s="45"/>
      <c r="R254" s="45"/>
      <c r="S254" s="45"/>
      <c r="T254" s="42"/>
      <c r="V254" s="164"/>
      <c r="Y254" s="164"/>
      <c r="Z254" s="336"/>
      <c r="AA254" s="45"/>
      <c r="AB254" s="45"/>
      <c r="AC254" s="46"/>
      <c r="AD254" s="46"/>
      <c r="AE254" s="45"/>
      <c r="AF254" s="45"/>
      <c r="AH254" s="46"/>
      <c r="AI254" s="45"/>
      <c r="AJ254" s="45"/>
      <c r="AL254" s="45"/>
      <c r="AM254" s="46"/>
      <c r="AN254" s="46"/>
    </row>
    <row r="255" spans="1:40">
      <c r="C255" s="42"/>
      <c r="F255" s="164"/>
      <c r="H255" s="164"/>
      <c r="I255" s="164"/>
      <c r="J255" s="316"/>
      <c r="K255" s="316"/>
      <c r="L255" s="45"/>
      <c r="M255" s="45"/>
      <c r="N255" s="46"/>
      <c r="O255" s="46"/>
      <c r="P255" s="45"/>
      <c r="Q255" s="45"/>
      <c r="R255" s="45"/>
      <c r="T255" s="42"/>
      <c r="V255" s="164"/>
      <c r="Y255" s="45"/>
      <c r="Z255" s="316"/>
      <c r="AA255" s="45"/>
      <c r="AB255" s="45"/>
      <c r="AC255" s="46"/>
      <c r="AD255" s="46"/>
      <c r="AE255" s="45"/>
      <c r="AF255" s="45"/>
      <c r="AH255" s="51"/>
      <c r="AI255" s="45"/>
      <c r="AJ255" s="45"/>
      <c r="AL255" s="45"/>
      <c r="AM255" s="46"/>
      <c r="AN255" s="46"/>
    </row>
    <row r="256" spans="1:40">
      <c r="C256" s="42"/>
      <c r="F256" s="164"/>
      <c r="H256" s="164"/>
      <c r="I256" s="164"/>
      <c r="J256" s="316"/>
      <c r="K256" s="316"/>
      <c r="L256" s="45"/>
      <c r="M256" s="45"/>
      <c r="N256" s="46"/>
      <c r="O256" s="46"/>
      <c r="P256" s="45"/>
      <c r="Q256" s="45"/>
      <c r="R256" s="45"/>
      <c r="T256" s="42"/>
      <c r="V256" s="164"/>
      <c r="Y256" s="45"/>
      <c r="Z256" s="316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3:40">
      <c r="F257" s="50"/>
      <c r="H257" s="50"/>
      <c r="I257" s="50"/>
      <c r="J257" s="326"/>
      <c r="K257" s="326"/>
      <c r="L257" s="50"/>
      <c r="M257" s="50"/>
      <c r="N257" s="50"/>
      <c r="O257" s="50"/>
      <c r="P257" s="50"/>
      <c r="Q257" s="50"/>
      <c r="R257" s="50"/>
      <c r="V257" s="50"/>
      <c r="Y257" s="50"/>
      <c r="Z257" s="326"/>
      <c r="AA257" s="50"/>
      <c r="AB257" s="50"/>
      <c r="AC257" s="50"/>
      <c r="AD257" s="50"/>
      <c r="AE257" s="50"/>
      <c r="AF257" s="50"/>
      <c r="AI257" s="50"/>
      <c r="AJ257" s="50"/>
      <c r="AK257" s="111"/>
      <c r="AL257" s="50"/>
      <c r="AM257" s="46"/>
      <c r="AN257" s="46"/>
    </row>
    <row r="258" spans="3:40">
      <c r="C258" s="42"/>
      <c r="F258" s="45"/>
      <c r="H258" s="45"/>
      <c r="I258" s="45"/>
      <c r="J258" s="47"/>
      <c r="K258" s="47"/>
      <c r="L258" s="45"/>
      <c r="M258" s="45"/>
      <c r="N258" s="46"/>
      <c r="O258" s="46"/>
      <c r="P258" s="45"/>
      <c r="Q258" s="45"/>
      <c r="R258" s="45"/>
      <c r="T258" s="42"/>
      <c r="V258" s="45"/>
      <c r="Y258" s="45"/>
      <c r="Z258" s="47"/>
      <c r="AA258" s="45"/>
      <c r="AB258" s="45"/>
      <c r="AC258" s="46"/>
      <c r="AD258" s="46"/>
      <c r="AE258" s="45"/>
      <c r="AF258" s="45"/>
      <c r="AH258" s="51"/>
      <c r="AI258" s="45"/>
      <c r="AJ258" s="45"/>
      <c r="AL258" s="45"/>
      <c r="AM258" s="46"/>
      <c r="AN258" s="46"/>
    </row>
    <row r="259" spans="3:40">
      <c r="F259" s="50"/>
      <c r="H259" s="50"/>
      <c r="I259" s="50"/>
      <c r="J259" s="326"/>
      <c r="K259" s="326"/>
      <c r="L259" s="50"/>
      <c r="M259" s="50"/>
      <c r="N259" s="50"/>
      <c r="O259" s="50"/>
      <c r="P259" s="50"/>
      <c r="Q259" s="50"/>
      <c r="R259" s="50"/>
      <c r="V259" s="50"/>
      <c r="Y259" s="50"/>
      <c r="Z259" s="326"/>
      <c r="AA259" s="50"/>
      <c r="AB259" s="50"/>
      <c r="AC259" s="50"/>
      <c r="AD259" s="50"/>
      <c r="AE259" s="50"/>
      <c r="AF259" s="50"/>
      <c r="AI259" s="50"/>
      <c r="AJ259" s="50"/>
      <c r="AK259" s="111"/>
      <c r="AL259" s="50"/>
      <c r="AM259" s="46"/>
      <c r="AN259" s="46"/>
    </row>
    <row r="260" spans="3:40">
      <c r="C260" s="42"/>
      <c r="F260" s="45"/>
      <c r="H260" s="45"/>
      <c r="I260" s="45"/>
      <c r="J260" s="47"/>
      <c r="K260" s="47"/>
      <c r="L260" s="45"/>
      <c r="M260" s="45"/>
      <c r="N260" s="46"/>
      <c r="O260" s="46"/>
      <c r="P260" s="45"/>
      <c r="Q260" s="45"/>
      <c r="R260" s="45"/>
      <c r="T260" s="42"/>
      <c r="V260" s="45"/>
      <c r="Y260" s="45"/>
      <c r="Z260" s="47"/>
      <c r="AA260" s="45"/>
      <c r="AB260" s="45"/>
      <c r="AC260" s="46"/>
      <c r="AD260" s="46"/>
      <c r="AE260" s="45"/>
      <c r="AF260" s="45"/>
      <c r="AH260" s="51"/>
      <c r="AI260" s="45"/>
      <c r="AJ260" s="45"/>
      <c r="AL260" s="45"/>
      <c r="AM260" s="46"/>
      <c r="AN260" s="46"/>
    </row>
    <row r="261" spans="3:40">
      <c r="C261" s="42"/>
      <c r="F261" s="45"/>
      <c r="H261" s="164"/>
      <c r="I261" s="164"/>
      <c r="J261" s="331"/>
      <c r="K261" s="331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3:40"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  <c r="AM262" s="46"/>
      <c r="AN262" s="46"/>
    </row>
    <row r="263" spans="3:40">
      <c r="F263" s="50"/>
    </row>
    <row r="264" spans="3:40">
      <c r="C264" s="42"/>
      <c r="F264" s="45"/>
      <c r="H264" s="45"/>
      <c r="I264" s="45"/>
      <c r="J264" s="326"/>
      <c r="K264" s="326"/>
      <c r="L264" s="45"/>
      <c r="M264" s="45"/>
      <c r="N264" s="46"/>
      <c r="O264" s="46"/>
      <c r="P264" s="45"/>
      <c r="Q264" s="45"/>
      <c r="R264" s="45"/>
      <c r="S264" s="45"/>
      <c r="T264" s="42"/>
      <c r="V264" s="45"/>
      <c r="Y264" s="45"/>
      <c r="Z264" s="326"/>
      <c r="AA264" s="45"/>
      <c r="AB264" s="45"/>
      <c r="AC264" s="46"/>
      <c r="AD264" s="46"/>
      <c r="AE264" s="45"/>
      <c r="AF264" s="45"/>
      <c r="AH264" s="46"/>
      <c r="AI264" s="45"/>
      <c r="AJ264" s="45"/>
      <c r="AL264" s="45"/>
      <c r="AM264" s="46"/>
      <c r="AN264" s="46"/>
    </row>
    <row r="265" spans="3:40">
      <c r="F265" s="50"/>
      <c r="H265" s="50"/>
      <c r="I265" s="50"/>
      <c r="J265" s="326"/>
      <c r="K265" s="326"/>
      <c r="L265" s="50"/>
      <c r="M265" s="50"/>
      <c r="N265" s="50"/>
      <c r="O265" s="50"/>
      <c r="P265" s="50"/>
      <c r="Q265" s="50"/>
      <c r="R265" s="50"/>
      <c r="S265" s="45"/>
      <c r="V265" s="50"/>
      <c r="Y265" s="50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  <c r="AM265" s="46"/>
      <c r="AN265" s="46"/>
    </row>
    <row r="266" spans="3:40">
      <c r="C266" s="42"/>
      <c r="H266" s="164"/>
      <c r="I266" s="164"/>
      <c r="J266" s="326"/>
      <c r="K266" s="326"/>
      <c r="L266" s="45"/>
      <c r="M266" s="45"/>
      <c r="N266" s="46"/>
      <c r="O266" s="46"/>
      <c r="P266" s="45"/>
      <c r="Q266" s="45"/>
      <c r="R266" s="45"/>
      <c r="S266" s="45"/>
      <c r="T266" s="42"/>
      <c r="V266" s="164"/>
      <c r="Y266" s="164"/>
      <c r="Z266" s="326"/>
      <c r="AA266" s="45"/>
      <c r="AB266" s="45"/>
      <c r="AC266" s="46"/>
      <c r="AD266" s="46"/>
      <c r="AE266" s="45"/>
      <c r="AF266" s="45"/>
      <c r="AI266" s="45"/>
      <c r="AJ266" s="45"/>
      <c r="AL266" s="45"/>
      <c r="AM266" s="46"/>
      <c r="AN266" s="46"/>
    </row>
    <row r="267" spans="3:40">
      <c r="F267" s="164"/>
    </row>
    <row r="268" spans="3:40">
      <c r="C268" s="42"/>
      <c r="F268" s="164"/>
      <c r="H268" s="164"/>
      <c r="I268" s="164"/>
      <c r="J268" s="316"/>
      <c r="K268" s="316"/>
      <c r="L268" s="45"/>
      <c r="M268" s="45"/>
      <c r="N268" s="46"/>
      <c r="O268" s="46"/>
      <c r="R268" s="45"/>
      <c r="T268" s="42"/>
      <c r="V268" s="45"/>
      <c r="Y268" s="164"/>
      <c r="Z268" s="316"/>
      <c r="AA268" s="45"/>
      <c r="AB268" s="45"/>
      <c r="AC268" s="46"/>
      <c r="AD268" s="46"/>
      <c r="AE268" s="45"/>
      <c r="AF268" s="45"/>
      <c r="AH268" s="51"/>
      <c r="AL268" s="45"/>
      <c r="AM268" s="46"/>
      <c r="AN268" s="46"/>
    </row>
    <row r="269" spans="3:40">
      <c r="F269" s="50"/>
      <c r="H269" s="45"/>
      <c r="I269" s="45"/>
      <c r="J269" s="326"/>
      <c r="K269" s="326"/>
      <c r="L269" s="50"/>
      <c r="M269" s="50"/>
      <c r="N269" s="50"/>
      <c r="O269" s="50"/>
      <c r="P269" s="50"/>
      <c r="Q269" s="50"/>
      <c r="R269" s="50"/>
      <c r="V269" s="50"/>
      <c r="Y269" s="45"/>
      <c r="Z269" s="326"/>
      <c r="AA269" s="50"/>
      <c r="AB269" s="50"/>
      <c r="AC269" s="50"/>
      <c r="AD269" s="50"/>
      <c r="AE269" s="50"/>
      <c r="AF269" s="50"/>
      <c r="AI269" s="50"/>
      <c r="AJ269" s="50"/>
      <c r="AK269" s="111"/>
      <c r="AL269" s="50"/>
      <c r="AM269" s="46"/>
      <c r="AN269" s="46"/>
    </row>
    <row r="270" spans="3:40">
      <c r="C270" s="42"/>
      <c r="F270" s="164"/>
      <c r="H270" s="164"/>
      <c r="I270" s="164"/>
      <c r="J270" s="336"/>
      <c r="K270" s="336"/>
      <c r="L270" s="45"/>
      <c r="M270" s="45"/>
      <c r="N270" s="46"/>
      <c r="O270" s="46"/>
      <c r="P270" s="45"/>
      <c r="Q270" s="45"/>
      <c r="R270" s="45"/>
      <c r="S270" s="45"/>
      <c r="T270" s="42"/>
      <c r="V270" s="164"/>
      <c r="Y270" s="164"/>
      <c r="Z270" s="336"/>
      <c r="AA270" s="45"/>
      <c r="AB270" s="45"/>
      <c r="AC270" s="46"/>
      <c r="AD270" s="46"/>
      <c r="AE270" s="45"/>
      <c r="AF270" s="45"/>
      <c r="AH270" s="46"/>
      <c r="AI270" s="45"/>
      <c r="AJ270" s="45"/>
      <c r="AL270" s="45"/>
      <c r="AM270" s="46"/>
      <c r="AN270" s="46"/>
    </row>
    <row r="271" spans="3:40">
      <c r="C271" s="42"/>
      <c r="F271" s="164"/>
      <c r="H271" s="164"/>
      <c r="I271" s="164"/>
      <c r="J271" s="316"/>
      <c r="K271" s="316"/>
      <c r="L271" s="45"/>
      <c r="M271" s="45"/>
      <c r="N271" s="46"/>
      <c r="O271" s="46"/>
      <c r="P271" s="45"/>
      <c r="Q271" s="45"/>
      <c r="R271" s="45"/>
      <c r="T271" s="42"/>
      <c r="V271" s="164"/>
      <c r="Y271" s="45"/>
      <c r="Z271" s="316"/>
      <c r="AA271" s="45"/>
      <c r="AB271" s="45"/>
      <c r="AC271" s="46"/>
      <c r="AD271" s="46"/>
      <c r="AE271" s="45"/>
      <c r="AF271" s="45"/>
      <c r="AH271" s="51"/>
      <c r="AI271" s="45"/>
      <c r="AJ271" s="45"/>
      <c r="AL271" s="45"/>
      <c r="AM271" s="46"/>
      <c r="AN271" s="46"/>
    </row>
    <row r="272" spans="3:40">
      <c r="C272" s="42"/>
      <c r="F272" s="164"/>
      <c r="H272" s="164"/>
      <c r="I272" s="164"/>
      <c r="J272" s="316"/>
      <c r="K272" s="316"/>
      <c r="L272" s="45"/>
      <c r="M272" s="45"/>
      <c r="N272" s="46"/>
      <c r="O272" s="46"/>
      <c r="P272" s="45"/>
      <c r="Q272" s="45"/>
      <c r="R272" s="45"/>
      <c r="T272" s="42"/>
      <c r="V272" s="164"/>
      <c r="Y272" s="45"/>
      <c r="Z272" s="316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>
      <c r="F273" s="50"/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  <c r="AM273" s="46"/>
      <c r="AN273" s="46"/>
    </row>
    <row r="274" spans="1:40">
      <c r="C274" s="42"/>
      <c r="F274" s="45"/>
      <c r="H274" s="45"/>
      <c r="I274" s="45"/>
      <c r="J274" s="47"/>
      <c r="K274" s="47"/>
      <c r="L274" s="45"/>
      <c r="M274" s="45"/>
      <c r="N274" s="46"/>
      <c r="O274" s="46"/>
      <c r="P274" s="45"/>
      <c r="Q274" s="45"/>
      <c r="R274" s="45"/>
      <c r="T274" s="42"/>
      <c r="V274" s="45"/>
      <c r="Y274" s="45"/>
      <c r="Z274" s="47"/>
      <c r="AA274" s="45"/>
      <c r="AB274" s="45"/>
      <c r="AC274" s="46"/>
      <c r="AD274" s="46"/>
      <c r="AE274" s="45"/>
      <c r="AF274" s="45"/>
      <c r="AH274" s="51"/>
      <c r="AI274" s="45"/>
      <c r="AJ274" s="45"/>
      <c r="AL274" s="45"/>
      <c r="AM274" s="46"/>
      <c r="AN274" s="46"/>
    </row>
    <row r="275" spans="1:40">
      <c r="F275" s="50"/>
      <c r="H275" s="50"/>
      <c r="I275" s="50"/>
      <c r="J275" s="326"/>
      <c r="K275" s="326"/>
      <c r="L275" s="50"/>
      <c r="M275" s="50"/>
      <c r="N275" s="50"/>
      <c r="O275" s="50"/>
      <c r="P275" s="50"/>
      <c r="Q275" s="50"/>
      <c r="R275" s="50"/>
      <c r="V275" s="50"/>
      <c r="Y275" s="50"/>
      <c r="Z275" s="326"/>
      <c r="AA275" s="50"/>
      <c r="AB275" s="50"/>
      <c r="AC275" s="50"/>
      <c r="AD275" s="50"/>
      <c r="AE275" s="50"/>
      <c r="AF275" s="50"/>
      <c r="AI275" s="50"/>
      <c r="AJ275" s="50"/>
      <c r="AK275" s="111"/>
      <c r="AL275" s="50"/>
      <c r="AM275" s="46"/>
      <c r="AN275" s="46"/>
    </row>
    <row r="276" spans="1:40">
      <c r="C276" s="42"/>
      <c r="F276" s="45"/>
      <c r="H276" s="45"/>
      <c r="I276" s="45"/>
      <c r="J276" s="47"/>
      <c r="K276" s="47"/>
      <c r="L276" s="45"/>
      <c r="M276" s="45"/>
      <c r="N276" s="46"/>
      <c r="O276" s="46"/>
      <c r="P276" s="45"/>
      <c r="Q276" s="45"/>
      <c r="R276" s="45"/>
      <c r="T276" s="42"/>
      <c r="V276" s="45"/>
      <c r="Y276" s="45"/>
      <c r="Z276" s="47"/>
      <c r="AA276" s="45"/>
      <c r="AB276" s="45"/>
      <c r="AC276" s="46"/>
      <c r="AD276" s="46"/>
      <c r="AE276" s="45"/>
      <c r="AF276" s="45"/>
      <c r="AH276" s="51"/>
      <c r="AI276" s="45"/>
      <c r="AJ276" s="45"/>
      <c r="AL276" s="45"/>
      <c r="AM276" s="46"/>
      <c r="AN276" s="46"/>
    </row>
    <row r="277" spans="1:40">
      <c r="C277" s="42"/>
      <c r="F277" s="45"/>
      <c r="H277" s="164"/>
      <c r="I277" s="164"/>
      <c r="J277" s="331"/>
      <c r="K277" s="331"/>
      <c r="L277" s="45"/>
      <c r="M277" s="45"/>
      <c r="N277" s="46"/>
      <c r="O277" s="46"/>
      <c r="P277" s="45"/>
      <c r="Q277" s="45"/>
      <c r="R277" s="45"/>
      <c r="T277" s="42"/>
      <c r="V277" s="45"/>
      <c r="Y277" s="45"/>
      <c r="Z277" s="325"/>
      <c r="AA277" s="45"/>
      <c r="AB277" s="45"/>
      <c r="AC277" s="46"/>
      <c r="AD277" s="46"/>
      <c r="AE277" s="45"/>
      <c r="AF277" s="45"/>
      <c r="AH277" s="51"/>
      <c r="AI277" s="45"/>
      <c r="AJ277" s="45"/>
      <c r="AL277" s="45"/>
      <c r="AM277" s="46"/>
      <c r="AN277" s="46"/>
    </row>
    <row r="278" spans="1:40">
      <c r="H278" s="50"/>
      <c r="I278" s="50"/>
      <c r="J278" s="326"/>
      <c r="K278" s="326"/>
      <c r="L278" s="50"/>
      <c r="M278" s="50"/>
      <c r="N278" s="50"/>
      <c r="O278" s="50"/>
      <c r="P278" s="50"/>
      <c r="Q278" s="50"/>
      <c r="R278" s="50"/>
      <c r="V278" s="50"/>
      <c r="Y278" s="50"/>
      <c r="Z278" s="326"/>
      <c r="AA278" s="50"/>
      <c r="AB278" s="50"/>
      <c r="AC278" s="50"/>
      <c r="AD278" s="50"/>
      <c r="AE278" s="50"/>
      <c r="AF278" s="50"/>
      <c r="AI278" s="50"/>
      <c r="AJ278" s="50"/>
      <c r="AK278" s="111"/>
      <c r="AL278" s="50"/>
      <c r="AM278" s="46"/>
      <c r="AN278" s="46"/>
    </row>
    <row r="279" spans="1:40">
      <c r="F279" s="50"/>
    </row>
    <row r="280" spans="1:40">
      <c r="C280" s="42"/>
      <c r="F280" s="45"/>
      <c r="H280" s="45"/>
      <c r="I280" s="45"/>
      <c r="J280" s="326"/>
      <c r="K280" s="326"/>
      <c r="L280" s="45"/>
      <c r="M280" s="45"/>
      <c r="N280" s="46"/>
      <c r="O280" s="46"/>
      <c r="P280" s="45"/>
      <c r="Q280" s="45"/>
      <c r="R280" s="45"/>
      <c r="S280" s="45"/>
      <c r="T280" s="42"/>
      <c r="V280" s="45"/>
      <c r="Y280" s="45"/>
      <c r="Z280" s="326"/>
      <c r="AA280" s="45"/>
      <c r="AB280" s="45"/>
      <c r="AC280" s="46"/>
      <c r="AD280" s="46"/>
      <c r="AE280" s="45"/>
      <c r="AF280" s="45"/>
      <c r="AH280" s="46"/>
      <c r="AI280" s="45"/>
      <c r="AJ280" s="45"/>
      <c r="AL280" s="45"/>
      <c r="AM280" s="46"/>
      <c r="AN280" s="46"/>
    </row>
    <row r="281" spans="1:40">
      <c r="F281" s="50"/>
      <c r="H281" s="50"/>
      <c r="I281" s="50"/>
      <c r="J281" s="326"/>
      <c r="K281" s="326"/>
      <c r="L281" s="50"/>
      <c r="M281" s="50"/>
      <c r="N281" s="50"/>
      <c r="O281" s="50"/>
      <c r="P281" s="50"/>
      <c r="Q281" s="50"/>
      <c r="R281" s="50"/>
      <c r="S281" s="45"/>
      <c r="V281" s="50"/>
      <c r="Y281" s="50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  <c r="AM281" s="46"/>
      <c r="AN281" s="46"/>
    </row>
    <row r="282" spans="1:40">
      <c r="C282" s="42"/>
      <c r="T282" s="42"/>
    </row>
    <row r="283" spans="1:40">
      <c r="C283" s="42"/>
      <c r="F283" s="45"/>
      <c r="H283" s="45"/>
      <c r="I283" s="45"/>
      <c r="L283" s="45"/>
      <c r="M283" s="45"/>
      <c r="N283" s="46"/>
      <c r="O283" s="46"/>
      <c r="P283" s="164"/>
      <c r="Q283" s="164"/>
      <c r="R283" s="45"/>
      <c r="T283" s="42"/>
      <c r="V283" s="45"/>
      <c r="Y283" s="45"/>
      <c r="AA283" s="45"/>
      <c r="AB283" s="45"/>
      <c r="AC283" s="46"/>
      <c r="AD283" s="46"/>
      <c r="AE283" s="45"/>
      <c r="AF283" s="45"/>
      <c r="AH283" s="46"/>
      <c r="AI283" s="164"/>
      <c r="AJ283" s="164"/>
      <c r="AL283" s="45"/>
      <c r="AM283" s="46"/>
      <c r="AN283" s="46"/>
    </row>
    <row r="284" spans="1:40">
      <c r="H284" s="50"/>
      <c r="I284" s="50"/>
      <c r="J284" s="326"/>
      <c r="K284" s="326"/>
      <c r="L284" s="50"/>
      <c r="M284" s="50"/>
      <c r="N284" s="50"/>
      <c r="O284" s="50"/>
      <c r="P284" s="50"/>
      <c r="Q284" s="50"/>
      <c r="R284" s="50"/>
      <c r="V284" s="50"/>
      <c r="Y284" s="50"/>
      <c r="Z284" s="326"/>
      <c r="AA284" s="50"/>
      <c r="AB284" s="50"/>
      <c r="AC284" s="50"/>
      <c r="AD284" s="50"/>
      <c r="AE284" s="50"/>
      <c r="AF284" s="50"/>
      <c r="AI284" s="50"/>
      <c r="AJ284" s="50"/>
      <c r="AK284" s="111"/>
      <c r="AL284" s="50"/>
    </row>
    <row r="285" spans="1:40">
      <c r="F285" s="50"/>
    </row>
    <row r="286" spans="1:40">
      <c r="C286" s="42"/>
      <c r="L286" s="45"/>
      <c r="M286" s="45"/>
      <c r="N286" s="45"/>
      <c r="O286" s="45"/>
      <c r="P286" s="45"/>
      <c r="Q286" s="45"/>
      <c r="R286" s="45"/>
      <c r="S286" s="45"/>
      <c r="T286" s="42"/>
      <c r="AA286" s="45"/>
      <c r="AB286" s="45"/>
      <c r="AC286" s="45"/>
      <c r="AD286" s="45"/>
      <c r="AI286" s="45"/>
      <c r="AJ286" s="45"/>
      <c r="AL286" s="45"/>
    </row>
    <row r="287" spans="1:40">
      <c r="A287" s="42"/>
    </row>
    <row r="289" spans="1:40">
      <c r="H289" s="42"/>
      <c r="I289" s="42"/>
      <c r="Y289" s="42"/>
    </row>
    <row r="291" spans="1:40">
      <c r="L291" s="42"/>
      <c r="M291" s="42"/>
      <c r="AA291" s="42"/>
      <c r="AB291" s="42"/>
    </row>
    <row r="292" spans="1:40">
      <c r="R292" s="42"/>
      <c r="AK292" s="110"/>
      <c r="AL292" s="42"/>
    </row>
    <row r="293" spans="1:40">
      <c r="R293" s="42"/>
      <c r="AK293" s="110"/>
      <c r="AL293" s="42"/>
    </row>
    <row r="294" spans="1:40">
      <c r="A294" s="42"/>
      <c r="R294" s="42"/>
      <c r="AK294" s="110"/>
      <c r="AL294" s="42"/>
    </row>
    <row r="295" spans="1:40">
      <c r="L295" s="42"/>
      <c r="M295" s="42"/>
      <c r="AA295" s="42"/>
      <c r="AB295" s="42"/>
    </row>
    <row r="296" spans="1:40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107"/>
      <c r="AH296" s="49"/>
      <c r="AI296" s="49"/>
      <c r="AJ296" s="49"/>
      <c r="AK296" s="107"/>
      <c r="AL296" s="49"/>
      <c r="AM296" s="49"/>
      <c r="AN296" s="49"/>
    </row>
    <row r="297" spans="1:40">
      <c r="L297" s="44"/>
      <c r="M297" s="44"/>
      <c r="N297" s="44"/>
      <c r="O297" s="44"/>
      <c r="R297" s="44"/>
      <c r="AA297" s="44"/>
      <c r="AB297" s="44"/>
      <c r="AC297" s="44"/>
      <c r="AD297" s="44"/>
      <c r="AE297" s="44"/>
      <c r="AF297" s="44"/>
      <c r="AG297" s="102"/>
      <c r="AH297" s="44"/>
      <c r="AK297" s="102"/>
      <c r="AL297" s="44"/>
      <c r="AM297" s="44"/>
      <c r="AN297" s="44"/>
    </row>
    <row r="298" spans="1:40">
      <c r="L298" s="44"/>
      <c r="M298" s="44"/>
      <c r="N298" s="44"/>
      <c r="O298" s="44"/>
      <c r="R298" s="44"/>
      <c r="Z298" s="44"/>
      <c r="AA298" s="44"/>
      <c r="AB298" s="44"/>
      <c r="AC298" s="44"/>
      <c r="AD298" s="44"/>
      <c r="AE298" s="44"/>
      <c r="AF298" s="44"/>
      <c r="AG298" s="102"/>
      <c r="AH298" s="44"/>
      <c r="AK298" s="102"/>
      <c r="AL298" s="44"/>
      <c r="AM298" s="44"/>
      <c r="AN298" s="44"/>
    </row>
    <row r="299" spans="1:40">
      <c r="A299" s="44"/>
      <c r="C299" s="44"/>
      <c r="D299" s="44"/>
      <c r="E299" s="44"/>
      <c r="F299" s="44"/>
      <c r="J299" s="44"/>
      <c r="K299" s="44"/>
      <c r="L299" s="44"/>
      <c r="M299" s="44"/>
      <c r="N299" s="44"/>
      <c r="O299" s="44"/>
      <c r="P299" s="44"/>
      <c r="Q299" s="44"/>
      <c r="R299" s="44"/>
      <c r="T299" s="44"/>
      <c r="U299" s="44"/>
      <c r="V299" s="44"/>
      <c r="Z299" s="44"/>
      <c r="AA299" s="44"/>
      <c r="AB299" s="44"/>
      <c r="AC299" s="44"/>
      <c r="AD299" s="44"/>
      <c r="AE299" s="44"/>
      <c r="AF299" s="44"/>
      <c r="AG299" s="102"/>
      <c r="AH299" s="44"/>
      <c r="AI299" s="44"/>
      <c r="AJ299" s="44"/>
      <c r="AK299" s="102"/>
      <c r="AL299" s="44"/>
      <c r="AM299" s="44"/>
      <c r="AN299" s="44"/>
    </row>
    <row r="300" spans="1:40">
      <c r="A300" s="44"/>
      <c r="C300" s="44"/>
      <c r="D300" s="44"/>
      <c r="E300" s="44"/>
      <c r="F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T300" s="44"/>
      <c r="U300" s="44"/>
      <c r="V300" s="44"/>
      <c r="Y300" s="44"/>
      <c r="Z300" s="44"/>
      <c r="AA300" s="44"/>
      <c r="AB300" s="44"/>
      <c r="AC300" s="44"/>
      <c r="AD300" s="44"/>
      <c r="AE300" s="44"/>
      <c r="AF300" s="44"/>
      <c r="AG300" s="102"/>
      <c r="AH300" s="44"/>
      <c r="AI300" s="44"/>
      <c r="AJ300" s="44"/>
      <c r="AK300" s="102"/>
      <c r="AL300" s="44"/>
      <c r="AM300" s="44"/>
      <c r="AN300" s="44"/>
    </row>
    <row r="301" spans="1:40">
      <c r="C301" s="44"/>
      <c r="D301" s="44"/>
      <c r="E301" s="44"/>
      <c r="F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T301" s="44"/>
      <c r="U301" s="44"/>
      <c r="V301" s="44"/>
      <c r="Y301" s="44"/>
      <c r="Z301" s="44"/>
      <c r="AA301" s="44"/>
      <c r="AB301" s="44"/>
      <c r="AC301" s="44"/>
      <c r="AD301" s="44"/>
      <c r="AE301" s="44"/>
      <c r="AF301" s="44"/>
      <c r="AG301" s="102"/>
      <c r="AH301" s="44"/>
      <c r="AI301" s="44"/>
      <c r="AJ301" s="44"/>
      <c r="AK301" s="102"/>
      <c r="AL301" s="44"/>
      <c r="AM301" s="44"/>
      <c r="AN301" s="44"/>
    </row>
    <row r="302" spans="1:40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107"/>
      <c r="AH302" s="49"/>
      <c r="AI302" s="49"/>
      <c r="AJ302" s="49"/>
      <c r="AK302" s="107"/>
      <c r="AL302" s="49"/>
      <c r="AM302" s="49"/>
      <c r="AN302" s="49"/>
    </row>
    <row r="303" spans="1:40"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Y303" s="44"/>
      <c r="Z303" s="44"/>
      <c r="AA303" s="44"/>
      <c r="AB303" s="44"/>
      <c r="AC303" s="44"/>
      <c r="AD303" s="44"/>
      <c r="AE303" s="44"/>
      <c r="AF303" s="44"/>
      <c r="AG303" s="102"/>
      <c r="AH303" s="44"/>
      <c r="AI303" s="44"/>
      <c r="AJ303" s="44"/>
      <c r="AK303" s="102"/>
      <c r="AL303" s="44"/>
      <c r="AM303" s="44"/>
      <c r="AN303" s="44"/>
    </row>
    <row r="304" spans="1:40">
      <c r="C304" s="42"/>
      <c r="D304" s="42"/>
      <c r="E304" s="42"/>
      <c r="T304" s="42"/>
      <c r="U304" s="42"/>
    </row>
    <row r="305" spans="3:40">
      <c r="D305" s="42"/>
      <c r="E305" s="42"/>
      <c r="U305" s="42"/>
    </row>
    <row r="307" spans="3:40">
      <c r="C307" s="42"/>
      <c r="T307" s="42"/>
    </row>
    <row r="308" spans="3:40">
      <c r="C308" s="42"/>
      <c r="F308" s="164"/>
      <c r="H308" s="164"/>
      <c r="I308" s="164"/>
      <c r="J308" s="132"/>
      <c r="K308" s="132"/>
      <c r="L308" s="45"/>
      <c r="M308" s="45"/>
      <c r="N308" s="46"/>
      <c r="O308" s="46"/>
      <c r="P308" s="45"/>
      <c r="Q308" s="45"/>
      <c r="R308" s="45"/>
      <c r="T308" s="42"/>
      <c r="V308" s="164"/>
      <c r="W308" s="45"/>
      <c r="X308" s="45"/>
      <c r="Y308" s="164"/>
      <c r="Z308" s="132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>
      <c r="C309" s="42"/>
      <c r="F309" s="45"/>
      <c r="H309" s="45"/>
      <c r="I309" s="45"/>
      <c r="J309" s="326"/>
      <c r="K309" s="326"/>
      <c r="L309" s="45"/>
      <c r="M309" s="45"/>
      <c r="N309" s="46"/>
      <c r="O309" s="46"/>
      <c r="P309" s="45"/>
      <c r="Q309" s="45"/>
      <c r="R309" s="45"/>
      <c r="T309" s="42"/>
      <c r="V309" s="164"/>
      <c r="W309" s="45"/>
      <c r="X309" s="45"/>
      <c r="Y309" s="164"/>
      <c r="Z309" s="326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>
      <c r="C310" s="42"/>
      <c r="F310" s="164"/>
      <c r="H310" s="164"/>
      <c r="I310" s="164"/>
      <c r="J310" s="132"/>
      <c r="K310" s="132"/>
      <c r="L310" s="45"/>
      <c r="M310" s="45"/>
      <c r="N310" s="46"/>
      <c r="O310" s="46"/>
      <c r="P310" s="45"/>
      <c r="Q310" s="45"/>
      <c r="R310" s="45"/>
      <c r="T310" s="42"/>
      <c r="V310" s="164"/>
      <c r="W310" s="45"/>
      <c r="X310" s="45"/>
      <c r="Y310" s="164"/>
      <c r="Z310" s="132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>
      <c r="C311" s="42"/>
      <c r="F311" s="164"/>
      <c r="H311" s="164"/>
      <c r="I311" s="164"/>
      <c r="J311" s="132"/>
      <c r="K311" s="132"/>
      <c r="L311" s="45"/>
      <c r="M311" s="45"/>
      <c r="N311" s="46"/>
      <c r="O311" s="46"/>
      <c r="P311" s="45"/>
      <c r="Q311" s="45"/>
      <c r="R311" s="45"/>
      <c r="T311" s="42"/>
      <c r="V311" s="164"/>
      <c r="W311" s="45"/>
      <c r="X311" s="45"/>
      <c r="Y311" s="164"/>
      <c r="Z311" s="132"/>
      <c r="AA311" s="45"/>
      <c r="AB311" s="45"/>
      <c r="AC311" s="46"/>
      <c r="AD311" s="46"/>
      <c r="AE311" s="45"/>
      <c r="AF311" s="45"/>
      <c r="AH311" s="51"/>
      <c r="AI311" s="45"/>
      <c r="AJ311" s="45"/>
      <c r="AL311" s="45"/>
      <c r="AM311" s="46"/>
      <c r="AN311" s="46"/>
    </row>
    <row r="312" spans="3:40">
      <c r="C312" s="42"/>
      <c r="F312" s="164"/>
      <c r="H312" s="164"/>
      <c r="I312" s="164"/>
      <c r="J312" s="132"/>
      <c r="K312" s="132"/>
      <c r="L312" s="45"/>
      <c r="M312" s="45"/>
      <c r="N312" s="46"/>
      <c r="O312" s="46"/>
      <c r="P312" s="45"/>
      <c r="Q312" s="45"/>
      <c r="R312" s="45"/>
      <c r="T312" s="42"/>
      <c r="V312" s="164"/>
      <c r="W312" s="45"/>
      <c r="X312" s="45"/>
      <c r="Y312" s="164"/>
      <c r="Z312" s="132"/>
      <c r="AA312" s="45"/>
      <c r="AB312" s="45"/>
      <c r="AC312" s="46"/>
      <c r="AD312" s="46"/>
      <c r="AE312" s="45"/>
      <c r="AF312" s="45"/>
      <c r="AH312" s="51"/>
      <c r="AI312" s="45"/>
      <c r="AJ312" s="45"/>
      <c r="AL312" s="45"/>
      <c r="AM312" s="46"/>
      <c r="AN312" s="46"/>
    </row>
    <row r="313" spans="3:40">
      <c r="C313" s="42"/>
      <c r="F313" s="45"/>
      <c r="H313" s="45"/>
      <c r="I313" s="45"/>
      <c r="J313" s="132"/>
      <c r="K313" s="132"/>
      <c r="L313" s="45"/>
      <c r="M313" s="45"/>
      <c r="N313" s="46"/>
      <c r="O313" s="46"/>
      <c r="P313" s="45"/>
      <c r="Q313" s="45"/>
      <c r="R313" s="45"/>
      <c r="T313" s="42"/>
      <c r="V313" s="164"/>
      <c r="W313" s="45"/>
      <c r="X313" s="45"/>
      <c r="Y313" s="164"/>
      <c r="Z313" s="132"/>
      <c r="AA313" s="45"/>
      <c r="AB313" s="45"/>
      <c r="AC313" s="46"/>
      <c r="AD313" s="46"/>
      <c r="AE313" s="45"/>
      <c r="AF313" s="45"/>
      <c r="AH313" s="51"/>
      <c r="AI313" s="45"/>
      <c r="AJ313" s="45"/>
      <c r="AL313" s="45"/>
      <c r="AM313" s="46"/>
      <c r="AN313" s="46"/>
    </row>
    <row r="314" spans="3:40">
      <c r="C314" s="42"/>
      <c r="F314" s="45"/>
      <c r="H314" s="45"/>
      <c r="I314" s="45"/>
      <c r="J314" s="132"/>
      <c r="K314" s="132"/>
      <c r="L314" s="45"/>
      <c r="M314" s="45"/>
      <c r="N314" s="46"/>
      <c r="O314" s="46"/>
      <c r="P314" s="45"/>
      <c r="Q314" s="45"/>
      <c r="R314" s="45"/>
      <c r="T314" s="42"/>
      <c r="V314" s="164"/>
      <c r="W314" s="45"/>
      <c r="X314" s="45"/>
      <c r="Y314" s="164"/>
      <c r="Z314" s="132"/>
      <c r="AA314" s="45"/>
      <c r="AB314" s="45"/>
      <c r="AC314" s="46"/>
      <c r="AD314" s="46"/>
      <c r="AE314" s="45"/>
      <c r="AF314" s="45"/>
      <c r="AH314" s="51"/>
      <c r="AI314" s="45"/>
      <c r="AJ314" s="45"/>
      <c r="AL314" s="45"/>
      <c r="AM314" s="46"/>
      <c r="AN314" s="46"/>
    </row>
    <row r="315" spans="3:40">
      <c r="F315" s="54"/>
      <c r="H315" s="338"/>
      <c r="I315" s="338"/>
      <c r="J315" s="132"/>
      <c r="K315" s="132"/>
      <c r="L315" s="54"/>
      <c r="M315" s="54"/>
      <c r="N315" s="50"/>
      <c r="O315" s="50"/>
      <c r="P315" s="54"/>
      <c r="Q315" s="54"/>
      <c r="R315" s="54"/>
      <c r="V315" s="54"/>
      <c r="W315" s="45"/>
      <c r="X315" s="45"/>
      <c r="Y315" s="54"/>
      <c r="Z315" s="132"/>
      <c r="AA315" s="54"/>
      <c r="AB315" s="54"/>
      <c r="AC315" s="55"/>
      <c r="AD315" s="55"/>
      <c r="AE315" s="54"/>
      <c r="AF315" s="54"/>
      <c r="AH315" s="51"/>
      <c r="AI315" s="54"/>
      <c r="AJ315" s="54"/>
      <c r="AK315" s="107"/>
      <c r="AL315" s="54"/>
      <c r="AM315" s="46"/>
      <c r="AN315" s="46"/>
    </row>
    <row r="316" spans="3:40">
      <c r="C316" s="42"/>
      <c r="F316" s="45"/>
      <c r="H316" s="45"/>
      <c r="I316" s="45"/>
      <c r="J316" s="132"/>
      <c r="K316" s="132"/>
      <c r="L316" s="45"/>
      <c r="M316" s="45"/>
      <c r="N316" s="51"/>
      <c r="O316" s="51"/>
      <c r="P316" s="45"/>
      <c r="Q316" s="45"/>
      <c r="R316" s="45"/>
      <c r="T316" s="44"/>
      <c r="V316" s="45"/>
      <c r="W316" s="45"/>
      <c r="X316" s="45"/>
      <c r="Y316" s="45"/>
      <c r="Z316" s="132"/>
      <c r="AA316" s="45"/>
      <c r="AB316" s="45"/>
      <c r="AC316" s="51"/>
      <c r="AD316" s="51"/>
      <c r="AE316" s="45"/>
      <c r="AF316" s="45"/>
      <c r="AH316" s="51"/>
      <c r="AI316" s="45"/>
      <c r="AJ316" s="45"/>
      <c r="AL316" s="45"/>
      <c r="AM316" s="46"/>
      <c r="AN316" s="46"/>
    </row>
    <row r="317" spans="3:40">
      <c r="F317" s="49"/>
      <c r="H317" s="49"/>
      <c r="I317" s="49"/>
      <c r="L317" s="49"/>
      <c r="M317" s="49"/>
      <c r="N317" s="55"/>
      <c r="O317" s="55"/>
      <c r="P317" s="54"/>
      <c r="Q317" s="54"/>
      <c r="R317" s="54"/>
      <c r="V317" s="54"/>
      <c r="Y317" s="54"/>
      <c r="Z317" s="326"/>
      <c r="AA317" s="54"/>
      <c r="AB317" s="54"/>
      <c r="AC317" s="54"/>
      <c r="AD317" s="54"/>
      <c r="AE317" s="54"/>
      <c r="AF317" s="54"/>
      <c r="AI317" s="54"/>
      <c r="AJ317" s="54"/>
      <c r="AK317" s="107"/>
      <c r="AL317" s="54"/>
      <c r="AM317" s="55"/>
      <c r="AN317" s="55"/>
    </row>
    <row r="322" spans="1:40">
      <c r="N322" s="45"/>
      <c r="O322" s="45"/>
      <c r="P322" s="45"/>
      <c r="Q322" s="45"/>
      <c r="R322" s="45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>
      <c r="C323" s="42"/>
      <c r="D323" s="42"/>
      <c r="E323" s="42"/>
      <c r="J323" s="56"/>
      <c r="K323" s="56"/>
      <c r="T323" s="42"/>
      <c r="U323" s="42"/>
      <c r="Z323" s="56"/>
      <c r="AE323" s="45"/>
      <c r="AF323" s="45"/>
      <c r="AI323" s="45"/>
      <c r="AJ323" s="45"/>
      <c r="AL323" s="45"/>
      <c r="AM323" s="46"/>
      <c r="AN323" s="46"/>
    </row>
    <row r="324" spans="1:40">
      <c r="D324" s="42"/>
      <c r="E324" s="42"/>
      <c r="F324" s="45"/>
      <c r="H324" s="45"/>
      <c r="I324" s="45"/>
      <c r="J324" s="132"/>
      <c r="K324" s="132"/>
      <c r="L324" s="45"/>
      <c r="M324" s="45"/>
      <c r="N324" s="46"/>
      <c r="O324" s="46"/>
      <c r="P324" s="45"/>
      <c r="Q324" s="45"/>
      <c r="R324" s="45"/>
      <c r="U324" s="42"/>
      <c r="V324" s="45"/>
      <c r="Y324" s="45"/>
      <c r="Z324" s="132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1:40">
      <c r="F325" s="45"/>
      <c r="H325" s="45"/>
      <c r="I325" s="45"/>
      <c r="J325" s="326"/>
      <c r="K325" s="326"/>
      <c r="L325" s="45"/>
      <c r="M325" s="45"/>
      <c r="N325" s="45"/>
      <c r="O325" s="45"/>
      <c r="P325" s="45"/>
      <c r="Q325" s="45"/>
      <c r="R325" s="45"/>
      <c r="V325" s="45"/>
      <c r="Y325" s="45"/>
      <c r="Z325" s="326"/>
      <c r="AA325" s="45"/>
      <c r="AB325" s="45"/>
      <c r="AC325" s="45"/>
      <c r="AD325" s="45"/>
      <c r="AE325" s="45"/>
      <c r="AF325" s="45"/>
      <c r="AH325" s="51"/>
      <c r="AI325" s="164"/>
      <c r="AJ325" s="164"/>
      <c r="AL325" s="45"/>
      <c r="AM325" s="46"/>
      <c r="AN325" s="46"/>
    </row>
    <row r="326" spans="1:40">
      <c r="C326" s="42"/>
      <c r="F326" s="164"/>
      <c r="H326" s="164"/>
      <c r="I326" s="164"/>
      <c r="J326" s="325"/>
      <c r="K326" s="325"/>
      <c r="L326" s="45"/>
      <c r="M326" s="45"/>
      <c r="N326" s="46"/>
      <c r="O326" s="46"/>
      <c r="P326" s="45"/>
      <c r="Q326" s="45"/>
      <c r="R326" s="45"/>
      <c r="T326" s="42"/>
      <c r="V326" s="164"/>
      <c r="Y326" s="164"/>
      <c r="Z326" s="325"/>
      <c r="AA326" s="45"/>
      <c r="AB326" s="45"/>
      <c r="AC326" s="46"/>
      <c r="AD326" s="46"/>
      <c r="AE326" s="45"/>
      <c r="AF326" s="45"/>
      <c r="AH326" s="51"/>
      <c r="AI326" s="45"/>
      <c r="AJ326" s="45"/>
      <c r="AL326" s="45"/>
      <c r="AM326" s="46"/>
      <c r="AN326" s="46"/>
    </row>
    <row r="327" spans="1:40">
      <c r="F327" s="49"/>
      <c r="H327" s="49"/>
      <c r="I327" s="49"/>
      <c r="L327" s="49"/>
      <c r="M327" s="49"/>
      <c r="N327" s="49"/>
      <c r="O327" s="49"/>
      <c r="P327" s="49"/>
      <c r="Q327" s="49"/>
      <c r="R327" s="49"/>
      <c r="V327" s="49"/>
      <c r="Y327" s="49"/>
      <c r="AA327" s="49"/>
      <c r="AB327" s="49"/>
      <c r="AC327" s="49"/>
      <c r="AD327" s="49"/>
      <c r="AE327" s="49"/>
      <c r="AF327" s="49"/>
      <c r="AG327" s="107"/>
      <c r="AH327" s="49"/>
      <c r="AI327" s="49"/>
      <c r="AJ327" s="49"/>
      <c r="AK327" s="107"/>
      <c r="AL327" s="49"/>
      <c r="AM327" s="49"/>
      <c r="AN327" s="49"/>
    </row>
    <row r="328" spans="1:40">
      <c r="C328" s="44"/>
      <c r="F328" s="164"/>
      <c r="H328" s="164"/>
      <c r="I328" s="164"/>
      <c r="J328" s="316"/>
      <c r="K328" s="316"/>
      <c r="L328" s="164"/>
      <c r="M328" s="164"/>
      <c r="N328" s="46"/>
      <c r="O328" s="46"/>
      <c r="P328" s="164"/>
      <c r="Q328" s="164"/>
      <c r="R328" s="164"/>
      <c r="T328" s="44"/>
      <c r="V328" s="45"/>
      <c r="Y328" s="45"/>
      <c r="Z328" s="47"/>
      <c r="AA328" s="45"/>
      <c r="AB328" s="45"/>
      <c r="AC328" s="46"/>
      <c r="AD328" s="46"/>
      <c r="AH328" s="51"/>
      <c r="AI328" s="45"/>
      <c r="AJ328" s="45"/>
      <c r="AL328" s="45"/>
      <c r="AM328" s="46"/>
      <c r="AN328" s="46"/>
    </row>
    <row r="329" spans="1:40">
      <c r="F329" s="54"/>
      <c r="H329" s="54"/>
      <c r="I329" s="54"/>
      <c r="J329" s="326"/>
      <c r="K329" s="326"/>
      <c r="L329" s="54"/>
      <c r="M329" s="54"/>
      <c r="N329" s="54"/>
      <c r="O329" s="54"/>
      <c r="P329" s="54"/>
      <c r="Q329" s="54"/>
      <c r="R329" s="54"/>
      <c r="V329" s="49"/>
      <c r="Y329" s="49"/>
      <c r="AA329" s="49"/>
      <c r="AB329" s="49"/>
      <c r="AC329" s="49"/>
      <c r="AD329" s="49"/>
      <c r="AE329" s="49"/>
      <c r="AF329" s="49"/>
      <c r="AG329" s="107"/>
      <c r="AH329" s="49"/>
      <c r="AI329" s="49"/>
      <c r="AJ329" s="49"/>
      <c r="AK329" s="107"/>
      <c r="AL329" s="49"/>
      <c r="AM329" s="49"/>
      <c r="AN329" s="49"/>
    </row>
    <row r="330" spans="1:40">
      <c r="F330" s="164"/>
      <c r="H330" s="164"/>
      <c r="I330" s="164"/>
      <c r="J330" s="336"/>
      <c r="K330" s="336"/>
      <c r="L330" s="45"/>
      <c r="M330" s="45"/>
      <c r="N330" s="46"/>
      <c r="O330" s="46"/>
      <c r="P330" s="45"/>
      <c r="Q330" s="45"/>
      <c r="R330" s="45"/>
    </row>
    <row r="331" spans="1:40">
      <c r="A331" s="42"/>
      <c r="F331" s="164"/>
      <c r="H331" s="164"/>
      <c r="I331" s="164"/>
      <c r="J331" s="316"/>
      <c r="K331" s="316"/>
      <c r="L331" s="45"/>
      <c r="M331" s="45"/>
      <c r="N331" s="46"/>
      <c r="O331" s="46"/>
      <c r="P331" s="45"/>
      <c r="Q331" s="45"/>
      <c r="R331" s="45"/>
    </row>
    <row r="332" spans="1:40">
      <c r="F332" s="164"/>
      <c r="H332" s="164"/>
      <c r="I332" s="164"/>
      <c r="J332" s="316"/>
      <c r="K332" s="316"/>
      <c r="L332" s="45"/>
      <c r="M332" s="45"/>
      <c r="N332" s="46"/>
      <c r="O332" s="46"/>
      <c r="P332" s="45"/>
      <c r="Q332" s="45"/>
      <c r="R332" s="45"/>
    </row>
    <row r="333" spans="1:40">
      <c r="A333" s="42"/>
    </row>
    <row r="336" spans="1:40">
      <c r="H336" s="42"/>
      <c r="I336" s="42"/>
      <c r="Y336" s="42"/>
    </row>
    <row r="338" spans="1:40">
      <c r="L338" s="42"/>
      <c r="M338" s="42"/>
      <c r="AA338" s="42"/>
      <c r="AB338" s="42"/>
    </row>
    <row r="339" spans="1:40">
      <c r="R339" s="42"/>
      <c r="AK339" s="110"/>
      <c r="AL339" s="42"/>
    </row>
    <row r="340" spans="1:40">
      <c r="R340" s="42"/>
      <c r="AK340" s="110"/>
      <c r="AL340" s="42"/>
    </row>
    <row r="341" spans="1:40">
      <c r="A341" s="42"/>
      <c r="R341" s="42"/>
      <c r="AK341" s="110"/>
      <c r="AL341" s="42"/>
    </row>
    <row r="342" spans="1:40">
      <c r="L342" s="42"/>
      <c r="M342" s="42"/>
      <c r="AA342" s="42"/>
      <c r="AB342" s="42"/>
    </row>
    <row r="343" spans="1:40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107"/>
      <c r="AH343" s="49"/>
      <c r="AI343" s="49"/>
      <c r="AJ343" s="49"/>
      <c r="AK343" s="107"/>
      <c r="AL343" s="49"/>
      <c r="AM343" s="49"/>
      <c r="AN343" s="49"/>
    </row>
    <row r="344" spans="1:40">
      <c r="L344" s="44"/>
      <c r="M344" s="44"/>
      <c r="N344" s="44"/>
      <c r="O344" s="44"/>
      <c r="R344" s="44"/>
      <c r="AA344" s="44"/>
      <c r="AB344" s="44"/>
      <c r="AC344" s="44"/>
      <c r="AD344" s="44"/>
      <c r="AE344" s="44"/>
      <c r="AF344" s="44"/>
      <c r="AG344" s="102"/>
      <c r="AH344" s="44"/>
      <c r="AK344" s="102"/>
      <c r="AL344" s="44"/>
      <c r="AM344" s="44"/>
      <c r="AN344" s="44"/>
    </row>
    <row r="345" spans="1:40">
      <c r="L345" s="44"/>
      <c r="M345" s="44"/>
      <c r="N345" s="44"/>
      <c r="O345" s="44"/>
      <c r="R345" s="44"/>
      <c r="Z345" s="44"/>
      <c r="AA345" s="44"/>
      <c r="AB345" s="44"/>
      <c r="AC345" s="44"/>
      <c r="AD345" s="44"/>
      <c r="AE345" s="44"/>
      <c r="AF345" s="44"/>
      <c r="AG345" s="102"/>
      <c r="AH345" s="44"/>
      <c r="AK345" s="102"/>
      <c r="AL345" s="44"/>
      <c r="AM345" s="44"/>
      <c r="AN345" s="44"/>
    </row>
    <row r="346" spans="1:40">
      <c r="A346" s="44"/>
      <c r="C346" s="44"/>
      <c r="D346" s="44"/>
      <c r="E346" s="44"/>
      <c r="F346" s="44"/>
      <c r="J346" s="44"/>
      <c r="K346" s="44"/>
      <c r="L346" s="44"/>
      <c r="M346" s="44"/>
      <c r="N346" s="44"/>
      <c r="O346" s="44"/>
      <c r="P346" s="44"/>
      <c r="Q346" s="44"/>
      <c r="R346" s="44"/>
      <c r="T346" s="44"/>
      <c r="U346" s="44"/>
      <c r="V346" s="44"/>
      <c r="Z346" s="44"/>
      <c r="AA346" s="44"/>
      <c r="AB346" s="44"/>
      <c r="AC346" s="44"/>
      <c r="AD346" s="44"/>
      <c r="AE346" s="44"/>
      <c r="AF346" s="44"/>
      <c r="AG346" s="102"/>
      <c r="AH346" s="44"/>
      <c r="AI346" s="44"/>
      <c r="AJ346" s="44"/>
      <c r="AK346" s="102"/>
      <c r="AL346" s="44"/>
      <c r="AM346" s="44"/>
      <c r="AN346" s="44"/>
    </row>
    <row r="347" spans="1:40">
      <c r="A347" s="44"/>
      <c r="C347" s="44"/>
      <c r="D347" s="44"/>
      <c r="E347" s="44"/>
      <c r="F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Y347" s="44"/>
      <c r="Z347" s="44"/>
      <c r="AA347" s="44"/>
      <c r="AB347" s="44"/>
      <c r="AC347" s="44"/>
      <c r="AD347" s="44"/>
      <c r="AE347" s="44"/>
      <c r="AF347" s="44"/>
      <c r="AG347" s="102"/>
      <c r="AH347" s="44"/>
      <c r="AI347" s="44"/>
      <c r="AJ347" s="44"/>
      <c r="AK347" s="102"/>
      <c r="AL347" s="44"/>
      <c r="AM347" s="44"/>
      <c r="AN347" s="44"/>
    </row>
    <row r="348" spans="1:40">
      <c r="C348" s="44"/>
      <c r="D348" s="44"/>
      <c r="E348" s="44"/>
      <c r="F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T348" s="44"/>
      <c r="U348" s="44"/>
      <c r="V348" s="44"/>
      <c r="Y348" s="44"/>
      <c r="Z348" s="44"/>
      <c r="AA348" s="44"/>
      <c r="AB348" s="44"/>
      <c r="AC348" s="44"/>
      <c r="AD348" s="44"/>
      <c r="AE348" s="44"/>
      <c r="AF348" s="44"/>
      <c r="AG348" s="102"/>
      <c r="AH348" s="44"/>
      <c r="AI348" s="44"/>
      <c r="AJ348" s="44"/>
      <c r="AK348" s="102"/>
      <c r="AL348" s="44"/>
      <c r="AM348" s="44"/>
      <c r="AN348" s="44"/>
    </row>
    <row r="349" spans="1:40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107"/>
      <c r="AH349" s="49"/>
      <c r="AI349" s="49"/>
      <c r="AJ349" s="49"/>
      <c r="AK349" s="107"/>
      <c r="AL349" s="49"/>
      <c r="AM349" s="49"/>
      <c r="AN349" s="49"/>
    </row>
    <row r="350" spans="1:40"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Y350" s="44"/>
      <c r="Z350" s="44"/>
      <c r="AA350" s="44"/>
      <c r="AB350" s="44"/>
      <c r="AC350" s="44"/>
      <c r="AD350" s="44"/>
      <c r="AE350" s="44"/>
      <c r="AF350" s="44"/>
      <c r="AG350" s="102"/>
      <c r="AH350" s="44"/>
      <c r="AI350" s="44"/>
      <c r="AJ350" s="44"/>
      <c r="AK350" s="102"/>
      <c r="AL350" s="44"/>
      <c r="AM350" s="44"/>
      <c r="AN350" s="44"/>
    </row>
    <row r="351" spans="1:40">
      <c r="C351" s="42"/>
      <c r="D351" s="42"/>
      <c r="E351" s="42"/>
      <c r="T351" s="42"/>
      <c r="U351" s="42"/>
    </row>
    <row r="353" spans="3:40">
      <c r="C353" s="42"/>
      <c r="T353" s="42"/>
    </row>
    <row r="354" spans="3:40">
      <c r="C354" s="42"/>
      <c r="F354" s="164"/>
      <c r="H354" s="164"/>
      <c r="I354" s="164"/>
      <c r="J354" s="326"/>
      <c r="K354" s="326"/>
      <c r="L354" s="45"/>
      <c r="M354" s="45"/>
      <c r="N354" s="46"/>
      <c r="O354" s="46"/>
      <c r="P354" s="45"/>
      <c r="Q354" s="45"/>
      <c r="R354" s="45"/>
      <c r="T354" s="42"/>
      <c r="V354" s="164"/>
      <c r="Y354" s="164"/>
      <c r="Z354" s="326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>
      <c r="C355" s="42"/>
      <c r="T355" s="42"/>
    </row>
    <row r="356" spans="3:40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45"/>
      <c r="Y356" s="45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>
      <c r="C360" s="42"/>
      <c r="J360" s="56"/>
      <c r="K360" s="56"/>
      <c r="T360" s="42"/>
      <c r="Z360" s="56"/>
    </row>
    <row r="361" spans="3:40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Y361" s="45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Y363" s="45"/>
      <c r="Z363" s="132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3:40">
      <c r="C364" s="42"/>
      <c r="J364" s="56"/>
      <c r="K364" s="56"/>
      <c r="T364" s="42"/>
      <c r="Z364" s="56"/>
    </row>
    <row r="365" spans="3:40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>
      <c r="C367" s="42"/>
      <c r="J367" s="56"/>
      <c r="K367" s="56"/>
      <c r="T367" s="42"/>
      <c r="Z367" s="56"/>
    </row>
    <row r="368" spans="3:40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3:40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3:40">
      <c r="F371" s="50"/>
      <c r="H371" s="50"/>
      <c r="I371" s="50"/>
      <c r="J371" s="132"/>
      <c r="K371" s="132"/>
      <c r="L371" s="50"/>
      <c r="M371" s="50"/>
      <c r="N371" s="50"/>
      <c r="O371" s="50"/>
      <c r="P371" s="50"/>
      <c r="Q371" s="50"/>
      <c r="R371" s="50"/>
      <c r="V371" s="50"/>
      <c r="Y371" s="50"/>
      <c r="Z371" s="132"/>
      <c r="AA371" s="50"/>
      <c r="AB371" s="50"/>
      <c r="AC371" s="50"/>
      <c r="AD371" s="50"/>
      <c r="AE371" s="50"/>
      <c r="AF371" s="50"/>
      <c r="AI371" s="50"/>
      <c r="AJ371" s="50"/>
      <c r="AK371" s="111"/>
      <c r="AL371" s="50"/>
    </row>
    <row r="372" spans="3:40">
      <c r="C372" s="44"/>
      <c r="F372" s="45"/>
      <c r="H372" s="45"/>
      <c r="I372" s="45"/>
      <c r="J372" s="56"/>
      <c r="K372" s="56"/>
      <c r="L372" s="45"/>
      <c r="M372" s="45"/>
      <c r="N372" s="51"/>
      <c r="O372" s="51"/>
      <c r="P372" s="45"/>
      <c r="Q372" s="45"/>
      <c r="R372" s="45"/>
      <c r="T372" s="44"/>
      <c r="V372" s="45"/>
      <c r="Y372" s="45"/>
      <c r="Z372" s="56"/>
      <c r="AA372" s="45"/>
      <c r="AB372" s="45"/>
      <c r="AC372" s="45"/>
      <c r="AD372" s="45"/>
      <c r="AE372" s="45"/>
      <c r="AF372" s="45"/>
      <c r="AH372" s="51"/>
      <c r="AI372" s="45"/>
      <c r="AJ372" s="45"/>
      <c r="AL372" s="45"/>
      <c r="AM372" s="46"/>
      <c r="AN372" s="46"/>
    </row>
    <row r="373" spans="3:40">
      <c r="F373" s="50"/>
      <c r="H373" s="50"/>
      <c r="I373" s="50"/>
      <c r="J373" s="132"/>
      <c r="K373" s="132"/>
      <c r="L373" s="50"/>
      <c r="M373" s="50"/>
      <c r="N373" s="50"/>
      <c r="O373" s="50"/>
      <c r="P373" s="50"/>
      <c r="Q373" s="50"/>
      <c r="R373" s="50"/>
      <c r="V373" s="50"/>
      <c r="Y373" s="50"/>
      <c r="Z373" s="132"/>
      <c r="AA373" s="50"/>
      <c r="AB373" s="50"/>
      <c r="AC373" s="50"/>
      <c r="AD373" s="50"/>
      <c r="AE373" s="50"/>
      <c r="AF373" s="50"/>
      <c r="AI373" s="50"/>
      <c r="AJ373" s="50"/>
      <c r="AK373" s="111"/>
      <c r="AL373" s="50"/>
    </row>
    <row r="374" spans="3:40">
      <c r="C374" s="42"/>
      <c r="J374" s="56"/>
      <c r="K374" s="56"/>
      <c r="T374" s="42"/>
      <c r="Z374" s="56"/>
    </row>
    <row r="375" spans="3:40">
      <c r="C375" s="42"/>
      <c r="J375" s="56"/>
      <c r="K375" s="56"/>
      <c r="T375" s="42"/>
      <c r="Z375" s="56"/>
    </row>
    <row r="376" spans="3:40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>
      <c r="C377" s="42"/>
      <c r="F377" s="164"/>
      <c r="H377" s="164"/>
      <c r="I377" s="164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>
      <c r="C379" s="42"/>
      <c r="F379" s="164"/>
      <c r="H379" s="164"/>
      <c r="I379" s="164"/>
      <c r="J379" s="132"/>
      <c r="K379" s="132"/>
      <c r="L379" s="45"/>
      <c r="M379" s="45"/>
      <c r="N379" s="46"/>
      <c r="O379" s="46"/>
      <c r="P379" s="45"/>
      <c r="Q379" s="45"/>
      <c r="R379" s="45"/>
      <c r="T379" s="42"/>
      <c r="V379" s="45"/>
      <c r="Y379" s="45"/>
      <c r="Z379" s="132"/>
      <c r="AA379" s="45"/>
      <c r="AB379" s="45"/>
      <c r="AC379" s="46"/>
      <c r="AD379" s="46"/>
      <c r="AE379" s="45"/>
      <c r="AF379" s="45"/>
      <c r="AH379" s="51"/>
      <c r="AI379" s="45"/>
      <c r="AJ379" s="45"/>
      <c r="AL379" s="45"/>
      <c r="AM379" s="46"/>
      <c r="AN379" s="46"/>
    </row>
    <row r="380" spans="3:40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132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>
      <c r="C383" s="42"/>
      <c r="J383" s="56"/>
      <c r="K383" s="56"/>
      <c r="T383" s="42"/>
      <c r="Z383" s="56"/>
    </row>
    <row r="384" spans="3:40">
      <c r="C384" s="42"/>
      <c r="F384" s="164"/>
      <c r="H384" s="164"/>
      <c r="I384" s="164"/>
      <c r="J384" s="132"/>
      <c r="K384" s="132"/>
      <c r="L384" s="45"/>
      <c r="M384" s="45"/>
      <c r="N384" s="46"/>
      <c r="O384" s="46"/>
      <c r="P384" s="45"/>
      <c r="Q384" s="45"/>
      <c r="R384" s="45"/>
      <c r="T384" s="42"/>
      <c r="V384" s="45"/>
      <c r="Y384" s="45"/>
      <c r="Z384" s="132"/>
      <c r="AA384" s="45"/>
      <c r="AB384" s="45"/>
      <c r="AC384" s="46"/>
      <c r="AD384" s="46"/>
      <c r="AE384" s="45"/>
      <c r="AF384" s="45"/>
      <c r="AH384" s="51"/>
      <c r="AI384" s="45"/>
      <c r="AJ384" s="45"/>
      <c r="AL384" s="45"/>
      <c r="AM384" s="46"/>
      <c r="AN384" s="46"/>
    </row>
    <row r="385" spans="3:40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Y385" s="45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Y386" s="45"/>
      <c r="Z386" s="132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45"/>
      <c r="Y387" s="45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>
      <c r="C388" s="42"/>
      <c r="J388" s="56"/>
      <c r="K388" s="56"/>
      <c r="T388" s="42"/>
      <c r="Z388" s="56"/>
    </row>
    <row r="389" spans="3:40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Y389" s="45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Y390" s="45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>
      <c r="C392" s="42"/>
      <c r="F392" s="164"/>
      <c r="H392" s="164"/>
      <c r="I392" s="164"/>
      <c r="J392" s="132"/>
      <c r="K392" s="132"/>
      <c r="L392" s="45"/>
      <c r="M392" s="45"/>
      <c r="N392" s="46"/>
      <c r="O392" s="46"/>
      <c r="P392" s="45"/>
      <c r="Q392" s="45"/>
      <c r="R392" s="45"/>
      <c r="T392" s="42"/>
      <c r="V392" s="45"/>
      <c r="Y392" s="45"/>
      <c r="Z392" s="132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3:40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>
      <c r="F394" s="50"/>
      <c r="H394" s="50"/>
      <c r="I394" s="50"/>
      <c r="J394" s="326"/>
      <c r="K394" s="326"/>
      <c r="L394" s="50"/>
      <c r="M394" s="50"/>
      <c r="N394" s="50"/>
      <c r="O394" s="50"/>
      <c r="P394" s="50"/>
      <c r="Q394" s="50"/>
      <c r="R394" s="50"/>
      <c r="V394" s="50"/>
      <c r="Y394" s="50"/>
      <c r="Z394" s="132"/>
      <c r="AA394" s="50"/>
      <c r="AB394" s="50"/>
      <c r="AC394" s="50"/>
      <c r="AD394" s="50"/>
      <c r="AE394" s="50"/>
      <c r="AF394" s="50"/>
      <c r="AI394" s="50"/>
      <c r="AJ394" s="50"/>
      <c r="AK394" s="111"/>
      <c r="AL394" s="50"/>
    </row>
    <row r="395" spans="3:40">
      <c r="C395" s="42"/>
      <c r="F395" s="45"/>
      <c r="H395" s="45"/>
      <c r="I395" s="45"/>
      <c r="L395" s="45"/>
      <c r="M395" s="45"/>
      <c r="N395" s="51"/>
      <c r="O395" s="51"/>
      <c r="P395" s="45"/>
      <c r="Q395" s="45"/>
      <c r="R395" s="45"/>
      <c r="T395" s="42"/>
      <c r="V395" s="45"/>
      <c r="Y395" s="45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>
      <c r="F396" s="50"/>
      <c r="H396" s="50"/>
      <c r="I396" s="50"/>
      <c r="J396" s="326"/>
      <c r="K396" s="326"/>
      <c r="L396" s="50"/>
      <c r="M396" s="50"/>
      <c r="N396" s="50"/>
      <c r="O396" s="50"/>
      <c r="P396" s="50"/>
      <c r="Q396" s="50"/>
      <c r="R396" s="50"/>
      <c r="V396" s="50"/>
      <c r="Y396" s="50"/>
      <c r="Z396" s="326"/>
      <c r="AA396" s="50"/>
      <c r="AB396" s="50"/>
      <c r="AC396" s="50"/>
      <c r="AD396" s="50"/>
      <c r="AE396" s="50"/>
      <c r="AF396" s="50"/>
      <c r="AI396" s="50"/>
      <c r="AJ396" s="50"/>
      <c r="AK396" s="111"/>
      <c r="AL396" s="50"/>
    </row>
    <row r="397" spans="3:40">
      <c r="C397" s="42"/>
      <c r="T397" s="42"/>
    </row>
    <row r="398" spans="3:40">
      <c r="C398" s="42"/>
      <c r="F398" s="164"/>
      <c r="H398" s="164"/>
      <c r="I398" s="164"/>
      <c r="J398" s="316"/>
      <c r="K398" s="316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Z398" s="316"/>
      <c r="AA398" s="45"/>
      <c r="AB398" s="45"/>
      <c r="AC398" s="46"/>
      <c r="AD398" s="46"/>
      <c r="AE398" s="45"/>
      <c r="AF398" s="45"/>
      <c r="AH398" s="51"/>
      <c r="AI398" s="45"/>
      <c r="AJ398" s="45"/>
      <c r="AL398" s="45"/>
      <c r="AM398" s="46"/>
      <c r="AN398" s="46"/>
    </row>
    <row r="399" spans="3:40">
      <c r="C399" s="42"/>
      <c r="F399" s="164"/>
      <c r="H399" s="164"/>
      <c r="I399" s="164"/>
      <c r="J399" s="316"/>
      <c r="K399" s="316"/>
      <c r="L399" s="45"/>
      <c r="M399" s="45"/>
      <c r="N399" s="46"/>
      <c r="O399" s="46"/>
      <c r="P399" s="45"/>
      <c r="Q399" s="45"/>
      <c r="R399" s="45"/>
      <c r="T399" s="42"/>
      <c r="V399" s="45"/>
      <c r="Y399" s="45"/>
      <c r="Z399" s="316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>
      <c r="F400" s="50"/>
      <c r="H400" s="45"/>
      <c r="I400" s="45"/>
      <c r="J400" s="326"/>
      <c r="K400" s="326"/>
      <c r="L400" s="50"/>
      <c r="M400" s="50"/>
      <c r="N400" s="50"/>
      <c r="O400" s="50"/>
      <c r="P400" s="50"/>
      <c r="Q400" s="50"/>
      <c r="R400" s="50"/>
      <c r="V400" s="50"/>
      <c r="Y400" s="45"/>
      <c r="Z400" s="326"/>
      <c r="AA400" s="50"/>
      <c r="AB400" s="50"/>
      <c r="AC400" s="50"/>
      <c r="AD400" s="50"/>
      <c r="AE400" s="50"/>
      <c r="AF400" s="50"/>
      <c r="AI400" s="50"/>
      <c r="AJ400" s="50"/>
      <c r="AK400" s="111"/>
      <c r="AL400" s="50"/>
    </row>
    <row r="401" spans="1:40">
      <c r="F401" s="45"/>
      <c r="H401" s="45"/>
      <c r="I401" s="45"/>
      <c r="J401" s="326"/>
      <c r="K401" s="326"/>
      <c r="L401" s="45"/>
      <c r="M401" s="45"/>
      <c r="N401" s="45"/>
      <c r="O401" s="45"/>
      <c r="P401" s="45"/>
      <c r="Q401" s="45"/>
      <c r="R401" s="45"/>
      <c r="V401" s="45"/>
      <c r="Y401" s="45"/>
      <c r="Z401" s="326"/>
      <c r="AA401" s="45"/>
      <c r="AB401" s="45"/>
      <c r="AC401" s="45"/>
      <c r="AD401" s="45"/>
      <c r="AE401" s="45"/>
      <c r="AF401" s="45"/>
      <c r="AI401" s="45"/>
      <c r="AJ401" s="45"/>
      <c r="AL401" s="45"/>
    </row>
    <row r="402" spans="1:40">
      <c r="C402" s="42"/>
      <c r="F402" s="45"/>
      <c r="H402" s="45"/>
      <c r="I402" s="45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AA402" s="45"/>
      <c r="AB402" s="45"/>
      <c r="AC402" s="46"/>
      <c r="AD402" s="46"/>
      <c r="AE402" s="45"/>
      <c r="AF402" s="45"/>
      <c r="AH402" s="51"/>
      <c r="AI402" s="164"/>
      <c r="AJ402" s="164"/>
      <c r="AL402" s="45"/>
      <c r="AM402" s="46"/>
      <c r="AN402" s="46"/>
    </row>
    <row r="403" spans="1:40">
      <c r="H403" s="50"/>
      <c r="I403" s="50"/>
      <c r="J403" s="326"/>
      <c r="K403" s="326"/>
      <c r="L403" s="50"/>
      <c r="M403" s="50"/>
      <c r="N403" s="50"/>
      <c r="O403" s="50"/>
      <c r="P403" s="50"/>
      <c r="Q403" s="50"/>
      <c r="R403" s="50"/>
      <c r="V403" s="50"/>
      <c r="Y403" s="50"/>
      <c r="Z403" s="326"/>
      <c r="AA403" s="50"/>
      <c r="AB403" s="50"/>
      <c r="AC403" s="50"/>
      <c r="AD403" s="50"/>
      <c r="AE403" s="50"/>
      <c r="AF403" s="50"/>
      <c r="AI403" s="50"/>
      <c r="AJ403" s="50"/>
      <c r="AK403" s="111"/>
      <c r="AL403" s="50"/>
    </row>
    <row r="404" spans="1:40">
      <c r="F404" s="50"/>
    </row>
    <row r="405" spans="1:40">
      <c r="A405" s="42"/>
      <c r="T405" s="42"/>
    </row>
    <row r="406" spans="1:40">
      <c r="A406" s="42"/>
      <c r="T406" s="42"/>
    </row>
    <row r="407" spans="1:40">
      <c r="A407" s="42"/>
      <c r="T407" s="42"/>
    </row>
    <row r="408" spans="1:40">
      <c r="A408" s="42"/>
      <c r="T408" s="42"/>
    </row>
    <row r="409" spans="1:40">
      <c r="A409" s="42"/>
      <c r="T409" s="42"/>
    </row>
    <row r="410" spans="1:40">
      <c r="A410" s="42"/>
      <c r="T410" s="42"/>
    </row>
    <row r="411" spans="1:40">
      <c r="A411" s="42"/>
      <c r="T411" s="42"/>
    </row>
    <row r="412" spans="1:40">
      <c r="A412" s="42"/>
      <c r="T412" s="42"/>
    </row>
    <row r="413" spans="1:40">
      <c r="A413" s="42"/>
      <c r="T413" s="42"/>
    </row>
    <row r="415" spans="1:40">
      <c r="A415" s="42"/>
    </row>
    <row r="417" spans="1:40">
      <c r="H417" s="42"/>
      <c r="I417" s="42"/>
      <c r="Y417" s="42"/>
    </row>
    <row r="419" spans="1:40">
      <c r="L419" s="42"/>
      <c r="M419" s="42"/>
      <c r="AA419" s="42"/>
      <c r="AB419" s="42"/>
    </row>
    <row r="420" spans="1:40">
      <c r="R420" s="42"/>
      <c r="AK420" s="110"/>
      <c r="AL420" s="42"/>
    </row>
    <row r="421" spans="1:40">
      <c r="R421" s="42"/>
      <c r="AK421" s="110"/>
      <c r="AL421" s="42"/>
    </row>
    <row r="422" spans="1:40">
      <c r="A422" s="42"/>
      <c r="R422" s="42"/>
      <c r="AK422" s="110"/>
      <c r="AL422" s="42"/>
    </row>
    <row r="423" spans="1:40">
      <c r="L423" s="42"/>
      <c r="M423" s="42"/>
      <c r="AA423" s="42"/>
      <c r="AB423" s="42"/>
    </row>
    <row r="424" spans="1:40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107"/>
      <c r="AH424" s="49"/>
      <c r="AI424" s="49"/>
      <c r="AJ424" s="49"/>
      <c r="AK424" s="107"/>
      <c r="AL424" s="49"/>
      <c r="AM424" s="49"/>
      <c r="AN424" s="49"/>
    </row>
    <row r="425" spans="1:40">
      <c r="L425" s="44"/>
      <c r="M425" s="44"/>
      <c r="N425" s="44"/>
      <c r="O425" s="44"/>
      <c r="R425" s="44"/>
      <c r="AA425" s="44"/>
      <c r="AB425" s="44"/>
      <c r="AC425" s="44"/>
      <c r="AD425" s="44"/>
      <c r="AE425" s="44"/>
      <c r="AF425" s="44"/>
      <c r="AG425" s="102"/>
      <c r="AH425" s="44"/>
      <c r="AK425" s="102"/>
      <c r="AL425" s="44"/>
      <c r="AM425" s="44"/>
      <c r="AN425" s="44"/>
    </row>
    <row r="426" spans="1:40">
      <c r="L426" s="44"/>
      <c r="M426" s="44"/>
      <c r="N426" s="44"/>
      <c r="O426" s="44"/>
      <c r="R426" s="44"/>
      <c r="Z426" s="44"/>
      <c r="AA426" s="44"/>
      <c r="AB426" s="44"/>
      <c r="AC426" s="44"/>
      <c r="AD426" s="44"/>
      <c r="AE426" s="44"/>
      <c r="AF426" s="44"/>
      <c r="AG426" s="102"/>
      <c r="AH426" s="44"/>
      <c r="AK426" s="102"/>
      <c r="AL426" s="44"/>
      <c r="AM426" s="44"/>
      <c r="AN426" s="44"/>
    </row>
    <row r="427" spans="1:40">
      <c r="A427" s="44"/>
      <c r="C427" s="44"/>
      <c r="D427" s="44"/>
      <c r="E427" s="44"/>
      <c r="F427" s="44"/>
      <c r="J427" s="44"/>
      <c r="K427" s="44"/>
      <c r="L427" s="44"/>
      <c r="M427" s="44"/>
      <c r="N427" s="44"/>
      <c r="O427" s="44"/>
      <c r="P427" s="44"/>
      <c r="Q427" s="44"/>
      <c r="R427" s="44"/>
      <c r="T427" s="44"/>
      <c r="U427" s="44"/>
      <c r="V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>
      <c r="A428" s="44"/>
      <c r="C428" s="44"/>
      <c r="D428" s="44"/>
      <c r="E428" s="44"/>
      <c r="F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T428" s="44"/>
      <c r="U428" s="44"/>
      <c r="V428" s="44"/>
      <c r="Y428" s="44"/>
      <c r="Z428" s="44"/>
      <c r="AA428" s="44"/>
      <c r="AB428" s="44"/>
      <c r="AC428" s="44"/>
      <c r="AD428" s="44"/>
      <c r="AE428" s="44"/>
      <c r="AF428" s="44"/>
      <c r="AG428" s="102"/>
      <c r="AH428" s="44"/>
      <c r="AI428" s="44"/>
      <c r="AJ428" s="44"/>
      <c r="AK428" s="102"/>
      <c r="AL428" s="44"/>
      <c r="AM428" s="44"/>
      <c r="AN428" s="44"/>
    </row>
    <row r="429" spans="1:40">
      <c r="C429" s="44"/>
      <c r="D429" s="44"/>
      <c r="E429" s="44"/>
      <c r="F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T429" s="44"/>
      <c r="U429" s="44"/>
      <c r="V429" s="44"/>
      <c r="Y429" s="44"/>
      <c r="Z429" s="44"/>
      <c r="AA429" s="44"/>
      <c r="AB429" s="44"/>
      <c r="AC429" s="44"/>
      <c r="AD429" s="44"/>
      <c r="AE429" s="44"/>
      <c r="AF429" s="44"/>
      <c r="AG429" s="102"/>
      <c r="AH429" s="44"/>
      <c r="AI429" s="44"/>
      <c r="AJ429" s="44"/>
      <c r="AK429" s="102"/>
      <c r="AL429" s="44"/>
      <c r="AM429" s="44"/>
      <c r="AN429" s="44"/>
    </row>
    <row r="430" spans="1:40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107"/>
      <c r="AH430" s="49"/>
      <c r="AI430" s="49"/>
      <c r="AJ430" s="49"/>
      <c r="AK430" s="107"/>
      <c r="AL430" s="49"/>
      <c r="AM430" s="49"/>
      <c r="AN430" s="49"/>
    </row>
    <row r="431" spans="1:40"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Y431" s="44"/>
      <c r="Z431" s="44"/>
      <c r="AA431" s="44"/>
      <c r="AB431" s="44"/>
      <c r="AC431" s="44"/>
      <c r="AD431" s="44"/>
      <c r="AE431" s="44"/>
      <c r="AF431" s="44"/>
      <c r="AG431" s="102"/>
      <c r="AH431" s="44"/>
      <c r="AI431" s="44"/>
      <c r="AJ431" s="44"/>
      <c r="AK431" s="102"/>
      <c r="AL431" s="44"/>
      <c r="AM431" s="44"/>
      <c r="AN431" s="44"/>
    </row>
    <row r="432" spans="1:40">
      <c r="C432" s="42"/>
      <c r="D432" s="42"/>
      <c r="E432" s="42"/>
      <c r="T432" s="42"/>
      <c r="U432" s="42"/>
    </row>
    <row r="433" spans="3:40">
      <c r="D433" s="42"/>
      <c r="E433" s="42"/>
      <c r="U433" s="42"/>
    </row>
    <row r="435" spans="3:40">
      <c r="C435" s="42"/>
      <c r="F435" s="45"/>
      <c r="J435" s="53"/>
      <c r="K435" s="53"/>
      <c r="L435" s="45"/>
      <c r="M435" s="45"/>
      <c r="R435" s="45"/>
      <c r="T435" s="42"/>
      <c r="V435" s="45"/>
      <c r="Z435" s="53"/>
      <c r="AA435" s="45"/>
      <c r="AB435" s="45"/>
      <c r="AH435" s="45"/>
      <c r="AL435" s="45"/>
    </row>
    <row r="436" spans="3:40">
      <c r="C436" s="42"/>
      <c r="F436" s="45"/>
      <c r="R436" s="45"/>
      <c r="T436" s="42"/>
      <c r="V436" s="45"/>
      <c r="AH436" s="45"/>
      <c r="AL436" s="45"/>
    </row>
    <row r="437" spans="3:40">
      <c r="AI437" s="45"/>
      <c r="AJ437" s="45"/>
      <c r="AL437" s="45"/>
      <c r="AM437" s="46"/>
      <c r="AN437" s="46"/>
    </row>
    <row r="438" spans="3:40">
      <c r="C438" s="42"/>
      <c r="F438" s="164"/>
      <c r="H438" s="164"/>
      <c r="I438" s="164"/>
      <c r="J438" s="336"/>
      <c r="K438" s="336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336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>
      <c r="F439" s="45"/>
      <c r="H439" s="45"/>
      <c r="I439" s="45"/>
      <c r="J439" s="47"/>
      <c r="K439" s="47"/>
      <c r="L439" s="45"/>
      <c r="M439" s="45"/>
      <c r="P439" s="45"/>
      <c r="Q439" s="45"/>
      <c r="R439" s="45"/>
      <c r="V439" s="45"/>
      <c r="Y439" s="45"/>
      <c r="Z439" s="47"/>
      <c r="AA439" s="45"/>
      <c r="AB439" s="45"/>
      <c r="AI439" s="45"/>
      <c r="AJ439" s="45"/>
      <c r="AL439" s="45"/>
      <c r="AM439" s="46"/>
      <c r="AN439" s="46"/>
    </row>
    <row r="440" spans="3:40">
      <c r="F440" s="45"/>
      <c r="R440" s="45"/>
      <c r="V440" s="45"/>
      <c r="AL440" s="45"/>
      <c r="AM440" s="46"/>
      <c r="AN440" s="46"/>
    </row>
    <row r="441" spans="3:40">
      <c r="C441" s="42"/>
      <c r="F441" s="45"/>
      <c r="J441" s="53"/>
      <c r="K441" s="53"/>
      <c r="L441" s="45"/>
      <c r="M441" s="45"/>
      <c r="N441" s="46"/>
      <c r="O441" s="46"/>
      <c r="R441" s="45"/>
      <c r="T441" s="42"/>
      <c r="V441" s="45"/>
      <c r="Z441" s="53"/>
      <c r="AA441" s="45"/>
      <c r="AB441" s="45"/>
      <c r="AC441" s="46"/>
      <c r="AD441" s="46"/>
      <c r="AL441" s="45"/>
      <c r="AM441" s="46"/>
      <c r="AN441" s="46"/>
    </row>
    <row r="442" spans="3:40">
      <c r="C442" s="42"/>
      <c r="F442" s="45"/>
      <c r="H442" s="45"/>
      <c r="I442" s="45"/>
      <c r="J442" s="53"/>
      <c r="K442" s="53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53"/>
      <c r="AA442" s="45"/>
      <c r="AB442" s="45"/>
      <c r="AC442" s="46"/>
      <c r="AD442" s="46"/>
      <c r="AI442" s="45"/>
      <c r="AJ442" s="45"/>
      <c r="AL442" s="45"/>
      <c r="AM442" s="46"/>
      <c r="AN442" s="46"/>
    </row>
    <row r="443" spans="3:40">
      <c r="C443" s="42"/>
      <c r="T443" s="42"/>
      <c r="AM443" s="46"/>
      <c r="AN443" s="46"/>
    </row>
    <row r="444" spans="3:40">
      <c r="C444" s="42"/>
      <c r="T444" s="42"/>
      <c r="AM444" s="46"/>
      <c r="AN444" s="46"/>
    </row>
    <row r="445" spans="3:40">
      <c r="AM445" s="46"/>
      <c r="AN445" s="46"/>
    </row>
    <row r="446" spans="3:40">
      <c r="C446" s="42"/>
      <c r="F446" s="164"/>
      <c r="H446" s="164"/>
      <c r="I446" s="164"/>
      <c r="J446" s="336"/>
      <c r="K446" s="336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336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>
      <c r="F447" s="50"/>
      <c r="H447" s="50"/>
      <c r="I447" s="50"/>
      <c r="J447" s="326"/>
      <c r="K447" s="326"/>
      <c r="L447" s="50"/>
      <c r="M447" s="50"/>
      <c r="N447" s="50"/>
      <c r="O447" s="50"/>
      <c r="P447" s="50"/>
      <c r="Q447" s="50"/>
      <c r="R447" s="50"/>
      <c r="V447" s="50"/>
      <c r="Y447" s="50"/>
      <c r="Z447" s="326"/>
      <c r="AA447" s="50"/>
      <c r="AB447" s="50"/>
      <c r="AC447" s="50"/>
      <c r="AD447" s="50"/>
      <c r="AE447" s="50"/>
      <c r="AF447" s="50"/>
      <c r="AI447" s="50"/>
      <c r="AJ447" s="50"/>
      <c r="AK447" s="111"/>
      <c r="AL447" s="50"/>
      <c r="AM447" s="46"/>
      <c r="AN447" s="46"/>
    </row>
    <row r="448" spans="3:40">
      <c r="H448" s="45"/>
      <c r="I448" s="45"/>
      <c r="Y448" s="45"/>
      <c r="AM448" s="46"/>
      <c r="AN448" s="46"/>
    </row>
    <row r="449" spans="1:40">
      <c r="C449" s="42"/>
      <c r="F449" s="45"/>
      <c r="H449" s="45"/>
      <c r="I449" s="45"/>
      <c r="L449" s="45"/>
      <c r="M449" s="45"/>
      <c r="N449" s="46"/>
      <c r="O449" s="46"/>
      <c r="P449" s="164"/>
      <c r="Q449" s="164"/>
      <c r="R449" s="45"/>
      <c r="T449" s="42"/>
      <c r="V449" s="45"/>
      <c r="Y449" s="45"/>
      <c r="AA449" s="45"/>
      <c r="AB449" s="45"/>
      <c r="AC449" s="46"/>
      <c r="AD449" s="46"/>
      <c r="AE449" s="45"/>
      <c r="AF449" s="45"/>
      <c r="AH449" s="51"/>
      <c r="AI449" s="164"/>
      <c r="AJ449" s="164"/>
      <c r="AL449" s="45"/>
      <c r="AM449" s="46"/>
      <c r="AN449" s="46"/>
    </row>
    <row r="450" spans="1:40">
      <c r="H450" s="50"/>
      <c r="I450" s="50"/>
      <c r="J450" s="326"/>
      <c r="K450" s="326"/>
      <c r="L450" s="50"/>
      <c r="M450" s="50"/>
      <c r="N450" s="50"/>
      <c r="O450" s="50"/>
      <c r="P450" s="50"/>
      <c r="Q450" s="50"/>
      <c r="R450" s="50"/>
      <c r="V450" s="50"/>
      <c r="Y450" s="50"/>
      <c r="Z450" s="326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  <c r="AM450" s="46"/>
      <c r="AN450" s="46"/>
    </row>
    <row r="451" spans="1:40">
      <c r="F451" s="50"/>
    </row>
    <row r="452" spans="1:40">
      <c r="F452" s="45"/>
      <c r="H452" s="45"/>
      <c r="I452" s="45"/>
      <c r="J452" s="47"/>
      <c r="K452" s="47"/>
      <c r="L452" s="45"/>
      <c r="M452" s="45"/>
      <c r="N452" s="45"/>
      <c r="O452" s="45"/>
      <c r="P452" s="45"/>
      <c r="Q452" s="45"/>
      <c r="R452" s="45"/>
      <c r="V452" s="45"/>
      <c r="Y452" s="45"/>
      <c r="Z452" s="47"/>
      <c r="AA452" s="45"/>
      <c r="AB452" s="45"/>
      <c r="AC452" s="45"/>
      <c r="AD452" s="45"/>
      <c r="AE452" s="45"/>
      <c r="AF452" s="45"/>
      <c r="AH452" s="45"/>
      <c r="AI452" s="45"/>
      <c r="AJ452" s="45"/>
      <c r="AL452" s="45"/>
    </row>
    <row r="453" spans="1:40">
      <c r="A453" s="42"/>
    </row>
    <row r="455" spans="1:40">
      <c r="H455" s="42"/>
      <c r="I455" s="42"/>
      <c r="Y455" s="42"/>
    </row>
    <row r="457" spans="1:40">
      <c r="L457" s="42"/>
      <c r="M457" s="42"/>
      <c r="AA457" s="42"/>
      <c r="AB457" s="42"/>
    </row>
    <row r="458" spans="1:40">
      <c r="R458" s="42"/>
      <c r="AK458" s="110"/>
      <c r="AL458" s="42"/>
    </row>
    <row r="459" spans="1:40">
      <c r="R459" s="42"/>
      <c r="AK459" s="110"/>
      <c r="AL459" s="42"/>
    </row>
    <row r="460" spans="1:40">
      <c r="A460" s="42"/>
      <c r="R460" s="42"/>
      <c r="AK460" s="110"/>
      <c r="AL460" s="42"/>
    </row>
    <row r="461" spans="1:40">
      <c r="L461" s="42"/>
      <c r="M461" s="42"/>
      <c r="AA461" s="42"/>
      <c r="AB461" s="42"/>
    </row>
    <row r="462" spans="1:40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107"/>
      <c r="AH462" s="49"/>
      <c r="AI462" s="49"/>
      <c r="AJ462" s="49"/>
      <c r="AK462" s="107"/>
      <c r="AL462" s="49"/>
      <c r="AM462" s="49"/>
      <c r="AN462" s="49"/>
    </row>
    <row r="463" spans="1:40">
      <c r="L463" s="44"/>
      <c r="M463" s="44"/>
      <c r="N463" s="44"/>
      <c r="O463" s="44"/>
      <c r="R463" s="44"/>
      <c r="AA463" s="44"/>
      <c r="AB463" s="44"/>
      <c r="AC463" s="44"/>
      <c r="AD463" s="44"/>
      <c r="AE463" s="44"/>
      <c r="AF463" s="44"/>
      <c r="AG463" s="102"/>
      <c r="AH463" s="44"/>
      <c r="AK463" s="102"/>
      <c r="AL463" s="44"/>
      <c r="AM463" s="44"/>
      <c r="AN463" s="44"/>
    </row>
    <row r="464" spans="1:40">
      <c r="L464" s="44"/>
      <c r="M464" s="44"/>
      <c r="N464" s="44"/>
      <c r="O464" s="44"/>
      <c r="R464" s="44"/>
      <c r="Z464" s="44"/>
      <c r="AA464" s="44"/>
      <c r="AB464" s="44"/>
      <c r="AC464" s="44"/>
      <c r="AD464" s="44"/>
      <c r="AE464" s="44"/>
      <c r="AF464" s="44"/>
      <c r="AG464" s="102"/>
      <c r="AH464" s="44"/>
      <c r="AK464" s="102"/>
      <c r="AL464" s="44"/>
      <c r="AM464" s="44"/>
      <c r="AN464" s="44"/>
    </row>
    <row r="465" spans="1:40">
      <c r="A465" s="44"/>
      <c r="C465" s="44"/>
      <c r="D465" s="44"/>
      <c r="E465" s="44"/>
      <c r="F465" s="44"/>
      <c r="J465" s="44"/>
      <c r="K465" s="44"/>
      <c r="L465" s="44"/>
      <c r="M465" s="44"/>
      <c r="N465" s="44"/>
      <c r="O465" s="44"/>
      <c r="P465" s="44"/>
      <c r="Q465" s="44"/>
      <c r="R465" s="44"/>
      <c r="T465" s="44"/>
      <c r="U465" s="44"/>
      <c r="V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1:40">
      <c r="A466" s="44"/>
      <c r="C466" s="44"/>
      <c r="D466" s="44"/>
      <c r="E466" s="44"/>
      <c r="F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T466" s="44"/>
      <c r="U466" s="44"/>
      <c r="V466" s="44"/>
      <c r="Y466" s="44"/>
      <c r="Z466" s="44"/>
      <c r="AA466" s="44"/>
      <c r="AB466" s="44"/>
      <c r="AC466" s="44"/>
      <c r="AD466" s="44"/>
      <c r="AE466" s="44"/>
      <c r="AF466" s="44"/>
      <c r="AG466" s="102"/>
      <c r="AH466" s="44"/>
      <c r="AI466" s="44"/>
      <c r="AJ466" s="44"/>
      <c r="AK466" s="102"/>
      <c r="AL466" s="44"/>
      <c r="AM466" s="44"/>
      <c r="AN466" s="44"/>
    </row>
    <row r="467" spans="1:40">
      <c r="C467" s="44"/>
      <c r="D467" s="44"/>
      <c r="E467" s="44"/>
      <c r="F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T467" s="44"/>
      <c r="U467" s="44"/>
      <c r="V467" s="44"/>
      <c r="Y467" s="44"/>
      <c r="Z467" s="44"/>
      <c r="AA467" s="44"/>
      <c r="AB467" s="44"/>
      <c r="AC467" s="44"/>
      <c r="AD467" s="44"/>
      <c r="AE467" s="44"/>
      <c r="AF467" s="44"/>
      <c r="AG467" s="102"/>
      <c r="AH467" s="44"/>
      <c r="AI467" s="44"/>
      <c r="AJ467" s="44"/>
      <c r="AK467" s="102"/>
      <c r="AL467" s="44"/>
      <c r="AM467" s="44"/>
      <c r="AN467" s="44"/>
    </row>
    <row r="468" spans="1:40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107"/>
      <c r="AH468" s="49"/>
      <c r="AI468" s="49"/>
      <c r="AJ468" s="49"/>
      <c r="AK468" s="107"/>
      <c r="AL468" s="49"/>
      <c r="AM468" s="49"/>
      <c r="AN468" s="49"/>
    </row>
    <row r="469" spans="1:40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Y469" s="44"/>
      <c r="Z469" s="44"/>
      <c r="AA469" s="44"/>
      <c r="AB469" s="44"/>
      <c r="AC469" s="44"/>
      <c r="AD469" s="44"/>
      <c r="AE469" s="44"/>
      <c r="AF469" s="44"/>
      <c r="AG469" s="102"/>
      <c r="AH469" s="44"/>
      <c r="AI469" s="44"/>
      <c r="AJ469" s="44"/>
      <c r="AK469" s="102"/>
      <c r="AL469" s="44"/>
      <c r="AM469" s="44"/>
      <c r="AN469" s="44"/>
    </row>
    <row r="470" spans="1:40">
      <c r="C470" s="42"/>
      <c r="D470" s="42"/>
      <c r="E470" s="42"/>
      <c r="T470" s="42"/>
      <c r="U470" s="42"/>
      <c r="V470" s="45"/>
      <c r="W470" s="45"/>
      <c r="X470" s="45"/>
      <c r="Y470" s="45"/>
      <c r="Z470" s="336"/>
    </row>
    <row r="472" spans="1:40">
      <c r="C472" s="42"/>
      <c r="T472" s="42"/>
      <c r="V472" s="45"/>
      <c r="W472" s="45"/>
      <c r="X472" s="45"/>
      <c r="Y472" s="45"/>
      <c r="Z472" s="336"/>
    </row>
    <row r="473" spans="1:40">
      <c r="C473" s="42"/>
      <c r="F473" s="164"/>
      <c r="H473" s="164"/>
      <c r="I473" s="164"/>
      <c r="J473" s="132"/>
      <c r="K473" s="132"/>
      <c r="L473" s="45"/>
      <c r="M473" s="45"/>
      <c r="N473" s="46"/>
      <c r="O473" s="46"/>
      <c r="P473" s="45"/>
      <c r="Q473" s="45"/>
      <c r="R473" s="45"/>
      <c r="T473" s="42"/>
      <c r="V473" s="45"/>
      <c r="W473" s="45"/>
      <c r="X473" s="45"/>
      <c r="Y473" s="45"/>
      <c r="Z473" s="132"/>
      <c r="AA473" s="45"/>
      <c r="AB473" s="45"/>
      <c r="AC473" s="46"/>
      <c r="AD473" s="46"/>
      <c r="AE473" s="45"/>
      <c r="AF473" s="45"/>
      <c r="AH473" s="51"/>
      <c r="AI473" s="45"/>
      <c r="AJ473" s="45"/>
      <c r="AL473" s="45"/>
      <c r="AM473" s="46"/>
      <c r="AN473" s="46"/>
    </row>
    <row r="474" spans="1:40">
      <c r="C474" s="42"/>
      <c r="F474" s="164"/>
      <c r="H474" s="164"/>
      <c r="I474" s="164"/>
      <c r="J474" s="132"/>
      <c r="K474" s="132"/>
      <c r="L474" s="45"/>
      <c r="M474" s="45"/>
      <c r="N474" s="46"/>
      <c r="O474" s="46"/>
      <c r="P474" s="45"/>
      <c r="Q474" s="45"/>
      <c r="R474" s="45"/>
      <c r="T474" s="42"/>
      <c r="V474" s="45"/>
      <c r="W474" s="45"/>
      <c r="X474" s="45"/>
      <c r="Y474" s="45"/>
      <c r="Z474" s="132"/>
      <c r="AA474" s="45"/>
      <c r="AB474" s="45"/>
      <c r="AC474" s="46"/>
      <c r="AD474" s="46"/>
      <c r="AE474" s="45"/>
      <c r="AF474" s="45"/>
      <c r="AH474" s="51"/>
      <c r="AI474" s="45"/>
      <c r="AJ474" s="45"/>
      <c r="AL474" s="45"/>
      <c r="AM474" s="46"/>
      <c r="AN474" s="46"/>
    </row>
    <row r="475" spans="1:40">
      <c r="C475" s="42"/>
      <c r="F475" s="164"/>
      <c r="H475" s="164"/>
      <c r="I475" s="164"/>
      <c r="J475" s="132"/>
      <c r="K475" s="132"/>
      <c r="L475" s="45"/>
      <c r="M475" s="45"/>
      <c r="N475" s="46"/>
      <c r="O475" s="46"/>
      <c r="P475" s="45"/>
      <c r="Q475" s="45"/>
      <c r="R475" s="45"/>
      <c r="T475" s="42"/>
      <c r="V475" s="45"/>
      <c r="W475" s="45"/>
      <c r="X475" s="45"/>
      <c r="Y475" s="45"/>
      <c r="Z475" s="132"/>
      <c r="AA475" s="45"/>
      <c r="AB475" s="45"/>
      <c r="AC475" s="46"/>
      <c r="AD475" s="46"/>
      <c r="AE475" s="45"/>
      <c r="AF475" s="45"/>
      <c r="AH475" s="51"/>
      <c r="AI475" s="45"/>
      <c r="AJ475" s="45"/>
      <c r="AL475" s="45"/>
      <c r="AM475" s="46"/>
      <c r="AN475" s="46"/>
    </row>
    <row r="476" spans="1:40">
      <c r="C476" s="42"/>
      <c r="F476" s="164"/>
      <c r="H476" s="164"/>
      <c r="I476" s="164"/>
      <c r="J476" s="132"/>
      <c r="K476" s="132"/>
      <c r="L476" s="45"/>
      <c r="M476" s="45"/>
      <c r="N476" s="46"/>
      <c r="O476" s="46"/>
      <c r="P476" s="45"/>
      <c r="Q476" s="45"/>
      <c r="R476" s="45"/>
      <c r="T476" s="42"/>
      <c r="V476" s="45"/>
      <c r="W476" s="45"/>
      <c r="X476" s="45"/>
      <c r="Y476" s="45"/>
      <c r="Z476" s="132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1:40">
      <c r="J477" s="56"/>
      <c r="K477" s="56"/>
      <c r="V477" s="45"/>
      <c r="W477" s="45"/>
      <c r="X477" s="45"/>
      <c r="Y477" s="45"/>
      <c r="Z477" s="132"/>
    </row>
    <row r="478" spans="1:40">
      <c r="C478" s="42"/>
      <c r="F478" s="164"/>
      <c r="H478" s="164"/>
      <c r="I478" s="164"/>
      <c r="J478" s="132"/>
      <c r="K478" s="132"/>
      <c r="L478" s="45"/>
      <c r="M478" s="45"/>
      <c r="N478" s="46"/>
      <c r="O478" s="46"/>
      <c r="P478" s="45"/>
      <c r="Q478" s="45"/>
      <c r="R478" s="45"/>
      <c r="T478" s="42"/>
      <c r="V478" s="45"/>
      <c r="W478" s="45"/>
      <c r="X478" s="45"/>
      <c r="Y478" s="45"/>
      <c r="Z478" s="132"/>
      <c r="AA478" s="45"/>
      <c r="AB478" s="45"/>
      <c r="AC478" s="46"/>
      <c r="AD478" s="46"/>
      <c r="AE478" s="45"/>
      <c r="AF478" s="45"/>
      <c r="AH478" s="51"/>
      <c r="AI478" s="45"/>
      <c r="AJ478" s="45"/>
      <c r="AL478" s="45"/>
      <c r="AM478" s="51"/>
      <c r="AN478" s="51"/>
    </row>
    <row r="479" spans="1:40">
      <c r="C479" s="42"/>
      <c r="J479" s="56"/>
      <c r="K479" s="56"/>
      <c r="T479" s="42"/>
      <c r="V479" s="45"/>
      <c r="W479" s="45"/>
      <c r="X479" s="45"/>
      <c r="Y479" s="45"/>
      <c r="Z479" s="132"/>
    </row>
    <row r="480" spans="1:40">
      <c r="C480" s="42"/>
      <c r="F480" s="164"/>
      <c r="H480" s="164"/>
      <c r="I480" s="164"/>
      <c r="J480" s="132"/>
      <c r="K480" s="132"/>
      <c r="L480" s="45"/>
      <c r="M480" s="45"/>
      <c r="N480" s="46"/>
      <c r="O480" s="46"/>
      <c r="P480" s="45"/>
      <c r="Q480" s="45"/>
      <c r="R480" s="45"/>
      <c r="T480" s="42"/>
      <c r="V480" s="45"/>
      <c r="W480" s="45"/>
      <c r="X480" s="45"/>
      <c r="Y480" s="45"/>
      <c r="Z480" s="132"/>
      <c r="AA480" s="45"/>
      <c r="AB480" s="45"/>
      <c r="AC480" s="46"/>
      <c r="AD480" s="46"/>
      <c r="AE480" s="45"/>
      <c r="AF480" s="45"/>
      <c r="AH480" s="51"/>
      <c r="AI480" s="45"/>
      <c r="AJ480" s="45"/>
      <c r="AL480" s="45"/>
      <c r="AM480" s="51"/>
      <c r="AN480" s="51"/>
    </row>
    <row r="481" spans="1:40">
      <c r="J481" s="56"/>
      <c r="K481" s="56"/>
      <c r="Z481" s="56"/>
    </row>
    <row r="482" spans="1:40">
      <c r="C482" s="42"/>
      <c r="J482" s="56"/>
      <c r="K482" s="56"/>
      <c r="T482" s="42"/>
      <c r="V482" s="45"/>
      <c r="W482" s="45"/>
      <c r="X482" s="45"/>
      <c r="Y482" s="45"/>
      <c r="Z482" s="132"/>
    </row>
    <row r="483" spans="1:40">
      <c r="C483" s="42"/>
      <c r="F483" s="164"/>
      <c r="H483" s="164"/>
      <c r="I483" s="164"/>
      <c r="J483" s="132"/>
      <c r="K483" s="132"/>
      <c r="L483" s="45"/>
      <c r="M483" s="45"/>
      <c r="N483" s="46"/>
      <c r="O483" s="46"/>
      <c r="P483" s="45"/>
      <c r="Q483" s="45"/>
      <c r="R483" s="45"/>
      <c r="T483" s="42"/>
      <c r="V483" s="45"/>
      <c r="W483" s="45"/>
      <c r="X483" s="45"/>
      <c r="Y483" s="45"/>
      <c r="Z483" s="132"/>
      <c r="AA483" s="45"/>
      <c r="AB483" s="45"/>
      <c r="AC483" s="46"/>
      <c r="AD483" s="46"/>
      <c r="AE483" s="45"/>
      <c r="AF483" s="45"/>
      <c r="AH483" s="51"/>
      <c r="AI483" s="45"/>
      <c r="AJ483" s="45"/>
      <c r="AL483" s="45"/>
      <c r="AM483" s="51"/>
      <c r="AN483" s="51"/>
    </row>
    <row r="484" spans="1:40">
      <c r="C484" s="42"/>
      <c r="F484" s="164"/>
      <c r="H484" s="164"/>
      <c r="I484" s="164"/>
      <c r="J484" s="132"/>
      <c r="K484" s="132"/>
      <c r="L484" s="45"/>
      <c r="M484" s="45"/>
      <c r="N484" s="46"/>
      <c r="O484" s="46"/>
      <c r="P484" s="45"/>
      <c r="Q484" s="45"/>
      <c r="R484" s="45"/>
      <c r="T484" s="42"/>
      <c r="V484" s="45"/>
      <c r="W484" s="45"/>
      <c r="X484" s="45"/>
      <c r="Y484" s="45"/>
      <c r="Z484" s="132"/>
      <c r="AA484" s="45"/>
      <c r="AB484" s="45"/>
      <c r="AC484" s="46"/>
      <c r="AD484" s="46"/>
      <c r="AE484" s="45"/>
      <c r="AF484" s="45"/>
      <c r="AH484" s="51"/>
      <c r="AI484" s="45"/>
      <c r="AJ484" s="45"/>
      <c r="AL484" s="45"/>
      <c r="AM484" s="51"/>
      <c r="AN484" s="51"/>
    </row>
    <row r="485" spans="1:40">
      <c r="F485" s="50"/>
      <c r="H485" s="50"/>
      <c r="I485" s="50"/>
      <c r="J485" s="132"/>
      <c r="K485" s="132"/>
      <c r="L485" s="50"/>
      <c r="M485" s="50"/>
      <c r="N485" s="50"/>
      <c r="O485" s="50"/>
      <c r="P485" s="50"/>
      <c r="Q485" s="50"/>
      <c r="R485" s="50"/>
      <c r="V485" s="50"/>
      <c r="Y485" s="50"/>
      <c r="Z485" s="326"/>
      <c r="AA485" s="50"/>
      <c r="AB485" s="50"/>
      <c r="AC485" s="50"/>
      <c r="AD485" s="50"/>
      <c r="AE485" s="50"/>
      <c r="AF485" s="50"/>
      <c r="AI485" s="50"/>
      <c r="AJ485" s="50"/>
      <c r="AK485" s="111"/>
      <c r="AL485" s="50"/>
    </row>
    <row r="486" spans="1:40">
      <c r="C486" s="42"/>
      <c r="F486" s="45"/>
      <c r="H486" s="45"/>
      <c r="I486" s="45"/>
      <c r="L486" s="45"/>
      <c r="M486" s="45"/>
      <c r="N486" s="46"/>
      <c r="O486" s="46"/>
      <c r="P486" s="164"/>
      <c r="Q486" s="164"/>
      <c r="R486" s="45"/>
      <c r="T486" s="42"/>
      <c r="V486" s="45"/>
      <c r="W486" s="45"/>
      <c r="X486" s="45"/>
      <c r="Y486" s="45"/>
      <c r="Z486" s="336"/>
      <c r="AA486" s="45"/>
      <c r="AB486" s="45"/>
      <c r="AC486" s="46"/>
      <c r="AD486" s="46"/>
      <c r="AE486" s="45"/>
      <c r="AF486" s="45"/>
      <c r="AH486" s="51"/>
      <c r="AI486" s="164"/>
      <c r="AJ486" s="164"/>
      <c r="AL486" s="45"/>
      <c r="AM486" s="51"/>
      <c r="AN486" s="51"/>
    </row>
    <row r="487" spans="1:40">
      <c r="H487" s="50"/>
      <c r="I487" s="50"/>
      <c r="J487" s="326"/>
      <c r="K487" s="326"/>
      <c r="L487" s="50"/>
      <c r="M487" s="50"/>
      <c r="N487" s="50"/>
      <c r="O487" s="50"/>
      <c r="P487" s="50"/>
      <c r="Q487" s="50"/>
      <c r="R487" s="50"/>
      <c r="V487" s="50"/>
      <c r="Y487" s="50"/>
      <c r="Z487" s="326"/>
      <c r="AA487" s="50"/>
      <c r="AB487" s="50"/>
      <c r="AC487" s="50"/>
      <c r="AD487" s="50"/>
      <c r="AE487" s="50"/>
      <c r="AF487" s="50"/>
      <c r="AI487" s="50"/>
      <c r="AJ487" s="50"/>
      <c r="AK487" s="111"/>
      <c r="AL487" s="50"/>
    </row>
    <row r="488" spans="1:40">
      <c r="F488" s="50"/>
    </row>
    <row r="490" spans="1:40">
      <c r="A490" s="42"/>
    </row>
    <row r="492" spans="1:40">
      <c r="H492" s="42"/>
      <c r="I492" s="42"/>
      <c r="Y492" s="42"/>
    </row>
    <row r="494" spans="1:40">
      <c r="L494" s="42"/>
      <c r="M494" s="42"/>
      <c r="AA494" s="42"/>
      <c r="AB494" s="42"/>
    </row>
    <row r="495" spans="1:40">
      <c r="R495" s="42"/>
      <c r="AK495" s="110"/>
      <c r="AL495" s="42"/>
    </row>
    <row r="496" spans="1:40">
      <c r="R496" s="42"/>
      <c r="AK496" s="110"/>
      <c r="AL496" s="42"/>
    </row>
    <row r="497" spans="1:40">
      <c r="A497" s="42"/>
      <c r="R497" s="42"/>
      <c r="AK497" s="110"/>
      <c r="AL497" s="42"/>
    </row>
    <row r="498" spans="1:40">
      <c r="L498" s="42"/>
      <c r="M498" s="42"/>
      <c r="AA498" s="42"/>
      <c r="AB498" s="42"/>
    </row>
    <row r="499" spans="1:40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107"/>
      <c r="AH499" s="49"/>
      <c r="AI499" s="49"/>
      <c r="AJ499" s="49"/>
      <c r="AK499" s="107"/>
      <c r="AL499" s="49"/>
      <c r="AM499" s="49"/>
      <c r="AN499" s="49"/>
    </row>
    <row r="500" spans="1:40">
      <c r="L500" s="44"/>
      <c r="M500" s="44"/>
      <c r="N500" s="44"/>
      <c r="O500" s="44"/>
      <c r="R500" s="44"/>
      <c r="AA500" s="44"/>
      <c r="AB500" s="44"/>
      <c r="AC500" s="44"/>
      <c r="AD500" s="44"/>
      <c r="AE500" s="44"/>
      <c r="AF500" s="44"/>
      <c r="AG500" s="102"/>
      <c r="AH500" s="44"/>
      <c r="AK500" s="102"/>
      <c r="AL500" s="44"/>
      <c r="AM500" s="44"/>
      <c r="AN500" s="44"/>
    </row>
    <row r="501" spans="1:40">
      <c r="L501" s="44"/>
      <c r="M501" s="44"/>
      <c r="N501" s="44"/>
      <c r="O501" s="44"/>
      <c r="R501" s="44"/>
      <c r="Z501" s="44"/>
      <c r="AA501" s="44"/>
      <c r="AB501" s="44"/>
      <c r="AC501" s="44"/>
      <c r="AD501" s="44"/>
      <c r="AE501" s="44"/>
      <c r="AF501" s="44"/>
      <c r="AG501" s="102"/>
      <c r="AH501" s="44"/>
      <c r="AK501" s="102"/>
      <c r="AL501" s="44"/>
      <c r="AM501" s="44"/>
      <c r="AN501" s="44"/>
    </row>
    <row r="502" spans="1:40">
      <c r="A502" s="44"/>
      <c r="C502" s="44"/>
      <c r="D502" s="44"/>
      <c r="E502" s="44"/>
      <c r="F502" s="44"/>
      <c r="J502" s="44"/>
      <c r="K502" s="44"/>
      <c r="L502" s="44"/>
      <c r="M502" s="44"/>
      <c r="N502" s="44"/>
      <c r="O502" s="44"/>
      <c r="P502" s="44"/>
      <c r="Q502" s="44"/>
      <c r="R502" s="44"/>
      <c r="T502" s="44"/>
      <c r="U502" s="44"/>
      <c r="V502" s="44"/>
      <c r="Z502" s="44"/>
      <c r="AA502" s="44"/>
      <c r="AB502" s="44"/>
      <c r="AC502" s="44"/>
      <c r="AD502" s="44"/>
      <c r="AE502" s="44"/>
      <c r="AF502" s="44"/>
      <c r="AG502" s="102"/>
      <c r="AH502" s="44"/>
      <c r="AI502" s="44"/>
      <c r="AJ502" s="44"/>
      <c r="AK502" s="102"/>
      <c r="AL502" s="44"/>
      <c r="AM502" s="44"/>
      <c r="AN502" s="44"/>
    </row>
    <row r="503" spans="1:40">
      <c r="A503" s="44"/>
      <c r="C503" s="44"/>
      <c r="D503" s="44"/>
      <c r="E503" s="44"/>
      <c r="F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T503" s="44"/>
      <c r="U503" s="44"/>
      <c r="V503" s="44"/>
      <c r="Y503" s="44"/>
      <c r="Z503" s="44"/>
      <c r="AA503" s="44"/>
      <c r="AB503" s="44"/>
      <c r="AC503" s="44"/>
      <c r="AD503" s="44"/>
      <c r="AE503" s="44"/>
      <c r="AF503" s="44"/>
      <c r="AG503" s="102"/>
      <c r="AH503" s="44"/>
      <c r="AI503" s="44"/>
      <c r="AJ503" s="44"/>
      <c r="AK503" s="102"/>
      <c r="AL503" s="44"/>
      <c r="AM503" s="44"/>
      <c r="AN503" s="44"/>
    </row>
    <row r="504" spans="1:40">
      <c r="C504" s="44"/>
      <c r="D504" s="44"/>
      <c r="E504" s="44"/>
      <c r="F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Y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107"/>
      <c r="AH505" s="49"/>
      <c r="AI505" s="49"/>
      <c r="AJ505" s="49"/>
      <c r="AK505" s="107"/>
      <c r="AL505" s="49"/>
      <c r="AM505" s="49"/>
      <c r="AN505" s="49"/>
    </row>
    <row r="506" spans="1:40"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Y506" s="44"/>
      <c r="Z506" s="44"/>
      <c r="AA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</row>
    <row r="507" spans="1:40">
      <c r="C507" s="42"/>
      <c r="D507" s="42"/>
      <c r="E507" s="42"/>
      <c r="T507" s="42"/>
      <c r="U507" s="42"/>
    </row>
    <row r="509" spans="1:40">
      <c r="C509" s="42"/>
      <c r="T509" s="42"/>
    </row>
    <row r="510" spans="1:40">
      <c r="C510" s="42"/>
      <c r="T510" s="42"/>
    </row>
    <row r="511" spans="1:40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51"/>
      <c r="AN511" s="51"/>
    </row>
    <row r="512" spans="1:40">
      <c r="C512" s="42"/>
      <c r="F512" s="45"/>
      <c r="H512" s="45"/>
      <c r="I512" s="45"/>
      <c r="J512" s="56"/>
      <c r="K512" s="56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56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3:40">
      <c r="C513" s="42"/>
      <c r="F513" s="45"/>
      <c r="H513" s="45"/>
      <c r="I513" s="45"/>
      <c r="J513" s="56"/>
      <c r="K513" s="56"/>
      <c r="L513" s="45"/>
      <c r="M513" s="45"/>
      <c r="N513" s="46"/>
      <c r="O513" s="46"/>
      <c r="P513" s="45"/>
      <c r="Q513" s="45"/>
      <c r="R513" s="45"/>
      <c r="T513" s="42"/>
      <c r="V513" s="45"/>
      <c r="W513" s="45"/>
      <c r="X513" s="45"/>
      <c r="Y513" s="45"/>
      <c r="Z513" s="56"/>
      <c r="AA513" s="45"/>
      <c r="AB513" s="45"/>
      <c r="AC513" s="46"/>
      <c r="AD513" s="46"/>
      <c r="AE513" s="45"/>
      <c r="AF513" s="45"/>
      <c r="AH513" s="51"/>
      <c r="AI513" s="45"/>
      <c r="AJ513" s="45"/>
      <c r="AL513" s="45"/>
      <c r="AM513" s="51"/>
      <c r="AN513" s="51"/>
    </row>
    <row r="514" spans="3:40">
      <c r="C514" s="42"/>
      <c r="F514" s="45"/>
      <c r="H514" s="45"/>
      <c r="I514" s="45"/>
      <c r="J514" s="56"/>
      <c r="K514" s="56"/>
      <c r="T514" s="42"/>
      <c r="V514" s="45"/>
      <c r="Z514" s="56"/>
    </row>
    <row r="515" spans="3:40">
      <c r="C515" s="42"/>
      <c r="F515" s="164"/>
      <c r="H515" s="164"/>
      <c r="I515" s="164"/>
      <c r="J515" s="132"/>
      <c r="K515" s="132"/>
      <c r="L515" s="45"/>
      <c r="M515" s="45"/>
      <c r="N515" s="46"/>
      <c r="O515" s="46"/>
      <c r="P515" s="45"/>
      <c r="Q515" s="45"/>
      <c r="R515" s="45"/>
      <c r="T515" s="42"/>
      <c r="V515" s="45"/>
      <c r="W515" s="45"/>
      <c r="X515" s="45"/>
      <c r="Y515" s="45"/>
      <c r="Z515" s="132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51"/>
      <c r="AN515" s="51"/>
    </row>
    <row r="516" spans="3:40">
      <c r="C516" s="42"/>
      <c r="F516" s="45"/>
      <c r="H516" s="45"/>
      <c r="I516" s="45"/>
      <c r="J516" s="56"/>
      <c r="K516" s="56"/>
      <c r="T516" s="42"/>
      <c r="V516" s="45"/>
      <c r="W516" s="45"/>
      <c r="X516" s="45"/>
      <c r="Y516" s="45"/>
      <c r="Z516" s="56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3:40">
      <c r="C517" s="42"/>
      <c r="F517" s="164"/>
      <c r="H517" s="164"/>
      <c r="I517" s="164"/>
      <c r="J517" s="132"/>
      <c r="K517" s="132"/>
      <c r="L517" s="45"/>
      <c r="M517" s="45"/>
      <c r="N517" s="46"/>
      <c r="O517" s="46"/>
      <c r="P517" s="45"/>
      <c r="Q517" s="45"/>
      <c r="R517" s="45"/>
      <c r="T517" s="42"/>
      <c r="V517" s="45"/>
      <c r="W517" s="45"/>
      <c r="X517" s="45"/>
      <c r="Y517" s="45"/>
      <c r="Z517" s="132"/>
      <c r="AA517" s="45"/>
      <c r="AB517" s="45"/>
      <c r="AC517" s="46"/>
      <c r="AD517" s="46"/>
      <c r="AE517" s="45"/>
      <c r="AF517" s="45"/>
      <c r="AH517" s="51"/>
      <c r="AI517" s="45"/>
      <c r="AJ517" s="45"/>
      <c r="AL517" s="45"/>
      <c r="AM517" s="51"/>
      <c r="AN517" s="51"/>
    </row>
    <row r="518" spans="3:40">
      <c r="C518" s="42"/>
      <c r="F518" s="45"/>
      <c r="H518" s="45"/>
      <c r="I518" s="45"/>
      <c r="J518" s="56"/>
      <c r="K518" s="56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56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3:40">
      <c r="F519" s="45"/>
      <c r="H519" s="45"/>
      <c r="I519" s="45"/>
      <c r="J519" s="56"/>
      <c r="K519" s="56"/>
      <c r="Z519" s="56"/>
    </row>
    <row r="520" spans="3:40">
      <c r="C520" s="42"/>
      <c r="F520" s="45"/>
      <c r="H520" s="164"/>
      <c r="I520" s="164"/>
      <c r="J520" s="132"/>
      <c r="K520" s="132"/>
      <c r="L520" s="45"/>
      <c r="M520" s="45"/>
      <c r="N520" s="46"/>
      <c r="O520" s="46"/>
      <c r="P520" s="45"/>
      <c r="Q520" s="45"/>
      <c r="R520" s="45"/>
      <c r="T520" s="42"/>
      <c r="V520" s="45"/>
      <c r="W520" s="45"/>
      <c r="X520" s="45"/>
      <c r="Y520" s="45"/>
      <c r="Z520" s="132"/>
      <c r="AA520" s="45"/>
      <c r="AB520" s="45"/>
      <c r="AC520" s="46"/>
      <c r="AD520" s="46"/>
      <c r="AE520" s="45"/>
      <c r="AF520" s="45"/>
      <c r="AH520" s="51"/>
      <c r="AI520" s="45"/>
      <c r="AJ520" s="45"/>
      <c r="AL520" s="45"/>
      <c r="AM520" s="51"/>
      <c r="AN520" s="51"/>
    </row>
    <row r="521" spans="3:40">
      <c r="F521" s="50"/>
      <c r="H521" s="50"/>
      <c r="I521" s="50"/>
      <c r="J521" s="132"/>
      <c r="K521" s="132"/>
      <c r="L521" s="50"/>
      <c r="M521" s="50"/>
      <c r="N521" s="50"/>
      <c r="O521" s="50"/>
      <c r="P521" s="50"/>
      <c r="Q521" s="50"/>
      <c r="R521" s="50"/>
      <c r="V521" s="50"/>
      <c r="Y521" s="50"/>
      <c r="Z521" s="132"/>
      <c r="AA521" s="50"/>
      <c r="AB521" s="50"/>
      <c r="AC521" s="50"/>
      <c r="AD521" s="50"/>
      <c r="AE521" s="50"/>
      <c r="AF521" s="50"/>
      <c r="AI521" s="50"/>
      <c r="AJ521" s="50"/>
      <c r="AK521" s="111"/>
      <c r="AL521" s="50"/>
    </row>
    <row r="522" spans="3:40">
      <c r="C522" s="42"/>
      <c r="F522" s="45"/>
      <c r="H522" s="45"/>
      <c r="I522" s="45"/>
      <c r="J522" s="56"/>
      <c r="K522" s="56"/>
      <c r="L522" s="45"/>
      <c r="M522" s="45"/>
      <c r="P522" s="45"/>
      <c r="Q522" s="45"/>
      <c r="R522" s="45"/>
      <c r="T522" s="42"/>
      <c r="V522" s="45"/>
      <c r="Y522" s="45"/>
      <c r="Z522" s="56"/>
      <c r="AA522" s="45"/>
      <c r="AB522" s="45"/>
      <c r="AC522" s="51"/>
      <c r="AD522" s="51"/>
      <c r="AE522" s="45"/>
      <c r="AF522" s="45"/>
      <c r="AH522" s="51"/>
      <c r="AI522" s="45"/>
      <c r="AJ522" s="45"/>
      <c r="AL522" s="45"/>
      <c r="AM522" s="51"/>
      <c r="AN522" s="51"/>
    </row>
    <row r="523" spans="3:40">
      <c r="F523" s="50"/>
      <c r="H523" s="50"/>
      <c r="I523" s="50"/>
      <c r="J523" s="132"/>
      <c r="K523" s="132"/>
      <c r="L523" s="50"/>
      <c r="M523" s="50"/>
      <c r="N523" s="50"/>
      <c r="O523" s="50"/>
      <c r="P523" s="50"/>
      <c r="Q523" s="50"/>
      <c r="R523" s="50"/>
      <c r="V523" s="50"/>
      <c r="Y523" s="50"/>
      <c r="Z523" s="132"/>
      <c r="AA523" s="50"/>
      <c r="AB523" s="50"/>
      <c r="AC523" s="50"/>
      <c r="AD523" s="50"/>
      <c r="AE523" s="50"/>
      <c r="AF523" s="50"/>
      <c r="AI523" s="50"/>
      <c r="AJ523" s="50"/>
      <c r="AK523" s="111"/>
      <c r="AL523" s="50"/>
    </row>
    <row r="524" spans="3:40">
      <c r="J524" s="56"/>
      <c r="K524" s="56"/>
      <c r="Z524" s="56"/>
    </row>
    <row r="525" spans="3:40">
      <c r="C525" s="42"/>
      <c r="J525" s="56"/>
      <c r="K525" s="56"/>
      <c r="T525" s="42"/>
      <c r="Z525" s="56"/>
    </row>
    <row r="526" spans="3:40">
      <c r="C526" s="42"/>
      <c r="J526" s="56"/>
      <c r="K526" s="56"/>
      <c r="T526" s="42"/>
      <c r="Z526" s="56"/>
    </row>
    <row r="527" spans="3:40">
      <c r="C527" s="42"/>
      <c r="F527" s="164"/>
      <c r="H527" s="164"/>
      <c r="I527" s="164"/>
      <c r="J527" s="132"/>
      <c r="K527" s="132"/>
      <c r="L527" s="45"/>
      <c r="M527" s="45"/>
      <c r="N527" s="46"/>
      <c r="O527" s="46"/>
      <c r="P527" s="45"/>
      <c r="Q527" s="45"/>
      <c r="R527" s="45"/>
      <c r="T527" s="42"/>
      <c r="V527" s="45"/>
      <c r="W527" s="45"/>
      <c r="X527" s="45"/>
      <c r="Y527" s="45"/>
      <c r="Z527" s="132"/>
      <c r="AA527" s="45"/>
      <c r="AB527" s="45"/>
      <c r="AC527" s="46"/>
      <c r="AD527" s="46"/>
      <c r="AE527" s="45"/>
      <c r="AF527" s="45"/>
      <c r="AH527" s="51"/>
      <c r="AI527" s="45"/>
      <c r="AJ527" s="45"/>
      <c r="AL527" s="45"/>
      <c r="AM527" s="51"/>
      <c r="AN527" s="51"/>
    </row>
    <row r="528" spans="3:40">
      <c r="C528" s="42"/>
      <c r="J528" s="56"/>
      <c r="K528" s="56"/>
      <c r="T528" s="42"/>
      <c r="Z528" s="56"/>
    </row>
    <row r="529" spans="1:40">
      <c r="C529" s="42"/>
      <c r="F529" s="164"/>
      <c r="H529" s="164"/>
      <c r="I529" s="164"/>
      <c r="J529" s="132"/>
      <c r="K529" s="132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132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51"/>
      <c r="AN529" s="51"/>
    </row>
    <row r="530" spans="1:40">
      <c r="F530" s="50"/>
      <c r="H530" s="50"/>
      <c r="I530" s="50"/>
      <c r="J530" s="132"/>
      <c r="K530" s="132"/>
      <c r="L530" s="50"/>
      <c r="M530" s="50"/>
      <c r="N530" s="50"/>
      <c r="O530" s="50"/>
      <c r="P530" s="50"/>
      <c r="Q530" s="50"/>
      <c r="R530" s="50"/>
      <c r="V530" s="50"/>
      <c r="Y530" s="50"/>
      <c r="Z530" s="132"/>
      <c r="AA530" s="50"/>
      <c r="AB530" s="50"/>
      <c r="AC530" s="50"/>
      <c r="AD530" s="50"/>
      <c r="AE530" s="50"/>
      <c r="AF530" s="50"/>
      <c r="AI530" s="50"/>
      <c r="AJ530" s="50"/>
      <c r="AK530" s="111"/>
      <c r="AL530" s="50"/>
    </row>
    <row r="531" spans="1:40">
      <c r="C531" s="42"/>
      <c r="F531" s="45"/>
      <c r="H531" s="45"/>
      <c r="I531" s="45"/>
      <c r="J531" s="56"/>
      <c r="K531" s="56"/>
      <c r="L531" s="45"/>
      <c r="M531" s="45"/>
      <c r="N531" s="51"/>
      <c r="O531" s="51"/>
      <c r="P531" s="45"/>
      <c r="Q531" s="45"/>
      <c r="R531" s="45"/>
      <c r="T531" s="42"/>
      <c r="V531" s="45"/>
      <c r="Y531" s="45"/>
      <c r="Z531" s="56"/>
      <c r="AA531" s="45"/>
      <c r="AB531" s="45"/>
      <c r="AC531" s="51"/>
      <c r="AD531" s="51"/>
      <c r="AE531" s="45"/>
      <c r="AF531" s="45"/>
      <c r="AH531" s="51"/>
      <c r="AI531" s="45"/>
      <c r="AJ531" s="45"/>
      <c r="AL531" s="45"/>
      <c r="AM531" s="51"/>
      <c r="AN531" s="51"/>
    </row>
    <row r="532" spans="1:40">
      <c r="F532" s="50"/>
      <c r="H532" s="50"/>
      <c r="I532" s="50"/>
      <c r="J532" s="132"/>
      <c r="K532" s="132"/>
      <c r="L532" s="50"/>
      <c r="M532" s="50"/>
      <c r="N532" s="50"/>
      <c r="O532" s="50"/>
      <c r="P532" s="50"/>
      <c r="Q532" s="50"/>
      <c r="R532" s="50"/>
      <c r="V532" s="50"/>
      <c r="Y532" s="50"/>
      <c r="Z532" s="326"/>
      <c r="AA532" s="50"/>
      <c r="AB532" s="50"/>
      <c r="AC532" s="50"/>
      <c r="AD532" s="50"/>
      <c r="AE532" s="50"/>
      <c r="AF532" s="50"/>
      <c r="AI532" s="50"/>
      <c r="AJ532" s="50"/>
      <c r="AK532" s="111"/>
      <c r="AL532" s="50"/>
    </row>
    <row r="533" spans="1:40">
      <c r="J533" s="56"/>
      <c r="K533" s="56"/>
    </row>
    <row r="534" spans="1:40">
      <c r="C534" s="42"/>
      <c r="F534" s="45"/>
      <c r="H534" s="45"/>
      <c r="I534" s="45"/>
      <c r="J534" s="56"/>
      <c r="K534" s="56"/>
      <c r="L534" s="45"/>
      <c r="M534" s="45"/>
      <c r="N534" s="46"/>
      <c r="O534" s="46"/>
      <c r="P534" s="164"/>
      <c r="Q534" s="164"/>
      <c r="R534" s="45"/>
      <c r="T534" s="42"/>
      <c r="V534" s="45"/>
      <c r="Y534" s="45"/>
      <c r="AA534" s="45"/>
      <c r="AB534" s="45"/>
      <c r="AC534" s="51"/>
      <c r="AD534" s="51"/>
      <c r="AE534" s="45"/>
      <c r="AF534" s="45"/>
      <c r="AH534" s="51"/>
      <c r="AI534" s="164"/>
      <c r="AJ534" s="164"/>
      <c r="AL534" s="45"/>
      <c r="AM534" s="51"/>
      <c r="AN534" s="51"/>
    </row>
    <row r="535" spans="1:40">
      <c r="H535" s="50"/>
      <c r="I535" s="50"/>
      <c r="J535" s="132"/>
      <c r="K535" s="132"/>
      <c r="L535" s="50"/>
      <c r="M535" s="50"/>
      <c r="N535" s="50"/>
      <c r="O535" s="50"/>
      <c r="P535" s="50"/>
      <c r="Q535" s="50"/>
      <c r="R535" s="50"/>
      <c r="V535" s="50"/>
      <c r="Y535" s="50"/>
      <c r="Z535" s="326"/>
      <c r="AA535" s="50"/>
      <c r="AB535" s="50"/>
      <c r="AC535" s="50"/>
      <c r="AD535" s="50"/>
      <c r="AE535" s="50"/>
      <c r="AF535" s="50"/>
      <c r="AI535" s="50"/>
      <c r="AJ535" s="50"/>
      <c r="AK535" s="111"/>
      <c r="AL535" s="50"/>
    </row>
    <row r="536" spans="1:40">
      <c r="F536" s="50"/>
    </row>
    <row r="538" spans="1:40">
      <c r="A538" s="42"/>
    </row>
    <row r="540" spans="1:40">
      <c r="H540" s="42"/>
      <c r="I540" s="42"/>
      <c r="Y540" s="42"/>
    </row>
    <row r="542" spans="1:40">
      <c r="L542" s="42"/>
      <c r="M542" s="42"/>
      <c r="AA542" s="42"/>
      <c r="AB542" s="42"/>
    </row>
    <row r="543" spans="1:40">
      <c r="R543" s="42"/>
      <c r="AK543" s="110"/>
      <c r="AL543" s="42"/>
    </row>
    <row r="544" spans="1:40">
      <c r="R544" s="42"/>
      <c r="AK544" s="110"/>
      <c r="AL544" s="42"/>
    </row>
    <row r="545" spans="1:40">
      <c r="A545" s="42"/>
      <c r="R545" s="42"/>
      <c r="AK545" s="110"/>
      <c r="AL545" s="42"/>
    </row>
    <row r="546" spans="1:40">
      <c r="L546" s="42"/>
      <c r="M546" s="42"/>
      <c r="AA546" s="42"/>
      <c r="AB546" s="42"/>
    </row>
    <row r="547" spans="1:40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107"/>
      <c r="AH547" s="49"/>
      <c r="AI547" s="49"/>
      <c r="AJ547" s="49"/>
      <c r="AK547" s="107"/>
      <c r="AL547" s="49"/>
      <c r="AM547" s="49"/>
      <c r="AN547" s="49"/>
    </row>
    <row r="548" spans="1:40">
      <c r="L548" s="44"/>
      <c r="M548" s="44"/>
      <c r="N548" s="44"/>
      <c r="O548" s="44"/>
      <c r="R548" s="44"/>
      <c r="AA548" s="44"/>
      <c r="AB548" s="44"/>
      <c r="AC548" s="44"/>
      <c r="AD548" s="44"/>
      <c r="AE548" s="44"/>
      <c r="AF548" s="44"/>
      <c r="AG548" s="102"/>
      <c r="AH548" s="44"/>
      <c r="AK548" s="102"/>
      <c r="AL548" s="44"/>
      <c r="AM548" s="44"/>
      <c r="AN548" s="44"/>
    </row>
    <row r="549" spans="1:40">
      <c r="L549" s="44"/>
      <c r="M549" s="44"/>
      <c r="N549" s="44"/>
      <c r="O549" s="44"/>
      <c r="R549" s="44"/>
      <c r="Z549" s="44"/>
      <c r="AA549" s="44"/>
      <c r="AB549" s="44"/>
      <c r="AC549" s="44"/>
      <c r="AD549" s="44"/>
      <c r="AE549" s="44"/>
      <c r="AF549" s="44"/>
      <c r="AG549" s="102"/>
      <c r="AH549" s="44"/>
      <c r="AK549" s="102"/>
      <c r="AL549" s="44"/>
      <c r="AM549" s="44"/>
      <c r="AN549" s="44"/>
    </row>
    <row r="550" spans="1:40">
      <c r="A550" s="44"/>
      <c r="C550" s="44"/>
      <c r="D550" s="44"/>
      <c r="E550" s="44"/>
      <c r="F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>
      <c r="A551" s="44"/>
      <c r="C551" s="44"/>
      <c r="D551" s="44"/>
      <c r="E551" s="44"/>
      <c r="F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T551" s="44"/>
      <c r="U551" s="44"/>
      <c r="V551" s="44"/>
      <c r="Y551" s="44"/>
      <c r="Z551" s="44"/>
      <c r="AA551" s="44"/>
      <c r="AB551" s="44"/>
      <c r="AC551" s="44"/>
      <c r="AD551" s="44"/>
      <c r="AE551" s="44"/>
      <c r="AF551" s="44"/>
      <c r="AG551" s="102"/>
      <c r="AH551" s="44"/>
      <c r="AI551" s="44"/>
      <c r="AJ551" s="44"/>
      <c r="AK551" s="102"/>
      <c r="AL551" s="44"/>
      <c r="AM551" s="44"/>
      <c r="AN551" s="44"/>
    </row>
    <row r="552" spans="1:40">
      <c r="C552" s="44"/>
      <c r="D552" s="44"/>
      <c r="E552" s="44"/>
      <c r="F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T552" s="44"/>
      <c r="U552" s="44"/>
      <c r="V552" s="44"/>
      <c r="Y552" s="44"/>
      <c r="Z552" s="44"/>
      <c r="AA552" s="44"/>
      <c r="AB552" s="44"/>
      <c r="AC552" s="44"/>
      <c r="AD552" s="44"/>
      <c r="AE552" s="44"/>
      <c r="AF552" s="44"/>
      <c r="AG552" s="102"/>
      <c r="AH552" s="44"/>
      <c r="AI552" s="44"/>
      <c r="AJ552" s="44"/>
      <c r="AK552" s="102"/>
      <c r="AL552" s="44"/>
      <c r="AM552" s="44"/>
      <c r="AN552" s="44"/>
    </row>
    <row r="553" spans="1:40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107"/>
      <c r="AH553" s="49"/>
      <c r="AI553" s="49"/>
      <c r="AJ553" s="49"/>
      <c r="AK553" s="107"/>
      <c r="AL553" s="49"/>
      <c r="AM553" s="49"/>
      <c r="AN553" s="49"/>
    </row>
    <row r="554" spans="1:40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Y554" s="44"/>
      <c r="Z554" s="44"/>
      <c r="AA554" s="44"/>
      <c r="AB554" s="44"/>
      <c r="AC554" s="44"/>
      <c r="AD554" s="44"/>
      <c r="AE554" s="44"/>
      <c r="AF554" s="44"/>
      <c r="AG554" s="102"/>
      <c r="AH554" s="44"/>
      <c r="AI554" s="44"/>
      <c r="AJ554" s="44"/>
      <c r="AK554" s="102"/>
      <c r="AL554" s="44"/>
      <c r="AM554" s="44"/>
      <c r="AN554" s="44"/>
    </row>
    <row r="555" spans="1:40">
      <c r="C555" s="42"/>
      <c r="D555" s="42"/>
      <c r="E555" s="42"/>
      <c r="T555" s="42"/>
      <c r="U555" s="42"/>
    </row>
    <row r="557" spans="1:40">
      <c r="C557" s="42"/>
      <c r="D557" s="42"/>
      <c r="E557" s="42"/>
      <c r="T557" s="42"/>
      <c r="U557" s="42"/>
    </row>
    <row r="558" spans="1:40">
      <c r="C558" s="42"/>
      <c r="T558" s="42"/>
    </row>
    <row r="559" spans="1:40">
      <c r="C559" s="42"/>
      <c r="T559" s="42"/>
    </row>
    <row r="560" spans="1:40">
      <c r="C560" s="42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46"/>
      <c r="AN560" s="46"/>
    </row>
    <row r="561" spans="3:40">
      <c r="C561" s="42"/>
      <c r="F561" s="164"/>
      <c r="J561" s="56"/>
      <c r="K561" s="56"/>
      <c r="T561" s="42"/>
      <c r="V561" s="45"/>
      <c r="W561" s="45"/>
      <c r="X561" s="45"/>
      <c r="Y561" s="45"/>
      <c r="Z561" s="132"/>
    </row>
    <row r="562" spans="3:40">
      <c r="C562" s="42"/>
      <c r="H562" s="164"/>
      <c r="I562" s="164"/>
      <c r="J562" s="132"/>
      <c r="K562" s="132"/>
      <c r="L562" s="45"/>
      <c r="M562" s="45"/>
      <c r="N562" s="46"/>
      <c r="O562" s="46"/>
      <c r="P562" s="45"/>
      <c r="Q562" s="45"/>
      <c r="R562" s="45"/>
      <c r="T562" s="42"/>
      <c r="V562" s="45"/>
      <c r="W562" s="45"/>
      <c r="X562" s="45"/>
      <c r="Y562" s="45"/>
      <c r="Z562" s="132"/>
      <c r="AA562" s="45"/>
      <c r="AB562" s="45"/>
      <c r="AC562" s="46"/>
      <c r="AD562" s="46"/>
      <c r="AE562" s="45"/>
      <c r="AF562" s="45"/>
      <c r="AH562" s="51"/>
      <c r="AI562" s="45"/>
      <c r="AJ562" s="45"/>
      <c r="AL562" s="45"/>
      <c r="AM562" s="46"/>
      <c r="AN562" s="46"/>
    </row>
    <row r="563" spans="3:40">
      <c r="C563" s="42"/>
      <c r="F563" s="164"/>
      <c r="J563" s="56"/>
      <c r="K563" s="56"/>
      <c r="T563" s="42"/>
      <c r="V563" s="45"/>
      <c r="W563" s="45"/>
      <c r="X563" s="45"/>
      <c r="Y563" s="45"/>
      <c r="Z563" s="132"/>
    </row>
    <row r="564" spans="3:40">
      <c r="C564" s="42"/>
      <c r="H564" s="164"/>
      <c r="I564" s="164"/>
      <c r="J564" s="132"/>
      <c r="K564" s="132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132"/>
      <c r="AA564" s="45"/>
      <c r="AB564" s="45"/>
      <c r="AC564" s="46"/>
      <c r="AD564" s="46"/>
      <c r="AE564" s="45"/>
      <c r="AF564" s="45"/>
      <c r="AH564" s="51"/>
      <c r="AI564" s="45"/>
      <c r="AJ564" s="45"/>
      <c r="AL564" s="45"/>
      <c r="AM564" s="46"/>
      <c r="AN564" s="46"/>
    </row>
    <row r="565" spans="3:40">
      <c r="C565" s="42"/>
      <c r="F565" s="164"/>
      <c r="J565" s="56"/>
      <c r="K565" s="56"/>
      <c r="T565" s="42"/>
      <c r="V565" s="45"/>
      <c r="W565" s="45"/>
      <c r="X565" s="45"/>
      <c r="Y565" s="45"/>
      <c r="Z565" s="132"/>
    </row>
    <row r="566" spans="3:40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46"/>
      <c r="AN566" s="46"/>
    </row>
    <row r="567" spans="3:40">
      <c r="C567" s="42"/>
      <c r="F567" s="164"/>
      <c r="J567" s="56"/>
      <c r="K567" s="56"/>
      <c r="T567" s="42"/>
      <c r="V567" s="45"/>
      <c r="W567" s="45"/>
      <c r="X567" s="45"/>
      <c r="Y567" s="45"/>
      <c r="Z567" s="132"/>
    </row>
    <row r="568" spans="3:40">
      <c r="C568" s="42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45"/>
      <c r="AJ568" s="45"/>
      <c r="AL568" s="45"/>
      <c r="AM568" s="46"/>
      <c r="AN568" s="46"/>
    </row>
    <row r="569" spans="3:40">
      <c r="C569" s="42"/>
      <c r="F569" s="164"/>
      <c r="J569" s="56"/>
      <c r="K569" s="56"/>
      <c r="T569" s="42"/>
      <c r="V569" s="45"/>
      <c r="W569" s="45"/>
      <c r="X569" s="45"/>
      <c r="Y569" s="45"/>
      <c r="Z569" s="132"/>
    </row>
    <row r="570" spans="3:40">
      <c r="C570" s="42"/>
      <c r="H570" s="164"/>
      <c r="I570" s="164"/>
      <c r="J570" s="132"/>
      <c r="K570" s="132"/>
      <c r="L570" s="45"/>
      <c r="M570" s="45"/>
      <c r="N570" s="46"/>
      <c r="O570" s="46"/>
      <c r="P570" s="45"/>
      <c r="Q570" s="45"/>
      <c r="R570" s="45"/>
      <c r="T570" s="42"/>
      <c r="V570" s="45"/>
      <c r="W570" s="45"/>
      <c r="X570" s="45"/>
      <c r="Y570" s="45"/>
      <c r="Z570" s="132"/>
      <c r="AA570" s="45"/>
      <c r="AB570" s="45"/>
      <c r="AC570" s="46"/>
      <c r="AD570" s="46"/>
      <c r="AE570" s="45"/>
      <c r="AF570" s="45"/>
      <c r="AH570" s="51"/>
      <c r="AI570" s="45"/>
      <c r="AJ570" s="45"/>
      <c r="AL570" s="45"/>
      <c r="AM570" s="46"/>
      <c r="AN570" s="46"/>
    </row>
    <row r="571" spans="3:40">
      <c r="F571" s="164"/>
      <c r="H571" s="50"/>
      <c r="I571" s="50"/>
      <c r="J571" s="132"/>
      <c r="K571" s="132"/>
      <c r="L571" s="50"/>
      <c r="M571" s="50"/>
      <c r="N571" s="50"/>
      <c r="O571" s="50"/>
      <c r="P571" s="50"/>
      <c r="Q571" s="50"/>
      <c r="R571" s="50"/>
      <c r="V571" s="50"/>
      <c r="Y571" s="50"/>
      <c r="Z571" s="132"/>
      <c r="AA571" s="50"/>
      <c r="AB571" s="50"/>
      <c r="AC571" s="50"/>
      <c r="AD571" s="50"/>
      <c r="AE571" s="50"/>
      <c r="AF571" s="50"/>
      <c r="AI571" s="50"/>
      <c r="AJ571" s="50"/>
      <c r="AK571" s="111"/>
      <c r="AL571" s="50"/>
      <c r="AM571" s="46"/>
      <c r="AN571" s="46"/>
    </row>
    <row r="572" spans="3:40">
      <c r="C572" s="42"/>
      <c r="F572" s="50"/>
      <c r="H572" s="45"/>
      <c r="I572" s="45"/>
      <c r="J572" s="56"/>
      <c r="K572" s="56"/>
      <c r="L572" s="45"/>
      <c r="M572" s="45"/>
      <c r="N572" s="46"/>
      <c r="O572" s="46"/>
      <c r="P572" s="164"/>
      <c r="Q572" s="164"/>
      <c r="R572" s="45"/>
      <c r="T572" s="42"/>
      <c r="V572" s="45"/>
      <c r="W572" s="45"/>
      <c r="X572" s="45"/>
      <c r="Y572" s="45"/>
      <c r="Z572" s="132"/>
      <c r="AA572" s="45"/>
      <c r="AB572" s="45"/>
      <c r="AC572" s="46"/>
      <c r="AD572" s="46"/>
      <c r="AE572" s="45"/>
      <c r="AF572" s="45"/>
      <c r="AH572" s="51"/>
      <c r="AI572" s="164"/>
      <c r="AJ572" s="164"/>
      <c r="AL572" s="45"/>
      <c r="AM572" s="46"/>
      <c r="AN572" s="46"/>
    </row>
    <row r="573" spans="3:40">
      <c r="F573" s="45"/>
      <c r="H573" s="50"/>
      <c r="I573" s="50"/>
      <c r="J573" s="132"/>
      <c r="K573" s="132"/>
      <c r="L573" s="50"/>
      <c r="M573" s="50"/>
      <c r="N573" s="50"/>
      <c r="O573" s="50"/>
      <c r="P573" s="50"/>
      <c r="Q573" s="50"/>
      <c r="R573" s="50"/>
      <c r="V573" s="50"/>
      <c r="Y573" s="50"/>
      <c r="Z573" s="132"/>
      <c r="AA573" s="50"/>
      <c r="AB573" s="50"/>
      <c r="AC573" s="50"/>
      <c r="AD573" s="50"/>
      <c r="AE573" s="50"/>
      <c r="AF573" s="50"/>
      <c r="AI573" s="50"/>
      <c r="AJ573" s="50"/>
      <c r="AK573" s="111"/>
      <c r="AL573" s="50"/>
    </row>
    <row r="574" spans="3:40">
      <c r="C574" s="42"/>
      <c r="D574" s="42"/>
      <c r="E574" s="42"/>
      <c r="F574" s="50"/>
      <c r="J574" s="56"/>
      <c r="K574" s="56"/>
      <c r="T574" s="42"/>
      <c r="U574" s="42"/>
      <c r="V574" s="45"/>
      <c r="W574" s="45"/>
      <c r="X574" s="45"/>
      <c r="Y574" s="45"/>
      <c r="Z574" s="132"/>
    </row>
    <row r="575" spans="3:40">
      <c r="C575" s="42"/>
      <c r="J575" s="56"/>
      <c r="K575" s="56"/>
      <c r="T575" s="42"/>
      <c r="V575" s="45"/>
      <c r="W575" s="45"/>
      <c r="X575" s="45"/>
      <c r="Y575" s="45"/>
      <c r="Z575" s="132"/>
    </row>
    <row r="576" spans="3:40">
      <c r="C576" s="42"/>
      <c r="J576" s="56"/>
      <c r="K576" s="56"/>
      <c r="T576" s="42"/>
      <c r="V576" s="45"/>
      <c r="W576" s="45"/>
      <c r="X576" s="45"/>
      <c r="Y576" s="45"/>
      <c r="Z576" s="132"/>
    </row>
    <row r="577" spans="3:40">
      <c r="C577" s="42"/>
      <c r="H577" s="164"/>
      <c r="I577" s="164"/>
      <c r="J577" s="132"/>
      <c r="K577" s="132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Z577" s="132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46"/>
      <c r="AN577" s="46"/>
    </row>
    <row r="578" spans="3:40">
      <c r="C578" s="42"/>
      <c r="F578" s="164"/>
      <c r="J578" s="56"/>
      <c r="K578" s="56"/>
      <c r="T578" s="42"/>
      <c r="V578" s="45"/>
      <c r="W578" s="45"/>
      <c r="X578" s="45"/>
      <c r="Y578" s="45"/>
      <c r="Z578" s="132"/>
    </row>
    <row r="579" spans="3:40">
      <c r="C579" s="42"/>
      <c r="H579" s="164"/>
      <c r="I579" s="164"/>
      <c r="J579" s="132"/>
      <c r="K579" s="132"/>
      <c r="L579" s="45"/>
      <c r="M579" s="45"/>
      <c r="N579" s="46"/>
      <c r="O579" s="46"/>
      <c r="P579" s="45"/>
      <c r="Q579" s="45"/>
      <c r="R579" s="45"/>
      <c r="T579" s="42"/>
      <c r="V579" s="45"/>
      <c r="W579" s="45"/>
      <c r="X579" s="45"/>
      <c r="Y579" s="45"/>
      <c r="Z579" s="132"/>
      <c r="AA579" s="45"/>
      <c r="AB579" s="45"/>
      <c r="AC579" s="46"/>
      <c r="AD579" s="46"/>
      <c r="AE579" s="45"/>
      <c r="AF579" s="45"/>
      <c r="AH579" s="51"/>
      <c r="AI579" s="45"/>
      <c r="AJ579" s="45"/>
      <c r="AL579" s="45"/>
      <c r="AM579" s="46"/>
      <c r="AN579" s="46"/>
    </row>
    <row r="580" spans="3:40">
      <c r="F580" s="164"/>
      <c r="H580" s="50"/>
      <c r="I580" s="50"/>
      <c r="J580" s="132"/>
      <c r="K580" s="132"/>
      <c r="L580" s="50"/>
      <c r="M580" s="50"/>
      <c r="N580" s="50"/>
      <c r="O580" s="50"/>
      <c r="P580" s="50"/>
      <c r="Q580" s="50"/>
      <c r="R580" s="50"/>
      <c r="V580" s="50"/>
      <c r="Y580" s="50"/>
      <c r="Z580" s="326"/>
      <c r="AA580" s="50"/>
      <c r="AB580" s="50"/>
      <c r="AC580" s="50"/>
      <c r="AD580" s="50"/>
      <c r="AE580" s="50"/>
      <c r="AF580" s="50"/>
      <c r="AI580" s="50"/>
      <c r="AJ580" s="50"/>
      <c r="AK580" s="111"/>
      <c r="AL580" s="50"/>
    </row>
    <row r="581" spans="3:40">
      <c r="C581" s="42"/>
      <c r="F581" s="50"/>
      <c r="H581" s="45"/>
      <c r="I581" s="45"/>
      <c r="L581" s="45"/>
      <c r="M581" s="45"/>
      <c r="N581" s="46"/>
      <c r="O581" s="46"/>
      <c r="P581" s="164"/>
      <c r="Q581" s="164"/>
      <c r="R581" s="45"/>
      <c r="T581" s="42"/>
      <c r="V581" s="45"/>
      <c r="W581" s="45"/>
      <c r="X581" s="45"/>
      <c r="Y581" s="45"/>
      <c r="Z581" s="336"/>
      <c r="AA581" s="45"/>
      <c r="AB581" s="45"/>
      <c r="AC581" s="46"/>
      <c r="AD581" s="46"/>
      <c r="AE581" s="45"/>
      <c r="AF581" s="45"/>
      <c r="AH581" s="51"/>
      <c r="AI581" s="164"/>
      <c r="AJ581" s="164"/>
      <c r="AL581" s="45"/>
      <c r="AM581" s="46"/>
      <c r="AN581" s="46"/>
    </row>
    <row r="582" spans="3:40">
      <c r="F582" s="45"/>
      <c r="H582" s="50"/>
      <c r="I582" s="50"/>
      <c r="J582" s="326"/>
      <c r="K582" s="326"/>
      <c r="L582" s="50"/>
      <c r="M582" s="50"/>
      <c r="N582" s="50"/>
      <c r="O582" s="50"/>
      <c r="P582" s="50"/>
      <c r="Q582" s="50"/>
      <c r="R582" s="50"/>
      <c r="V582" s="50"/>
      <c r="Y582" s="50"/>
      <c r="Z582" s="326"/>
      <c r="AA582" s="50"/>
      <c r="AB582" s="50"/>
      <c r="AC582" s="50"/>
      <c r="AD582" s="50"/>
      <c r="AE582" s="50"/>
      <c r="AF582" s="50"/>
      <c r="AI582" s="50"/>
      <c r="AJ582" s="50"/>
      <c r="AK582" s="111"/>
      <c r="AL582" s="50"/>
    </row>
    <row r="583" spans="3:40">
      <c r="C583" s="42"/>
      <c r="D583" s="42"/>
      <c r="E583" s="42"/>
      <c r="F583" s="50"/>
      <c r="T583" s="42"/>
      <c r="U583" s="42"/>
      <c r="V583" s="45"/>
      <c r="W583" s="45"/>
      <c r="X583" s="45"/>
      <c r="Y583" s="45"/>
      <c r="Z583" s="336"/>
    </row>
    <row r="584" spans="3:40">
      <c r="C584" s="42"/>
      <c r="T584" s="42"/>
      <c r="V584" s="45"/>
      <c r="W584" s="45"/>
      <c r="X584" s="45"/>
      <c r="Y584" s="45"/>
      <c r="Z584" s="336"/>
    </row>
    <row r="585" spans="3:40">
      <c r="C585" s="42"/>
      <c r="H585" s="164"/>
      <c r="I585" s="164"/>
      <c r="J585" s="336"/>
      <c r="K585" s="336"/>
      <c r="L585" s="45"/>
      <c r="M585" s="45"/>
      <c r="N585" s="46"/>
      <c r="O585" s="46"/>
      <c r="P585" s="45"/>
      <c r="Q585" s="45"/>
      <c r="R585" s="45"/>
      <c r="T585" s="42"/>
      <c r="V585" s="45"/>
      <c r="W585" s="45"/>
      <c r="X585" s="45"/>
      <c r="Y585" s="45"/>
      <c r="Z585" s="336"/>
      <c r="AA585" s="45"/>
      <c r="AB585" s="45"/>
      <c r="AC585" s="46"/>
      <c r="AD585" s="46"/>
      <c r="AE585" s="45"/>
      <c r="AF585" s="45"/>
      <c r="AH585" s="51"/>
      <c r="AI585" s="45"/>
      <c r="AJ585" s="45"/>
      <c r="AL585" s="45"/>
      <c r="AM585" s="46"/>
      <c r="AN585" s="46"/>
    </row>
    <row r="586" spans="3:40">
      <c r="C586" s="42"/>
      <c r="F586" s="164"/>
      <c r="T586" s="42"/>
      <c r="V586" s="45"/>
      <c r="W586" s="45"/>
      <c r="X586" s="45"/>
      <c r="Y586" s="45"/>
      <c r="Z586" s="336"/>
    </row>
    <row r="587" spans="3:40">
      <c r="C587" s="42"/>
      <c r="H587" s="164"/>
      <c r="I587" s="164"/>
      <c r="J587" s="336"/>
      <c r="K587" s="336"/>
      <c r="L587" s="45"/>
      <c r="M587" s="45"/>
      <c r="N587" s="46"/>
      <c r="O587" s="46"/>
      <c r="P587" s="45"/>
      <c r="Q587" s="45"/>
      <c r="R587" s="45"/>
      <c r="T587" s="42"/>
      <c r="V587" s="45"/>
      <c r="W587" s="45"/>
      <c r="X587" s="45"/>
      <c r="Y587" s="45"/>
      <c r="Z587" s="336"/>
      <c r="AA587" s="45"/>
      <c r="AB587" s="45"/>
      <c r="AC587" s="46"/>
      <c r="AD587" s="46"/>
      <c r="AE587" s="45"/>
      <c r="AF587" s="45"/>
      <c r="AH587" s="51"/>
      <c r="AI587" s="45"/>
      <c r="AJ587" s="45"/>
      <c r="AL587" s="45"/>
      <c r="AM587" s="46"/>
      <c r="AN587" s="46"/>
    </row>
    <row r="588" spans="3:40">
      <c r="C588" s="42"/>
      <c r="F588" s="164"/>
      <c r="T588" s="42"/>
      <c r="V588" s="45"/>
      <c r="W588" s="45"/>
      <c r="X588" s="45"/>
      <c r="Y588" s="45"/>
      <c r="Z588" s="336"/>
    </row>
    <row r="589" spans="3:40">
      <c r="C589" s="42"/>
      <c r="H589" s="164"/>
      <c r="I589" s="164"/>
      <c r="J589" s="336"/>
      <c r="K589" s="33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336"/>
      <c r="AA589" s="45"/>
      <c r="AB589" s="45"/>
      <c r="AC589" s="46"/>
      <c r="AD589" s="46"/>
      <c r="AE589" s="45"/>
      <c r="AF589" s="45"/>
      <c r="AH589" s="51"/>
      <c r="AI589" s="45"/>
      <c r="AJ589" s="45"/>
      <c r="AL589" s="45"/>
      <c r="AM589" s="46"/>
      <c r="AN589" s="46"/>
    </row>
    <row r="590" spans="3:40">
      <c r="C590" s="42"/>
      <c r="F590" s="164"/>
      <c r="T590" s="42"/>
      <c r="V590" s="45"/>
      <c r="W590" s="45"/>
      <c r="X590" s="45"/>
      <c r="Y590" s="45"/>
      <c r="Z590" s="336"/>
    </row>
    <row r="591" spans="3:40">
      <c r="C591" s="42"/>
      <c r="H591" s="164"/>
      <c r="I591" s="164"/>
      <c r="J591" s="336"/>
      <c r="K591" s="336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Z591" s="336"/>
      <c r="AA591" s="45"/>
      <c r="AB591" s="45"/>
      <c r="AC591" s="46"/>
      <c r="AD591" s="46"/>
      <c r="AE591" s="45"/>
      <c r="AF591" s="45"/>
      <c r="AH591" s="51"/>
      <c r="AI591" s="45"/>
      <c r="AJ591" s="45"/>
      <c r="AL591" s="45"/>
      <c r="AM591" s="46"/>
      <c r="AN591" s="46"/>
    </row>
    <row r="592" spans="3:40">
      <c r="F592" s="164"/>
      <c r="H592" s="50"/>
      <c r="I592" s="50"/>
      <c r="J592" s="326"/>
      <c r="K592" s="326"/>
      <c r="L592" s="50"/>
      <c r="M592" s="50"/>
      <c r="N592" s="50"/>
      <c r="O592" s="50"/>
      <c r="P592" s="50"/>
      <c r="Q592" s="50"/>
      <c r="R592" s="50"/>
      <c r="V592" s="50"/>
      <c r="Y592" s="50"/>
      <c r="Z592" s="326"/>
      <c r="AA592" s="50"/>
      <c r="AB592" s="50"/>
      <c r="AC592" s="50"/>
      <c r="AD592" s="50"/>
      <c r="AE592" s="50"/>
      <c r="AF592" s="50"/>
      <c r="AI592" s="50"/>
      <c r="AJ592" s="50"/>
      <c r="AK592" s="111"/>
      <c r="AL592" s="50"/>
    </row>
    <row r="593" spans="1:40">
      <c r="C593" s="42"/>
      <c r="F593" s="50"/>
      <c r="H593" s="45"/>
      <c r="I593" s="45"/>
      <c r="L593" s="45"/>
      <c r="M593" s="45"/>
      <c r="N593" s="46"/>
      <c r="O593" s="46"/>
      <c r="P593" s="164"/>
      <c r="Q593" s="164"/>
      <c r="R593" s="45"/>
      <c r="T593" s="42"/>
      <c r="V593" s="45"/>
      <c r="W593" s="45"/>
      <c r="X593" s="45"/>
      <c r="Y593" s="45"/>
      <c r="Z593" s="336"/>
      <c r="AA593" s="45"/>
      <c r="AB593" s="45"/>
      <c r="AC593" s="46"/>
      <c r="AD593" s="46"/>
      <c r="AE593" s="45"/>
      <c r="AF593" s="45"/>
      <c r="AH593" s="51"/>
      <c r="AI593" s="164"/>
      <c r="AJ593" s="164"/>
      <c r="AL593" s="45"/>
      <c r="AM593" s="46"/>
      <c r="AN593" s="46"/>
    </row>
    <row r="594" spans="1:40">
      <c r="F594" s="45"/>
      <c r="H594" s="50"/>
      <c r="I594" s="50"/>
      <c r="J594" s="326"/>
      <c r="K594" s="326"/>
      <c r="L594" s="50"/>
      <c r="M594" s="50"/>
      <c r="N594" s="50"/>
      <c r="O594" s="50"/>
      <c r="P594" s="50"/>
      <c r="Q594" s="50"/>
      <c r="R594" s="50"/>
      <c r="V594" s="50"/>
      <c r="Y594" s="50"/>
      <c r="Z594" s="326"/>
      <c r="AA594" s="50"/>
      <c r="AB594" s="50"/>
      <c r="AC594" s="50"/>
      <c r="AD594" s="50"/>
      <c r="AE594" s="50"/>
      <c r="AF594" s="50"/>
      <c r="AI594" s="50"/>
      <c r="AJ594" s="50"/>
      <c r="AK594" s="111"/>
      <c r="AL594" s="50"/>
    </row>
    <row r="595" spans="1:40">
      <c r="C595" s="42"/>
      <c r="F595" s="50"/>
      <c r="H595" s="45"/>
      <c r="I595" s="45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51"/>
      <c r="AN595" s="51"/>
    </row>
    <row r="596" spans="1:40">
      <c r="F596" s="45"/>
      <c r="H596" s="50"/>
      <c r="I596" s="50"/>
      <c r="J596" s="326"/>
      <c r="K596" s="326"/>
      <c r="L596" s="50"/>
      <c r="M596" s="50"/>
      <c r="N596" s="50"/>
      <c r="O596" s="50"/>
      <c r="P596" s="50"/>
      <c r="Q596" s="50"/>
      <c r="R596" s="50"/>
      <c r="V596" s="50"/>
      <c r="Y596" s="50"/>
      <c r="Z596" s="326"/>
      <c r="AA596" s="50"/>
      <c r="AB596" s="50"/>
      <c r="AC596" s="50"/>
      <c r="AD596" s="50"/>
      <c r="AE596" s="50"/>
      <c r="AF596" s="50"/>
      <c r="AI596" s="50"/>
      <c r="AJ596" s="50"/>
      <c r="AK596" s="111"/>
      <c r="AL596" s="50"/>
    </row>
    <row r="598" spans="1:40">
      <c r="F598" s="50"/>
    </row>
    <row r="599" spans="1:40">
      <c r="A599" s="42"/>
    </row>
    <row r="601" spans="1:40">
      <c r="H601" s="42"/>
      <c r="I601" s="42"/>
      <c r="Y601" s="42"/>
    </row>
    <row r="603" spans="1:40">
      <c r="L603" s="42"/>
      <c r="M603" s="42"/>
      <c r="AA603" s="42"/>
      <c r="AB603" s="42"/>
    </row>
    <row r="604" spans="1:40">
      <c r="R604" s="42"/>
      <c r="AK604" s="110"/>
      <c r="AL604" s="42"/>
    </row>
    <row r="605" spans="1:40">
      <c r="R605" s="42"/>
      <c r="AK605" s="110"/>
      <c r="AL605" s="42"/>
    </row>
    <row r="606" spans="1:40">
      <c r="A606" s="42"/>
      <c r="R606" s="42"/>
      <c r="AK606" s="110"/>
      <c r="AL606" s="42"/>
    </row>
    <row r="607" spans="1:40">
      <c r="L607" s="42"/>
      <c r="M607" s="42"/>
      <c r="AA607" s="42"/>
      <c r="AB607" s="42"/>
    </row>
    <row r="608" spans="1:40">
      <c r="A608" s="49"/>
      <c r="B608" s="49"/>
      <c r="C608" s="49"/>
      <c r="D608" s="49"/>
      <c r="E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107"/>
      <c r="AH608" s="49"/>
      <c r="AI608" s="49"/>
      <c r="AJ608" s="49"/>
      <c r="AK608" s="107"/>
      <c r="AL608" s="49"/>
      <c r="AM608" s="49"/>
      <c r="AN608" s="49"/>
    </row>
    <row r="609" spans="1:40">
      <c r="F609" s="49"/>
      <c r="L609" s="44"/>
      <c r="M609" s="44"/>
      <c r="N609" s="44"/>
      <c r="O609" s="44"/>
      <c r="R609" s="44"/>
      <c r="AA609" s="44"/>
      <c r="AB609" s="44"/>
      <c r="AC609" s="44"/>
      <c r="AD609" s="44"/>
      <c r="AE609" s="44"/>
      <c r="AF609" s="44"/>
      <c r="AG609" s="102"/>
      <c r="AH609" s="44"/>
      <c r="AK609" s="102"/>
      <c r="AL609" s="44"/>
      <c r="AM609" s="44"/>
      <c r="AN609" s="44"/>
    </row>
    <row r="610" spans="1:40">
      <c r="L610" s="44"/>
      <c r="M610" s="44"/>
      <c r="N610" s="44"/>
      <c r="O610" s="44"/>
      <c r="R610" s="44"/>
      <c r="Z610" s="44"/>
      <c r="AA610" s="44"/>
      <c r="AB610" s="44"/>
      <c r="AC610" s="44"/>
      <c r="AD610" s="44"/>
      <c r="AE610" s="44"/>
      <c r="AF610" s="44"/>
      <c r="AG610" s="102"/>
      <c r="AH610" s="44"/>
      <c r="AK610" s="102"/>
      <c r="AL610" s="44"/>
      <c r="AM610" s="44"/>
      <c r="AN610" s="44"/>
    </row>
    <row r="611" spans="1:40">
      <c r="A611" s="44"/>
      <c r="C611" s="44"/>
      <c r="D611" s="44"/>
      <c r="E611" s="44"/>
      <c r="J611" s="44"/>
      <c r="K611" s="44"/>
      <c r="L611" s="44"/>
      <c r="M611" s="44"/>
      <c r="N611" s="44"/>
      <c r="O611" s="44"/>
      <c r="P611" s="44"/>
      <c r="Q611" s="44"/>
      <c r="R611" s="44"/>
      <c r="T611" s="44"/>
      <c r="U611" s="44"/>
      <c r="V611" s="44"/>
      <c r="Z611" s="44"/>
      <c r="AA611" s="44"/>
      <c r="AB611" s="44"/>
      <c r="AC611" s="44"/>
      <c r="AD611" s="44"/>
      <c r="AE611" s="44"/>
      <c r="AF611" s="44"/>
      <c r="AG611" s="102"/>
      <c r="AH611" s="44"/>
      <c r="AI611" s="44"/>
      <c r="AJ611" s="44"/>
      <c r="AK611" s="102"/>
      <c r="AL611" s="44"/>
      <c r="AM611" s="44"/>
      <c r="AN611" s="44"/>
    </row>
    <row r="612" spans="1:40">
      <c r="A612" s="44"/>
      <c r="C612" s="44"/>
      <c r="D612" s="44"/>
      <c r="E612" s="44"/>
      <c r="F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T612" s="44"/>
      <c r="U612" s="44"/>
      <c r="V612" s="44"/>
      <c r="Y612" s="44"/>
      <c r="Z612" s="44"/>
      <c r="AA612" s="44"/>
      <c r="AB612" s="44"/>
      <c r="AC612" s="44"/>
      <c r="AD612" s="44"/>
      <c r="AE612" s="44"/>
      <c r="AF612" s="44"/>
      <c r="AG612" s="102"/>
      <c r="AH612" s="44"/>
      <c r="AI612" s="44"/>
      <c r="AJ612" s="44"/>
      <c r="AK612" s="102"/>
      <c r="AL612" s="44"/>
      <c r="AM612" s="44"/>
      <c r="AN612" s="44"/>
    </row>
    <row r="613" spans="1:40">
      <c r="C613" s="44"/>
      <c r="D613" s="44"/>
      <c r="E613" s="44"/>
      <c r="F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T613" s="44"/>
      <c r="U613" s="44"/>
      <c r="V613" s="44"/>
      <c r="Y613" s="44"/>
      <c r="Z613" s="44"/>
      <c r="AA613" s="44"/>
      <c r="AB613" s="44"/>
      <c r="AC613" s="44"/>
      <c r="AD613" s="44"/>
      <c r="AE613" s="44"/>
      <c r="AF613" s="44"/>
      <c r="AG613" s="102"/>
      <c r="AH613" s="44"/>
      <c r="AI613" s="44"/>
      <c r="AJ613" s="44"/>
      <c r="AK613" s="102"/>
      <c r="AL613" s="44"/>
      <c r="AM613" s="44"/>
      <c r="AN613" s="44"/>
    </row>
    <row r="614" spans="1:40">
      <c r="A614" s="49"/>
      <c r="B614" s="49"/>
      <c r="C614" s="49"/>
      <c r="D614" s="49"/>
      <c r="E614" s="49"/>
      <c r="F614" s="44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107"/>
      <c r="AH614" s="49"/>
      <c r="AI614" s="49"/>
      <c r="AJ614" s="49"/>
      <c r="AK614" s="107"/>
      <c r="AL614" s="49"/>
      <c r="AM614" s="49"/>
      <c r="AN614" s="49"/>
    </row>
    <row r="615" spans="1:40">
      <c r="F615" s="49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Y615" s="44"/>
      <c r="Z615" s="44"/>
      <c r="AA615" s="44"/>
      <c r="AB615" s="44"/>
      <c r="AC615" s="44"/>
      <c r="AD615" s="44"/>
      <c r="AE615" s="44"/>
      <c r="AF615" s="44"/>
      <c r="AG615" s="102"/>
      <c r="AH615" s="44"/>
      <c r="AI615" s="44"/>
      <c r="AJ615" s="44"/>
      <c r="AK615" s="102"/>
      <c r="AL615" s="44"/>
      <c r="AM615" s="44"/>
      <c r="AN615" s="44"/>
    </row>
    <row r="616" spans="1:40">
      <c r="C616" s="42"/>
      <c r="D616" s="42"/>
      <c r="E616" s="42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1:40">
      <c r="F617" s="45"/>
      <c r="H617" s="50"/>
      <c r="I617" s="50"/>
      <c r="J617" s="326"/>
      <c r="K617" s="326"/>
      <c r="L617" s="50"/>
      <c r="M617" s="50"/>
      <c r="N617" s="50"/>
      <c r="O617" s="50"/>
      <c r="P617" s="50"/>
      <c r="Q617" s="50"/>
      <c r="R617" s="50"/>
      <c r="V617" s="50"/>
      <c r="Y617" s="50"/>
      <c r="Z617" s="326"/>
      <c r="AA617" s="50"/>
      <c r="AB617" s="50"/>
      <c r="AC617" s="50"/>
      <c r="AD617" s="50"/>
      <c r="AE617" s="50"/>
      <c r="AF617" s="50"/>
      <c r="AI617" s="50"/>
      <c r="AJ617" s="50"/>
      <c r="AK617" s="111"/>
      <c r="AL617" s="50"/>
      <c r="AM617" s="46"/>
      <c r="AN617" s="46"/>
    </row>
    <row r="618" spans="1:40">
      <c r="C618" s="42"/>
      <c r="F618" s="50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1:40">
      <c r="F619" s="45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V619" s="45"/>
      <c r="Y619" s="45"/>
      <c r="Z619" s="47"/>
      <c r="AA619" s="45"/>
      <c r="AB619" s="45"/>
      <c r="AC619" s="47"/>
      <c r="AD619" s="47"/>
      <c r="AH619" s="51"/>
      <c r="AI619" s="45"/>
      <c r="AJ619" s="45"/>
      <c r="AL619" s="45"/>
      <c r="AM619" s="46"/>
      <c r="AN619" s="46"/>
    </row>
    <row r="620" spans="1:40">
      <c r="C620" s="42"/>
      <c r="D620" s="42"/>
      <c r="E620" s="42"/>
      <c r="F620" s="45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1:40">
      <c r="C621" s="42"/>
      <c r="D621" s="42"/>
      <c r="E621" s="42"/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T621" s="42"/>
      <c r="U621" s="42"/>
      <c r="V621" s="45"/>
      <c r="Y621" s="45"/>
      <c r="Z621" s="47"/>
      <c r="AA621" s="45"/>
      <c r="AB621" s="45"/>
      <c r="AC621" s="47"/>
      <c r="AD621" s="47"/>
      <c r="AE621" s="45"/>
      <c r="AF621" s="45"/>
      <c r="AH621" s="51"/>
      <c r="AI621" s="45"/>
      <c r="AJ621" s="45"/>
      <c r="AL621" s="45"/>
      <c r="AM621" s="46"/>
      <c r="AN621" s="46"/>
    </row>
    <row r="622" spans="1:40">
      <c r="C622" s="42"/>
      <c r="D622" s="42"/>
      <c r="E622" s="42"/>
      <c r="F622" s="45"/>
      <c r="H622" s="45"/>
      <c r="I622" s="45"/>
      <c r="J622" s="47"/>
      <c r="K622" s="47"/>
      <c r="L622" s="45"/>
      <c r="M622" s="45"/>
      <c r="N622" s="47"/>
      <c r="O622" s="47"/>
      <c r="P622" s="45"/>
      <c r="Q622" s="45"/>
      <c r="R622" s="45"/>
      <c r="T622" s="42"/>
      <c r="U622" s="42"/>
      <c r="V622" s="45"/>
      <c r="Y622" s="45"/>
      <c r="Z622" s="47"/>
      <c r="AA622" s="45"/>
      <c r="AB622" s="45"/>
      <c r="AC622" s="47"/>
      <c r="AD622" s="47"/>
      <c r="AE622" s="45"/>
      <c r="AF622" s="45"/>
      <c r="AH622" s="51"/>
      <c r="AI622" s="45"/>
      <c r="AJ622" s="45"/>
      <c r="AL622" s="45"/>
      <c r="AM622" s="46"/>
      <c r="AN622" s="46"/>
    </row>
    <row r="623" spans="1:40">
      <c r="C623" s="42"/>
      <c r="D623" s="42"/>
      <c r="E623" s="42"/>
      <c r="F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U623" s="42"/>
      <c r="V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1:40">
      <c r="C624" s="42"/>
      <c r="D624" s="42"/>
      <c r="E624" s="42"/>
      <c r="F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U624" s="42"/>
      <c r="V624" s="45"/>
      <c r="Y624" s="45"/>
      <c r="Z624" s="47"/>
      <c r="AA624" s="45"/>
      <c r="AB624" s="45"/>
      <c r="AC624" s="47"/>
      <c r="AD624" s="47"/>
      <c r="AE624" s="45"/>
      <c r="AF624" s="45"/>
      <c r="AH624" s="51"/>
      <c r="AI624" s="45"/>
      <c r="AJ624" s="45"/>
      <c r="AL624" s="45"/>
      <c r="AM624" s="46"/>
      <c r="AN624" s="46"/>
    </row>
    <row r="625" spans="3:40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Y625" s="45"/>
      <c r="Z625" s="47"/>
      <c r="AA625" s="45"/>
      <c r="AB625" s="45"/>
      <c r="AC625" s="47"/>
      <c r="AD625" s="47"/>
      <c r="AE625" s="45"/>
      <c r="AF625" s="45"/>
      <c r="AH625" s="51"/>
      <c r="AI625" s="45"/>
      <c r="AJ625" s="45"/>
      <c r="AL625" s="45"/>
      <c r="AM625" s="46"/>
      <c r="AN625" s="46"/>
    </row>
    <row r="626" spans="3:40">
      <c r="F626" s="45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  <c r="AM626" s="46"/>
      <c r="AN626" s="46"/>
    </row>
    <row r="627" spans="3:40">
      <c r="C627" s="42"/>
      <c r="F627" s="50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V627" s="45"/>
      <c r="Y627" s="45"/>
      <c r="Z627" s="47"/>
      <c r="AA627" s="45"/>
      <c r="AB627" s="45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3:40"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V628" s="45"/>
      <c r="Y628" s="45"/>
      <c r="Z628" s="47"/>
      <c r="AA628" s="45"/>
      <c r="AB628" s="45"/>
      <c r="AC628" s="47"/>
      <c r="AD628" s="47"/>
      <c r="AH628" s="51"/>
      <c r="AI628" s="45"/>
      <c r="AJ628" s="45"/>
      <c r="AL628" s="45"/>
      <c r="AM628" s="46"/>
      <c r="AN628" s="46"/>
    </row>
    <row r="629" spans="3:40">
      <c r="C629" s="42"/>
      <c r="D629" s="42"/>
      <c r="E629" s="42"/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T629" s="42"/>
      <c r="U629" s="42"/>
      <c r="V629" s="45"/>
      <c r="Y629" s="45"/>
      <c r="Z629" s="47"/>
      <c r="AA629" s="45"/>
      <c r="AB629" s="45"/>
      <c r="AC629" s="47"/>
      <c r="AD629" s="47"/>
      <c r="AE629" s="45"/>
      <c r="AF629" s="45"/>
      <c r="AH629" s="51"/>
      <c r="AI629" s="45"/>
      <c r="AJ629" s="45"/>
      <c r="AL629" s="45"/>
      <c r="AM629" s="46"/>
      <c r="AN629" s="46"/>
    </row>
    <row r="630" spans="3:40">
      <c r="F630" s="45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  <c r="AM630" s="46"/>
      <c r="AN630" s="46"/>
    </row>
    <row r="631" spans="3:40">
      <c r="C631" s="42"/>
      <c r="F631" s="50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T631" s="42"/>
      <c r="V631" s="45"/>
      <c r="Y631" s="45"/>
      <c r="Z631" s="47"/>
      <c r="AA631" s="45"/>
      <c r="AB631" s="45"/>
      <c r="AC631" s="47"/>
      <c r="AD631" s="47"/>
      <c r="AE631" s="45"/>
      <c r="AF631" s="45"/>
      <c r="AH631" s="51"/>
      <c r="AI631" s="45"/>
      <c r="AJ631" s="45"/>
      <c r="AL631" s="45"/>
      <c r="AM631" s="46"/>
      <c r="AN631" s="46"/>
    </row>
    <row r="632" spans="3:40"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V632" s="45"/>
      <c r="Y632" s="45"/>
      <c r="Z632" s="47"/>
      <c r="AA632" s="45"/>
      <c r="AB632" s="45"/>
      <c r="AC632" s="47"/>
      <c r="AD632" s="47"/>
      <c r="AH632" s="51"/>
      <c r="AI632" s="45"/>
      <c r="AJ632" s="45"/>
      <c r="AL632" s="45"/>
      <c r="AM632" s="46"/>
      <c r="AN632" s="46"/>
    </row>
    <row r="633" spans="3:40">
      <c r="C633" s="42"/>
      <c r="D633" s="42"/>
      <c r="E633" s="42"/>
      <c r="F633" s="45"/>
      <c r="H633" s="45"/>
      <c r="I633" s="45"/>
      <c r="J633" s="47"/>
      <c r="K633" s="47"/>
      <c r="L633" s="45"/>
      <c r="M633" s="45"/>
      <c r="N633" s="47"/>
      <c r="O633" s="47"/>
      <c r="P633" s="45"/>
      <c r="Q633" s="45"/>
      <c r="R633" s="45"/>
      <c r="T633" s="42"/>
      <c r="U633" s="42"/>
      <c r="V633" s="45"/>
      <c r="Y633" s="45"/>
      <c r="Z633" s="47"/>
      <c r="AA633" s="45"/>
      <c r="AB633" s="45"/>
      <c r="AC633" s="47"/>
      <c r="AD633" s="47"/>
      <c r="AE633" s="45"/>
      <c r="AF633" s="45"/>
      <c r="AH633" s="51"/>
      <c r="AI633" s="45"/>
      <c r="AJ633" s="45"/>
      <c r="AL633" s="45"/>
      <c r="AM633" s="46"/>
      <c r="AN633" s="46"/>
    </row>
    <row r="634" spans="3:40">
      <c r="C634" s="42"/>
      <c r="D634" s="42"/>
      <c r="E634" s="42"/>
      <c r="F634" s="45"/>
      <c r="G634" s="45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U634" s="42"/>
      <c r="V634" s="45"/>
      <c r="W634" s="45"/>
      <c r="X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3:40">
      <c r="C635" s="42"/>
      <c r="D635" s="42"/>
      <c r="E635" s="42"/>
      <c r="F635" s="45"/>
      <c r="G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U635" s="42"/>
      <c r="V635" s="45"/>
      <c r="W635" s="45"/>
      <c r="X635" s="45"/>
      <c r="Y635" s="45"/>
      <c r="Z635" s="47"/>
      <c r="AA635" s="45"/>
      <c r="AB635" s="45"/>
      <c r="AC635" s="47"/>
      <c r="AD635" s="47"/>
      <c r="AE635" s="45"/>
      <c r="AF635" s="45"/>
      <c r="AH635" s="51"/>
      <c r="AI635" s="45"/>
      <c r="AJ635" s="45"/>
      <c r="AL635" s="45"/>
      <c r="AM635" s="46"/>
      <c r="AN635" s="46"/>
    </row>
    <row r="636" spans="3:40">
      <c r="C636" s="42"/>
      <c r="D636" s="42"/>
      <c r="E636" s="42"/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T636" s="42"/>
      <c r="U636" s="42"/>
      <c r="V636" s="45"/>
      <c r="Y636" s="45"/>
      <c r="Z636" s="47"/>
      <c r="AA636" s="45"/>
      <c r="AB636" s="45"/>
      <c r="AC636" s="47"/>
      <c r="AD636" s="47"/>
      <c r="AE636" s="45"/>
      <c r="AF636" s="45"/>
      <c r="AH636" s="51"/>
      <c r="AI636" s="45"/>
      <c r="AJ636" s="45"/>
      <c r="AL636" s="45"/>
      <c r="AM636" s="46"/>
      <c r="AN636" s="46"/>
    </row>
    <row r="637" spans="3:40">
      <c r="C637" s="42"/>
      <c r="D637" s="42"/>
      <c r="E637" s="42"/>
      <c r="F637" s="45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U637" s="42"/>
      <c r="V637" s="45"/>
      <c r="Y637" s="45"/>
      <c r="Z637" s="47"/>
      <c r="AA637" s="45"/>
      <c r="AB637" s="45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3:40">
      <c r="C638" s="42"/>
      <c r="D638" s="42"/>
      <c r="E638" s="42"/>
      <c r="F638" s="45"/>
      <c r="H638" s="45"/>
      <c r="I638" s="45"/>
      <c r="J638" s="47"/>
      <c r="K638" s="47"/>
      <c r="L638" s="45"/>
      <c r="M638" s="45"/>
      <c r="N638" s="47"/>
      <c r="O638" s="47"/>
      <c r="P638" s="45"/>
      <c r="Q638" s="45"/>
      <c r="R638" s="45"/>
      <c r="T638" s="42"/>
      <c r="U638" s="42"/>
      <c r="V638" s="45"/>
      <c r="Y638" s="45"/>
      <c r="Z638" s="47"/>
      <c r="AA638" s="45"/>
      <c r="AB638" s="45"/>
      <c r="AC638" s="47"/>
      <c r="AD638" s="47"/>
      <c r="AE638" s="45"/>
      <c r="AF638" s="45"/>
      <c r="AH638" s="51"/>
      <c r="AI638" s="45"/>
      <c r="AJ638" s="45"/>
      <c r="AL638" s="45"/>
      <c r="AM638" s="46"/>
      <c r="AN638" s="46"/>
    </row>
    <row r="639" spans="3:40">
      <c r="C639" s="42"/>
      <c r="D639" s="42"/>
      <c r="E639" s="42"/>
      <c r="F639" s="45"/>
      <c r="H639" s="45"/>
      <c r="I639" s="45"/>
      <c r="J639" s="47"/>
      <c r="K639" s="47"/>
      <c r="L639" s="45"/>
      <c r="M639" s="45"/>
      <c r="N639" s="47"/>
      <c r="O639" s="47"/>
      <c r="P639" s="45"/>
      <c r="Q639" s="45"/>
      <c r="R639" s="45"/>
      <c r="T639" s="42"/>
      <c r="U639" s="42"/>
      <c r="V639" s="45"/>
      <c r="Y639" s="45"/>
      <c r="Z639" s="47"/>
      <c r="AA639" s="45"/>
      <c r="AB639" s="45"/>
      <c r="AC639" s="47"/>
      <c r="AD639" s="47"/>
      <c r="AE639" s="45"/>
      <c r="AF639" s="45"/>
      <c r="AH639" s="51"/>
      <c r="AI639" s="45"/>
      <c r="AJ639" s="45"/>
      <c r="AL639" s="45"/>
      <c r="AM639" s="46"/>
      <c r="AN639" s="46"/>
    </row>
    <row r="640" spans="3:40">
      <c r="F640" s="45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  <c r="AM640" s="46"/>
      <c r="AN640" s="46"/>
    </row>
    <row r="641" spans="3:40">
      <c r="C641" s="42"/>
      <c r="F641" s="50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V641" s="45"/>
      <c r="Y641" s="45"/>
      <c r="Z641" s="47"/>
      <c r="AA641" s="45"/>
      <c r="AB641" s="45"/>
      <c r="AC641" s="47"/>
      <c r="AD641" s="47"/>
      <c r="AE641" s="45"/>
      <c r="AF641" s="45"/>
      <c r="AH641" s="51"/>
      <c r="AI641" s="45"/>
      <c r="AJ641" s="45"/>
      <c r="AL641" s="45"/>
      <c r="AM641" s="46"/>
      <c r="AN641" s="46"/>
    </row>
    <row r="642" spans="3:40">
      <c r="F642" s="45"/>
      <c r="V642" s="45"/>
      <c r="Y642" s="45"/>
      <c r="Z642" s="326"/>
      <c r="AA642" s="45"/>
      <c r="AB642" s="45"/>
      <c r="AC642" s="45"/>
      <c r="AD642" s="45"/>
      <c r="AE642" s="45"/>
      <c r="AF642" s="45"/>
      <c r="AI642" s="45"/>
      <c r="AJ642" s="45"/>
      <c r="AL642" s="45"/>
      <c r="AM642" s="46"/>
      <c r="AN642" s="46"/>
    </row>
    <row r="643" spans="3:40">
      <c r="C643" s="42"/>
      <c r="D643" s="42"/>
      <c r="E643" s="42"/>
      <c r="L643" s="45"/>
      <c r="M643" s="45"/>
      <c r="N643" s="47"/>
      <c r="O643" s="47"/>
      <c r="R643" s="45"/>
      <c r="T643" s="42"/>
      <c r="U643" s="42"/>
      <c r="AA643" s="45"/>
      <c r="AB643" s="45"/>
      <c r="AC643" s="47"/>
      <c r="AD643" s="47"/>
      <c r="AE643" s="45"/>
      <c r="AF643" s="45"/>
      <c r="AH643" s="51"/>
      <c r="AL643" s="45"/>
      <c r="AM643" s="46"/>
      <c r="AN643" s="46"/>
    </row>
    <row r="644" spans="3:40">
      <c r="D644" s="42"/>
      <c r="E644" s="42"/>
      <c r="H644" s="164"/>
      <c r="I644" s="164"/>
      <c r="J644" s="47"/>
      <c r="K644" s="47"/>
      <c r="L644" s="45"/>
      <c r="M644" s="45"/>
      <c r="N644" s="47"/>
      <c r="O644" s="47"/>
      <c r="P644" s="164"/>
      <c r="Q644" s="164"/>
      <c r="R644" s="45"/>
      <c r="U644" s="42"/>
      <c r="V644" s="45"/>
      <c r="Y644" s="45"/>
      <c r="Z644" s="47"/>
      <c r="AA644" s="45"/>
      <c r="AB644" s="45"/>
      <c r="AC644" s="47"/>
      <c r="AD644" s="47"/>
      <c r="AE644" s="45"/>
      <c r="AF644" s="45"/>
      <c r="AH644" s="51"/>
      <c r="AI644" s="45"/>
      <c r="AJ644" s="45"/>
      <c r="AL644" s="45"/>
      <c r="AM644" s="46"/>
      <c r="AN644" s="46"/>
    </row>
    <row r="645" spans="3:40">
      <c r="F645" s="164"/>
      <c r="H645" s="50"/>
      <c r="I645" s="50"/>
      <c r="J645" s="326"/>
      <c r="K645" s="326"/>
      <c r="L645" s="50"/>
      <c r="M645" s="50"/>
      <c r="N645" s="50"/>
      <c r="O645" s="50"/>
      <c r="P645" s="50"/>
      <c r="Q645" s="50"/>
      <c r="R645" s="50"/>
      <c r="V645" s="50"/>
      <c r="Y645" s="50"/>
      <c r="Z645" s="326"/>
      <c r="AA645" s="50"/>
      <c r="AB645" s="50"/>
      <c r="AC645" s="50"/>
      <c r="AD645" s="50"/>
      <c r="AE645" s="50"/>
      <c r="AF645" s="50"/>
      <c r="AI645" s="50"/>
      <c r="AJ645" s="50"/>
      <c r="AK645" s="111"/>
      <c r="AL645" s="50"/>
      <c r="AM645" s="46"/>
      <c r="AN645" s="46"/>
    </row>
    <row r="646" spans="3:40">
      <c r="C646" s="42"/>
      <c r="F646" s="50"/>
      <c r="H646" s="45"/>
      <c r="I646" s="45"/>
      <c r="J646" s="47"/>
      <c r="K646" s="47"/>
      <c r="L646" s="45"/>
      <c r="M646" s="45"/>
      <c r="N646" s="47"/>
      <c r="O646" s="47"/>
      <c r="P646" s="45"/>
      <c r="Q646" s="45"/>
      <c r="R646" s="45"/>
      <c r="T646" s="42"/>
      <c r="V646" s="45"/>
      <c r="Y646" s="45"/>
      <c r="Z646" s="47"/>
      <c r="AA646" s="45"/>
      <c r="AB646" s="45"/>
      <c r="AC646" s="47"/>
      <c r="AD646" s="47"/>
      <c r="AE646" s="45"/>
      <c r="AF646" s="45"/>
      <c r="AH646" s="51"/>
      <c r="AI646" s="45"/>
      <c r="AJ646" s="45"/>
      <c r="AL646" s="45"/>
      <c r="AM646" s="46"/>
      <c r="AN646" s="46"/>
    </row>
    <row r="647" spans="3:40">
      <c r="F647" s="45"/>
      <c r="H647" s="45"/>
      <c r="I647" s="45"/>
      <c r="J647" s="47"/>
      <c r="K647" s="47"/>
      <c r="L647" s="45"/>
      <c r="M647" s="45"/>
      <c r="N647" s="47"/>
      <c r="O647" s="47"/>
      <c r="P647" s="45"/>
      <c r="Q647" s="45"/>
      <c r="R647" s="45"/>
      <c r="V647" s="45"/>
      <c r="Y647" s="45"/>
      <c r="Z647" s="47"/>
      <c r="AA647" s="45"/>
      <c r="AB647" s="45"/>
      <c r="AC647" s="47"/>
      <c r="AD647" s="47"/>
      <c r="AH647" s="51"/>
      <c r="AI647" s="45"/>
      <c r="AJ647" s="45"/>
      <c r="AL647" s="45"/>
      <c r="AM647" s="46"/>
      <c r="AN647" s="46"/>
    </row>
    <row r="648" spans="3:40">
      <c r="D648" s="42"/>
      <c r="E648" s="42"/>
      <c r="F648" s="45"/>
      <c r="H648" s="45"/>
      <c r="I648" s="45"/>
      <c r="J648" s="47"/>
      <c r="K648" s="47"/>
      <c r="L648" s="164"/>
      <c r="M648" s="164"/>
      <c r="N648" s="47"/>
      <c r="O648" s="47"/>
      <c r="P648" s="45"/>
      <c r="Q648" s="45"/>
      <c r="R648" s="45"/>
      <c r="U648" s="42"/>
      <c r="V648" s="45"/>
      <c r="Y648" s="45"/>
      <c r="Z648" s="47"/>
      <c r="AA648" s="164"/>
      <c r="AB648" s="164"/>
      <c r="AC648" s="47"/>
      <c r="AD648" s="47"/>
      <c r="AE648" s="45"/>
      <c r="AF648" s="45"/>
      <c r="AH648" s="51"/>
      <c r="AI648" s="45"/>
      <c r="AJ648" s="45"/>
      <c r="AL648" s="45"/>
      <c r="AM648" s="46"/>
      <c r="AN648" s="46"/>
    </row>
    <row r="649" spans="3:40">
      <c r="D649" s="42"/>
      <c r="E649" s="42"/>
      <c r="F649" s="45"/>
      <c r="H649" s="45"/>
      <c r="I649" s="45"/>
      <c r="J649" s="47"/>
      <c r="K649" s="47"/>
      <c r="L649" s="164"/>
      <c r="M649" s="164"/>
      <c r="N649" s="47"/>
      <c r="O649" s="47"/>
      <c r="P649" s="45"/>
      <c r="Q649" s="45"/>
      <c r="R649" s="45"/>
      <c r="U649" s="42"/>
      <c r="V649" s="45"/>
      <c r="Y649" s="45"/>
      <c r="Z649" s="47"/>
      <c r="AA649" s="164"/>
      <c r="AB649" s="164"/>
      <c r="AC649" s="47"/>
      <c r="AD649" s="47"/>
      <c r="AE649" s="45"/>
      <c r="AF649" s="45"/>
      <c r="AH649" s="51"/>
      <c r="AI649" s="45"/>
      <c r="AJ649" s="45"/>
      <c r="AL649" s="45"/>
      <c r="AM649" s="46"/>
      <c r="AN649" s="46"/>
    </row>
    <row r="650" spans="3:40">
      <c r="D650" s="42"/>
      <c r="E650" s="42"/>
      <c r="F650" s="45"/>
      <c r="H650" s="45"/>
      <c r="I650" s="45"/>
      <c r="J650" s="47"/>
      <c r="K650" s="47"/>
      <c r="L650" s="164"/>
      <c r="M650" s="164"/>
      <c r="N650" s="47"/>
      <c r="O650" s="47"/>
      <c r="P650" s="45"/>
      <c r="Q650" s="45"/>
      <c r="R650" s="45"/>
      <c r="U650" s="42"/>
      <c r="V650" s="45"/>
      <c r="Y650" s="45"/>
      <c r="Z650" s="47"/>
      <c r="AA650" s="164"/>
      <c r="AB650" s="164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3:40">
      <c r="F651" s="45"/>
      <c r="H651" s="50"/>
      <c r="I651" s="50"/>
      <c r="J651" s="326"/>
      <c r="K651" s="326"/>
      <c r="L651" s="50"/>
      <c r="M651" s="50"/>
      <c r="N651" s="50"/>
      <c r="O651" s="50"/>
      <c r="P651" s="50"/>
      <c r="Q651" s="50"/>
      <c r="R651" s="50"/>
      <c r="V651" s="50"/>
      <c r="Y651" s="50"/>
      <c r="Z651" s="326"/>
      <c r="AA651" s="50"/>
      <c r="AB651" s="50"/>
      <c r="AC651" s="50"/>
      <c r="AD651" s="50"/>
      <c r="AE651" s="50"/>
      <c r="AF651" s="50"/>
      <c r="AI651" s="50"/>
      <c r="AJ651" s="50"/>
      <c r="AK651" s="111"/>
      <c r="AL651" s="50"/>
      <c r="AM651" s="46"/>
      <c r="AN651" s="46"/>
    </row>
    <row r="652" spans="3:40">
      <c r="C652" s="42"/>
      <c r="F652" s="50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3:40"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V653" s="45"/>
      <c r="Y653" s="45"/>
      <c r="Z653" s="47"/>
      <c r="AA653" s="45"/>
      <c r="AB653" s="45"/>
      <c r="AC653" s="47"/>
      <c r="AD653" s="47"/>
      <c r="AH653" s="51"/>
      <c r="AI653" s="45"/>
      <c r="AJ653" s="45"/>
      <c r="AL653" s="45"/>
      <c r="AM653" s="46"/>
      <c r="AN653" s="46"/>
    </row>
    <row r="654" spans="3:40">
      <c r="C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3:40">
      <c r="F655" s="45"/>
      <c r="H655" s="50"/>
      <c r="I655" s="50"/>
      <c r="J655" s="326"/>
      <c r="K655" s="326"/>
      <c r="L655" s="50"/>
      <c r="M655" s="50"/>
      <c r="N655" s="50"/>
      <c r="O655" s="50"/>
      <c r="P655" s="50"/>
      <c r="Q655" s="50"/>
      <c r="R655" s="50"/>
      <c r="V655" s="50"/>
      <c r="Y655" s="50"/>
      <c r="Z655" s="326"/>
      <c r="AA655" s="50"/>
      <c r="AB655" s="50"/>
      <c r="AC655" s="50"/>
      <c r="AD655" s="50"/>
      <c r="AE655" s="50"/>
      <c r="AF655" s="50"/>
      <c r="AI655" s="50"/>
      <c r="AJ655" s="50"/>
      <c r="AK655" s="111"/>
      <c r="AL655" s="50"/>
    </row>
    <row r="657" spans="1:20">
      <c r="C657" s="42"/>
      <c r="F657" s="50"/>
      <c r="L657" s="45"/>
      <c r="M657" s="45"/>
      <c r="P657" s="45"/>
      <c r="Q657" s="45"/>
      <c r="R657" s="45"/>
      <c r="T657" s="42"/>
    </row>
    <row r="658" spans="1:20">
      <c r="A658" s="42"/>
      <c r="L658" s="45"/>
      <c r="M658" s="45"/>
      <c r="P658" s="45"/>
      <c r="Q658" s="45"/>
      <c r="R658" s="45"/>
    </row>
    <row r="659" spans="1:20">
      <c r="L659" s="45"/>
      <c r="M659" s="45"/>
      <c r="P659" s="45"/>
      <c r="Q659" s="45"/>
      <c r="R659" s="45"/>
    </row>
    <row r="660" spans="1:20">
      <c r="L660" s="45"/>
      <c r="M660" s="45"/>
      <c r="P660" s="45"/>
      <c r="Q660" s="45"/>
      <c r="R660" s="45"/>
    </row>
    <row r="661" spans="1:20">
      <c r="L661" s="45"/>
      <c r="M661" s="45"/>
      <c r="P661" s="45"/>
      <c r="Q661" s="45"/>
      <c r="R661" s="45"/>
    </row>
    <row r="662" spans="1:20">
      <c r="L662" s="45"/>
      <c r="M662" s="45"/>
      <c r="P662" s="45"/>
      <c r="Q662" s="45"/>
      <c r="R662" s="45"/>
    </row>
    <row r="663" spans="1:20">
      <c r="L663" s="45"/>
      <c r="M663" s="45"/>
      <c r="P663" s="45"/>
      <c r="Q663" s="45"/>
      <c r="R663" s="45"/>
    </row>
    <row r="696" spans="49:49">
      <c r="AW696" s="45"/>
    </row>
    <row r="697" spans="49:49">
      <c r="AW697" s="45"/>
    </row>
    <row r="698" spans="49:49">
      <c r="AW698" s="45"/>
    </row>
    <row r="699" spans="49:49">
      <c r="AW699" s="45"/>
    </row>
    <row r="700" spans="49:49">
      <c r="AW700" s="45"/>
    </row>
    <row r="701" spans="49:49">
      <c r="AW701" s="45"/>
    </row>
    <row r="704" spans="49:49">
      <c r="AW704" s="45"/>
    </row>
    <row r="705" spans="49:49">
      <c r="AW705" s="45"/>
    </row>
    <row r="706" spans="49:49">
      <c r="AW706" s="45"/>
    </row>
    <row r="707" spans="49:49">
      <c r="AW707" s="45"/>
    </row>
    <row r="708" spans="49:49">
      <c r="AW708" s="45"/>
    </row>
    <row r="709" spans="49:49">
      <c r="AW709" s="45"/>
    </row>
    <row r="710" spans="49:49">
      <c r="AW710" s="45"/>
    </row>
    <row r="711" spans="49:49">
      <c r="AW711" s="45"/>
    </row>
    <row r="714" spans="49:49">
      <c r="AW714" s="45"/>
    </row>
    <row r="715" spans="49:49">
      <c r="AW715" s="45"/>
    </row>
    <row r="718" spans="49:49">
      <c r="AW718" s="45"/>
    </row>
    <row r="719" spans="49:49">
      <c r="AW719" s="45"/>
    </row>
    <row r="720" spans="49:49">
      <c r="AW720" s="45"/>
    </row>
    <row r="721" spans="45:57">
      <c r="AW721" s="45"/>
    </row>
    <row r="729" spans="45:57">
      <c r="AY729" s="42"/>
    </row>
    <row r="730" spans="45:57">
      <c r="AY730" s="42"/>
    </row>
    <row r="731" spans="45:57">
      <c r="BD731" s="42"/>
    </row>
    <row r="732" spans="45:57">
      <c r="BD732" s="42"/>
    </row>
    <row r="733" spans="45:57">
      <c r="AS733" s="42"/>
      <c r="BD733" s="42"/>
    </row>
    <row r="735" spans="45:57"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</row>
    <row r="736" spans="45:57">
      <c r="AX736" s="42"/>
    </row>
    <row r="737" spans="45:69">
      <c r="AX737" s="49"/>
      <c r="AY737" s="49"/>
      <c r="AZ737" s="49"/>
      <c r="BA737" s="49"/>
      <c r="BC737" s="44"/>
      <c r="BD737" s="44"/>
    </row>
    <row r="738" spans="45:69">
      <c r="AV738" s="44"/>
      <c r="AW738" s="44"/>
      <c r="AZ738" s="44"/>
      <c r="BA738" s="44"/>
      <c r="BC738" s="44"/>
      <c r="BD738" s="44"/>
      <c r="BE738" s="44"/>
      <c r="BG738" s="49"/>
      <c r="BH738" s="42"/>
      <c r="BK738" s="49"/>
      <c r="BM738" s="49"/>
      <c r="BN738" s="42"/>
      <c r="BQ738" s="49"/>
    </row>
    <row r="739" spans="45:69"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H739" s="44"/>
      <c r="BI739" s="44"/>
      <c r="BJ739" s="44"/>
      <c r="BN739" s="44"/>
      <c r="BO739" s="44"/>
      <c r="BP739" s="44"/>
    </row>
    <row r="740" spans="45:69">
      <c r="AS740" s="44"/>
      <c r="AU740" s="42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G740" s="44"/>
      <c r="BH740" s="44"/>
      <c r="BI740" s="44"/>
      <c r="BJ740" s="44"/>
      <c r="BK740" s="44"/>
      <c r="BM740" s="44"/>
      <c r="BN740" s="44"/>
      <c r="BO740" s="44"/>
      <c r="BP740" s="44"/>
      <c r="BQ740" s="44"/>
    </row>
    <row r="741" spans="45:69">
      <c r="AS741" s="44"/>
      <c r="AU741" s="42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G741" s="44"/>
      <c r="BH741" s="44"/>
      <c r="BI741" s="44"/>
      <c r="BJ741" s="44"/>
      <c r="BK741" s="44"/>
      <c r="BM741" s="44"/>
      <c r="BN741" s="44"/>
      <c r="BO741" s="44"/>
      <c r="BP741" s="44"/>
      <c r="BQ741" s="44"/>
    </row>
    <row r="742" spans="45:69"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G742" s="49"/>
      <c r="BH742" s="49"/>
      <c r="BI742" s="49"/>
      <c r="BJ742" s="49"/>
      <c r="BK742" s="49"/>
      <c r="BM742" s="49"/>
      <c r="BN742" s="49"/>
      <c r="BO742" s="49"/>
      <c r="BP742" s="49"/>
      <c r="BQ742" s="49"/>
    </row>
    <row r="743" spans="45:69"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</row>
    <row r="744" spans="45:69">
      <c r="AU744" s="42"/>
      <c r="AV744" s="44"/>
      <c r="AY744" s="47"/>
    </row>
    <row r="745" spans="45:69">
      <c r="AV745" s="44"/>
      <c r="AW745" s="45"/>
      <c r="AX745" s="56"/>
      <c r="AY745" s="56"/>
      <c r="AZ745" s="56"/>
      <c r="BA745" s="46"/>
      <c r="BB745" s="56"/>
      <c r="BC745" s="47"/>
      <c r="BD745" s="47"/>
      <c r="BE745" s="46"/>
      <c r="BG745" s="56"/>
      <c r="BH745" s="56"/>
      <c r="BI745" s="56"/>
      <c r="BJ745" s="56"/>
      <c r="BK745" s="56"/>
      <c r="BM745" s="56"/>
      <c r="BN745" s="56"/>
      <c r="BO745" s="56"/>
      <c r="BP745" s="56"/>
      <c r="BQ745" s="56"/>
    </row>
    <row r="746" spans="45:69">
      <c r="AV746" s="44"/>
      <c r="AW746" s="45"/>
      <c r="AX746" s="56"/>
      <c r="AY746" s="56"/>
      <c r="AZ746" s="56"/>
      <c r="BA746" s="46"/>
      <c r="BB746" s="56"/>
      <c r="BC746" s="47"/>
      <c r="BD746" s="47"/>
      <c r="BE746" s="46"/>
      <c r="BG746" s="56"/>
      <c r="BH746" s="56"/>
      <c r="BI746" s="56"/>
      <c r="BJ746" s="56"/>
      <c r="BK746" s="56"/>
      <c r="BM746" s="56"/>
      <c r="BN746" s="56"/>
      <c r="BO746" s="56"/>
      <c r="BP746" s="56"/>
      <c r="BQ746" s="56"/>
    </row>
    <row r="747" spans="45:69">
      <c r="AV747" s="44"/>
      <c r="AW747" s="45"/>
      <c r="AX747" s="56"/>
      <c r="AY747" s="56"/>
      <c r="AZ747" s="56"/>
      <c r="BA747" s="46"/>
      <c r="BB747" s="56"/>
      <c r="BC747" s="47"/>
      <c r="BD747" s="47"/>
      <c r="BE747" s="46"/>
      <c r="BG747" s="56"/>
      <c r="BH747" s="56"/>
      <c r="BI747" s="56"/>
      <c r="BJ747" s="56"/>
      <c r="BK747" s="56"/>
      <c r="BM747" s="56"/>
      <c r="BN747" s="56"/>
      <c r="BO747" s="56"/>
      <c r="BP747" s="56"/>
      <c r="BQ747" s="56"/>
    </row>
    <row r="748" spans="45:69">
      <c r="AV748" s="44"/>
      <c r="AW748" s="45"/>
      <c r="AX748" s="56"/>
      <c r="AY748" s="56"/>
      <c r="AZ748" s="56"/>
      <c r="BA748" s="46"/>
      <c r="BB748" s="56"/>
      <c r="BC748" s="47"/>
      <c r="BD748" s="47"/>
      <c r="BE748" s="46"/>
      <c r="BG748" s="56"/>
      <c r="BH748" s="56"/>
      <c r="BI748" s="56"/>
      <c r="BJ748" s="56"/>
      <c r="BK748" s="56"/>
      <c r="BM748" s="56"/>
      <c r="BN748" s="56"/>
      <c r="BO748" s="56"/>
      <c r="BP748" s="56"/>
      <c r="BQ748" s="56"/>
    </row>
    <row r="749" spans="45:69">
      <c r="AV749" s="44"/>
      <c r="AW749" s="45"/>
      <c r="AX749" s="56"/>
      <c r="AY749" s="56"/>
      <c r="AZ749" s="56"/>
      <c r="BA749" s="46"/>
      <c r="BB749" s="56"/>
      <c r="BC749" s="47"/>
      <c r="BD749" s="47"/>
      <c r="BE749" s="46"/>
      <c r="BG749" s="56"/>
      <c r="BH749" s="56"/>
      <c r="BI749" s="56"/>
      <c r="BJ749" s="56"/>
      <c r="BK749" s="56"/>
      <c r="BM749" s="56"/>
      <c r="BN749" s="56"/>
      <c r="BO749" s="56"/>
      <c r="BP749" s="56"/>
      <c r="BQ749" s="56"/>
    </row>
    <row r="750" spans="45:69">
      <c r="AV750" s="44"/>
      <c r="AW750" s="45"/>
      <c r="AX750" s="56"/>
      <c r="AY750" s="56"/>
      <c r="AZ750" s="56"/>
      <c r="BA750" s="46"/>
      <c r="BB750" s="56"/>
      <c r="BC750" s="47"/>
      <c r="BD750" s="47"/>
      <c r="BE750" s="46"/>
      <c r="BG750" s="56"/>
      <c r="BH750" s="56"/>
      <c r="BI750" s="56"/>
      <c r="BJ750" s="56"/>
      <c r="BK750" s="56"/>
      <c r="BM750" s="56"/>
      <c r="BN750" s="56"/>
      <c r="BO750" s="56"/>
      <c r="BP750" s="56"/>
      <c r="BQ750" s="56"/>
    </row>
    <row r="751" spans="45:69">
      <c r="AV751" s="44"/>
      <c r="AW751" s="45"/>
      <c r="AX751" s="56"/>
      <c r="AY751" s="56"/>
      <c r="AZ751" s="56"/>
      <c r="BA751" s="46"/>
      <c r="BB751" s="56"/>
      <c r="BC751" s="47"/>
      <c r="BD751" s="47"/>
      <c r="BE751" s="46"/>
      <c r="BG751" s="56"/>
      <c r="BH751" s="56"/>
      <c r="BI751" s="56"/>
      <c r="BJ751" s="56"/>
      <c r="BK751" s="56"/>
      <c r="BM751" s="56"/>
      <c r="BN751" s="56"/>
      <c r="BO751" s="56"/>
      <c r="BP751" s="56"/>
      <c r="BQ751" s="56"/>
    </row>
    <row r="752" spans="45:69">
      <c r="AY752" s="47"/>
      <c r="AZ752" s="56"/>
      <c r="BA752" s="46"/>
      <c r="BB752" s="56"/>
      <c r="BC752" s="47"/>
      <c r="BD752" s="47"/>
      <c r="BE752" s="46"/>
      <c r="BK752" s="56"/>
      <c r="BQ752" s="56"/>
    </row>
    <row r="753" spans="45:69">
      <c r="AV753" s="44"/>
      <c r="AY753" s="47"/>
      <c r="AZ753" s="56"/>
      <c r="BA753" s="46"/>
      <c r="BB753" s="56"/>
      <c r="BC753" s="47"/>
      <c r="BD753" s="47"/>
      <c r="BE753" s="46"/>
      <c r="BK753" s="56"/>
      <c r="BQ753" s="56"/>
    </row>
    <row r="754" spans="45:69">
      <c r="AV754" s="44"/>
      <c r="AW754" s="45"/>
      <c r="AX754" s="56"/>
      <c r="AY754" s="56"/>
      <c r="AZ754" s="56"/>
      <c r="BA754" s="46"/>
      <c r="BB754" s="56"/>
      <c r="BC754" s="47"/>
      <c r="BD754" s="47"/>
      <c r="BE754" s="46"/>
      <c r="BG754" s="56"/>
      <c r="BH754" s="56"/>
      <c r="BI754" s="56"/>
      <c r="BJ754" s="56"/>
      <c r="BK754" s="56"/>
      <c r="BM754" s="56"/>
      <c r="BN754" s="56"/>
      <c r="BO754" s="56"/>
      <c r="BP754" s="56"/>
      <c r="BQ754" s="56"/>
    </row>
    <row r="755" spans="45:69">
      <c r="AV755" s="44"/>
      <c r="AW755" s="45"/>
      <c r="AX755" s="56"/>
      <c r="AY755" s="56"/>
      <c r="AZ755" s="56"/>
      <c r="BA755" s="46"/>
      <c r="BB755" s="56"/>
      <c r="BC755" s="47"/>
      <c r="BD755" s="47"/>
      <c r="BE755" s="46"/>
      <c r="BG755" s="56"/>
      <c r="BH755" s="56"/>
      <c r="BI755" s="56"/>
      <c r="BJ755" s="56"/>
      <c r="BK755" s="56"/>
      <c r="BM755" s="56"/>
      <c r="BN755" s="56"/>
      <c r="BO755" s="56"/>
      <c r="BP755" s="56"/>
      <c r="BQ755" s="56"/>
    </row>
    <row r="756" spans="45:69">
      <c r="AV756" s="44"/>
      <c r="AW756" s="45"/>
      <c r="AX756" s="56"/>
      <c r="AY756" s="56"/>
      <c r="AZ756" s="56"/>
      <c r="BA756" s="46"/>
      <c r="BB756" s="56"/>
      <c r="BC756" s="47"/>
      <c r="BD756" s="47"/>
      <c r="BE756" s="46"/>
      <c r="BG756" s="56"/>
      <c r="BH756" s="56"/>
      <c r="BI756" s="56"/>
      <c r="BJ756" s="56"/>
      <c r="BK756" s="56"/>
      <c r="BM756" s="56"/>
      <c r="BN756" s="56"/>
      <c r="BO756" s="56"/>
      <c r="BP756" s="56"/>
      <c r="BQ756" s="56"/>
    </row>
    <row r="757" spans="45:69">
      <c r="AV757" s="44"/>
      <c r="AW757" s="45"/>
      <c r="AX757" s="56"/>
      <c r="AY757" s="56"/>
      <c r="AZ757" s="56"/>
      <c r="BA757" s="46"/>
      <c r="BB757" s="56"/>
      <c r="BC757" s="47"/>
      <c r="BD757" s="47"/>
      <c r="BE757" s="46"/>
      <c r="BG757" s="56"/>
      <c r="BH757" s="56"/>
      <c r="BI757" s="56"/>
      <c r="BJ757" s="56"/>
      <c r="BK757" s="56"/>
      <c r="BM757" s="56"/>
      <c r="BN757" s="56"/>
      <c r="BO757" s="56"/>
      <c r="BP757" s="56"/>
      <c r="BQ757" s="56"/>
    </row>
    <row r="758" spans="45:69">
      <c r="AV758" s="44"/>
      <c r="AW758" s="45"/>
      <c r="AX758" s="56"/>
      <c r="AY758" s="56"/>
      <c r="AZ758" s="56"/>
      <c r="BA758" s="46"/>
      <c r="BB758" s="56"/>
      <c r="BC758" s="47"/>
      <c r="BD758" s="47"/>
      <c r="BE758" s="46"/>
      <c r="BG758" s="56"/>
      <c r="BH758" s="56"/>
      <c r="BI758" s="56"/>
      <c r="BJ758" s="56"/>
      <c r="BK758" s="56"/>
      <c r="BM758" s="56"/>
      <c r="BN758" s="56"/>
      <c r="BO758" s="56"/>
      <c r="BP758" s="56"/>
      <c r="BQ758" s="56"/>
    </row>
    <row r="759" spans="45:69">
      <c r="AV759" s="44"/>
      <c r="AW759" s="45"/>
      <c r="AX759" s="56"/>
      <c r="AY759" s="56"/>
      <c r="AZ759" s="56"/>
      <c r="BA759" s="46"/>
      <c r="BB759" s="56"/>
      <c r="BC759" s="47"/>
      <c r="BD759" s="47"/>
      <c r="BE759" s="46"/>
      <c r="BG759" s="56"/>
      <c r="BH759" s="56"/>
      <c r="BI759" s="56"/>
      <c r="BJ759" s="56"/>
      <c r="BK759" s="56"/>
      <c r="BM759" s="56"/>
      <c r="BN759" s="56"/>
      <c r="BO759" s="56"/>
      <c r="BP759" s="56"/>
      <c r="BQ759" s="56"/>
    </row>
    <row r="760" spans="45:69">
      <c r="AV760" s="44"/>
      <c r="AW760" s="45"/>
      <c r="AX760" s="56"/>
      <c r="AY760" s="56"/>
      <c r="AZ760" s="56"/>
      <c r="BA760" s="46"/>
      <c r="BB760" s="56"/>
      <c r="BC760" s="47"/>
      <c r="BD760" s="47"/>
      <c r="BE760" s="46"/>
      <c r="BG760" s="56"/>
      <c r="BH760" s="56"/>
      <c r="BI760" s="56"/>
      <c r="BJ760" s="56"/>
      <c r="BK760" s="56"/>
      <c r="BM760" s="56"/>
      <c r="BN760" s="56"/>
      <c r="BO760" s="56"/>
      <c r="BP760" s="56"/>
      <c r="BQ760" s="56"/>
    </row>
    <row r="761" spans="45:69">
      <c r="AV761" s="44"/>
      <c r="AW761" s="45"/>
      <c r="AX761" s="56"/>
      <c r="AY761" s="56"/>
      <c r="AZ761" s="56"/>
      <c r="BA761" s="46"/>
      <c r="BB761" s="56"/>
      <c r="BC761" s="47"/>
      <c r="BD761" s="47"/>
      <c r="BE761" s="46"/>
      <c r="BG761" s="56"/>
      <c r="BH761" s="56"/>
      <c r="BI761" s="56"/>
      <c r="BJ761" s="56"/>
      <c r="BK761" s="56"/>
      <c r="BM761" s="56"/>
      <c r="BN761" s="56"/>
      <c r="BO761" s="56"/>
      <c r="BP761" s="56"/>
      <c r="BQ761" s="56"/>
    </row>
    <row r="762" spans="45:69">
      <c r="AY762" s="47"/>
      <c r="AZ762" s="56"/>
      <c r="BA762" s="46"/>
      <c r="BB762" s="56"/>
      <c r="BC762" s="47"/>
      <c r="BD762" s="47"/>
      <c r="BE762" s="46"/>
      <c r="BK762" s="56"/>
      <c r="BQ762" s="56"/>
    </row>
    <row r="763" spans="45:69">
      <c r="AU763" s="42"/>
      <c r="AZ763" s="56"/>
      <c r="BB763" s="56"/>
      <c r="BG763" s="56"/>
      <c r="BH763" s="56"/>
      <c r="BJ763" s="56"/>
      <c r="BK763" s="56"/>
    </row>
    <row r="764" spans="45:69">
      <c r="AZ764" s="56"/>
      <c r="BB764" s="56"/>
    </row>
    <row r="765" spans="45:69">
      <c r="AS765" s="42"/>
      <c r="AZ765" s="56"/>
      <c r="BB765" s="56"/>
      <c r="BI765" s="56"/>
    </row>
    <row r="766" spans="45:69">
      <c r="AZ766" s="56"/>
      <c r="BB766" s="56"/>
    </row>
    <row r="767" spans="45:69">
      <c r="AY767" s="56"/>
      <c r="BB767" s="56"/>
    </row>
    <row r="768" spans="45:69">
      <c r="AY768" s="42"/>
      <c r="AZ768" s="56"/>
      <c r="BB768" s="56"/>
    </row>
    <row r="769" spans="45:75">
      <c r="AY769" s="42"/>
      <c r="AZ769" s="56"/>
      <c r="BB769" s="56"/>
    </row>
    <row r="770" spans="45:75">
      <c r="AZ770" s="56"/>
      <c r="BB770" s="56"/>
      <c r="BD770" s="42"/>
    </row>
    <row r="771" spans="45:75">
      <c r="AZ771" s="56"/>
      <c r="BB771" s="56"/>
      <c r="BD771" s="42"/>
    </row>
    <row r="772" spans="45:75">
      <c r="AS772" s="42"/>
      <c r="AZ772" s="56"/>
      <c r="BB772" s="56"/>
      <c r="BD772" s="42"/>
    </row>
    <row r="773" spans="45:75">
      <c r="AZ773" s="56"/>
      <c r="BB773" s="56"/>
    </row>
    <row r="774" spans="45:75">
      <c r="AS774" s="49"/>
      <c r="AT774" s="49"/>
      <c r="AU774" s="49"/>
      <c r="AV774" s="49"/>
      <c r="AW774" s="49"/>
      <c r="AX774" s="49"/>
      <c r="AY774" s="49"/>
      <c r="AZ774" s="57"/>
      <c r="BA774" s="49"/>
      <c r="BB774" s="57"/>
      <c r="BC774" s="49"/>
      <c r="BD774" s="49"/>
      <c r="BE774" s="49"/>
    </row>
    <row r="775" spans="45:75">
      <c r="AX775" s="42"/>
      <c r="AZ775" s="56"/>
      <c r="BB775" s="56"/>
    </row>
    <row r="776" spans="45:75">
      <c r="AX776" s="49"/>
      <c r="AY776" s="49"/>
      <c r="AZ776" s="57"/>
      <c r="BA776" s="49"/>
      <c r="BB776" s="56"/>
      <c r="BC776" s="44"/>
      <c r="BD776" s="44"/>
    </row>
    <row r="777" spans="45:75">
      <c r="AV777" s="44"/>
      <c r="AW777" s="44"/>
      <c r="AZ777" s="58"/>
      <c r="BA777" s="44"/>
      <c r="BB777" s="56"/>
      <c r="BC777" s="44"/>
      <c r="BD777" s="44"/>
      <c r="BE777" s="44"/>
      <c r="BG777" s="49"/>
      <c r="BH777" s="49"/>
      <c r="BI777" s="42"/>
      <c r="BM777" s="49"/>
      <c r="BN777" s="49"/>
      <c r="BP777" s="49"/>
      <c r="BQ777" s="49"/>
      <c r="BR777" s="42"/>
      <c r="BV777" s="49"/>
      <c r="BW777" s="49"/>
    </row>
    <row r="778" spans="45:75">
      <c r="AV778" s="44"/>
      <c r="AW778" s="44"/>
      <c r="AX778" s="44"/>
      <c r="AY778" s="44"/>
      <c r="AZ778" s="58"/>
      <c r="BA778" s="44"/>
      <c r="BB778" s="58"/>
      <c r="BC778" s="44"/>
      <c r="BD778" s="44"/>
      <c r="BE778" s="44"/>
      <c r="BH778" s="44"/>
      <c r="BI778" s="44"/>
      <c r="BJ778" s="44"/>
      <c r="BK778" s="44"/>
      <c r="BL778" s="44"/>
      <c r="BM778" s="44"/>
      <c r="BQ778" s="44"/>
      <c r="BR778" s="44"/>
      <c r="BS778" s="44"/>
      <c r="BT778" s="44"/>
      <c r="BU778" s="44"/>
      <c r="BV778" s="44"/>
    </row>
    <row r="779" spans="45:75">
      <c r="AS779" s="44"/>
      <c r="AU779" s="42"/>
      <c r="AV779" s="44"/>
      <c r="AW779" s="44"/>
      <c r="AX779" s="44"/>
      <c r="AY779" s="44"/>
      <c r="AZ779" s="58"/>
      <c r="BA779" s="44"/>
      <c r="BB779" s="58"/>
      <c r="BC779" s="44"/>
      <c r="BD779" s="44"/>
      <c r="BE779" s="44"/>
      <c r="BG779" s="44"/>
      <c r="BH779" s="44"/>
      <c r="BI779" s="44"/>
      <c r="BJ779" s="44"/>
      <c r="BK779" s="44"/>
      <c r="BL779" s="44"/>
      <c r="BM779" s="44"/>
      <c r="BN779" s="44"/>
      <c r="BP779" s="44"/>
      <c r="BQ779" s="44"/>
      <c r="BR779" s="44"/>
      <c r="BS779" s="44"/>
      <c r="BT779" s="44"/>
      <c r="BU779" s="44"/>
      <c r="BV779" s="44"/>
      <c r="BW779" s="44"/>
    </row>
    <row r="780" spans="45:75">
      <c r="AS780" s="44"/>
      <c r="AU780" s="42"/>
      <c r="AV780" s="44"/>
      <c r="AW780" s="44"/>
      <c r="AX780" s="44"/>
      <c r="AY780" s="44"/>
      <c r="AZ780" s="58"/>
      <c r="BA780" s="44"/>
      <c r="BB780" s="58"/>
      <c r="BC780" s="44"/>
      <c r="BD780" s="44"/>
      <c r="BE780" s="44"/>
      <c r="BG780" s="44"/>
      <c r="BH780" s="44"/>
      <c r="BI780" s="44"/>
      <c r="BJ780" s="44"/>
      <c r="BK780" s="44"/>
      <c r="BL780" s="44"/>
      <c r="BM780" s="44"/>
      <c r="BN780" s="44"/>
      <c r="BP780" s="44"/>
      <c r="BQ780" s="44"/>
      <c r="BR780" s="44"/>
      <c r="BS780" s="44"/>
      <c r="BT780" s="44"/>
      <c r="BU780" s="44"/>
      <c r="BV780" s="44"/>
      <c r="BW780" s="44"/>
    </row>
    <row r="781" spans="45:75">
      <c r="AS781" s="49"/>
      <c r="AT781" s="49"/>
      <c r="AU781" s="49"/>
      <c r="AV781" s="49"/>
      <c r="AW781" s="49"/>
      <c r="AX781" s="49"/>
      <c r="AY781" s="49"/>
      <c r="AZ781" s="57"/>
      <c r="BA781" s="49"/>
      <c r="BB781" s="57"/>
      <c r="BC781" s="49"/>
      <c r="BD781" s="49"/>
      <c r="BE781" s="49"/>
      <c r="BG781" s="49"/>
      <c r="BH781" s="49"/>
      <c r="BI781" s="49"/>
      <c r="BJ781" s="49"/>
      <c r="BK781" s="49"/>
      <c r="BL781" s="49"/>
      <c r="BM781" s="49"/>
      <c r="BN781" s="49"/>
      <c r="BP781" s="49"/>
      <c r="BQ781" s="49"/>
      <c r="BR781" s="49"/>
      <c r="BS781" s="49"/>
      <c r="BT781" s="49"/>
      <c r="BU781" s="49"/>
      <c r="BV781" s="49"/>
      <c r="BW781" s="49"/>
    </row>
    <row r="782" spans="45:75">
      <c r="AV782" s="44"/>
      <c r="AW782" s="44"/>
      <c r="AX782" s="44"/>
      <c r="AY782" s="44"/>
      <c r="AZ782" s="58"/>
      <c r="BA782" s="44"/>
      <c r="BB782" s="58"/>
      <c r="BC782" s="44"/>
      <c r="BD782" s="44"/>
      <c r="BE782" s="44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5:75">
      <c r="AU783" s="42"/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5:75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9:75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9:75"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</row>
    <row r="787" spans="49:75">
      <c r="AW787" s="45"/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</row>
    <row r="788" spans="49:75"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</row>
    <row r="789" spans="49:75"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</row>
    <row r="790" spans="49:75"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</row>
    <row r="791" spans="49:75">
      <c r="AW791" s="45"/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</row>
    <row r="792" spans="49:75">
      <c r="AW792" s="45"/>
      <c r="AX792" s="56"/>
      <c r="AY792" s="56"/>
      <c r="AZ792" s="56"/>
      <c r="BA792" s="51"/>
      <c r="BB792" s="56"/>
      <c r="BC792" s="56"/>
      <c r="BD792" s="56"/>
      <c r="BE792" s="51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</row>
    <row r="793" spans="49:75">
      <c r="AW793" s="45"/>
      <c r="AX793" s="56"/>
      <c r="AY793" s="56"/>
      <c r="AZ793" s="56"/>
      <c r="BA793" s="51"/>
      <c r="BB793" s="56"/>
      <c r="BC793" s="56"/>
      <c r="BD793" s="56"/>
      <c r="BE793" s="51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</row>
    <row r="794" spans="49:75">
      <c r="AW794" s="45"/>
      <c r="AX794" s="56"/>
      <c r="AY794" s="56"/>
      <c r="AZ794" s="56"/>
      <c r="BA794" s="51"/>
      <c r="BB794" s="56"/>
      <c r="BC794" s="56"/>
      <c r="BD794" s="56"/>
      <c r="BE794" s="51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</row>
    <row r="795" spans="49:75">
      <c r="AW795" s="45"/>
      <c r="AX795" s="56"/>
      <c r="AY795" s="56"/>
      <c r="AZ795" s="56"/>
      <c r="BA795" s="51"/>
      <c r="BB795" s="56"/>
      <c r="BC795" s="56"/>
      <c r="BD795" s="56"/>
      <c r="BE795" s="51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</row>
    <row r="796" spans="49:75">
      <c r="AW796" s="45"/>
      <c r="AX796" s="56"/>
      <c r="AY796" s="56"/>
      <c r="AZ796" s="56"/>
      <c r="BA796" s="51"/>
      <c r="BB796" s="56"/>
      <c r="BC796" s="56"/>
      <c r="BD796" s="56"/>
      <c r="BE796" s="51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</row>
    <row r="797" spans="49:75">
      <c r="AW797" s="45"/>
      <c r="AX797" s="56"/>
      <c r="AY797" s="56"/>
      <c r="AZ797" s="56"/>
      <c r="BA797" s="51"/>
      <c r="BB797" s="56"/>
      <c r="BC797" s="56"/>
      <c r="BD797" s="56"/>
      <c r="BE797" s="51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</row>
    <row r="798" spans="49:75">
      <c r="AW798" s="45"/>
      <c r="AX798" s="56"/>
      <c r="AY798" s="56"/>
      <c r="AZ798" s="56"/>
      <c r="BA798" s="51"/>
      <c r="BB798" s="56"/>
      <c r="BC798" s="56"/>
      <c r="BD798" s="56"/>
      <c r="BE798" s="51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</row>
    <row r="799" spans="49:75">
      <c r="AW799" s="45"/>
      <c r="AX799" s="56"/>
      <c r="AY799" s="56"/>
      <c r="AZ799" s="56"/>
      <c r="BA799" s="51"/>
      <c r="BB799" s="56"/>
      <c r="BC799" s="56"/>
      <c r="BD799" s="56"/>
      <c r="BE799" s="51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</row>
    <row r="800" spans="49:75">
      <c r="AW800" s="45"/>
      <c r="AX800" s="56"/>
      <c r="AY800" s="56"/>
      <c r="AZ800" s="56"/>
      <c r="BA800" s="51"/>
      <c r="BB800" s="56"/>
      <c r="BC800" s="56"/>
      <c r="BD800" s="56"/>
      <c r="BE800" s="51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</row>
    <row r="801" spans="45:75">
      <c r="AW801" s="45"/>
      <c r="AX801" s="56"/>
      <c r="AY801" s="56"/>
      <c r="AZ801" s="56"/>
      <c r="BA801" s="51"/>
      <c r="BB801" s="56"/>
      <c r="BC801" s="56"/>
      <c r="BD801" s="56"/>
      <c r="BE801" s="51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</row>
    <row r="802" spans="45:75">
      <c r="AW802" s="45"/>
      <c r="AX802" s="56"/>
      <c r="AY802" s="56"/>
      <c r="AZ802" s="56"/>
      <c r="BA802" s="51"/>
      <c r="BB802" s="56"/>
      <c r="BC802" s="56"/>
      <c r="BD802" s="56"/>
      <c r="BE802" s="51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</row>
    <row r="803" spans="45:75">
      <c r="AW803" s="45"/>
      <c r="AX803" s="56"/>
      <c r="AY803" s="56"/>
      <c r="AZ803" s="56"/>
      <c r="BA803" s="51"/>
      <c r="BB803" s="56"/>
      <c r="BC803" s="56"/>
      <c r="BD803" s="56"/>
      <c r="BE803" s="51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</row>
    <row r="804" spans="45:75">
      <c r="AW804" s="45"/>
      <c r="AX804" s="56"/>
      <c r="AY804" s="56"/>
      <c r="AZ804" s="56"/>
      <c r="BA804" s="51"/>
      <c r="BB804" s="56"/>
      <c r="BC804" s="56"/>
      <c r="BD804" s="56"/>
      <c r="BE804" s="51"/>
      <c r="BG804" s="49"/>
      <c r="BH804" s="49"/>
      <c r="BI804" s="42"/>
      <c r="BM804" s="49"/>
      <c r="BN804" s="49"/>
      <c r="BO804" s="56"/>
      <c r="BP804" s="49"/>
      <c r="BQ804" s="49"/>
      <c r="BR804" s="42"/>
      <c r="BV804" s="49"/>
      <c r="BW804" s="49"/>
    </row>
    <row r="805" spans="45:75">
      <c r="AU805" s="42"/>
      <c r="AV805" s="44"/>
      <c r="AW805" s="45"/>
      <c r="AX805" s="56"/>
      <c r="AY805" s="56"/>
      <c r="AZ805" s="56"/>
      <c r="BA805" s="51"/>
      <c r="BB805" s="56"/>
      <c r="BC805" s="56"/>
      <c r="BD805" s="56"/>
      <c r="BE805" s="51"/>
      <c r="BG805" s="58"/>
      <c r="BH805" s="56"/>
      <c r="BI805" s="56"/>
      <c r="BJ805" s="56"/>
      <c r="BK805" s="58"/>
      <c r="BL805" s="59"/>
      <c r="BM805" s="56"/>
      <c r="BN805" s="58"/>
      <c r="BO805" s="56"/>
      <c r="BP805" s="58"/>
      <c r="BQ805" s="56"/>
      <c r="BR805" s="56"/>
      <c r="BS805" s="56"/>
      <c r="BT805" s="58"/>
      <c r="BU805" s="59"/>
      <c r="BV805" s="56"/>
      <c r="BW805" s="58"/>
    </row>
    <row r="806" spans="45:75">
      <c r="AV806" s="44"/>
      <c r="AW806" s="45"/>
      <c r="AX806" s="56"/>
      <c r="AY806" s="56"/>
      <c r="AZ806" s="56"/>
      <c r="BA806" s="51"/>
      <c r="BB806" s="56"/>
      <c r="BC806" s="56"/>
      <c r="BD806" s="56"/>
      <c r="BE806" s="51"/>
      <c r="BG806" s="56"/>
      <c r="BH806" s="56"/>
      <c r="BI806" s="56"/>
      <c r="BJ806" s="56"/>
      <c r="BK806" s="56"/>
      <c r="BL806" s="59"/>
      <c r="BM806" s="56"/>
      <c r="BN806" s="56"/>
      <c r="BO806" s="56"/>
      <c r="BP806" s="56"/>
      <c r="BQ806" s="56"/>
      <c r="BR806" s="56"/>
      <c r="BS806" s="56"/>
      <c r="BT806" s="56"/>
      <c r="BU806" s="59"/>
      <c r="BV806" s="56"/>
      <c r="BW806" s="56"/>
    </row>
    <row r="807" spans="45:75">
      <c r="AV807" s="44"/>
      <c r="AW807" s="45"/>
      <c r="AX807" s="56"/>
      <c r="AY807" s="56"/>
      <c r="AZ807" s="56"/>
      <c r="BA807" s="51"/>
      <c r="BB807" s="56"/>
      <c r="BC807" s="56"/>
      <c r="BD807" s="56"/>
      <c r="BE807" s="51"/>
      <c r="BG807" s="56"/>
      <c r="BH807" s="56"/>
      <c r="BI807" s="56"/>
      <c r="BJ807" s="56"/>
      <c r="BK807" s="56"/>
      <c r="BL807" s="59"/>
      <c r="BM807" s="56"/>
      <c r="BN807" s="56"/>
      <c r="BO807" s="56"/>
      <c r="BP807" s="56"/>
      <c r="BQ807" s="56"/>
      <c r="BR807" s="56"/>
      <c r="BS807" s="56"/>
      <c r="BT807" s="56"/>
      <c r="BU807" s="59"/>
      <c r="BV807" s="56"/>
      <c r="BW807" s="56"/>
    </row>
    <row r="808" spans="45:75">
      <c r="AV808" s="44"/>
      <c r="AW808" s="45"/>
      <c r="AX808" s="56"/>
      <c r="AY808" s="56"/>
      <c r="AZ808" s="56"/>
      <c r="BA808" s="51"/>
      <c r="BB808" s="56"/>
      <c r="BC808" s="56"/>
      <c r="BD808" s="56"/>
      <c r="BE808" s="51"/>
      <c r="BG808" s="56"/>
      <c r="BH808" s="56"/>
      <c r="BI808" s="56"/>
      <c r="BJ808" s="56"/>
      <c r="BK808" s="56"/>
      <c r="BL808" s="59"/>
      <c r="BM808" s="56"/>
      <c r="BN808" s="56"/>
      <c r="BO808" s="56"/>
      <c r="BP808" s="56"/>
      <c r="BQ808" s="56"/>
      <c r="BR808" s="56"/>
      <c r="BS808" s="56"/>
      <c r="BT808" s="56"/>
      <c r="BU808" s="59"/>
      <c r="BV808" s="56"/>
      <c r="BW808" s="56"/>
    </row>
    <row r="809" spans="45:75">
      <c r="AX809" s="56"/>
      <c r="AY809" s="56"/>
      <c r="AZ809" s="56"/>
      <c r="BA809" s="51"/>
      <c r="BB809" s="56"/>
      <c r="BC809" s="56"/>
      <c r="BD809" s="56"/>
      <c r="BE809" s="51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</row>
    <row r="810" spans="45:75">
      <c r="AU810" s="42"/>
    </row>
    <row r="811" spans="45:75">
      <c r="AU811" s="42"/>
      <c r="AZ811" s="56"/>
      <c r="BA811" s="51"/>
      <c r="BB811" s="56"/>
      <c r="BC811" s="56"/>
      <c r="BD811" s="56"/>
      <c r="BE811" s="51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</row>
    <row r="812" spans="45:75">
      <c r="AS812" s="42"/>
      <c r="AZ812" s="56"/>
      <c r="BB812" s="56"/>
    </row>
    <row r="813" spans="45:75">
      <c r="AZ813" s="56"/>
      <c r="BB813" s="56"/>
      <c r="BO813" s="56"/>
      <c r="BP813" s="56"/>
      <c r="BQ813" s="56"/>
      <c r="BR813" s="56"/>
      <c r="BS813" s="56"/>
      <c r="BT813" s="56"/>
      <c r="BU813" s="56"/>
      <c r="BV813" s="56"/>
    </row>
    <row r="814" spans="45:75">
      <c r="AY814" s="56"/>
      <c r="AZ814" s="56"/>
      <c r="BB814" s="56"/>
      <c r="BO814" s="56"/>
      <c r="BP814" s="56"/>
      <c r="BQ814" s="56"/>
      <c r="BR814" s="56"/>
      <c r="BS814" s="56"/>
      <c r="BT814" s="56"/>
      <c r="BU814" s="56"/>
      <c r="BV814" s="56"/>
    </row>
    <row r="815" spans="45:75">
      <c r="AY815" s="42"/>
      <c r="AZ815" s="56"/>
      <c r="BB815" s="56"/>
      <c r="BO815" s="56"/>
      <c r="BP815" s="56"/>
      <c r="BQ815" s="56"/>
      <c r="BR815" s="56"/>
      <c r="BS815" s="56"/>
      <c r="BT815" s="56"/>
      <c r="BU815" s="56"/>
      <c r="BV815" s="56"/>
    </row>
    <row r="816" spans="45:75">
      <c r="AY816" s="42"/>
      <c r="AZ816" s="56"/>
      <c r="BB816" s="56"/>
      <c r="BO816" s="56"/>
      <c r="BP816" s="56"/>
      <c r="BQ816" s="56"/>
      <c r="BR816" s="56"/>
      <c r="BS816" s="56"/>
      <c r="BT816" s="56"/>
      <c r="BU816" s="56"/>
      <c r="BV816" s="56"/>
    </row>
    <row r="817" spans="45:74">
      <c r="AZ817" s="56"/>
      <c r="BB817" s="56"/>
      <c r="BD817" s="42"/>
      <c r="BO817" s="56"/>
      <c r="BP817" s="56"/>
      <c r="BQ817" s="56"/>
      <c r="BR817" s="56"/>
      <c r="BS817" s="56"/>
      <c r="BT817" s="56"/>
      <c r="BU817" s="56"/>
      <c r="BV817" s="56"/>
    </row>
    <row r="818" spans="45:74">
      <c r="AZ818" s="56"/>
      <c r="BB818" s="56"/>
      <c r="BD818" s="42"/>
      <c r="BO818" s="56"/>
      <c r="BP818" s="56"/>
      <c r="BQ818" s="56"/>
      <c r="BR818" s="56"/>
      <c r="BS818" s="56"/>
      <c r="BT818" s="56"/>
      <c r="BU818" s="56"/>
      <c r="BV818" s="56"/>
    </row>
    <row r="819" spans="45:74">
      <c r="AS819" s="42"/>
      <c r="AZ819" s="56"/>
      <c r="BB819" s="56"/>
      <c r="BD819" s="42"/>
      <c r="BO819" s="56"/>
      <c r="BP819" s="56"/>
      <c r="BQ819" s="56"/>
      <c r="BR819" s="56"/>
      <c r="BS819" s="56"/>
      <c r="BT819" s="56"/>
      <c r="BU819" s="56"/>
      <c r="BV819" s="56"/>
    </row>
    <row r="820" spans="45:74">
      <c r="AZ820" s="56"/>
      <c r="BB820" s="56"/>
      <c r="BO820" s="56"/>
      <c r="BP820" s="56"/>
      <c r="BQ820" s="56"/>
      <c r="BR820" s="56"/>
      <c r="BS820" s="56"/>
      <c r="BT820" s="56"/>
      <c r="BU820" s="56"/>
      <c r="BV820" s="56"/>
    </row>
    <row r="821" spans="45:74">
      <c r="AS821" s="49"/>
      <c r="AT821" s="49"/>
      <c r="AU821" s="49"/>
      <c r="AV821" s="49"/>
      <c r="AW821" s="49"/>
      <c r="AX821" s="49"/>
      <c r="AY821" s="49"/>
      <c r="AZ821" s="57"/>
      <c r="BA821" s="49"/>
      <c r="BB821" s="57"/>
      <c r="BC821" s="49"/>
      <c r="BD821" s="49"/>
      <c r="BE821" s="49"/>
      <c r="BO821" s="56"/>
      <c r="BP821" s="56"/>
      <c r="BQ821" s="56"/>
      <c r="BR821" s="56"/>
      <c r="BS821" s="56"/>
      <c r="BT821" s="56"/>
      <c r="BU821" s="56"/>
      <c r="BV821" s="56"/>
    </row>
    <row r="822" spans="45:74">
      <c r="AX822" s="42"/>
      <c r="AZ822" s="56"/>
      <c r="BB822" s="56"/>
      <c r="BO822" s="56"/>
      <c r="BP822" s="56"/>
      <c r="BQ822" s="56"/>
      <c r="BR822" s="56"/>
      <c r="BS822" s="56"/>
      <c r="BT822" s="56"/>
      <c r="BU822" s="56"/>
      <c r="BV822" s="56"/>
    </row>
    <row r="823" spans="45:74">
      <c r="AX823" s="49"/>
      <c r="AY823" s="49"/>
      <c r="AZ823" s="57"/>
      <c r="BA823" s="49"/>
      <c r="BB823" s="56"/>
      <c r="BC823" s="44"/>
      <c r="BD823" s="44"/>
      <c r="BO823" s="56"/>
      <c r="BP823" s="56"/>
      <c r="BQ823" s="56"/>
      <c r="BR823" s="56"/>
      <c r="BS823" s="56"/>
      <c r="BT823" s="56"/>
      <c r="BU823" s="56"/>
      <c r="BV823" s="56"/>
    </row>
    <row r="824" spans="45:74">
      <c r="AV824" s="44"/>
      <c r="AW824" s="44"/>
      <c r="AZ824" s="58"/>
      <c r="BA824" s="44"/>
      <c r="BB824" s="56"/>
      <c r="BC824" s="44"/>
      <c r="BD824" s="44"/>
      <c r="BE824" s="44"/>
      <c r="BG824" s="49"/>
      <c r="BH824" s="42"/>
      <c r="BK824" s="49"/>
      <c r="BM824" s="49"/>
      <c r="BN824" s="42"/>
      <c r="BQ824" s="49"/>
    </row>
    <row r="825" spans="45:74">
      <c r="AV825" s="44"/>
      <c r="AW825" s="44"/>
      <c r="AX825" s="44"/>
      <c r="AY825" s="44"/>
      <c r="AZ825" s="58"/>
      <c r="BA825" s="44"/>
      <c r="BB825" s="58"/>
      <c r="BC825" s="44"/>
      <c r="BD825" s="44"/>
      <c r="BE825" s="44"/>
      <c r="BH825" s="44"/>
      <c r="BI825" s="44"/>
      <c r="BN825" s="44"/>
      <c r="BO825" s="44"/>
    </row>
    <row r="826" spans="45:74">
      <c r="AS826" s="44"/>
      <c r="AU826" s="42"/>
      <c r="AV826" s="44"/>
      <c r="AW826" s="44"/>
      <c r="AX826" s="44"/>
      <c r="AY826" s="44"/>
      <c r="AZ826" s="58"/>
      <c r="BA826" s="44"/>
      <c r="BB826" s="58"/>
      <c r="BC826" s="44"/>
      <c r="BD826" s="44"/>
      <c r="BE826" s="44"/>
      <c r="BG826" s="44"/>
      <c r="BH826" s="44"/>
      <c r="BI826" s="44"/>
      <c r="BJ826" s="44"/>
      <c r="BK826" s="44"/>
      <c r="BM826" s="44"/>
      <c r="BN826" s="44"/>
      <c r="BO826" s="44"/>
      <c r="BP826" s="44"/>
      <c r="BQ826" s="44"/>
    </row>
    <row r="827" spans="45:74">
      <c r="AS827" s="44"/>
      <c r="AU827" s="42"/>
      <c r="AV827" s="44"/>
      <c r="AW827" s="44"/>
      <c r="AX827" s="44"/>
      <c r="AY827" s="44"/>
      <c r="AZ827" s="58"/>
      <c r="BA827" s="44"/>
      <c r="BB827" s="58"/>
      <c r="BC827" s="44"/>
      <c r="BD827" s="44"/>
      <c r="BE827" s="44"/>
      <c r="BG827" s="44"/>
      <c r="BH827" s="44"/>
      <c r="BI827" s="44"/>
      <c r="BJ827" s="44"/>
      <c r="BK827" s="44"/>
      <c r="BM827" s="44"/>
      <c r="BN827" s="44"/>
      <c r="BO827" s="44"/>
      <c r="BP827" s="44"/>
      <c r="BQ827" s="44"/>
    </row>
    <row r="828" spans="45:74">
      <c r="AS828" s="49"/>
      <c r="AT828" s="49"/>
      <c r="AU828" s="49"/>
      <c r="AV828" s="49"/>
      <c r="AW828" s="49"/>
      <c r="AX828" s="49"/>
      <c r="AY828" s="49"/>
      <c r="AZ828" s="57"/>
      <c r="BA828" s="49"/>
      <c r="BB828" s="57"/>
      <c r="BC828" s="49"/>
      <c r="BD828" s="49"/>
      <c r="BE828" s="49"/>
      <c r="BG828" s="49"/>
      <c r="BH828" s="49"/>
      <c r="BI828" s="49"/>
      <c r="BJ828" s="49"/>
      <c r="BK828" s="49"/>
      <c r="BM828" s="49"/>
      <c r="BN828" s="49"/>
      <c r="BO828" s="49"/>
      <c r="BP828" s="49"/>
      <c r="BQ828" s="49"/>
    </row>
    <row r="829" spans="45:74">
      <c r="AV829" s="44"/>
      <c r="AW829" s="44"/>
      <c r="AX829" s="44"/>
      <c r="AY829" s="44"/>
      <c r="AZ829" s="58"/>
      <c r="BA829" s="44"/>
      <c r="BB829" s="58"/>
      <c r="BC829" s="44"/>
      <c r="BD829" s="44"/>
      <c r="BE829" s="44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</row>
    <row r="830" spans="45:74">
      <c r="AT830" s="42"/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5:74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</row>
    <row r="832" spans="45:74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</row>
    <row r="833" spans="48:71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8:71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</row>
    <row r="835" spans="48:71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</row>
    <row r="836" spans="48:71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</row>
    <row r="837" spans="48:71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</row>
    <row r="838" spans="48:71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</row>
    <row r="839" spans="48:71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</row>
    <row r="840" spans="48:71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</row>
    <row r="841" spans="48:71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</row>
    <row r="842" spans="48:71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</row>
    <row r="843" spans="48:71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</row>
    <row r="844" spans="48:71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</row>
    <row r="845" spans="48:71"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</row>
    <row r="846" spans="48:71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</row>
    <row r="847" spans="48:71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</row>
    <row r="848" spans="48:71">
      <c r="AZ848" s="56"/>
      <c r="BB848" s="56"/>
      <c r="BC848" s="56"/>
      <c r="BD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</row>
    <row r="849" spans="46:57">
      <c r="AT849" s="42"/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</row>
    <row r="850" spans="46:57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</row>
    <row r="851" spans="46:57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</row>
    <row r="852" spans="46:57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</row>
    <row r="853" spans="46:57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</row>
    <row r="854" spans="46:57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</row>
    <row r="855" spans="46:57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</row>
    <row r="856" spans="46:57">
      <c r="AV856" s="45"/>
      <c r="AW856" s="45"/>
      <c r="AX856" s="56"/>
      <c r="AY856" s="56"/>
      <c r="AZ856" s="56"/>
      <c r="BA856" s="51"/>
      <c r="BB856" s="56"/>
      <c r="BC856" s="56"/>
      <c r="BD856" s="56"/>
      <c r="BE856" s="51"/>
    </row>
    <row r="857" spans="46:57">
      <c r="AV857" s="45"/>
      <c r="AW857" s="45"/>
      <c r="AX857" s="56"/>
      <c r="AY857" s="56"/>
      <c r="AZ857" s="56"/>
      <c r="BA857" s="51"/>
      <c r="BB857" s="56"/>
      <c r="BC857" s="56"/>
      <c r="BD857" s="56"/>
      <c r="BE857" s="51"/>
    </row>
    <row r="858" spans="46:57">
      <c r="AV858" s="45"/>
      <c r="AW858" s="45"/>
      <c r="AX858" s="56"/>
      <c r="AY858" s="56"/>
      <c r="AZ858" s="56"/>
      <c r="BA858" s="51"/>
      <c r="BB858" s="56"/>
      <c r="BC858" s="56"/>
      <c r="BD858" s="56"/>
      <c r="BE858" s="51"/>
    </row>
    <row r="859" spans="46:57">
      <c r="AV859" s="45"/>
      <c r="AW859" s="45"/>
      <c r="AX859" s="56"/>
      <c r="AY859" s="56"/>
      <c r="AZ859" s="56"/>
      <c r="BA859" s="51"/>
      <c r="BB859" s="56"/>
      <c r="BC859" s="56"/>
      <c r="BD859" s="56"/>
      <c r="BE859" s="51"/>
    </row>
    <row r="860" spans="46:57">
      <c r="AV860" s="45"/>
      <c r="AW860" s="45"/>
      <c r="AX860" s="56"/>
      <c r="AY860" s="56"/>
      <c r="AZ860" s="56"/>
      <c r="BA860" s="51"/>
      <c r="BB860" s="56"/>
      <c r="BC860" s="56"/>
      <c r="BD860" s="56"/>
      <c r="BE860" s="51"/>
    </row>
    <row r="861" spans="46:57">
      <c r="AV861" s="45"/>
      <c r="AW861" s="45"/>
      <c r="AX861" s="56"/>
      <c r="AY861" s="56"/>
      <c r="AZ861" s="56"/>
      <c r="BA861" s="51"/>
      <c r="BB861" s="56"/>
      <c r="BC861" s="56"/>
      <c r="BD861" s="56"/>
      <c r="BE861" s="51"/>
    </row>
    <row r="862" spans="46:57"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</row>
    <row r="863" spans="46:57">
      <c r="AV863" s="45"/>
      <c r="AW863" s="45"/>
      <c r="AX863" s="56"/>
      <c r="AY863" s="56"/>
      <c r="AZ863" s="56"/>
      <c r="BA863" s="51"/>
      <c r="BB863" s="56"/>
      <c r="BC863" s="56"/>
      <c r="BD863" s="56"/>
      <c r="BE863" s="51"/>
    </row>
    <row r="864" spans="46:57">
      <c r="AV864" s="45"/>
      <c r="AW864" s="45"/>
      <c r="AX864" s="56"/>
      <c r="AY864" s="56"/>
      <c r="AZ864" s="56"/>
      <c r="BA864" s="51"/>
      <c r="BB864" s="56"/>
      <c r="BC864" s="56"/>
      <c r="BD864" s="56"/>
      <c r="BE864" s="51"/>
    </row>
    <row r="865" spans="45:57"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</row>
    <row r="866" spans="45:57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</row>
    <row r="867" spans="45:57">
      <c r="BB867" s="56"/>
    </row>
    <row r="868" spans="45:57">
      <c r="AU868" s="42"/>
      <c r="BB868" s="56"/>
    </row>
    <row r="869" spans="45:57">
      <c r="AU869" s="42"/>
    </row>
    <row r="870" spans="45:57">
      <c r="AU870" s="42"/>
      <c r="BB870" s="56"/>
    </row>
    <row r="871" spans="45:57">
      <c r="AS871" s="42"/>
      <c r="AZ871" s="56"/>
      <c r="BB871" s="56"/>
    </row>
    <row r="872" spans="45:57">
      <c r="AZ872" s="56"/>
      <c r="BB872" s="56"/>
    </row>
    <row r="873" spans="45:57">
      <c r="AY873" s="56"/>
      <c r="AZ873" s="56"/>
      <c r="BB873" s="56"/>
    </row>
    <row r="874" spans="45:57">
      <c r="AY874" s="42"/>
      <c r="AZ874" s="56"/>
      <c r="BB874" s="56"/>
    </row>
    <row r="875" spans="45:57">
      <c r="AY875" s="42"/>
      <c r="AZ875" s="56"/>
      <c r="BB875" s="56"/>
    </row>
    <row r="876" spans="45:57">
      <c r="AZ876" s="56"/>
      <c r="BB876" s="56"/>
      <c r="BD876" s="42"/>
    </row>
    <row r="877" spans="45:57">
      <c r="AZ877" s="56"/>
      <c r="BB877" s="56"/>
      <c r="BD877" s="42"/>
    </row>
    <row r="878" spans="45:57">
      <c r="AS878" s="42"/>
      <c r="AZ878" s="56"/>
      <c r="BB878" s="56"/>
      <c r="BD878" s="42"/>
    </row>
    <row r="879" spans="45:57">
      <c r="AZ879" s="56"/>
      <c r="BB879" s="56"/>
    </row>
    <row r="880" spans="45:57">
      <c r="AS880" s="49"/>
      <c r="AT880" s="49"/>
      <c r="AU880" s="49"/>
      <c r="AV880" s="49"/>
      <c r="AW880" s="49"/>
      <c r="AX880" s="49"/>
      <c r="AY880" s="49"/>
      <c r="AZ880" s="57"/>
      <c r="BA880" s="49"/>
      <c r="BB880" s="57"/>
      <c r="BC880" s="49"/>
      <c r="BD880" s="49"/>
      <c r="BE880" s="49"/>
    </row>
    <row r="881" spans="45:57">
      <c r="AX881" s="42"/>
      <c r="AZ881" s="56"/>
      <c r="BB881" s="56"/>
    </row>
    <row r="882" spans="45:57">
      <c r="AX882" s="49"/>
      <c r="AY882" s="49"/>
      <c r="AZ882" s="57"/>
      <c r="BA882" s="49"/>
      <c r="BB882" s="56"/>
      <c r="BC882" s="44"/>
      <c r="BD882" s="44"/>
    </row>
    <row r="883" spans="45:57">
      <c r="AV883" s="44"/>
      <c r="AW883" s="44"/>
      <c r="AZ883" s="58"/>
      <c r="BA883" s="44"/>
      <c r="BB883" s="56"/>
      <c r="BC883" s="44"/>
      <c r="BD883" s="44"/>
      <c r="BE883" s="44"/>
    </row>
    <row r="884" spans="45:57">
      <c r="AV884" s="44"/>
      <c r="AW884" s="44"/>
      <c r="AX884" s="44"/>
      <c r="AY884" s="44"/>
      <c r="AZ884" s="58"/>
      <c r="BA884" s="44"/>
      <c r="BB884" s="58"/>
      <c r="BC884" s="44"/>
      <c r="BD884" s="44"/>
      <c r="BE884" s="44"/>
    </row>
    <row r="885" spans="45:57">
      <c r="AS885" s="44"/>
      <c r="AU885" s="42"/>
      <c r="AV885" s="44"/>
      <c r="AW885" s="44"/>
      <c r="AX885" s="44"/>
      <c r="AY885" s="44"/>
      <c r="AZ885" s="58"/>
      <c r="BA885" s="44"/>
      <c r="BB885" s="58"/>
      <c r="BC885" s="44"/>
      <c r="BD885" s="44"/>
      <c r="BE885" s="44"/>
    </row>
    <row r="886" spans="45:57">
      <c r="AS886" s="44"/>
      <c r="AU886" s="42"/>
      <c r="AV886" s="44"/>
      <c r="AW886" s="44"/>
      <c r="AX886" s="44"/>
      <c r="AY886" s="44"/>
      <c r="AZ886" s="58"/>
      <c r="BA886" s="44"/>
      <c r="BB886" s="58"/>
      <c r="BC886" s="44"/>
      <c r="BD886" s="44"/>
      <c r="BE886" s="44"/>
    </row>
    <row r="887" spans="45:57">
      <c r="AS887" s="49"/>
      <c r="AT887" s="49"/>
      <c r="AU887" s="49"/>
      <c r="AV887" s="49"/>
      <c r="AW887" s="49"/>
      <c r="AX887" s="49"/>
      <c r="AY887" s="49"/>
      <c r="AZ887" s="57"/>
      <c r="BA887" s="49"/>
      <c r="BB887" s="57"/>
      <c r="BC887" s="49"/>
      <c r="BD887" s="49"/>
      <c r="BE887" s="49"/>
    </row>
    <row r="888" spans="45:57">
      <c r="AV888" s="44"/>
      <c r="AW888" s="44"/>
      <c r="AX888" s="44"/>
      <c r="AY888" s="44"/>
      <c r="AZ888" s="58"/>
      <c r="BA888" s="44"/>
      <c r="BB888" s="58"/>
      <c r="BC888" s="44"/>
      <c r="BD888" s="44"/>
      <c r="BE888" s="44"/>
    </row>
    <row r="889" spans="45:57">
      <c r="AT889" s="42"/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5:57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5:57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5:57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5:57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5:57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5:57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5:57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6:57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6:57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6:57">
      <c r="AV899" s="45"/>
      <c r="AW899" s="45"/>
      <c r="BB899" s="56"/>
    </row>
    <row r="900" spans="46:57">
      <c r="AT900" s="42"/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6:57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6:57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6:57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6:57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6:57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6:57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6:57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6:57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6:57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1" spans="46:57">
      <c r="AU911" s="42"/>
    </row>
    <row r="912" spans="46:57">
      <c r="AU912" s="42"/>
    </row>
    <row r="913" spans="45:47">
      <c r="AU913" s="42"/>
    </row>
    <row r="914" spans="45:47">
      <c r="AS914" s="42"/>
    </row>
    <row r="935" spans="52:71">
      <c r="AZ935" s="56"/>
      <c r="BB935" s="56"/>
      <c r="BC935" s="56"/>
      <c r="BD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>
      <c r="AZ936" s="56"/>
      <c r="BB936" s="56"/>
      <c r="BC936" s="56"/>
      <c r="BD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</row>
    <row r="937" spans="52:71">
      <c r="AZ937" s="56"/>
      <c r="BB937" s="56"/>
      <c r="BC937" s="56"/>
      <c r="BD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</row>
    <row r="938" spans="52:71">
      <c r="AZ938" s="56"/>
      <c r="BB938" s="56"/>
      <c r="BC938" s="56"/>
      <c r="BD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</row>
    <row r="939" spans="52:71">
      <c r="AZ939" s="56"/>
      <c r="BB939" s="56"/>
      <c r="BC939" s="56"/>
      <c r="BD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</row>
    <row r="940" spans="52:71">
      <c r="AZ940" s="56"/>
      <c r="BB940" s="56"/>
      <c r="BC940" s="56"/>
      <c r="BD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</row>
    <row r="941" spans="52:71">
      <c r="AZ941" s="56"/>
      <c r="BB941" s="56"/>
      <c r="BC941" s="56"/>
      <c r="BD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</row>
    <row r="942" spans="52:71">
      <c r="AZ942" s="56"/>
      <c r="BB942" s="56"/>
      <c r="BC942" s="56"/>
      <c r="BD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</row>
    <row r="943" spans="52:71">
      <c r="AZ943" s="56"/>
      <c r="BB943" s="56"/>
      <c r="BC943" s="56"/>
      <c r="BD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</row>
    <row r="944" spans="52:71">
      <c r="AZ944" s="56"/>
      <c r="BB944" s="56"/>
      <c r="BC944" s="56"/>
      <c r="BD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</row>
    <row r="945" spans="52:71">
      <c r="AZ945" s="56"/>
      <c r="BB945" s="56"/>
      <c r="BC945" s="56"/>
      <c r="BD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</row>
    <row r="946" spans="52:71">
      <c r="AZ946" s="56"/>
      <c r="BB946" s="56"/>
      <c r="BC946" s="56"/>
      <c r="BD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</row>
    <row r="947" spans="52:71">
      <c r="AZ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</row>
    <row r="948" spans="52:71">
      <c r="AZ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</row>
    <row r="949" spans="52:71">
      <c r="AZ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</row>
    <row r="950" spans="52:71">
      <c r="AZ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</row>
    <row r="951" spans="52:71">
      <c r="AZ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</row>
    <row r="952" spans="52:71">
      <c r="AZ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</row>
    <row r="953" spans="52:71">
      <c r="AZ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</row>
    <row r="954" spans="52:71">
      <c r="AZ954" s="56"/>
    </row>
    <row r="955" spans="52:71">
      <c r="AZ955" s="56"/>
    </row>
    <row r="969" spans="1:28">
      <c r="A969" s="42"/>
    </row>
    <row r="972" spans="1:28">
      <c r="Y972" s="42"/>
    </row>
    <row r="973" spans="1:28">
      <c r="A973" s="42"/>
      <c r="H973" s="42"/>
      <c r="I973" s="42"/>
    </row>
    <row r="974" spans="1:28">
      <c r="A974" s="42"/>
      <c r="V974" s="44"/>
      <c r="AA974" s="44"/>
      <c r="AB974" s="44"/>
    </row>
    <row r="975" spans="1:28">
      <c r="A975" s="42"/>
      <c r="V975" s="49"/>
      <c r="AA975" s="49"/>
      <c r="AB975" s="49"/>
    </row>
    <row r="976" spans="1:28">
      <c r="A976" s="42"/>
      <c r="U976" s="42"/>
      <c r="AA976" s="44"/>
      <c r="AB976" s="44"/>
    </row>
    <row r="977" spans="1:28">
      <c r="A977" s="42"/>
    </row>
    <row r="978" spans="1:28">
      <c r="A978" s="42"/>
      <c r="U978" s="42"/>
      <c r="AA978" s="44"/>
      <c r="AB978" s="44"/>
    </row>
    <row r="979" spans="1:28">
      <c r="A979" s="42"/>
    </row>
    <row r="980" spans="1:28">
      <c r="A980" s="42"/>
      <c r="U980" s="42"/>
      <c r="V980" s="339"/>
      <c r="AA980" s="44"/>
      <c r="AB980" s="44"/>
    </row>
    <row r="981" spans="1:28">
      <c r="A981" s="42"/>
    </row>
    <row r="982" spans="1:28">
      <c r="A982" s="42"/>
      <c r="U982" s="42"/>
      <c r="AA982" s="44"/>
      <c r="AB982" s="44"/>
    </row>
    <row r="983" spans="1:28">
      <c r="A983" s="42"/>
    </row>
    <row r="984" spans="1:28">
      <c r="A984" s="42"/>
      <c r="U984" s="42"/>
      <c r="AA984" s="44"/>
      <c r="AB984" s="44"/>
    </row>
    <row r="985" spans="1:28">
      <c r="A985" s="42"/>
    </row>
    <row r="986" spans="1:28">
      <c r="A986" s="42"/>
    </row>
    <row r="987" spans="1:28">
      <c r="A987" s="42"/>
    </row>
    <row r="988" spans="1:28">
      <c r="A988" s="42"/>
    </row>
    <row r="989" spans="1:28">
      <c r="A989" s="42"/>
    </row>
    <row r="990" spans="1:28">
      <c r="A990" s="42"/>
    </row>
    <row r="991" spans="1:28">
      <c r="A991" s="42"/>
    </row>
    <row r="992" spans="1:28">
      <c r="A992" s="42"/>
    </row>
    <row r="993" spans="1:9">
      <c r="A993" s="42"/>
    </row>
    <row r="994" spans="1:9">
      <c r="A994" s="42"/>
    </row>
    <row r="995" spans="1:9">
      <c r="A995" s="42"/>
      <c r="H995" s="42"/>
      <c r="I995" s="42"/>
    </row>
    <row r="998" spans="1:9">
      <c r="A998" s="42"/>
    </row>
    <row r="1001" spans="1:9">
      <c r="A1001" s="42"/>
    </row>
    <row r="1004" spans="1:9">
      <c r="A1004" s="42"/>
    </row>
    <row r="1005" spans="1:9">
      <c r="A1005" s="42"/>
    </row>
    <row r="1006" spans="1:9">
      <c r="A1006" s="42"/>
    </row>
    <row r="1007" spans="1:9">
      <c r="A1007" s="42"/>
    </row>
    <row r="1008" spans="1:9">
      <c r="A1008" s="42"/>
    </row>
    <row r="1009" spans="1:1">
      <c r="A1009" s="42"/>
    </row>
    <row r="1010" spans="1:1">
      <c r="A1010" s="42"/>
    </row>
    <row r="1011" spans="1:1">
      <c r="A1011" s="42"/>
    </row>
    <row r="1012" spans="1:1">
      <c r="A1012" s="42"/>
    </row>
    <row r="1013" spans="1:1">
      <c r="A1013" s="42"/>
    </row>
    <row r="1014" spans="1:1">
      <c r="A1014" s="42"/>
    </row>
    <row r="1015" spans="1:1">
      <c r="A1015" s="42"/>
    </row>
    <row r="1016" spans="1:1">
      <c r="A1016" s="42"/>
    </row>
    <row r="1017" spans="1:1">
      <c r="A1017" s="42"/>
    </row>
    <row r="1018" spans="1:1">
      <c r="A1018" s="42"/>
    </row>
    <row r="1019" spans="1:1">
      <c r="A1019" s="42"/>
    </row>
    <row r="1020" spans="1:1">
      <c r="A1020" s="42"/>
    </row>
    <row r="1021" spans="1:1">
      <c r="A1021" s="42"/>
    </row>
    <row r="1022" spans="1:1">
      <c r="A1022" s="42"/>
    </row>
    <row r="1023" spans="1:1">
      <c r="A1023" s="42"/>
    </row>
    <row r="1024" spans="1:1">
      <c r="A1024" s="42"/>
    </row>
    <row r="1025" spans="1:1">
      <c r="A1025" s="42"/>
    </row>
    <row r="1026" spans="1:1">
      <c r="A1026" s="42"/>
    </row>
    <row r="1027" spans="1:1">
      <c r="A1027" s="42"/>
    </row>
    <row r="1028" spans="1:1">
      <c r="A1028" s="42"/>
    </row>
    <row r="1029" spans="1:1">
      <c r="A1029" s="42"/>
    </row>
    <row r="1030" spans="1:1">
      <c r="A1030" s="42"/>
    </row>
    <row r="1031" spans="1:1">
      <c r="A1031" s="42"/>
    </row>
    <row r="1032" spans="1:1">
      <c r="A1032" s="42"/>
    </row>
    <row r="1033" spans="1:1">
      <c r="A1033" s="42"/>
    </row>
    <row r="1034" spans="1:1">
      <c r="A1034" s="42"/>
    </row>
    <row r="1035" spans="1:1">
      <c r="A1035" s="42"/>
    </row>
    <row r="1036" spans="1:1">
      <c r="A1036" s="42"/>
    </row>
    <row r="1037" spans="1:1">
      <c r="A1037" s="42"/>
    </row>
    <row r="1038" spans="1:1">
      <c r="A1038" s="42"/>
    </row>
    <row r="1043" spans="1:1">
      <c r="A1043" s="42"/>
    </row>
    <row r="1044" spans="1:1">
      <c r="A1044" s="42"/>
    </row>
    <row r="1047" spans="1:1">
      <c r="A1047" s="42"/>
    </row>
    <row r="1049" spans="1:1">
      <c r="A1049" s="42"/>
    </row>
    <row r="1051" spans="1:1">
      <c r="A1051" s="42"/>
    </row>
    <row r="1053" spans="1:1">
      <c r="A1053" s="42"/>
    </row>
    <row r="1056" spans="1:1">
      <c r="A1056" s="42"/>
    </row>
    <row r="1057" spans="1:1">
      <c r="A1057" s="42"/>
    </row>
    <row r="1058" spans="1:1">
      <c r="A1058" s="42"/>
    </row>
    <row r="1059" spans="1:1">
      <c r="A1059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</sheetData>
  <customSheetViews>
    <customSheetView guid="{F562D92E-120C-4AE9-9663-89E64D41DC53}" scale="75" fitToPage="1" topLeftCell="A16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9"/>
      <headerFooter alignWithMargins="0"/>
    </customSheetView>
    <customSheetView guid="{4BC93440-BA85-4935-A8C9-66DC6AE5DE5E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10"/>
      <headerFooter alignWithMargins="0"/>
    </customSheetView>
    <customSheetView guid="{0C49E549-011E-46F4-A82E-2CC8951A9C1E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2" type="noConversion"/>
  <pageMargins left="0.5" right="0.5" top="1" bottom="0" header="0" footer="0"/>
  <pageSetup scale="61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transitionEntry="1" codeName="Sheet141">
    <pageSetUpPr fitToPage="1"/>
  </sheetPr>
  <dimension ref="A1:BX1041"/>
  <sheetViews>
    <sheetView workbookViewId="0"/>
  </sheetViews>
  <sheetFormatPr defaultColWidth="9.69921875" defaultRowHeight="15.75"/>
  <cols>
    <col min="1" max="1" width="5.09765625" style="41" customWidth="1"/>
    <col min="2" max="2" width="0.3984375" style="41" customWidth="1"/>
    <col min="3" max="3" width="6.69921875" style="41" customWidth="1"/>
    <col min="4" max="4" width="35.69921875" style="41" customWidth="1"/>
    <col min="5" max="5" width="0.69921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3.09765625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7.5976562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4.59765625" style="41" customWidth="1"/>
    <col min="23" max="23" width="41.3984375" style="41" customWidth="1"/>
    <col min="24" max="24" width="0.898437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1.3984375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2.89843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Y1" s="42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Y2" s="42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V3" s="50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V4" s="50"/>
      <c r="AA4" s="42"/>
      <c r="AB4" s="42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V5" s="132"/>
      <c r="AK5" s="110"/>
      <c r="AL5" s="42"/>
    </row>
    <row r="6" spans="1:40">
      <c r="A6" s="41" t="str">
        <f>DATA_PERIOD</f>
        <v>DATA: ____ BASE PERIOD   __X__FORECASTED PERIOD</v>
      </c>
      <c r="R6" s="42" t="s">
        <v>156</v>
      </c>
      <c r="V6" s="132"/>
      <c r="AK6" s="110"/>
      <c r="AL6" s="42"/>
    </row>
    <row r="7" spans="1:40">
      <c r="A7" s="41" t="str">
        <f>TYPE</f>
        <v>TYPE OF FILING: _X_ ORIGINAL   ___UPDATED  ___ REVISED</v>
      </c>
      <c r="R7" s="48" t="str">
        <f>"PAGE 18 OF "&amp;TEXT(Page_Num_2.3,"00")</f>
        <v>PAGE 18 OF 24</v>
      </c>
      <c r="V7" s="132"/>
      <c r="AK7" s="110"/>
      <c r="AL7" s="42"/>
    </row>
    <row r="8" spans="1:40">
      <c r="A8" s="42" t="s">
        <v>170</v>
      </c>
      <c r="R8" s="42" t="s">
        <v>3</v>
      </c>
      <c r="V8" s="132"/>
      <c r="W8" s="40"/>
      <c r="AK8" s="110"/>
      <c r="AL8" s="42"/>
    </row>
    <row r="9" spans="1:40">
      <c r="A9" s="130" t="str">
        <f>TIME</f>
        <v>12 Months Projected with Riders</v>
      </c>
      <c r="M9" s="42"/>
      <c r="R9" s="41" t="str">
        <f>WIT</f>
        <v>B. L. Sailers</v>
      </c>
      <c r="V9" s="132"/>
      <c r="W9" s="42"/>
      <c r="AA9" s="42"/>
      <c r="AB9" s="42"/>
    </row>
    <row r="10" spans="1:40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T10" s="49"/>
      <c r="U10" s="49"/>
      <c r="V10" s="132"/>
      <c r="W10" s="40"/>
      <c r="X10" s="49"/>
      <c r="Y10" s="49"/>
      <c r="Z10" s="49"/>
      <c r="AA10" s="49"/>
      <c r="AB10" s="49"/>
      <c r="AC10" s="49"/>
      <c r="AD10" s="49"/>
      <c r="AE10" s="49"/>
      <c r="AF10" s="49"/>
      <c r="AG10" s="107"/>
      <c r="AH10" s="49"/>
      <c r="AI10" s="49"/>
      <c r="AJ10" s="49"/>
      <c r="AK10" s="107"/>
      <c r="AL10" s="49"/>
      <c r="AM10" s="49"/>
      <c r="AN10" s="49"/>
    </row>
    <row r="11" spans="1:40">
      <c r="A11" s="49"/>
      <c r="B11" s="49"/>
      <c r="C11" s="49"/>
      <c r="D11" s="49"/>
      <c r="E11" s="49"/>
      <c r="G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V11" s="132"/>
      <c r="W11" s="42"/>
      <c r="AA11" s="44"/>
      <c r="AB11" s="44"/>
      <c r="AC11" s="44"/>
      <c r="AD11" s="44"/>
      <c r="AE11" s="44"/>
      <c r="AF11" s="44"/>
      <c r="AG11" s="102"/>
      <c r="AH11" s="44"/>
      <c r="AK11" s="102"/>
      <c r="AL11" s="44"/>
      <c r="AM11" s="44"/>
      <c r="AN11" s="44"/>
    </row>
    <row r="12" spans="1:40" ht="18" customHeight="1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Z12" s="44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>
      <c r="L13" s="44" t="s">
        <v>12</v>
      </c>
      <c r="M13" s="44"/>
      <c r="N13" s="44" t="s">
        <v>13</v>
      </c>
      <c r="O13" s="44"/>
      <c r="R13" s="44" t="s">
        <v>11</v>
      </c>
      <c r="T13" s="44"/>
      <c r="U13" s="44"/>
      <c r="V13" s="44"/>
      <c r="Z13" s="44"/>
      <c r="AA13" s="44"/>
      <c r="AB13" s="44"/>
      <c r="AC13" s="44"/>
      <c r="AD13" s="44"/>
      <c r="AE13" s="44"/>
      <c r="AF13" s="44"/>
      <c r="AG13" s="102"/>
      <c r="AH13" s="44"/>
      <c r="AI13" s="44"/>
      <c r="AJ13" s="44"/>
      <c r="AK13" s="102"/>
      <c r="AL13" s="44"/>
      <c r="AM13" s="44"/>
      <c r="AN13" s="44"/>
    </row>
    <row r="14" spans="1:40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Y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324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107"/>
      <c r="AH15" s="49"/>
      <c r="AI15" s="49"/>
      <c r="AJ15" s="49"/>
      <c r="AK15" s="107"/>
      <c r="AL15" s="49"/>
      <c r="AM15" s="49"/>
      <c r="AN15" s="49"/>
    </row>
    <row r="16" spans="1:40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76" ht="17.100000000000001" customHeight="1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302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T17" s="42"/>
      <c r="U17" s="42"/>
      <c r="Y17" s="44"/>
    </row>
    <row r="18" spans="1:76">
      <c r="A18" s="41">
        <v>1</v>
      </c>
      <c r="C18" s="133" t="s">
        <v>73</v>
      </c>
      <c r="D18" s="133" t="s">
        <v>71</v>
      </c>
      <c r="F18" s="1"/>
      <c r="G18" s="1"/>
      <c r="H18" s="324"/>
      <c r="I18" s="324"/>
      <c r="J18" s="406" t="s">
        <v>312</v>
      </c>
      <c r="K18" s="324"/>
      <c r="L18" s="324"/>
      <c r="M18" s="324"/>
      <c r="N18" s="324"/>
      <c r="O18" s="324"/>
      <c r="P18" s="324"/>
      <c r="Q18" s="324"/>
      <c r="R18" s="324"/>
      <c r="T18" s="42"/>
      <c r="U18" s="42"/>
      <c r="Y18" s="44"/>
    </row>
    <row r="19" spans="1:76">
      <c r="A19" s="41">
        <v>2</v>
      </c>
      <c r="C19" s="310" t="s">
        <v>258</v>
      </c>
      <c r="F19" s="1"/>
      <c r="G19" s="1"/>
      <c r="H19" s="1"/>
      <c r="I19" s="1"/>
      <c r="J19" s="5"/>
      <c r="K19" s="1"/>
      <c r="L19" s="1"/>
      <c r="M19" s="1"/>
      <c r="N19" s="1"/>
      <c r="O19" s="1"/>
      <c r="P19" s="1"/>
      <c r="Q19" s="1"/>
      <c r="R19" s="1"/>
      <c r="T19" s="42"/>
      <c r="U19" s="42"/>
    </row>
    <row r="20" spans="1:76">
      <c r="A20" s="41">
        <v>3</v>
      </c>
      <c r="C20" s="133" t="s">
        <v>334</v>
      </c>
      <c r="D20" s="130"/>
      <c r="F20" s="1"/>
      <c r="G20" s="1"/>
      <c r="H20" s="1"/>
      <c r="I20" s="1"/>
      <c r="J20" s="5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76">
      <c r="A21" s="41">
        <v>4</v>
      </c>
      <c r="C21" s="133" t="s">
        <v>335</v>
      </c>
      <c r="D21" s="130"/>
      <c r="F21" s="1"/>
      <c r="G21" s="1"/>
      <c r="H21" s="1"/>
      <c r="I21" s="1"/>
      <c r="J21" s="5"/>
      <c r="K21" s="1"/>
      <c r="L21" s="1"/>
      <c r="M21" s="1"/>
      <c r="N21" s="1"/>
      <c r="O21" s="1"/>
      <c r="P21" s="1"/>
      <c r="Q21" s="1"/>
      <c r="R21" s="1"/>
      <c r="T21" s="42"/>
      <c r="U21" s="42"/>
    </row>
    <row r="22" spans="1:76">
      <c r="A22" s="41">
        <v>5</v>
      </c>
      <c r="C22" s="42" t="s">
        <v>206</v>
      </c>
      <c r="F22" s="45">
        <v>0</v>
      </c>
      <c r="G22" s="1"/>
      <c r="H22" s="45">
        <v>0</v>
      </c>
      <c r="I22" s="1"/>
      <c r="J22" s="132">
        <f>ROUND(AC95+(AC95*LT_COS_RATE),2)</f>
        <v>7.77</v>
      </c>
      <c r="K22" s="1"/>
      <c r="L22" s="3">
        <f>ROUND(F22*J22,0)</f>
        <v>0</v>
      </c>
      <c r="M22" s="1"/>
      <c r="N22" s="4">
        <f>ROUND((L22/L$72)*100,1)</f>
        <v>0</v>
      </c>
      <c r="O22" s="1"/>
      <c r="P22" s="3">
        <f>ROUND((P$72/H$72)*H22,0)</f>
        <v>0</v>
      </c>
      <c r="Q22" s="1"/>
      <c r="R22" s="3">
        <f>P22+L22</f>
        <v>0</v>
      </c>
      <c r="T22" s="42"/>
      <c r="U22" s="42"/>
      <c r="Y22" s="56"/>
    </row>
    <row r="23" spans="1:76">
      <c r="A23" s="41">
        <v>6</v>
      </c>
      <c r="C23" s="42" t="s">
        <v>336</v>
      </c>
      <c r="F23" s="45">
        <v>0</v>
      </c>
      <c r="G23" s="1"/>
      <c r="H23" s="45">
        <v>0</v>
      </c>
      <c r="I23" s="1"/>
      <c r="J23" s="132">
        <f>ROUND(AC96+(AC96*LT_COS_RATE),2)</f>
        <v>10.050000000000001</v>
      </c>
      <c r="K23" s="1"/>
      <c r="L23" s="3">
        <f>ROUND(F23*J23,0)</f>
        <v>0</v>
      </c>
      <c r="M23" s="1"/>
      <c r="N23" s="4">
        <f>ROUND((L23/L$72)*100,1)</f>
        <v>0</v>
      </c>
      <c r="O23" s="1"/>
      <c r="P23" s="3">
        <f>ROUND((P$72/H$72)*H23,0)</f>
        <v>0</v>
      </c>
      <c r="Q23" s="1"/>
      <c r="R23" s="3">
        <f>P23+L23</f>
        <v>0</v>
      </c>
      <c r="T23" s="42"/>
      <c r="Y23" s="56"/>
    </row>
    <row r="24" spans="1:76">
      <c r="A24" s="41">
        <v>7</v>
      </c>
      <c r="C24" s="42" t="s">
        <v>337</v>
      </c>
      <c r="F24" s="45">
        <v>0</v>
      </c>
      <c r="G24" s="1"/>
      <c r="H24" s="45">
        <v>0</v>
      </c>
      <c r="I24" s="1"/>
      <c r="J24" s="132">
        <f>ROUND(AC97+(AC97*LT_COS_RATE),2)</f>
        <v>14.18</v>
      </c>
      <c r="K24" s="1"/>
      <c r="L24" s="3">
        <f>ROUND(F24*J24,0)</f>
        <v>0</v>
      </c>
      <c r="M24" s="1"/>
      <c r="N24" s="4">
        <f>ROUND((L24/L$72)*100,1)</f>
        <v>0</v>
      </c>
      <c r="O24" s="1"/>
      <c r="P24" s="3">
        <f>ROUND((P$72/H$72)*H24,0)</f>
        <v>0</v>
      </c>
      <c r="Q24" s="1"/>
      <c r="R24" s="3">
        <f>P24+L24</f>
        <v>0</v>
      </c>
      <c r="T24" s="40"/>
      <c r="U24" s="40"/>
      <c r="V24" s="40"/>
      <c r="W24" s="40"/>
      <c r="X24" s="40"/>
      <c r="Y24" s="56"/>
      <c r="Z24" s="40"/>
      <c r="AA24" s="40"/>
      <c r="AB24" s="40"/>
      <c r="AC24" s="40"/>
      <c r="AD24" s="40"/>
      <c r="AE24" s="40"/>
      <c r="AF24" s="40"/>
      <c r="AG24" s="100"/>
      <c r="AH24" s="40"/>
      <c r="AI24" s="40"/>
      <c r="AJ24" s="40"/>
      <c r="AK24" s="100"/>
      <c r="AL24" s="40"/>
      <c r="AM24" s="40"/>
      <c r="AN24" s="40"/>
      <c r="AO24" s="40"/>
      <c r="AP24" s="40"/>
      <c r="AQ24" s="100"/>
    </row>
    <row r="25" spans="1:76" ht="15" customHeight="1">
      <c r="C25" s="42"/>
      <c r="F25" s="45"/>
      <c r="G25" s="1"/>
      <c r="H25" s="1"/>
      <c r="I25" s="1"/>
      <c r="J25" s="56"/>
      <c r="K25" s="1"/>
      <c r="L25" s="1"/>
      <c r="M25" s="1"/>
      <c r="N25" s="1"/>
      <c r="O25" s="1"/>
      <c r="P25" s="1"/>
      <c r="Q25" s="1"/>
      <c r="R25" s="1"/>
      <c r="AE25" s="44"/>
      <c r="AF25" s="44"/>
      <c r="AG25" s="102"/>
      <c r="AH25" s="44"/>
      <c r="AI25" s="44"/>
      <c r="AJ25" s="44"/>
      <c r="AK25" s="102"/>
      <c r="AL25" s="44"/>
      <c r="AO25" s="44"/>
      <c r="AP25" s="44"/>
      <c r="AQ25" s="102"/>
    </row>
    <row r="26" spans="1:76">
      <c r="A26" s="41">
        <v>8</v>
      </c>
      <c r="C26" s="133" t="s">
        <v>338</v>
      </c>
      <c r="F26" s="45"/>
      <c r="G26" s="1"/>
      <c r="H26" s="1"/>
      <c r="I26" s="1"/>
      <c r="J26" s="56"/>
      <c r="K26" s="1"/>
      <c r="L26" s="1"/>
      <c r="M26" s="1"/>
      <c r="N26" s="1"/>
      <c r="O26" s="1"/>
      <c r="P26" s="1"/>
      <c r="Q26" s="1"/>
      <c r="R26" s="1"/>
      <c r="AC26" s="44"/>
      <c r="AD26" s="44"/>
      <c r="AE26" s="44"/>
      <c r="AF26" s="44"/>
      <c r="AG26" s="102"/>
      <c r="AH26" s="44"/>
      <c r="AI26" s="44"/>
      <c r="AJ26" s="44"/>
      <c r="AK26" s="102"/>
      <c r="AL26" s="44"/>
      <c r="AO26" s="44"/>
      <c r="AP26" s="44"/>
      <c r="AQ26" s="102"/>
    </row>
    <row r="27" spans="1:76">
      <c r="A27" s="41">
        <v>9</v>
      </c>
      <c r="C27" s="42" t="s">
        <v>339</v>
      </c>
      <c r="F27" s="45">
        <v>0</v>
      </c>
      <c r="G27" s="1"/>
      <c r="H27" s="45">
        <v>0</v>
      </c>
      <c r="I27" s="1"/>
      <c r="J27" s="132">
        <f>ROUND(AC100+(AC100*LT_COS_RATE),2)</f>
        <v>7.77</v>
      </c>
      <c r="K27" s="1"/>
      <c r="L27" s="3">
        <f>ROUND(F27*J27,0)</f>
        <v>0</v>
      </c>
      <c r="M27" s="1"/>
      <c r="N27" s="4">
        <f>ROUND((L27/L$72)*100,1)</f>
        <v>0</v>
      </c>
      <c r="O27" s="1"/>
      <c r="P27" s="3">
        <f>ROUND((P$72/H$72)*H27,0)</f>
        <v>0</v>
      </c>
      <c r="Q27" s="1"/>
      <c r="R27" s="3">
        <f>P27+L27</f>
        <v>0</v>
      </c>
      <c r="T27" s="44"/>
      <c r="V27" s="44"/>
      <c r="W27" s="44"/>
      <c r="X27" s="44"/>
      <c r="Y27" s="56"/>
      <c r="AA27" s="44"/>
      <c r="AB27" s="44"/>
      <c r="AC27" s="44"/>
      <c r="AD27" s="44"/>
      <c r="AE27" s="44"/>
      <c r="AF27" s="44"/>
      <c r="AG27" s="102"/>
      <c r="AH27" s="44"/>
      <c r="AI27" s="44"/>
      <c r="AJ27" s="44"/>
      <c r="AK27" s="102"/>
      <c r="AL27" s="44"/>
      <c r="AM27" s="44"/>
      <c r="AN27" s="44"/>
      <c r="AO27" s="44"/>
      <c r="AP27" s="44"/>
      <c r="AQ27" s="102"/>
      <c r="AS27" s="45"/>
      <c r="AT27" s="45"/>
      <c r="AU27" s="46"/>
      <c r="BX27" s="329"/>
    </row>
    <row r="28" spans="1:76">
      <c r="A28" s="41">
        <v>10</v>
      </c>
      <c r="C28" s="42" t="s">
        <v>340</v>
      </c>
      <c r="F28" s="45">
        <v>0</v>
      </c>
      <c r="G28" s="1"/>
      <c r="H28" s="45">
        <v>0</v>
      </c>
      <c r="I28" s="1"/>
      <c r="J28" s="132">
        <f>ROUND(AC101+(AC101*LT_COS_RATE),2)</f>
        <v>10.050000000000001</v>
      </c>
      <c r="K28" s="1"/>
      <c r="L28" s="3">
        <f>ROUND(F28*J28,0)</f>
        <v>0</v>
      </c>
      <c r="M28" s="1"/>
      <c r="N28" s="4">
        <f>ROUND((L28/L$72)*100,1)</f>
        <v>0</v>
      </c>
      <c r="O28" s="1"/>
      <c r="P28" s="3">
        <f>ROUND((P$72/H$72)*H28,0)</f>
        <v>0</v>
      </c>
      <c r="Q28" s="1"/>
      <c r="R28" s="3">
        <f>P28+L28</f>
        <v>0</v>
      </c>
      <c r="Y28" s="56"/>
      <c r="AA28" s="44"/>
      <c r="AB28" s="44"/>
      <c r="AC28" s="44"/>
      <c r="AD28" s="44"/>
      <c r="AE28" s="44"/>
      <c r="AF28" s="44"/>
      <c r="AG28" s="102"/>
      <c r="AH28" s="44"/>
      <c r="AI28" s="44"/>
      <c r="AJ28" s="44"/>
      <c r="AK28" s="102"/>
      <c r="AL28" s="44"/>
      <c r="AM28" s="44"/>
      <c r="AN28" s="44"/>
      <c r="AO28" s="44"/>
      <c r="AP28" s="44"/>
      <c r="AQ28" s="102"/>
      <c r="AS28" s="45"/>
      <c r="AT28" s="45"/>
      <c r="AU28" s="335"/>
    </row>
    <row r="29" spans="1:76">
      <c r="A29" s="41">
        <v>11</v>
      </c>
      <c r="C29" s="42" t="s">
        <v>341</v>
      </c>
      <c r="F29" s="45">
        <v>0</v>
      </c>
      <c r="G29" s="1"/>
      <c r="H29" s="45">
        <v>0</v>
      </c>
      <c r="I29" s="1"/>
      <c r="J29" s="132">
        <f>ROUND(AC102+(AC102*LT_COS_RATE),2)</f>
        <v>14.18</v>
      </c>
      <c r="K29" s="1"/>
      <c r="L29" s="3">
        <f>ROUND(F29*J29,0)</f>
        <v>0</v>
      </c>
      <c r="M29" s="1"/>
      <c r="N29" s="4">
        <f>ROUND((L29/L$72)*100,1)</f>
        <v>0</v>
      </c>
      <c r="O29" s="1"/>
      <c r="P29" s="3">
        <f>ROUND((P$72/H$72)*H29,0)</f>
        <v>0</v>
      </c>
      <c r="Q29" s="1"/>
      <c r="R29" s="3">
        <f>P29+L29</f>
        <v>0</v>
      </c>
      <c r="W29" s="42"/>
      <c r="X29" s="42"/>
      <c r="Y29" s="56"/>
      <c r="AS29" s="45"/>
      <c r="AT29" s="45"/>
      <c r="AU29" s="46"/>
    </row>
    <row r="30" spans="1:76" ht="15" customHeight="1">
      <c r="C30" s="42"/>
      <c r="F30" s="45"/>
      <c r="G30" s="1"/>
      <c r="H30" s="1"/>
      <c r="I30" s="1"/>
      <c r="J30" s="56"/>
      <c r="K30" s="1"/>
      <c r="L30" s="1"/>
      <c r="M30" s="1"/>
      <c r="N30" s="1"/>
      <c r="O30" s="1"/>
      <c r="P30" s="1"/>
      <c r="Q30" s="1"/>
      <c r="R30" s="1"/>
      <c r="W30" s="42"/>
      <c r="X30" s="42"/>
      <c r="AS30" s="45"/>
      <c r="AT30" s="45"/>
      <c r="AU30" s="46"/>
    </row>
    <row r="31" spans="1:76">
      <c r="A31" s="41">
        <v>12</v>
      </c>
      <c r="C31" s="133" t="s">
        <v>342</v>
      </c>
      <c r="F31" s="45"/>
      <c r="G31" s="1"/>
      <c r="H31" s="1"/>
      <c r="I31" s="1"/>
      <c r="J31" s="56"/>
      <c r="K31" s="1"/>
      <c r="L31" s="1"/>
      <c r="M31" s="1"/>
      <c r="N31" s="1"/>
      <c r="O31" s="1"/>
      <c r="P31" s="1"/>
      <c r="Q31" s="1"/>
      <c r="R31" s="1"/>
      <c r="AS31" s="45"/>
      <c r="AT31" s="45"/>
      <c r="AU31" s="46"/>
    </row>
    <row r="32" spans="1:76">
      <c r="A32" s="41">
        <v>13</v>
      </c>
      <c r="C32" s="42" t="s">
        <v>343</v>
      </c>
      <c r="F32" s="45">
        <v>0</v>
      </c>
      <c r="G32" s="3"/>
      <c r="H32" s="45">
        <f>ROUND(F32*487/12,0)</f>
        <v>0</v>
      </c>
      <c r="I32" s="1"/>
      <c r="J32" s="132">
        <f>ROUND(AC105+(AC105*LT_COS_RATE),2)</f>
        <v>8.76</v>
      </c>
      <c r="K32" s="1"/>
      <c r="L32" s="3">
        <f>ROUND(F32*J32,0)</f>
        <v>0</v>
      </c>
      <c r="M32" s="1"/>
      <c r="N32" s="4">
        <f>ROUND((L32/L$72)*100,1)</f>
        <v>0</v>
      </c>
      <c r="O32" s="1"/>
      <c r="P32" s="3">
        <f>ROUND((P$72/H$72)*H32,0)</f>
        <v>0</v>
      </c>
      <c r="Q32" s="1"/>
      <c r="R32" s="3">
        <f>P32+L32</f>
        <v>0</v>
      </c>
      <c r="Y32" s="56"/>
    </row>
    <row r="33" spans="1:51">
      <c r="A33" s="41">
        <v>14</v>
      </c>
      <c r="C33" s="42" t="s">
        <v>211</v>
      </c>
      <c r="F33" s="45">
        <v>0</v>
      </c>
      <c r="G33" s="1"/>
      <c r="H33" s="45">
        <v>0</v>
      </c>
      <c r="I33" s="1"/>
      <c r="J33" s="132">
        <f>ROUND(AC106+(AC106*LT_COS_RATE),2)</f>
        <v>9.9700000000000006</v>
      </c>
      <c r="K33" s="1"/>
      <c r="L33" s="3">
        <f>ROUND(F33*J33,0)</f>
        <v>0</v>
      </c>
      <c r="M33" s="1"/>
      <c r="N33" s="4">
        <f>ROUND((L33/L$72)*100,1)</f>
        <v>0</v>
      </c>
      <c r="O33" s="1"/>
      <c r="P33" s="3">
        <f>ROUND((P$72/H$72)*H33,0)</f>
        <v>0</v>
      </c>
      <c r="Q33" s="1"/>
      <c r="R33" s="3">
        <f>P33+L33</f>
        <v>0</v>
      </c>
      <c r="Y33" s="56"/>
      <c r="AA33" s="390"/>
    </row>
    <row r="34" spans="1:51">
      <c r="A34" s="41">
        <v>15</v>
      </c>
      <c r="C34" s="42" t="s">
        <v>212</v>
      </c>
      <c r="F34" s="45">
        <v>0</v>
      </c>
      <c r="G34" s="1"/>
      <c r="H34" s="45">
        <v>0</v>
      </c>
      <c r="I34" s="1"/>
      <c r="J34" s="132">
        <f>ROUND(AC107+(AC107*LT_COS_RATE),2)</f>
        <v>11.16</v>
      </c>
      <c r="K34" s="1"/>
      <c r="L34" s="3">
        <f>ROUND(F34*J34,0)</f>
        <v>0</v>
      </c>
      <c r="M34" s="1"/>
      <c r="N34" s="4">
        <f>ROUND((L34/L$72)*100,1)</f>
        <v>0</v>
      </c>
      <c r="O34" s="1"/>
      <c r="P34" s="3">
        <f>ROUND((P$72/H$72)*H34,0)</f>
        <v>0</v>
      </c>
      <c r="Q34" s="1"/>
      <c r="R34" s="3">
        <f>P34+L34</f>
        <v>0</v>
      </c>
      <c r="Y34" s="56"/>
    </row>
    <row r="35" spans="1:51">
      <c r="A35" s="41">
        <v>16</v>
      </c>
      <c r="C35" s="41" t="s">
        <v>278</v>
      </c>
      <c r="F35" s="45">
        <v>0</v>
      </c>
      <c r="H35" s="45">
        <v>0</v>
      </c>
      <c r="J35" s="132">
        <f>ROUND(AC108+(AC108*LT_COS_RATE),2)</f>
        <v>11.16</v>
      </c>
      <c r="L35" s="3">
        <f>ROUND(F35*J35,0)</f>
        <v>0</v>
      </c>
      <c r="N35" s="4">
        <f>ROUND((L35/L$72)*100,1)</f>
        <v>0</v>
      </c>
      <c r="P35" s="3">
        <f>ROUND((P$72/H$72)*H35,0)</f>
        <v>0</v>
      </c>
      <c r="R35" s="3">
        <f>P35+L35</f>
        <v>0</v>
      </c>
      <c r="Y35" s="56"/>
      <c r="AR35" s="45"/>
    </row>
    <row r="36" spans="1:51">
      <c r="A36" s="41">
        <v>17</v>
      </c>
      <c r="C36" s="41" t="s">
        <v>213</v>
      </c>
      <c r="F36" s="45">
        <v>0</v>
      </c>
      <c r="H36" s="45">
        <v>0</v>
      </c>
      <c r="J36" s="132">
        <f>ROUND(AC109+(AC109*LT_COS_RATE),2)</f>
        <v>15.95</v>
      </c>
      <c r="L36" s="3">
        <f>ROUND(F36*J36,0)</f>
        <v>0</v>
      </c>
      <c r="N36" s="4">
        <f>ROUND((L36/L$72)*100,1)</f>
        <v>0</v>
      </c>
      <c r="P36" s="3">
        <f>ROUND((P$72/H$72)*H36,0)</f>
        <v>0</v>
      </c>
      <c r="R36" s="3">
        <f>P36+L36</f>
        <v>0</v>
      </c>
      <c r="Y36" s="56"/>
      <c r="AR36" s="45"/>
    </row>
    <row r="37" spans="1:51" ht="15" customHeight="1">
      <c r="C37" s="42"/>
      <c r="F37" s="45"/>
      <c r="G37" s="3"/>
      <c r="H37" s="3"/>
      <c r="I37" s="1"/>
      <c r="J37" s="56"/>
      <c r="K37" s="1"/>
      <c r="L37" s="3"/>
      <c r="M37" s="1"/>
      <c r="N37" s="4"/>
      <c r="O37" s="1"/>
      <c r="P37" s="3"/>
      <c r="Q37" s="1"/>
      <c r="R37" s="3"/>
    </row>
    <row r="38" spans="1:51">
      <c r="A38" s="41">
        <v>18</v>
      </c>
      <c r="C38" s="133" t="s">
        <v>344</v>
      </c>
      <c r="F38" s="45"/>
      <c r="G38" s="3"/>
      <c r="H38" s="3"/>
      <c r="I38" s="1"/>
      <c r="J38" s="56"/>
      <c r="K38" s="1"/>
      <c r="L38" s="3"/>
      <c r="M38" s="1"/>
      <c r="N38" s="4"/>
      <c r="O38" s="1"/>
      <c r="P38" s="3"/>
      <c r="Q38" s="1"/>
      <c r="R38" s="3"/>
    </row>
    <row r="39" spans="1:51">
      <c r="A39" s="41">
        <v>19</v>
      </c>
      <c r="C39" s="133" t="s">
        <v>345</v>
      </c>
      <c r="F39" s="45"/>
      <c r="G39" s="3"/>
      <c r="H39" s="3"/>
      <c r="I39" s="1"/>
      <c r="J39" s="56"/>
      <c r="K39" s="1"/>
      <c r="L39" s="3"/>
      <c r="M39" s="1"/>
      <c r="N39" s="4"/>
      <c r="O39" s="1"/>
      <c r="P39" s="3"/>
      <c r="Q39" s="1"/>
      <c r="R39" s="3"/>
    </row>
    <row r="40" spans="1:51">
      <c r="A40" s="41">
        <v>20</v>
      </c>
      <c r="C40" s="42" t="s">
        <v>231</v>
      </c>
      <c r="F40" s="45">
        <v>0</v>
      </c>
      <c r="G40" s="3"/>
      <c r="H40" s="45">
        <v>0</v>
      </c>
      <c r="I40" s="1"/>
      <c r="J40" s="132">
        <f>ROUND(AC113+(AC113*LT_COS_RATE),2)</f>
        <v>9.6999999999999993</v>
      </c>
      <c r="K40" s="1"/>
      <c r="L40" s="3">
        <f>ROUND(F40*J40,0)</f>
        <v>0</v>
      </c>
      <c r="M40" s="1"/>
      <c r="N40" s="4">
        <f>ROUND((L40/L$72)*100,1)</f>
        <v>0</v>
      </c>
      <c r="O40" s="1"/>
      <c r="P40" s="3">
        <f>ROUND((P$72/H$72)*H40,0)</f>
        <v>0</v>
      </c>
      <c r="Q40" s="1"/>
      <c r="R40" s="3">
        <f>P40+L40</f>
        <v>0</v>
      </c>
      <c r="Y40" s="56"/>
    </row>
    <row r="41" spans="1:51">
      <c r="A41" s="41">
        <v>21</v>
      </c>
      <c r="C41" s="42" t="s">
        <v>346</v>
      </c>
      <c r="F41" s="45">
        <v>0</v>
      </c>
      <c r="G41" s="3"/>
      <c r="H41" s="45">
        <v>0</v>
      </c>
      <c r="I41" s="1"/>
      <c r="J41" s="132">
        <f>ROUND(AC114+(AC114*LT_COS_RATE),2)</f>
        <v>9.6</v>
      </c>
      <c r="K41" s="1"/>
      <c r="L41" s="3">
        <f>ROUND(F41*J41,0)</f>
        <v>0</v>
      </c>
      <c r="M41" s="1"/>
      <c r="N41" s="4">
        <f>ROUND((L41/L$72)*100,1)</f>
        <v>0</v>
      </c>
      <c r="O41" s="1"/>
      <c r="P41" s="3">
        <f>ROUND((P$72/H$72)*H41,0)</f>
        <v>0</v>
      </c>
      <c r="Q41" s="1"/>
      <c r="R41" s="3">
        <f>P41+L41</f>
        <v>0</v>
      </c>
      <c r="Y41" s="56"/>
    </row>
    <row r="42" spans="1:51">
      <c r="A42" s="41">
        <v>22</v>
      </c>
      <c r="C42" s="42" t="s">
        <v>232</v>
      </c>
      <c r="F42" s="45">
        <v>0</v>
      </c>
      <c r="G42" s="3"/>
      <c r="H42" s="45">
        <v>0</v>
      </c>
      <c r="I42" s="1"/>
      <c r="J42" s="132">
        <f>ROUND(AC115+(AC115*LT_COS_RATE),2)</f>
        <v>9.6999999999999993</v>
      </c>
      <c r="K42" s="1"/>
      <c r="L42" s="3">
        <f>ROUND(F42*J42,0)</f>
        <v>0</v>
      </c>
      <c r="M42" s="1"/>
      <c r="N42" s="4">
        <f>ROUND((L42/L$72)*100,1)</f>
        <v>0</v>
      </c>
      <c r="O42" s="1"/>
      <c r="P42" s="3">
        <f>ROUND((P$72/H$72)*H42,0)</f>
        <v>0</v>
      </c>
      <c r="Q42" s="1"/>
      <c r="R42" s="3">
        <f>P42+L42</f>
        <v>0</v>
      </c>
      <c r="Y42" s="56"/>
    </row>
    <row r="43" spans="1:51">
      <c r="A43" s="41">
        <v>23</v>
      </c>
      <c r="C43" s="42" t="s">
        <v>233</v>
      </c>
      <c r="F43" s="45">
        <v>0</v>
      </c>
      <c r="G43" s="3"/>
      <c r="H43" s="45">
        <v>0</v>
      </c>
      <c r="I43" s="1"/>
      <c r="J43" s="132">
        <f>ROUND(AC116+(AC116*LT_COS_RATE),2)</f>
        <v>9.6999999999999993</v>
      </c>
      <c r="K43" s="1"/>
      <c r="L43" s="3">
        <f>ROUND(F43*J43,0)</f>
        <v>0</v>
      </c>
      <c r="M43" s="1"/>
      <c r="N43" s="4">
        <f>ROUND((L43/L$72)*100,1)</f>
        <v>0</v>
      </c>
      <c r="O43" s="1"/>
      <c r="P43" s="3">
        <f>ROUND((P$72/H$72)*H43,0)</f>
        <v>0</v>
      </c>
      <c r="Q43" s="1"/>
      <c r="R43" s="3">
        <f>P43+L43</f>
        <v>0</v>
      </c>
      <c r="Y43" s="56"/>
    </row>
    <row r="44" spans="1:51" ht="15" customHeight="1">
      <c r="C44" s="42"/>
      <c r="F44" s="45"/>
      <c r="G44" s="3"/>
      <c r="H44" s="3"/>
      <c r="I44" s="1"/>
      <c r="J44" s="56"/>
      <c r="K44" s="1"/>
      <c r="L44" s="3"/>
      <c r="M44" s="1"/>
      <c r="N44" s="4"/>
      <c r="O44" s="1"/>
      <c r="P44" s="3"/>
      <c r="Q44" s="1"/>
      <c r="R44" s="3"/>
    </row>
    <row r="45" spans="1:51">
      <c r="A45" s="41">
        <v>24</v>
      </c>
      <c r="C45" s="133" t="s">
        <v>347</v>
      </c>
      <c r="F45" s="45"/>
      <c r="G45" s="3"/>
      <c r="H45" s="3"/>
      <c r="I45" s="1"/>
      <c r="J45" s="56"/>
      <c r="K45" s="1"/>
      <c r="L45" s="3"/>
      <c r="M45" s="1"/>
      <c r="N45" s="4"/>
      <c r="O45" s="1"/>
      <c r="P45" s="3"/>
      <c r="Q45" s="1"/>
      <c r="R45" s="3"/>
      <c r="AX45" s="41" t="s">
        <v>300</v>
      </c>
      <c r="AY45" s="41" t="s">
        <v>301</v>
      </c>
    </row>
    <row r="46" spans="1:51">
      <c r="A46" s="41">
        <v>25</v>
      </c>
      <c r="C46" s="42" t="s">
        <v>348</v>
      </c>
      <c r="F46" s="45">
        <v>0</v>
      </c>
      <c r="G46" s="3"/>
      <c r="H46" s="45">
        <v>0</v>
      </c>
      <c r="I46" s="1"/>
      <c r="J46" s="132">
        <f>ROUND(AC119+(AC119*LT_COS_RATE),2)</f>
        <v>9.6</v>
      </c>
      <c r="K46" s="1"/>
      <c r="L46" s="3">
        <f>ROUND(F46*J46,0)</f>
        <v>0</v>
      </c>
      <c r="M46" s="1"/>
      <c r="N46" s="4">
        <f>ROUND((L46/L$72)*100,1)</f>
        <v>0</v>
      </c>
      <c r="O46" s="1"/>
      <c r="P46" s="3">
        <f>ROUND((P$72/H$72)*H46,0)</f>
        <v>0</v>
      </c>
      <c r="Q46" s="1"/>
      <c r="R46" s="3">
        <f>P46+L46</f>
        <v>0</v>
      </c>
      <c r="Y46" s="56"/>
      <c r="AW46" s="41" t="s">
        <v>299</v>
      </c>
      <c r="AX46" s="41" t="s">
        <v>298</v>
      </c>
      <c r="AY46" s="41" t="s">
        <v>298</v>
      </c>
    </row>
    <row r="47" spans="1:51">
      <c r="A47" s="41">
        <v>26</v>
      </c>
      <c r="C47" s="42" t="s">
        <v>268</v>
      </c>
      <c r="F47" s="45">
        <v>0</v>
      </c>
      <c r="G47" s="3"/>
      <c r="H47" s="45">
        <v>0</v>
      </c>
      <c r="I47" s="1"/>
      <c r="J47" s="132">
        <f>ROUND(AC120+(AC120*LT_COS_RATE),2)</f>
        <v>9.7799999999999994</v>
      </c>
      <c r="K47" s="1"/>
      <c r="L47" s="3">
        <f>ROUND(F47*J47,0)</f>
        <v>0</v>
      </c>
      <c r="M47" s="1"/>
      <c r="N47" s="4">
        <f>ROUND((L47/L$72)*100,1)</f>
        <v>0</v>
      </c>
      <c r="O47" s="1"/>
      <c r="P47" s="3">
        <f>ROUND((P$72/H$72)*H47,0)</f>
        <v>0</v>
      </c>
      <c r="Q47" s="1"/>
      <c r="R47" s="3">
        <f>P47+L47</f>
        <v>0</v>
      </c>
      <c r="Y47" s="56"/>
    </row>
    <row r="48" spans="1:51">
      <c r="A48" s="41">
        <v>27</v>
      </c>
      <c r="C48" s="41" t="s">
        <v>232</v>
      </c>
      <c r="F48" s="45">
        <v>0</v>
      </c>
      <c r="G48" s="3"/>
      <c r="H48" s="45">
        <v>0</v>
      </c>
      <c r="I48" s="1"/>
      <c r="J48" s="132">
        <f>ROUND(AC121+(AC121*LT_COS_RATE),2)</f>
        <v>9.7799999999999994</v>
      </c>
      <c r="K48" s="1"/>
      <c r="L48" s="3">
        <f>ROUND(F48*J48,0)</f>
        <v>0</v>
      </c>
      <c r="M48" s="1"/>
      <c r="N48" s="4">
        <f>ROUND((L48/L$72)*100,1)</f>
        <v>0</v>
      </c>
      <c r="O48" s="1"/>
      <c r="P48" s="3">
        <f>ROUND((P$72/H$72)*H48,0)</f>
        <v>0</v>
      </c>
      <c r="Q48" s="1"/>
      <c r="R48" s="3">
        <f>P48+L48</f>
        <v>0</v>
      </c>
      <c r="Y48" s="56"/>
    </row>
    <row r="49" spans="1:51" ht="15" customHeight="1">
      <c r="C49" s="42"/>
      <c r="D49" s="42"/>
      <c r="F49" s="45"/>
      <c r="G49" s="3"/>
      <c r="H49" s="3"/>
      <c r="I49" s="1"/>
      <c r="J49" s="56"/>
      <c r="K49" s="1"/>
      <c r="L49" s="3"/>
      <c r="M49" s="1"/>
      <c r="N49" s="4"/>
      <c r="O49" s="1"/>
      <c r="P49" s="3"/>
      <c r="Q49" s="1"/>
      <c r="R49" s="3"/>
    </row>
    <row r="50" spans="1:51">
      <c r="A50" s="41">
        <v>28</v>
      </c>
      <c r="C50" s="133" t="s">
        <v>349</v>
      </c>
      <c r="F50" s="45"/>
      <c r="G50" s="3"/>
      <c r="H50" s="3"/>
      <c r="I50" s="1"/>
      <c r="J50" s="56"/>
      <c r="K50" s="1"/>
      <c r="L50" s="3"/>
      <c r="M50" s="1"/>
      <c r="N50" s="4"/>
      <c r="O50" s="1"/>
      <c r="P50" s="3"/>
      <c r="Q50" s="1"/>
      <c r="R50" s="3"/>
    </row>
    <row r="51" spans="1:51">
      <c r="A51" s="41">
        <v>29</v>
      </c>
      <c r="C51" s="42" t="s">
        <v>346</v>
      </c>
      <c r="D51" s="42"/>
      <c r="F51" s="45">
        <v>0</v>
      </c>
      <c r="G51" s="3"/>
      <c r="H51" s="45">
        <v>0</v>
      </c>
      <c r="I51" s="1"/>
      <c r="J51" s="132">
        <f t="shared" ref="J51:J57" si="0">ROUND(AC124+(AC124*LT_COS_RATE),2)</f>
        <v>8.64</v>
      </c>
      <c r="K51" s="1"/>
      <c r="L51" s="3">
        <f t="shared" ref="L51:L57" si="1">ROUND(F51*J51,0)</f>
        <v>0</v>
      </c>
      <c r="M51" s="1"/>
      <c r="N51" s="4">
        <f t="shared" ref="N51:N57" si="2">ROUND((L51/L$72)*100,1)</f>
        <v>0</v>
      </c>
      <c r="O51" s="1"/>
      <c r="P51" s="3">
        <f t="shared" ref="P51:P57" si="3">ROUND((P$72/H$72)*H51,0)</f>
        <v>0</v>
      </c>
      <c r="Q51" s="1"/>
      <c r="R51" s="3">
        <f t="shared" ref="R51:R57" si="4">P51+L51</f>
        <v>0</v>
      </c>
      <c r="Y51" s="56"/>
    </row>
    <row r="52" spans="1:51">
      <c r="A52" s="41">
        <v>30</v>
      </c>
      <c r="C52" s="42" t="s">
        <v>348</v>
      </c>
      <c r="D52" s="42"/>
      <c r="F52" s="45">
        <v>0</v>
      </c>
      <c r="G52" s="3"/>
      <c r="H52" s="45">
        <v>0</v>
      </c>
      <c r="I52" s="1"/>
      <c r="J52" s="132">
        <f t="shared" si="0"/>
        <v>8.64</v>
      </c>
      <c r="K52" s="1"/>
      <c r="L52" s="3">
        <f t="shared" si="1"/>
        <v>0</v>
      </c>
      <c r="M52" s="1"/>
      <c r="N52" s="4">
        <f t="shared" si="2"/>
        <v>0</v>
      </c>
      <c r="O52" s="1"/>
      <c r="P52" s="3">
        <f t="shared" si="3"/>
        <v>0</v>
      </c>
      <c r="Q52" s="1"/>
      <c r="R52" s="3">
        <f t="shared" si="4"/>
        <v>0</v>
      </c>
      <c r="Y52" s="56"/>
    </row>
    <row r="53" spans="1:51">
      <c r="A53" s="41">
        <v>31</v>
      </c>
      <c r="C53" s="42" t="s">
        <v>268</v>
      </c>
      <c r="D53" s="42"/>
      <c r="F53" s="45">
        <v>0</v>
      </c>
      <c r="G53" s="3"/>
      <c r="H53" s="45">
        <v>0</v>
      </c>
      <c r="I53" s="1"/>
      <c r="J53" s="132">
        <f t="shared" si="0"/>
        <v>9.0399999999999991</v>
      </c>
      <c r="K53" s="1"/>
      <c r="L53" s="3">
        <f t="shared" si="1"/>
        <v>0</v>
      </c>
      <c r="M53" s="1"/>
      <c r="N53" s="4">
        <f t="shared" si="2"/>
        <v>0</v>
      </c>
      <c r="O53" s="1"/>
      <c r="P53" s="3">
        <f t="shared" si="3"/>
        <v>0</v>
      </c>
      <c r="Q53" s="1"/>
      <c r="R53" s="3">
        <f t="shared" si="4"/>
        <v>0</v>
      </c>
      <c r="Y53" s="56"/>
      <c r="AW53" s="3">
        <f>487</f>
        <v>487</v>
      </c>
      <c r="AX53" s="1">
        <f>ROUND((AW53/12)*CUR_BASE_FUEL,2)</f>
        <v>1.37</v>
      </c>
      <c r="AY53" s="1">
        <f>ROUND((AW53/12)*PRO_BASE_FUEL,2)</f>
        <v>1.37</v>
      </c>
    </row>
    <row r="54" spans="1:51">
      <c r="A54" s="41">
        <v>32</v>
      </c>
      <c r="C54" s="42" t="s">
        <v>235</v>
      </c>
      <c r="D54" s="42"/>
      <c r="F54" s="45">
        <v>0</v>
      </c>
      <c r="G54" s="3"/>
      <c r="H54" s="45">
        <v>0</v>
      </c>
      <c r="I54" s="1"/>
      <c r="J54" s="132">
        <f t="shared" si="0"/>
        <v>8.64</v>
      </c>
      <c r="K54" s="1"/>
      <c r="L54" s="3">
        <f t="shared" si="1"/>
        <v>0</v>
      </c>
      <c r="M54" s="1"/>
      <c r="N54" s="4">
        <f t="shared" si="2"/>
        <v>0</v>
      </c>
      <c r="O54" s="1"/>
      <c r="P54" s="3">
        <f t="shared" si="3"/>
        <v>0</v>
      </c>
      <c r="Q54" s="1"/>
      <c r="R54" s="3">
        <f t="shared" si="4"/>
        <v>0</v>
      </c>
      <c r="Y54" s="56"/>
      <c r="AW54" s="3"/>
    </row>
    <row r="55" spans="1:51">
      <c r="A55" s="41">
        <v>33</v>
      </c>
      <c r="C55" s="42" t="s">
        <v>233</v>
      </c>
      <c r="D55" s="42"/>
      <c r="F55" s="45">
        <v>0</v>
      </c>
      <c r="G55" s="1"/>
      <c r="H55" s="45">
        <v>0</v>
      </c>
      <c r="I55" s="1"/>
      <c r="J55" s="132">
        <f t="shared" si="0"/>
        <v>9.0399999999999991</v>
      </c>
      <c r="K55" s="1"/>
      <c r="L55" s="3">
        <f t="shared" si="1"/>
        <v>0</v>
      </c>
      <c r="M55" s="1"/>
      <c r="N55" s="4">
        <f t="shared" si="2"/>
        <v>0</v>
      </c>
      <c r="O55" s="1"/>
      <c r="P55" s="3">
        <f t="shared" si="3"/>
        <v>0</v>
      </c>
      <c r="Q55" s="1"/>
      <c r="R55" s="3">
        <f t="shared" si="4"/>
        <v>0</v>
      </c>
      <c r="Y55" s="56"/>
      <c r="AW55" s="1"/>
    </row>
    <row r="56" spans="1:51">
      <c r="A56" s="41">
        <v>34</v>
      </c>
      <c r="C56" s="42" t="s">
        <v>231</v>
      </c>
      <c r="D56" s="42"/>
      <c r="F56" s="45">
        <v>0</v>
      </c>
      <c r="G56" s="1"/>
      <c r="H56" s="45">
        <v>0</v>
      </c>
      <c r="I56" s="1"/>
      <c r="J56" s="132">
        <f t="shared" si="0"/>
        <v>9.0399999999999991</v>
      </c>
      <c r="K56" s="1"/>
      <c r="L56" s="3">
        <f t="shared" si="1"/>
        <v>0</v>
      </c>
      <c r="M56" s="1"/>
      <c r="N56" s="4">
        <f t="shared" si="2"/>
        <v>0</v>
      </c>
      <c r="O56" s="1"/>
      <c r="P56" s="3">
        <f t="shared" si="3"/>
        <v>0</v>
      </c>
      <c r="Q56" s="1"/>
      <c r="R56" s="3">
        <f t="shared" si="4"/>
        <v>0</v>
      </c>
      <c r="Y56" s="56"/>
      <c r="AW56" s="1"/>
    </row>
    <row r="57" spans="1:51">
      <c r="A57" s="41">
        <v>35</v>
      </c>
      <c r="C57" s="42" t="s">
        <v>232</v>
      </c>
      <c r="D57" s="42"/>
      <c r="F57" s="45">
        <v>0</v>
      </c>
      <c r="G57" s="1"/>
      <c r="H57" s="45">
        <v>0</v>
      </c>
      <c r="I57" s="1"/>
      <c r="J57" s="132">
        <f t="shared" si="0"/>
        <v>9.0399999999999991</v>
      </c>
      <c r="K57" s="1"/>
      <c r="L57" s="3">
        <f t="shared" si="1"/>
        <v>0</v>
      </c>
      <c r="M57" s="1"/>
      <c r="N57" s="4">
        <f t="shared" si="2"/>
        <v>0</v>
      </c>
      <c r="O57" s="1"/>
      <c r="P57" s="3">
        <f t="shared" si="3"/>
        <v>0</v>
      </c>
      <c r="Q57" s="1"/>
      <c r="R57" s="3">
        <f t="shared" si="4"/>
        <v>0</v>
      </c>
      <c r="Y57" s="56"/>
      <c r="AW57" s="68"/>
      <c r="AX57" s="41">
        <f>CUR_BASE_FUEL</f>
        <v>3.3779999999999998E-2</v>
      </c>
      <c r="AY57" s="41">
        <f>PRO_BASE_FUEL</f>
        <v>3.3779999999999998E-2</v>
      </c>
    </row>
    <row r="58" spans="1:51" ht="15" customHeight="1">
      <c r="D58" s="42"/>
      <c r="F58" s="45"/>
      <c r="G58" s="1"/>
      <c r="I58" s="1"/>
      <c r="J58" s="56"/>
      <c r="K58" s="1"/>
      <c r="L58" s="1"/>
      <c r="M58" s="1"/>
      <c r="N58" s="1"/>
      <c r="O58" s="1"/>
      <c r="P58" s="1"/>
      <c r="Q58" s="1"/>
      <c r="R58" s="1"/>
    </row>
    <row r="59" spans="1:51">
      <c r="A59" s="41">
        <v>36</v>
      </c>
      <c r="C59" s="133" t="s">
        <v>350</v>
      </c>
      <c r="D59" s="42"/>
      <c r="F59" s="45"/>
      <c r="G59" s="1"/>
      <c r="I59" s="1"/>
      <c r="J59" s="56"/>
      <c r="K59" s="1"/>
      <c r="L59" s="1"/>
      <c r="M59" s="1"/>
      <c r="N59" s="1"/>
      <c r="O59" s="1"/>
      <c r="P59" s="1"/>
      <c r="Q59" s="1"/>
      <c r="R59" s="1"/>
    </row>
    <row r="60" spans="1:51">
      <c r="A60" s="41">
        <v>37</v>
      </c>
      <c r="C60" s="42" t="s">
        <v>215</v>
      </c>
      <c r="D60" s="42"/>
      <c r="F60" s="45">
        <v>0</v>
      </c>
      <c r="G60" s="1"/>
      <c r="H60" s="45">
        <v>0</v>
      </c>
      <c r="I60" s="1"/>
      <c r="J60" s="132">
        <f>ROUND(AC133+(AC133*LT_COS_RATE),2)</f>
        <v>11.84</v>
      </c>
      <c r="K60" s="1"/>
      <c r="L60" s="3">
        <f>ROUND(F60*J60,0)</f>
        <v>0</v>
      </c>
      <c r="M60" s="1"/>
      <c r="N60" s="4">
        <f>ROUND((L60/L$72)*100,1)</f>
        <v>0</v>
      </c>
      <c r="O60" s="1"/>
      <c r="P60" s="3">
        <f>ROUND((P$72/H$72)*H60,0)</f>
        <v>0</v>
      </c>
      <c r="Q60" s="1"/>
      <c r="R60" s="3">
        <f>P60+L60</f>
        <v>0</v>
      </c>
      <c r="Y60" s="56"/>
    </row>
    <row r="61" spans="1:51">
      <c r="A61" s="41">
        <v>38</v>
      </c>
      <c r="C61" s="42" t="s">
        <v>216</v>
      </c>
      <c r="D61" s="42"/>
      <c r="F61" s="45">
        <v>0</v>
      </c>
      <c r="G61" s="1"/>
      <c r="H61" s="45">
        <v>0</v>
      </c>
      <c r="I61" s="1"/>
      <c r="J61" s="132">
        <f>ROUND(AC134+(AC134*LT_COS_RATE),2)</f>
        <v>16.43</v>
      </c>
      <c r="K61" s="1"/>
      <c r="L61" s="3">
        <f>ROUND(F61*J61,0)</f>
        <v>0</v>
      </c>
      <c r="M61" s="1"/>
      <c r="N61" s="4">
        <f>ROUND((L61/L$72)*100,1)</f>
        <v>0</v>
      </c>
      <c r="O61" s="1"/>
      <c r="P61" s="3">
        <f>ROUND((P$72/H$72)*H61,0)</f>
        <v>0</v>
      </c>
      <c r="Q61" s="1"/>
      <c r="R61" s="3">
        <f>P61+L61</f>
        <v>0</v>
      </c>
      <c r="Y61" s="56"/>
    </row>
    <row r="62" spans="1:51">
      <c r="C62" s="42"/>
      <c r="D62" s="42"/>
      <c r="F62" s="45"/>
      <c r="G62" s="1"/>
      <c r="H62" s="1"/>
      <c r="I62" s="1"/>
      <c r="J62" s="56"/>
      <c r="K62" s="1"/>
      <c r="L62" s="1"/>
      <c r="M62" s="1"/>
      <c r="N62" s="1"/>
      <c r="O62" s="1"/>
      <c r="P62" s="1"/>
      <c r="Q62" s="1"/>
      <c r="R62" s="1"/>
    </row>
    <row r="63" spans="1:51">
      <c r="A63" s="41">
        <v>39</v>
      </c>
      <c r="C63" s="133" t="s">
        <v>74</v>
      </c>
      <c r="F63" s="45"/>
      <c r="G63" s="1"/>
      <c r="H63" s="1"/>
      <c r="I63" s="1"/>
      <c r="J63" s="56"/>
      <c r="K63" s="1"/>
      <c r="L63" s="1"/>
      <c r="M63" s="1"/>
      <c r="N63" s="1"/>
      <c r="O63" s="1"/>
      <c r="P63" s="1"/>
      <c r="Q63" s="1"/>
      <c r="R63" s="1"/>
    </row>
    <row r="64" spans="1:51">
      <c r="A64" s="41">
        <v>40</v>
      </c>
      <c r="C64" s="133" t="s">
        <v>75</v>
      </c>
      <c r="F64" s="318">
        <v>2064</v>
      </c>
      <c r="G64" s="1"/>
      <c r="H64" s="318">
        <f>7607*12</f>
        <v>91284</v>
      </c>
      <c r="I64" s="1"/>
      <c r="J64" s="134">
        <f>ROUND(AC137+(AC137*LT_COS_RATE),6)</f>
        <v>7.5455999999999995E-2</v>
      </c>
      <c r="K64" s="1"/>
      <c r="L64" s="66">
        <f>ROUND((H64*J64),0)</f>
        <v>6888</v>
      </c>
      <c r="M64" s="1"/>
      <c r="N64" s="70">
        <f>ROUND((L64/L$72)*100,1)</f>
        <v>96.5</v>
      </c>
      <c r="O64" s="1"/>
      <c r="P64" s="66">
        <f>ROUND((P$72/H$72)*H64,0)</f>
        <v>318</v>
      </c>
      <c r="Q64" s="1"/>
      <c r="R64" s="66">
        <f>P64+L64</f>
        <v>7206</v>
      </c>
      <c r="Y64" s="390"/>
    </row>
    <row r="65" spans="1:43" ht="20.100000000000001" customHeight="1">
      <c r="A65" s="41">
        <v>41</v>
      </c>
      <c r="C65" s="310" t="s">
        <v>470</v>
      </c>
      <c r="F65" s="71">
        <f>SUM(F22:F64)</f>
        <v>2064</v>
      </c>
      <c r="G65" s="1"/>
      <c r="H65" s="71">
        <f>SUM(H22:H64)</f>
        <v>91284</v>
      </c>
      <c r="I65" s="1"/>
      <c r="J65" s="153"/>
      <c r="K65" s="1"/>
      <c r="L65" s="71">
        <f>SUM(L22:L64)</f>
        <v>6888</v>
      </c>
      <c r="M65" s="1"/>
      <c r="N65" s="74">
        <f>ROUND((L65/L$72)*100,1)</f>
        <v>96.5</v>
      </c>
      <c r="O65" s="1"/>
      <c r="P65" s="71">
        <f>SUM(P22:P64)</f>
        <v>318</v>
      </c>
      <c r="Q65" s="1"/>
      <c r="R65" s="71">
        <f>SUM(R22:R64)</f>
        <v>7206</v>
      </c>
      <c r="Y65" s="390"/>
    </row>
    <row r="66" spans="1:43">
      <c r="C66" s="310"/>
      <c r="F66" s="164"/>
      <c r="G66" s="1"/>
      <c r="H66" s="164"/>
      <c r="I66" s="1"/>
      <c r="J66" s="134"/>
      <c r="K66" s="1"/>
      <c r="L66" s="3"/>
      <c r="M66" s="1"/>
      <c r="N66" s="4"/>
      <c r="O66" s="1"/>
      <c r="P66" s="3"/>
      <c r="Q66" s="1"/>
      <c r="R66" s="3"/>
      <c r="Y66" s="390"/>
    </row>
    <row r="67" spans="1:43">
      <c r="A67" s="41">
        <v>42</v>
      </c>
      <c r="C67" s="133" t="s">
        <v>467</v>
      </c>
      <c r="F67" s="164"/>
      <c r="G67" s="1"/>
      <c r="H67" s="164"/>
      <c r="I67" s="1"/>
      <c r="J67" s="134"/>
      <c r="K67" s="1"/>
      <c r="L67" s="3"/>
      <c r="M67" s="1"/>
      <c r="N67" s="4"/>
      <c r="O67" s="1"/>
      <c r="P67" s="3"/>
      <c r="Q67" s="1"/>
      <c r="R67" s="3"/>
      <c r="Y67" s="390"/>
    </row>
    <row r="68" spans="1:43">
      <c r="A68" s="41">
        <v>43</v>
      </c>
      <c r="C68" s="128" t="str">
        <f>ESM_Name</f>
        <v>ENVIRONMENTAL SURCHARGE MECHANISM RIDER (ESM)</v>
      </c>
      <c r="F68" s="3"/>
      <c r="G68" s="1"/>
      <c r="H68" s="3"/>
      <c r="I68" s="3"/>
      <c r="J68" s="390">
        <f>PRO_ESM_NONRES</f>
        <v>5.4606095773317587E-3</v>
      </c>
      <c r="K68" s="1"/>
      <c r="L68" s="3">
        <f>ROUND((R65-(PRO_BASE_FUEL*H65)+R69)*J68,0)</f>
        <v>24</v>
      </c>
      <c r="M68" s="1"/>
      <c r="N68" s="4">
        <f>ROUND((L68/L$72)*100,1)</f>
        <v>0.3</v>
      </c>
      <c r="O68" s="1"/>
      <c r="P68" s="3"/>
      <c r="Q68" s="1"/>
      <c r="R68" s="3">
        <f>P68+L68</f>
        <v>24</v>
      </c>
      <c r="Y68" s="390"/>
    </row>
    <row r="69" spans="1:43">
      <c r="A69" s="41">
        <v>44</v>
      </c>
      <c r="C69" s="128" t="str">
        <f>PSM_Name</f>
        <v>PROFIT SHARING MECHANISM (PSM)</v>
      </c>
      <c r="F69" s="3"/>
      <c r="G69" s="1"/>
      <c r="H69" s="3"/>
      <c r="I69" s="3"/>
      <c r="J69" s="327">
        <f>PRO_PSM</f>
        <v>2.4750000000000002E-3</v>
      </c>
      <c r="K69" s="1"/>
      <c r="L69" s="66">
        <f>ROUND($H$65*J69,0)</f>
        <v>226</v>
      </c>
      <c r="M69" s="1"/>
      <c r="N69" s="104">
        <f>ROUND((L69/L$72)*100,1)</f>
        <v>3.2</v>
      </c>
      <c r="O69" s="1"/>
      <c r="P69" s="66"/>
      <c r="Q69" s="1"/>
      <c r="R69" s="3">
        <f>P69+L69</f>
        <v>226</v>
      </c>
      <c r="Y69" s="390"/>
    </row>
    <row r="70" spans="1:43" ht="20.100000000000001" customHeight="1">
      <c r="A70" s="41">
        <v>45</v>
      </c>
      <c r="C70" s="133" t="s">
        <v>463</v>
      </c>
      <c r="F70" s="318"/>
      <c r="G70" s="1"/>
      <c r="H70" s="318"/>
      <c r="I70" s="1"/>
      <c r="J70" s="134"/>
      <c r="K70" s="1"/>
      <c r="L70" s="72">
        <f>SUM(L68:L69)</f>
        <v>250</v>
      </c>
      <c r="M70" s="1"/>
      <c r="N70" s="105">
        <f>ROUND((L70/L$72)*100,1)</f>
        <v>3.5</v>
      </c>
      <c r="O70" s="1"/>
      <c r="P70" s="72"/>
      <c r="Q70" s="1"/>
      <c r="R70" s="72">
        <f>SUM(R68:R69)</f>
        <v>250</v>
      </c>
      <c r="Y70" s="390"/>
    </row>
    <row r="71" spans="1:43">
      <c r="C71" s="133"/>
      <c r="F71" s="164"/>
      <c r="G71" s="1"/>
      <c r="H71" s="164"/>
      <c r="I71" s="1"/>
      <c r="J71" s="134"/>
      <c r="K71" s="1"/>
      <c r="L71" s="3"/>
      <c r="M71" s="1"/>
      <c r="N71" s="4"/>
      <c r="O71" s="1"/>
      <c r="P71" s="3"/>
      <c r="Q71" s="1"/>
      <c r="R71" s="3"/>
      <c r="Y71" s="390"/>
    </row>
    <row r="72" spans="1:43" ht="20.100000000000001" customHeight="1" thickBot="1">
      <c r="A72" s="41">
        <v>46</v>
      </c>
      <c r="C72" s="133" t="s">
        <v>471</v>
      </c>
      <c r="F72" s="67">
        <f>F65</f>
        <v>2064</v>
      </c>
      <c r="G72" s="1"/>
      <c r="H72" s="67">
        <f>H65</f>
        <v>91284</v>
      </c>
      <c r="I72" s="1"/>
      <c r="J72" s="5"/>
      <c r="K72" s="1"/>
      <c r="L72" s="67">
        <f>L70+L65</f>
        <v>7138</v>
      </c>
      <c r="M72" s="1"/>
      <c r="N72" s="396">
        <v>100</v>
      </c>
      <c r="O72" s="1"/>
      <c r="P72" s="402">
        <f>ROUND(H72*CUR_FAC,0)</f>
        <v>318</v>
      </c>
      <c r="Q72" s="1"/>
      <c r="R72" s="67">
        <f>R70+R65</f>
        <v>7456</v>
      </c>
    </row>
    <row r="73" spans="1:43" ht="15" customHeight="1" thickTop="1">
      <c r="F73" s="68"/>
      <c r="G73" s="1"/>
      <c r="H73" s="68"/>
      <c r="I73" s="68"/>
      <c r="J73" s="342"/>
      <c r="K73" s="340"/>
      <c r="L73" s="3"/>
      <c r="M73" s="3"/>
      <c r="N73" s="4"/>
      <c r="O73" s="4"/>
      <c r="P73" s="3"/>
      <c r="Q73" s="3"/>
      <c r="R73" s="3"/>
      <c r="S73" s="45"/>
    </row>
    <row r="74" spans="1:43">
      <c r="C74" s="140" t="s">
        <v>76</v>
      </c>
      <c r="F74" s="164"/>
      <c r="H74" s="164"/>
      <c r="I74" s="164"/>
      <c r="J74" s="132"/>
      <c r="K74" s="316"/>
      <c r="L74" s="45"/>
      <c r="M74" s="45"/>
      <c r="N74" s="46"/>
      <c r="O74" s="46"/>
      <c r="P74" s="45"/>
      <c r="Q74" s="45"/>
      <c r="R74" s="45"/>
      <c r="S74" s="45"/>
      <c r="T74" s="40" t="str">
        <f>NAME</f>
        <v>DUKE ENERGY KENTUCKY, INC.</v>
      </c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100"/>
      <c r="AH74" s="40"/>
      <c r="AI74" s="40"/>
      <c r="AJ74" s="40"/>
      <c r="AK74" s="100"/>
      <c r="AL74" s="40"/>
      <c r="AM74" s="40"/>
      <c r="AN74" s="40"/>
      <c r="AO74" s="40"/>
      <c r="AP74" s="40"/>
      <c r="AQ74" s="100"/>
    </row>
    <row r="75" spans="1:43">
      <c r="C75" s="140" t="str">
        <f>"(2) REFLECTS FUEL COMPONENT OF "&amp;TEXT(PRO_FAC,"$0.000000;($0.000000)")&amp;" PER KWH."</f>
        <v>(2) REFLECTS FUEL COMPONENT OF $0.003487 PER KWH.</v>
      </c>
      <c r="F75" s="164"/>
      <c r="H75" s="164"/>
      <c r="I75" s="164"/>
      <c r="J75" s="132"/>
      <c r="K75" s="316"/>
      <c r="L75" s="45"/>
      <c r="M75" s="45"/>
      <c r="N75" s="46"/>
      <c r="O75" s="46"/>
      <c r="P75" s="45"/>
      <c r="Q75" s="45"/>
      <c r="R75" s="45"/>
      <c r="T75" s="40" t="str">
        <f>CASE_NO</f>
        <v>CASE NO.   2024-00354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43">
      <c r="C76" s="140" t="str">
        <f>"(3) REFLECTS FUEL COST RECOVERY INCLUDED IN BASE RATES OF "&amp;TEXT(PRO_BASE_FUEL,"$0.000000;($0.000000)")&amp;"  PER KWH."</f>
        <v>(3) REFLECTS FUEL COST RECOVERY INCLUDED IN BASE RATES OF $0.033780  PER KWH.</v>
      </c>
      <c r="F76" s="164"/>
      <c r="H76" s="164"/>
      <c r="I76" s="164"/>
      <c r="J76" s="132"/>
      <c r="K76" s="316"/>
      <c r="L76" s="45"/>
      <c r="M76" s="45"/>
      <c r="N76" s="46"/>
      <c r="O76" s="46"/>
      <c r="P76" s="45"/>
      <c r="Q76" s="45"/>
      <c r="R76" s="45"/>
      <c r="T76" s="40" t="str">
        <f>TITLE</f>
        <v>ANNUALIZED TEST YEAR REVENUES AT PROPOSED VS. MOST CURRENT RATES</v>
      </c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00"/>
      <c r="AH76" s="40"/>
      <c r="AI76" s="40"/>
      <c r="AJ76" s="40"/>
      <c r="AK76" s="100"/>
      <c r="AL76" s="40"/>
      <c r="AM76" s="40"/>
      <c r="AN76" s="40"/>
      <c r="AO76" s="40"/>
      <c r="AP76" s="40"/>
      <c r="AQ76" s="100"/>
    </row>
    <row r="77" spans="1:43">
      <c r="F77" s="50"/>
      <c r="H77" s="45"/>
      <c r="I77" s="45"/>
      <c r="J77" s="326"/>
      <c r="K77" s="326"/>
      <c r="L77" s="50"/>
      <c r="M77" s="50"/>
      <c r="N77" s="50"/>
      <c r="O77" s="50"/>
      <c r="P77" s="50"/>
      <c r="Q77" s="50"/>
      <c r="R77" s="50"/>
      <c r="T77" s="40" t="str">
        <f>DATE</f>
        <v>FOR THE TWELVE MONTHS ENDED June 30, 2026</v>
      </c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00"/>
      <c r="AH77" s="40"/>
      <c r="AI77" s="40"/>
      <c r="AJ77" s="40"/>
      <c r="AK77" s="100"/>
      <c r="AL77" s="40"/>
      <c r="AM77" s="40"/>
      <c r="AN77" s="40"/>
      <c r="AO77" s="40"/>
      <c r="AP77" s="40"/>
      <c r="AQ77" s="100"/>
    </row>
    <row r="78" spans="1:43">
      <c r="F78" s="50"/>
      <c r="H78" s="45"/>
      <c r="I78" s="45"/>
      <c r="J78" s="326"/>
      <c r="K78" s="326"/>
      <c r="L78" s="50"/>
      <c r="M78" s="50"/>
      <c r="N78" s="50"/>
      <c r="O78" s="50"/>
      <c r="P78" s="50"/>
      <c r="Q78" s="50"/>
      <c r="R78" s="50"/>
      <c r="T78" s="40" t="str">
        <f>SERVICE</f>
        <v>(ELECTRIC SERVICE)</v>
      </c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00"/>
      <c r="AH78" s="40"/>
      <c r="AI78" s="40"/>
      <c r="AJ78" s="40"/>
      <c r="AK78" s="100"/>
      <c r="AL78" s="40"/>
      <c r="AM78" s="40"/>
      <c r="AN78" s="40"/>
      <c r="AO78" s="40"/>
      <c r="AP78" s="40"/>
      <c r="AQ78" s="100"/>
    </row>
    <row r="79" spans="1:43">
      <c r="F79" s="50"/>
      <c r="H79" s="45"/>
      <c r="J79" s="132"/>
      <c r="K79" s="329"/>
      <c r="L79" s="50"/>
      <c r="M79" s="93"/>
      <c r="N79" s="404"/>
      <c r="O79" s="93"/>
      <c r="P79" s="50"/>
      <c r="Q79" s="93"/>
      <c r="R79" s="50"/>
      <c r="S79" s="45"/>
      <c r="T79" s="41" t="str">
        <f>DATA_PERIOD</f>
        <v>DATA: ____ BASE PERIOD   __X__FORECASTED PERIOD</v>
      </c>
      <c r="AO79" s="42" t="s">
        <v>157</v>
      </c>
      <c r="AP79" s="42"/>
    </row>
    <row r="80" spans="1:43"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50"/>
      <c r="Q80" s="50"/>
      <c r="R80" s="50"/>
      <c r="T80" s="41" t="str">
        <f>TYPE</f>
        <v>TYPE OF FILING: _X_ ORIGINAL   ___UPDATED  ___ REVISED</v>
      </c>
      <c r="AO80" s="48" t="str">
        <f>"PAGE 18 OF "&amp;TEXT(Page_Num_2.2,"00")</f>
        <v>PAGE 18 OF 24</v>
      </c>
      <c r="AP80" s="42"/>
    </row>
    <row r="81" spans="1:49">
      <c r="A81" s="42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T81" s="42" t="s">
        <v>170</v>
      </c>
      <c r="AO81" s="42" t="s">
        <v>3</v>
      </c>
      <c r="AP81" s="42"/>
    </row>
    <row r="82" spans="1:49">
      <c r="H82" s="42"/>
      <c r="I82" s="42"/>
      <c r="J82" s="56"/>
      <c r="T82" s="130" t="str">
        <f>TIME</f>
        <v>12 Months Projected with Riders</v>
      </c>
      <c r="AF82" s="42"/>
      <c r="AO82" s="45" t="str">
        <f>WIT</f>
        <v>B. L. Sailers</v>
      </c>
    </row>
    <row r="83" spans="1:49">
      <c r="J83" s="56"/>
      <c r="T83" s="40" t="s">
        <v>130</v>
      </c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100"/>
      <c r="AH83" s="40"/>
      <c r="AI83" s="40"/>
      <c r="AJ83" s="40"/>
      <c r="AK83" s="100"/>
      <c r="AL83" s="40"/>
      <c r="AM83" s="40"/>
      <c r="AN83" s="40"/>
      <c r="AO83" s="40"/>
      <c r="AP83" s="40"/>
      <c r="AQ83" s="100"/>
    </row>
    <row r="84" spans="1:49">
      <c r="J84" s="56"/>
      <c r="L84" s="42"/>
      <c r="M84" s="42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3"/>
      <c r="AF84" s="43"/>
      <c r="AG84" s="101"/>
      <c r="AH84" s="43"/>
      <c r="AI84" s="43"/>
      <c r="AJ84" s="43"/>
      <c r="AK84" s="101"/>
      <c r="AL84" s="43"/>
      <c r="AM84" s="43"/>
      <c r="AN84" s="49"/>
      <c r="AO84" s="49"/>
      <c r="AP84" s="49"/>
      <c r="AQ84" s="107"/>
    </row>
    <row r="85" spans="1:49" ht="18" customHeight="1">
      <c r="J85" s="56"/>
      <c r="R85" s="4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44" t="s">
        <v>8</v>
      </c>
      <c r="AF85" s="44"/>
      <c r="AG85" s="102" t="s">
        <v>7</v>
      </c>
      <c r="AH85" s="44"/>
      <c r="AI85" s="44" t="s">
        <v>9</v>
      </c>
      <c r="AJ85" s="44"/>
      <c r="AK85" s="102" t="s">
        <v>10</v>
      </c>
      <c r="AL85" s="44"/>
      <c r="AN85" s="62"/>
      <c r="AO85" s="63" t="s">
        <v>8</v>
      </c>
      <c r="AP85" s="63"/>
      <c r="AQ85" s="109" t="s">
        <v>11</v>
      </c>
    </row>
    <row r="86" spans="1:49">
      <c r="J86" s="56"/>
      <c r="R86" s="42"/>
      <c r="AC86" s="44" t="s">
        <v>14</v>
      </c>
      <c r="AD86" s="44"/>
      <c r="AE86" s="44" t="s">
        <v>12</v>
      </c>
      <c r="AF86" s="44"/>
      <c r="AG86" s="102" t="s">
        <v>13</v>
      </c>
      <c r="AH86" s="44"/>
      <c r="AI86" s="44" t="s">
        <v>15</v>
      </c>
      <c r="AJ86" s="44"/>
      <c r="AK86" s="102" t="s">
        <v>16</v>
      </c>
      <c r="AL86" s="44"/>
      <c r="AO86" s="44" t="s">
        <v>11</v>
      </c>
      <c r="AP86" s="44"/>
      <c r="AQ86" s="102" t="s">
        <v>9</v>
      </c>
    </row>
    <row r="87" spans="1:49">
      <c r="A87" s="42"/>
      <c r="J87" s="56"/>
      <c r="R87" s="42"/>
      <c r="T87" s="44" t="s">
        <v>17</v>
      </c>
      <c r="V87" s="44" t="s">
        <v>18</v>
      </c>
      <c r="W87" s="44" t="s">
        <v>19</v>
      </c>
      <c r="X87" s="44"/>
      <c r="Y87" s="44" t="s">
        <v>20</v>
      </c>
      <c r="AC87" s="44" t="s">
        <v>8</v>
      </c>
      <c r="AD87" s="44"/>
      <c r="AE87" s="44" t="s">
        <v>841</v>
      </c>
      <c r="AF87" s="44"/>
      <c r="AG87" s="102" t="s">
        <v>841</v>
      </c>
      <c r="AH87" s="44"/>
      <c r="AI87" s="60" t="s">
        <v>964</v>
      </c>
      <c r="AJ87" s="44"/>
      <c r="AK87" s="277" t="s">
        <v>964</v>
      </c>
      <c r="AL87" s="44"/>
      <c r="AM87" s="44" t="s">
        <v>841</v>
      </c>
      <c r="AN87" s="44"/>
      <c r="AO87" s="44" t="s">
        <v>9</v>
      </c>
      <c r="AP87" s="44"/>
      <c r="AQ87" s="102" t="s">
        <v>21</v>
      </c>
    </row>
    <row r="88" spans="1:49">
      <c r="J88" s="56"/>
      <c r="L88" s="42"/>
      <c r="M88" s="42"/>
      <c r="T88" s="44" t="s">
        <v>22</v>
      </c>
      <c r="V88" s="44" t="s">
        <v>23</v>
      </c>
      <c r="W88" s="44" t="s">
        <v>24</v>
      </c>
      <c r="X88" s="44"/>
      <c r="Y88" s="44" t="s">
        <v>25</v>
      </c>
      <c r="AA88" s="44" t="s">
        <v>26</v>
      </c>
      <c r="AB88" s="44"/>
      <c r="AC88" s="60" t="s">
        <v>324</v>
      </c>
      <c r="AD88" s="44"/>
      <c r="AE88" s="44" t="s">
        <v>9</v>
      </c>
      <c r="AF88" s="44"/>
      <c r="AG88" s="102" t="s">
        <v>9</v>
      </c>
      <c r="AH88" s="44"/>
      <c r="AI88" s="304" t="s">
        <v>29</v>
      </c>
      <c r="AJ88" s="304"/>
      <c r="AK88" s="311" t="s">
        <v>30</v>
      </c>
      <c r="AL88" s="44"/>
      <c r="AM88" s="44" t="s">
        <v>323</v>
      </c>
      <c r="AN88" s="44"/>
      <c r="AO88" s="304" t="s">
        <v>31</v>
      </c>
      <c r="AP88" s="304"/>
      <c r="AQ88" s="311" t="s">
        <v>32</v>
      </c>
    </row>
    <row r="89" spans="1:49">
      <c r="A89" s="49"/>
      <c r="B89" s="49"/>
      <c r="C89" s="49"/>
      <c r="D89" s="49"/>
      <c r="E89" s="49"/>
      <c r="F89" s="49"/>
      <c r="G89" s="49"/>
      <c r="H89" s="49"/>
      <c r="I89" s="49"/>
      <c r="J89" s="57"/>
      <c r="K89" s="49"/>
      <c r="L89" s="49"/>
      <c r="M89" s="49"/>
      <c r="N89" s="49"/>
      <c r="O89" s="49"/>
      <c r="P89" s="49"/>
      <c r="Q89" s="49"/>
      <c r="R89" s="49"/>
      <c r="V89" s="304" t="s">
        <v>33</v>
      </c>
      <c r="W89" s="304" t="s">
        <v>34</v>
      </c>
      <c r="X89" s="304"/>
      <c r="Y89" s="304" t="s">
        <v>35</v>
      </c>
      <c r="Z89" s="130"/>
      <c r="AA89" s="304" t="s">
        <v>36</v>
      </c>
      <c r="AB89" s="304"/>
      <c r="AC89" s="301" t="s">
        <v>42</v>
      </c>
      <c r="AD89" s="304"/>
      <c r="AE89" s="304" t="s">
        <v>43</v>
      </c>
      <c r="AF89" s="304"/>
      <c r="AG89" s="311" t="s">
        <v>44</v>
      </c>
      <c r="AH89" s="304"/>
      <c r="AI89" s="304" t="s">
        <v>45</v>
      </c>
      <c r="AJ89" s="304"/>
      <c r="AK89" s="311" t="s">
        <v>46</v>
      </c>
      <c r="AL89" s="304"/>
      <c r="AM89" s="304" t="s">
        <v>40</v>
      </c>
      <c r="AN89" s="304"/>
      <c r="AO89" s="304" t="s">
        <v>47</v>
      </c>
      <c r="AP89" s="304"/>
      <c r="AQ89" s="311" t="s">
        <v>48</v>
      </c>
    </row>
    <row r="90" spans="1:49" ht="17.100000000000001" customHeight="1">
      <c r="J90" s="56"/>
      <c r="L90" s="44"/>
      <c r="M90" s="44"/>
      <c r="N90" s="44"/>
      <c r="O90" s="44"/>
      <c r="R90" s="44"/>
      <c r="T90" s="62"/>
      <c r="U90" s="62"/>
      <c r="V90" s="62"/>
      <c r="W90" s="62"/>
      <c r="X90" s="62"/>
      <c r="Y90" s="62"/>
      <c r="Z90" s="62"/>
      <c r="AA90" s="345" t="s">
        <v>49</v>
      </c>
      <c r="AB90" s="345"/>
      <c r="AC90" s="309" t="s">
        <v>69</v>
      </c>
      <c r="AD90" s="345"/>
      <c r="AE90" s="345" t="s">
        <v>50</v>
      </c>
      <c r="AF90" s="345"/>
      <c r="AG90" s="346" t="s">
        <v>51</v>
      </c>
      <c r="AH90" s="345"/>
      <c r="AI90" s="345" t="s">
        <v>50</v>
      </c>
      <c r="AJ90" s="345"/>
      <c r="AK90" s="346" t="s">
        <v>51</v>
      </c>
      <c r="AL90" s="345"/>
      <c r="AM90" s="345" t="s">
        <v>50</v>
      </c>
      <c r="AN90" s="345"/>
      <c r="AO90" s="345" t="s">
        <v>50</v>
      </c>
      <c r="AP90" s="345"/>
      <c r="AQ90" s="346" t="s">
        <v>51</v>
      </c>
    </row>
    <row r="91" spans="1:49">
      <c r="J91" s="56"/>
      <c r="L91" s="44"/>
      <c r="M91" s="44"/>
      <c r="N91" s="44"/>
      <c r="O91" s="44"/>
      <c r="R91" s="44"/>
      <c r="T91" s="41">
        <v>1</v>
      </c>
      <c r="V91" s="133" t="s">
        <v>73</v>
      </c>
      <c r="W91" s="133" t="s">
        <v>71</v>
      </c>
      <c r="X91" s="42"/>
      <c r="Y91" s="1"/>
      <c r="Z91" s="1"/>
      <c r="AA91" s="324"/>
      <c r="AB91" s="324"/>
      <c r="AC91" s="406" t="s">
        <v>312</v>
      </c>
      <c r="AD91" s="324"/>
      <c r="AE91" s="324"/>
      <c r="AF91" s="324"/>
      <c r="AG91" s="328"/>
      <c r="AH91" s="324"/>
      <c r="AI91" s="324"/>
      <c r="AJ91" s="324"/>
      <c r="AK91" s="328"/>
      <c r="AL91" s="324"/>
      <c r="AM91" s="324"/>
      <c r="AN91" s="324"/>
      <c r="AO91" s="324"/>
      <c r="AP91" s="324"/>
      <c r="AQ91" s="328"/>
    </row>
    <row r="92" spans="1:49">
      <c r="A92" s="44"/>
      <c r="C92" s="44"/>
      <c r="D92" s="44"/>
      <c r="E92" s="44"/>
      <c r="F92" s="44"/>
      <c r="H92" s="44"/>
      <c r="I92" s="44"/>
      <c r="J92" s="58"/>
      <c r="K92" s="44"/>
      <c r="L92" s="44"/>
      <c r="M92" s="44"/>
      <c r="N92" s="44"/>
      <c r="O92" s="44"/>
      <c r="P92" s="44"/>
      <c r="Q92" s="44"/>
      <c r="R92" s="44"/>
      <c r="T92" s="41">
        <v>2</v>
      </c>
      <c r="V92" s="310" t="s">
        <v>258</v>
      </c>
      <c r="W92" s="130"/>
      <c r="X92" s="42"/>
      <c r="Y92" s="1"/>
      <c r="Z92" s="1"/>
      <c r="AA92" s="1"/>
      <c r="AB92" s="1"/>
      <c r="AC92" s="1"/>
      <c r="AD92" s="1"/>
      <c r="AE92" s="1"/>
      <c r="AF92" s="1"/>
      <c r="AG92" s="103"/>
      <c r="AH92" s="1"/>
      <c r="AI92" s="1"/>
      <c r="AJ92" s="1"/>
      <c r="AK92" s="103"/>
      <c r="AL92" s="1"/>
      <c r="AM92" s="1"/>
      <c r="AN92" s="1"/>
      <c r="AO92" s="1"/>
      <c r="AP92" s="1"/>
      <c r="AQ92" s="103"/>
      <c r="AU92" s="44"/>
    </row>
    <row r="93" spans="1:49">
      <c r="C93" s="44"/>
      <c r="D93" s="44"/>
      <c r="E93" s="44"/>
      <c r="F93" s="44"/>
      <c r="H93" s="44"/>
      <c r="I93" s="44"/>
      <c r="J93" s="58"/>
      <c r="K93" s="44"/>
      <c r="L93" s="44"/>
      <c r="M93" s="44"/>
      <c r="N93" s="44"/>
      <c r="O93" s="44"/>
      <c r="P93" s="44"/>
      <c r="Q93" s="44"/>
      <c r="R93" s="44"/>
      <c r="T93" s="41">
        <v>3</v>
      </c>
      <c r="V93" s="133" t="s">
        <v>334</v>
      </c>
      <c r="W93" s="130"/>
      <c r="X93" s="42"/>
      <c r="Y93" s="3"/>
      <c r="Z93" s="1"/>
      <c r="AA93" s="1"/>
      <c r="AB93" s="1"/>
      <c r="AC93" s="1"/>
      <c r="AD93" s="1"/>
      <c r="AE93" s="1"/>
      <c r="AF93" s="1"/>
      <c r="AG93" s="103"/>
      <c r="AH93" s="1"/>
      <c r="AI93" s="1"/>
      <c r="AJ93" s="1"/>
      <c r="AK93" s="103"/>
      <c r="AL93" s="1"/>
      <c r="AM93" s="1"/>
      <c r="AN93" s="1"/>
      <c r="AO93" s="1"/>
      <c r="AP93" s="1"/>
      <c r="AQ93" s="103"/>
      <c r="AU93" s="44"/>
      <c r="AW93" s="41" t="s">
        <v>107</v>
      </c>
    </row>
    <row r="94" spans="1:49">
      <c r="A94" s="49"/>
      <c r="B94" s="49"/>
      <c r="C94" s="49"/>
      <c r="D94" s="49"/>
      <c r="E94" s="49"/>
      <c r="F94" s="49"/>
      <c r="G94" s="49"/>
      <c r="H94" s="49"/>
      <c r="I94" s="49"/>
      <c r="J94" s="57"/>
      <c r="K94" s="49"/>
      <c r="L94" s="49"/>
      <c r="M94" s="49"/>
      <c r="N94" s="49"/>
      <c r="O94" s="49"/>
      <c r="P94" s="49"/>
      <c r="Q94" s="49"/>
      <c r="R94" s="49"/>
      <c r="T94" s="41">
        <v>4</v>
      </c>
      <c r="V94" s="133" t="s">
        <v>335</v>
      </c>
      <c r="W94" s="130"/>
      <c r="X94" s="42"/>
      <c r="Y94" s="3"/>
      <c r="Z94" s="1"/>
      <c r="AA94" s="1"/>
      <c r="AB94" s="1"/>
      <c r="AC94" s="1"/>
      <c r="AD94" s="1"/>
      <c r="AE94" s="1"/>
      <c r="AF94" s="1"/>
      <c r="AG94" s="103"/>
      <c r="AH94" s="1"/>
      <c r="AI94" s="1"/>
      <c r="AJ94" s="1"/>
      <c r="AK94" s="103"/>
      <c r="AL94" s="1"/>
      <c r="AM94" s="1"/>
      <c r="AN94" s="1"/>
      <c r="AO94" s="1"/>
      <c r="AP94" s="1"/>
      <c r="AQ94" s="103"/>
      <c r="AW94" s="41" t="s">
        <v>351</v>
      </c>
    </row>
    <row r="95" spans="1:49">
      <c r="H95" s="44"/>
      <c r="I95" s="44"/>
      <c r="J95" s="58"/>
      <c r="K95" s="44"/>
      <c r="L95" s="44"/>
      <c r="M95" s="44"/>
      <c r="N95" s="44"/>
      <c r="O95" s="44"/>
      <c r="P95" s="44"/>
      <c r="Q95" s="44"/>
      <c r="R95" s="44"/>
      <c r="T95" s="41">
        <v>5</v>
      </c>
      <c r="V95" s="42" t="s">
        <v>206</v>
      </c>
      <c r="X95" s="42"/>
      <c r="Y95" s="3">
        <f>F22</f>
        <v>0</v>
      </c>
      <c r="Z95" s="1"/>
      <c r="AA95" s="3">
        <f>H22</f>
        <v>0</v>
      </c>
      <c r="AB95" s="1"/>
      <c r="AC95" s="391">
        <v>6.8</v>
      </c>
      <c r="AD95" s="1"/>
      <c r="AE95" s="3">
        <f>ROUND(Y95*AC95,0)</f>
        <v>0</v>
      </c>
      <c r="AF95" s="1"/>
      <c r="AG95" s="103">
        <f>ROUND((AE95/AE$145)*100,1)</f>
        <v>0</v>
      </c>
      <c r="AH95" s="1"/>
      <c r="AI95" s="3">
        <f>L22-AE95</f>
        <v>0</v>
      </c>
      <c r="AJ95" s="1"/>
      <c r="AK95" s="103">
        <v>0</v>
      </c>
      <c r="AL95" s="1"/>
      <c r="AM95" s="3">
        <f>ROUND((AM$145/AA$145)*AA95,0)</f>
        <v>0</v>
      </c>
      <c r="AN95" s="1"/>
      <c r="AO95" s="3">
        <f>AM95+AE95</f>
        <v>0</v>
      </c>
      <c r="AP95" s="1"/>
      <c r="AQ95" s="103">
        <v>0</v>
      </c>
      <c r="AU95" s="56"/>
      <c r="AV95" s="1"/>
      <c r="AW95" s="41">
        <v>803</v>
      </c>
    </row>
    <row r="96" spans="1:49">
      <c r="C96" s="42"/>
      <c r="D96" s="42"/>
      <c r="E96" s="42"/>
      <c r="J96" s="56"/>
      <c r="T96" s="41">
        <v>6</v>
      </c>
      <c r="V96" s="42" t="s">
        <v>336</v>
      </c>
      <c r="X96" s="42"/>
      <c r="Y96" s="3">
        <f>F23</f>
        <v>0</v>
      </c>
      <c r="Z96" s="1"/>
      <c r="AA96" s="3">
        <f>H23</f>
        <v>0</v>
      </c>
      <c r="AB96" s="1"/>
      <c r="AC96" s="391">
        <v>8.8000000000000007</v>
      </c>
      <c r="AD96" s="1"/>
      <c r="AE96" s="3">
        <f>ROUND(Y96*AC96,0)</f>
        <v>0</v>
      </c>
      <c r="AF96" s="1"/>
      <c r="AG96" s="103">
        <f>ROUND((AE96/AE$145)*100,1)</f>
        <v>0</v>
      </c>
      <c r="AH96" s="1"/>
      <c r="AI96" s="3">
        <f>L23-AE96</f>
        <v>0</v>
      </c>
      <c r="AJ96" s="1"/>
      <c r="AK96" s="103">
        <v>0</v>
      </c>
      <c r="AL96" s="1"/>
      <c r="AM96" s="3">
        <f>ROUND((AM$145/AA$145)*AA96,0)</f>
        <v>0</v>
      </c>
      <c r="AN96" s="1"/>
      <c r="AO96" s="3">
        <f>AM96+AE96</f>
        <v>0</v>
      </c>
      <c r="AP96" s="1"/>
      <c r="AQ96" s="103">
        <v>0</v>
      </c>
      <c r="AU96" s="56"/>
      <c r="AV96" s="1"/>
      <c r="AW96" s="41">
        <v>1144</v>
      </c>
    </row>
    <row r="97" spans="3:49">
      <c r="D97" s="42"/>
      <c r="E97" s="42"/>
      <c r="J97" s="56"/>
      <c r="T97" s="41">
        <v>7</v>
      </c>
      <c r="V97" s="42" t="s">
        <v>337</v>
      </c>
      <c r="X97" s="42"/>
      <c r="Y97" s="3">
        <f>F24</f>
        <v>0</v>
      </c>
      <c r="Z97" s="1"/>
      <c r="AA97" s="3">
        <f>H24</f>
        <v>0</v>
      </c>
      <c r="AB97" s="1"/>
      <c r="AC97" s="391">
        <v>12.41</v>
      </c>
      <c r="AD97" s="1"/>
      <c r="AE97" s="3">
        <f>ROUND(Y97*AC97,0)</f>
        <v>0</v>
      </c>
      <c r="AF97" s="1"/>
      <c r="AG97" s="103">
        <f>ROUND((AE97/AE$145)*100,1)</f>
        <v>0</v>
      </c>
      <c r="AH97" s="1"/>
      <c r="AI97" s="3">
        <f>L24-AE97</f>
        <v>0</v>
      </c>
      <c r="AJ97" s="1"/>
      <c r="AK97" s="103">
        <v>0</v>
      </c>
      <c r="AL97" s="1"/>
      <c r="AM97" s="3">
        <f>ROUND((AM$145/AA$145)*AA97,0)</f>
        <v>0</v>
      </c>
      <c r="AN97" s="1"/>
      <c r="AO97" s="3">
        <f>AM97+AE97</f>
        <v>0</v>
      </c>
      <c r="AP97" s="1"/>
      <c r="AQ97" s="103">
        <v>0</v>
      </c>
      <c r="AU97" s="56"/>
      <c r="AV97" s="1"/>
      <c r="AW97" s="41">
        <v>1789</v>
      </c>
    </row>
    <row r="98" spans="3:49" ht="15" customHeight="1">
      <c r="J98" s="56"/>
      <c r="V98" s="42"/>
      <c r="X98" s="42"/>
      <c r="Y98" s="3"/>
      <c r="Z98" s="1"/>
      <c r="AA98" s="1"/>
      <c r="AB98" s="1"/>
      <c r="AC98" s="391"/>
      <c r="AD98" s="1"/>
      <c r="AE98" s="1"/>
      <c r="AF98" s="1"/>
      <c r="AG98" s="103"/>
      <c r="AH98" s="1"/>
      <c r="AI98" s="1"/>
      <c r="AJ98" s="1"/>
      <c r="AK98" s="103"/>
      <c r="AL98" s="1"/>
      <c r="AM98" s="1"/>
      <c r="AN98" s="1"/>
      <c r="AO98" s="1"/>
      <c r="AP98" s="1"/>
      <c r="AQ98" s="103"/>
      <c r="AV98" s="1"/>
    </row>
    <row r="99" spans="3:49">
      <c r="C99" s="42"/>
      <c r="F99" s="164"/>
      <c r="H99" s="164"/>
      <c r="I99" s="164"/>
      <c r="J99" s="132"/>
      <c r="K99" s="316"/>
      <c r="L99" s="45"/>
      <c r="M99" s="45"/>
      <c r="N99" s="46"/>
      <c r="O99" s="46"/>
      <c r="R99" s="45"/>
      <c r="T99" s="41">
        <v>8</v>
      </c>
      <c r="V99" s="133" t="s">
        <v>338</v>
      </c>
      <c r="X99" s="42"/>
      <c r="Y99" s="3"/>
      <c r="Z99" s="1"/>
      <c r="AA99" s="1"/>
      <c r="AB99" s="1"/>
      <c r="AC99" s="391"/>
      <c r="AD99" s="1"/>
      <c r="AE99" s="1"/>
      <c r="AF99" s="1"/>
      <c r="AG99" s="103"/>
      <c r="AH99" s="1"/>
      <c r="AI99" s="1"/>
      <c r="AJ99" s="1"/>
      <c r="AK99" s="103"/>
      <c r="AL99" s="1"/>
      <c r="AM99" s="1"/>
      <c r="AN99" s="1"/>
      <c r="AO99" s="1"/>
      <c r="AP99" s="1"/>
      <c r="AQ99" s="103"/>
      <c r="AV99" s="1"/>
    </row>
    <row r="100" spans="3:49">
      <c r="C100" s="42"/>
      <c r="F100" s="164"/>
      <c r="H100" s="164"/>
      <c r="I100" s="164"/>
      <c r="J100" s="132"/>
      <c r="K100" s="316"/>
      <c r="L100" s="45"/>
      <c r="M100" s="45"/>
      <c r="N100" s="46"/>
      <c r="O100" s="46"/>
      <c r="R100" s="45"/>
      <c r="T100" s="41">
        <v>9</v>
      </c>
      <c r="V100" s="42" t="s">
        <v>339</v>
      </c>
      <c r="X100" s="42"/>
      <c r="Y100" s="3">
        <f>F27</f>
        <v>0</v>
      </c>
      <c r="Z100" s="1"/>
      <c r="AA100" s="3">
        <f>H27</f>
        <v>0</v>
      </c>
      <c r="AB100" s="1"/>
      <c r="AC100" s="391">
        <v>6.8</v>
      </c>
      <c r="AD100" s="1"/>
      <c r="AE100" s="3">
        <f>ROUND(Y100*AC100,0)</f>
        <v>0</v>
      </c>
      <c r="AF100" s="1"/>
      <c r="AG100" s="103">
        <f>ROUND((AE100/AE$145)*100,1)</f>
        <v>0</v>
      </c>
      <c r="AH100" s="1"/>
      <c r="AI100" s="3">
        <f>L27-AE100</f>
        <v>0</v>
      </c>
      <c r="AJ100" s="1"/>
      <c r="AK100" s="103">
        <v>0</v>
      </c>
      <c r="AL100" s="1"/>
      <c r="AM100" s="3">
        <f>ROUND((AM$145/AA$145)*AA100,0)</f>
        <v>0</v>
      </c>
      <c r="AN100" s="1"/>
      <c r="AO100" s="3">
        <f>AM100+AE100</f>
        <v>0</v>
      </c>
      <c r="AP100" s="1"/>
      <c r="AQ100" s="103">
        <v>0</v>
      </c>
      <c r="AU100" s="56"/>
      <c r="AV100" s="1"/>
      <c r="AW100" s="41">
        <v>803</v>
      </c>
    </row>
    <row r="101" spans="3:49">
      <c r="F101" s="50"/>
      <c r="H101" s="45"/>
      <c r="I101" s="45"/>
      <c r="J101" s="132"/>
      <c r="K101" s="326"/>
      <c r="L101" s="50"/>
      <c r="M101" s="50"/>
      <c r="N101" s="50"/>
      <c r="O101" s="50"/>
      <c r="P101" s="50"/>
      <c r="Q101" s="50"/>
      <c r="R101" s="50"/>
      <c r="T101" s="41">
        <v>10</v>
      </c>
      <c r="V101" s="42" t="s">
        <v>340</v>
      </c>
      <c r="X101" s="42"/>
      <c r="Y101" s="3">
        <f>F28</f>
        <v>0</v>
      </c>
      <c r="Z101" s="1"/>
      <c r="AA101" s="3">
        <f>H28</f>
        <v>0</v>
      </c>
      <c r="AB101" s="1"/>
      <c r="AC101" s="391">
        <v>8.8000000000000007</v>
      </c>
      <c r="AD101" s="1"/>
      <c r="AE101" s="3">
        <f>ROUND(Y101*AC101,0)</f>
        <v>0</v>
      </c>
      <c r="AF101" s="1"/>
      <c r="AG101" s="103">
        <f>ROUND((AE101/AE$145)*100,1)</f>
        <v>0</v>
      </c>
      <c r="AH101" s="1"/>
      <c r="AI101" s="3">
        <f>L28-AE101</f>
        <v>0</v>
      </c>
      <c r="AJ101" s="1"/>
      <c r="AK101" s="103">
        <v>0</v>
      </c>
      <c r="AL101" s="1"/>
      <c r="AM101" s="3">
        <f>ROUND((AM$145/AA$145)*AA101,0)</f>
        <v>0</v>
      </c>
      <c r="AN101" s="1"/>
      <c r="AO101" s="3">
        <f>AM101+AE101</f>
        <v>0</v>
      </c>
      <c r="AP101" s="1"/>
      <c r="AQ101" s="103">
        <v>0</v>
      </c>
      <c r="AU101" s="56"/>
      <c r="AV101" s="1"/>
      <c r="AW101" s="41">
        <v>1144</v>
      </c>
    </row>
    <row r="102" spans="3:49">
      <c r="C102" s="42"/>
      <c r="F102" s="45"/>
      <c r="H102" s="45"/>
      <c r="I102" s="45"/>
      <c r="J102" s="132"/>
      <c r="K102" s="326"/>
      <c r="L102" s="45"/>
      <c r="M102" s="45"/>
      <c r="N102" s="46"/>
      <c r="O102" s="46"/>
      <c r="P102" s="45"/>
      <c r="Q102" s="45"/>
      <c r="R102" s="45"/>
      <c r="T102" s="41">
        <v>11</v>
      </c>
      <c r="V102" s="42" t="s">
        <v>341</v>
      </c>
      <c r="X102" s="42"/>
      <c r="Y102" s="3">
        <f>F29</f>
        <v>0</v>
      </c>
      <c r="Z102" s="1"/>
      <c r="AA102" s="3">
        <f>H29</f>
        <v>0</v>
      </c>
      <c r="AB102" s="1"/>
      <c r="AC102" s="391">
        <v>12.41</v>
      </c>
      <c r="AD102" s="1"/>
      <c r="AE102" s="3">
        <f>ROUND(Y102*AC102,0)</f>
        <v>0</v>
      </c>
      <c r="AF102" s="1"/>
      <c r="AG102" s="103">
        <f>ROUND((AE102/AE$145)*100,1)</f>
        <v>0</v>
      </c>
      <c r="AH102" s="1"/>
      <c r="AI102" s="3">
        <f>L29-AE102</f>
        <v>0</v>
      </c>
      <c r="AJ102" s="1"/>
      <c r="AK102" s="103">
        <v>0</v>
      </c>
      <c r="AL102" s="1"/>
      <c r="AM102" s="3">
        <f>ROUND((AM$145/AA$145)*AA102,0)</f>
        <v>0</v>
      </c>
      <c r="AN102" s="1"/>
      <c r="AO102" s="3">
        <f>AM102+AE102</f>
        <v>0</v>
      </c>
      <c r="AP102" s="1"/>
      <c r="AQ102" s="103">
        <v>0</v>
      </c>
      <c r="AU102" s="56"/>
      <c r="AV102" s="1"/>
      <c r="AW102" s="41">
        <v>1789</v>
      </c>
    </row>
    <row r="103" spans="3:49" ht="15" customHeight="1">
      <c r="F103" s="50"/>
      <c r="H103" s="45"/>
      <c r="I103" s="45"/>
      <c r="J103" s="132"/>
      <c r="K103" s="326"/>
      <c r="L103" s="50"/>
      <c r="M103" s="50"/>
      <c r="N103" s="50"/>
      <c r="O103" s="50"/>
      <c r="P103" s="50"/>
      <c r="Q103" s="50"/>
      <c r="R103" s="50"/>
      <c r="V103" s="42"/>
      <c r="X103" s="42"/>
      <c r="Y103" s="3"/>
      <c r="Z103" s="1"/>
      <c r="AA103" s="1"/>
      <c r="AB103" s="1"/>
      <c r="AC103" s="391"/>
      <c r="AD103" s="1"/>
      <c r="AE103" s="1"/>
      <c r="AF103" s="1"/>
      <c r="AG103" s="103"/>
      <c r="AH103" s="1"/>
      <c r="AI103" s="1"/>
      <c r="AJ103" s="1"/>
      <c r="AK103" s="103"/>
      <c r="AL103" s="1"/>
      <c r="AM103" s="1"/>
      <c r="AN103" s="1"/>
      <c r="AO103" s="1"/>
      <c r="AP103" s="1"/>
      <c r="AQ103" s="103"/>
      <c r="AV103" s="1"/>
    </row>
    <row r="104" spans="3:49">
      <c r="F104" s="45"/>
      <c r="H104" s="45"/>
      <c r="I104" s="45"/>
      <c r="J104" s="132"/>
      <c r="K104" s="326"/>
      <c r="L104" s="45"/>
      <c r="M104" s="45"/>
      <c r="N104" s="46"/>
      <c r="O104" s="46"/>
      <c r="P104" s="45"/>
      <c r="Q104" s="45"/>
      <c r="R104" s="45"/>
      <c r="T104" s="41">
        <v>12</v>
      </c>
      <c r="V104" s="133" t="s">
        <v>342</v>
      </c>
      <c r="X104" s="42"/>
      <c r="Y104" s="3"/>
      <c r="Z104" s="1"/>
      <c r="AA104" s="1"/>
      <c r="AB104" s="1"/>
      <c r="AC104" s="391"/>
      <c r="AD104" s="1"/>
      <c r="AE104" s="1"/>
      <c r="AF104" s="1"/>
      <c r="AG104" s="103"/>
      <c r="AH104" s="1"/>
      <c r="AI104" s="1"/>
      <c r="AJ104" s="1"/>
      <c r="AK104" s="103"/>
      <c r="AL104" s="1"/>
      <c r="AM104" s="1"/>
      <c r="AN104" s="1"/>
      <c r="AO104" s="1"/>
      <c r="AP104" s="1"/>
      <c r="AQ104" s="103"/>
      <c r="AV104" s="1"/>
    </row>
    <row r="105" spans="3:49">
      <c r="C105" s="42"/>
      <c r="F105" s="164"/>
      <c r="H105" s="164"/>
      <c r="I105" s="164"/>
      <c r="J105" s="132"/>
      <c r="K105" s="316"/>
      <c r="L105" s="45"/>
      <c r="M105" s="45"/>
      <c r="N105" s="46"/>
      <c r="O105" s="46"/>
      <c r="P105" s="45"/>
      <c r="Q105" s="45"/>
      <c r="R105" s="45"/>
      <c r="T105" s="41">
        <v>13</v>
      </c>
      <c r="V105" s="42" t="s">
        <v>343</v>
      </c>
      <c r="X105" s="42"/>
      <c r="Y105" s="3">
        <f>F32</f>
        <v>0</v>
      </c>
      <c r="Z105" s="1"/>
      <c r="AA105" s="3">
        <f>H32</f>
        <v>0</v>
      </c>
      <c r="AB105" s="1"/>
      <c r="AC105" s="391">
        <v>7.67</v>
      </c>
      <c r="AD105" s="1"/>
      <c r="AE105" s="3">
        <f>ROUND(Y105*AC105,0)</f>
        <v>0</v>
      </c>
      <c r="AF105" s="1"/>
      <c r="AG105" s="103">
        <f>ROUND((AE105/AE$145)*100,1)</f>
        <v>0</v>
      </c>
      <c r="AH105" s="1"/>
      <c r="AI105" s="3">
        <f>L32-AE105</f>
        <v>0</v>
      </c>
      <c r="AJ105" s="1"/>
      <c r="AK105" s="103">
        <v>0</v>
      </c>
      <c r="AL105" s="1"/>
      <c r="AM105" s="3">
        <f>ROUND((AM$145/AA$145)*AA105,0)</f>
        <v>0</v>
      </c>
      <c r="AN105" s="1"/>
      <c r="AO105" s="3">
        <f>AM105+AE105</f>
        <v>0</v>
      </c>
      <c r="AP105" s="1"/>
      <c r="AQ105" s="103">
        <v>0</v>
      </c>
      <c r="AU105" s="56"/>
      <c r="AV105" s="1"/>
      <c r="AW105" s="138">
        <f>487</f>
        <v>487</v>
      </c>
    </row>
    <row r="106" spans="3:49">
      <c r="C106" s="42"/>
      <c r="F106" s="164"/>
      <c r="H106" s="164"/>
      <c r="I106" s="164"/>
      <c r="J106" s="132"/>
      <c r="K106" s="316"/>
      <c r="L106" s="45"/>
      <c r="M106" s="45"/>
      <c r="N106" s="46"/>
      <c r="O106" s="46"/>
      <c r="P106" s="45"/>
      <c r="Q106" s="45"/>
      <c r="R106" s="45"/>
      <c r="T106" s="41">
        <v>14</v>
      </c>
      <c r="V106" s="42" t="s">
        <v>211</v>
      </c>
      <c r="X106" s="42"/>
      <c r="Y106" s="3">
        <f>F33</f>
        <v>0</v>
      </c>
      <c r="Z106" s="1"/>
      <c r="AA106" s="3">
        <f>H33</f>
        <v>0</v>
      </c>
      <c r="AB106" s="1"/>
      <c r="AC106" s="391">
        <v>8.73</v>
      </c>
      <c r="AD106" s="1"/>
      <c r="AE106" s="3">
        <f>ROUND(Y106*AC106,0)</f>
        <v>0</v>
      </c>
      <c r="AF106" s="1"/>
      <c r="AG106" s="103">
        <f>ROUND((AE106/AE$145)*100,1)</f>
        <v>0</v>
      </c>
      <c r="AH106" s="1"/>
      <c r="AI106" s="3">
        <f>L33-AE106</f>
        <v>0</v>
      </c>
      <c r="AJ106" s="1"/>
      <c r="AK106" s="103">
        <v>0</v>
      </c>
      <c r="AL106" s="1"/>
      <c r="AM106" s="3">
        <f>ROUND((AM$145/AA$145)*AA106,0)</f>
        <v>0</v>
      </c>
      <c r="AN106" s="1"/>
      <c r="AO106" s="3">
        <f>AM106+AE106</f>
        <v>0</v>
      </c>
      <c r="AP106" s="1"/>
      <c r="AQ106" s="103">
        <v>0</v>
      </c>
      <c r="AU106" s="56"/>
      <c r="AV106" s="1"/>
      <c r="AW106" s="41">
        <v>711</v>
      </c>
    </row>
    <row r="107" spans="3:49">
      <c r="F107" s="45"/>
      <c r="H107" s="50"/>
      <c r="I107" s="50"/>
      <c r="J107" s="132"/>
      <c r="K107" s="326"/>
      <c r="L107" s="50"/>
      <c r="M107" s="50"/>
      <c r="N107" s="50"/>
      <c r="O107" s="50"/>
      <c r="P107" s="50"/>
      <c r="Q107" s="50"/>
      <c r="R107" s="50"/>
      <c r="T107" s="41">
        <v>15</v>
      </c>
      <c r="V107" s="42" t="s">
        <v>212</v>
      </c>
      <c r="X107" s="42"/>
      <c r="Y107" s="3">
        <f>F34</f>
        <v>0</v>
      </c>
      <c r="Z107" s="1"/>
      <c r="AA107" s="3">
        <f>H34</f>
        <v>0</v>
      </c>
      <c r="AB107" s="1"/>
      <c r="AC107" s="391">
        <v>9.77</v>
      </c>
      <c r="AD107" s="1"/>
      <c r="AE107" s="3">
        <f>ROUND(Y107*AC107,0)</f>
        <v>0</v>
      </c>
      <c r="AF107" s="1"/>
      <c r="AG107" s="103">
        <f>ROUND((AE107/AE$145)*100,1)</f>
        <v>0</v>
      </c>
      <c r="AH107" s="1"/>
      <c r="AI107" s="3">
        <f>L34-AE107</f>
        <v>0</v>
      </c>
      <c r="AJ107" s="1"/>
      <c r="AK107" s="103">
        <v>0</v>
      </c>
      <c r="AL107" s="1"/>
      <c r="AM107" s="3">
        <f>ROUND((AM$145/AA$145)*AA107,0)</f>
        <v>0</v>
      </c>
      <c r="AN107" s="1"/>
      <c r="AO107" s="3">
        <f>AM107+AE107</f>
        <v>0</v>
      </c>
      <c r="AP107" s="1"/>
      <c r="AQ107" s="103">
        <v>0</v>
      </c>
      <c r="AU107" s="56"/>
      <c r="AV107" s="1"/>
      <c r="AW107" s="41">
        <v>948</v>
      </c>
    </row>
    <row r="108" spans="3:49">
      <c r="C108" s="42"/>
      <c r="F108" s="45"/>
      <c r="H108" s="45"/>
      <c r="I108" s="45"/>
      <c r="J108" s="132"/>
      <c r="K108" s="326"/>
      <c r="L108" s="45"/>
      <c r="M108" s="45"/>
      <c r="N108" s="46"/>
      <c r="O108" s="46"/>
      <c r="P108" s="45"/>
      <c r="Q108" s="45"/>
      <c r="R108" s="45"/>
      <c r="T108" s="41">
        <v>16</v>
      </c>
      <c r="V108" s="41" t="s">
        <v>278</v>
      </c>
      <c r="X108" s="42"/>
      <c r="Y108" s="3">
        <f>F35</f>
        <v>0</v>
      </c>
      <c r="Z108" s="1"/>
      <c r="AA108" s="3">
        <f>H35</f>
        <v>0</v>
      </c>
      <c r="AB108" s="1"/>
      <c r="AC108" s="391">
        <v>9.77</v>
      </c>
      <c r="AD108" s="1"/>
      <c r="AE108" s="3">
        <f>ROUND(Y108*AC108,0)</f>
        <v>0</v>
      </c>
      <c r="AF108" s="1"/>
      <c r="AG108" s="103">
        <f>ROUND((AE108/AE$145)*100,1)</f>
        <v>0</v>
      </c>
      <c r="AH108" s="1"/>
      <c r="AI108" s="3">
        <f>L35-AE108</f>
        <v>0</v>
      </c>
      <c r="AJ108" s="1"/>
      <c r="AK108" s="103">
        <v>0</v>
      </c>
      <c r="AL108" s="1"/>
      <c r="AM108" s="3">
        <f>ROUND((AM$145/AA$145)*AA108,0)</f>
        <v>0</v>
      </c>
      <c r="AN108" s="1"/>
      <c r="AO108" s="3">
        <f>AM108+AE108</f>
        <v>0</v>
      </c>
      <c r="AP108" s="1"/>
      <c r="AQ108" s="103">
        <v>0</v>
      </c>
      <c r="AU108" s="56"/>
      <c r="AV108" s="1"/>
      <c r="AW108" s="41">
        <v>948</v>
      </c>
    </row>
    <row r="109" spans="3:49">
      <c r="F109" s="45"/>
      <c r="H109" s="50"/>
      <c r="I109" s="50"/>
      <c r="J109" s="132"/>
      <c r="K109" s="326"/>
      <c r="L109" s="50"/>
      <c r="M109" s="50"/>
      <c r="N109" s="50"/>
      <c r="O109" s="50"/>
      <c r="P109" s="50"/>
      <c r="Q109" s="50"/>
      <c r="R109" s="50"/>
      <c r="T109" s="41">
        <v>17</v>
      </c>
      <c r="V109" s="41" t="s">
        <v>213</v>
      </c>
      <c r="X109" s="42"/>
      <c r="Y109" s="3">
        <f>F36</f>
        <v>0</v>
      </c>
      <c r="Z109" s="1"/>
      <c r="AA109" s="3">
        <f>H36</f>
        <v>0</v>
      </c>
      <c r="AB109" s="1"/>
      <c r="AC109" s="391">
        <v>13.96</v>
      </c>
      <c r="AD109" s="1"/>
      <c r="AE109" s="3">
        <f>ROUND(Y109*AC109,0)</f>
        <v>0</v>
      </c>
      <c r="AF109" s="1"/>
      <c r="AG109" s="103">
        <f>ROUND((AE109/AE$145)*100,1)</f>
        <v>0</v>
      </c>
      <c r="AH109" s="1"/>
      <c r="AI109" s="3">
        <f>L36-AE109</f>
        <v>0</v>
      </c>
      <c r="AJ109" s="1"/>
      <c r="AK109" s="103">
        <v>0</v>
      </c>
      <c r="AL109" s="1"/>
      <c r="AM109" s="3">
        <f>ROUND((AM$145/AA$145)*AA109,0)</f>
        <v>0</v>
      </c>
      <c r="AN109" s="1"/>
      <c r="AO109" s="3">
        <f>AM109+AE109</f>
        <v>0</v>
      </c>
      <c r="AP109" s="1"/>
      <c r="AQ109" s="103">
        <v>0</v>
      </c>
      <c r="AU109" s="56"/>
      <c r="AV109" s="1"/>
      <c r="AW109" s="41">
        <v>1959</v>
      </c>
    </row>
    <row r="110" spans="3:49" ht="15" customHeight="1">
      <c r="F110" s="45"/>
      <c r="H110" s="45"/>
      <c r="I110" s="45"/>
      <c r="J110" s="132"/>
      <c r="K110" s="326"/>
      <c r="L110" s="45"/>
      <c r="M110" s="45"/>
      <c r="N110" s="45"/>
      <c r="O110" s="45"/>
      <c r="P110" s="45"/>
      <c r="Q110" s="45"/>
      <c r="R110" s="45"/>
      <c r="V110" s="42"/>
      <c r="X110" s="42"/>
      <c r="Y110" s="3"/>
      <c r="Z110" s="1"/>
      <c r="AA110" s="1"/>
      <c r="AB110" s="1"/>
      <c r="AC110" s="391"/>
      <c r="AD110" s="1"/>
      <c r="AE110" s="1"/>
      <c r="AF110" s="1"/>
      <c r="AG110" s="103"/>
      <c r="AH110" s="1"/>
      <c r="AI110" s="1"/>
      <c r="AJ110" s="1"/>
      <c r="AK110" s="103"/>
      <c r="AL110" s="1"/>
      <c r="AM110" s="1"/>
      <c r="AN110" s="1"/>
      <c r="AO110" s="1"/>
      <c r="AP110" s="1"/>
      <c r="AQ110" s="103"/>
      <c r="AV110" s="1"/>
    </row>
    <row r="111" spans="3:49">
      <c r="C111" s="42"/>
      <c r="F111" s="164"/>
      <c r="H111" s="164"/>
      <c r="I111" s="164"/>
      <c r="J111" s="132"/>
      <c r="K111" s="331"/>
      <c r="L111" s="45"/>
      <c r="M111" s="45"/>
      <c r="N111" s="46"/>
      <c r="O111" s="46"/>
      <c r="P111" s="164"/>
      <c r="Q111" s="164"/>
      <c r="R111" s="45"/>
      <c r="T111" s="41">
        <v>18</v>
      </c>
      <c r="V111" s="133" t="s">
        <v>344</v>
      </c>
      <c r="X111" s="42"/>
      <c r="Y111" s="3"/>
      <c r="Z111" s="1"/>
      <c r="AA111" s="1"/>
      <c r="AB111" s="1"/>
      <c r="AC111" s="391"/>
      <c r="AD111" s="1"/>
      <c r="AE111" s="1"/>
      <c r="AF111" s="1"/>
      <c r="AG111" s="103"/>
      <c r="AH111" s="1"/>
      <c r="AI111" s="1"/>
      <c r="AJ111" s="1"/>
      <c r="AK111" s="103"/>
      <c r="AL111" s="1"/>
      <c r="AM111" s="1"/>
      <c r="AN111" s="1"/>
      <c r="AO111" s="1"/>
      <c r="AP111" s="1"/>
      <c r="AQ111" s="103"/>
      <c r="AV111" s="1"/>
    </row>
    <row r="112" spans="3:49">
      <c r="C112" s="42"/>
      <c r="F112" s="164"/>
      <c r="H112" s="164"/>
      <c r="I112" s="164"/>
      <c r="J112" s="132"/>
      <c r="K112" s="331"/>
      <c r="L112" s="45"/>
      <c r="M112" s="45"/>
      <c r="N112" s="46"/>
      <c r="O112" s="46"/>
      <c r="P112" s="164"/>
      <c r="Q112" s="164"/>
      <c r="R112" s="45"/>
      <c r="T112" s="41">
        <v>19</v>
      </c>
      <c r="V112" s="133" t="s">
        <v>345</v>
      </c>
      <c r="X112" s="42"/>
      <c r="Y112" s="3"/>
      <c r="Z112" s="1"/>
      <c r="AA112" s="1"/>
      <c r="AB112" s="1"/>
      <c r="AC112" s="391"/>
      <c r="AD112" s="1"/>
      <c r="AE112" s="1"/>
      <c r="AF112" s="1"/>
      <c r="AG112" s="103"/>
      <c r="AH112" s="1"/>
      <c r="AI112" s="1"/>
      <c r="AJ112" s="1"/>
      <c r="AK112" s="103"/>
      <c r="AL112" s="1"/>
      <c r="AM112" s="1"/>
      <c r="AN112" s="1"/>
      <c r="AO112" s="1"/>
      <c r="AP112" s="1"/>
      <c r="AQ112" s="103"/>
      <c r="AV112" s="1"/>
    </row>
    <row r="113" spans="1:49">
      <c r="C113" s="42"/>
      <c r="F113" s="164"/>
      <c r="H113" s="164"/>
      <c r="I113" s="164"/>
      <c r="J113" s="132"/>
      <c r="K113" s="331"/>
      <c r="L113" s="45"/>
      <c r="M113" s="45"/>
      <c r="N113" s="46"/>
      <c r="O113" s="46"/>
      <c r="P113" s="164"/>
      <c r="Q113" s="164"/>
      <c r="R113" s="45"/>
      <c r="T113" s="41">
        <v>20</v>
      </c>
      <c r="V113" s="42" t="s">
        <v>231</v>
      </c>
      <c r="X113" s="42"/>
      <c r="Y113" s="3">
        <f>F40</f>
        <v>0</v>
      </c>
      <c r="Z113" s="1"/>
      <c r="AA113" s="3">
        <f>H40</f>
        <v>0</v>
      </c>
      <c r="AB113" s="1"/>
      <c r="AC113" s="391">
        <v>8.49</v>
      </c>
      <c r="AD113" s="1"/>
      <c r="AE113" s="3">
        <f>ROUND(Y113*AC113,0)</f>
        <v>0</v>
      </c>
      <c r="AF113" s="1"/>
      <c r="AG113" s="103">
        <f>ROUND((AE113/AE$145)*100,1)</f>
        <v>0</v>
      </c>
      <c r="AH113" s="1"/>
      <c r="AI113" s="3">
        <f>L40-AE113</f>
        <v>0</v>
      </c>
      <c r="AJ113" s="1"/>
      <c r="AK113" s="103">
        <v>0</v>
      </c>
      <c r="AL113" s="1"/>
      <c r="AM113" s="3">
        <f>ROUND((AM$145/AA$145)*AA113,0)</f>
        <v>0</v>
      </c>
      <c r="AN113" s="1"/>
      <c r="AO113" s="3">
        <f>AM113+AE113</f>
        <v>0</v>
      </c>
      <c r="AP113" s="1"/>
      <c r="AQ113" s="103">
        <v>0</v>
      </c>
      <c r="AU113" s="56"/>
      <c r="AV113" s="1"/>
      <c r="AW113" s="41">
        <v>874</v>
      </c>
    </row>
    <row r="114" spans="1:49">
      <c r="F114" s="50"/>
      <c r="H114" s="50"/>
      <c r="I114" s="50"/>
      <c r="J114" s="132"/>
      <c r="K114" s="326"/>
      <c r="L114" s="50"/>
      <c r="M114" s="50"/>
      <c r="N114" s="50"/>
      <c r="O114" s="50"/>
      <c r="P114" s="50"/>
      <c r="Q114" s="50"/>
      <c r="R114" s="50"/>
      <c r="T114" s="41">
        <v>21</v>
      </c>
      <c r="V114" s="42" t="s">
        <v>346</v>
      </c>
      <c r="X114" s="42"/>
      <c r="Y114" s="3">
        <f>F41</f>
        <v>0</v>
      </c>
      <c r="Z114" s="1"/>
      <c r="AA114" s="3">
        <f>H41</f>
        <v>0</v>
      </c>
      <c r="AB114" s="1"/>
      <c r="AC114" s="391">
        <v>8.4</v>
      </c>
      <c r="AD114" s="1"/>
      <c r="AE114" s="3">
        <f>ROUND(Y114*AC114,0)</f>
        <v>0</v>
      </c>
      <c r="AF114" s="1"/>
      <c r="AG114" s="103">
        <f>ROUND((AE114/AE$145)*100,1)</f>
        <v>0</v>
      </c>
      <c r="AH114" s="1"/>
      <c r="AI114" s="3">
        <f>L41-AE114</f>
        <v>0</v>
      </c>
      <c r="AJ114" s="1"/>
      <c r="AK114" s="103">
        <v>0</v>
      </c>
      <c r="AL114" s="1"/>
      <c r="AM114" s="3">
        <f>ROUND((AM$145/AA$145)*AA114,0)</f>
        <v>0</v>
      </c>
      <c r="AN114" s="1"/>
      <c r="AO114" s="3">
        <f>AM114+AE114</f>
        <v>0</v>
      </c>
      <c r="AP114" s="1"/>
      <c r="AQ114" s="103">
        <v>0</v>
      </c>
      <c r="AU114" s="56"/>
      <c r="AV114" s="1"/>
      <c r="AW114" s="41">
        <v>853</v>
      </c>
    </row>
    <row r="115" spans="1:49">
      <c r="C115" s="42"/>
      <c r="F115" s="45"/>
      <c r="H115" s="45"/>
      <c r="I115" s="45"/>
      <c r="J115" s="56"/>
      <c r="K115" s="47"/>
      <c r="L115" s="45"/>
      <c r="M115" s="45"/>
      <c r="N115" s="46"/>
      <c r="O115" s="46"/>
      <c r="P115" s="45"/>
      <c r="Q115" s="45"/>
      <c r="R115" s="45"/>
      <c r="T115" s="41">
        <v>22</v>
      </c>
      <c r="V115" s="42" t="s">
        <v>232</v>
      </c>
      <c r="X115" s="42"/>
      <c r="Y115" s="3">
        <f>F42</f>
        <v>0</v>
      </c>
      <c r="Z115" s="1"/>
      <c r="AA115" s="3">
        <f>H42</f>
        <v>0</v>
      </c>
      <c r="AB115" s="1"/>
      <c r="AC115" s="391">
        <v>8.49</v>
      </c>
      <c r="AD115" s="1"/>
      <c r="AE115" s="3">
        <f>ROUND(Y115*AC115,0)</f>
        <v>0</v>
      </c>
      <c r="AF115" s="1"/>
      <c r="AG115" s="103">
        <f>ROUND((AE115/AE$145)*100,1)</f>
        <v>0</v>
      </c>
      <c r="AH115" s="1"/>
      <c r="AI115" s="3">
        <f>L42-AE115</f>
        <v>0</v>
      </c>
      <c r="AJ115" s="1"/>
      <c r="AK115" s="103">
        <v>0</v>
      </c>
      <c r="AL115" s="1"/>
      <c r="AM115" s="3">
        <f>ROUND((AM$145/AA$145)*AA115,0)</f>
        <v>0</v>
      </c>
      <c r="AN115" s="1"/>
      <c r="AO115" s="3">
        <f>AM115+AE115</f>
        <v>0</v>
      </c>
      <c r="AP115" s="1"/>
      <c r="AQ115" s="103">
        <v>0</v>
      </c>
      <c r="AU115" s="56"/>
      <c r="AV115" s="1"/>
      <c r="AW115" s="41">
        <v>874</v>
      </c>
    </row>
    <row r="116" spans="1:49">
      <c r="F116" s="50"/>
      <c r="H116" s="50"/>
      <c r="I116" s="50"/>
      <c r="J116" s="132"/>
      <c r="K116" s="326"/>
      <c r="L116" s="50"/>
      <c r="M116" s="50"/>
      <c r="N116" s="50"/>
      <c r="O116" s="50"/>
      <c r="P116" s="50"/>
      <c r="Q116" s="50"/>
      <c r="R116" s="50"/>
      <c r="T116" s="41">
        <v>23</v>
      </c>
      <c r="V116" s="42" t="s">
        <v>233</v>
      </c>
      <c r="X116" s="42"/>
      <c r="Y116" s="3">
        <f>F43</f>
        <v>0</v>
      </c>
      <c r="Z116" s="1"/>
      <c r="AA116" s="3">
        <f>H43</f>
        <v>0</v>
      </c>
      <c r="AB116" s="1"/>
      <c r="AC116" s="391">
        <v>8.49</v>
      </c>
      <c r="AD116" s="1"/>
      <c r="AE116" s="3">
        <f>ROUND(Y116*AC116,0)</f>
        <v>0</v>
      </c>
      <c r="AF116" s="1"/>
      <c r="AG116" s="103">
        <f>ROUND((AE116/AE$145)*100,1)</f>
        <v>0</v>
      </c>
      <c r="AH116" s="1"/>
      <c r="AI116" s="3">
        <f>L43-AE116</f>
        <v>0</v>
      </c>
      <c r="AJ116" s="1"/>
      <c r="AK116" s="103">
        <v>0</v>
      </c>
      <c r="AL116" s="1"/>
      <c r="AM116" s="3">
        <f>ROUND((AM$145/AA$145)*AA116,0)</f>
        <v>0</v>
      </c>
      <c r="AN116" s="1"/>
      <c r="AO116" s="3">
        <f>AM116+AE116</f>
        <v>0</v>
      </c>
      <c r="AP116" s="1"/>
      <c r="AQ116" s="103">
        <v>0</v>
      </c>
      <c r="AU116" s="56"/>
      <c r="AV116" s="1"/>
      <c r="AW116" s="41">
        <v>874</v>
      </c>
    </row>
    <row r="117" spans="1:49" ht="15" customHeight="1">
      <c r="C117" s="42"/>
      <c r="F117" s="45"/>
      <c r="H117" s="45"/>
      <c r="I117" s="45"/>
      <c r="J117" s="56"/>
      <c r="K117" s="47"/>
      <c r="L117" s="45"/>
      <c r="M117" s="45"/>
      <c r="N117" s="46"/>
      <c r="O117" s="46"/>
      <c r="P117" s="45"/>
      <c r="Q117" s="45"/>
      <c r="R117" s="45"/>
      <c r="V117" s="42"/>
      <c r="X117" s="42"/>
      <c r="Y117" s="3"/>
      <c r="Z117" s="1"/>
      <c r="AA117" s="1"/>
      <c r="AB117" s="1"/>
      <c r="AC117" s="391"/>
      <c r="AD117" s="1"/>
      <c r="AE117" s="1"/>
      <c r="AF117" s="1"/>
      <c r="AG117" s="103"/>
      <c r="AH117" s="1"/>
      <c r="AI117" s="1"/>
      <c r="AJ117" s="1"/>
      <c r="AK117" s="103"/>
      <c r="AL117" s="1"/>
      <c r="AM117" s="1"/>
      <c r="AN117" s="1"/>
      <c r="AO117" s="1"/>
      <c r="AP117" s="1"/>
      <c r="AQ117" s="103"/>
      <c r="AV117" s="1"/>
    </row>
    <row r="118" spans="1:49">
      <c r="C118" s="42"/>
      <c r="F118" s="45"/>
      <c r="H118" s="45"/>
      <c r="I118" s="45"/>
      <c r="J118" s="56"/>
      <c r="K118" s="47"/>
      <c r="L118" s="45"/>
      <c r="M118" s="45"/>
      <c r="N118" s="46"/>
      <c r="O118" s="46"/>
      <c r="P118" s="45"/>
      <c r="Q118" s="45"/>
      <c r="R118" s="45"/>
      <c r="T118" s="41">
        <v>24</v>
      </c>
      <c r="V118" s="133" t="s">
        <v>347</v>
      </c>
      <c r="X118" s="42"/>
      <c r="Y118" s="3"/>
      <c r="Z118" s="1"/>
      <c r="AA118" s="1"/>
      <c r="AB118" s="1"/>
      <c r="AC118" s="391"/>
      <c r="AD118" s="1"/>
      <c r="AE118" s="1"/>
      <c r="AF118" s="1"/>
      <c r="AG118" s="103"/>
      <c r="AH118" s="1"/>
      <c r="AI118" s="1"/>
      <c r="AJ118" s="1"/>
      <c r="AK118" s="103"/>
      <c r="AL118" s="1"/>
      <c r="AM118" s="1"/>
      <c r="AN118" s="1"/>
      <c r="AO118" s="1"/>
      <c r="AP118" s="1"/>
      <c r="AQ118" s="103"/>
      <c r="AV118" s="1"/>
    </row>
    <row r="119" spans="1:49">
      <c r="F119" s="50"/>
      <c r="H119" s="50"/>
      <c r="I119" s="50"/>
      <c r="J119" s="132"/>
      <c r="K119" s="326"/>
      <c r="L119" s="50"/>
      <c r="M119" s="50"/>
      <c r="N119" s="50"/>
      <c r="O119" s="50"/>
      <c r="P119" s="50"/>
      <c r="Q119" s="50"/>
      <c r="R119" s="50"/>
      <c r="T119" s="41">
        <v>25</v>
      </c>
      <c r="V119" s="42" t="s">
        <v>348</v>
      </c>
      <c r="X119" s="42"/>
      <c r="Y119" s="3">
        <f>F46</f>
        <v>0</v>
      </c>
      <c r="Z119" s="1"/>
      <c r="AA119" s="3">
        <f>H46</f>
        <v>0</v>
      </c>
      <c r="AB119" s="1"/>
      <c r="AC119" s="391">
        <v>8.4</v>
      </c>
      <c r="AD119" s="1"/>
      <c r="AE119" s="3">
        <f>ROUND(Y119*AC119,0)</f>
        <v>0</v>
      </c>
      <c r="AF119" s="1"/>
      <c r="AG119" s="103">
        <f>ROUND((AE119/AE$145)*100,1)</f>
        <v>0</v>
      </c>
      <c r="AH119" s="1"/>
      <c r="AI119" s="3">
        <f>L46-AE119</f>
        <v>0</v>
      </c>
      <c r="AJ119" s="1"/>
      <c r="AK119" s="103">
        <v>0</v>
      </c>
      <c r="AL119" s="1"/>
      <c r="AM119" s="3">
        <f>ROUND((AM$145/AA$145)*AA119,0)</f>
        <v>0</v>
      </c>
      <c r="AN119" s="1"/>
      <c r="AO119" s="3">
        <f>AM119+AE119</f>
        <v>0</v>
      </c>
      <c r="AP119" s="1"/>
      <c r="AQ119" s="103">
        <v>0</v>
      </c>
      <c r="AU119" s="56"/>
      <c r="AV119" s="1"/>
      <c r="AW119" s="41">
        <v>853</v>
      </c>
    </row>
    <row r="120" spans="1:49">
      <c r="F120" s="45"/>
      <c r="H120" s="45"/>
      <c r="I120" s="45"/>
      <c r="J120" s="56"/>
      <c r="K120" s="47"/>
      <c r="L120" s="45"/>
      <c r="M120" s="45"/>
      <c r="N120" s="45"/>
      <c r="O120" s="45"/>
      <c r="P120" s="45"/>
      <c r="Q120" s="45"/>
      <c r="R120" s="45"/>
      <c r="T120" s="41">
        <v>26</v>
      </c>
      <c r="V120" s="42" t="s">
        <v>268</v>
      </c>
      <c r="X120" s="42"/>
      <c r="Y120" s="3">
        <f>F47</f>
        <v>0</v>
      </c>
      <c r="Z120" s="1"/>
      <c r="AA120" s="3">
        <f>H47</f>
        <v>0</v>
      </c>
      <c r="AB120" s="1"/>
      <c r="AC120" s="391">
        <v>8.56</v>
      </c>
      <c r="AD120" s="1"/>
      <c r="AE120" s="3">
        <f>ROUND(Y120*AC120,0)</f>
        <v>0</v>
      </c>
      <c r="AF120" s="1"/>
      <c r="AG120" s="103">
        <f>ROUND((AE120/AE$145)*100,1)</f>
        <v>0</v>
      </c>
      <c r="AH120" s="1"/>
      <c r="AI120" s="3">
        <f>L47-AE120</f>
        <v>0</v>
      </c>
      <c r="AJ120" s="1"/>
      <c r="AK120" s="103">
        <v>0</v>
      </c>
      <c r="AL120" s="1"/>
      <c r="AM120" s="3">
        <f>ROUND((AM$145/AA$145)*AA120,0)</f>
        <v>0</v>
      </c>
      <c r="AN120" s="1"/>
      <c r="AO120" s="3">
        <f>AM120+AE120</f>
        <v>0</v>
      </c>
      <c r="AP120" s="1"/>
      <c r="AQ120" s="103">
        <v>0</v>
      </c>
      <c r="AU120" s="56"/>
      <c r="AV120" s="1"/>
      <c r="AW120" s="41">
        <v>874</v>
      </c>
    </row>
    <row r="121" spans="1:49">
      <c r="C121" s="42"/>
      <c r="F121" s="45"/>
      <c r="H121" s="45"/>
      <c r="I121" s="45"/>
      <c r="J121" s="56"/>
      <c r="K121" s="47"/>
      <c r="L121" s="45"/>
      <c r="M121" s="45"/>
      <c r="N121" s="45"/>
      <c r="O121" s="45"/>
      <c r="P121" s="45"/>
      <c r="Q121" s="45"/>
      <c r="R121" s="45"/>
      <c r="T121" s="41">
        <v>27</v>
      </c>
      <c r="V121" s="41" t="s">
        <v>232</v>
      </c>
      <c r="X121" s="42"/>
      <c r="Y121" s="3">
        <f>F48</f>
        <v>0</v>
      </c>
      <c r="Z121" s="1"/>
      <c r="AA121" s="3">
        <f>H48</f>
        <v>0</v>
      </c>
      <c r="AB121" s="1"/>
      <c r="AC121" s="391">
        <v>8.56</v>
      </c>
      <c r="AD121" s="1"/>
      <c r="AE121" s="3">
        <f>ROUND(Y121*AC121,0)</f>
        <v>0</v>
      </c>
      <c r="AF121" s="1"/>
      <c r="AG121" s="103">
        <f>ROUND((AE121/AE$145)*100,1)</f>
        <v>0</v>
      </c>
      <c r="AH121" s="1"/>
      <c r="AI121" s="3">
        <f>L48-AE121</f>
        <v>0</v>
      </c>
      <c r="AJ121" s="1"/>
      <c r="AK121" s="103">
        <v>0</v>
      </c>
      <c r="AL121" s="1"/>
      <c r="AM121" s="3">
        <f>ROUND((AM$145/AA$145)*AA121,0)</f>
        <v>0</v>
      </c>
      <c r="AN121" s="1"/>
      <c r="AO121" s="3">
        <f>AM121+AE121</f>
        <v>0</v>
      </c>
      <c r="AP121" s="1"/>
      <c r="AQ121" s="103">
        <v>0</v>
      </c>
      <c r="AU121" s="56"/>
      <c r="AV121" s="1"/>
      <c r="AW121" s="41">
        <v>874</v>
      </c>
    </row>
    <row r="122" spans="1:49" ht="15" customHeight="1">
      <c r="A122" s="42"/>
      <c r="J122" s="56"/>
      <c r="V122" s="42"/>
      <c r="W122" s="42"/>
      <c r="X122" s="42"/>
      <c r="Y122" s="3"/>
      <c r="Z122" s="1"/>
      <c r="AA122" s="1"/>
      <c r="AB122" s="1"/>
      <c r="AC122" s="391"/>
      <c r="AD122" s="1"/>
      <c r="AE122" s="1"/>
      <c r="AF122" s="1"/>
      <c r="AG122" s="103"/>
      <c r="AH122" s="1"/>
      <c r="AI122" s="1"/>
      <c r="AJ122" s="1"/>
      <c r="AK122" s="103"/>
      <c r="AL122" s="1"/>
      <c r="AM122" s="1"/>
      <c r="AN122" s="1"/>
      <c r="AO122" s="1"/>
      <c r="AP122" s="1"/>
      <c r="AQ122" s="103"/>
      <c r="AV122" s="1"/>
    </row>
    <row r="123" spans="1:49">
      <c r="J123" s="56"/>
      <c r="T123" s="41">
        <v>28</v>
      </c>
      <c r="V123" s="133" t="s">
        <v>349</v>
      </c>
      <c r="X123" s="42"/>
      <c r="Y123" s="3"/>
      <c r="Z123" s="1"/>
      <c r="AA123" s="1"/>
      <c r="AB123" s="1"/>
      <c r="AC123" s="391"/>
      <c r="AD123" s="1"/>
      <c r="AE123" s="1"/>
      <c r="AF123" s="1"/>
      <c r="AG123" s="103"/>
      <c r="AH123" s="1"/>
      <c r="AI123" s="1"/>
      <c r="AJ123" s="1"/>
      <c r="AK123" s="103"/>
      <c r="AL123" s="1"/>
      <c r="AM123" s="1"/>
      <c r="AN123" s="1"/>
      <c r="AO123" s="1"/>
      <c r="AP123" s="1"/>
      <c r="AQ123" s="103"/>
      <c r="AV123" s="1"/>
    </row>
    <row r="124" spans="1:49">
      <c r="H124" s="42"/>
      <c r="I124" s="42"/>
      <c r="J124" s="56"/>
      <c r="T124" s="41">
        <v>29</v>
      </c>
      <c r="V124" s="42" t="s">
        <v>346</v>
      </c>
      <c r="W124" s="42"/>
      <c r="X124" s="42"/>
      <c r="Y124" s="3">
        <f t="shared" ref="Y124:Y130" si="5">F51</f>
        <v>0</v>
      </c>
      <c r="Z124" s="1"/>
      <c r="AA124" s="3">
        <f t="shared" ref="AA124:AA130" si="6">H51</f>
        <v>0</v>
      </c>
      <c r="AB124" s="1"/>
      <c r="AC124" s="391">
        <v>7.56</v>
      </c>
      <c r="AD124" s="1"/>
      <c r="AE124" s="3">
        <f t="shared" ref="AE124:AE130" si="7">ROUND(Y124*AC124,0)</f>
        <v>0</v>
      </c>
      <c r="AF124" s="1"/>
      <c r="AG124" s="103">
        <f t="shared" ref="AG124:AG130" si="8">ROUND((AE124/AE$145)*100,1)</f>
        <v>0</v>
      </c>
      <c r="AH124" s="1"/>
      <c r="AI124" s="3">
        <f t="shared" ref="AI124:AI130" si="9">L51-AE124</f>
        <v>0</v>
      </c>
      <c r="AJ124" s="1"/>
      <c r="AK124" s="103">
        <v>0</v>
      </c>
      <c r="AL124" s="1"/>
      <c r="AM124" s="3">
        <f t="shared" ref="AM124:AM130" si="10">ROUND((AM$145/AA$145)*AA124,0)</f>
        <v>0</v>
      </c>
      <c r="AN124" s="1"/>
      <c r="AO124" s="3">
        <f t="shared" ref="AO124:AO130" si="11">AM124+AE124</f>
        <v>0</v>
      </c>
      <c r="AP124" s="1"/>
      <c r="AQ124" s="103">
        <v>0</v>
      </c>
      <c r="AU124" s="56"/>
      <c r="AV124" s="1"/>
      <c r="AW124" s="41">
        <v>487</v>
      </c>
    </row>
    <row r="125" spans="1:49">
      <c r="J125" s="56"/>
      <c r="T125" s="41">
        <v>30</v>
      </c>
      <c r="V125" s="42" t="s">
        <v>348</v>
      </c>
      <c r="W125" s="42"/>
      <c r="X125" s="42"/>
      <c r="Y125" s="3">
        <f t="shared" si="5"/>
        <v>0</v>
      </c>
      <c r="Z125" s="1"/>
      <c r="AA125" s="3">
        <f t="shared" si="6"/>
        <v>0</v>
      </c>
      <c r="AB125" s="1"/>
      <c r="AC125" s="391">
        <v>7.56</v>
      </c>
      <c r="AD125" s="1"/>
      <c r="AE125" s="3">
        <f t="shared" si="7"/>
        <v>0</v>
      </c>
      <c r="AF125" s="1"/>
      <c r="AG125" s="103">
        <f t="shared" si="8"/>
        <v>0</v>
      </c>
      <c r="AH125" s="1"/>
      <c r="AI125" s="3">
        <f t="shared" si="9"/>
        <v>0</v>
      </c>
      <c r="AJ125" s="1"/>
      <c r="AK125" s="103">
        <v>0</v>
      </c>
      <c r="AL125" s="1"/>
      <c r="AM125" s="3">
        <f t="shared" si="10"/>
        <v>0</v>
      </c>
      <c r="AN125" s="1"/>
      <c r="AO125" s="3">
        <f t="shared" si="11"/>
        <v>0</v>
      </c>
      <c r="AP125" s="1"/>
      <c r="AQ125" s="103">
        <v>0</v>
      </c>
      <c r="AU125" s="56"/>
      <c r="AV125" s="1"/>
      <c r="AW125" s="41">
        <v>487</v>
      </c>
    </row>
    <row r="126" spans="1:49">
      <c r="J126" s="56"/>
      <c r="L126" s="42"/>
      <c r="M126" s="42"/>
      <c r="T126" s="41">
        <v>31</v>
      </c>
      <c r="V126" s="42" t="s">
        <v>268</v>
      </c>
      <c r="W126" s="42"/>
      <c r="X126" s="42"/>
      <c r="Y126" s="3">
        <f t="shared" si="5"/>
        <v>0</v>
      </c>
      <c r="Z126" s="1"/>
      <c r="AA126" s="3">
        <f t="shared" si="6"/>
        <v>0</v>
      </c>
      <c r="AB126" s="1"/>
      <c r="AC126" s="391">
        <v>7.91</v>
      </c>
      <c r="AD126" s="1"/>
      <c r="AE126" s="3">
        <f t="shared" si="7"/>
        <v>0</v>
      </c>
      <c r="AF126" s="1"/>
      <c r="AG126" s="103">
        <f t="shared" si="8"/>
        <v>0</v>
      </c>
      <c r="AH126" s="1"/>
      <c r="AI126" s="3">
        <f t="shared" si="9"/>
        <v>0</v>
      </c>
      <c r="AJ126" s="1"/>
      <c r="AK126" s="103">
        <v>0</v>
      </c>
      <c r="AL126" s="1"/>
      <c r="AM126" s="3">
        <f t="shared" si="10"/>
        <v>0</v>
      </c>
      <c r="AN126" s="1"/>
      <c r="AO126" s="3">
        <f t="shared" si="11"/>
        <v>0</v>
      </c>
      <c r="AP126" s="1"/>
      <c r="AQ126" s="103">
        <v>0</v>
      </c>
      <c r="AU126" s="56"/>
      <c r="AV126" s="1"/>
      <c r="AW126" s="41">
        <v>532</v>
      </c>
    </row>
    <row r="127" spans="1:49">
      <c r="J127" s="56"/>
      <c r="R127" s="42"/>
      <c r="T127" s="41">
        <v>32</v>
      </c>
      <c r="V127" s="41" t="s">
        <v>235</v>
      </c>
      <c r="W127" s="42"/>
      <c r="X127" s="42"/>
      <c r="Y127" s="3">
        <f t="shared" si="5"/>
        <v>0</v>
      </c>
      <c r="Z127" s="1"/>
      <c r="AA127" s="3">
        <f t="shared" si="6"/>
        <v>0</v>
      </c>
      <c r="AB127" s="1"/>
      <c r="AC127" s="391">
        <v>7.56</v>
      </c>
      <c r="AD127" s="1"/>
      <c r="AE127" s="3">
        <f t="shared" si="7"/>
        <v>0</v>
      </c>
      <c r="AF127" s="1"/>
      <c r="AG127" s="103">
        <f t="shared" si="8"/>
        <v>0</v>
      </c>
      <c r="AH127" s="1"/>
      <c r="AI127" s="3">
        <f t="shared" si="9"/>
        <v>0</v>
      </c>
      <c r="AJ127" s="1"/>
      <c r="AK127" s="103">
        <v>0</v>
      </c>
      <c r="AL127" s="1"/>
      <c r="AM127" s="3">
        <f t="shared" si="10"/>
        <v>0</v>
      </c>
      <c r="AN127" s="1"/>
      <c r="AO127" s="3">
        <f t="shared" si="11"/>
        <v>0</v>
      </c>
      <c r="AP127" s="1"/>
      <c r="AQ127" s="103">
        <v>0</v>
      </c>
      <c r="AU127" s="56"/>
      <c r="AV127" s="1"/>
      <c r="AW127" s="41">
        <v>487</v>
      </c>
    </row>
    <row r="128" spans="1:49">
      <c r="J128" s="56"/>
      <c r="R128" s="42"/>
      <c r="T128" s="41">
        <v>33</v>
      </c>
      <c r="V128" s="41" t="s">
        <v>233</v>
      </c>
      <c r="W128" s="42"/>
      <c r="X128" s="42"/>
      <c r="Y128" s="3">
        <f t="shared" si="5"/>
        <v>0</v>
      </c>
      <c r="Z128" s="1"/>
      <c r="AA128" s="3">
        <f t="shared" si="6"/>
        <v>0</v>
      </c>
      <c r="AB128" s="1"/>
      <c r="AC128" s="391">
        <v>7.91</v>
      </c>
      <c r="AD128" s="1"/>
      <c r="AE128" s="3">
        <f t="shared" si="7"/>
        <v>0</v>
      </c>
      <c r="AF128" s="1"/>
      <c r="AG128" s="103">
        <f t="shared" si="8"/>
        <v>0</v>
      </c>
      <c r="AH128" s="1"/>
      <c r="AI128" s="3">
        <f t="shared" si="9"/>
        <v>0</v>
      </c>
      <c r="AJ128" s="1"/>
      <c r="AK128" s="103">
        <v>0</v>
      </c>
      <c r="AL128" s="1"/>
      <c r="AM128" s="3">
        <f t="shared" si="10"/>
        <v>0</v>
      </c>
      <c r="AN128" s="1"/>
      <c r="AO128" s="3">
        <f t="shared" si="11"/>
        <v>0</v>
      </c>
      <c r="AP128" s="1"/>
      <c r="AQ128" s="103">
        <v>0</v>
      </c>
      <c r="AU128" s="56"/>
      <c r="AV128" s="1"/>
      <c r="AW128" s="41">
        <v>532</v>
      </c>
    </row>
    <row r="129" spans="1:49">
      <c r="A129" s="42"/>
      <c r="J129" s="56"/>
      <c r="R129" s="42"/>
      <c r="T129" s="41">
        <v>34</v>
      </c>
      <c r="V129" s="42" t="s">
        <v>231</v>
      </c>
      <c r="W129" s="42"/>
      <c r="X129" s="42"/>
      <c r="Y129" s="3">
        <f t="shared" si="5"/>
        <v>0</v>
      </c>
      <c r="Z129" s="1"/>
      <c r="AA129" s="3">
        <f t="shared" si="6"/>
        <v>0</v>
      </c>
      <c r="AB129" s="1"/>
      <c r="AC129" s="391">
        <v>7.91</v>
      </c>
      <c r="AD129" s="1"/>
      <c r="AE129" s="3">
        <f t="shared" si="7"/>
        <v>0</v>
      </c>
      <c r="AF129" s="1"/>
      <c r="AG129" s="103">
        <f t="shared" si="8"/>
        <v>0</v>
      </c>
      <c r="AH129" s="1"/>
      <c r="AI129" s="3">
        <f t="shared" si="9"/>
        <v>0</v>
      </c>
      <c r="AJ129" s="1"/>
      <c r="AK129" s="103">
        <v>0</v>
      </c>
      <c r="AL129" s="1"/>
      <c r="AM129" s="3">
        <f t="shared" si="10"/>
        <v>0</v>
      </c>
      <c r="AN129" s="1"/>
      <c r="AO129" s="3">
        <f t="shared" si="11"/>
        <v>0</v>
      </c>
      <c r="AP129" s="1"/>
      <c r="AQ129" s="103">
        <v>0</v>
      </c>
      <c r="AU129" s="56"/>
      <c r="AV129" s="1"/>
      <c r="AW129" s="41">
        <v>532</v>
      </c>
    </row>
    <row r="130" spans="1:49">
      <c r="J130" s="56"/>
      <c r="L130" s="42"/>
      <c r="M130" s="42"/>
      <c r="T130" s="41">
        <v>35</v>
      </c>
      <c r="V130" s="42" t="s">
        <v>232</v>
      </c>
      <c r="W130" s="42"/>
      <c r="X130" s="42"/>
      <c r="Y130" s="3">
        <f t="shared" si="5"/>
        <v>0</v>
      </c>
      <c r="Z130" s="1"/>
      <c r="AA130" s="3">
        <f t="shared" si="6"/>
        <v>0</v>
      </c>
      <c r="AB130" s="1"/>
      <c r="AC130" s="391">
        <v>7.91</v>
      </c>
      <c r="AD130" s="1"/>
      <c r="AE130" s="3">
        <f t="shared" si="7"/>
        <v>0</v>
      </c>
      <c r="AF130" s="1"/>
      <c r="AG130" s="103">
        <f t="shared" si="8"/>
        <v>0</v>
      </c>
      <c r="AH130" s="1"/>
      <c r="AI130" s="3">
        <f t="shared" si="9"/>
        <v>0</v>
      </c>
      <c r="AJ130" s="1"/>
      <c r="AK130" s="103">
        <v>0</v>
      </c>
      <c r="AL130" s="1"/>
      <c r="AM130" s="3">
        <f t="shared" si="10"/>
        <v>0</v>
      </c>
      <c r="AN130" s="1"/>
      <c r="AO130" s="3">
        <f t="shared" si="11"/>
        <v>0</v>
      </c>
      <c r="AP130" s="1"/>
      <c r="AQ130" s="103">
        <v>0</v>
      </c>
      <c r="AU130" s="56"/>
      <c r="AV130" s="1"/>
      <c r="AW130" s="41">
        <v>532</v>
      </c>
    </row>
    <row r="131" spans="1:49" ht="15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57"/>
      <c r="K131" s="49"/>
      <c r="L131" s="49"/>
      <c r="M131" s="49"/>
      <c r="N131" s="49"/>
      <c r="O131" s="49"/>
      <c r="P131" s="49"/>
      <c r="Q131" s="49"/>
      <c r="R131" s="49"/>
      <c r="V131" s="42"/>
      <c r="W131" s="42"/>
      <c r="X131" s="42"/>
      <c r="Y131" s="3"/>
      <c r="Z131" s="1"/>
      <c r="AA131" s="1"/>
      <c r="AB131" s="1"/>
      <c r="AC131" s="391"/>
      <c r="AD131" s="1"/>
      <c r="AE131" s="1"/>
      <c r="AF131" s="1"/>
      <c r="AG131" s="103"/>
      <c r="AH131" s="1"/>
      <c r="AI131" s="1"/>
      <c r="AJ131" s="1"/>
      <c r="AK131" s="103"/>
      <c r="AL131" s="1"/>
      <c r="AM131" s="1"/>
      <c r="AN131" s="1"/>
      <c r="AO131" s="1"/>
      <c r="AP131" s="1"/>
      <c r="AQ131" s="103"/>
      <c r="AV131" s="1"/>
    </row>
    <row r="132" spans="1:49">
      <c r="J132" s="56"/>
      <c r="L132" s="44"/>
      <c r="M132" s="44"/>
      <c r="N132" s="44"/>
      <c r="O132" s="44"/>
      <c r="R132" s="44"/>
      <c r="T132" s="41">
        <v>36</v>
      </c>
      <c r="V132" s="133" t="s">
        <v>350</v>
      </c>
      <c r="W132" s="42"/>
      <c r="X132" s="42"/>
      <c r="Y132" s="3"/>
      <c r="Z132" s="1"/>
      <c r="AA132" s="1"/>
      <c r="AB132" s="1"/>
      <c r="AC132" s="391"/>
      <c r="AD132" s="1"/>
      <c r="AE132" s="1"/>
      <c r="AF132" s="1"/>
      <c r="AG132" s="103"/>
      <c r="AH132" s="1"/>
      <c r="AI132" s="1"/>
      <c r="AJ132" s="1"/>
      <c r="AK132" s="103"/>
      <c r="AL132" s="1"/>
      <c r="AM132" s="1"/>
      <c r="AN132" s="1"/>
      <c r="AO132" s="1"/>
      <c r="AP132" s="1"/>
      <c r="AQ132" s="103"/>
      <c r="AV132" s="1"/>
    </row>
    <row r="133" spans="1:49">
      <c r="J133" s="56"/>
      <c r="L133" s="44"/>
      <c r="M133" s="44"/>
      <c r="N133" s="44"/>
      <c r="O133" s="44"/>
      <c r="R133" s="44"/>
      <c r="T133" s="41">
        <v>37</v>
      </c>
      <c r="V133" s="42" t="s">
        <v>215</v>
      </c>
      <c r="W133" s="42"/>
      <c r="X133" s="42"/>
      <c r="Y133" s="3">
        <f>F60</f>
        <v>0</v>
      </c>
      <c r="Z133" s="1"/>
      <c r="AA133" s="3">
        <f>H60</f>
        <v>0</v>
      </c>
      <c r="AB133" s="1"/>
      <c r="AC133" s="391">
        <v>10.36</v>
      </c>
      <c r="AD133" s="1"/>
      <c r="AE133" s="3">
        <f>ROUND(Y133*AC133,0)</f>
        <v>0</v>
      </c>
      <c r="AF133" s="1"/>
      <c r="AG133" s="103">
        <f>ROUND((AE133/AE$145)*100,1)</f>
        <v>0</v>
      </c>
      <c r="AH133" s="1"/>
      <c r="AI133" s="3">
        <f>L60-AE133</f>
        <v>0</v>
      </c>
      <c r="AJ133" s="1"/>
      <c r="AK133" s="103">
        <v>0</v>
      </c>
      <c r="AL133" s="1"/>
      <c r="AM133" s="3">
        <f>ROUND((AM$145/AA$145)*AA133,0)</f>
        <v>0</v>
      </c>
      <c r="AN133" s="1"/>
      <c r="AO133" s="3">
        <f>AM133+AE133</f>
        <v>0</v>
      </c>
      <c r="AP133" s="1"/>
      <c r="AQ133" s="103">
        <v>0</v>
      </c>
      <c r="AU133" s="56"/>
      <c r="AV133" s="1"/>
      <c r="AW133" s="41">
        <v>1023</v>
      </c>
    </row>
    <row r="134" spans="1:49">
      <c r="A134" s="44"/>
      <c r="C134" s="44"/>
      <c r="D134" s="44"/>
      <c r="E134" s="44"/>
      <c r="F134" s="44"/>
      <c r="J134" s="58"/>
      <c r="K134" s="44"/>
      <c r="L134" s="44"/>
      <c r="M134" s="44"/>
      <c r="N134" s="44"/>
      <c r="O134" s="44"/>
      <c r="P134" s="44"/>
      <c r="Q134" s="44"/>
      <c r="R134" s="44"/>
      <c r="T134" s="41">
        <v>38</v>
      </c>
      <c r="V134" s="42" t="s">
        <v>216</v>
      </c>
      <c r="W134" s="42"/>
      <c r="X134" s="42"/>
      <c r="Y134" s="3">
        <f>F61</f>
        <v>0</v>
      </c>
      <c r="Z134" s="1"/>
      <c r="AA134" s="3">
        <f>H61</f>
        <v>0</v>
      </c>
      <c r="AB134" s="1"/>
      <c r="AC134" s="391">
        <v>14.38</v>
      </c>
      <c r="AD134" s="1"/>
      <c r="AE134" s="3">
        <f>ROUND(Y134*AC134,0)</f>
        <v>0</v>
      </c>
      <c r="AF134" s="1"/>
      <c r="AG134" s="103">
        <f>ROUND((AE134/AE$145)*100,1)</f>
        <v>0</v>
      </c>
      <c r="AH134" s="1"/>
      <c r="AI134" s="3">
        <f>L61-AE134</f>
        <v>0</v>
      </c>
      <c r="AJ134" s="1"/>
      <c r="AK134" s="103">
        <v>0</v>
      </c>
      <c r="AL134" s="1"/>
      <c r="AM134" s="3">
        <f>ROUND((AM$145/AA$145)*AA134,0)</f>
        <v>0</v>
      </c>
      <c r="AN134" s="1"/>
      <c r="AO134" s="3">
        <f>AM134+AE134</f>
        <v>0</v>
      </c>
      <c r="AP134" s="1"/>
      <c r="AQ134" s="103">
        <v>0</v>
      </c>
      <c r="AU134" s="56"/>
      <c r="AV134" s="1"/>
      <c r="AW134" s="41">
        <v>1959</v>
      </c>
    </row>
    <row r="135" spans="1:49">
      <c r="A135" s="44"/>
      <c r="C135" s="44"/>
      <c r="D135" s="44"/>
      <c r="E135" s="44"/>
      <c r="F135" s="44"/>
      <c r="H135" s="44"/>
      <c r="I135" s="44"/>
      <c r="J135" s="58"/>
      <c r="K135" s="44"/>
      <c r="L135" s="44"/>
      <c r="M135" s="44"/>
      <c r="N135" s="44"/>
      <c r="O135" s="44"/>
      <c r="P135" s="44"/>
      <c r="Q135" s="44"/>
      <c r="R135" s="44"/>
      <c r="V135" s="42"/>
      <c r="W135" s="42"/>
      <c r="X135" s="42"/>
      <c r="Y135" s="3"/>
      <c r="Z135" s="1"/>
      <c r="AA135" s="1"/>
      <c r="AB135" s="1"/>
      <c r="AD135" s="1"/>
      <c r="AE135" s="1"/>
      <c r="AF135" s="1"/>
      <c r="AG135" s="103"/>
      <c r="AH135" s="1"/>
      <c r="AI135" s="1"/>
      <c r="AJ135" s="1"/>
      <c r="AK135" s="103"/>
      <c r="AL135" s="1"/>
      <c r="AM135" s="1"/>
      <c r="AN135" s="1"/>
      <c r="AO135" s="1"/>
      <c r="AP135" s="1"/>
      <c r="AQ135" s="103"/>
      <c r="AV135" s="1"/>
      <c r="AW135" s="1"/>
    </row>
    <row r="136" spans="1:49">
      <c r="C136" s="44"/>
      <c r="D136" s="44"/>
      <c r="E136" s="44"/>
      <c r="F136" s="44"/>
      <c r="H136" s="44"/>
      <c r="I136" s="44"/>
      <c r="J136" s="58"/>
      <c r="K136" s="44"/>
      <c r="L136" s="44"/>
      <c r="M136" s="44"/>
      <c r="N136" s="44"/>
      <c r="O136" s="44"/>
      <c r="P136" s="44"/>
      <c r="Q136" s="44"/>
      <c r="R136" s="44"/>
      <c r="T136" s="41">
        <v>39</v>
      </c>
      <c r="V136" s="133" t="s">
        <v>74</v>
      </c>
      <c r="X136" s="42"/>
      <c r="Y136" s="3"/>
      <c r="Z136" s="1"/>
      <c r="AA136" s="1"/>
      <c r="AB136" s="1"/>
      <c r="AD136" s="1"/>
      <c r="AE136" s="1"/>
      <c r="AF136" s="1"/>
      <c r="AG136" s="103"/>
      <c r="AH136" s="1"/>
      <c r="AI136" s="1"/>
      <c r="AJ136" s="1"/>
      <c r="AK136" s="103"/>
      <c r="AL136" s="1"/>
      <c r="AM136" s="1"/>
      <c r="AN136" s="1"/>
      <c r="AO136" s="1"/>
      <c r="AP136" s="1"/>
      <c r="AQ136" s="103"/>
      <c r="AV136" s="1"/>
      <c r="AW136" s="1"/>
    </row>
    <row r="137" spans="1:49">
      <c r="A137" s="49"/>
      <c r="B137" s="49"/>
      <c r="C137" s="49"/>
      <c r="D137" s="49"/>
      <c r="E137" s="49"/>
      <c r="F137" s="49"/>
      <c r="G137" s="49"/>
      <c r="H137" s="49"/>
      <c r="I137" s="49"/>
      <c r="J137" s="57"/>
      <c r="K137" s="49"/>
      <c r="L137" s="49"/>
      <c r="M137" s="49"/>
      <c r="N137" s="49"/>
      <c r="O137" s="49"/>
      <c r="P137" s="49"/>
      <c r="Q137" s="49"/>
      <c r="R137" s="49"/>
      <c r="T137" s="41">
        <v>40</v>
      </c>
      <c r="V137" s="133" t="s">
        <v>75</v>
      </c>
      <c r="X137" s="42"/>
      <c r="Y137" s="66">
        <f>F64</f>
        <v>2064</v>
      </c>
      <c r="Z137" s="1"/>
      <c r="AA137" s="66">
        <f>H64</f>
        <v>91284</v>
      </c>
      <c r="AB137" s="1"/>
      <c r="AC137" s="407">
        <v>6.6037999999999999E-2</v>
      </c>
      <c r="AD137" s="1"/>
      <c r="AE137" s="66">
        <f>ROUND((AA137*AC137),0)</f>
        <v>6028</v>
      </c>
      <c r="AF137" s="1"/>
      <c r="AG137" s="104">
        <f>ROUND((AE137/AE$145)*100,1)</f>
        <v>96</v>
      </c>
      <c r="AH137" s="1"/>
      <c r="AI137" s="66">
        <f>L64-AE137</f>
        <v>860</v>
      </c>
      <c r="AJ137" s="1"/>
      <c r="AK137" s="103">
        <f>ROUND((AI137/AE137)*100,1)</f>
        <v>14.3</v>
      </c>
      <c r="AL137" s="1"/>
      <c r="AM137" s="66">
        <f>ROUND((AM$145/AA$145)*AA137,0)</f>
        <v>318</v>
      </c>
      <c r="AN137" s="1"/>
      <c r="AO137" s="66">
        <f>AM137+AE137</f>
        <v>6346</v>
      </c>
      <c r="AP137" s="1"/>
      <c r="AQ137" s="104">
        <f>ROUND((AI137/AO137)*100,1)</f>
        <v>13.6</v>
      </c>
      <c r="AU137" s="408"/>
      <c r="AV137" s="1"/>
      <c r="AW137" s="1"/>
    </row>
    <row r="138" spans="1:49" ht="20.100000000000001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57"/>
      <c r="K138" s="49"/>
      <c r="L138" s="49"/>
      <c r="M138" s="49"/>
      <c r="N138" s="49"/>
      <c r="O138" s="49"/>
      <c r="P138" s="49"/>
      <c r="Q138" s="49"/>
      <c r="R138" s="49"/>
      <c r="T138" s="41">
        <v>41</v>
      </c>
      <c r="V138" s="310" t="s">
        <v>470</v>
      </c>
      <c r="X138" s="42"/>
      <c r="Y138" s="72">
        <f>SUM(Y95:Y137)</f>
        <v>2064</v>
      </c>
      <c r="Z138" s="1"/>
      <c r="AA138" s="72">
        <f>SUM(AA95:AA137)</f>
        <v>91284</v>
      </c>
      <c r="AB138" s="1"/>
      <c r="AC138" s="407"/>
      <c r="AD138" s="1"/>
      <c r="AE138" s="72">
        <f>SUM(AE95:AE137)</f>
        <v>6028</v>
      </c>
      <c r="AF138" s="1"/>
      <c r="AG138" s="105">
        <f>ROUND((AE138/AE$145)*100,1)</f>
        <v>96</v>
      </c>
      <c r="AH138" s="1"/>
      <c r="AI138" s="72">
        <f>SUM(AI95:AI137)</f>
        <v>860</v>
      </c>
      <c r="AJ138" s="1"/>
      <c r="AK138" s="105">
        <f>ROUND((AI138/AE138)*100,1)</f>
        <v>14.3</v>
      </c>
      <c r="AL138" s="1"/>
      <c r="AM138" s="72">
        <f>SUM(AM95:AM137)</f>
        <v>318</v>
      </c>
      <c r="AN138" s="1"/>
      <c r="AO138" s="72">
        <f>SUM(AO95:AO137)</f>
        <v>6346</v>
      </c>
      <c r="AP138" s="1"/>
      <c r="AQ138" s="105">
        <f>ROUND((AI138/AO138)*100,1)</f>
        <v>13.6</v>
      </c>
      <c r="AU138" s="408"/>
      <c r="AV138" s="1"/>
      <c r="AW138" s="1"/>
    </row>
    <row r="139" spans="1:49">
      <c r="A139" s="49"/>
      <c r="B139" s="49"/>
      <c r="C139" s="49"/>
      <c r="D139" s="49"/>
      <c r="E139" s="49"/>
      <c r="F139" s="49"/>
      <c r="G139" s="49"/>
      <c r="H139" s="49"/>
      <c r="I139" s="49"/>
      <c r="J139" s="57"/>
      <c r="K139" s="49"/>
      <c r="L139" s="49"/>
      <c r="M139" s="49"/>
      <c r="N139" s="49"/>
      <c r="O139" s="49"/>
      <c r="P139" s="49"/>
      <c r="Q139" s="49"/>
      <c r="R139" s="49"/>
      <c r="V139" s="310"/>
      <c r="X139" s="42"/>
      <c r="Y139" s="3"/>
      <c r="Z139" s="1"/>
      <c r="AA139" s="3"/>
      <c r="AB139" s="1"/>
      <c r="AC139" s="407"/>
      <c r="AD139" s="1"/>
      <c r="AE139" s="3"/>
      <c r="AF139" s="1"/>
      <c r="AG139" s="103"/>
      <c r="AH139" s="1"/>
      <c r="AI139" s="3"/>
      <c r="AJ139" s="1"/>
      <c r="AK139" s="103"/>
      <c r="AL139" s="1"/>
      <c r="AM139" s="3"/>
      <c r="AN139" s="1"/>
      <c r="AO139" s="3"/>
      <c r="AP139" s="1"/>
      <c r="AQ139" s="103"/>
      <c r="AU139" s="408"/>
      <c r="AV139" s="1"/>
      <c r="AW139" s="1"/>
    </row>
    <row r="140" spans="1:49">
      <c r="A140" s="49"/>
      <c r="B140" s="49"/>
      <c r="C140" s="49"/>
      <c r="D140" s="49"/>
      <c r="E140" s="49"/>
      <c r="F140" s="49"/>
      <c r="G140" s="49"/>
      <c r="H140" s="49"/>
      <c r="I140" s="49"/>
      <c r="J140" s="57"/>
      <c r="K140" s="49"/>
      <c r="L140" s="49"/>
      <c r="M140" s="49"/>
      <c r="N140" s="49"/>
      <c r="O140" s="49"/>
      <c r="P140" s="49"/>
      <c r="Q140" s="49"/>
      <c r="R140" s="49"/>
      <c r="T140" s="41">
        <f>A67</f>
        <v>42</v>
      </c>
      <c r="V140" s="133" t="s">
        <v>467</v>
      </c>
      <c r="X140" s="42"/>
      <c r="Y140" s="3"/>
      <c r="Z140" s="1"/>
      <c r="AA140" s="3"/>
      <c r="AB140" s="1"/>
      <c r="AC140" s="407"/>
      <c r="AD140" s="1"/>
      <c r="AE140" s="3"/>
      <c r="AF140" s="1"/>
      <c r="AG140" s="103"/>
      <c r="AH140" s="1"/>
      <c r="AI140" s="3"/>
      <c r="AJ140" s="1"/>
      <c r="AK140" s="103"/>
      <c r="AL140" s="1"/>
      <c r="AM140" s="3"/>
      <c r="AN140" s="1"/>
      <c r="AO140" s="3"/>
      <c r="AP140" s="1"/>
      <c r="AQ140" s="103"/>
      <c r="AU140" s="408"/>
      <c r="AV140" s="1"/>
      <c r="AW140" s="1"/>
    </row>
    <row r="141" spans="1:49">
      <c r="A141" s="49"/>
      <c r="B141" s="49"/>
      <c r="C141" s="49"/>
      <c r="D141" s="49"/>
      <c r="E141" s="49"/>
      <c r="F141" s="49"/>
      <c r="G141" s="49"/>
      <c r="H141" s="49"/>
      <c r="I141" s="49"/>
      <c r="J141" s="57"/>
      <c r="K141" s="49"/>
      <c r="L141" s="49"/>
      <c r="M141" s="49"/>
      <c r="N141" s="49"/>
      <c r="O141" s="49"/>
      <c r="P141" s="49"/>
      <c r="Q141" s="49"/>
      <c r="R141" s="49"/>
      <c r="T141" s="41">
        <f>A68</f>
        <v>43</v>
      </c>
      <c r="V141" s="128" t="str">
        <f>C68</f>
        <v>ENVIRONMENTAL SURCHARGE MECHANISM RIDER (ESM)</v>
      </c>
      <c r="X141" s="42"/>
      <c r="Y141" s="3"/>
      <c r="Z141" s="1"/>
      <c r="AA141" s="3"/>
      <c r="AB141" s="1"/>
      <c r="AC141" s="387">
        <f>CUR_ESM_NonRes</f>
        <v>6.4941608437496566E-3</v>
      </c>
      <c r="AD141" s="1"/>
      <c r="AE141" s="3">
        <f>ROUND((AO138-(CUR_BASE_FUEL*AA138)+AO142)*AC141,0)</f>
        <v>23</v>
      </c>
      <c r="AF141" s="1"/>
      <c r="AG141" s="103">
        <f>ROUND((AE141/AE$145)*100,1)</f>
        <v>0.4</v>
      </c>
      <c r="AH141" s="1"/>
      <c r="AI141" s="3">
        <f>L68-AE141</f>
        <v>1</v>
      </c>
      <c r="AJ141" s="1"/>
      <c r="AK141" s="103">
        <f>IF(AE141=0,0,ROUND((AI141/AE141)*100,1))</f>
        <v>4.3</v>
      </c>
      <c r="AL141" s="1"/>
      <c r="AM141" s="3"/>
      <c r="AN141" s="1"/>
      <c r="AO141" s="3">
        <f>AM141+AE141</f>
        <v>23</v>
      </c>
      <c r="AP141" s="1"/>
      <c r="AQ141" s="103">
        <f>IF(AO141=0,0,ROUND((AI141/AO141)*100,1))</f>
        <v>4.3</v>
      </c>
      <c r="AU141" s="408"/>
      <c r="AV141" s="1"/>
      <c r="AW141" s="1"/>
    </row>
    <row r="142" spans="1:49">
      <c r="A142" s="49"/>
      <c r="B142" s="49"/>
      <c r="C142" s="49"/>
      <c r="D142" s="49"/>
      <c r="E142" s="49"/>
      <c r="F142" s="49"/>
      <c r="G142" s="49"/>
      <c r="H142" s="49"/>
      <c r="I142" s="49"/>
      <c r="J142" s="57"/>
      <c r="K142" s="49"/>
      <c r="L142" s="49"/>
      <c r="M142" s="49"/>
      <c r="N142" s="49"/>
      <c r="O142" s="49"/>
      <c r="P142" s="49"/>
      <c r="Q142" s="49"/>
      <c r="R142" s="49"/>
      <c r="T142" s="41">
        <f>A69</f>
        <v>44</v>
      </c>
      <c r="V142" s="128" t="str">
        <f>C69</f>
        <v>PROFIT SHARING MECHANISM (PSM)</v>
      </c>
      <c r="X142" s="42"/>
      <c r="Y142" s="3"/>
      <c r="Z142" s="1"/>
      <c r="AA142" s="3"/>
      <c r="AB142" s="1"/>
      <c r="AC142" s="134">
        <f>RS_PSM</f>
        <v>2.4750000000000002E-3</v>
      </c>
      <c r="AD142" s="1"/>
      <c r="AE142" s="66">
        <f>ROUND($AA$138*AC142,0)</f>
        <v>226</v>
      </c>
      <c r="AF142" s="1"/>
      <c r="AG142" s="104">
        <f>ROUND((AE142/AE$145)*100,1)</f>
        <v>3.6</v>
      </c>
      <c r="AH142" s="1"/>
      <c r="AI142" s="66">
        <f>L69-AE142</f>
        <v>0</v>
      </c>
      <c r="AJ142" s="1"/>
      <c r="AK142" s="104">
        <f>ROUND((AI142/AE142)*100,1)</f>
        <v>0</v>
      </c>
      <c r="AL142" s="1"/>
      <c r="AM142" s="66"/>
      <c r="AN142" s="1"/>
      <c r="AO142" s="66">
        <f>AM142+AE142</f>
        <v>226</v>
      </c>
      <c r="AP142" s="1"/>
      <c r="AQ142" s="104">
        <f>ROUND((AI142/AO142)*100,1)</f>
        <v>0</v>
      </c>
      <c r="AU142" s="408"/>
      <c r="AV142" s="1"/>
      <c r="AW142" s="1"/>
    </row>
    <row r="143" spans="1:49" ht="20.100000000000001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57"/>
      <c r="K143" s="49"/>
      <c r="L143" s="49"/>
      <c r="M143" s="49"/>
      <c r="N143" s="49"/>
      <c r="O143" s="49"/>
      <c r="P143" s="49"/>
      <c r="Q143" s="49"/>
      <c r="R143" s="49"/>
      <c r="T143" s="41">
        <f>A70</f>
        <v>45</v>
      </c>
      <c r="V143" s="133" t="s">
        <v>463</v>
      </c>
      <c r="X143" s="42"/>
      <c r="Y143" s="66"/>
      <c r="Z143" s="1"/>
      <c r="AA143" s="66"/>
      <c r="AB143" s="1"/>
      <c r="AC143" s="407"/>
      <c r="AD143" s="1"/>
      <c r="AE143" s="72">
        <f>SUM(AE141:AE142)</f>
        <v>249</v>
      </c>
      <c r="AF143" s="1"/>
      <c r="AG143" s="104">
        <f>ROUND((AE143/AE$145)*100,1)</f>
        <v>4</v>
      </c>
      <c r="AH143" s="1"/>
      <c r="AI143" s="72">
        <f>SUM(AI141:AI142)</f>
        <v>1</v>
      </c>
      <c r="AJ143" s="1"/>
      <c r="AK143" s="105">
        <f>ROUND((AI143/AE143)*100,1)</f>
        <v>0.4</v>
      </c>
      <c r="AL143" s="1"/>
      <c r="AM143" s="72"/>
      <c r="AN143" s="1"/>
      <c r="AO143" s="72">
        <f>SUM(AO141:AO142)</f>
        <v>249</v>
      </c>
      <c r="AP143" s="1"/>
      <c r="AQ143" s="105">
        <f>ROUND((AI143/AO143)*100,1)</f>
        <v>0.4</v>
      </c>
      <c r="AU143" s="408"/>
      <c r="AV143" s="1"/>
      <c r="AW143" s="1"/>
    </row>
    <row r="144" spans="1:49">
      <c r="A144" s="49"/>
      <c r="B144" s="49"/>
      <c r="C144" s="49"/>
      <c r="D144" s="49"/>
      <c r="E144" s="49"/>
      <c r="F144" s="49"/>
      <c r="G144" s="49"/>
      <c r="H144" s="49"/>
      <c r="I144" s="49"/>
      <c r="J144" s="57"/>
      <c r="K144" s="49"/>
      <c r="L144" s="49"/>
      <c r="M144" s="49"/>
      <c r="N144" s="49"/>
      <c r="O144" s="49"/>
      <c r="P144" s="49"/>
      <c r="Q144" s="49"/>
      <c r="R144" s="49"/>
      <c r="V144" s="133"/>
      <c r="X144" s="42"/>
      <c r="Y144" s="3"/>
      <c r="Z144" s="1"/>
      <c r="AA144" s="3"/>
      <c r="AB144" s="1"/>
      <c r="AC144" s="407"/>
      <c r="AD144" s="1"/>
      <c r="AE144" s="3"/>
      <c r="AF144" s="1"/>
      <c r="AG144" s="103"/>
      <c r="AH144" s="1"/>
      <c r="AI144" s="3"/>
      <c r="AJ144" s="1"/>
      <c r="AK144" s="103"/>
      <c r="AL144" s="1"/>
      <c r="AM144" s="3"/>
      <c r="AN144" s="1"/>
      <c r="AO144" s="3"/>
      <c r="AP144" s="1"/>
      <c r="AQ144" s="103"/>
      <c r="AU144" s="408"/>
      <c r="AV144" s="1"/>
      <c r="AW144" s="1"/>
    </row>
    <row r="145" spans="3:49" ht="20.100000000000001" customHeight="1" thickBot="1">
      <c r="C145" s="42"/>
      <c r="D145" s="42"/>
      <c r="E145" s="42"/>
      <c r="J145" s="56"/>
      <c r="T145" s="41">
        <f>A72</f>
        <v>46</v>
      </c>
      <c r="V145" s="133" t="s">
        <v>471</v>
      </c>
      <c r="X145" s="42"/>
      <c r="Y145" s="67">
        <f>Y138</f>
        <v>2064</v>
      </c>
      <c r="Z145" s="405"/>
      <c r="AA145" s="67">
        <f>AA138</f>
        <v>91284</v>
      </c>
      <c r="AB145" s="1"/>
      <c r="AC145" s="1"/>
      <c r="AD145" s="1"/>
      <c r="AE145" s="67">
        <f>AE143+AE138</f>
        <v>6277</v>
      </c>
      <c r="AF145" s="1"/>
      <c r="AG145" s="106">
        <v>100</v>
      </c>
      <c r="AH145" s="1"/>
      <c r="AI145" s="67">
        <f>AI143+AI138</f>
        <v>861</v>
      </c>
      <c r="AJ145" s="1"/>
      <c r="AK145" s="106">
        <f>ROUND((AI145/AE145)*100,1)</f>
        <v>13.7</v>
      </c>
      <c r="AL145" s="1"/>
      <c r="AM145" s="402">
        <f>ROUND(AA145*CUR_FAC,0)</f>
        <v>318</v>
      </c>
      <c r="AN145" s="1"/>
      <c r="AO145" s="67">
        <f>AO143+AO138</f>
        <v>6595</v>
      </c>
      <c r="AP145" s="1"/>
      <c r="AQ145" s="106">
        <f>ROUND((AI145/AO145)*100,1)</f>
        <v>13.1</v>
      </c>
    </row>
    <row r="146" spans="3:49" ht="15" customHeight="1" thickTop="1">
      <c r="J146" s="56"/>
      <c r="V146" s="42"/>
      <c r="W146" s="48"/>
      <c r="X146" s="42"/>
      <c r="Y146" s="3"/>
      <c r="Z146" s="1"/>
      <c r="AA146" s="1"/>
      <c r="AB146" s="1"/>
      <c r="AC146" s="1"/>
      <c r="AD146" s="1"/>
      <c r="AE146" s="1"/>
      <c r="AF146" s="1"/>
      <c r="AG146" s="103"/>
      <c r="AH146" s="1"/>
      <c r="AI146" s="1"/>
      <c r="AJ146" s="1"/>
      <c r="AK146" s="103"/>
      <c r="AL146" s="1"/>
      <c r="AM146" s="1"/>
      <c r="AN146" s="1"/>
      <c r="AO146" s="1"/>
      <c r="AP146" s="1"/>
      <c r="AQ146" s="103"/>
    </row>
    <row r="147" spans="3:49">
      <c r="C147" s="42"/>
      <c r="F147" s="164"/>
      <c r="H147" s="329"/>
      <c r="I147" s="329"/>
      <c r="J147" s="132"/>
      <c r="K147" s="316"/>
      <c r="L147" s="45"/>
      <c r="M147" s="45"/>
      <c r="R147" s="45"/>
      <c r="V147" s="140" t="s">
        <v>76</v>
      </c>
      <c r="W147" s="42"/>
      <c r="X147" s="42"/>
      <c r="Y147" s="3"/>
      <c r="Z147" s="1"/>
      <c r="AA147" s="1"/>
      <c r="AB147" s="1"/>
      <c r="AC147" s="1"/>
      <c r="AD147" s="1"/>
      <c r="AE147" s="1"/>
      <c r="AF147" s="1"/>
      <c r="AG147" s="103"/>
      <c r="AH147" s="1"/>
      <c r="AI147" s="1"/>
      <c r="AJ147" s="1"/>
      <c r="AK147" s="103"/>
      <c r="AL147" s="1"/>
      <c r="AM147" s="1"/>
      <c r="AN147" s="1"/>
      <c r="AO147" s="1"/>
      <c r="AP147" s="1"/>
      <c r="AQ147" s="103"/>
    </row>
    <row r="148" spans="3:49">
      <c r="F148" s="164"/>
      <c r="H148" s="329"/>
      <c r="I148" s="329"/>
      <c r="J148" s="132"/>
      <c r="K148" s="329"/>
      <c r="R148" s="45"/>
      <c r="V148" s="140" t="str">
        <f>"(2) REFLECTS FUEL COMPONENT OF "&amp;TEXT(CUR_FAC,"$0.000000;($0.000000)")&amp;" PER KWH."</f>
        <v>(2) REFLECTS FUEL COMPONENT OF $0.003487 PER KWH.</v>
      </c>
      <c r="W148" s="42"/>
      <c r="X148" s="42"/>
      <c r="Y148" s="45"/>
      <c r="AD148" s="1"/>
    </row>
    <row r="149" spans="3:49">
      <c r="C149" s="42"/>
      <c r="F149" s="164"/>
      <c r="H149" s="164"/>
      <c r="I149" s="164"/>
      <c r="J149" s="132"/>
      <c r="K149" s="331"/>
      <c r="L149" s="45"/>
      <c r="M149" s="45"/>
      <c r="N149" s="46"/>
      <c r="O149" s="46"/>
      <c r="P149" s="164"/>
      <c r="Q149" s="164"/>
      <c r="R149" s="45"/>
      <c r="V149" s="140" t="str">
        <f>"(3) REFLECTS FUEL COST RECOVERY INCLUDED IN BASE RATES OF "&amp;TEXT(CUR_BASE_FUEL,"$0.000000;($0.000000)")&amp;"  PER KWH."</f>
        <v>(3) REFLECTS FUEL COST RECOVERY INCLUDED IN BASE RATES OF $0.033780  PER KWH.</v>
      </c>
      <c r="W149" s="42"/>
      <c r="X149" s="42"/>
      <c r="Y149" s="3"/>
      <c r="Z149" s="1"/>
      <c r="AA149" s="3"/>
      <c r="AB149" s="1"/>
      <c r="AC149" s="5"/>
      <c r="AD149" s="1"/>
      <c r="AE149" s="3"/>
      <c r="AF149" s="1"/>
      <c r="AG149" s="103"/>
      <c r="AH149" s="1"/>
      <c r="AI149" s="3"/>
      <c r="AJ149" s="1"/>
      <c r="AK149" s="103"/>
      <c r="AL149" s="1"/>
      <c r="AM149" s="3"/>
      <c r="AN149" s="1"/>
      <c r="AO149" s="3"/>
      <c r="AP149" s="1"/>
      <c r="AQ149" s="103"/>
      <c r="AW149" s="3"/>
    </row>
    <row r="150" spans="3:49">
      <c r="F150" s="50"/>
      <c r="H150" s="50"/>
      <c r="I150" s="50"/>
      <c r="J150" s="132"/>
      <c r="K150" s="326"/>
      <c r="L150" s="50"/>
      <c r="M150" s="50"/>
      <c r="N150" s="50"/>
      <c r="O150" s="50"/>
      <c r="P150" s="50"/>
      <c r="Q150" s="50"/>
      <c r="R150" s="50"/>
      <c r="V150" s="42"/>
      <c r="W150" s="42"/>
      <c r="X150" s="42"/>
      <c r="Y150" s="3"/>
      <c r="Z150" s="1"/>
      <c r="AA150" s="1"/>
      <c r="AB150" s="1"/>
      <c r="AC150" s="1"/>
      <c r="AD150" s="1"/>
      <c r="AE150" s="1"/>
      <c r="AF150" s="1"/>
      <c r="AG150" s="103"/>
      <c r="AH150" s="1"/>
      <c r="AI150" s="1"/>
      <c r="AJ150" s="1"/>
      <c r="AK150" s="103"/>
      <c r="AL150" s="1"/>
      <c r="AM150" s="1"/>
      <c r="AN150" s="1"/>
      <c r="AO150" s="1"/>
      <c r="AP150" s="1"/>
      <c r="AQ150" s="103"/>
      <c r="AW150" s="1"/>
    </row>
    <row r="151" spans="3:49">
      <c r="D151" s="42"/>
      <c r="E151" s="42"/>
      <c r="F151" s="45"/>
      <c r="H151" s="45"/>
      <c r="I151" s="45"/>
      <c r="J151" s="56"/>
      <c r="K151" s="47"/>
      <c r="L151" s="45"/>
      <c r="M151" s="45"/>
      <c r="N151" s="46"/>
      <c r="O151" s="46"/>
      <c r="P151" s="45"/>
      <c r="Q151" s="45"/>
      <c r="R151" s="45"/>
      <c r="W151" s="42"/>
      <c r="Y151" s="3"/>
      <c r="Z151" s="1"/>
      <c r="AA151" s="1"/>
      <c r="AB151" s="1"/>
      <c r="AC151" s="5"/>
      <c r="AD151" s="1"/>
      <c r="AE151" s="1"/>
      <c r="AF151" s="1"/>
      <c r="AG151" s="103"/>
      <c r="AH151" s="1"/>
      <c r="AI151" s="1"/>
      <c r="AJ151" s="1"/>
      <c r="AK151" s="103"/>
      <c r="AL151" s="1"/>
      <c r="AM151" s="1"/>
      <c r="AN151" s="1"/>
      <c r="AO151" s="1"/>
      <c r="AP151" s="1"/>
      <c r="AQ151" s="103"/>
      <c r="AW151" s="1"/>
    </row>
    <row r="152" spans="3:49">
      <c r="F152" s="50"/>
      <c r="H152" s="50"/>
      <c r="I152" s="50"/>
      <c r="J152" s="132"/>
      <c r="K152" s="326"/>
      <c r="L152" s="50"/>
      <c r="M152" s="50"/>
      <c r="N152" s="50"/>
      <c r="O152" s="50"/>
      <c r="P152" s="50"/>
      <c r="Q152" s="50"/>
      <c r="R152" s="50"/>
      <c r="W152" s="42"/>
      <c r="Y152" s="3"/>
      <c r="Z152" s="1"/>
      <c r="AA152" s="3"/>
      <c r="AB152" s="1"/>
      <c r="AW152" s="68"/>
    </row>
    <row r="153" spans="3:49">
      <c r="J153" s="56"/>
      <c r="R153" s="45"/>
      <c r="V153" s="42"/>
      <c r="Y153" s="3"/>
      <c r="Z153" s="1"/>
      <c r="AA153" s="1"/>
      <c r="AB153" s="1"/>
      <c r="AC153" s="5"/>
      <c r="AD153" s="1"/>
      <c r="AE153" s="1"/>
      <c r="AF153" s="1"/>
      <c r="AG153" s="103"/>
      <c r="AH153" s="1"/>
      <c r="AI153" s="1"/>
      <c r="AJ153" s="1"/>
      <c r="AK153" s="103"/>
      <c r="AL153" s="1"/>
      <c r="AM153" s="1"/>
      <c r="AN153" s="1"/>
      <c r="AO153" s="1"/>
      <c r="AP153" s="1"/>
      <c r="AQ153" s="103"/>
    </row>
    <row r="154" spans="3:49">
      <c r="J154" s="56"/>
      <c r="R154" s="45"/>
    </row>
    <row r="155" spans="3:49">
      <c r="J155" s="56"/>
      <c r="R155" s="45"/>
    </row>
    <row r="156" spans="3:49">
      <c r="C156" s="42"/>
      <c r="D156" s="42"/>
      <c r="E156" s="42"/>
      <c r="H156" s="45"/>
      <c r="I156" s="45"/>
      <c r="J156" s="56"/>
      <c r="K156" s="47"/>
      <c r="L156" s="45"/>
      <c r="M156" s="45"/>
      <c r="N156" s="46"/>
      <c r="O156" s="46"/>
      <c r="P156" s="45"/>
      <c r="Q156" s="45"/>
      <c r="R156" s="45"/>
      <c r="T156" s="42"/>
      <c r="U156" s="42"/>
      <c r="Y156" s="45"/>
      <c r="Z156" s="47"/>
      <c r="AA156" s="45"/>
      <c r="AB156" s="45"/>
      <c r="AC156" s="46"/>
      <c r="AD156" s="46"/>
    </row>
    <row r="157" spans="3:49">
      <c r="H157" s="45"/>
      <c r="I157" s="45"/>
      <c r="J157" s="56"/>
      <c r="K157" s="47"/>
      <c r="L157" s="45"/>
      <c r="M157" s="45"/>
      <c r="N157" s="46"/>
      <c r="O157" s="46"/>
      <c r="P157" s="45"/>
      <c r="Q157" s="45"/>
      <c r="R157" s="45"/>
      <c r="Y157" s="45"/>
      <c r="Z157" s="47"/>
      <c r="AA157" s="45"/>
      <c r="AB157" s="45"/>
      <c r="AC157" s="46"/>
      <c r="AD157" s="46"/>
    </row>
    <row r="158" spans="3:49">
      <c r="C158" s="42"/>
      <c r="F158" s="164"/>
      <c r="H158" s="164"/>
      <c r="I158" s="164"/>
      <c r="J158" s="58"/>
      <c r="K158" s="52"/>
      <c r="L158" s="164"/>
      <c r="M158" s="164"/>
      <c r="N158" s="46"/>
      <c r="O158" s="46"/>
      <c r="P158" s="45"/>
      <c r="Q158" s="45"/>
      <c r="R158" s="45"/>
      <c r="T158" s="42"/>
      <c r="V158" s="45"/>
      <c r="Y158" s="45"/>
      <c r="Z158" s="52"/>
      <c r="AA158" s="45"/>
      <c r="AB158" s="45"/>
      <c r="AC158" s="46"/>
      <c r="AD158" s="46"/>
      <c r="AE158" s="45"/>
      <c r="AF158" s="45"/>
      <c r="AH158" s="51"/>
      <c r="AI158" s="45"/>
      <c r="AJ158" s="45"/>
      <c r="AL158" s="45"/>
      <c r="AM158" s="46"/>
      <c r="AN158" s="46"/>
    </row>
    <row r="159" spans="3:49">
      <c r="F159" s="164"/>
      <c r="H159" s="329"/>
      <c r="I159" s="329"/>
      <c r="J159" s="132"/>
      <c r="K159" s="329"/>
      <c r="R159" s="45"/>
      <c r="V159" s="45"/>
      <c r="Z159" s="329"/>
    </row>
    <row r="160" spans="3:49">
      <c r="C160" s="42"/>
      <c r="F160" s="164"/>
      <c r="H160" s="164"/>
      <c r="I160" s="164"/>
      <c r="J160" s="132"/>
      <c r="K160" s="316"/>
      <c r="L160" s="45"/>
      <c r="M160" s="45"/>
      <c r="N160" s="46"/>
      <c r="O160" s="46"/>
      <c r="P160" s="45"/>
      <c r="Q160" s="45"/>
      <c r="R160" s="45"/>
      <c r="T160" s="42"/>
      <c r="V160" s="45"/>
      <c r="Y160" s="45"/>
      <c r="Z160" s="316"/>
      <c r="AA160" s="45"/>
      <c r="AB160" s="45"/>
      <c r="AC160" s="46"/>
      <c r="AD160" s="46"/>
      <c r="AE160" s="45"/>
      <c r="AF160" s="45"/>
      <c r="AH160" s="51"/>
      <c r="AI160" s="45"/>
      <c r="AJ160" s="45"/>
      <c r="AL160" s="45"/>
      <c r="AM160" s="46"/>
      <c r="AN160" s="46"/>
    </row>
    <row r="161" spans="1:40">
      <c r="F161" s="164"/>
      <c r="H161" s="329"/>
      <c r="I161" s="329"/>
      <c r="J161" s="132"/>
      <c r="K161" s="329"/>
      <c r="R161" s="45"/>
      <c r="V161" s="45"/>
      <c r="Z161" s="329"/>
    </row>
    <row r="162" spans="1:40">
      <c r="C162" s="42"/>
      <c r="F162" s="164"/>
      <c r="H162" s="164"/>
      <c r="I162" s="164"/>
      <c r="J162" s="132"/>
      <c r="K162" s="331"/>
      <c r="L162" s="45"/>
      <c r="M162" s="45"/>
      <c r="N162" s="46"/>
      <c r="O162" s="46"/>
      <c r="P162" s="45"/>
      <c r="Q162" s="45"/>
      <c r="R162" s="45"/>
      <c r="T162" s="42"/>
      <c r="V162" s="45"/>
      <c r="Y162" s="45"/>
      <c r="Z162" s="325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1:40">
      <c r="F163" s="50"/>
      <c r="H163" s="50"/>
      <c r="I163" s="50"/>
      <c r="J163" s="132"/>
      <c r="K163" s="326"/>
      <c r="L163" s="50"/>
      <c r="M163" s="50"/>
      <c r="N163" s="50"/>
      <c r="O163" s="50"/>
      <c r="P163" s="50"/>
      <c r="Q163" s="50"/>
      <c r="R163" s="50"/>
      <c r="S163" s="45"/>
      <c r="V163" s="50"/>
      <c r="Y163" s="50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</row>
    <row r="164" spans="1:40">
      <c r="D164" s="42"/>
      <c r="E164" s="42"/>
      <c r="F164" s="45"/>
      <c r="H164" s="45"/>
      <c r="I164" s="45"/>
      <c r="J164" s="56"/>
      <c r="K164" s="47"/>
      <c r="L164" s="45"/>
      <c r="M164" s="45"/>
      <c r="N164" s="46"/>
      <c r="O164" s="46"/>
      <c r="P164" s="164"/>
      <c r="Q164" s="164"/>
      <c r="R164" s="45"/>
      <c r="S164" s="45"/>
      <c r="U164" s="42"/>
      <c r="V164" s="45"/>
      <c r="Y164" s="45"/>
      <c r="Z164" s="47"/>
      <c r="AA164" s="45"/>
      <c r="AB164" s="45"/>
      <c r="AC164" s="46"/>
      <c r="AD164" s="46"/>
      <c r="AE164" s="45"/>
      <c r="AF164" s="45"/>
      <c r="AH164" s="51"/>
      <c r="AI164" s="164"/>
      <c r="AJ164" s="164"/>
      <c r="AL164" s="45"/>
      <c r="AM164" s="46"/>
      <c r="AN164" s="46"/>
    </row>
    <row r="165" spans="1:40">
      <c r="F165" s="50"/>
      <c r="H165" s="50"/>
      <c r="I165" s="50"/>
      <c r="J165" s="132"/>
      <c r="K165" s="326"/>
      <c r="L165" s="50"/>
      <c r="M165" s="50"/>
      <c r="N165" s="50"/>
      <c r="O165" s="50"/>
      <c r="P165" s="50"/>
      <c r="Q165" s="50"/>
      <c r="R165" s="50"/>
      <c r="S165" s="45"/>
      <c r="V165" s="50"/>
      <c r="Y165" s="50"/>
      <c r="Z165" s="326"/>
      <c r="AA165" s="50"/>
      <c r="AB165" s="50"/>
      <c r="AC165" s="50"/>
      <c r="AD165" s="50"/>
      <c r="AE165" s="50"/>
      <c r="AF165" s="50"/>
      <c r="AI165" s="50"/>
      <c r="AJ165" s="50"/>
      <c r="AK165" s="111"/>
      <c r="AL165" s="50"/>
    </row>
    <row r="166" spans="1:40">
      <c r="J166" s="56"/>
      <c r="R166" s="45"/>
    </row>
    <row r="167" spans="1:40">
      <c r="F167" s="45"/>
      <c r="H167" s="45"/>
      <c r="I167" s="45"/>
      <c r="J167" s="56"/>
      <c r="K167" s="47"/>
      <c r="L167" s="45"/>
      <c r="M167" s="45"/>
      <c r="N167" s="45"/>
      <c r="O167" s="45"/>
      <c r="P167" s="45"/>
      <c r="Q167" s="45"/>
      <c r="R167" s="45"/>
      <c r="V167" s="45"/>
      <c r="Y167" s="45"/>
      <c r="Z167" s="47"/>
      <c r="AA167" s="45"/>
      <c r="AB167" s="45"/>
      <c r="AC167" s="45"/>
      <c r="AD167" s="45"/>
    </row>
    <row r="168" spans="1:40">
      <c r="C168" s="42"/>
      <c r="F168" s="45"/>
      <c r="H168" s="45"/>
      <c r="I168" s="45"/>
      <c r="J168" s="56"/>
      <c r="K168" s="47"/>
      <c r="L168" s="45"/>
      <c r="M168" s="45"/>
      <c r="N168" s="45"/>
      <c r="O168" s="45"/>
      <c r="P168" s="45"/>
      <c r="Q168" s="45"/>
      <c r="R168" s="45"/>
      <c r="T168" s="42"/>
      <c r="V168" s="45"/>
      <c r="Y168" s="45"/>
      <c r="Z168" s="47"/>
      <c r="AA168" s="45"/>
      <c r="AB168" s="45"/>
      <c r="AC168" s="45"/>
      <c r="AD168" s="45"/>
    </row>
    <row r="169" spans="1:40">
      <c r="C169" s="42"/>
      <c r="J169" s="56"/>
      <c r="T169" s="42"/>
    </row>
    <row r="170" spans="1:40">
      <c r="A170" s="42"/>
      <c r="J170" s="56"/>
    </row>
    <row r="171" spans="1:40">
      <c r="J171" s="56"/>
    </row>
    <row r="172" spans="1:40">
      <c r="J172" s="56"/>
    </row>
    <row r="173" spans="1:40">
      <c r="H173" s="42"/>
      <c r="I173" s="42"/>
      <c r="J173" s="56"/>
      <c r="Y173" s="42"/>
    </row>
    <row r="174" spans="1:40">
      <c r="J174" s="56"/>
    </row>
    <row r="175" spans="1:40">
      <c r="J175" s="56"/>
      <c r="L175" s="42"/>
      <c r="M175" s="42"/>
      <c r="AA175" s="42"/>
      <c r="AB175" s="42"/>
    </row>
    <row r="176" spans="1:40">
      <c r="J176" s="56"/>
      <c r="R176" s="42"/>
      <c r="AK176" s="110"/>
      <c r="AL176" s="42"/>
    </row>
    <row r="177" spans="1:40">
      <c r="J177" s="56"/>
      <c r="R177" s="42"/>
      <c r="AK177" s="110"/>
      <c r="AL177" s="42"/>
    </row>
    <row r="178" spans="1:40">
      <c r="A178" s="42"/>
      <c r="J178" s="56"/>
      <c r="R178" s="42"/>
      <c r="AK178" s="110"/>
      <c r="AL178" s="42"/>
    </row>
    <row r="179" spans="1:40">
      <c r="J179" s="56"/>
      <c r="L179" s="42"/>
      <c r="M179" s="42"/>
      <c r="AA179" s="42"/>
      <c r="AB179" s="42"/>
    </row>
    <row r="180" spans="1:40">
      <c r="A180" s="49"/>
      <c r="B180" s="49"/>
      <c r="C180" s="49"/>
      <c r="D180" s="49"/>
      <c r="E180" s="49"/>
      <c r="F180" s="49"/>
      <c r="G180" s="49"/>
      <c r="H180" s="49"/>
      <c r="I180" s="49"/>
      <c r="J180" s="57"/>
      <c r="K180" s="49"/>
      <c r="L180" s="49"/>
      <c r="M180" s="49"/>
      <c r="N180" s="49"/>
      <c r="O180" s="49"/>
      <c r="P180" s="49"/>
      <c r="Q180" s="49"/>
      <c r="R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107"/>
      <c r="AH180" s="49"/>
      <c r="AI180" s="49"/>
      <c r="AJ180" s="49"/>
      <c r="AK180" s="107"/>
      <c r="AL180" s="49"/>
      <c r="AM180" s="49"/>
      <c r="AN180" s="49"/>
    </row>
    <row r="181" spans="1:40">
      <c r="J181" s="56"/>
      <c r="L181" s="44"/>
      <c r="M181" s="44"/>
      <c r="N181" s="44"/>
      <c r="O181" s="44"/>
      <c r="R181" s="44"/>
      <c r="AA181" s="44"/>
      <c r="AB181" s="44"/>
      <c r="AC181" s="44"/>
      <c r="AD181" s="44"/>
      <c r="AE181" s="44"/>
      <c r="AF181" s="44"/>
      <c r="AG181" s="102"/>
      <c r="AH181" s="44"/>
      <c r="AK181" s="102"/>
      <c r="AL181" s="44"/>
      <c r="AM181" s="44"/>
      <c r="AN181" s="44"/>
    </row>
    <row r="182" spans="1:40">
      <c r="J182" s="56"/>
      <c r="L182" s="44"/>
      <c r="M182" s="44"/>
      <c r="N182" s="44"/>
      <c r="O182" s="44"/>
      <c r="R182" s="44"/>
      <c r="Z182" s="44"/>
      <c r="AA182" s="44"/>
      <c r="AB182" s="44"/>
      <c r="AC182" s="44"/>
      <c r="AD182" s="44"/>
      <c r="AE182" s="44"/>
      <c r="AF182" s="44"/>
      <c r="AG182" s="102"/>
      <c r="AH182" s="44"/>
      <c r="AK182" s="102"/>
      <c r="AL182" s="44"/>
      <c r="AM182" s="44"/>
      <c r="AN182" s="44"/>
    </row>
    <row r="183" spans="1:40">
      <c r="A183" s="44"/>
      <c r="C183" s="44"/>
      <c r="D183" s="44"/>
      <c r="E183" s="44"/>
      <c r="F183" s="44"/>
      <c r="J183" s="58"/>
      <c r="K183" s="44"/>
      <c r="L183" s="44"/>
      <c r="M183" s="44"/>
      <c r="N183" s="44"/>
      <c r="O183" s="44"/>
      <c r="P183" s="44"/>
      <c r="Q183" s="44"/>
      <c r="R183" s="44"/>
      <c r="T183" s="44"/>
      <c r="U183" s="44"/>
      <c r="V183" s="44"/>
      <c r="Z183" s="44"/>
      <c r="AA183" s="44"/>
      <c r="AB183" s="44"/>
      <c r="AC183" s="44"/>
      <c r="AD183" s="44"/>
      <c r="AE183" s="44"/>
      <c r="AF183" s="44"/>
      <c r="AG183" s="102"/>
      <c r="AH183" s="44"/>
      <c r="AI183" s="44"/>
      <c r="AJ183" s="44"/>
      <c r="AK183" s="102"/>
      <c r="AL183" s="44"/>
      <c r="AM183" s="44"/>
      <c r="AN183" s="44"/>
    </row>
    <row r="184" spans="1:40">
      <c r="A184" s="44"/>
      <c r="C184" s="44"/>
      <c r="D184" s="44"/>
      <c r="E184" s="44"/>
      <c r="F184" s="44"/>
      <c r="H184" s="44"/>
      <c r="I184" s="44"/>
      <c r="J184" s="58"/>
      <c r="K184" s="44"/>
      <c r="L184" s="44"/>
      <c r="M184" s="44"/>
      <c r="N184" s="44"/>
      <c r="O184" s="44"/>
      <c r="P184" s="44"/>
      <c r="Q184" s="44"/>
      <c r="R184" s="44"/>
      <c r="T184" s="44"/>
      <c r="U184" s="44"/>
      <c r="V184" s="44"/>
      <c r="Y184" s="44"/>
      <c r="Z184" s="44"/>
      <c r="AA184" s="44"/>
      <c r="AB184" s="44"/>
      <c r="AC184" s="44"/>
      <c r="AD184" s="44"/>
      <c r="AE184" s="44"/>
      <c r="AF184" s="44"/>
      <c r="AG184" s="102"/>
      <c r="AH184" s="44"/>
      <c r="AI184" s="44"/>
      <c r="AJ184" s="44"/>
      <c r="AK184" s="102"/>
      <c r="AL184" s="44"/>
      <c r="AM184" s="44"/>
      <c r="AN184" s="44"/>
    </row>
    <row r="185" spans="1:40">
      <c r="C185" s="44"/>
      <c r="D185" s="44"/>
      <c r="E185" s="44"/>
      <c r="F185" s="44"/>
      <c r="H185" s="44"/>
      <c r="I185" s="44"/>
      <c r="J185" s="58"/>
      <c r="K185" s="44"/>
      <c r="L185" s="44"/>
      <c r="M185" s="44"/>
      <c r="N185" s="44"/>
      <c r="O185" s="44"/>
      <c r="P185" s="44"/>
      <c r="Q185" s="44"/>
      <c r="R185" s="44"/>
      <c r="T185" s="44"/>
      <c r="U185" s="44"/>
      <c r="V185" s="44"/>
      <c r="Y185" s="44"/>
      <c r="Z185" s="44"/>
      <c r="AA185" s="44"/>
      <c r="AB185" s="44"/>
      <c r="AC185" s="44"/>
      <c r="AD185" s="44"/>
      <c r="AE185" s="44"/>
      <c r="AF185" s="44"/>
      <c r="AG185" s="102"/>
      <c r="AH185" s="44"/>
      <c r="AI185" s="44"/>
      <c r="AJ185" s="44"/>
      <c r="AK185" s="102"/>
      <c r="AL185" s="44"/>
      <c r="AM185" s="44"/>
      <c r="AN185" s="44"/>
    </row>
    <row r="186" spans="1:40">
      <c r="A186" s="49"/>
      <c r="B186" s="49"/>
      <c r="C186" s="49"/>
      <c r="D186" s="49"/>
      <c r="E186" s="49"/>
      <c r="F186" s="49"/>
      <c r="G186" s="49"/>
      <c r="H186" s="49"/>
      <c r="I186" s="49"/>
      <c r="J186" s="57"/>
      <c r="K186" s="49"/>
      <c r="L186" s="49"/>
      <c r="M186" s="49"/>
      <c r="N186" s="49"/>
      <c r="O186" s="49"/>
      <c r="P186" s="49"/>
      <c r="Q186" s="49"/>
      <c r="R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107"/>
      <c r="AH186" s="49"/>
      <c r="AI186" s="49"/>
      <c r="AJ186" s="49"/>
      <c r="AK186" s="107"/>
      <c r="AL186" s="49"/>
      <c r="AM186" s="49"/>
      <c r="AN186" s="49"/>
    </row>
    <row r="187" spans="1:40">
      <c r="H187" s="44"/>
      <c r="I187" s="44"/>
      <c r="J187" s="58"/>
      <c r="K187" s="44"/>
      <c r="L187" s="44"/>
      <c r="M187" s="44"/>
      <c r="N187" s="44"/>
      <c r="O187" s="44"/>
      <c r="P187" s="44"/>
      <c r="Q187" s="44"/>
      <c r="R187" s="44"/>
      <c r="Y187" s="44"/>
      <c r="Z187" s="44"/>
      <c r="AA187" s="44"/>
      <c r="AB187" s="44"/>
      <c r="AC187" s="44"/>
      <c r="AD187" s="44"/>
      <c r="AE187" s="44"/>
      <c r="AF187" s="44"/>
      <c r="AG187" s="102"/>
      <c r="AH187" s="44"/>
      <c r="AI187" s="44"/>
      <c r="AJ187" s="44"/>
      <c r="AK187" s="102"/>
      <c r="AL187" s="44"/>
      <c r="AM187" s="44"/>
      <c r="AN187" s="44"/>
    </row>
    <row r="188" spans="1:40">
      <c r="C188" s="42"/>
      <c r="D188" s="42"/>
      <c r="E188" s="42"/>
      <c r="J188" s="56"/>
      <c r="T188" s="42"/>
      <c r="U188" s="42"/>
    </row>
    <row r="189" spans="1:40">
      <c r="D189" s="42"/>
      <c r="E189" s="42"/>
      <c r="J189" s="56"/>
      <c r="U189" s="42"/>
    </row>
    <row r="190" spans="1:40">
      <c r="J190" s="56"/>
    </row>
    <row r="191" spans="1:40">
      <c r="C191" s="42"/>
      <c r="F191" s="45"/>
      <c r="J191" s="56"/>
      <c r="K191" s="53"/>
      <c r="L191" s="45"/>
      <c r="M191" s="45"/>
      <c r="R191" s="45"/>
      <c r="T191" s="42"/>
      <c r="V191" s="45"/>
      <c r="Z191" s="53"/>
      <c r="AA191" s="45"/>
      <c r="AB191" s="45"/>
      <c r="AL191" s="45"/>
    </row>
    <row r="192" spans="1:40">
      <c r="F192" s="45"/>
      <c r="J192" s="56"/>
      <c r="R192" s="45"/>
      <c r="V192" s="45"/>
      <c r="AL192" s="45"/>
    </row>
    <row r="193" spans="3:40">
      <c r="C193" s="42"/>
      <c r="F193" s="164"/>
      <c r="H193" s="164"/>
      <c r="I193" s="164"/>
      <c r="J193" s="132"/>
      <c r="K193" s="316"/>
      <c r="L193" s="45"/>
      <c r="M193" s="45"/>
      <c r="N193" s="46"/>
      <c r="O193" s="46"/>
      <c r="P193" s="45"/>
      <c r="Q193" s="45"/>
      <c r="R193" s="45"/>
      <c r="T193" s="42"/>
      <c r="V193" s="45"/>
      <c r="Y193" s="45"/>
      <c r="Z193" s="316"/>
      <c r="AA193" s="45"/>
      <c r="AB193" s="45"/>
      <c r="AC193" s="46"/>
      <c r="AD193" s="46"/>
      <c r="AE193" s="45"/>
      <c r="AF193" s="45"/>
      <c r="AH193" s="51"/>
      <c r="AI193" s="45"/>
      <c r="AJ193" s="45"/>
      <c r="AL193" s="45"/>
      <c r="AM193" s="46"/>
      <c r="AN193" s="46"/>
    </row>
    <row r="194" spans="3:40">
      <c r="C194" s="42"/>
      <c r="F194" s="164"/>
      <c r="H194" s="329"/>
      <c r="I194" s="329"/>
      <c r="J194" s="132"/>
      <c r="K194" s="316"/>
      <c r="L194" s="45"/>
      <c r="M194" s="45"/>
      <c r="N194" s="46"/>
      <c r="O194" s="46"/>
      <c r="P194" s="45"/>
      <c r="Q194" s="45"/>
      <c r="R194" s="45"/>
      <c r="T194" s="42"/>
      <c r="V194" s="45"/>
      <c r="Y194" s="45"/>
      <c r="Z194" s="316"/>
      <c r="AA194" s="45"/>
      <c r="AB194" s="45"/>
      <c r="AC194" s="46"/>
      <c r="AD194" s="46"/>
      <c r="AE194" s="45"/>
      <c r="AF194" s="45"/>
      <c r="AH194" s="51"/>
      <c r="AI194" s="45"/>
      <c r="AJ194" s="45"/>
      <c r="AL194" s="45"/>
      <c r="AM194" s="46"/>
      <c r="AN194" s="46"/>
    </row>
    <row r="195" spans="3:40">
      <c r="F195" s="50"/>
      <c r="H195" s="45"/>
      <c r="I195" s="45"/>
      <c r="J195" s="132"/>
      <c r="K195" s="326"/>
      <c r="L195" s="50"/>
      <c r="M195" s="50"/>
      <c r="N195" s="50"/>
      <c r="O195" s="50"/>
      <c r="P195" s="50"/>
      <c r="Q195" s="50"/>
      <c r="R195" s="50"/>
      <c r="V195" s="50"/>
      <c r="Y195" s="45"/>
      <c r="Z195" s="326"/>
      <c r="AA195" s="50"/>
      <c r="AB195" s="50"/>
      <c r="AC195" s="50"/>
      <c r="AD195" s="50"/>
      <c r="AE195" s="50"/>
      <c r="AF195" s="50"/>
      <c r="AI195" s="50"/>
      <c r="AJ195" s="50"/>
      <c r="AK195" s="111"/>
      <c r="AL195" s="50"/>
    </row>
    <row r="196" spans="3:40">
      <c r="C196" s="42"/>
      <c r="F196" s="45"/>
      <c r="H196" s="45"/>
      <c r="I196" s="45"/>
      <c r="J196" s="56"/>
      <c r="K196" s="47"/>
      <c r="L196" s="45"/>
      <c r="M196" s="45"/>
      <c r="N196" s="46"/>
      <c r="O196" s="46"/>
      <c r="P196" s="45"/>
      <c r="Q196" s="45"/>
      <c r="R196" s="45"/>
      <c r="T196" s="42"/>
      <c r="V196" s="45"/>
      <c r="Y196" s="45"/>
      <c r="Z196" s="47"/>
      <c r="AA196" s="45"/>
      <c r="AB196" s="45"/>
      <c r="AC196" s="46"/>
      <c r="AD196" s="46"/>
      <c r="AE196" s="45"/>
      <c r="AF196" s="45"/>
      <c r="AH196" s="51"/>
      <c r="AI196" s="45"/>
      <c r="AJ196" s="45"/>
      <c r="AL196" s="45"/>
      <c r="AM196" s="46"/>
      <c r="AN196" s="46"/>
    </row>
    <row r="197" spans="3:40">
      <c r="F197" s="50"/>
      <c r="H197" s="45"/>
      <c r="I197" s="45"/>
      <c r="J197" s="132"/>
      <c r="K197" s="326"/>
      <c r="L197" s="50"/>
      <c r="M197" s="50"/>
      <c r="N197" s="50"/>
      <c r="O197" s="50"/>
      <c r="P197" s="50"/>
      <c r="Q197" s="50"/>
      <c r="R197" s="50"/>
      <c r="V197" s="50"/>
      <c r="Y197" s="45"/>
      <c r="Z197" s="326"/>
      <c r="AA197" s="50"/>
      <c r="AB197" s="50"/>
      <c r="AC197" s="50"/>
      <c r="AD197" s="50"/>
      <c r="AE197" s="50"/>
      <c r="AF197" s="50"/>
      <c r="AI197" s="50"/>
      <c r="AJ197" s="50"/>
      <c r="AK197" s="111"/>
      <c r="AL197" s="50"/>
    </row>
    <row r="198" spans="3:40">
      <c r="F198" s="45"/>
      <c r="J198" s="56"/>
      <c r="R198" s="45"/>
      <c r="V198" s="45"/>
      <c r="AL198" s="45"/>
    </row>
    <row r="199" spans="3:40">
      <c r="C199" s="42"/>
      <c r="F199" s="45"/>
      <c r="J199" s="56"/>
      <c r="R199" s="45"/>
      <c r="T199" s="42"/>
      <c r="V199" s="45"/>
      <c r="AL199" s="45"/>
    </row>
    <row r="200" spans="3:40">
      <c r="F200" s="45"/>
      <c r="J200" s="56"/>
      <c r="R200" s="45"/>
      <c r="V200" s="45"/>
      <c r="AL200" s="45"/>
    </row>
    <row r="201" spans="3:40">
      <c r="C201" s="42"/>
      <c r="F201" s="45"/>
      <c r="H201" s="164"/>
      <c r="I201" s="164"/>
      <c r="J201" s="132"/>
      <c r="K201" s="331"/>
      <c r="L201" s="45"/>
      <c r="M201" s="45"/>
      <c r="N201" s="46"/>
      <c r="O201" s="46"/>
      <c r="P201" s="164"/>
      <c r="Q201" s="164"/>
      <c r="R201" s="45"/>
      <c r="T201" s="42"/>
      <c r="V201" s="45"/>
      <c r="Y201" s="45"/>
      <c r="Z201" s="325"/>
      <c r="AA201" s="45"/>
      <c r="AB201" s="45"/>
      <c r="AC201" s="46"/>
      <c r="AD201" s="46"/>
      <c r="AE201" s="45"/>
      <c r="AF201" s="45"/>
      <c r="AH201" s="51"/>
      <c r="AI201" s="164"/>
      <c r="AJ201" s="164"/>
      <c r="AL201" s="45"/>
      <c r="AM201" s="46"/>
      <c r="AN201" s="46"/>
    </row>
    <row r="202" spans="3:40">
      <c r="H202" s="50"/>
      <c r="I202" s="50"/>
      <c r="J202" s="132"/>
      <c r="K202" s="326"/>
      <c r="L202" s="50"/>
      <c r="M202" s="50"/>
      <c r="N202" s="50"/>
      <c r="O202" s="50"/>
      <c r="P202" s="50"/>
      <c r="Q202" s="50"/>
      <c r="R202" s="50"/>
      <c r="V202" s="50"/>
      <c r="Y202" s="50"/>
      <c r="Z202" s="326"/>
      <c r="AA202" s="50"/>
      <c r="AB202" s="50"/>
      <c r="AC202" s="50"/>
      <c r="AD202" s="50"/>
      <c r="AE202" s="50"/>
      <c r="AF202" s="50"/>
      <c r="AI202" s="50"/>
      <c r="AJ202" s="50"/>
      <c r="AK202" s="111"/>
      <c r="AL202" s="50"/>
    </row>
    <row r="203" spans="3:40">
      <c r="F203" s="50"/>
      <c r="J203" s="56"/>
    </row>
    <row r="204" spans="3:40">
      <c r="C204" s="42"/>
      <c r="F204" s="45"/>
      <c r="H204" s="45"/>
      <c r="I204" s="45"/>
      <c r="J204" s="56"/>
      <c r="K204" s="53"/>
      <c r="L204" s="45"/>
      <c r="M204" s="45"/>
      <c r="N204" s="46"/>
      <c r="O204" s="46"/>
      <c r="P204" s="45"/>
      <c r="Q204" s="45"/>
      <c r="R204" s="45"/>
      <c r="T204" s="42"/>
      <c r="V204" s="45"/>
      <c r="Y204" s="45"/>
      <c r="Z204" s="53"/>
      <c r="AA204" s="45"/>
      <c r="AB204" s="45"/>
      <c r="AC204" s="46"/>
      <c r="AD204" s="46"/>
      <c r="AE204" s="45"/>
      <c r="AF204" s="45"/>
      <c r="AH204" s="51"/>
      <c r="AI204" s="45"/>
      <c r="AJ204" s="45"/>
      <c r="AL204" s="45"/>
      <c r="AM204" s="46"/>
      <c r="AN204" s="46"/>
    </row>
    <row r="205" spans="3:40">
      <c r="F205" s="50"/>
      <c r="H205" s="50"/>
      <c r="I205" s="50"/>
      <c r="J205" s="132"/>
      <c r="K205" s="326"/>
      <c r="L205" s="50"/>
      <c r="M205" s="50"/>
      <c r="N205" s="50"/>
      <c r="O205" s="50"/>
      <c r="P205" s="50"/>
      <c r="Q205" s="50"/>
      <c r="R205" s="50"/>
      <c r="V205" s="50"/>
      <c r="Y205" s="50"/>
      <c r="Z205" s="326"/>
      <c r="AA205" s="50"/>
      <c r="AB205" s="50"/>
      <c r="AC205" s="50"/>
      <c r="AD205" s="50"/>
      <c r="AE205" s="50"/>
      <c r="AF205" s="50"/>
      <c r="AI205" s="50"/>
      <c r="AJ205" s="50"/>
      <c r="AK205" s="111"/>
      <c r="AL205" s="50"/>
    </row>
    <row r="206" spans="3:40">
      <c r="J206" s="56"/>
      <c r="R206" s="45"/>
      <c r="AH206" s="45"/>
    </row>
    <row r="207" spans="3:40">
      <c r="F207" s="45"/>
      <c r="H207" s="45"/>
      <c r="I207" s="45"/>
      <c r="J207" s="56"/>
      <c r="K207" s="47"/>
      <c r="L207" s="45"/>
      <c r="M207" s="45"/>
      <c r="N207" s="45"/>
      <c r="O207" s="45"/>
      <c r="P207" s="45"/>
      <c r="Q207" s="45"/>
      <c r="R207" s="45"/>
      <c r="V207" s="45"/>
      <c r="Y207" s="45"/>
      <c r="Z207" s="47"/>
      <c r="AA207" s="45"/>
      <c r="AB207" s="45"/>
      <c r="AC207" s="45"/>
      <c r="AD207" s="45"/>
      <c r="AE207" s="45"/>
      <c r="AF207" s="45"/>
      <c r="AH207" s="45"/>
    </row>
    <row r="208" spans="3:40">
      <c r="C208" s="42"/>
      <c r="F208" s="45"/>
      <c r="H208" s="45"/>
      <c r="I208" s="45"/>
      <c r="J208" s="56"/>
      <c r="K208" s="47"/>
      <c r="L208" s="45"/>
      <c r="M208" s="45"/>
      <c r="N208" s="45"/>
      <c r="O208" s="45"/>
      <c r="P208" s="45"/>
      <c r="Q208" s="45"/>
      <c r="R208" s="45"/>
      <c r="T208" s="42"/>
      <c r="V208" s="45"/>
      <c r="Y208" s="45"/>
      <c r="Z208" s="47"/>
      <c r="AA208" s="45"/>
      <c r="AB208" s="45"/>
      <c r="AC208" s="45"/>
      <c r="AD208" s="45"/>
      <c r="AE208" s="45"/>
      <c r="AF208" s="45"/>
      <c r="AH208" s="45"/>
    </row>
    <row r="209" spans="1:40">
      <c r="A209" s="42"/>
      <c r="J209" s="56"/>
    </row>
    <row r="210" spans="1:40">
      <c r="J210" s="56"/>
    </row>
    <row r="211" spans="1:40">
      <c r="J211" s="56"/>
    </row>
    <row r="212" spans="1:40">
      <c r="H212" s="42"/>
      <c r="I212" s="42"/>
      <c r="J212" s="56"/>
      <c r="Y212" s="42"/>
    </row>
    <row r="213" spans="1:40">
      <c r="J213" s="56"/>
    </row>
    <row r="214" spans="1:40">
      <c r="J214" s="56"/>
      <c r="L214" s="42"/>
      <c r="M214" s="42"/>
      <c r="AA214" s="42"/>
      <c r="AB214" s="42"/>
    </row>
    <row r="215" spans="1:40">
      <c r="J215" s="56"/>
      <c r="R215" s="42"/>
      <c r="AK215" s="110"/>
      <c r="AL215" s="42"/>
    </row>
    <row r="216" spans="1:40">
      <c r="J216" s="56"/>
      <c r="R216" s="42"/>
      <c r="AK216" s="110"/>
      <c r="AL216" s="42"/>
    </row>
    <row r="217" spans="1:40">
      <c r="A217" s="42"/>
      <c r="J217" s="56"/>
      <c r="R217" s="42"/>
      <c r="AK217" s="110"/>
      <c r="AL217" s="42"/>
    </row>
    <row r="218" spans="1:40">
      <c r="J218" s="56"/>
      <c r="L218" s="42"/>
      <c r="M218" s="42"/>
      <c r="AA218" s="42"/>
      <c r="AB218" s="42"/>
    </row>
    <row r="219" spans="1:40">
      <c r="A219" s="49"/>
      <c r="B219" s="49"/>
      <c r="C219" s="49"/>
      <c r="D219" s="49"/>
      <c r="E219" s="49"/>
      <c r="F219" s="49"/>
      <c r="G219" s="49"/>
      <c r="H219" s="49"/>
      <c r="I219" s="49"/>
      <c r="J219" s="57"/>
      <c r="K219" s="49"/>
      <c r="L219" s="49"/>
      <c r="M219" s="49"/>
      <c r="N219" s="49"/>
      <c r="O219" s="49"/>
      <c r="P219" s="49"/>
      <c r="Q219" s="49"/>
      <c r="R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107"/>
      <c r="AH219" s="49"/>
      <c r="AI219" s="49"/>
      <c r="AJ219" s="49"/>
      <c r="AK219" s="107"/>
      <c r="AL219" s="49"/>
      <c r="AM219" s="49"/>
      <c r="AN219" s="49"/>
    </row>
    <row r="220" spans="1:40">
      <c r="J220" s="56"/>
      <c r="L220" s="44"/>
      <c r="M220" s="44"/>
      <c r="N220" s="44"/>
      <c r="O220" s="44"/>
      <c r="R220" s="44"/>
      <c r="AA220" s="44"/>
      <c r="AB220" s="44"/>
      <c r="AC220" s="44"/>
      <c r="AD220" s="44"/>
      <c r="AE220" s="44"/>
      <c r="AF220" s="44"/>
      <c r="AG220" s="102"/>
      <c r="AH220" s="44"/>
      <c r="AK220" s="102"/>
      <c r="AL220" s="44"/>
      <c r="AM220" s="44"/>
      <c r="AN220" s="44"/>
    </row>
    <row r="221" spans="1:40">
      <c r="J221" s="56"/>
      <c r="L221" s="44"/>
      <c r="M221" s="44"/>
      <c r="N221" s="44"/>
      <c r="O221" s="44"/>
      <c r="R221" s="44"/>
      <c r="Z221" s="44"/>
      <c r="AA221" s="44"/>
      <c r="AB221" s="44"/>
      <c r="AC221" s="44"/>
      <c r="AD221" s="44"/>
      <c r="AE221" s="44"/>
      <c r="AF221" s="44"/>
      <c r="AG221" s="102"/>
      <c r="AH221" s="44"/>
      <c r="AK221" s="102"/>
      <c r="AL221" s="44"/>
      <c r="AM221" s="44"/>
      <c r="AN221" s="44"/>
    </row>
    <row r="222" spans="1:40">
      <c r="A222" s="44"/>
      <c r="C222" s="44"/>
      <c r="D222" s="44"/>
      <c r="E222" s="44"/>
      <c r="F222" s="44"/>
      <c r="J222" s="58"/>
      <c r="K222" s="44"/>
      <c r="L222" s="44"/>
      <c r="M222" s="44"/>
      <c r="N222" s="44"/>
      <c r="O222" s="44"/>
      <c r="P222" s="44"/>
      <c r="Q222" s="44"/>
      <c r="R222" s="44"/>
      <c r="T222" s="44"/>
      <c r="U222" s="44"/>
      <c r="V222" s="44"/>
      <c r="Z222" s="44"/>
      <c r="AA222" s="44"/>
      <c r="AB222" s="44"/>
      <c r="AC222" s="44"/>
      <c r="AD222" s="44"/>
      <c r="AE222" s="44"/>
      <c r="AF222" s="44"/>
      <c r="AG222" s="102"/>
      <c r="AH222" s="44"/>
      <c r="AI222" s="44"/>
      <c r="AJ222" s="44"/>
      <c r="AK222" s="102"/>
      <c r="AL222" s="44"/>
      <c r="AM222" s="44"/>
      <c r="AN222" s="44"/>
    </row>
    <row r="223" spans="1:40">
      <c r="A223" s="44"/>
      <c r="C223" s="44"/>
      <c r="D223" s="44"/>
      <c r="E223" s="44"/>
      <c r="F223" s="44"/>
      <c r="H223" s="44"/>
      <c r="I223" s="44"/>
      <c r="J223" s="58"/>
      <c r="K223" s="44"/>
      <c r="L223" s="44"/>
      <c r="M223" s="44"/>
      <c r="N223" s="44"/>
      <c r="O223" s="44"/>
      <c r="P223" s="44"/>
      <c r="Q223" s="44"/>
      <c r="R223" s="44"/>
      <c r="T223" s="44"/>
      <c r="U223" s="44"/>
      <c r="V223" s="44"/>
      <c r="Y223" s="44"/>
      <c r="Z223" s="44"/>
      <c r="AA223" s="44"/>
      <c r="AB223" s="44"/>
      <c r="AC223" s="44"/>
      <c r="AD223" s="44"/>
      <c r="AE223" s="44"/>
      <c r="AF223" s="44"/>
      <c r="AG223" s="102"/>
      <c r="AH223" s="44"/>
      <c r="AI223" s="44"/>
      <c r="AJ223" s="44"/>
      <c r="AK223" s="102"/>
      <c r="AL223" s="44"/>
      <c r="AM223" s="44"/>
      <c r="AN223" s="44"/>
    </row>
    <row r="224" spans="1:40">
      <c r="C224" s="44"/>
      <c r="D224" s="44"/>
      <c r="E224" s="44"/>
      <c r="F224" s="44"/>
      <c r="H224" s="44"/>
      <c r="I224" s="44"/>
      <c r="J224" s="58"/>
      <c r="K224" s="44"/>
      <c r="L224" s="44"/>
      <c r="M224" s="44"/>
      <c r="N224" s="44"/>
      <c r="O224" s="44"/>
      <c r="P224" s="44"/>
      <c r="Q224" s="44"/>
      <c r="R224" s="44"/>
      <c r="T224" s="44"/>
      <c r="U224" s="44"/>
      <c r="V224" s="44"/>
      <c r="Y224" s="44"/>
      <c r="Z224" s="44"/>
      <c r="AA224" s="44"/>
      <c r="AB224" s="44"/>
      <c r="AC224" s="44"/>
      <c r="AD224" s="44"/>
      <c r="AE224" s="44"/>
      <c r="AF224" s="44"/>
      <c r="AG224" s="102"/>
      <c r="AH224" s="44"/>
      <c r="AI224" s="44"/>
      <c r="AJ224" s="44"/>
      <c r="AK224" s="102"/>
      <c r="AL224" s="44"/>
      <c r="AM224" s="44"/>
      <c r="AN224" s="44"/>
    </row>
    <row r="225" spans="1:40">
      <c r="A225" s="49"/>
      <c r="B225" s="49"/>
      <c r="C225" s="49"/>
      <c r="D225" s="49"/>
      <c r="E225" s="49"/>
      <c r="F225" s="49"/>
      <c r="G225" s="49"/>
      <c r="H225" s="49"/>
      <c r="I225" s="49"/>
      <c r="J225" s="57"/>
      <c r="K225" s="49"/>
      <c r="L225" s="49"/>
      <c r="M225" s="49"/>
      <c r="N225" s="49"/>
      <c r="O225" s="49"/>
      <c r="P225" s="49"/>
      <c r="Q225" s="49"/>
      <c r="R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107"/>
      <c r="AH225" s="49"/>
      <c r="AI225" s="49"/>
      <c r="AJ225" s="49"/>
      <c r="AK225" s="107"/>
      <c r="AL225" s="49"/>
      <c r="AM225" s="49"/>
      <c r="AN225" s="49"/>
    </row>
    <row r="226" spans="1:40">
      <c r="H226" s="44"/>
      <c r="I226" s="44"/>
      <c r="J226" s="58"/>
      <c r="K226" s="44"/>
      <c r="L226" s="44"/>
      <c r="M226" s="44"/>
      <c r="N226" s="44"/>
      <c r="O226" s="44"/>
      <c r="P226" s="44"/>
      <c r="Q226" s="44"/>
      <c r="R226" s="44"/>
      <c r="Y226" s="44"/>
      <c r="Z226" s="44"/>
      <c r="AA226" s="44"/>
      <c r="AB226" s="44"/>
      <c r="AC226" s="44"/>
      <c r="AD226" s="44"/>
      <c r="AE226" s="44"/>
      <c r="AF226" s="44"/>
      <c r="AG226" s="102"/>
      <c r="AH226" s="44"/>
      <c r="AI226" s="44"/>
      <c r="AJ226" s="44"/>
      <c r="AK226" s="102"/>
      <c r="AL226" s="44"/>
      <c r="AM226" s="44"/>
      <c r="AN226" s="44"/>
    </row>
    <row r="227" spans="1:40">
      <c r="C227" s="42"/>
      <c r="D227" s="42"/>
      <c r="E227" s="42"/>
      <c r="J227" s="56"/>
      <c r="T227" s="42"/>
      <c r="U227" s="42"/>
    </row>
    <row r="228" spans="1:40">
      <c r="C228" s="42"/>
      <c r="J228" s="56"/>
      <c r="T228" s="42"/>
    </row>
    <row r="229" spans="1:40">
      <c r="J229" s="56"/>
    </row>
    <row r="230" spans="1:40">
      <c r="C230" s="42"/>
      <c r="F230" s="164"/>
      <c r="H230" s="164"/>
      <c r="I230" s="164"/>
      <c r="J230" s="132"/>
      <c r="K230" s="316"/>
      <c r="L230" s="45"/>
      <c r="M230" s="45"/>
      <c r="N230" s="46"/>
      <c r="O230" s="46"/>
      <c r="R230" s="45"/>
      <c r="T230" s="42"/>
      <c r="V230" s="45"/>
      <c r="Y230" s="164"/>
      <c r="Z230" s="316"/>
      <c r="AA230" s="45"/>
      <c r="AB230" s="45"/>
      <c r="AC230" s="46"/>
      <c r="AD230" s="46"/>
      <c r="AE230" s="45"/>
      <c r="AF230" s="45"/>
      <c r="AH230" s="51"/>
      <c r="AL230" s="45"/>
      <c r="AM230" s="46"/>
      <c r="AN230" s="46"/>
    </row>
    <row r="231" spans="1:40">
      <c r="F231" s="50"/>
      <c r="H231" s="45"/>
      <c r="I231" s="45"/>
      <c r="J231" s="132"/>
      <c r="K231" s="326"/>
      <c r="L231" s="50"/>
      <c r="M231" s="50"/>
      <c r="N231" s="50"/>
      <c r="O231" s="50"/>
      <c r="P231" s="50"/>
      <c r="Q231" s="50"/>
      <c r="R231" s="50"/>
      <c r="V231" s="50"/>
      <c r="Y231" s="45"/>
      <c r="Z231" s="326"/>
      <c r="AA231" s="50"/>
      <c r="AB231" s="50"/>
      <c r="AC231" s="50"/>
      <c r="AD231" s="50"/>
      <c r="AE231" s="50"/>
      <c r="AF231" s="50"/>
      <c r="AI231" s="50"/>
      <c r="AJ231" s="50"/>
      <c r="AK231" s="111"/>
      <c r="AL231" s="50"/>
      <c r="AM231" s="46"/>
      <c r="AN231" s="46"/>
    </row>
    <row r="232" spans="1:40">
      <c r="C232" s="42"/>
      <c r="F232" s="164"/>
      <c r="H232" s="164"/>
      <c r="I232" s="164"/>
      <c r="J232" s="132"/>
      <c r="K232" s="336"/>
      <c r="L232" s="45"/>
      <c r="M232" s="45"/>
      <c r="N232" s="46"/>
      <c r="O232" s="46"/>
      <c r="P232" s="45"/>
      <c r="Q232" s="45"/>
      <c r="R232" s="45"/>
      <c r="S232" s="45"/>
      <c r="T232" s="42"/>
      <c r="V232" s="164"/>
      <c r="Y232" s="164"/>
      <c r="Z232" s="336"/>
      <c r="AA232" s="45"/>
      <c r="AB232" s="45"/>
      <c r="AC232" s="46"/>
      <c r="AD232" s="46"/>
      <c r="AE232" s="45"/>
      <c r="AF232" s="45"/>
      <c r="AH232" s="46"/>
      <c r="AI232" s="45"/>
      <c r="AJ232" s="45"/>
      <c r="AL232" s="45"/>
      <c r="AM232" s="46"/>
      <c r="AN232" s="46"/>
    </row>
    <row r="233" spans="1:40">
      <c r="C233" s="42"/>
      <c r="F233" s="164"/>
      <c r="H233" s="164"/>
      <c r="I233" s="164"/>
      <c r="J233" s="132"/>
      <c r="K233" s="316"/>
      <c r="L233" s="45"/>
      <c r="M233" s="45"/>
      <c r="N233" s="46"/>
      <c r="O233" s="46"/>
      <c r="P233" s="45"/>
      <c r="Q233" s="45"/>
      <c r="R233" s="45"/>
      <c r="T233" s="42"/>
      <c r="V233" s="164"/>
      <c r="Y233" s="45"/>
      <c r="Z233" s="316"/>
      <c r="AA233" s="45"/>
      <c r="AB233" s="45"/>
      <c r="AC233" s="46"/>
      <c r="AD233" s="46"/>
      <c r="AE233" s="45"/>
      <c r="AF233" s="45"/>
      <c r="AH233" s="51"/>
      <c r="AI233" s="45"/>
      <c r="AJ233" s="45"/>
      <c r="AL233" s="45"/>
      <c r="AM233" s="46"/>
      <c r="AN233" s="46"/>
    </row>
    <row r="234" spans="1:40">
      <c r="C234" s="42"/>
      <c r="F234" s="164"/>
      <c r="H234" s="164"/>
      <c r="I234" s="164"/>
      <c r="J234" s="132"/>
      <c r="K234" s="316"/>
      <c r="L234" s="45"/>
      <c r="M234" s="45"/>
      <c r="N234" s="46"/>
      <c r="O234" s="46"/>
      <c r="P234" s="45"/>
      <c r="Q234" s="45"/>
      <c r="R234" s="45"/>
      <c r="T234" s="42"/>
      <c r="V234" s="164"/>
      <c r="Y234" s="45"/>
      <c r="Z234" s="316"/>
      <c r="AA234" s="45"/>
      <c r="AB234" s="45"/>
      <c r="AC234" s="46"/>
      <c r="AD234" s="46"/>
      <c r="AE234" s="45"/>
      <c r="AF234" s="45"/>
      <c r="AH234" s="51"/>
      <c r="AI234" s="45"/>
      <c r="AJ234" s="45"/>
      <c r="AL234" s="45"/>
      <c r="AM234" s="46"/>
      <c r="AN234" s="46"/>
    </row>
    <row r="235" spans="1:40">
      <c r="F235" s="50"/>
      <c r="H235" s="50"/>
      <c r="I235" s="50"/>
      <c r="J235" s="132"/>
      <c r="K235" s="326"/>
      <c r="L235" s="50"/>
      <c r="M235" s="50"/>
      <c r="N235" s="50"/>
      <c r="O235" s="50"/>
      <c r="P235" s="50"/>
      <c r="Q235" s="50"/>
      <c r="R235" s="50"/>
      <c r="V235" s="50"/>
      <c r="Y235" s="50"/>
      <c r="Z235" s="326"/>
      <c r="AA235" s="50"/>
      <c r="AB235" s="50"/>
      <c r="AC235" s="50"/>
      <c r="AD235" s="50"/>
      <c r="AE235" s="50"/>
      <c r="AF235" s="50"/>
      <c r="AI235" s="50"/>
      <c r="AJ235" s="50"/>
      <c r="AK235" s="111"/>
      <c r="AL235" s="50"/>
      <c r="AM235" s="46"/>
      <c r="AN235" s="46"/>
    </row>
    <row r="236" spans="1:40">
      <c r="C236" s="42"/>
      <c r="F236" s="45"/>
      <c r="H236" s="45"/>
      <c r="I236" s="45"/>
      <c r="J236" s="56"/>
      <c r="K236" s="47"/>
      <c r="L236" s="45"/>
      <c r="M236" s="45"/>
      <c r="N236" s="46"/>
      <c r="O236" s="46"/>
      <c r="P236" s="45"/>
      <c r="Q236" s="45"/>
      <c r="R236" s="45"/>
      <c r="T236" s="42"/>
      <c r="V236" s="45"/>
      <c r="Y236" s="45"/>
      <c r="Z236" s="47"/>
      <c r="AA236" s="45"/>
      <c r="AB236" s="45"/>
      <c r="AC236" s="46"/>
      <c r="AD236" s="46"/>
      <c r="AE236" s="45"/>
      <c r="AF236" s="45"/>
      <c r="AH236" s="51"/>
      <c r="AI236" s="45"/>
      <c r="AJ236" s="45"/>
      <c r="AL236" s="45"/>
      <c r="AM236" s="46"/>
      <c r="AN236" s="46"/>
    </row>
    <row r="237" spans="1:40">
      <c r="F237" s="50"/>
      <c r="H237" s="50"/>
      <c r="I237" s="50"/>
      <c r="J237" s="132"/>
      <c r="K237" s="326"/>
      <c r="L237" s="50"/>
      <c r="M237" s="50"/>
      <c r="N237" s="50"/>
      <c r="O237" s="50"/>
      <c r="P237" s="50"/>
      <c r="Q237" s="50"/>
      <c r="R237" s="50"/>
      <c r="V237" s="50"/>
      <c r="Y237" s="50"/>
      <c r="Z237" s="326"/>
      <c r="AA237" s="50"/>
      <c r="AB237" s="50"/>
      <c r="AC237" s="50"/>
      <c r="AD237" s="50"/>
      <c r="AE237" s="50"/>
      <c r="AF237" s="50"/>
      <c r="AI237" s="50"/>
      <c r="AJ237" s="50"/>
      <c r="AK237" s="111"/>
      <c r="AL237" s="50"/>
      <c r="AM237" s="46"/>
      <c r="AN237" s="46"/>
    </row>
    <row r="238" spans="1:40">
      <c r="C238" s="42"/>
      <c r="F238" s="45"/>
      <c r="H238" s="45"/>
      <c r="I238" s="45"/>
      <c r="J238" s="56"/>
      <c r="K238" s="47"/>
      <c r="L238" s="45"/>
      <c r="M238" s="45"/>
      <c r="N238" s="46"/>
      <c r="O238" s="46"/>
      <c r="P238" s="45"/>
      <c r="Q238" s="45"/>
      <c r="R238" s="45"/>
      <c r="T238" s="42"/>
      <c r="V238" s="45"/>
      <c r="Y238" s="45"/>
      <c r="Z238" s="47"/>
      <c r="AA238" s="45"/>
      <c r="AB238" s="45"/>
      <c r="AC238" s="46"/>
      <c r="AD238" s="46"/>
      <c r="AE238" s="45"/>
      <c r="AF238" s="45"/>
      <c r="AH238" s="51"/>
      <c r="AI238" s="45"/>
      <c r="AJ238" s="45"/>
      <c r="AL238" s="45"/>
      <c r="AM238" s="46"/>
      <c r="AN238" s="46"/>
    </row>
    <row r="239" spans="1:40">
      <c r="C239" s="42"/>
      <c r="F239" s="45"/>
      <c r="H239" s="164"/>
      <c r="I239" s="164"/>
      <c r="J239" s="132"/>
      <c r="K239" s="331"/>
      <c r="L239" s="45"/>
      <c r="M239" s="45"/>
      <c r="N239" s="46"/>
      <c r="O239" s="46"/>
      <c r="P239" s="45"/>
      <c r="Q239" s="45"/>
      <c r="R239" s="45"/>
      <c r="T239" s="42"/>
      <c r="V239" s="45"/>
      <c r="Y239" s="45"/>
      <c r="Z239" s="325"/>
      <c r="AA239" s="45"/>
      <c r="AB239" s="45"/>
      <c r="AC239" s="46"/>
      <c r="AD239" s="46"/>
      <c r="AE239" s="45"/>
      <c r="AF239" s="45"/>
      <c r="AH239" s="51"/>
      <c r="AI239" s="45"/>
      <c r="AJ239" s="45"/>
      <c r="AL239" s="45"/>
      <c r="AM239" s="46"/>
      <c r="AN239" s="46"/>
    </row>
    <row r="240" spans="1:40">
      <c r="H240" s="50"/>
      <c r="I240" s="50"/>
      <c r="J240" s="132"/>
      <c r="K240" s="326"/>
      <c r="L240" s="50"/>
      <c r="M240" s="50"/>
      <c r="N240" s="50"/>
      <c r="O240" s="50"/>
      <c r="P240" s="50"/>
      <c r="Q240" s="50"/>
      <c r="R240" s="50"/>
      <c r="V240" s="50"/>
      <c r="Y240" s="50"/>
      <c r="Z240" s="326"/>
      <c r="AA240" s="50"/>
      <c r="AB240" s="50"/>
      <c r="AC240" s="50"/>
      <c r="AD240" s="50"/>
      <c r="AE240" s="50"/>
      <c r="AF240" s="50"/>
      <c r="AI240" s="50"/>
      <c r="AJ240" s="50"/>
      <c r="AK240" s="111"/>
      <c r="AL240" s="50"/>
      <c r="AM240" s="46"/>
      <c r="AN240" s="46"/>
    </row>
    <row r="241" spans="3:40">
      <c r="F241" s="50"/>
      <c r="J241" s="56"/>
    </row>
    <row r="242" spans="3:40">
      <c r="C242" s="42"/>
      <c r="F242" s="45"/>
      <c r="H242" s="45"/>
      <c r="I242" s="45"/>
      <c r="J242" s="132"/>
      <c r="K242" s="326"/>
      <c r="L242" s="45"/>
      <c r="M242" s="45"/>
      <c r="N242" s="46"/>
      <c r="O242" s="46"/>
      <c r="P242" s="45"/>
      <c r="Q242" s="45"/>
      <c r="R242" s="45"/>
      <c r="S242" s="45"/>
      <c r="T242" s="42"/>
      <c r="V242" s="45"/>
      <c r="Y242" s="45"/>
      <c r="Z242" s="326"/>
      <c r="AA242" s="45"/>
      <c r="AB242" s="45"/>
      <c r="AC242" s="46"/>
      <c r="AD242" s="46"/>
      <c r="AE242" s="45"/>
      <c r="AF242" s="45"/>
      <c r="AH242" s="46"/>
      <c r="AI242" s="45"/>
      <c r="AJ242" s="45"/>
      <c r="AL242" s="45"/>
      <c r="AM242" s="46"/>
      <c r="AN242" s="46"/>
    </row>
    <row r="243" spans="3:40">
      <c r="F243" s="50"/>
      <c r="H243" s="50"/>
      <c r="I243" s="50"/>
      <c r="J243" s="132"/>
      <c r="K243" s="326"/>
      <c r="L243" s="50"/>
      <c r="M243" s="50"/>
      <c r="N243" s="50"/>
      <c r="O243" s="50"/>
      <c r="P243" s="50"/>
      <c r="Q243" s="50"/>
      <c r="R243" s="50"/>
      <c r="S243" s="45"/>
      <c r="V243" s="50"/>
      <c r="Y243" s="50"/>
      <c r="Z243" s="326"/>
      <c r="AA243" s="50"/>
      <c r="AB243" s="50"/>
      <c r="AC243" s="50"/>
      <c r="AD243" s="50"/>
      <c r="AE243" s="50"/>
      <c r="AF243" s="50"/>
      <c r="AI243" s="50"/>
      <c r="AJ243" s="50"/>
      <c r="AK243" s="111"/>
      <c r="AL243" s="50"/>
      <c r="AM243" s="46"/>
      <c r="AN243" s="46"/>
    </row>
    <row r="244" spans="3:40">
      <c r="C244" s="42"/>
      <c r="H244" s="164"/>
      <c r="I244" s="164"/>
      <c r="J244" s="132"/>
      <c r="K244" s="326"/>
      <c r="L244" s="45"/>
      <c r="M244" s="45"/>
      <c r="N244" s="46"/>
      <c r="O244" s="46"/>
      <c r="P244" s="45"/>
      <c r="Q244" s="45"/>
      <c r="R244" s="45"/>
      <c r="S244" s="45"/>
      <c r="T244" s="42"/>
      <c r="V244" s="164"/>
      <c r="Y244" s="164"/>
      <c r="Z244" s="326"/>
      <c r="AA244" s="45"/>
      <c r="AB244" s="45"/>
      <c r="AC244" s="46"/>
      <c r="AD244" s="46"/>
      <c r="AE244" s="45"/>
      <c r="AF244" s="45"/>
      <c r="AI244" s="45"/>
      <c r="AJ244" s="45"/>
      <c r="AL244" s="45"/>
      <c r="AM244" s="46"/>
      <c r="AN244" s="46"/>
    </row>
    <row r="245" spans="3:40">
      <c r="F245" s="164"/>
      <c r="J245" s="56"/>
    </row>
    <row r="246" spans="3:40">
      <c r="C246" s="42"/>
      <c r="F246" s="164"/>
      <c r="H246" s="164"/>
      <c r="I246" s="164"/>
      <c r="J246" s="132"/>
      <c r="K246" s="316"/>
      <c r="L246" s="45"/>
      <c r="M246" s="45"/>
      <c r="N246" s="46"/>
      <c r="O246" s="46"/>
      <c r="R246" s="45"/>
      <c r="T246" s="42"/>
      <c r="V246" s="45"/>
      <c r="Y246" s="164"/>
      <c r="Z246" s="316"/>
      <c r="AA246" s="45"/>
      <c r="AB246" s="45"/>
      <c r="AC246" s="46"/>
      <c r="AD246" s="46"/>
      <c r="AE246" s="45"/>
      <c r="AF246" s="45"/>
      <c r="AH246" s="51"/>
      <c r="AL246" s="45"/>
      <c r="AM246" s="46"/>
      <c r="AN246" s="46"/>
    </row>
    <row r="247" spans="3:40">
      <c r="F247" s="50"/>
      <c r="H247" s="45"/>
      <c r="I247" s="45"/>
      <c r="J247" s="132"/>
      <c r="K247" s="326"/>
      <c r="L247" s="50"/>
      <c r="M247" s="50"/>
      <c r="N247" s="50"/>
      <c r="O247" s="50"/>
      <c r="P247" s="50"/>
      <c r="Q247" s="50"/>
      <c r="R247" s="50"/>
      <c r="V247" s="50"/>
      <c r="Y247" s="45"/>
      <c r="Z247" s="326"/>
      <c r="AA247" s="50"/>
      <c r="AB247" s="50"/>
      <c r="AC247" s="50"/>
      <c r="AD247" s="50"/>
      <c r="AE247" s="50"/>
      <c r="AF247" s="50"/>
      <c r="AI247" s="50"/>
      <c r="AJ247" s="50"/>
      <c r="AK247" s="111"/>
      <c r="AL247" s="50"/>
      <c r="AM247" s="46"/>
      <c r="AN247" s="46"/>
    </row>
    <row r="248" spans="3:40">
      <c r="C248" s="42"/>
      <c r="F248" s="164"/>
      <c r="H248" s="164"/>
      <c r="I248" s="164"/>
      <c r="J248" s="132"/>
      <c r="K248" s="336"/>
      <c r="L248" s="45"/>
      <c r="M248" s="45"/>
      <c r="N248" s="46"/>
      <c r="O248" s="46"/>
      <c r="P248" s="45"/>
      <c r="Q248" s="45"/>
      <c r="R248" s="45"/>
      <c r="S248" s="45"/>
      <c r="T248" s="42"/>
      <c r="V248" s="164"/>
      <c r="Y248" s="164"/>
      <c r="Z248" s="336"/>
      <c r="AA248" s="45"/>
      <c r="AB248" s="45"/>
      <c r="AC248" s="46"/>
      <c r="AD248" s="46"/>
      <c r="AE248" s="45"/>
      <c r="AF248" s="45"/>
      <c r="AH248" s="46"/>
      <c r="AI248" s="45"/>
      <c r="AJ248" s="45"/>
      <c r="AL248" s="45"/>
      <c r="AM248" s="46"/>
      <c r="AN248" s="46"/>
    </row>
    <row r="249" spans="3:40">
      <c r="C249" s="42"/>
      <c r="F249" s="164"/>
      <c r="H249" s="164"/>
      <c r="I249" s="164"/>
      <c r="J249" s="132"/>
      <c r="K249" s="316"/>
      <c r="L249" s="45"/>
      <c r="M249" s="45"/>
      <c r="N249" s="46"/>
      <c r="O249" s="46"/>
      <c r="P249" s="45"/>
      <c r="Q249" s="45"/>
      <c r="R249" s="45"/>
      <c r="T249" s="42"/>
      <c r="V249" s="164"/>
      <c r="Y249" s="45"/>
      <c r="Z249" s="316"/>
      <c r="AA249" s="45"/>
      <c r="AB249" s="45"/>
      <c r="AC249" s="46"/>
      <c r="AD249" s="46"/>
      <c r="AE249" s="45"/>
      <c r="AF249" s="45"/>
      <c r="AH249" s="51"/>
      <c r="AI249" s="45"/>
      <c r="AJ249" s="45"/>
      <c r="AL249" s="45"/>
      <c r="AM249" s="46"/>
      <c r="AN249" s="46"/>
    </row>
    <row r="250" spans="3:40">
      <c r="C250" s="42"/>
      <c r="F250" s="164"/>
      <c r="H250" s="164"/>
      <c r="I250" s="164"/>
      <c r="J250" s="132"/>
      <c r="K250" s="316"/>
      <c r="L250" s="45"/>
      <c r="M250" s="45"/>
      <c r="N250" s="46"/>
      <c r="O250" s="46"/>
      <c r="P250" s="45"/>
      <c r="Q250" s="45"/>
      <c r="R250" s="45"/>
      <c r="T250" s="42"/>
      <c r="V250" s="164"/>
      <c r="Y250" s="45"/>
      <c r="Z250" s="316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3:40">
      <c r="F251" s="50"/>
      <c r="H251" s="50"/>
      <c r="I251" s="50"/>
      <c r="J251" s="132"/>
      <c r="K251" s="326"/>
      <c r="L251" s="50"/>
      <c r="M251" s="50"/>
      <c r="N251" s="50"/>
      <c r="O251" s="50"/>
      <c r="P251" s="50"/>
      <c r="Q251" s="50"/>
      <c r="R251" s="50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  <c r="AM251" s="46"/>
      <c r="AN251" s="46"/>
    </row>
    <row r="252" spans="3:40">
      <c r="C252" s="42"/>
      <c r="F252" s="45"/>
      <c r="H252" s="45"/>
      <c r="I252" s="45"/>
      <c r="J252" s="56"/>
      <c r="K252" s="47"/>
      <c r="L252" s="45"/>
      <c r="M252" s="45"/>
      <c r="N252" s="46"/>
      <c r="O252" s="46"/>
      <c r="P252" s="45"/>
      <c r="Q252" s="45"/>
      <c r="R252" s="45"/>
      <c r="T252" s="42"/>
      <c r="V252" s="45"/>
      <c r="Y252" s="45"/>
      <c r="Z252" s="47"/>
      <c r="AA252" s="45"/>
      <c r="AB252" s="45"/>
      <c r="AC252" s="46"/>
      <c r="AD252" s="46"/>
      <c r="AE252" s="45"/>
      <c r="AF252" s="45"/>
      <c r="AH252" s="51"/>
      <c r="AI252" s="45"/>
      <c r="AJ252" s="45"/>
      <c r="AL252" s="45"/>
      <c r="AM252" s="46"/>
      <c r="AN252" s="46"/>
    </row>
    <row r="253" spans="3:40">
      <c r="F253" s="50"/>
      <c r="H253" s="50"/>
      <c r="I253" s="50"/>
      <c r="J253" s="132"/>
      <c r="K253" s="326"/>
      <c r="L253" s="50"/>
      <c r="M253" s="50"/>
      <c r="N253" s="50"/>
      <c r="O253" s="50"/>
      <c r="P253" s="50"/>
      <c r="Q253" s="50"/>
      <c r="R253" s="50"/>
      <c r="V253" s="50"/>
      <c r="Y253" s="50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  <c r="AM253" s="46"/>
      <c r="AN253" s="46"/>
    </row>
    <row r="254" spans="3:40">
      <c r="C254" s="42"/>
      <c r="F254" s="45"/>
      <c r="H254" s="45"/>
      <c r="I254" s="45"/>
      <c r="J254" s="56"/>
      <c r="K254" s="47"/>
      <c r="L254" s="45"/>
      <c r="M254" s="45"/>
      <c r="N254" s="46"/>
      <c r="O254" s="46"/>
      <c r="P254" s="45"/>
      <c r="Q254" s="45"/>
      <c r="R254" s="45"/>
      <c r="T254" s="42"/>
      <c r="V254" s="45"/>
      <c r="Y254" s="45"/>
      <c r="Z254" s="47"/>
      <c r="AA254" s="45"/>
      <c r="AB254" s="45"/>
      <c r="AC254" s="46"/>
      <c r="AD254" s="46"/>
      <c r="AE254" s="45"/>
      <c r="AF254" s="45"/>
      <c r="AH254" s="51"/>
      <c r="AI254" s="45"/>
      <c r="AJ254" s="45"/>
      <c r="AL254" s="45"/>
      <c r="AM254" s="46"/>
      <c r="AN254" s="46"/>
    </row>
    <row r="255" spans="3:40">
      <c r="C255" s="42"/>
      <c r="F255" s="45"/>
      <c r="H255" s="164"/>
      <c r="I255" s="164"/>
      <c r="J255" s="132"/>
      <c r="K255" s="331"/>
      <c r="L255" s="45"/>
      <c r="M255" s="45"/>
      <c r="N255" s="46"/>
      <c r="O255" s="46"/>
      <c r="P255" s="45"/>
      <c r="Q255" s="45"/>
      <c r="R255" s="45"/>
      <c r="T255" s="42"/>
      <c r="V255" s="45"/>
      <c r="Y255" s="45"/>
      <c r="Z255" s="325"/>
      <c r="AA255" s="45"/>
      <c r="AB255" s="45"/>
      <c r="AC255" s="46"/>
      <c r="AD255" s="46"/>
      <c r="AE255" s="45"/>
      <c r="AF255" s="45"/>
      <c r="AH255" s="51"/>
      <c r="AI255" s="45"/>
      <c r="AJ255" s="45"/>
      <c r="AL255" s="45"/>
      <c r="AM255" s="46"/>
      <c r="AN255" s="46"/>
    </row>
    <row r="256" spans="3:40">
      <c r="H256" s="50"/>
      <c r="I256" s="50"/>
      <c r="J256" s="132"/>
      <c r="K256" s="326"/>
      <c r="L256" s="50"/>
      <c r="M256" s="50"/>
      <c r="N256" s="50"/>
      <c r="O256" s="50"/>
      <c r="P256" s="50"/>
      <c r="Q256" s="50"/>
      <c r="R256" s="50"/>
      <c r="V256" s="50"/>
      <c r="Y256" s="50"/>
      <c r="Z256" s="326"/>
      <c r="AA256" s="50"/>
      <c r="AB256" s="50"/>
      <c r="AC256" s="50"/>
      <c r="AD256" s="50"/>
      <c r="AE256" s="50"/>
      <c r="AF256" s="50"/>
      <c r="AI256" s="50"/>
      <c r="AJ256" s="50"/>
      <c r="AK256" s="111"/>
      <c r="AL256" s="50"/>
      <c r="AM256" s="46"/>
      <c r="AN256" s="46"/>
    </row>
    <row r="257" spans="1:40">
      <c r="F257" s="50"/>
      <c r="J257" s="56"/>
    </row>
    <row r="258" spans="1:40">
      <c r="C258" s="42"/>
      <c r="F258" s="45"/>
      <c r="H258" s="45"/>
      <c r="I258" s="45"/>
      <c r="J258" s="132"/>
      <c r="K258" s="326"/>
      <c r="L258" s="45"/>
      <c r="M258" s="45"/>
      <c r="N258" s="46"/>
      <c r="O258" s="46"/>
      <c r="P258" s="45"/>
      <c r="Q258" s="45"/>
      <c r="R258" s="45"/>
      <c r="S258" s="45"/>
      <c r="T258" s="42"/>
      <c r="V258" s="45"/>
      <c r="Y258" s="45"/>
      <c r="Z258" s="326"/>
      <c r="AA258" s="45"/>
      <c r="AB258" s="45"/>
      <c r="AC258" s="46"/>
      <c r="AD258" s="46"/>
      <c r="AE258" s="45"/>
      <c r="AF258" s="45"/>
      <c r="AH258" s="46"/>
      <c r="AI258" s="45"/>
      <c r="AJ258" s="45"/>
      <c r="AL258" s="45"/>
      <c r="AM258" s="46"/>
      <c r="AN258" s="46"/>
    </row>
    <row r="259" spans="1:40">
      <c r="F259" s="50"/>
      <c r="H259" s="50"/>
      <c r="I259" s="50"/>
      <c r="J259" s="132"/>
      <c r="K259" s="326"/>
      <c r="L259" s="50"/>
      <c r="M259" s="50"/>
      <c r="N259" s="50"/>
      <c r="O259" s="50"/>
      <c r="P259" s="50"/>
      <c r="Q259" s="50"/>
      <c r="R259" s="50"/>
      <c r="S259" s="45"/>
      <c r="V259" s="50"/>
      <c r="Y259" s="50"/>
      <c r="Z259" s="326"/>
      <c r="AA259" s="50"/>
      <c r="AB259" s="50"/>
      <c r="AC259" s="50"/>
      <c r="AD259" s="50"/>
      <c r="AE259" s="50"/>
      <c r="AF259" s="50"/>
      <c r="AI259" s="50"/>
      <c r="AJ259" s="50"/>
      <c r="AK259" s="111"/>
      <c r="AL259" s="50"/>
      <c r="AM259" s="46"/>
      <c r="AN259" s="46"/>
    </row>
    <row r="260" spans="1:40">
      <c r="C260" s="42"/>
      <c r="J260" s="56"/>
      <c r="T260" s="42"/>
    </row>
    <row r="261" spans="1:40">
      <c r="C261" s="42"/>
      <c r="F261" s="45"/>
      <c r="H261" s="45"/>
      <c r="I261" s="45"/>
      <c r="J261" s="56"/>
      <c r="L261" s="45"/>
      <c r="M261" s="45"/>
      <c r="N261" s="46"/>
      <c r="O261" s="46"/>
      <c r="P261" s="164"/>
      <c r="Q261" s="164"/>
      <c r="R261" s="45"/>
      <c r="T261" s="42"/>
      <c r="V261" s="45"/>
      <c r="Y261" s="45"/>
      <c r="AA261" s="45"/>
      <c r="AB261" s="45"/>
      <c r="AC261" s="46"/>
      <c r="AD261" s="46"/>
      <c r="AE261" s="45"/>
      <c r="AF261" s="45"/>
      <c r="AH261" s="46"/>
      <c r="AI261" s="164"/>
      <c r="AJ261" s="164"/>
      <c r="AL261" s="45"/>
      <c r="AM261" s="46"/>
      <c r="AN261" s="46"/>
    </row>
    <row r="262" spans="1:40">
      <c r="H262" s="50"/>
      <c r="I262" s="50"/>
      <c r="J262" s="132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</row>
    <row r="263" spans="1:40">
      <c r="F263" s="50"/>
      <c r="J263" s="56"/>
    </row>
    <row r="264" spans="1:40">
      <c r="C264" s="42"/>
      <c r="J264" s="56"/>
      <c r="L264" s="45"/>
      <c r="M264" s="45"/>
      <c r="N264" s="45"/>
      <c r="O264" s="45"/>
      <c r="P264" s="45"/>
      <c r="Q264" s="45"/>
      <c r="R264" s="45"/>
      <c r="S264" s="45"/>
      <c r="T264" s="42"/>
      <c r="AA264" s="45"/>
      <c r="AB264" s="45"/>
      <c r="AC264" s="45"/>
      <c r="AD264" s="45"/>
      <c r="AI264" s="45"/>
      <c r="AJ264" s="45"/>
      <c r="AL264" s="45"/>
    </row>
    <row r="265" spans="1:40">
      <c r="A265" s="42"/>
      <c r="J265" s="56"/>
    </row>
    <row r="266" spans="1:40">
      <c r="J266" s="56"/>
    </row>
    <row r="267" spans="1:40">
      <c r="H267" s="42"/>
      <c r="I267" s="42"/>
      <c r="J267" s="56"/>
      <c r="Y267" s="42"/>
    </row>
    <row r="268" spans="1:40">
      <c r="J268" s="56"/>
    </row>
    <row r="269" spans="1:40">
      <c r="J269" s="56"/>
      <c r="L269" s="42"/>
      <c r="M269" s="42"/>
      <c r="AA269" s="42"/>
      <c r="AB269" s="42"/>
    </row>
    <row r="270" spans="1:40">
      <c r="J270" s="56"/>
      <c r="R270" s="42"/>
      <c r="AK270" s="110"/>
      <c r="AL270" s="42"/>
    </row>
    <row r="271" spans="1:40">
      <c r="J271" s="56"/>
      <c r="R271" s="42"/>
      <c r="AK271" s="110"/>
      <c r="AL271" s="42"/>
    </row>
    <row r="272" spans="1:40">
      <c r="A272" s="42"/>
      <c r="J272" s="56"/>
      <c r="R272" s="42"/>
      <c r="AK272" s="110"/>
      <c r="AL272" s="42"/>
    </row>
    <row r="273" spans="1:40">
      <c r="J273" s="56"/>
      <c r="L273" s="42"/>
      <c r="M273" s="42"/>
      <c r="AA273" s="42"/>
      <c r="AB273" s="42"/>
    </row>
    <row r="274" spans="1:40">
      <c r="A274" s="49"/>
      <c r="B274" s="49"/>
      <c r="C274" s="49"/>
      <c r="D274" s="49"/>
      <c r="E274" s="49"/>
      <c r="F274" s="49"/>
      <c r="G274" s="49"/>
      <c r="H274" s="49"/>
      <c r="I274" s="49"/>
      <c r="J274" s="57"/>
      <c r="K274" s="49"/>
      <c r="L274" s="49"/>
      <c r="M274" s="49"/>
      <c r="N274" s="49"/>
      <c r="O274" s="49"/>
      <c r="P274" s="49"/>
      <c r="Q274" s="49"/>
      <c r="R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107"/>
      <c r="AH274" s="49"/>
      <c r="AI274" s="49"/>
      <c r="AJ274" s="49"/>
      <c r="AK274" s="107"/>
      <c r="AL274" s="49"/>
      <c r="AM274" s="49"/>
      <c r="AN274" s="49"/>
    </row>
    <row r="275" spans="1:40">
      <c r="J275" s="56"/>
      <c r="L275" s="44"/>
      <c r="M275" s="44"/>
      <c r="N275" s="44"/>
      <c r="O275" s="44"/>
      <c r="R275" s="44"/>
      <c r="AA275" s="44"/>
      <c r="AB275" s="44"/>
      <c r="AC275" s="44"/>
      <c r="AD275" s="44"/>
      <c r="AE275" s="44"/>
      <c r="AF275" s="44"/>
      <c r="AG275" s="102"/>
      <c r="AH275" s="44"/>
      <c r="AK275" s="102"/>
      <c r="AL275" s="44"/>
      <c r="AM275" s="44"/>
      <c r="AN275" s="44"/>
    </row>
    <row r="276" spans="1:40">
      <c r="J276" s="56"/>
      <c r="L276" s="44"/>
      <c r="M276" s="44"/>
      <c r="N276" s="44"/>
      <c r="O276" s="44"/>
      <c r="R276" s="44"/>
      <c r="Z276" s="44"/>
      <c r="AA276" s="44"/>
      <c r="AB276" s="44"/>
      <c r="AC276" s="44"/>
      <c r="AD276" s="44"/>
      <c r="AE276" s="44"/>
      <c r="AF276" s="44"/>
      <c r="AG276" s="102"/>
      <c r="AH276" s="44"/>
      <c r="AK276" s="102"/>
      <c r="AL276" s="44"/>
      <c r="AM276" s="44"/>
      <c r="AN276" s="44"/>
    </row>
    <row r="277" spans="1:40">
      <c r="A277" s="44"/>
      <c r="C277" s="44"/>
      <c r="D277" s="44"/>
      <c r="E277" s="44"/>
      <c r="F277" s="44"/>
      <c r="J277" s="58"/>
      <c r="K277" s="44"/>
      <c r="L277" s="44"/>
      <c r="M277" s="44"/>
      <c r="N277" s="44"/>
      <c r="O277" s="44"/>
      <c r="P277" s="44"/>
      <c r="Q277" s="44"/>
      <c r="R277" s="44"/>
      <c r="T277" s="44"/>
      <c r="U277" s="44"/>
      <c r="V277" s="44"/>
      <c r="Z277" s="44"/>
      <c r="AA277" s="44"/>
      <c r="AB277" s="44"/>
      <c r="AC277" s="44"/>
      <c r="AD277" s="44"/>
      <c r="AE277" s="44"/>
      <c r="AF277" s="44"/>
      <c r="AG277" s="102"/>
      <c r="AH277" s="44"/>
      <c r="AI277" s="44"/>
      <c r="AJ277" s="44"/>
      <c r="AK277" s="102"/>
      <c r="AL277" s="44"/>
      <c r="AM277" s="44"/>
      <c r="AN277" s="44"/>
    </row>
    <row r="278" spans="1:40">
      <c r="A278" s="44"/>
      <c r="C278" s="44"/>
      <c r="D278" s="44"/>
      <c r="E278" s="44"/>
      <c r="F278" s="44"/>
      <c r="H278" s="44"/>
      <c r="I278" s="44"/>
      <c r="J278" s="58"/>
      <c r="K278" s="44"/>
      <c r="L278" s="44"/>
      <c r="M278" s="44"/>
      <c r="N278" s="44"/>
      <c r="O278" s="44"/>
      <c r="P278" s="44"/>
      <c r="Q278" s="44"/>
      <c r="R278" s="44"/>
      <c r="T278" s="44"/>
      <c r="U278" s="44"/>
      <c r="V278" s="44"/>
      <c r="Y278" s="44"/>
      <c r="Z278" s="44"/>
      <c r="AA278" s="44"/>
      <c r="AB278" s="44"/>
      <c r="AC278" s="44"/>
      <c r="AD278" s="44"/>
      <c r="AE278" s="44"/>
      <c r="AF278" s="44"/>
      <c r="AG278" s="102"/>
      <c r="AH278" s="44"/>
      <c r="AI278" s="44"/>
      <c r="AJ278" s="44"/>
      <c r="AK278" s="102"/>
      <c r="AL278" s="44"/>
      <c r="AM278" s="44"/>
      <c r="AN278" s="44"/>
    </row>
    <row r="279" spans="1:40">
      <c r="C279" s="44"/>
      <c r="D279" s="44"/>
      <c r="E279" s="44"/>
      <c r="F279" s="44"/>
      <c r="H279" s="44"/>
      <c r="I279" s="44"/>
      <c r="J279" s="58"/>
      <c r="K279" s="44"/>
      <c r="L279" s="44"/>
      <c r="M279" s="44"/>
      <c r="N279" s="44"/>
      <c r="O279" s="44"/>
      <c r="P279" s="44"/>
      <c r="Q279" s="44"/>
      <c r="R279" s="44"/>
      <c r="T279" s="44"/>
      <c r="U279" s="44"/>
      <c r="V279" s="44"/>
      <c r="Y279" s="44"/>
      <c r="Z279" s="44"/>
      <c r="AA279" s="44"/>
      <c r="AB279" s="44"/>
      <c r="AC279" s="44"/>
      <c r="AD279" s="44"/>
      <c r="AE279" s="44"/>
      <c r="AF279" s="44"/>
      <c r="AG279" s="102"/>
      <c r="AH279" s="44"/>
      <c r="AI279" s="44"/>
      <c r="AJ279" s="44"/>
      <c r="AK279" s="102"/>
      <c r="AL279" s="44"/>
      <c r="AM279" s="44"/>
      <c r="AN279" s="44"/>
    </row>
    <row r="280" spans="1:40">
      <c r="A280" s="49"/>
      <c r="B280" s="49"/>
      <c r="C280" s="49"/>
      <c r="D280" s="49"/>
      <c r="E280" s="49"/>
      <c r="F280" s="49"/>
      <c r="G280" s="49"/>
      <c r="H280" s="49"/>
      <c r="I280" s="49"/>
      <c r="J280" s="57"/>
      <c r="K280" s="49"/>
      <c r="L280" s="49"/>
      <c r="M280" s="49"/>
      <c r="N280" s="49"/>
      <c r="O280" s="49"/>
      <c r="P280" s="49"/>
      <c r="Q280" s="49"/>
      <c r="R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107"/>
      <c r="AH280" s="49"/>
      <c r="AI280" s="49"/>
      <c r="AJ280" s="49"/>
      <c r="AK280" s="107"/>
      <c r="AL280" s="49"/>
      <c r="AM280" s="49"/>
      <c r="AN280" s="49"/>
    </row>
    <row r="281" spans="1:40">
      <c r="H281" s="44"/>
      <c r="I281" s="44"/>
      <c r="J281" s="58"/>
      <c r="K281" s="44"/>
      <c r="L281" s="44"/>
      <c r="M281" s="44"/>
      <c r="N281" s="44"/>
      <c r="O281" s="44"/>
      <c r="P281" s="44"/>
      <c r="Q281" s="44"/>
      <c r="R281" s="44"/>
      <c r="Y281" s="44"/>
      <c r="Z281" s="44"/>
      <c r="AA281" s="44"/>
      <c r="AB281" s="44"/>
      <c r="AC281" s="44"/>
      <c r="AD281" s="44"/>
      <c r="AE281" s="44"/>
      <c r="AF281" s="44"/>
      <c r="AG281" s="102"/>
      <c r="AH281" s="44"/>
      <c r="AI281" s="44"/>
      <c r="AJ281" s="44"/>
      <c r="AK281" s="102"/>
      <c r="AL281" s="44"/>
      <c r="AM281" s="44"/>
      <c r="AN281" s="44"/>
    </row>
    <row r="282" spans="1:40">
      <c r="C282" s="42"/>
      <c r="D282" s="42"/>
      <c r="E282" s="42"/>
      <c r="J282" s="56"/>
      <c r="T282" s="42"/>
      <c r="U282" s="42"/>
    </row>
    <row r="283" spans="1:40">
      <c r="D283" s="42"/>
      <c r="E283" s="42"/>
      <c r="J283" s="56"/>
      <c r="U283" s="42"/>
    </row>
    <row r="284" spans="1:40">
      <c r="J284" s="56"/>
    </row>
    <row r="285" spans="1:40">
      <c r="C285" s="42"/>
      <c r="J285" s="56"/>
      <c r="T285" s="42"/>
    </row>
    <row r="286" spans="1:40">
      <c r="C286" s="42"/>
      <c r="F286" s="164"/>
      <c r="H286" s="164"/>
      <c r="I286" s="164"/>
      <c r="J286" s="132"/>
      <c r="K286" s="132"/>
      <c r="L286" s="45"/>
      <c r="M286" s="45"/>
      <c r="N286" s="46"/>
      <c r="O286" s="46"/>
      <c r="P286" s="45"/>
      <c r="Q286" s="45"/>
      <c r="R286" s="45"/>
      <c r="T286" s="42"/>
      <c r="V286" s="164"/>
      <c r="W286" s="45"/>
      <c r="X286" s="45"/>
      <c r="Y286" s="164"/>
      <c r="Z286" s="132"/>
      <c r="AA286" s="45"/>
      <c r="AB286" s="45"/>
      <c r="AC286" s="46"/>
      <c r="AD286" s="46"/>
      <c r="AE286" s="45"/>
      <c r="AF286" s="45"/>
      <c r="AH286" s="51"/>
      <c r="AI286" s="45"/>
      <c r="AJ286" s="45"/>
      <c r="AL286" s="45"/>
      <c r="AM286" s="46"/>
      <c r="AN286" s="46"/>
    </row>
    <row r="287" spans="1:40">
      <c r="C287" s="42"/>
      <c r="F287" s="45"/>
      <c r="H287" s="45"/>
      <c r="I287" s="45"/>
      <c r="J287" s="132"/>
      <c r="K287" s="326"/>
      <c r="L287" s="45"/>
      <c r="M287" s="45"/>
      <c r="N287" s="46"/>
      <c r="O287" s="46"/>
      <c r="P287" s="45"/>
      <c r="Q287" s="45"/>
      <c r="R287" s="45"/>
      <c r="T287" s="42"/>
      <c r="V287" s="164"/>
      <c r="W287" s="45"/>
      <c r="X287" s="45"/>
      <c r="Y287" s="164"/>
      <c r="Z287" s="326"/>
      <c r="AA287" s="45"/>
      <c r="AB287" s="45"/>
      <c r="AC287" s="46"/>
      <c r="AD287" s="46"/>
      <c r="AE287" s="45"/>
      <c r="AF287" s="45"/>
      <c r="AH287" s="51"/>
      <c r="AI287" s="45"/>
      <c r="AJ287" s="45"/>
      <c r="AL287" s="45"/>
      <c r="AM287" s="46"/>
      <c r="AN287" s="46"/>
    </row>
    <row r="288" spans="1:40">
      <c r="C288" s="42"/>
      <c r="F288" s="164"/>
      <c r="H288" s="164"/>
      <c r="I288" s="164"/>
      <c r="J288" s="132"/>
      <c r="K288" s="132"/>
      <c r="L288" s="45"/>
      <c r="M288" s="45"/>
      <c r="N288" s="46"/>
      <c r="O288" s="46"/>
      <c r="P288" s="45"/>
      <c r="Q288" s="45"/>
      <c r="R288" s="45"/>
      <c r="T288" s="42"/>
      <c r="V288" s="164"/>
      <c r="W288" s="45"/>
      <c r="X288" s="45"/>
      <c r="Y288" s="164"/>
      <c r="Z288" s="132"/>
      <c r="AA288" s="45"/>
      <c r="AB288" s="45"/>
      <c r="AC288" s="46"/>
      <c r="AD288" s="46"/>
      <c r="AE288" s="45"/>
      <c r="AF288" s="45"/>
      <c r="AH288" s="51"/>
      <c r="AI288" s="45"/>
      <c r="AJ288" s="45"/>
      <c r="AL288" s="45"/>
      <c r="AM288" s="46"/>
      <c r="AN288" s="46"/>
    </row>
    <row r="289" spans="3:40">
      <c r="C289" s="42"/>
      <c r="F289" s="164"/>
      <c r="H289" s="164"/>
      <c r="I289" s="164"/>
      <c r="J289" s="132"/>
      <c r="K289" s="132"/>
      <c r="L289" s="45"/>
      <c r="M289" s="45"/>
      <c r="N289" s="46"/>
      <c r="O289" s="46"/>
      <c r="P289" s="45"/>
      <c r="Q289" s="45"/>
      <c r="R289" s="45"/>
      <c r="T289" s="42"/>
      <c r="V289" s="164"/>
      <c r="W289" s="45"/>
      <c r="X289" s="45"/>
      <c r="Y289" s="164"/>
      <c r="Z289" s="132"/>
      <c r="AA289" s="45"/>
      <c r="AB289" s="45"/>
      <c r="AC289" s="46"/>
      <c r="AD289" s="46"/>
      <c r="AE289" s="45"/>
      <c r="AF289" s="45"/>
      <c r="AH289" s="51"/>
      <c r="AI289" s="45"/>
      <c r="AJ289" s="45"/>
      <c r="AL289" s="45"/>
      <c r="AM289" s="46"/>
      <c r="AN289" s="46"/>
    </row>
    <row r="290" spans="3:40">
      <c r="C290" s="42"/>
      <c r="F290" s="164"/>
      <c r="H290" s="164"/>
      <c r="I290" s="164"/>
      <c r="J290" s="132"/>
      <c r="K290" s="132"/>
      <c r="L290" s="45"/>
      <c r="M290" s="45"/>
      <c r="N290" s="46"/>
      <c r="O290" s="46"/>
      <c r="P290" s="45"/>
      <c r="Q290" s="45"/>
      <c r="R290" s="45"/>
      <c r="T290" s="42"/>
      <c r="V290" s="164"/>
      <c r="W290" s="45"/>
      <c r="X290" s="45"/>
      <c r="Y290" s="164"/>
      <c r="Z290" s="132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3:40">
      <c r="C291" s="42"/>
      <c r="F291" s="45"/>
      <c r="H291" s="45"/>
      <c r="I291" s="45"/>
      <c r="J291" s="132"/>
      <c r="K291" s="132"/>
      <c r="L291" s="45"/>
      <c r="M291" s="45"/>
      <c r="N291" s="46"/>
      <c r="O291" s="46"/>
      <c r="P291" s="45"/>
      <c r="Q291" s="45"/>
      <c r="R291" s="45"/>
      <c r="T291" s="42"/>
      <c r="V291" s="164"/>
      <c r="W291" s="45"/>
      <c r="X291" s="45"/>
      <c r="Y291" s="164"/>
      <c r="Z291" s="132"/>
      <c r="AA291" s="45"/>
      <c r="AB291" s="45"/>
      <c r="AC291" s="46"/>
      <c r="AD291" s="46"/>
      <c r="AE291" s="45"/>
      <c r="AF291" s="45"/>
      <c r="AH291" s="51"/>
      <c r="AI291" s="45"/>
      <c r="AJ291" s="45"/>
      <c r="AL291" s="45"/>
      <c r="AM291" s="46"/>
      <c r="AN291" s="46"/>
    </row>
    <row r="292" spans="3:40">
      <c r="C292" s="42"/>
      <c r="F292" s="45"/>
      <c r="H292" s="45"/>
      <c r="I292" s="45"/>
      <c r="J292" s="132"/>
      <c r="K292" s="132"/>
      <c r="L292" s="45"/>
      <c r="M292" s="45"/>
      <c r="N292" s="46"/>
      <c r="O292" s="46"/>
      <c r="P292" s="45"/>
      <c r="Q292" s="45"/>
      <c r="R292" s="45"/>
      <c r="T292" s="42"/>
      <c r="V292" s="164"/>
      <c r="W292" s="45"/>
      <c r="X292" s="45"/>
      <c r="Y292" s="164"/>
      <c r="Z292" s="132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>
      <c r="F293" s="54"/>
      <c r="H293" s="338"/>
      <c r="I293" s="338"/>
      <c r="J293" s="132"/>
      <c r="K293" s="132"/>
      <c r="L293" s="54"/>
      <c r="M293" s="54"/>
      <c r="N293" s="50"/>
      <c r="O293" s="50"/>
      <c r="P293" s="54"/>
      <c r="Q293" s="54"/>
      <c r="R293" s="54"/>
      <c r="V293" s="54"/>
      <c r="W293" s="45"/>
      <c r="X293" s="45"/>
      <c r="Y293" s="54"/>
      <c r="Z293" s="132"/>
      <c r="AA293" s="54"/>
      <c r="AB293" s="54"/>
      <c r="AC293" s="55"/>
      <c r="AD293" s="55"/>
      <c r="AE293" s="54"/>
      <c r="AF293" s="54"/>
      <c r="AH293" s="51"/>
      <c r="AI293" s="54"/>
      <c r="AJ293" s="54"/>
      <c r="AK293" s="107"/>
      <c r="AL293" s="54"/>
      <c r="AM293" s="46"/>
      <c r="AN293" s="46"/>
    </row>
    <row r="294" spans="3:40">
      <c r="C294" s="42"/>
      <c r="F294" s="45"/>
      <c r="H294" s="45"/>
      <c r="I294" s="45"/>
      <c r="J294" s="132"/>
      <c r="K294" s="132"/>
      <c r="L294" s="45"/>
      <c r="M294" s="45"/>
      <c r="N294" s="51"/>
      <c r="O294" s="51"/>
      <c r="P294" s="45"/>
      <c r="Q294" s="45"/>
      <c r="R294" s="45"/>
      <c r="T294" s="44"/>
      <c r="V294" s="45"/>
      <c r="W294" s="45"/>
      <c r="X294" s="45"/>
      <c r="Y294" s="45"/>
      <c r="Z294" s="132"/>
      <c r="AA294" s="45"/>
      <c r="AB294" s="45"/>
      <c r="AC294" s="51"/>
      <c r="AD294" s="51"/>
      <c r="AE294" s="45"/>
      <c r="AF294" s="45"/>
      <c r="AH294" s="51"/>
      <c r="AI294" s="45"/>
      <c r="AJ294" s="45"/>
      <c r="AL294" s="45"/>
      <c r="AM294" s="46"/>
      <c r="AN294" s="46"/>
    </row>
    <row r="295" spans="3:40">
      <c r="F295" s="49"/>
      <c r="H295" s="49"/>
      <c r="I295" s="49"/>
      <c r="J295" s="56"/>
      <c r="L295" s="49"/>
      <c r="M295" s="49"/>
      <c r="N295" s="55"/>
      <c r="O295" s="55"/>
      <c r="P295" s="54"/>
      <c r="Q295" s="54"/>
      <c r="R295" s="54"/>
      <c r="V295" s="54"/>
      <c r="Y295" s="54"/>
      <c r="Z295" s="326"/>
      <c r="AA295" s="54"/>
      <c r="AB295" s="54"/>
      <c r="AC295" s="54"/>
      <c r="AD295" s="54"/>
      <c r="AE295" s="54"/>
      <c r="AF295" s="54"/>
      <c r="AI295" s="54"/>
      <c r="AJ295" s="54"/>
      <c r="AK295" s="107"/>
      <c r="AL295" s="54"/>
      <c r="AM295" s="55"/>
      <c r="AN295" s="55"/>
    </row>
    <row r="296" spans="3:40">
      <c r="J296" s="56"/>
    </row>
    <row r="297" spans="3:40">
      <c r="J297" s="56"/>
    </row>
    <row r="298" spans="3:40">
      <c r="J298" s="56"/>
    </row>
    <row r="299" spans="3:40">
      <c r="J299" s="56"/>
    </row>
    <row r="300" spans="3:40">
      <c r="J300" s="56"/>
      <c r="N300" s="45"/>
      <c r="O300" s="45"/>
      <c r="P300" s="45"/>
      <c r="Q300" s="45"/>
      <c r="R300" s="45"/>
      <c r="V300" s="45"/>
      <c r="Y300" s="45"/>
      <c r="Z300" s="47"/>
      <c r="AA300" s="45"/>
      <c r="AB300" s="45"/>
      <c r="AC300" s="46"/>
      <c r="AD300" s="46"/>
      <c r="AE300" s="45"/>
      <c r="AF300" s="45"/>
      <c r="AH300" s="51"/>
      <c r="AI300" s="45"/>
      <c r="AJ300" s="45"/>
      <c r="AL300" s="45"/>
      <c r="AM300" s="46"/>
      <c r="AN300" s="46"/>
    </row>
    <row r="301" spans="3:40">
      <c r="C301" s="42"/>
      <c r="D301" s="42"/>
      <c r="E301" s="42"/>
      <c r="J301" s="56"/>
      <c r="K301" s="56"/>
      <c r="T301" s="42"/>
      <c r="U301" s="42"/>
      <c r="Z301" s="56"/>
      <c r="AE301" s="45"/>
      <c r="AF301" s="45"/>
      <c r="AI301" s="45"/>
      <c r="AJ301" s="45"/>
      <c r="AL301" s="45"/>
      <c r="AM301" s="46"/>
      <c r="AN301" s="46"/>
    </row>
    <row r="302" spans="3:40">
      <c r="D302" s="42"/>
      <c r="E302" s="42"/>
      <c r="F302" s="45"/>
      <c r="H302" s="45"/>
      <c r="I302" s="45"/>
      <c r="J302" s="132"/>
      <c r="K302" s="132"/>
      <c r="L302" s="45"/>
      <c r="M302" s="45"/>
      <c r="N302" s="46"/>
      <c r="O302" s="46"/>
      <c r="P302" s="45"/>
      <c r="Q302" s="45"/>
      <c r="R302" s="45"/>
      <c r="U302" s="42"/>
      <c r="V302" s="45"/>
      <c r="Y302" s="45"/>
      <c r="Z302" s="132"/>
      <c r="AA302" s="45"/>
      <c r="AB302" s="45"/>
      <c r="AC302" s="46"/>
      <c r="AD302" s="46"/>
      <c r="AE302" s="45"/>
      <c r="AF302" s="45"/>
      <c r="AH302" s="51"/>
      <c r="AI302" s="45"/>
      <c r="AJ302" s="45"/>
      <c r="AL302" s="45"/>
      <c r="AM302" s="46"/>
      <c r="AN302" s="46"/>
    </row>
    <row r="303" spans="3:40">
      <c r="F303" s="45"/>
      <c r="H303" s="45"/>
      <c r="I303" s="45"/>
      <c r="J303" s="132"/>
      <c r="K303" s="326"/>
      <c r="L303" s="45"/>
      <c r="M303" s="45"/>
      <c r="N303" s="45"/>
      <c r="O303" s="45"/>
      <c r="P303" s="45"/>
      <c r="Q303" s="45"/>
      <c r="R303" s="45"/>
      <c r="V303" s="45"/>
      <c r="Y303" s="45"/>
      <c r="Z303" s="326"/>
      <c r="AA303" s="45"/>
      <c r="AB303" s="45"/>
      <c r="AC303" s="45"/>
      <c r="AD303" s="45"/>
      <c r="AE303" s="45"/>
      <c r="AF303" s="45"/>
      <c r="AH303" s="51"/>
      <c r="AI303" s="164"/>
      <c r="AJ303" s="164"/>
      <c r="AL303" s="45"/>
      <c r="AM303" s="46"/>
      <c r="AN303" s="46"/>
    </row>
    <row r="304" spans="3:40">
      <c r="C304" s="42"/>
      <c r="F304" s="164"/>
      <c r="H304" s="164"/>
      <c r="I304" s="164"/>
      <c r="J304" s="132"/>
      <c r="K304" s="325"/>
      <c r="L304" s="45"/>
      <c r="M304" s="45"/>
      <c r="N304" s="46"/>
      <c r="O304" s="46"/>
      <c r="P304" s="45"/>
      <c r="Q304" s="45"/>
      <c r="R304" s="45"/>
      <c r="T304" s="42"/>
      <c r="V304" s="164"/>
      <c r="Y304" s="164"/>
      <c r="Z304" s="325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1:40">
      <c r="F305" s="49"/>
      <c r="H305" s="49"/>
      <c r="I305" s="49"/>
      <c r="J305" s="56"/>
      <c r="L305" s="49"/>
      <c r="M305" s="49"/>
      <c r="N305" s="49"/>
      <c r="O305" s="49"/>
      <c r="P305" s="49"/>
      <c r="Q305" s="49"/>
      <c r="R305" s="49"/>
      <c r="V305" s="49"/>
      <c r="Y305" s="49"/>
      <c r="AA305" s="49"/>
      <c r="AB305" s="49"/>
      <c r="AC305" s="49"/>
      <c r="AD305" s="49"/>
      <c r="AE305" s="49"/>
      <c r="AF305" s="49"/>
      <c r="AG305" s="107"/>
      <c r="AH305" s="49"/>
      <c r="AI305" s="49"/>
      <c r="AJ305" s="49"/>
      <c r="AK305" s="107"/>
      <c r="AL305" s="49"/>
      <c r="AM305" s="49"/>
      <c r="AN305" s="49"/>
    </row>
    <row r="306" spans="1:40">
      <c r="C306" s="44"/>
      <c r="F306" s="164"/>
      <c r="H306" s="164"/>
      <c r="I306" s="164"/>
      <c r="J306" s="132"/>
      <c r="K306" s="316"/>
      <c r="L306" s="164"/>
      <c r="M306" s="164"/>
      <c r="N306" s="46"/>
      <c r="O306" s="46"/>
      <c r="P306" s="164"/>
      <c r="Q306" s="164"/>
      <c r="R306" s="164"/>
      <c r="T306" s="44"/>
      <c r="V306" s="45"/>
      <c r="Y306" s="45"/>
      <c r="Z306" s="47"/>
      <c r="AA306" s="45"/>
      <c r="AB306" s="45"/>
      <c r="AC306" s="46"/>
      <c r="AD306" s="46"/>
      <c r="AH306" s="51"/>
      <c r="AI306" s="45"/>
      <c r="AJ306" s="45"/>
      <c r="AL306" s="45"/>
      <c r="AM306" s="46"/>
      <c r="AN306" s="46"/>
    </row>
    <row r="307" spans="1:40">
      <c r="F307" s="54"/>
      <c r="H307" s="54"/>
      <c r="I307" s="54"/>
      <c r="J307" s="132"/>
      <c r="K307" s="326"/>
      <c r="L307" s="54"/>
      <c r="M307" s="54"/>
      <c r="N307" s="54"/>
      <c r="O307" s="54"/>
      <c r="P307" s="54"/>
      <c r="Q307" s="54"/>
      <c r="R307" s="54"/>
      <c r="V307" s="49"/>
      <c r="Y307" s="49"/>
      <c r="AA307" s="49"/>
      <c r="AB307" s="49"/>
      <c r="AC307" s="49"/>
      <c r="AD307" s="49"/>
      <c r="AE307" s="49"/>
      <c r="AF307" s="49"/>
      <c r="AG307" s="107"/>
      <c r="AH307" s="49"/>
      <c r="AI307" s="49"/>
      <c r="AJ307" s="49"/>
      <c r="AK307" s="107"/>
      <c r="AL307" s="49"/>
      <c r="AM307" s="49"/>
      <c r="AN307" s="49"/>
    </row>
    <row r="308" spans="1:40">
      <c r="F308" s="164"/>
      <c r="H308" s="164"/>
      <c r="I308" s="164"/>
      <c r="J308" s="132"/>
      <c r="K308" s="336"/>
      <c r="L308" s="45"/>
      <c r="M308" s="45"/>
      <c r="N308" s="46"/>
      <c r="O308" s="46"/>
      <c r="P308" s="45"/>
      <c r="Q308" s="45"/>
      <c r="R308" s="45"/>
    </row>
    <row r="309" spans="1:40">
      <c r="A309" s="42"/>
      <c r="F309" s="164"/>
      <c r="H309" s="164"/>
      <c r="I309" s="164"/>
      <c r="J309" s="132"/>
      <c r="K309" s="316"/>
      <c r="L309" s="45"/>
      <c r="M309" s="45"/>
      <c r="N309" s="46"/>
      <c r="O309" s="46"/>
      <c r="P309" s="45"/>
      <c r="Q309" s="45"/>
      <c r="R309" s="45"/>
    </row>
    <row r="310" spans="1:40">
      <c r="F310" s="164"/>
      <c r="H310" s="164"/>
      <c r="I310" s="164"/>
      <c r="J310" s="132"/>
      <c r="K310" s="316"/>
      <c r="L310" s="45"/>
      <c r="M310" s="45"/>
      <c r="N310" s="46"/>
      <c r="O310" s="46"/>
      <c r="P310" s="45"/>
      <c r="Q310" s="45"/>
      <c r="R310" s="45"/>
    </row>
    <row r="311" spans="1:40">
      <c r="A311" s="42"/>
      <c r="J311" s="56"/>
    </row>
    <row r="312" spans="1:40">
      <c r="J312" s="56"/>
    </row>
    <row r="313" spans="1:40">
      <c r="J313" s="56"/>
    </row>
    <row r="314" spans="1:40">
      <c r="H314" s="42"/>
      <c r="I314" s="42"/>
      <c r="J314" s="56"/>
      <c r="Y314" s="42"/>
    </row>
    <row r="315" spans="1:40">
      <c r="J315" s="56"/>
    </row>
    <row r="316" spans="1:40">
      <c r="J316" s="56"/>
      <c r="L316" s="42"/>
      <c r="M316" s="42"/>
      <c r="AA316" s="42"/>
      <c r="AB316" s="42"/>
    </row>
    <row r="317" spans="1:40">
      <c r="J317" s="56"/>
      <c r="R317" s="42"/>
      <c r="AK317" s="110"/>
      <c r="AL317" s="42"/>
    </row>
    <row r="318" spans="1:40">
      <c r="J318" s="56"/>
      <c r="R318" s="42"/>
      <c r="AK318" s="110"/>
      <c r="AL318" s="42"/>
    </row>
    <row r="319" spans="1:40">
      <c r="A319" s="42"/>
      <c r="J319" s="56"/>
      <c r="R319" s="42"/>
      <c r="AK319" s="110"/>
      <c r="AL319" s="42"/>
    </row>
    <row r="320" spans="1:40">
      <c r="J320" s="56"/>
      <c r="L320" s="42"/>
      <c r="M320" s="42"/>
      <c r="AA320" s="42"/>
      <c r="AB320" s="42"/>
    </row>
    <row r="321" spans="1:40">
      <c r="A321" s="49"/>
      <c r="B321" s="49"/>
      <c r="C321" s="49"/>
      <c r="D321" s="49"/>
      <c r="E321" s="49"/>
      <c r="F321" s="49"/>
      <c r="G321" s="49"/>
      <c r="H321" s="49"/>
      <c r="I321" s="49"/>
      <c r="J321" s="57"/>
      <c r="K321" s="49"/>
      <c r="L321" s="49"/>
      <c r="M321" s="49"/>
      <c r="N321" s="49"/>
      <c r="O321" s="49"/>
      <c r="P321" s="49"/>
      <c r="Q321" s="49"/>
      <c r="R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107"/>
      <c r="AH321" s="49"/>
      <c r="AI321" s="49"/>
      <c r="AJ321" s="49"/>
      <c r="AK321" s="107"/>
      <c r="AL321" s="49"/>
      <c r="AM321" s="49"/>
      <c r="AN321" s="49"/>
    </row>
    <row r="322" spans="1:40">
      <c r="J322" s="56"/>
      <c r="L322" s="44"/>
      <c r="M322" s="44"/>
      <c r="N322" s="44"/>
      <c r="O322" s="44"/>
      <c r="R322" s="44"/>
      <c r="AA322" s="44"/>
      <c r="AB322" s="44"/>
      <c r="AC322" s="44"/>
      <c r="AD322" s="44"/>
      <c r="AE322" s="44"/>
      <c r="AF322" s="44"/>
      <c r="AG322" s="102"/>
      <c r="AH322" s="44"/>
      <c r="AK322" s="102"/>
      <c r="AL322" s="44"/>
      <c r="AM322" s="44"/>
      <c r="AN322" s="44"/>
    </row>
    <row r="323" spans="1:40">
      <c r="J323" s="56"/>
      <c r="L323" s="44"/>
      <c r="M323" s="44"/>
      <c r="N323" s="44"/>
      <c r="O323" s="44"/>
      <c r="R323" s="44"/>
      <c r="Z323" s="44"/>
      <c r="AA323" s="44"/>
      <c r="AB323" s="44"/>
      <c r="AC323" s="44"/>
      <c r="AD323" s="44"/>
      <c r="AE323" s="44"/>
      <c r="AF323" s="44"/>
      <c r="AG323" s="102"/>
      <c r="AH323" s="44"/>
      <c r="AK323" s="102"/>
      <c r="AL323" s="44"/>
      <c r="AM323" s="44"/>
      <c r="AN323" s="44"/>
    </row>
    <row r="324" spans="1:40">
      <c r="A324" s="44"/>
      <c r="C324" s="44"/>
      <c r="D324" s="44"/>
      <c r="E324" s="44"/>
      <c r="F324" s="44"/>
      <c r="J324" s="58"/>
      <c r="K324" s="44"/>
      <c r="L324" s="44"/>
      <c r="M324" s="44"/>
      <c r="N324" s="44"/>
      <c r="O324" s="44"/>
      <c r="P324" s="44"/>
      <c r="Q324" s="44"/>
      <c r="R324" s="44"/>
      <c r="T324" s="44"/>
      <c r="U324" s="44"/>
      <c r="V324" s="44"/>
      <c r="Z324" s="44"/>
      <c r="AA324" s="44"/>
      <c r="AB324" s="44"/>
      <c r="AC324" s="44"/>
      <c r="AD324" s="44"/>
      <c r="AE324" s="44"/>
      <c r="AF324" s="44"/>
      <c r="AG324" s="102"/>
      <c r="AH324" s="44"/>
      <c r="AI324" s="44"/>
      <c r="AJ324" s="44"/>
      <c r="AK324" s="102"/>
      <c r="AL324" s="44"/>
      <c r="AM324" s="44"/>
      <c r="AN324" s="44"/>
    </row>
    <row r="325" spans="1:40">
      <c r="A325" s="44"/>
      <c r="C325" s="44"/>
      <c r="D325" s="44"/>
      <c r="E325" s="44"/>
      <c r="F325" s="44"/>
      <c r="H325" s="44"/>
      <c r="I325" s="44"/>
      <c r="J325" s="58"/>
      <c r="K325" s="44"/>
      <c r="L325" s="44"/>
      <c r="M325" s="44"/>
      <c r="N325" s="44"/>
      <c r="O325" s="44"/>
      <c r="P325" s="44"/>
      <c r="Q325" s="44"/>
      <c r="R325" s="44"/>
      <c r="T325" s="44"/>
      <c r="U325" s="44"/>
      <c r="V325" s="44"/>
      <c r="Y325" s="44"/>
      <c r="Z325" s="44"/>
      <c r="AA325" s="44"/>
      <c r="AB325" s="44"/>
      <c r="AC325" s="44"/>
      <c r="AD325" s="44"/>
      <c r="AE325" s="44"/>
      <c r="AF325" s="44"/>
      <c r="AG325" s="102"/>
      <c r="AH325" s="44"/>
      <c r="AI325" s="44"/>
      <c r="AJ325" s="44"/>
      <c r="AK325" s="102"/>
      <c r="AL325" s="44"/>
      <c r="AM325" s="44"/>
      <c r="AN325" s="44"/>
    </row>
    <row r="326" spans="1:40">
      <c r="C326" s="44"/>
      <c r="D326" s="44"/>
      <c r="E326" s="44"/>
      <c r="F326" s="44"/>
      <c r="H326" s="44"/>
      <c r="I326" s="44"/>
      <c r="J326" s="58"/>
      <c r="K326" s="44"/>
      <c r="L326" s="44"/>
      <c r="M326" s="44"/>
      <c r="N326" s="44"/>
      <c r="O326" s="44"/>
      <c r="P326" s="44"/>
      <c r="Q326" s="44"/>
      <c r="R326" s="44"/>
      <c r="T326" s="44"/>
      <c r="U326" s="44"/>
      <c r="V326" s="44"/>
      <c r="Y326" s="44"/>
      <c r="Z326" s="44"/>
      <c r="AA326" s="44"/>
      <c r="AB326" s="44"/>
      <c r="AC326" s="44"/>
      <c r="AD326" s="44"/>
      <c r="AE326" s="44"/>
      <c r="AF326" s="44"/>
      <c r="AG326" s="102"/>
      <c r="AH326" s="44"/>
      <c r="AI326" s="44"/>
      <c r="AJ326" s="44"/>
      <c r="AK326" s="102"/>
      <c r="AL326" s="44"/>
      <c r="AM326" s="44"/>
      <c r="AN326" s="44"/>
    </row>
    <row r="327" spans="1:40">
      <c r="A327" s="49"/>
      <c r="B327" s="49"/>
      <c r="C327" s="49"/>
      <c r="D327" s="49"/>
      <c r="E327" s="49"/>
      <c r="F327" s="49"/>
      <c r="G327" s="49"/>
      <c r="H327" s="49"/>
      <c r="I327" s="49"/>
      <c r="J327" s="57"/>
      <c r="K327" s="49"/>
      <c r="L327" s="49"/>
      <c r="M327" s="49"/>
      <c r="N327" s="49"/>
      <c r="O327" s="49"/>
      <c r="P327" s="49"/>
      <c r="Q327" s="49"/>
      <c r="R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107"/>
      <c r="AH327" s="49"/>
      <c r="AI327" s="49"/>
      <c r="AJ327" s="49"/>
      <c r="AK327" s="107"/>
      <c r="AL327" s="49"/>
      <c r="AM327" s="49"/>
      <c r="AN327" s="49"/>
    </row>
    <row r="328" spans="1:40">
      <c r="H328" s="44"/>
      <c r="I328" s="44"/>
      <c r="J328" s="58"/>
      <c r="K328" s="44"/>
      <c r="L328" s="44"/>
      <c r="M328" s="44"/>
      <c r="N328" s="44"/>
      <c r="O328" s="44"/>
      <c r="P328" s="44"/>
      <c r="Q328" s="44"/>
      <c r="R328" s="44"/>
      <c r="Y328" s="44"/>
      <c r="Z328" s="44"/>
      <c r="AA328" s="44"/>
      <c r="AB328" s="44"/>
      <c r="AC328" s="44"/>
      <c r="AD328" s="44"/>
      <c r="AE328" s="44"/>
      <c r="AF328" s="44"/>
      <c r="AG328" s="102"/>
      <c r="AH328" s="44"/>
      <c r="AI328" s="44"/>
      <c r="AJ328" s="44"/>
      <c r="AK328" s="102"/>
      <c r="AL328" s="44"/>
      <c r="AM328" s="44"/>
      <c r="AN328" s="44"/>
    </row>
    <row r="329" spans="1:40">
      <c r="C329" s="42"/>
      <c r="D329" s="42"/>
      <c r="E329" s="42"/>
      <c r="J329" s="56"/>
      <c r="T329" s="42"/>
      <c r="U329" s="42"/>
    </row>
    <row r="330" spans="1:40">
      <c r="J330" s="56"/>
    </row>
    <row r="331" spans="1:40">
      <c r="C331" s="42"/>
      <c r="J331" s="56"/>
      <c r="T331" s="42"/>
    </row>
    <row r="332" spans="1:40">
      <c r="C332" s="42"/>
      <c r="F332" s="164"/>
      <c r="H332" s="164"/>
      <c r="I332" s="164"/>
      <c r="J332" s="132"/>
      <c r="K332" s="326"/>
      <c r="L332" s="45"/>
      <c r="M332" s="45"/>
      <c r="N332" s="46"/>
      <c r="O332" s="46"/>
      <c r="P332" s="45"/>
      <c r="Q332" s="45"/>
      <c r="R332" s="45"/>
      <c r="T332" s="42"/>
      <c r="V332" s="164"/>
      <c r="Y332" s="164"/>
      <c r="Z332" s="326"/>
      <c r="AA332" s="45"/>
      <c r="AB332" s="45"/>
      <c r="AC332" s="46"/>
      <c r="AD332" s="46"/>
      <c r="AE332" s="45"/>
      <c r="AF332" s="45"/>
      <c r="AH332" s="51"/>
      <c r="AI332" s="45"/>
      <c r="AJ332" s="45"/>
      <c r="AL332" s="45"/>
      <c r="AM332" s="46"/>
      <c r="AN332" s="46"/>
    </row>
    <row r="333" spans="1:40">
      <c r="C333" s="42"/>
      <c r="J333" s="56"/>
      <c r="T333" s="42"/>
    </row>
    <row r="334" spans="1:40">
      <c r="C334" s="42"/>
      <c r="F334" s="164"/>
      <c r="H334" s="164"/>
      <c r="I334" s="164"/>
      <c r="J334" s="132"/>
      <c r="K334" s="132"/>
      <c r="L334" s="45"/>
      <c r="M334" s="45"/>
      <c r="N334" s="46"/>
      <c r="O334" s="46"/>
      <c r="P334" s="45"/>
      <c r="Q334" s="45"/>
      <c r="R334" s="45"/>
      <c r="T334" s="42"/>
      <c r="V334" s="45"/>
      <c r="Y334" s="45"/>
      <c r="Z334" s="132"/>
      <c r="AA334" s="45"/>
      <c r="AB334" s="45"/>
      <c r="AC334" s="46"/>
      <c r="AD334" s="46"/>
      <c r="AE334" s="45"/>
      <c r="AF334" s="45"/>
      <c r="AH334" s="51"/>
      <c r="AI334" s="45"/>
      <c r="AJ334" s="45"/>
      <c r="AL334" s="45"/>
      <c r="AM334" s="46"/>
      <c r="AN334" s="46"/>
    </row>
    <row r="335" spans="1:40">
      <c r="C335" s="42"/>
      <c r="F335" s="164"/>
      <c r="H335" s="164"/>
      <c r="I335" s="164"/>
      <c r="J335" s="132"/>
      <c r="K335" s="132"/>
      <c r="L335" s="45"/>
      <c r="M335" s="45"/>
      <c r="N335" s="46"/>
      <c r="O335" s="46"/>
      <c r="P335" s="45"/>
      <c r="Q335" s="45"/>
      <c r="R335" s="45"/>
      <c r="T335" s="42"/>
      <c r="V335" s="45"/>
      <c r="Y335" s="45"/>
      <c r="Z335" s="132"/>
      <c r="AA335" s="45"/>
      <c r="AB335" s="45"/>
      <c r="AC335" s="46"/>
      <c r="AD335" s="46"/>
      <c r="AE335" s="45"/>
      <c r="AF335" s="45"/>
      <c r="AH335" s="51"/>
      <c r="AI335" s="45"/>
      <c r="AJ335" s="45"/>
      <c r="AL335" s="45"/>
      <c r="AM335" s="46"/>
      <c r="AN335" s="46"/>
    </row>
    <row r="336" spans="1:40">
      <c r="C336" s="42"/>
      <c r="F336" s="164"/>
      <c r="H336" s="164"/>
      <c r="I336" s="164"/>
      <c r="J336" s="132"/>
      <c r="K336" s="132"/>
      <c r="L336" s="45"/>
      <c r="M336" s="45"/>
      <c r="N336" s="46"/>
      <c r="O336" s="46"/>
      <c r="P336" s="45"/>
      <c r="Q336" s="45"/>
      <c r="R336" s="45"/>
      <c r="T336" s="42"/>
      <c r="V336" s="45"/>
      <c r="Y336" s="45"/>
      <c r="Z336" s="132"/>
      <c r="AA336" s="45"/>
      <c r="AB336" s="45"/>
      <c r="AC336" s="46"/>
      <c r="AD336" s="46"/>
      <c r="AE336" s="45"/>
      <c r="AF336" s="45"/>
      <c r="AH336" s="51"/>
      <c r="AI336" s="45"/>
      <c r="AJ336" s="45"/>
      <c r="AL336" s="45"/>
      <c r="AM336" s="46"/>
      <c r="AN336" s="46"/>
    </row>
    <row r="337" spans="3:40">
      <c r="C337" s="42"/>
      <c r="F337" s="164"/>
      <c r="H337" s="164"/>
      <c r="I337" s="164"/>
      <c r="J337" s="132"/>
      <c r="K337" s="132"/>
      <c r="L337" s="45"/>
      <c r="M337" s="45"/>
      <c r="N337" s="46"/>
      <c r="O337" s="46"/>
      <c r="P337" s="45"/>
      <c r="Q337" s="45"/>
      <c r="R337" s="45"/>
      <c r="T337" s="42"/>
      <c r="V337" s="45"/>
      <c r="Y337" s="45"/>
      <c r="Z337" s="132"/>
      <c r="AA337" s="45"/>
      <c r="AB337" s="45"/>
      <c r="AC337" s="46"/>
      <c r="AD337" s="46"/>
      <c r="AE337" s="45"/>
      <c r="AF337" s="45"/>
      <c r="AH337" s="51"/>
      <c r="AI337" s="45"/>
      <c r="AJ337" s="45"/>
      <c r="AL337" s="45"/>
      <c r="AM337" s="46"/>
      <c r="AN337" s="46"/>
    </row>
    <row r="338" spans="3:40">
      <c r="C338" s="42"/>
      <c r="J338" s="56"/>
      <c r="K338" s="56"/>
      <c r="T338" s="42"/>
      <c r="Z338" s="56"/>
    </row>
    <row r="339" spans="3:40">
      <c r="C339" s="42"/>
      <c r="F339" s="164"/>
      <c r="H339" s="164"/>
      <c r="I339" s="164"/>
      <c r="J339" s="132"/>
      <c r="K339" s="132"/>
      <c r="L339" s="45"/>
      <c r="M339" s="45"/>
      <c r="N339" s="46"/>
      <c r="O339" s="46"/>
      <c r="P339" s="45"/>
      <c r="Q339" s="45"/>
      <c r="R339" s="45"/>
      <c r="T339" s="42"/>
      <c r="V339" s="45"/>
      <c r="Y339" s="45"/>
      <c r="Z339" s="132"/>
      <c r="AA339" s="45"/>
      <c r="AB339" s="45"/>
      <c r="AC339" s="46"/>
      <c r="AD339" s="46"/>
      <c r="AE339" s="45"/>
      <c r="AF339" s="45"/>
      <c r="AH339" s="51"/>
      <c r="AI339" s="45"/>
      <c r="AJ339" s="45"/>
      <c r="AL339" s="45"/>
      <c r="AM339" s="46"/>
      <c r="AN339" s="46"/>
    </row>
    <row r="340" spans="3:40">
      <c r="C340" s="42"/>
      <c r="F340" s="164"/>
      <c r="H340" s="164"/>
      <c r="I340" s="164"/>
      <c r="J340" s="132"/>
      <c r="K340" s="132"/>
      <c r="L340" s="45"/>
      <c r="M340" s="45"/>
      <c r="N340" s="46"/>
      <c r="O340" s="46"/>
      <c r="P340" s="45"/>
      <c r="Q340" s="45"/>
      <c r="R340" s="45"/>
      <c r="T340" s="42"/>
      <c r="V340" s="45"/>
      <c r="Y340" s="45"/>
      <c r="Z340" s="132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3:40">
      <c r="C341" s="42"/>
      <c r="F341" s="164"/>
      <c r="H341" s="164"/>
      <c r="I341" s="164"/>
      <c r="J341" s="132"/>
      <c r="K341" s="132"/>
      <c r="L341" s="45"/>
      <c r="M341" s="45"/>
      <c r="N341" s="46"/>
      <c r="O341" s="46"/>
      <c r="P341" s="45"/>
      <c r="Q341" s="45"/>
      <c r="R341" s="45"/>
      <c r="T341" s="42"/>
      <c r="V341" s="45"/>
      <c r="Y341" s="45"/>
      <c r="Z341" s="132"/>
      <c r="AA341" s="45"/>
      <c r="AB341" s="45"/>
      <c r="AC341" s="46"/>
      <c r="AD341" s="46"/>
      <c r="AE341" s="45"/>
      <c r="AF341" s="45"/>
      <c r="AH341" s="51"/>
      <c r="AI341" s="45"/>
      <c r="AJ341" s="45"/>
      <c r="AL341" s="45"/>
      <c r="AM341" s="46"/>
      <c r="AN341" s="46"/>
    </row>
    <row r="342" spans="3:40">
      <c r="C342" s="42"/>
      <c r="J342" s="56"/>
      <c r="K342" s="56"/>
      <c r="T342" s="42"/>
      <c r="Z342" s="56"/>
    </row>
    <row r="343" spans="3:40">
      <c r="C343" s="42"/>
      <c r="F343" s="164"/>
      <c r="H343" s="164"/>
      <c r="I343" s="164"/>
      <c r="J343" s="132"/>
      <c r="K343" s="132"/>
      <c r="L343" s="45"/>
      <c r="M343" s="45"/>
      <c r="N343" s="46"/>
      <c r="O343" s="46"/>
      <c r="P343" s="45"/>
      <c r="Q343" s="45"/>
      <c r="R343" s="45"/>
      <c r="T343" s="42"/>
      <c r="V343" s="45"/>
      <c r="Y343" s="45"/>
      <c r="Z343" s="132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3:40">
      <c r="C344" s="42"/>
      <c r="F344" s="164"/>
      <c r="H344" s="164"/>
      <c r="I344" s="164"/>
      <c r="J344" s="132"/>
      <c r="K344" s="132"/>
      <c r="L344" s="45"/>
      <c r="M344" s="45"/>
      <c r="N344" s="46"/>
      <c r="O344" s="46"/>
      <c r="P344" s="45"/>
      <c r="Q344" s="45"/>
      <c r="R344" s="45"/>
      <c r="T344" s="42"/>
      <c r="V344" s="45"/>
      <c r="Y344" s="45"/>
      <c r="Z344" s="132"/>
      <c r="AA344" s="45"/>
      <c r="AB344" s="45"/>
      <c r="AC344" s="46"/>
      <c r="AD344" s="46"/>
      <c r="AE344" s="45"/>
      <c r="AF344" s="45"/>
      <c r="AH344" s="51"/>
      <c r="AI344" s="45"/>
      <c r="AJ344" s="45"/>
      <c r="AL344" s="45"/>
      <c r="AM344" s="46"/>
      <c r="AN344" s="46"/>
    </row>
    <row r="345" spans="3:40">
      <c r="C345" s="42"/>
      <c r="J345" s="56"/>
      <c r="K345" s="56"/>
      <c r="T345" s="42"/>
      <c r="Z345" s="56"/>
    </row>
    <row r="346" spans="3:40">
      <c r="C346" s="42"/>
      <c r="F346" s="164"/>
      <c r="H346" s="164"/>
      <c r="I346" s="164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45"/>
      <c r="Y346" s="45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3:40">
      <c r="C347" s="42"/>
      <c r="F347" s="164"/>
      <c r="H347" s="164"/>
      <c r="I347" s="164"/>
      <c r="J347" s="132"/>
      <c r="K347" s="132"/>
      <c r="L347" s="45"/>
      <c r="M347" s="45"/>
      <c r="N347" s="46"/>
      <c r="O347" s="46"/>
      <c r="P347" s="45"/>
      <c r="Q347" s="45"/>
      <c r="R347" s="45"/>
      <c r="T347" s="42"/>
      <c r="V347" s="45"/>
      <c r="Y347" s="45"/>
      <c r="Z347" s="132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3:40">
      <c r="C348" s="42"/>
      <c r="F348" s="164"/>
      <c r="H348" s="164"/>
      <c r="I348" s="164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45"/>
      <c r="Y348" s="45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>
      <c r="F349" s="50"/>
      <c r="H349" s="50"/>
      <c r="I349" s="50"/>
      <c r="J349" s="132"/>
      <c r="K349" s="132"/>
      <c r="L349" s="50"/>
      <c r="M349" s="50"/>
      <c r="N349" s="50"/>
      <c r="O349" s="50"/>
      <c r="P349" s="50"/>
      <c r="Q349" s="50"/>
      <c r="R349" s="50"/>
      <c r="V349" s="50"/>
      <c r="Y349" s="50"/>
      <c r="Z349" s="132"/>
      <c r="AA349" s="50"/>
      <c r="AB349" s="50"/>
      <c r="AC349" s="50"/>
      <c r="AD349" s="50"/>
      <c r="AE349" s="50"/>
      <c r="AF349" s="50"/>
      <c r="AI349" s="50"/>
      <c r="AJ349" s="50"/>
      <c r="AK349" s="111"/>
      <c r="AL349" s="50"/>
    </row>
    <row r="350" spans="3:40">
      <c r="C350" s="44"/>
      <c r="F350" s="45"/>
      <c r="H350" s="45"/>
      <c r="I350" s="45"/>
      <c r="J350" s="56"/>
      <c r="K350" s="56"/>
      <c r="L350" s="45"/>
      <c r="M350" s="45"/>
      <c r="N350" s="51"/>
      <c r="O350" s="51"/>
      <c r="P350" s="45"/>
      <c r="Q350" s="45"/>
      <c r="R350" s="45"/>
      <c r="T350" s="44"/>
      <c r="V350" s="45"/>
      <c r="Y350" s="45"/>
      <c r="Z350" s="56"/>
      <c r="AA350" s="45"/>
      <c r="AB350" s="45"/>
      <c r="AC350" s="45"/>
      <c r="AD350" s="45"/>
      <c r="AE350" s="45"/>
      <c r="AF350" s="45"/>
      <c r="AH350" s="51"/>
      <c r="AI350" s="45"/>
      <c r="AJ350" s="45"/>
      <c r="AL350" s="45"/>
      <c r="AM350" s="46"/>
      <c r="AN350" s="46"/>
    </row>
    <row r="351" spans="3:40">
      <c r="F351" s="50"/>
      <c r="H351" s="50"/>
      <c r="I351" s="50"/>
      <c r="J351" s="132"/>
      <c r="K351" s="132"/>
      <c r="L351" s="50"/>
      <c r="M351" s="50"/>
      <c r="N351" s="50"/>
      <c r="O351" s="50"/>
      <c r="P351" s="50"/>
      <c r="Q351" s="50"/>
      <c r="R351" s="50"/>
      <c r="V351" s="50"/>
      <c r="Y351" s="50"/>
      <c r="Z351" s="132"/>
      <c r="AA351" s="50"/>
      <c r="AB351" s="50"/>
      <c r="AC351" s="50"/>
      <c r="AD351" s="50"/>
      <c r="AE351" s="50"/>
      <c r="AF351" s="50"/>
      <c r="AI351" s="50"/>
      <c r="AJ351" s="50"/>
      <c r="AK351" s="111"/>
      <c r="AL351" s="50"/>
    </row>
    <row r="352" spans="3:40">
      <c r="C352" s="42"/>
      <c r="J352" s="56"/>
      <c r="K352" s="56"/>
      <c r="T352" s="42"/>
      <c r="Z352" s="56"/>
    </row>
    <row r="353" spans="3:40">
      <c r="C353" s="42"/>
      <c r="J353" s="56"/>
      <c r="K353" s="56"/>
      <c r="T353" s="42"/>
      <c r="Z353" s="56"/>
    </row>
    <row r="354" spans="3:40">
      <c r="C354" s="42"/>
      <c r="F354" s="164"/>
      <c r="H354" s="164"/>
      <c r="I354" s="164"/>
      <c r="J354" s="132"/>
      <c r="K354" s="132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132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>
      <c r="C355" s="42"/>
      <c r="F355" s="164"/>
      <c r="H355" s="164"/>
      <c r="I355" s="164"/>
      <c r="J355" s="132"/>
      <c r="K355" s="132"/>
      <c r="L355" s="45"/>
      <c r="M355" s="45"/>
      <c r="N355" s="46"/>
      <c r="O355" s="46"/>
      <c r="P355" s="45"/>
      <c r="Q355" s="45"/>
      <c r="R355" s="45"/>
      <c r="T355" s="42"/>
      <c r="V355" s="45"/>
      <c r="Y355" s="45"/>
      <c r="Z355" s="132"/>
      <c r="AA355" s="45"/>
      <c r="AB355" s="45"/>
      <c r="AC355" s="46"/>
      <c r="AD355" s="46"/>
      <c r="AE355" s="45"/>
      <c r="AF355" s="45"/>
      <c r="AH355" s="51"/>
      <c r="AI355" s="45"/>
      <c r="AJ355" s="45"/>
      <c r="AL355" s="45"/>
      <c r="AM355" s="46"/>
      <c r="AN355" s="46"/>
    </row>
    <row r="356" spans="3:40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45"/>
      <c r="Y356" s="45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>
      <c r="C360" s="42"/>
      <c r="F360" s="164"/>
      <c r="H360" s="164"/>
      <c r="I360" s="164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45"/>
      <c r="Y360" s="45"/>
      <c r="Z360" s="132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>
      <c r="C361" s="42"/>
      <c r="J361" s="56"/>
      <c r="K361" s="56"/>
      <c r="T361" s="42"/>
      <c r="Z361" s="56"/>
    </row>
    <row r="362" spans="3:40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Y363" s="45"/>
      <c r="Z363" s="132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3:40">
      <c r="C364" s="42"/>
      <c r="F364" s="164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T364" s="42"/>
      <c r="V364" s="45"/>
      <c r="Y364" s="45"/>
      <c r="Z364" s="132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3:40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>
      <c r="C366" s="42"/>
      <c r="J366" s="56"/>
      <c r="K366" s="56"/>
      <c r="T366" s="42"/>
      <c r="Z366" s="56"/>
    </row>
    <row r="367" spans="3:40">
      <c r="C367" s="42"/>
      <c r="F367" s="164"/>
      <c r="H367" s="164"/>
      <c r="I367" s="164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45"/>
      <c r="Y367" s="45"/>
      <c r="Z367" s="132"/>
      <c r="AA367" s="45"/>
      <c r="AB367" s="45"/>
      <c r="AC367" s="46"/>
      <c r="AD367" s="46"/>
      <c r="AE367" s="45"/>
      <c r="AF367" s="45"/>
      <c r="AH367" s="51"/>
      <c r="AI367" s="45"/>
      <c r="AJ367" s="45"/>
      <c r="AL367" s="45"/>
      <c r="AM367" s="46"/>
      <c r="AN367" s="46"/>
    </row>
    <row r="368" spans="3:40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1:40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1:40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1:40">
      <c r="C371" s="42"/>
      <c r="F371" s="164"/>
      <c r="H371" s="164"/>
      <c r="I371" s="164"/>
      <c r="J371" s="132"/>
      <c r="K371" s="132"/>
      <c r="L371" s="45"/>
      <c r="M371" s="45"/>
      <c r="N371" s="46"/>
      <c r="O371" s="46"/>
      <c r="P371" s="45"/>
      <c r="Q371" s="45"/>
      <c r="R371" s="45"/>
      <c r="T371" s="42"/>
      <c r="V371" s="45"/>
      <c r="Y371" s="45"/>
      <c r="Z371" s="132"/>
      <c r="AA371" s="45"/>
      <c r="AB371" s="45"/>
      <c r="AC371" s="46"/>
      <c r="AD371" s="46"/>
      <c r="AE371" s="45"/>
      <c r="AF371" s="45"/>
      <c r="AH371" s="51"/>
      <c r="AI371" s="45"/>
      <c r="AJ371" s="45"/>
      <c r="AL371" s="45"/>
      <c r="AM371" s="46"/>
      <c r="AN371" s="46"/>
    </row>
    <row r="372" spans="1:40">
      <c r="F372" s="50"/>
      <c r="H372" s="50"/>
      <c r="I372" s="50"/>
      <c r="J372" s="132"/>
      <c r="K372" s="326"/>
      <c r="L372" s="50"/>
      <c r="M372" s="50"/>
      <c r="N372" s="50"/>
      <c r="O372" s="50"/>
      <c r="P372" s="50"/>
      <c r="Q372" s="50"/>
      <c r="R372" s="50"/>
      <c r="V372" s="50"/>
      <c r="Y372" s="50"/>
      <c r="Z372" s="132"/>
      <c r="AA372" s="50"/>
      <c r="AB372" s="50"/>
      <c r="AC372" s="50"/>
      <c r="AD372" s="50"/>
      <c r="AE372" s="50"/>
      <c r="AF372" s="50"/>
      <c r="AI372" s="50"/>
      <c r="AJ372" s="50"/>
      <c r="AK372" s="111"/>
      <c r="AL372" s="50"/>
    </row>
    <row r="373" spans="1:40">
      <c r="C373" s="42"/>
      <c r="F373" s="45"/>
      <c r="H373" s="45"/>
      <c r="I373" s="45"/>
      <c r="J373" s="56"/>
      <c r="L373" s="45"/>
      <c r="M373" s="45"/>
      <c r="N373" s="51"/>
      <c r="O373" s="51"/>
      <c r="P373" s="45"/>
      <c r="Q373" s="45"/>
      <c r="R373" s="45"/>
      <c r="T373" s="42"/>
      <c r="V373" s="45"/>
      <c r="Y373" s="45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1:40">
      <c r="F374" s="50"/>
      <c r="H374" s="50"/>
      <c r="I374" s="50"/>
      <c r="J374" s="132"/>
      <c r="K374" s="326"/>
      <c r="L374" s="50"/>
      <c r="M374" s="50"/>
      <c r="N374" s="50"/>
      <c r="O374" s="50"/>
      <c r="P374" s="50"/>
      <c r="Q374" s="50"/>
      <c r="R374" s="50"/>
      <c r="V374" s="50"/>
      <c r="Y374" s="50"/>
      <c r="Z374" s="326"/>
      <c r="AA374" s="50"/>
      <c r="AB374" s="50"/>
      <c r="AC374" s="50"/>
      <c r="AD374" s="50"/>
      <c r="AE374" s="50"/>
      <c r="AF374" s="50"/>
      <c r="AI374" s="50"/>
      <c r="AJ374" s="50"/>
      <c r="AK374" s="111"/>
      <c r="AL374" s="50"/>
    </row>
    <row r="375" spans="1:40">
      <c r="C375" s="42"/>
      <c r="J375" s="56"/>
      <c r="T375" s="42"/>
    </row>
    <row r="376" spans="1:40">
      <c r="C376" s="42"/>
      <c r="F376" s="164"/>
      <c r="H376" s="164"/>
      <c r="I376" s="164"/>
      <c r="J376" s="132"/>
      <c r="K376" s="316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316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1:40">
      <c r="C377" s="42"/>
      <c r="F377" s="164"/>
      <c r="H377" s="164"/>
      <c r="I377" s="164"/>
      <c r="J377" s="132"/>
      <c r="K377" s="316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316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1:40">
      <c r="F378" s="50"/>
      <c r="H378" s="45"/>
      <c r="I378" s="45"/>
      <c r="J378" s="132"/>
      <c r="K378" s="326"/>
      <c r="L378" s="50"/>
      <c r="M378" s="50"/>
      <c r="N378" s="50"/>
      <c r="O378" s="50"/>
      <c r="P378" s="50"/>
      <c r="Q378" s="50"/>
      <c r="R378" s="50"/>
      <c r="V378" s="50"/>
      <c r="Y378" s="45"/>
      <c r="Z378" s="326"/>
      <c r="AA378" s="50"/>
      <c r="AB378" s="50"/>
      <c r="AC378" s="50"/>
      <c r="AD378" s="50"/>
      <c r="AE378" s="50"/>
      <c r="AF378" s="50"/>
      <c r="AI378" s="50"/>
      <c r="AJ378" s="50"/>
      <c r="AK378" s="111"/>
      <c r="AL378" s="50"/>
    </row>
    <row r="379" spans="1:40">
      <c r="F379" s="45"/>
      <c r="H379" s="45"/>
      <c r="I379" s="45"/>
      <c r="J379" s="132"/>
      <c r="K379" s="326"/>
      <c r="L379" s="45"/>
      <c r="M379" s="45"/>
      <c r="N379" s="45"/>
      <c r="O379" s="45"/>
      <c r="P379" s="45"/>
      <c r="Q379" s="45"/>
      <c r="R379" s="45"/>
      <c r="V379" s="45"/>
      <c r="Y379" s="45"/>
      <c r="Z379" s="326"/>
      <c r="AA379" s="45"/>
      <c r="AB379" s="45"/>
      <c r="AC379" s="45"/>
      <c r="AD379" s="45"/>
      <c r="AE379" s="45"/>
      <c r="AF379" s="45"/>
      <c r="AI379" s="45"/>
      <c r="AJ379" s="45"/>
      <c r="AL379" s="45"/>
    </row>
    <row r="380" spans="1:40">
      <c r="C380" s="42"/>
      <c r="F380" s="45"/>
      <c r="H380" s="45"/>
      <c r="I380" s="45"/>
      <c r="J380" s="56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AA380" s="45"/>
      <c r="AB380" s="45"/>
      <c r="AC380" s="46"/>
      <c r="AD380" s="46"/>
      <c r="AE380" s="45"/>
      <c r="AF380" s="45"/>
      <c r="AH380" s="51"/>
      <c r="AI380" s="164"/>
      <c r="AJ380" s="164"/>
      <c r="AL380" s="45"/>
      <c r="AM380" s="46"/>
      <c r="AN380" s="46"/>
    </row>
    <row r="381" spans="1:40">
      <c r="H381" s="50"/>
      <c r="I381" s="50"/>
      <c r="J381" s="132"/>
      <c r="K381" s="326"/>
      <c r="L381" s="50"/>
      <c r="M381" s="50"/>
      <c r="N381" s="50"/>
      <c r="O381" s="50"/>
      <c r="P381" s="50"/>
      <c r="Q381" s="50"/>
      <c r="R381" s="50"/>
      <c r="V381" s="50"/>
      <c r="Y381" s="50"/>
      <c r="Z381" s="326"/>
      <c r="AA381" s="50"/>
      <c r="AB381" s="50"/>
      <c r="AC381" s="50"/>
      <c r="AD381" s="50"/>
      <c r="AE381" s="50"/>
      <c r="AF381" s="50"/>
      <c r="AI381" s="50"/>
      <c r="AJ381" s="50"/>
      <c r="AK381" s="111"/>
      <c r="AL381" s="50"/>
    </row>
    <row r="382" spans="1:40">
      <c r="F382" s="50"/>
      <c r="J382" s="56"/>
    </row>
    <row r="383" spans="1:40">
      <c r="A383" s="42"/>
      <c r="J383" s="56"/>
      <c r="T383" s="42"/>
    </row>
    <row r="384" spans="1:40">
      <c r="A384" s="42"/>
      <c r="J384" s="56"/>
      <c r="T384" s="42"/>
    </row>
    <row r="385" spans="1:38">
      <c r="A385" s="42"/>
      <c r="J385" s="56"/>
      <c r="T385" s="42"/>
    </row>
    <row r="386" spans="1:38">
      <c r="A386" s="42"/>
      <c r="J386" s="56"/>
      <c r="T386" s="42"/>
    </row>
    <row r="387" spans="1:38">
      <c r="A387" s="42"/>
      <c r="J387" s="56"/>
      <c r="T387" s="42"/>
    </row>
    <row r="388" spans="1:38">
      <c r="A388" s="42"/>
      <c r="J388" s="56"/>
      <c r="T388" s="42"/>
    </row>
    <row r="389" spans="1:38">
      <c r="A389" s="42"/>
      <c r="J389" s="56"/>
      <c r="T389" s="42"/>
    </row>
    <row r="390" spans="1:38">
      <c r="A390" s="42"/>
      <c r="J390" s="56"/>
      <c r="T390" s="42"/>
    </row>
    <row r="391" spans="1:38">
      <c r="A391" s="42"/>
      <c r="J391" s="56"/>
      <c r="T391" s="42"/>
    </row>
    <row r="392" spans="1:38">
      <c r="J392" s="56"/>
    </row>
    <row r="393" spans="1:38">
      <c r="A393" s="42"/>
      <c r="J393" s="56"/>
    </row>
    <row r="394" spans="1:38">
      <c r="J394" s="56"/>
    </row>
    <row r="395" spans="1:38">
      <c r="H395" s="42"/>
      <c r="I395" s="42"/>
      <c r="J395" s="56"/>
      <c r="Y395" s="42"/>
    </row>
    <row r="396" spans="1:38">
      <c r="J396" s="56"/>
    </row>
    <row r="397" spans="1:38">
      <c r="J397" s="56"/>
      <c r="L397" s="42"/>
      <c r="M397" s="42"/>
      <c r="AA397" s="42"/>
      <c r="AB397" s="42"/>
    </row>
    <row r="398" spans="1:38">
      <c r="J398" s="56"/>
      <c r="R398" s="42"/>
      <c r="AK398" s="110"/>
      <c r="AL398" s="42"/>
    </row>
    <row r="399" spans="1:38">
      <c r="J399" s="56"/>
      <c r="R399" s="42"/>
      <c r="AK399" s="110"/>
      <c r="AL399" s="42"/>
    </row>
    <row r="400" spans="1:38">
      <c r="A400" s="42"/>
      <c r="J400" s="56"/>
      <c r="R400" s="42"/>
      <c r="AK400" s="110"/>
      <c r="AL400" s="42"/>
    </row>
    <row r="401" spans="1:40">
      <c r="J401" s="56"/>
      <c r="L401" s="42"/>
      <c r="M401" s="42"/>
      <c r="AA401" s="42"/>
      <c r="AB401" s="42"/>
    </row>
    <row r="402" spans="1:40">
      <c r="A402" s="49"/>
      <c r="B402" s="49"/>
      <c r="C402" s="49"/>
      <c r="D402" s="49"/>
      <c r="E402" s="49"/>
      <c r="F402" s="49"/>
      <c r="G402" s="49"/>
      <c r="H402" s="49"/>
      <c r="I402" s="49"/>
      <c r="J402" s="57"/>
      <c r="K402" s="49"/>
      <c r="L402" s="49"/>
      <c r="M402" s="49"/>
      <c r="N402" s="49"/>
      <c r="O402" s="49"/>
      <c r="P402" s="49"/>
      <c r="Q402" s="49"/>
      <c r="R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107"/>
      <c r="AH402" s="49"/>
      <c r="AI402" s="49"/>
      <c r="AJ402" s="49"/>
      <c r="AK402" s="107"/>
      <c r="AL402" s="49"/>
      <c r="AM402" s="49"/>
      <c r="AN402" s="49"/>
    </row>
    <row r="403" spans="1:40">
      <c r="J403" s="56"/>
      <c r="L403" s="44"/>
      <c r="M403" s="44"/>
      <c r="N403" s="44"/>
      <c r="O403" s="44"/>
      <c r="R403" s="44"/>
      <c r="AA403" s="44"/>
      <c r="AB403" s="44"/>
      <c r="AC403" s="44"/>
      <c r="AD403" s="44"/>
      <c r="AE403" s="44"/>
      <c r="AF403" s="44"/>
      <c r="AG403" s="102"/>
      <c r="AH403" s="44"/>
      <c r="AK403" s="102"/>
      <c r="AL403" s="44"/>
      <c r="AM403" s="44"/>
      <c r="AN403" s="44"/>
    </row>
    <row r="404" spans="1:40">
      <c r="J404" s="56"/>
      <c r="L404" s="44"/>
      <c r="M404" s="44"/>
      <c r="N404" s="44"/>
      <c r="O404" s="44"/>
      <c r="R404" s="44"/>
      <c r="Z404" s="44"/>
      <c r="AA404" s="44"/>
      <c r="AB404" s="44"/>
      <c r="AC404" s="44"/>
      <c r="AD404" s="44"/>
      <c r="AE404" s="44"/>
      <c r="AF404" s="44"/>
      <c r="AG404" s="102"/>
      <c r="AH404" s="44"/>
      <c r="AK404" s="102"/>
      <c r="AL404" s="44"/>
      <c r="AM404" s="44"/>
      <c r="AN404" s="44"/>
    </row>
    <row r="405" spans="1:40">
      <c r="A405" s="44"/>
      <c r="C405" s="44"/>
      <c r="D405" s="44"/>
      <c r="E405" s="44"/>
      <c r="F405" s="44"/>
      <c r="J405" s="58"/>
      <c r="K405" s="44"/>
      <c r="L405" s="44"/>
      <c r="M405" s="44"/>
      <c r="N405" s="44"/>
      <c r="O405" s="44"/>
      <c r="P405" s="44"/>
      <c r="Q405" s="44"/>
      <c r="R405" s="44"/>
      <c r="T405" s="44"/>
      <c r="U405" s="44"/>
      <c r="V405" s="44"/>
      <c r="Z405" s="44"/>
      <c r="AA405" s="44"/>
      <c r="AB405" s="44"/>
      <c r="AC405" s="44"/>
      <c r="AD405" s="44"/>
      <c r="AE405" s="44"/>
      <c r="AF405" s="44"/>
      <c r="AG405" s="102"/>
      <c r="AH405" s="44"/>
      <c r="AI405" s="44"/>
      <c r="AJ405" s="44"/>
      <c r="AK405" s="102"/>
      <c r="AL405" s="44"/>
      <c r="AM405" s="44"/>
      <c r="AN405" s="44"/>
    </row>
    <row r="406" spans="1:40">
      <c r="A406" s="44"/>
      <c r="C406" s="44"/>
      <c r="D406" s="44"/>
      <c r="E406" s="44"/>
      <c r="F406" s="44"/>
      <c r="H406" s="44"/>
      <c r="I406" s="44"/>
      <c r="J406" s="58"/>
      <c r="K406" s="44"/>
      <c r="L406" s="44"/>
      <c r="M406" s="44"/>
      <c r="N406" s="44"/>
      <c r="O406" s="44"/>
      <c r="P406" s="44"/>
      <c r="Q406" s="44"/>
      <c r="R406" s="44"/>
      <c r="T406" s="44"/>
      <c r="U406" s="44"/>
      <c r="V406" s="44"/>
      <c r="Y406" s="44"/>
      <c r="Z406" s="44"/>
      <c r="AA406" s="44"/>
      <c r="AB406" s="44"/>
      <c r="AC406" s="44"/>
      <c r="AD406" s="44"/>
      <c r="AE406" s="44"/>
      <c r="AF406" s="44"/>
      <c r="AG406" s="102"/>
      <c r="AH406" s="44"/>
      <c r="AI406" s="44"/>
      <c r="AJ406" s="44"/>
      <c r="AK406" s="102"/>
      <c r="AL406" s="44"/>
      <c r="AM406" s="44"/>
      <c r="AN406" s="44"/>
    </row>
    <row r="407" spans="1:40">
      <c r="C407" s="44"/>
      <c r="D407" s="44"/>
      <c r="E407" s="44"/>
      <c r="F407" s="44"/>
      <c r="H407" s="44"/>
      <c r="I407" s="44"/>
      <c r="J407" s="58"/>
      <c r="K407" s="44"/>
      <c r="L407" s="44"/>
      <c r="M407" s="44"/>
      <c r="N407" s="44"/>
      <c r="O407" s="44"/>
      <c r="P407" s="44"/>
      <c r="Q407" s="44"/>
      <c r="R407" s="44"/>
      <c r="T407" s="44"/>
      <c r="U407" s="44"/>
      <c r="V407" s="44"/>
      <c r="Y407" s="44"/>
      <c r="Z407" s="44"/>
      <c r="AA407" s="44"/>
      <c r="AB407" s="44"/>
      <c r="AC407" s="44"/>
      <c r="AD407" s="44"/>
      <c r="AE407" s="44"/>
      <c r="AF407" s="44"/>
      <c r="AG407" s="102"/>
      <c r="AH407" s="44"/>
      <c r="AI407" s="44"/>
      <c r="AJ407" s="44"/>
      <c r="AK407" s="102"/>
      <c r="AL407" s="44"/>
      <c r="AM407" s="44"/>
      <c r="AN407" s="44"/>
    </row>
    <row r="408" spans="1:40">
      <c r="A408" s="49"/>
      <c r="B408" s="49"/>
      <c r="C408" s="49"/>
      <c r="D408" s="49"/>
      <c r="E408" s="49"/>
      <c r="F408" s="49"/>
      <c r="G408" s="49"/>
      <c r="H408" s="49"/>
      <c r="I408" s="49"/>
      <c r="J408" s="57"/>
      <c r="K408" s="49"/>
      <c r="L408" s="49"/>
      <c r="M408" s="49"/>
      <c r="N408" s="49"/>
      <c r="O408" s="49"/>
      <c r="P408" s="49"/>
      <c r="Q408" s="49"/>
      <c r="R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107"/>
      <c r="AH408" s="49"/>
      <c r="AI408" s="49"/>
      <c r="AJ408" s="49"/>
      <c r="AK408" s="107"/>
      <c r="AL408" s="49"/>
      <c r="AM408" s="49"/>
      <c r="AN408" s="49"/>
    </row>
    <row r="409" spans="1:40">
      <c r="H409" s="44"/>
      <c r="I409" s="44"/>
      <c r="J409" s="58"/>
      <c r="K409" s="44"/>
      <c r="L409" s="44"/>
      <c r="M409" s="44"/>
      <c r="N409" s="44"/>
      <c r="O409" s="44"/>
      <c r="P409" s="44"/>
      <c r="Q409" s="44"/>
      <c r="R409" s="44"/>
      <c r="Y409" s="44"/>
      <c r="Z409" s="44"/>
      <c r="AA409" s="44"/>
      <c r="AB409" s="44"/>
      <c r="AC409" s="44"/>
      <c r="AD409" s="44"/>
      <c r="AE409" s="44"/>
      <c r="AF409" s="44"/>
      <c r="AG409" s="102"/>
      <c r="AH409" s="44"/>
      <c r="AI409" s="44"/>
      <c r="AJ409" s="44"/>
      <c r="AK409" s="102"/>
      <c r="AL409" s="44"/>
      <c r="AM409" s="44"/>
      <c r="AN409" s="44"/>
    </row>
    <row r="410" spans="1:40">
      <c r="C410" s="42"/>
      <c r="D410" s="42"/>
      <c r="E410" s="42"/>
      <c r="J410" s="56"/>
      <c r="T410" s="42"/>
      <c r="U410" s="42"/>
    </row>
    <row r="411" spans="1:40">
      <c r="D411" s="42"/>
      <c r="E411" s="42"/>
      <c r="J411" s="56"/>
      <c r="U411" s="42"/>
    </row>
    <row r="412" spans="1:40">
      <c r="J412" s="56"/>
    </row>
    <row r="413" spans="1:40">
      <c r="C413" s="42"/>
      <c r="F413" s="45"/>
      <c r="J413" s="56"/>
      <c r="K413" s="53"/>
      <c r="L413" s="45"/>
      <c r="M413" s="45"/>
      <c r="R413" s="45"/>
      <c r="T413" s="42"/>
      <c r="V413" s="45"/>
      <c r="Z413" s="53"/>
      <c r="AA413" s="45"/>
      <c r="AB413" s="45"/>
      <c r="AH413" s="45"/>
      <c r="AL413" s="45"/>
    </row>
    <row r="414" spans="1:40">
      <c r="C414" s="42"/>
      <c r="F414" s="45"/>
      <c r="J414" s="56"/>
      <c r="R414" s="45"/>
      <c r="T414" s="42"/>
      <c r="V414" s="45"/>
      <c r="AH414" s="45"/>
      <c r="AL414" s="45"/>
    </row>
    <row r="415" spans="1:40">
      <c r="J415" s="56"/>
      <c r="AI415" s="45"/>
      <c r="AJ415" s="45"/>
      <c r="AL415" s="45"/>
      <c r="AM415" s="46"/>
      <c r="AN415" s="46"/>
    </row>
    <row r="416" spans="1:40">
      <c r="C416" s="42"/>
      <c r="F416" s="164"/>
      <c r="H416" s="164"/>
      <c r="I416" s="164"/>
      <c r="J416" s="132"/>
      <c r="K416" s="336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336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1:40">
      <c r="F417" s="45"/>
      <c r="H417" s="45"/>
      <c r="I417" s="45"/>
      <c r="J417" s="56"/>
      <c r="K417" s="47"/>
      <c r="L417" s="45"/>
      <c r="M417" s="45"/>
      <c r="P417" s="45"/>
      <c r="Q417" s="45"/>
      <c r="R417" s="45"/>
      <c r="V417" s="45"/>
      <c r="Y417" s="45"/>
      <c r="Z417" s="47"/>
      <c r="AA417" s="45"/>
      <c r="AB417" s="45"/>
      <c r="AI417" s="45"/>
      <c r="AJ417" s="45"/>
      <c r="AL417" s="45"/>
      <c r="AM417" s="46"/>
      <c r="AN417" s="46"/>
    </row>
    <row r="418" spans="1:40">
      <c r="F418" s="45"/>
      <c r="J418" s="56"/>
      <c r="R418" s="45"/>
      <c r="V418" s="45"/>
      <c r="AL418" s="45"/>
      <c r="AM418" s="46"/>
      <c r="AN418" s="46"/>
    </row>
    <row r="419" spans="1:40">
      <c r="C419" s="42"/>
      <c r="F419" s="45"/>
      <c r="J419" s="56"/>
      <c r="K419" s="53"/>
      <c r="L419" s="45"/>
      <c r="M419" s="45"/>
      <c r="N419" s="46"/>
      <c r="O419" s="46"/>
      <c r="R419" s="45"/>
      <c r="T419" s="42"/>
      <c r="V419" s="45"/>
      <c r="Z419" s="53"/>
      <c r="AA419" s="45"/>
      <c r="AB419" s="45"/>
      <c r="AC419" s="46"/>
      <c r="AD419" s="46"/>
      <c r="AL419" s="45"/>
      <c r="AM419" s="46"/>
      <c r="AN419" s="46"/>
    </row>
    <row r="420" spans="1:40">
      <c r="C420" s="42"/>
      <c r="F420" s="45"/>
      <c r="H420" s="45"/>
      <c r="I420" s="45"/>
      <c r="J420" s="56"/>
      <c r="K420" s="53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53"/>
      <c r="AA420" s="45"/>
      <c r="AB420" s="45"/>
      <c r="AC420" s="46"/>
      <c r="AD420" s="46"/>
      <c r="AI420" s="45"/>
      <c r="AJ420" s="45"/>
      <c r="AL420" s="45"/>
      <c r="AM420" s="46"/>
      <c r="AN420" s="46"/>
    </row>
    <row r="421" spans="1:40">
      <c r="C421" s="42"/>
      <c r="J421" s="56"/>
      <c r="T421" s="42"/>
      <c r="AM421" s="46"/>
      <c r="AN421" s="46"/>
    </row>
    <row r="422" spans="1:40">
      <c r="C422" s="42"/>
      <c r="J422" s="56"/>
      <c r="T422" s="42"/>
      <c r="AM422" s="46"/>
      <c r="AN422" s="46"/>
    </row>
    <row r="423" spans="1:40">
      <c r="J423" s="56"/>
      <c r="AM423" s="46"/>
      <c r="AN423" s="46"/>
    </row>
    <row r="424" spans="1:40">
      <c r="C424" s="42"/>
      <c r="F424" s="164"/>
      <c r="H424" s="164"/>
      <c r="I424" s="164"/>
      <c r="J424" s="132"/>
      <c r="K424" s="336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336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1:40">
      <c r="F425" s="50"/>
      <c r="H425" s="50"/>
      <c r="I425" s="50"/>
      <c r="J425" s="132"/>
      <c r="K425" s="326"/>
      <c r="L425" s="50"/>
      <c r="M425" s="50"/>
      <c r="N425" s="50"/>
      <c r="O425" s="50"/>
      <c r="P425" s="50"/>
      <c r="Q425" s="50"/>
      <c r="R425" s="50"/>
      <c r="V425" s="50"/>
      <c r="Y425" s="50"/>
      <c r="Z425" s="326"/>
      <c r="AA425" s="50"/>
      <c r="AB425" s="50"/>
      <c r="AC425" s="50"/>
      <c r="AD425" s="50"/>
      <c r="AE425" s="50"/>
      <c r="AF425" s="50"/>
      <c r="AI425" s="50"/>
      <c r="AJ425" s="50"/>
      <c r="AK425" s="111"/>
      <c r="AL425" s="50"/>
      <c r="AM425" s="46"/>
      <c r="AN425" s="46"/>
    </row>
    <row r="426" spans="1:40">
      <c r="H426" s="45"/>
      <c r="I426" s="45"/>
      <c r="J426" s="56"/>
      <c r="Y426" s="45"/>
      <c r="AM426" s="46"/>
      <c r="AN426" s="46"/>
    </row>
    <row r="427" spans="1:40">
      <c r="C427" s="42"/>
      <c r="F427" s="45"/>
      <c r="H427" s="45"/>
      <c r="I427" s="45"/>
      <c r="J427" s="56"/>
      <c r="L427" s="45"/>
      <c r="M427" s="45"/>
      <c r="N427" s="46"/>
      <c r="O427" s="46"/>
      <c r="P427" s="164"/>
      <c r="Q427" s="164"/>
      <c r="R427" s="45"/>
      <c r="T427" s="42"/>
      <c r="V427" s="45"/>
      <c r="Y427" s="45"/>
      <c r="AA427" s="45"/>
      <c r="AB427" s="45"/>
      <c r="AC427" s="46"/>
      <c r="AD427" s="46"/>
      <c r="AE427" s="45"/>
      <c r="AF427" s="45"/>
      <c r="AH427" s="51"/>
      <c r="AI427" s="164"/>
      <c r="AJ427" s="164"/>
      <c r="AL427" s="45"/>
      <c r="AM427" s="46"/>
      <c r="AN427" s="46"/>
    </row>
    <row r="428" spans="1:40">
      <c r="H428" s="50"/>
      <c r="I428" s="50"/>
      <c r="J428" s="132"/>
      <c r="K428" s="326"/>
      <c r="L428" s="50"/>
      <c r="M428" s="50"/>
      <c r="N428" s="50"/>
      <c r="O428" s="50"/>
      <c r="P428" s="50"/>
      <c r="Q428" s="50"/>
      <c r="R428" s="50"/>
      <c r="V428" s="50"/>
      <c r="Y428" s="50"/>
      <c r="Z428" s="326"/>
      <c r="AA428" s="50"/>
      <c r="AB428" s="50"/>
      <c r="AC428" s="50"/>
      <c r="AD428" s="50"/>
      <c r="AE428" s="50"/>
      <c r="AF428" s="50"/>
      <c r="AI428" s="50"/>
      <c r="AJ428" s="50"/>
      <c r="AK428" s="111"/>
      <c r="AL428" s="50"/>
      <c r="AM428" s="46"/>
      <c r="AN428" s="46"/>
    </row>
    <row r="429" spans="1:40">
      <c r="F429" s="50"/>
      <c r="J429" s="56"/>
    </row>
    <row r="430" spans="1:40">
      <c r="F430" s="45"/>
      <c r="H430" s="45"/>
      <c r="I430" s="45"/>
      <c r="J430" s="56"/>
      <c r="K430" s="47"/>
      <c r="L430" s="45"/>
      <c r="M430" s="45"/>
      <c r="N430" s="45"/>
      <c r="O430" s="45"/>
      <c r="P430" s="45"/>
      <c r="Q430" s="45"/>
      <c r="R430" s="45"/>
      <c r="V430" s="45"/>
      <c r="Y430" s="45"/>
      <c r="Z430" s="47"/>
      <c r="AA430" s="45"/>
      <c r="AB430" s="45"/>
      <c r="AC430" s="45"/>
      <c r="AD430" s="45"/>
      <c r="AE430" s="45"/>
      <c r="AF430" s="45"/>
      <c r="AH430" s="45"/>
      <c r="AI430" s="45"/>
      <c r="AJ430" s="45"/>
      <c r="AL430" s="45"/>
    </row>
    <row r="431" spans="1:40">
      <c r="A431" s="42"/>
      <c r="J431" s="56"/>
    </row>
    <row r="432" spans="1:40">
      <c r="J432" s="56"/>
    </row>
    <row r="433" spans="1:40">
      <c r="H433" s="42"/>
      <c r="I433" s="42"/>
      <c r="J433" s="56"/>
      <c r="Y433" s="42"/>
    </row>
    <row r="434" spans="1:40">
      <c r="J434" s="56"/>
    </row>
    <row r="435" spans="1:40">
      <c r="J435" s="56"/>
      <c r="L435" s="42"/>
      <c r="M435" s="42"/>
      <c r="AA435" s="42"/>
      <c r="AB435" s="42"/>
    </row>
    <row r="436" spans="1:40">
      <c r="J436" s="56"/>
      <c r="R436" s="42"/>
      <c r="AK436" s="110"/>
      <c r="AL436" s="42"/>
    </row>
    <row r="437" spans="1:40">
      <c r="J437" s="56"/>
      <c r="R437" s="42"/>
      <c r="AK437" s="110"/>
      <c r="AL437" s="42"/>
    </row>
    <row r="438" spans="1:40">
      <c r="A438" s="42"/>
      <c r="J438" s="56"/>
      <c r="R438" s="42"/>
      <c r="AK438" s="110"/>
      <c r="AL438" s="42"/>
    </row>
    <row r="439" spans="1:40">
      <c r="J439" s="56"/>
      <c r="L439" s="42"/>
      <c r="M439" s="42"/>
      <c r="AA439" s="42"/>
      <c r="AB439" s="42"/>
    </row>
    <row r="440" spans="1:40">
      <c r="A440" s="49"/>
      <c r="B440" s="49"/>
      <c r="C440" s="49"/>
      <c r="D440" s="49"/>
      <c r="E440" s="49"/>
      <c r="F440" s="49"/>
      <c r="G440" s="49"/>
      <c r="H440" s="49"/>
      <c r="I440" s="49"/>
      <c r="J440" s="57"/>
      <c r="K440" s="49"/>
      <c r="L440" s="49"/>
      <c r="M440" s="49"/>
      <c r="N440" s="49"/>
      <c r="O440" s="49"/>
      <c r="P440" s="49"/>
      <c r="Q440" s="49"/>
      <c r="R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107"/>
      <c r="AH440" s="49"/>
      <c r="AI440" s="49"/>
      <c r="AJ440" s="49"/>
      <c r="AK440" s="107"/>
      <c r="AL440" s="49"/>
      <c r="AM440" s="49"/>
      <c r="AN440" s="49"/>
    </row>
    <row r="441" spans="1:40">
      <c r="J441" s="56"/>
      <c r="L441" s="44"/>
      <c r="M441" s="44"/>
      <c r="N441" s="44"/>
      <c r="O441" s="44"/>
      <c r="R441" s="44"/>
      <c r="AA441" s="44"/>
      <c r="AB441" s="44"/>
      <c r="AC441" s="44"/>
      <c r="AD441" s="44"/>
      <c r="AE441" s="44"/>
      <c r="AF441" s="44"/>
      <c r="AG441" s="102"/>
      <c r="AH441" s="44"/>
      <c r="AK441" s="102"/>
      <c r="AL441" s="44"/>
      <c r="AM441" s="44"/>
      <c r="AN441" s="44"/>
    </row>
    <row r="442" spans="1:40">
      <c r="J442" s="56"/>
      <c r="L442" s="44"/>
      <c r="M442" s="44"/>
      <c r="N442" s="44"/>
      <c r="O442" s="44"/>
      <c r="R442" s="44"/>
      <c r="Z442" s="44"/>
      <c r="AA442" s="44"/>
      <c r="AB442" s="44"/>
      <c r="AC442" s="44"/>
      <c r="AD442" s="44"/>
      <c r="AE442" s="44"/>
      <c r="AF442" s="44"/>
      <c r="AG442" s="102"/>
      <c r="AH442" s="44"/>
      <c r="AK442" s="102"/>
      <c r="AL442" s="44"/>
      <c r="AM442" s="44"/>
      <c r="AN442" s="44"/>
    </row>
    <row r="443" spans="1:40">
      <c r="A443" s="44"/>
      <c r="C443" s="44"/>
      <c r="D443" s="44"/>
      <c r="E443" s="44"/>
      <c r="F443" s="44"/>
      <c r="J443" s="58"/>
      <c r="K443" s="44"/>
      <c r="L443" s="44"/>
      <c r="M443" s="44"/>
      <c r="N443" s="44"/>
      <c r="O443" s="44"/>
      <c r="P443" s="44"/>
      <c r="Q443" s="44"/>
      <c r="R443" s="44"/>
      <c r="T443" s="44"/>
      <c r="U443" s="44"/>
      <c r="V443" s="44"/>
      <c r="Z443" s="44"/>
      <c r="AA443" s="44"/>
      <c r="AB443" s="44"/>
      <c r="AC443" s="44"/>
      <c r="AD443" s="44"/>
      <c r="AE443" s="44"/>
      <c r="AF443" s="44"/>
      <c r="AG443" s="102"/>
      <c r="AH443" s="44"/>
      <c r="AI443" s="44"/>
      <c r="AJ443" s="44"/>
      <c r="AK443" s="102"/>
      <c r="AL443" s="44"/>
      <c r="AM443" s="44"/>
      <c r="AN443" s="44"/>
    </row>
    <row r="444" spans="1:40">
      <c r="A444" s="44"/>
      <c r="C444" s="44"/>
      <c r="D444" s="44"/>
      <c r="E444" s="44"/>
      <c r="F444" s="44"/>
      <c r="H444" s="44"/>
      <c r="I444" s="44"/>
      <c r="J444" s="58"/>
      <c r="K444" s="44"/>
      <c r="L444" s="44"/>
      <c r="M444" s="44"/>
      <c r="N444" s="44"/>
      <c r="O444" s="44"/>
      <c r="P444" s="44"/>
      <c r="Q444" s="44"/>
      <c r="R444" s="44"/>
      <c r="T444" s="44"/>
      <c r="U444" s="44"/>
      <c r="V444" s="44"/>
      <c r="Y444" s="44"/>
      <c r="Z444" s="44"/>
      <c r="AA444" s="44"/>
      <c r="AB444" s="44"/>
      <c r="AC444" s="44"/>
      <c r="AD444" s="44"/>
      <c r="AE444" s="44"/>
      <c r="AF444" s="44"/>
      <c r="AG444" s="102"/>
      <c r="AH444" s="44"/>
      <c r="AI444" s="44"/>
      <c r="AJ444" s="44"/>
      <c r="AK444" s="102"/>
      <c r="AL444" s="44"/>
      <c r="AM444" s="44"/>
      <c r="AN444" s="44"/>
    </row>
    <row r="445" spans="1:40">
      <c r="C445" s="44"/>
      <c r="D445" s="44"/>
      <c r="E445" s="44"/>
      <c r="F445" s="44"/>
      <c r="H445" s="44"/>
      <c r="I445" s="44"/>
      <c r="J445" s="58"/>
      <c r="K445" s="44"/>
      <c r="L445" s="44"/>
      <c r="M445" s="44"/>
      <c r="N445" s="44"/>
      <c r="O445" s="44"/>
      <c r="P445" s="44"/>
      <c r="Q445" s="44"/>
      <c r="R445" s="44"/>
      <c r="T445" s="44"/>
      <c r="U445" s="44"/>
      <c r="V445" s="44"/>
      <c r="Y445" s="44"/>
      <c r="Z445" s="44"/>
      <c r="AA445" s="44"/>
      <c r="AB445" s="44"/>
      <c r="AC445" s="44"/>
      <c r="AD445" s="44"/>
      <c r="AE445" s="44"/>
      <c r="AF445" s="44"/>
      <c r="AG445" s="102"/>
      <c r="AH445" s="44"/>
      <c r="AI445" s="44"/>
      <c r="AJ445" s="44"/>
      <c r="AK445" s="102"/>
      <c r="AL445" s="44"/>
      <c r="AM445" s="44"/>
      <c r="AN445" s="44"/>
    </row>
    <row r="446" spans="1:40">
      <c r="A446" s="49"/>
      <c r="B446" s="49"/>
      <c r="C446" s="49"/>
      <c r="D446" s="49"/>
      <c r="E446" s="49"/>
      <c r="F446" s="49"/>
      <c r="G446" s="49"/>
      <c r="H446" s="49"/>
      <c r="I446" s="49"/>
      <c r="J446" s="57"/>
      <c r="K446" s="49"/>
      <c r="L446" s="49"/>
      <c r="M446" s="49"/>
      <c r="N446" s="49"/>
      <c r="O446" s="49"/>
      <c r="P446" s="49"/>
      <c r="Q446" s="49"/>
      <c r="R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107"/>
      <c r="AH446" s="49"/>
      <c r="AI446" s="49"/>
      <c r="AJ446" s="49"/>
      <c r="AK446" s="107"/>
      <c r="AL446" s="49"/>
      <c r="AM446" s="49"/>
      <c r="AN446" s="49"/>
    </row>
    <row r="447" spans="1:40">
      <c r="H447" s="44"/>
      <c r="I447" s="44"/>
      <c r="J447" s="58"/>
      <c r="K447" s="44"/>
      <c r="L447" s="44"/>
      <c r="M447" s="44"/>
      <c r="N447" s="44"/>
      <c r="O447" s="44"/>
      <c r="P447" s="44"/>
      <c r="Q447" s="44"/>
      <c r="R447" s="44"/>
      <c r="Y447" s="44"/>
      <c r="Z447" s="44"/>
      <c r="AA447" s="44"/>
      <c r="AB447" s="44"/>
      <c r="AC447" s="44"/>
      <c r="AD447" s="44"/>
      <c r="AE447" s="44"/>
      <c r="AF447" s="44"/>
      <c r="AG447" s="102"/>
      <c r="AH447" s="44"/>
      <c r="AI447" s="44"/>
      <c r="AJ447" s="44"/>
      <c r="AK447" s="102"/>
      <c r="AL447" s="44"/>
      <c r="AM447" s="44"/>
      <c r="AN447" s="44"/>
    </row>
    <row r="448" spans="1:40">
      <c r="C448" s="42"/>
      <c r="D448" s="42"/>
      <c r="E448" s="42"/>
      <c r="J448" s="56"/>
      <c r="T448" s="42"/>
      <c r="U448" s="42"/>
      <c r="V448" s="45"/>
      <c r="W448" s="45"/>
      <c r="X448" s="45"/>
      <c r="Y448" s="45"/>
      <c r="Z448" s="336"/>
    </row>
    <row r="449" spans="3:40">
      <c r="J449" s="56"/>
    </row>
    <row r="450" spans="3:40">
      <c r="C450" s="42"/>
      <c r="J450" s="56"/>
      <c r="T450" s="42"/>
      <c r="V450" s="45"/>
      <c r="W450" s="45"/>
      <c r="X450" s="45"/>
      <c r="Y450" s="45"/>
      <c r="Z450" s="336"/>
    </row>
    <row r="451" spans="3:40">
      <c r="C451" s="42"/>
      <c r="F451" s="164"/>
      <c r="H451" s="164"/>
      <c r="I451" s="164"/>
      <c r="J451" s="132"/>
      <c r="K451" s="132"/>
      <c r="L451" s="45"/>
      <c r="M451" s="45"/>
      <c r="N451" s="46"/>
      <c r="O451" s="46"/>
      <c r="P451" s="45"/>
      <c r="Q451" s="45"/>
      <c r="R451" s="45"/>
      <c r="T451" s="42"/>
      <c r="V451" s="45"/>
      <c r="W451" s="45"/>
      <c r="X451" s="45"/>
      <c r="Y451" s="45"/>
      <c r="Z451" s="132"/>
      <c r="AA451" s="45"/>
      <c r="AB451" s="45"/>
      <c r="AC451" s="46"/>
      <c r="AD451" s="46"/>
      <c r="AE451" s="45"/>
      <c r="AF451" s="45"/>
      <c r="AH451" s="51"/>
      <c r="AI451" s="45"/>
      <c r="AJ451" s="45"/>
      <c r="AL451" s="45"/>
      <c r="AM451" s="46"/>
      <c r="AN451" s="46"/>
    </row>
    <row r="452" spans="3:40">
      <c r="C452" s="42"/>
      <c r="F452" s="164"/>
      <c r="H452" s="164"/>
      <c r="I452" s="164"/>
      <c r="J452" s="132"/>
      <c r="K452" s="132"/>
      <c r="L452" s="45"/>
      <c r="M452" s="45"/>
      <c r="N452" s="46"/>
      <c r="O452" s="46"/>
      <c r="P452" s="45"/>
      <c r="Q452" s="45"/>
      <c r="R452" s="45"/>
      <c r="T452" s="42"/>
      <c r="V452" s="45"/>
      <c r="W452" s="45"/>
      <c r="X452" s="45"/>
      <c r="Y452" s="45"/>
      <c r="Z452" s="132"/>
      <c r="AA452" s="45"/>
      <c r="AB452" s="45"/>
      <c r="AC452" s="46"/>
      <c r="AD452" s="46"/>
      <c r="AE452" s="45"/>
      <c r="AF452" s="45"/>
      <c r="AH452" s="51"/>
      <c r="AI452" s="45"/>
      <c r="AJ452" s="45"/>
      <c r="AL452" s="45"/>
      <c r="AM452" s="46"/>
      <c r="AN452" s="46"/>
    </row>
    <row r="453" spans="3:40">
      <c r="C453" s="42"/>
      <c r="F453" s="164"/>
      <c r="H453" s="164"/>
      <c r="I453" s="164"/>
      <c r="J453" s="132"/>
      <c r="K453" s="132"/>
      <c r="L453" s="45"/>
      <c r="M453" s="45"/>
      <c r="N453" s="46"/>
      <c r="O453" s="46"/>
      <c r="P453" s="45"/>
      <c r="Q453" s="45"/>
      <c r="R453" s="45"/>
      <c r="T453" s="42"/>
      <c r="V453" s="45"/>
      <c r="W453" s="45"/>
      <c r="X453" s="45"/>
      <c r="Y453" s="45"/>
      <c r="Z453" s="132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3:40">
      <c r="C454" s="42"/>
      <c r="F454" s="164"/>
      <c r="H454" s="164"/>
      <c r="I454" s="164"/>
      <c r="J454" s="132"/>
      <c r="K454" s="132"/>
      <c r="L454" s="45"/>
      <c r="M454" s="45"/>
      <c r="N454" s="46"/>
      <c r="O454" s="46"/>
      <c r="P454" s="45"/>
      <c r="Q454" s="45"/>
      <c r="R454" s="45"/>
      <c r="T454" s="42"/>
      <c r="V454" s="45"/>
      <c r="W454" s="45"/>
      <c r="X454" s="45"/>
      <c r="Y454" s="45"/>
      <c r="Z454" s="132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>
      <c r="J455" s="56"/>
      <c r="K455" s="56"/>
      <c r="V455" s="45"/>
      <c r="W455" s="45"/>
      <c r="X455" s="45"/>
      <c r="Y455" s="45"/>
      <c r="Z455" s="132"/>
    </row>
    <row r="456" spans="3:40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W456" s="45"/>
      <c r="X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51"/>
      <c r="AN456" s="51"/>
    </row>
    <row r="457" spans="3:40">
      <c r="C457" s="42"/>
      <c r="J457" s="56"/>
      <c r="K457" s="56"/>
      <c r="T457" s="42"/>
      <c r="V457" s="45"/>
      <c r="W457" s="45"/>
      <c r="X457" s="45"/>
      <c r="Y457" s="45"/>
      <c r="Z457" s="132"/>
    </row>
    <row r="458" spans="3:40">
      <c r="C458" s="42"/>
      <c r="F458" s="164"/>
      <c r="H458" s="164"/>
      <c r="I458" s="164"/>
      <c r="J458" s="132"/>
      <c r="K458" s="132"/>
      <c r="L458" s="45"/>
      <c r="M458" s="45"/>
      <c r="N458" s="46"/>
      <c r="O458" s="46"/>
      <c r="P458" s="45"/>
      <c r="Q458" s="45"/>
      <c r="R458" s="45"/>
      <c r="T458" s="42"/>
      <c r="V458" s="45"/>
      <c r="W458" s="45"/>
      <c r="X458" s="45"/>
      <c r="Y458" s="45"/>
      <c r="Z458" s="132"/>
      <c r="AA458" s="45"/>
      <c r="AB458" s="45"/>
      <c r="AC458" s="46"/>
      <c r="AD458" s="46"/>
      <c r="AE458" s="45"/>
      <c r="AF458" s="45"/>
      <c r="AH458" s="51"/>
      <c r="AI458" s="45"/>
      <c r="AJ458" s="45"/>
      <c r="AL458" s="45"/>
      <c r="AM458" s="51"/>
      <c r="AN458" s="51"/>
    </row>
    <row r="459" spans="3:40">
      <c r="J459" s="56"/>
      <c r="K459" s="56"/>
      <c r="Z459" s="56"/>
    </row>
    <row r="460" spans="3:40">
      <c r="C460" s="42"/>
      <c r="J460" s="56"/>
      <c r="K460" s="56"/>
      <c r="T460" s="42"/>
      <c r="V460" s="45"/>
      <c r="W460" s="45"/>
      <c r="X460" s="45"/>
      <c r="Y460" s="45"/>
      <c r="Z460" s="132"/>
    </row>
    <row r="461" spans="3:40">
      <c r="C461" s="42"/>
      <c r="F461" s="164"/>
      <c r="H461" s="164"/>
      <c r="I461" s="164"/>
      <c r="J461" s="132"/>
      <c r="K461" s="132"/>
      <c r="L461" s="45"/>
      <c r="M461" s="45"/>
      <c r="N461" s="46"/>
      <c r="O461" s="46"/>
      <c r="P461" s="45"/>
      <c r="Q461" s="45"/>
      <c r="R461" s="45"/>
      <c r="T461" s="42"/>
      <c r="V461" s="45"/>
      <c r="W461" s="45"/>
      <c r="X461" s="45"/>
      <c r="Y461" s="45"/>
      <c r="Z461" s="132"/>
      <c r="AA461" s="45"/>
      <c r="AB461" s="45"/>
      <c r="AC461" s="46"/>
      <c r="AD461" s="46"/>
      <c r="AE461" s="45"/>
      <c r="AF461" s="45"/>
      <c r="AH461" s="51"/>
      <c r="AI461" s="45"/>
      <c r="AJ461" s="45"/>
      <c r="AL461" s="45"/>
      <c r="AM461" s="51"/>
      <c r="AN461" s="51"/>
    </row>
    <row r="462" spans="3:40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W462" s="45"/>
      <c r="X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51"/>
      <c r="AN462" s="51"/>
    </row>
    <row r="463" spans="3:40">
      <c r="F463" s="50"/>
      <c r="H463" s="50"/>
      <c r="I463" s="50"/>
      <c r="J463" s="132"/>
      <c r="K463" s="132"/>
      <c r="L463" s="50"/>
      <c r="M463" s="50"/>
      <c r="N463" s="50"/>
      <c r="O463" s="50"/>
      <c r="P463" s="50"/>
      <c r="Q463" s="50"/>
      <c r="R463" s="50"/>
      <c r="V463" s="50"/>
      <c r="Y463" s="50"/>
      <c r="Z463" s="326"/>
      <c r="AA463" s="50"/>
      <c r="AB463" s="50"/>
      <c r="AC463" s="50"/>
      <c r="AD463" s="50"/>
      <c r="AE463" s="50"/>
      <c r="AF463" s="50"/>
      <c r="AI463" s="50"/>
      <c r="AJ463" s="50"/>
      <c r="AK463" s="111"/>
      <c r="AL463" s="50"/>
    </row>
    <row r="464" spans="3:40">
      <c r="C464" s="42"/>
      <c r="F464" s="45"/>
      <c r="H464" s="45"/>
      <c r="I464" s="45"/>
      <c r="J464" s="56"/>
      <c r="L464" s="45"/>
      <c r="M464" s="45"/>
      <c r="N464" s="46"/>
      <c r="O464" s="46"/>
      <c r="P464" s="164"/>
      <c r="Q464" s="164"/>
      <c r="R464" s="45"/>
      <c r="T464" s="42"/>
      <c r="V464" s="45"/>
      <c r="W464" s="45"/>
      <c r="X464" s="45"/>
      <c r="Y464" s="45"/>
      <c r="Z464" s="336"/>
      <c r="AA464" s="45"/>
      <c r="AB464" s="45"/>
      <c r="AC464" s="46"/>
      <c r="AD464" s="46"/>
      <c r="AE464" s="45"/>
      <c r="AF464" s="45"/>
      <c r="AH464" s="51"/>
      <c r="AI464" s="164"/>
      <c r="AJ464" s="164"/>
      <c r="AL464" s="45"/>
      <c r="AM464" s="51"/>
      <c r="AN464" s="51"/>
    </row>
    <row r="465" spans="1:40">
      <c r="H465" s="50"/>
      <c r="I465" s="50"/>
      <c r="J465" s="132"/>
      <c r="K465" s="326"/>
      <c r="L465" s="50"/>
      <c r="M465" s="50"/>
      <c r="N465" s="50"/>
      <c r="O465" s="50"/>
      <c r="P465" s="50"/>
      <c r="Q465" s="50"/>
      <c r="R465" s="50"/>
      <c r="V465" s="50"/>
      <c r="Y465" s="50"/>
      <c r="Z465" s="326"/>
      <c r="AA465" s="50"/>
      <c r="AB465" s="50"/>
      <c r="AC465" s="50"/>
      <c r="AD465" s="50"/>
      <c r="AE465" s="50"/>
      <c r="AF465" s="50"/>
      <c r="AI465" s="50"/>
      <c r="AJ465" s="50"/>
      <c r="AK465" s="111"/>
      <c r="AL465" s="50"/>
    </row>
    <row r="466" spans="1:40">
      <c r="F466" s="50"/>
      <c r="J466" s="56"/>
    </row>
    <row r="467" spans="1:40">
      <c r="J467" s="56"/>
    </row>
    <row r="468" spans="1:40">
      <c r="A468" s="42"/>
      <c r="J468" s="56"/>
    </row>
    <row r="469" spans="1:40">
      <c r="J469" s="56"/>
    </row>
    <row r="470" spans="1:40">
      <c r="H470" s="42"/>
      <c r="I470" s="42"/>
      <c r="J470" s="56"/>
      <c r="Y470" s="42"/>
    </row>
    <row r="471" spans="1:40">
      <c r="J471" s="56"/>
    </row>
    <row r="472" spans="1:40">
      <c r="J472" s="56"/>
      <c r="L472" s="42"/>
      <c r="M472" s="42"/>
      <c r="AA472" s="42"/>
      <c r="AB472" s="42"/>
    </row>
    <row r="473" spans="1:40">
      <c r="J473" s="56"/>
      <c r="R473" s="42"/>
      <c r="AK473" s="110"/>
      <c r="AL473" s="42"/>
    </row>
    <row r="474" spans="1:40">
      <c r="J474" s="56"/>
      <c r="R474" s="42"/>
      <c r="AK474" s="110"/>
      <c r="AL474" s="42"/>
    </row>
    <row r="475" spans="1:40">
      <c r="A475" s="42"/>
      <c r="J475" s="56"/>
      <c r="R475" s="42"/>
      <c r="AK475" s="110"/>
      <c r="AL475" s="42"/>
    </row>
    <row r="476" spans="1:40">
      <c r="J476" s="56"/>
      <c r="L476" s="42"/>
      <c r="M476" s="42"/>
      <c r="AA476" s="42"/>
      <c r="AB476" s="42"/>
    </row>
    <row r="477" spans="1:40">
      <c r="A477" s="49"/>
      <c r="B477" s="49"/>
      <c r="C477" s="49"/>
      <c r="D477" s="49"/>
      <c r="E477" s="49"/>
      <c r="F477" s="49"/>
      <c r="G477" s="49"/>
      <c r="H477" s="49"/>
      <c r="I477" s="49"/>
      <c r="J477" s="57"/>
      <c r="K477" s="49"/>
      <c r="L477" s="49"/>
      <c r="M477" s="49"/>
      <c r="N477" s="49"/>
      <c r="O477" s="49"/>
      <c r="P477" s="49"/>
      <c r="Q477" s="49"/>
      <c r="R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107"/>
      <c r="AH477" s="49"/>
      <c r="AI477" s="49"/>
      <c r="AJ477" s="49"/>
      <c r="AK477" s="107"/>
      <c r="AL477" s="49"/>
      <c r="AM477" s="49"/>
      <c r="AN477" s="49"/>
    </row>
    <row r="478" spans="1:40">
      <c r="J478" s="56"/>
      <c r="L478" s="44"/>
      <c r="M478" s="44"/>
      <c r="N478" s="44"/>
      <c r="O478" s="44"/>
      <c r="R478" s="44"/>
      <c r="AA478" s="44"/>
      <c r="AB478" s="44"/>
      <c r="AC478" s="44"/>
      <c r="AD478" s="44"/>
      <c r="AE478" s="44"/>
      <c r="AF478" s="44"/>
      <c r="AG478" s="102"/>
      <c r="AH478" s="44"/>
      <c r="AK478" s="102"/>
      <c r="AL478" s="44"/>
      <c r="AM478" s="44"/>
      <c r="AN478" s="44"/>
    </row>
    <row r="479" spans="1:40">
      <c r="J479" s="56"/>
      <c r="L479" s="44"/>
      <c r="M479" s="44"/>
      <c r="N479" s="44"/>
      <c r="O479" s="44"/>
      <c r="R479" s="44"/>
      <c r="Z479" s="44"/>
      <c r="AA479" s="44"/>
      <c r="AB479" s="44"/>
      <c r="AC479" s="44"/>
      <c r="AD479" s="44"/>
      <c r="AE479" s="44"/>
      <c r="AF479" s="44"/>
      <c r="AG479" s="102"/>
      <c r="AH479" s="44"/>
      <c r="AK479" s="102"/>
      <c r="AL479" s="44"/>
      <c r="AM479" s="44"/>
      <c r="AN479" s="44"/>
    </row>
    <row r="480" spans="1:40">
      <c r="A480" s="44"/>
      <c r="C480" s="44"/>
      <c r="D480" s="44"/>
      <c r="E480" s="44"/>
      <c r="F480" s="44"/>
      <c r="J480" s="58"/>
      <c r="K480" s="44"/>
      <c r="L480" s="44"/>
      <c r="M480" s="44"/>
      <c r="N480" s="44"/>
      <c r="O480" s="44"/>
      <c r="P480" s="44"/>
      <c r="Q480" s="44"/>
      <c r="R480" s="44"/>
      <c r="T480" s="44"/>
      <c r="U480" s="44"/>
      <c r="V480" s="44"/>
      <c r="Z480" s="44"/>
      <c r="AA480" s="44"/>
      <c r="AB480" s="44"/>
      <c r="AC480" s="44"/>
      <c r="AD480" s="44"/>
      <c r="AE480" s="44"/>
      <c r="AF480" s="44"/>
      <c r="AG480" s="102"/>
      <c r="AH480" s="44"/>
      <c r="AI480" s="44"/>
      <c r="AJ480" s="44"/>
      <c r="AK480" s="102"/>
      <c r="AL480" s="44"/>
      <c r="AM480" s="44"/>
      <c r="AN480" s="44"/>
    </row>
    <row r="481" spans="1:40">
      <c r="A481" s="44"/>
      <c r="C481" s="44"/>
      <c r="D481" s="44"/>
      <c r="E481" s="44"/>
      <c r="F481" s="44"/>
      <c r="H481" s="44"/>
      <c r="I481" s="44"/>
      <c r="J481" s="58"/>
      <c r="K481" s="44"/>
      <c r="L481" s="44"/>
      <c r="M481" s="44"/>
      <c r="N481" s="44"/>
      <c r="O481" s="44"/>
      <c r="P481" s="44"/>
      <c r="Q481" s="44"/>
      <c r="R481" s="44"/>
      <c r="T481" s="44"/>
      <c r="U481" s="44"/>
      <c r="V481" s="44"/>
      <c r="Y481" s="44"/>
      <c r="Z481" s="44"/>
      <c r="AA481" s="44"/>
      <c r="AB481" s="44"/>
      <c r="AC481" s="44"/>
      <c r="AD481" s="44"/>
      <c r="AE481" s="44"/>
      <c r="AF481" s="44"/>
      <c r="AG481" s="102"/>
      <c r="AH481" s="44"/>
      <c r="AI481" s="44"/>
      <c r="AJ481" s="44"/>
      <c r="AK481" s="102"/>
      <c r="AL481" s="44"/>
      <c r="AM481" s="44"/>
      <c r="AN481" s="44"/>
    </row>
    <row r="482" spans="1:40">
      <c r="C482" s="44"/>
      <c r="D482" s="44"/>
      <c r="E482" s="44"/>
      <c r="F482" s="44"/>
      <c r="H482" s="44"/>
      <c r="I482" s="44"/>
      <c r="J482" s="58"/>
      <c r="K482" s="44"/>
      <c r="L482" s="44"/>
      <c r="M482" s="44"/>
      <c r="N482" s="44"/>
      <c r="O482" s="44"/>
      <c r="P482" s="44"/>
      <c r="Q482" s="44"/>
      <c r="R482" s="44"/>
      <c r="T482" s="44"/>
      <c r="U482" s="44"/>
      <c r="V482" s="44"/>
      <c r="Y482" s="44"/>
      <c r="Z482" s="44"/>
      <c r="AA482" s="44"/>
      <c r="AB482" s="44"/>
      <c r="AC482" s="44"/>
      <c r="AD482" s="44"/>
      <c r="AE482" s="44"/>
      <c r="AF482" s="44"/>
      <c r="AG482" s="102"/>
      <c r="AH482" s="44"/>
      <c r="AI482" s="44"/>
      <c r="AJ482" s="44"/>
      <c r="AK482" s="102"/>
      <c r="AL482" s="44"/>
      <c r="AM482" s="44"/>
      <c r="AN482" s="44"/>
    </row>
    <row r="483" spans="1:40">
      <c r="A483" s="49"/>
      <c r="B483" s="49"/>
      <c r="C483" s="49"/>
      <c r="D483" s="49"/>
      <c r="E483" s="49"/>
      <c r="F483" s="49"/>
      <c r="G483" s="49"/>
      <c r="H483" s="49"/>
      <c r="I483" s="49"/>
      <c r="J483" s="57"/>
      <c r="K483" s="49"/>
      <c r="L483" s="49"/>
      <c r="M483" s="49"/>
      <c r="N483" s="49"/>
      <c r="O483" s="49"/>
      <c r="P483" s="49"/>
      <c r="Q483" s="49"/>
      <c r="R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107"/>
      <c r="AH483" s="49"/>
      <c r="AI483" s="49"/>
      <c r="AJ483" s="49"/>
      <c r="AK483" s="107"/>
      <c r="AL483" s="49"/>
      <c r="AM483" s="49"/>
      <c r="AN483" s="49"/>
    </row>
    <row r="484" spans="1:40">
      <c r="H484" s="44"/>
      <c r="I484" s="44"/>
      <c r="J484" s="58"/>
      <c r="K484" s="44"/>
      <c r="L484" s="44"/>
      <c r="M484" s="44"/>
      <c r="N484" s="44"/>
      <c r="O484" s="44"/>
      <c r="P484" s="44"/>
      <c r="Q484" s="44"/>
      <c r="R484" s="44"/>
      <c r="Y484" s="44"/>
      <c r="Z484" s="44"/>
      <c r="AA484" s="44"/>
      <c r="AB484" s="44"/>
      <c r="AC484" s="44"/>
      <c r="AD484" s="44"/>
      <c r="AE484" s="44"/>
      <c r="AF484" s="44"/>
      <c r="AG484" s="102"/>
      <c r="AH484" s="44"/>
      <c r="AI484" s="44"/>
      <c r="AJ484" s="44"/>
      <c r="AK484" s="102"/>
      <c r="AL484" s="44"/>
      <c r="AM484" s="44"/>
      <c r="AN484" s="44"/>
    </row>
    <row r="485" spans="1:40">
      <c r="C485" s="42"/>
      <c r="D485" s="42"/>
      <c r="E485" s="42"/>
      <c r="J485" s="56"/>
      <c r="T485" s="42"/>
      <c r="U485" s="42"/>
    </row>
    <row r="486" spans="1:40">
      <c r="J486" s="56"/>
    </row>
    <row r="487" spans="1:40">
      <c r="C487" s="42"/>
      <c r="J487" s="56"/>
      <c r="T487" s="42"/>
    </row>
    <row r="488" spans="1:40">
      <c r="C488" s="42"/>
      <c r="J488" s="56"/>
      <c r="T488" s="42"/>
    </row>
    <row r="489" spans="1:40">
      <c r="C489" s="42"/>
      <c r="F489" s="164"/>
      <c r="H489" s="164"/>
      <c r="I489" s="164"/>
      <c r="J489" s="132"/>
      <c r="K489" s="132"/>
      <c r="L489" s="45"/>
      <c r="M489" s="45"/>
      <c r="N489" s="46"/>
      <c r="O489" s="46"/>
      <c r="P489" s="45"/>
      <c r="Q489" s="45"/>
      <c r="R489" s="45"/>
      <c r="T489" s="42"/>
      <c r="V489" s="45"/>
      <c r="W489" s="45"/>
      <c r="X489" s="45"/>
      <c r="Y489" s="45"/>
      <c r="Z489" s="132"/>
      <c r="AA489" s="45"/>
      <c r="AB489" s="45"/>
      <c r="AC489" s="46"/>
      <c r="AD489" s="46"/>
      <c r="AE489" s="45"/>
      <c r="AF489" s="45"/>
      <c r="AH489" s="51"/>
      <c r="AI489" s="45"/>
      <c r="AJ489" s="45"/>
      <c r="AL489" s="45"/>
      <c r="AM489" s="51"/>
      <c r="AN489" s="51"/>
    </row>
    <row r="490" spans="1:40">
      <c r="C490" s="42"/>
      <c r="F490" s="45"/>
      <c r="H490" s="45"/>
      <c r="I490" s="45"/>
      <c r="J490" s="56"/>
      <c r="K490" s="56"/>
      <c r="L490" s="45"/>
      <c r="M490" s="45"/>
      <c r="N490" s="46"/>
      <c r="O490" s="46"/>
      <c r="P490" s="45"/>
      <c r="Q490" s="45"/>
      <c r="R490" s="45"/>
      <c r="T490" s="42"/>
      <c r="V490" s="45"/>
      <c r="W490" s="45"/>
      <c r="X490" s="45"/>
      <c r="Y490" s="45"/>
      <c r="Z490" s="56"/>
      <c r="AA490" s="45"/>
      <c r="AB490" s="45"/>
      <c r="AC490" s="46"/>
      <c r="AD490" s="46"/>
      <c r="AE490" s="45"/>
      <c r="AF490" s="45"/>
      <c r="AH490" s="51"/>
      <c r="AI490" s="45"/>
      <c r="AJ490" s="45"/>
      <c r="AL490" s="45"/>
      <c r="AM490" s="51"/>
      <c r="AN490" s="51"/>
    </row>
    <row r="491" spans="1:40">
      <c r="C491" s="42"/>
      <c r="F491" s="45"/>
      <c r="H491" s="45"/>
      <c r="I491" s="45"/>
      <c r="J491" s="56"/>
      <c r="K491" s="56"/>
      <c r="L491" s="45"/>
      <c r="M491" s="45"/>
      <c r="N491" s="46"/>
      <c r="O491" s="46"/>
      <c r="P491" s="45"/>
      <c r="Q491" s="45"/>
      <c r="R491" s="45"/>
      <c r="T491" s="42"/>
      <c r="V491" s="45"/>
      <c r="W491" s="45"/>
      <c r="X491" s="45"/>
      <c r="Y491" s="45"/>
      <c r="Z491" s="56"/>
      <c r="AA491" s="45"/>
      <c r="AB491" s="45"/>
      <c r="AC491" s="46"/>
      <c r="AD491" s="46"/>
      <c r="AE491" s="45"/>
      <c r="AF491" s="45"/>
      <c r="AH491" s="51"/>
      <c r="AI491" s="45"/>
      <c r="AJ491" s="45"/>
      <c r="AL491" s="45"/>
      <c r="AM491" s="51"/>
      <c r="AN491" s="51"/>
    </row>
    <row r="492" spans="1:40">
      <c r="C492" s="42"/>
      <c r="F492" s="45"/>
      <c r="H492" s="45"/>
      <c r="I492" s="45"/>
      <c r="J492" s="56"/>
      <c r="K492" s="56"/>
      <c r="T492" s="42"/>
      <c r="V492" s="45"/>
      <c r="Z492" s="56"/>
    </row>
    <row r="493" spans="1:40">
      <c r="C493" s="42"/>
      <c r="F493" s="164"/>
      <c r="H493" s="164"/>
      <c r="I493" s="164"/>
      <c r="J493" s="132"/>
      <c r="K493" s="132"/>
      <c r="L493" s="45"/>
      <c r="M493" s="45"/>
      <c r="N493" s="46"/>
      <c r="O493" s="46"/>
      <c r="P493" s="45"/>
      <c r="Q493" s="45"/>
      <c r="R493" s="45"/>
      <c r="T493" s="42"/>
      <c r="V493" s="45"/>
      <c r="W493" s="45"/>
      <c r="X493" s="45"/>
      <c r="Y493" s="45"/>
      <c r="Z493" s="132"/>
      <c r="AA493" s="45"/>
      <c r="AB493" s="45"/>
      <c r="AC493" s="46"/>
      <c r="AD493" s="46"/>
      <c r="AE493" s="45"/>
      <c r="AF493" s="45"/>
      <c r="AH493" s="51"/>
      <c r="AI493" s="45"/>
      <c r="AJ493" s="45"/>
      <c r="AL493" s="45"/>
      <c r="AM493" s="51"/>
      <c r="AN493" s="51"/>
    </row>
    <row r="494" spans="1:40">
      <c r="C494" s="42"/>
      <c r="F494" s="45"/>
      <c r="H494" s="45"/>
      <c r="I494" s="45"/>
      <c r="J494" s="56"/>
      <c r="K494" s="56"/>
      <c r="T494" s="42"/>
      <c r="V494" s="45"/>
      <c r="W494" s="45"/>
      <c r="X494" s="45"/>
      <c r="Y494" s="45"/>
      <c r="Z494" s="56"/>
      <c r="AC494" s="46"/>
      <c r="AD494" s="46"/>
      <c r="AE494" s="45"/>
      <c r="AF494" s="45"/>
      <c r="AH494" s="51"/>
      <c r="AI494" s="45"/>
      <c r="AJ494" s="45"/>
      <c r="AL494" s="45"/>
      <c r="AM494" s="51"/>
      <c r="AN494" s="51"/>
    </row>
    <row r="495" spans="1:40">
      <c r="C495" s="42"/>
      <c r="F495" s="164"/>
      <c r="H495" s="164"/>
      <c r="I495" s="164"/>
      <c r="J495" s="132"/>
      <c r="K495" s="132"/>
      <c r="L495" s="45"/>
      <c r="M495" s="45"/>
      <c r="N495" s="46"/>
      <c r="O495" s="46"/>
      <c r="P495" s="45"/>
      <c r="Q495" s="45"/>
      <c r="R495" s="45"/>
      <c r="T495" s="42"/>
      <c r="V495" s="45"/>
      <c r="W495" s="45"/>
      <c r="X495" s="45"/>
      <c r="Y495" s="45"/>
      <c r="Z495" s="132"/>
      <c r="AA495" s="45"/>
      <c r="AB495" s="45"/>
      <c r="AC495" s="46"/>
      <c r="AD495" s="46"/>
      <c r="AE495" s="45"/>
      <c r="AF495" s="45"/>
      <c r="AH495" s="51"/>
      <c r="AI495" s="45"/>
      <c r="AJ495" s="45"/>
      <c r="AL495" s="45"/>
      <c r="AM495" s="51"/>
      <c r="AN495" s="51"/>
    </row>
    <row r="496" spans="1:40">
      <c r="C496" s="42"/>
      <c r="F496" s="45"/>
      <c r="H496" s="45"/>
      <c r="I496" s="45"/>
      <c r="J496" s="56"/>
      <c r="K496" s="56"/>
      <c r="L496" s="45"/>
      <c r="M496" s="45"/>
      <c r="N496" s="46"/>
      <c r="O496" s="46"/>
      <c r="P496" s="45"/>
      <c r="Q496" s="45"/>
      <c r="R496" s="45"/>
      <c r="T496" s="42"/>
      <c r="V496" s="45"/>
      <c r="W496" s="45"/>
      <c r="X496" s="45"/>
      <c r="Y496" s="45"/>
      <c r="Z496" s="56"/>
      <c r="AA496" s="45"/>
      <c r="AB496" s="45"/>
      <c r="AC496" s="46"/>
      <c r="AD496" s="46"/>
      <c r="AE496" s="45"/>
      <c r="AF496" s="45"/>
      <c r="AH496" s="51"/>
      <c r="AI496" s="45"/>
      <c r="AJ496" s="45"/>
      <c r="AL496" s="45"/>
      <c r="AM496" s="51"/>
      <c r="AN496" s="51"/>
    </row>
    <row r="497" spans="3:40">
      <c r="F497" s="45"/>
      <c r="H497" s="45"/>
      <c r="I497" s="45"/>
      <c r="J497" s="56"/>
      <c r="K497" s="56"/>
      <c r="Z497" s="56"/>
    </row>
    <row r="498" spans="3:40">
      <c r="C498" s="42"/>
      <c r="F498" s="45"/>
      <c r="H498" s="164"/>
      <c r="I498" s="164"/>
      <c r="J498" s="132"/>
      <c r="K498" s="132"/>
      <c r="L498" s="45"/>
      <c r="M498" s="45"/>
      <c r="N498" s="46"/>
      <c r="O498" s="46"/>
      <c r="P498" s="45"/>
      <c r="Q498" s="45"/>
      <c r="R498" s="45"/>
      <c r="T498" s="42"/>
      <c r="V498" s="45"/>
      <c r="W498" s="45"/>
      <c r="X498" s="45"/>
      <c r="Y498" s="45"/>
      <c r="Z498" s="132"/>
      <c r="AA498" s="45"/>
      <c r="AB498" s="45"/>
      <c r="AC498" s="46"/>
      <c r="AD498" s="46"/>
      <c r="AE498" s="45"/>
      <c r="AF498" s="45"/>
      <c r="AH498" s="51"/>
      <c r="AI498" s="45"/>
      <c r="AJ498" s="45"/>
      <c r="AL498" s="45"/>
      <c r="AM498" s="51"/>
      <c r="AN498" s="51"/>
    </row>
    <row r="499" spans="3:40">
      <c r="F499" s="50"/>
      <c r="H499" s="50"/>
      <c r="I499" s="50"/>
      <c r="J499" s="132"/>
      <c r="K499" s="132"/>
      <c r="L499" s="50"/>
      <c r="M499" s="50"/>
      <c r="N499" s="50"/>
      <c r="O499" s="50"/>
      <c r="P499" s="50"/>
      <c r="Q499" s="50"/>
      <c r="R499" s="50"/>
      <c r="V499" s="50"/>
      <c r="Y499" s="50"/>
      <c r="Z499" s="132"/>
      <c r="AA499" s="50"/>
      <c r="AB499" s="50"/>
      <c r="AC499" s="50"/>
      <c r="AD499" s="50"/>
      <c r="AE499" s="50"/>
      <c r="AF499" s="50"/>
      <c r="AI499" s="50"/>
      <c r="AJ499" s="50"/>
      <c r="AK499" s="111"/>
      <c r="AL499" s="50"/>
    </row>
    <row r="500" spans="3:40">
      <c r="C500" s="42"/>
      <c r="F500" s="45"/>
      <c r="H500" s="45"/>
      <c r="I500" s="45"/>
      <c r="J500" s="56"/>
      <c r="K500" s="56"/>
      <c r="L500" s="45"/>
      <c r="M500" s="45"/>
      <c r="P500" s="45"/>
      <c r="Q500" s="45"/>
      <c r="R500" s="45"/>
      <c r="T500" s="42"/>
      <c r="V500" s="45"/>
      <c r="Y500" s="45"/>
      <c r="Z500" s="56"/>
      <c r="AA500" s="45"/>
      <c r="AB500" s="45"/>
      <c r="AC500" s="51"/>
      <c r="AD500" s="51"/>
      <c r="AE500" s="45"/>
      <c r="AF500" s="45"/>
      <c r="AH500" s="51"/>
      <c r="AI500" s="45"/>
      <c r="AJ500" s="45"/>
      <c r="AL500" s="45"/>
      <c r="AM500" s="51"/>
      <c r="AN500" s="51"/>
    </row>
    <row r="501" spans="3:40">
      <c r="F501" s="50"/>
      <c r="H501" s="50"/>
      <c r="I501" s="50"/>
      <c r="J501" s="132"/>
      <c r="K501" s="132"/>
      <c r="L501" s="50"/>
      <c r="M501" s="50"/>
      <c r="N501" s="50"/>
      <c r="O501" s="50"/>
      <c r="P501" s="50"/>
      <c r="Q501" s="50"/>
      <c r="R501" s="50"/>
      <c r="V501" s="50"/>
      <c r="Y501" s="50"/>
      <c r="Z501" s="132"/>
      <c r="AA501" s="50"/>
      <c r="AB501" s="50"/>
      <c r="AC501" s="50"/>
      <c r="AD501" s="50"/>
      <c r="AE501" s="50"/>
      <c r="AF501" s="50"/>
      <c r="AI501" s="50"/>
      <c r="AJ501" s="50"/>
      <c r="AK501" s="111"/>
      <c r="AL501" s="50"/>
    </row>
    <row r="502" spans="3:40">
      <c r="J502" s="56"/>
      <c r="K502" s="56"/>
      <c r="Z502" s="56"/>
    </row>
    <row r="503" spans="3:40">
      <c r="C503" s="42"/>
      <c r="J503" s="56"/>
      <c r="K503" s="56"/>
      <c r="T503" s="42"/>
      <c r="Z503" s="56"/>
    </row>
    <row r="504" spans="3:40">
      <c r="C504" s="42"/>
      <c r="J504" s="56"/>
      <c r="K504" s="56"/>
      <c r="T504" s="42"/>
      <c r="Z504" s="56"/>
    </row>
    <row r="505" spans="3:40">
      <c r="C505" s="42"/>
      <c r="F505" s="164"/>
      <c r="H505" s="164"/>
      <c r="I505" s="164"/>
      <c r="J505" s="132"/>
      <c r="K505" s="132"/>
      <c r="L505" s="45"/>
      <c r="M505" s="45"/>
      <c r="N505" s="46"/>
      <c r="O505" s="46"/>
      <c r="P505" s="45"/>
      <c r="Q505" s="45"/>
      <c r="R505" s="45"/>
      <c r="T505" s="42"/>
      <c r="V505" s="45"/>
      <c r="W505" s="45"/>
      <c r="X505" s="45"/>
      <c r="Y505" s="45"/>
      <c r="Z505" s="132"/>
      <c r="AA505" s="45"/>
      <c r="AB505" s="45"/>
      <c r="AC505" s="46"/>
      <c r="AD505" s="46"/>
      <c r="AE505" s="45"/>
      <c r="AF505" s="45"/>
      <c r="AH505" s="51"/>
      <c r="AI505" s="45"/>
      <c r="AJ505" s="45"/>
      <c r="AL505" s="45"/>
      <c r="AM505" s="51"/>
      <c r="AN505" s="51"/>
    </row>
    <row r="506" spans="3:40">
      <c r="C506" s="42"/>
      <c r="J506" s="56"/>
      <c r="K506" s="56"/>
      <c r="T506" s="42"/>
      <c r="Z506" s="56"/>
    </row>
    <row r="507" spans="3:40">
      <c r="C507" s="42"/>
      <c r="F507" s="164"/>
      <c r="H507" s="164"/>
      <c r="I507" s="164"/>
      <c r="J507" s="132"/>
      <c r="K507" s="132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132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51"/>
      <c r="AN507" s="51"/>
    </row>
    <row r="508" spans="3:40">
      <c r="F508" s="50"/>
      <c r="H508" s="50"/>
      <c r="I508" s="50"/>
      <c r="J508" s="132"/>
      <c r="K508" s="132"/>
      <c r="L508" s="50"/>
      <c r="M508" s="50"/>
      <c r="N508" s="50"/>
      <c r="O508" s="50"/>
      <c r="P508" s="50"/>
      <c r="Q508" s="50"/>
      <c r="R508" s="50"/>
      <c r="V508" s="50"/>
      <c r="Y508" s="50"/>
      <c r="Z508" s="132"/>
      <c r="AA508" s="50"/>
      <c r="AB508" s="50"/>
      <c r="AC508" s="50"/>
      <c r="AD508" s="50"/>
      <c r="AE508" s="50"/>
      <c r="AF508" s="50"/>
      <c r="AI508" s="50"/>
      <c r="AJ508" s="50"/>
      <c r="AK508" s="111"/>
      <c r="AL508" s="50"/>
    </row>
    <row r="509" spans="3:40">
      <c r="C509" s="42"/>
      <c r="F509" s="45"/>
      <c r="H509" s="45"/>
      <c r="I509" s="45"/>
      <c r="J509" s="56"/>
      <c r="K509" s="56"/>
      <c r="L509" s="45"/>
      <c r="M509" s="45"/>
      <c r="N509" s="51"/>
      <c r="O509" s="51"/>
      <c r="P509" s="45"/>
      <c r="Q509" s="45"/>
      <c r="R509" s="45"/>
      <c r="T509" s="42"/>
      <c r="V509" s="45"/>
      <c r="Y509" s="45"/>
      <c r="Z509" s="56"/>
      <c r="AA509" s="45"/>
      <c r="AB509" s="45"/>
      <c r="AC509" s="51"/>
      <c r="AD509" s="51"/>
      <c r="AE509" s="45"/>
      <c r="AF509" s="45"/>
      <c r="AH509" s="51"/>
      <c r="AI509" s="45"/>
      <c r="AJ509" s="45"/>
      <c r="AL509" s="45"/>
      <c r="AM509" s="51"/>
      <c r="AN509" s="51"/>
    </row>
    <row r="510" spans="3:40">
      <c r="F510" s="50"/>
      <c r="H510" s="50"/>
      <c r="I510" s="50"/>
      <c r="J510" s="132"/>
      <c r="K510" s="132"/>
      <c r="L510" s="50"/>
      <c r="M510" s="50"/>
      <c r="N510" s="50"/>
      <c r="O510" s="50"/>
      <c r="P510" s="50"/>
      <c r="Q510" s="50"/>
      <c r="R510" s="50"/>
      <c r="V510" s="50"/>
      <c r="Y510" s="50"/>
      <c r="Z510" s="326"/>
      <c r="AA510" s="50"/>
      <c r="AB510" s="50"/>
      <c r="AC510" s="50"/>
      <c r="AD510" s="50"/>
      <c r="AE510" s="50"/>
      <c r="AF510" s="50"/>
      <c r="AI510" s="50"/>
      <c r="AJ510" s="50"/>
      <c r="AK510" s="111"/>
      <c r="AL510" s="50"/>
    </row>
    <row r="511" spans="3:40">
      <c r="J511" s="56"/>
      <c r="K511" s="56"/>
    </row>
    <row r="512" spans="3:40">
      <c r="C512" s="42"/>
      <c r="F512" s="45"/>
      <c r="H512" s="45"/>
      <c r="I512" s="45"/>
      <c r="J512" s="56"/>
      <c r="K512" s="56"/>
      <c r="L512" s="45"/>
      <c r="M512" s="45"/>
      <c r="N512" s="46"/>
      <c r="O512" s="46"/>
      <c r="P512" s="164"/>
      <c r="Q512" s="164"/>
      <c r="R512" s="45"/>
      <c r="T512" s="42"/>
      <c r="V512" s="45"/>
      <c r="Y512" s="45"/>
      <c r="AA512" s="45"/>
      <c r="AB512" s="45"/>
      <c r="AC512" s="51"/>
      <c r="AD512" s="51"/>
      <c r="AE512" s="45"/>
      <c r="AF512" s="45"/>
      <c r="AH512" s="51"/>
      <c r="AI512" s="164"/>
      <c r="AJ512" s="164"/>
      <c r="AL512" s="45"/>
      <c r="AM512" s="51"/>
      <c r="AN512" s="51"/>
    </row>
    <row r="513" spans="1:40">
      <c r="H513" s="50"/>
      <c r="I513" s="50"/>
      <c r="J513" s="132"/>
      <c r="K513" s="132"/>
      <c r="L513" s="50"/>
      <c r="M513" s="50"/>
      <c r="N513" s="50"/>
      <c r="O513" s="50"/>
      <c r="P513" s="50"/>
      <c r="Q513" s="50"/>
      <c r="R513" s="50"/>
      <c r="V513" s="50"/>
      <c r="Y513" s="50"/>
      <c r="Z513" s="326"/>
      <c r="AA513" s="50"/>
      <c r="AB513" s="50"/>
      <c r="AC513" s="50"/>
      <c r="AD513" s="50"/>
      <c r="AE513" s="50"/>
      <c r="AF513" s="50"/>
      <c r="AI513" s="50"/>
      <c r="AJ513" s="50"/>
      <c r="AK513" s="111"/>
      <c r="AL513" s="50"/>
    </row>
    <row r="514" spans="1:40">
      <c r="F514" s="50"/>
      <c r="J514" s="56"/>
    </row>
    <row r="515" spans="1:40">
      <c r="J515" s="56"/>
    </row>
    <row r="516" spans="1:40">
      <c r="A516" s="42"/>
      <c r="J516" s="56"/>
    </row>
    <row r="517" spans="1:40">
      <c r="J517" s="56"/>
    </row>
    <row r="518" spans="1:40">
      <c r="H518" s="42"/>
      <c r="I518" s="42"/>
      <c r="J518" s="56"/>
      <c r="Y518" s="42"/>
    </row>
    <row r="519" spans="1:40">
      <c r="J519" s="56"/>
    </row>
    <row r="520" spans="1:40">
      <c r="J520" s="56"/>
      <c r="L520" s="42"/>
      <c r="M520" s="42"/>
      <c r="AA520" s="42"/>
      <c r="AB520" s="42"/>
    </row>
    <row r="521" spans="1:40">
      <c r="J521" s="56"/>
      <c r="R521" s="42"/>
      <c r="AK521" s="110"/>
      <c r="AL521" s="42"/>
    </row>
    <row r="522" spans="1:40">
      <c r="J522" s="56"/>
      <c r="R522" s="42"/>
      <c r="AK522" s="110"/>
      <c r="AL522" s="42"/>
    </row>
    <row r="523" spans="1:40">
      <c r="A523" s="42"/>
      <c r="J523" s="56"/>
      <c r="R523" s="42"/>
      <c r="AK523" s="110"/>
      <c r="AL523" s="42"/>
    </row>
    <row r="524" spans="1:40">
      <c r="J524" s="56"/>
      <c r="L524" s="42"/>
      <c r="M524" s="42"/>
      <c r="AA524" s="42"/>
      <c r="AB524" s="42"/>
    </row>
    <row r="525" spans="1:40">
      <c r="A525" s="49"/>
      <c r="B525" s="49"/>
      <c r="C525" s="49"/>
      <c r="D525" s="49"/>
      <c r="E525" s="49"/>
      <c r="F525" s="49"/>
      <c r="G525" s="49"/>
      <c r="H525" s="49"/>
      <c r="I525" s="49"/>
      <c r="J525" s="57"/>
      <c r="K525" s="49"/>
      <c r="L525" s="49"/>
      <c r="M525" s="49"/>
      <c r="N525" s="49"/>
      <c r="O525" s="49"/>
      <c r="P525" s="49"/>
      <c r="Q525" s="49"/>
      <c r="R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107"/>
      <c r="AH525" s="49"/>
      <c r="AI525" s="49"/>
      <c r="AJ525" s="49"/>
      <c r="AK525" s="107"/>
      <c r="AL525" s="49"/>
      <c r="AM525" s="49"/>
      <c r="AN525" s="49"/>
    </row>
    <row r="526" spans="1:40">
      <c r="J526" s="56"/>
      <c r="L526" s="44"/>
      <c r="M526" s="44"/>
      <c r="N526" s="44"/>
      <c r="O526" s="44"/>
      <c r="R526" s="44"/>
      <c r="AA526" s="44"/>
      <c r="AB526" s="44"/>
      <c r="AC526" s="44"/>
      <c r="AD526" s="44"/>
      <c r="AE526" s="44"/>
      <c r="AF526" s="44"/>
      <c r="AG526" s="102"/>
      <c r="AH526" s="44"/>
      <c r="AK526" s="102"/>
      <c r="AL526" s="44"/>
      <c r="AM526" s="44"/>
      <c r="AN526" s="44"/>
    </row>
    <row r="527" spans="1:40">
      <c r="J527" s="56"/>
      <c r="L527" s="44"/>
      <c r="M527" s="44"/>
      <c r="N527" s="44"/>
      <c r="O527" s="44"/>
      <c r="R527" s="44"/>
      <c r="Z527" s="44"/>
      <c r="AA527" s="44"/>
      <c r="AB527" s="44"/>
      <c r="AC527" s="44"/>
      <c r="AD527" s="44"/>
      <c r="AE527" s="44"/>
      <c r="AF527" s="44"/>
      <c r="AG527" s="102"/>
      <c r="AH527" s="44"/>
      <c r="AK527" s="102"/>
      <c r="AL527" s="44"/>
      <c r="AM527" s="44"/>
      <c r="AN527" s="44"/>
    </row>
    <row r="528" spans="1:40">
      <c r="A528" s="44"/>
      <c r="C528" s="44"/>
      <c r="D528" s="44"/>
      <c r="E528" s="44"/>
      <c r="F528" s="44"/>
      <c r="J528" s="58"/>
      <c r="K528" s="44"/>
      <c r="L528" s="44"/>
      <c r="M528" s="44"/>
      <c r="N528" s="44"/>
      <c r="O528" s="44"/>
      <c r="P528" s="44"/>
      <c r="Q528" s="44"/>
      <c r="R528" s="44"/>
      <c r="T528" s="44"/>
      <c r="U528" s="44"/>
      <c r="V528" s="44"/>
      <c r="Z528" s="44"/>
      <c r="AA528" s="44"/>
      <c r="AB528" s="44"/>
      <c r="AC528" s="44"/>
      <c r="AD528" s="44"/>
      <c r="AE528" s="44"/>
      <c r="AF528" s="44"/>
      <c r="AG528" s="102"/>
      <c r="AH528" s="44"/>
      <c r="AI528" s="44"/>
      <c r="AJ528" s="44"/>
      <c r="AK528" s="102"/>
      <c r="AL528" s="44"/>
      <c r="AM528" s="44"/>
      <c r="AN528" s="44"/>
    </row>
    <row r="529" spans="1:40">
      <c r="A529" s="44"/>
      <c r="C529" s="44"/>
      <c r="D529" s="44"/>
      <c r="E529" s="44"/>
      <c r="F529" s="44"/>
      <c r="H529" s="44"/>
      <c r="I529" s="44"/>
      <c r="J529" s="58"/>
      <c r="K529" s="44"/>
      <c r="L529" s="44"/>
      <c r="M529" s="44"/>
      <c r="N529" s="44"/>
      <c r="O529" s="44"/>
      <c r="P529" s="44"/>
      <c r="Q529" s="44"/>
      <c r="R529" s="44"/>
      <c r="T529" s="44"/>
      <c r="U529" s="44"/>
      <c r="V529" s="44"/>
      <c r="Y529" s="44"/>
      <c r="Z529" s="44"/>
      <c r="AA529" s="44"/>
      <c r="AB529" s="44"/>
      <c r="AC529" s="44"/>
      <c r="AD529" s="44"/>
      <c r="AE529" s="44"/>
      <c r="AF529" s="44"/>
      <c r="AG529" s="102"/>
      <c r="AH529" s="44"/>
      <c r="AI529" s="44"/>
      <c r="AJ529" s="44"/>
      <c r="AK529" s="102"/>
      <c r="AL529" s="44"/>
      <c r="AM529" s="44"/>
      <c r="AN529" s="44"/>
    </row>
    <row r="530" spans="1:40">
      <c r="C530" s="44"/>
      <c r="D530" s="44"/>
      <c r="E530" s="44"/>
      <c r="F530" s="44"/>
      <c r="H530" s="44"/>
      <c r="I530" s="44"/>
      <c r="J530" s="58"/>
      <c r="K530" s="44"/>
      <c r="L530" s="44"/>
      <c r="M530" s="44"/>
      <c r="N530" s="44"/>
      <c r="O530" s="44"/>
      <c r="P530" s="44"/>
      <c r="Q530" s="44"/>
      <c r="R530" s="44"/>
      <c r="T530" s="44"/>
      <c r="U530" s="44"/>
      <c r="V530" s="44"/>
      <c r="Y530" s="44"/>
      <c r="Z530" s="44"/>
      <c r="AA530" s="44"/>
      <c r="AB530" s="44"/>
      <c r="AC530" s="44"/>
      <c r="AD530" s="44"/>
      <c r="AE530" s="44"/>
      <c r="AF530" s="44"/>
      <c r="AG530" s="102"/>
      <c r="AH530" s="44"/>
      <c r="AI530" s="44"/>
      <c r="AJ530" s="44"/>
      <c r="AK530" s="102"/>
      <c r="AL530" s="44"/>
      <c r="AM530" s="44"/>
      <c r="AN530" s="44"/>
    </row>
    <row r="531" spans="1:40">
      <c r="A531" s="49"/>
      <c r="B531" s="49"/>
      <c r="C531" s="49"/>
      <c r="D531" s="49"/>
      <c r="E531" s="49"/>
      <c r="F531" s="49"/>
      <c r="G531" s="49"/>
      <c r="H531" s="49"/>
      <c r="I531" s="49"/>
      <c r="J531" s="57"/>
      <c r="K531" s="49"/>
      <c r="L531" s="49"/>
      <c r="M531" s="49"/>
      <c r="N531" s="49"/>
      <c r="O531" s="49"/>
      <c r="P531" s="49"/>
      <c r="Q531" s="49"/>
      <c r="R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107"/>
      <c r="AH531" s="49"/>
      <c r="AI531" s="49"/>
      <c r="AJ531" s="49"/>
      <c r="AK531" s="107"/>
      <c r="AL531" s="49"/>
      <c r="AM531" s="49"/>
      <c r="AN531" s="49"/>
    </row>
    <row r="532" spans="1:40">
      <c r="H532" s="44"/>
      <c r="I532" s="44"/>
      <c r="J532" s="58"/>
      <c r="K532" s="44"/>
      <c r="L532" s="44"/>
      <c r="M532" s="44"/>
      <c r="N532" s="44"/>
      <c r="O532" s="44"/>
      <c r="P532" s="44"/>
      <c r="Q532" s="44"/>
      <c r="R532" s="44"/>
      <c r="Y532" s="44"/>
      <c r="Z532" s="44"/>
      <c r="AA532" s="44"/>
      <c r="AB532" s="44"/>
      <c r="AC532" s="44"/>
      <c r="AD532" s="44"/>
      <c r="AE532" s="44"/>
      <c r="AF532" s="44"/>
      <c r="AG532" s="102"/>
      <c r="AH532" s="44"/>
      <c r="AI532" s="44"/>
      <c r="AJ532" s="44"/>
      <c r="AK532" s="102"/>
      <c r="AL532" s="44"/>
      <c r="AM532" s="44"/>
      <c r="AN532" s="44"/>
    </row>
    <row r="533" spans="1:40">
      <c r="C533" s="42"/>
      <c r="D533" s="42"/>
      <c r="E533" s="42"/>
      <c r="J533" s="56"/>
      <c r="T533" s="42"/>
      <c r="U533" s="42"/>
    </row>
    <row r="534" spans="1:40">
      <c r="J534" s="56"/>
    </row>
    <row r="535" spans="1:40">
      <c r="C535" s="42"/>
      <c r="D535" s="42"/>
      <c r="E535" s="42"/>
      <c r="J535" s="56"/>
      <c r="T535" s="42"/>
      <c r="U535" s="42"/>
    </row>
    <row r="536" spans="1:40">
      <c r="C536" s="42"/>
      <c r="J536" s="56"/>
      <c r="T536" s="42"/>
    </row>
    <row r="537" spans="1:40">
      <c r="C537" s="42"/>
      <c r="J537" s="56"/>
      <c r="T537" s="42"/>
    </row>
    <row r="538" spans="1:40">
      <c r="C538" s="42"/>
      <c r="H538" s="164"/>
      <c r="I538" s="164"/>
      <c r="J538" s="132"/>
      <c r="K538" s="132"/>
      <c r="L538" s="45"/>
      <c r="M538" s="45"/>
      <c r="N538" s="46"/>
      <c r="O538" s="46"/>
      <c r="P538" s="45"/>
      <c r="Q538" s="45"/>
      <c r="R538" s="45"/>
      <c r="T538" s="42"/>
      <c r="V538" s="45"/>
      <c r="W538" s="45"/>
      <c r="X538" s="45"/>
      <c r="Y538" s="45"/>
      <c r="Z538" s="132"/>
      <c r="AA538" s="45"/>
      <c r="AB538" s="45"/>
      <c r="AC538" s="46"/>
      <c r="AD538" s="46"/>
      <c r="AE538" s="45"/>
      <c r="AF538" s="45"/>
      <c r="AH538" s="51"/>
      <c r="AI538" s="45"/>
      <c r="AJ538" s="45"/>
      <c r="AL538" s="45"/>
      <c r="AM538" s="46"/>
      <c r="AN538" s="46"/>
    </row>
    <row r="539" spans="1:40">
      <c r="C539" s="42"/>
      <c r="F539" s="164"/>
      <c r="J539" s="56"/>
      <c r="K539" s="56"/>
      <c r="T539" s="42"/>
      <c r="V539" s="45"/>
      <c r="W539" s="45"/>
      <c r="X539" s="45"/>
      <c r="Y539" s="45"/>
      <c r="Z539" s="132"/>
    </row>
    <row r="540" spans="1:40">
      <c r="C540" s="42"/>
      <c r="H540" s="164"/>
      <c r="I540" s="164"/>
      <c r="J540" s="132"/>
      <c r="K540" s="132"/>
      <c r="L540" s="45"/>
      <c r="M540" s="45"/>
      <c r="N540" s="46"/>
      <c r="O540" s="46"/>
      <c r="P540" s="45"/>
      <c r="Q540" s="45"/>
      <c r="R540" s="45"/>
      <c r="T540" s="42"/>
      <c r="V540" s="45"/>
      <c r="W540" s="45"/>
      <c r="X540" s="45"/>
      <c r="Y540" s="45"/>
      <c r="Z540" s="132"/>
      <c r="AA540" s="45"/>
      <c r="AB540" s="45"/>
      <c r="AC540" s="46"/>
      <c r="AD540" s="46"/>
      <c r="AE540" s="45"/>
      <c r="AF540" s="45"/>
      <c r="AH540" s="51"/>
      <c r="AI540" s="45"/>
      <c r="AJ540" s="45"/>
      <c r="AL540" s="45"/>
      <c r="AM540" s="46"/>
      <c r="AN540" s="46"/>
    </row>
    <row r="541" spans="1:40">
      <c r="C541" s="42"/>
      <c r="F541" s="164"/>
      <c r="J541" s="56"/>
      <c r="K541" s="56"/>
      <c r="T541" s="42"/>
      <c r="V541" s="45"/>
      <c r="W541" s="45"/>
      <c r="X541" s="45"/>
      <c r="Y541" s="45"/>
      <c r="Z541" s="132"/>
    </row>
    <row r="542" spans="1:40">
      <c r="C542" s="42"/>
      <c r="H542" s="164"/>
      <c r="I542" s="164"/>
      <c r="J542" s="132"/>
      <c r="K542" s="132"/>
      <c r="L542" s="45"/>
      <c r="M542" s="45"/>
      <c r="N542" s="46"/>
      <c r="O542" s="46"/>
      <c r="P542" s="45"/>
      <c r="Q542" s="45"/>
      <c r="R542" s="45"/>
      <c r="T542" s="42"/>
      <c r="V542" s="45"/>
      <c r="W542" s="45"/>
      <c r="X542" s="45"/>
      <c r="Y542" s="45"/>
      <c r="Z542" s="132"/>
      <c r="AA542" s="45"/>
      <c r="AB542" s="45"/>
      <c r="AC542" s="46"/>
      <c r="AD542" s="46"/>
      <c r="AE542" s="45"/>
      <c r="AF542" s="45"/>
      <c r="AH542" s="51"/>
      <c r="AI542" s="45"/>
      <c r="AJ542" s="45"/>
      <c r="AL542" s="45"/>
      <c r="AM542" s="46"/>
      <c r="AN542" s="46"/>
    </row>
    <row r="543" spans="1:40">
      <c r="C543" s="42"/>
      <c r="F543" s="164"/>
      <c r="J543" s="56"/>
      <c r="K543" s="56"/>
      <c r="T543" s="42"/>
      <c r="V543" s="45"/>
      <c r="W543" s="45"/>
      <c r="X543" s="45"/>
      <c r="Y543" s="45"/>
      <c r="Z543" s="132"/>
    </row>
    <row r="544" spans="1:40">
      <c r="C544" s="42"/>
      <c r="H544" s="164"/>
      <c r="I544" s="164"/>
      <c r="J544" s="132"/>
      <c r="K544" s="132"/>
      <c r="L544" s="45"/>
      <c r="M544" s="45"/>
      <c r="N544" s="46"/>
      <c r="O544" s="46"/>
      <c r="P544" s="45"/>
      <c r="Q544" s="45"/>
      <c r="R544" s="45"/>
      <c r="T544" s="42"/>
      <c r="V544" s="45"/>
      <c r="W544" s="45"/>
      <c r="X544" s="45"/>
      <c r="Y544" s="45"/>
      <c r="Z544" s="132"/>
      <c r="AA544" s="45"/>
      <c r="AB544" s="45"/>
      <c r="AC544" s="46"/>
      <c r="AD544" s="46"/>
      <c r="AE544" s="45"/>
      <c r="AF544" s="45"/>
      <c r="AH544" s="51"/>
      <c r="AI544" s="45"/>
      <c r="AJ544" s="45"/>
      <c r="AL544" s="45"/>
      <c r="AM544" s="46"/>
      <c r="AN544" s="46"/>
    </row>
    <row r="545" spans="3:40">
      <c r="C545" s="42"/>
      <c r="F545" s="164"/>
      <c r="J545" s="56"/>
      <c r="K545" s="56"/>
      <c r="T545" s="42"/>
      <c r="V545" s="45"/>
      <c r="W545" s="45"/>
      <c r="X545" s="45"/>
      <c r="Y545" s="45"/>
      <c r="Z545" s="132"/>
    </row>
    <row r="546" spans="3:40">
      <c r="C546" s="42"/>
      <c r="H546" s="164"/>
      <c r="I546" s="164"/>
      <c r="J546" s="132"/>
      <c r="K546" s="132"/>
      <c r="L546" s="45"/>
      <c r="M546" s="45"/>
      <c r="N546" s="46"/>
      <c r="O546" s="46"/>
      <c r="P546" s="45"/>
      <c r="Q546" s="45"/>
      <c r="R546" s="45"/>
      <c r="T546" s="42"/>
      <c r="V546" s="45"/>
      <c r="W546" s="45"/>
      <c r="X546" s="45"/>
      <c r="Y546" s="45"/>
      <c r="Z546" s="132"/>
      <c r="AA546" s="45"/>
      <c r="AB546" s="45"/>
      <c r="AC546" s="46"/>
      <c r="AD546" s="46"/>
      <c r="AE546" s="45"/>
      <c r="AF546" s="45"/>
      <c r="AH546" s="51"/>
      <c r="AI546" s="45"/>
      <c r="AJ546" s="45"/>
      <c r="AL546" s="45"/>
      <c r="AM546" s="46"/>
      <c r="AN546" s="46"/>
    </row>
    <row r="547" spans="3:40">
      <c r="C547" s="42"/>
      <c r="F547" s="164"/>
      <c r="J547" s="56"/>
      <c r="K547" s="56"/>
      <c r="T547" s="42"/>
      <c r="V547" s="45"/>
      <c r="W547" s="45"/>
      <c r="X547" s="45"/>
      <c r="Y547" s="45"/>
      <c r="Z547" s="132"/>
    </row>
    <row r="548" spans="3:40">
      <c r="C548" s="42"/>
      <c r="H548" s="164"/>
      <c r="I548" s="164"/>
      <c r="J548" s="132"/>
      <c r="K548" s="132"/>
      <c r="L548" s="45"/>
      <c r="M548" s="45"/>
      <c r="N548" s="46"/>
      <c r="O548" s="46"/>
      <c r="P548" s="45"/>
      <c r="Q548" s="45"/>
      <c r="R548" s="45"/>
      <c r="T548" s="42"/>
      <c r="V548" s="45"/>
      <c r="W548" s="45"/>
      <c r="X548" s="45"/>
      <c r="Y548" s="45"/>
      <c r="Z548" s="132"/>
      <c r="AA548" s="45"/>
      <c r="AB548" s="45"/>
      <c r="AC548" s="46"/>
      <c r="AD548" s="46"/>
      <c r="AE548" s="45"/>
      <c r="AF548" s="45"/>
      <c r="AH548" s="51"/>
      <c r="AI548" s="45"/>
      <c r="AJ548" s="45"/>
      <c r="AL548" s="45"/>
      <c r="AM548" s="46"/>
      <c r="AN548" s="46"/>
    </row>
    <row r="549" spans="3:40">
      <c r="F549" s="164"/>
      <c r="H549" s="50"/>
      <c r="I549" s="50"/>
      <c r="J549" s="132"/>
      <c r="K549" s="132"/>
      <c r="L549" s="50"/>
      <c r="M549" s="50"/>
      <c r="N549" s="50"/>
      <c r="O549" s="50"/>
      <c r="P549" s="50"/>
      <c r="Q549" s="50"/>
      <c r="R549" s="50"/>
      <c r="V549" s="50"/>
      <c r="Y549" s="50"/>
      <c r="Z549" s="132"/>
      <c r="AA549" s="50"/>
      <c r="AB549" s="50"/>
      <c r="AC549" s="50"/>
      <c r="AD549" s="50"/>
      <c r="AE549" s="50"/>
      <c r="AF549" s="50"/>
      <c r="AI549" s="50"/>
      <c r="AJ549" s="50"/>
      <c r="AK549" s="111"/>
      <c r="AL549" s="50"/>
      <c r="AM549" s="46"/>
      <c r="AN549" s="46"/>
    </row>
    <row r="550" spans="3:40">
      <c r="C550" s="42"/>
      <c r="F550" s="50"/>
      <c r="H550" s="45"/>
      <c r="I550" s="45"/>
      <c r="J550" s="56"/>
      <c r="K550" s="56"/>
      <c r="L550" s="45"/>
      <c r="M550" s="45"/>
      <c r="N550" s="46"/>
      <c r="O550" s="46"/>
      <c r="P550" s="164"/>
      <c r="Q550" s="164"/>
      <c r="R550" s="45"/>
      <c r="T550" s="42"/>
      <c r="V550" s="45"/>
      <c r="W550" s="45"/>
      <c r="X550" s="45"/>
      <c r="Y550" s="45"/>
      <c r="Z550" s="132"/>
      <c r="AA550" s="45"/>
      <c r="AB550" s="45"/>
      <c r="AC550" s="46"/>
      <c r="AD550" s="46"/>
      <c r="AE550" s="45"/>
      <c r="AF550" s="45"/>
      <c r="AH550" s="51"/>
      <c r="AI550" s="164"/>
      <c r="AJ550" s="164"/>
      <c r="AL550" s="45"/>
      <c r="AM550" s="46"/>
      <c r="AN550" s="46"/>
    </row>
    <row r="551" spans="3:40">
      <c r="F551" s="45"/>
      <c r="H551" s="50"/>
      <c r="I551" s="50"/>
      <c r="J551" s="132"/>
      <c r="K551" s="132"/>
      <c r="L551" s="50"/>
      <c r="M551" s="50"/>
      <c r="N551" s="50"/>
      <c r="O551" s="50"/>
      <c r="P551" s="50"/>
      <c r="Q551" s="50"/>
      <c r="R551" s="50"/>
      <c r="V551" s="50"/>
      <c r="Y551" s="50"/>
      <c r="Z551" s="132"/>
      <c r="AA551" s="50"/>
      <c r="AB551" s="50"/>
      <c r="AC551" s="50"/>
      <c r="AD551" s="50"/>
      <c r="AE551" s="50"/>
      <c r="AF551" s="50"/>
      <c r="AI551" s="50"/>
      <c r="AJ551" s="50"/>
      <c r="AK551" s="111"/>
      <c r="AL551" s="50"/>
    </row>
    <row r="552" spans="3:40">
      <c r="C552" s="42"/>
      <c r="D552" s="42"/>
      <c r="E552" s="42"/>
      <c r="F552" s="50"/>
      <c r="J552" s="56"/>
      <c r="K552" s="56"/>
      <c r="T552" s="42"/>
      <c r="U552" s="42"/>
      <c r="V552" s="45"/>
      <c r="W552" s="45"/>
      <c r="X552" s="45"/>
      <c r="Y552" s="45"/>
      <c r="Z552" s="132"/>
    </row>
    <row r="553" spans="3:40">
      <c r="C553" s="42"/>
      <c r="J553" s="56"/>
      <c r="K553" s="56"/>
      <c r="T553" s="42"/>
      <c r="V553" s="45"/>
      <c r="W553" s="45"/>
      <c r="X553" s="45"/>
      <c r="Y553" s="45"/>
      <c r="Z553" s="132"/>
    </row>
    <row r="554" spans="3:40">
      <c r="C554" s="42"/>
      <c r="J554" s="56"/>
      <c r="K554" s="56"/>
      <c r="T554" s="42"/>
      <c r="V554" s="45"/>
      <c r="W554" s="45"/>
      <c r="X554" s="45"/>
      <c r="Y554" s="45"/>
      <c r="Z554" s="132"/>
    </row>
    <row r="555" spans="3:40">
      <c r="C555" s="42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46"/>
      <c r="AN555" s="46"/>
    </row>
    <row r="556" spans="3:40">
      <c r="C556" s="42"/>
      <c r="F556" s="164"/>
      <c r="J556" s="56"/>
      <c r="K556" s="56"/>
      <c r="T556" s="42"/>
      <c r="V556" s="45"/>
      <c r="W556" s="45"/>
      <c r="X556" s="45"/>
      <c r="Y556" s="45"/>
      <c r="Z556" s="132"/>
    </row>
    <row r="557" spans="3:40">
      <c r="C557" s="42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46"/>
      <c r="AN557" s="46"/>
    </row>
    <row r="558" spans="3:40">
      <c r="F558" s="164"/>
      <c r="H558" s="50"/>
      <c r="I558" s="50"/>
      <c r="J558" s="132"/>
      <c r="K558" s="132"/>
      <c r="L558" s="50"/>
      <c r="M558" s="50"/>
      <c r="N558" s="50"/>
      <c r="O558" s="50"/>
      <c r="P558" s="50"/>
      <c r="Q558" s="50"/>
      <c r="R558" s="50"/>
      <c r="V558" s="50"/>
      <c r="Y558" s="50"/>
      <c r="Z558" s="326"/>
      <c r="AA558" s="50"/>
      <c r="AB558" s="50"/>
      <c r="AC558" s="50"/>
      <c r="AD558" s="50"/>
      <c r="AE558" s="50"/>
      <c r="AF558" s="50"/>
      <c r="AI558" s="50"/>
      <c r="AJ558" s="50"/>
      <c r="AK558" s="111"/>
      <c r="AL558" s="50"/>
    </row>
    <row r="559" spans="3:40">
      <c r="C559" s="42"/>
      <c r="F559" s="50"/>
      <c r="H559" s="45"/>
      <c r="I559" s="45"/>
      <c r="L559" s="45"/>
      <c r="M559" s="45"/>
      <c r="N559" s="46"/>
      <c r="O559" s="46"/>
      <c r="P559" s="164"/>
      <c r="Q559" s="164"/>
      <c r="R559" s="45"/>
      <c r="T559" s="42"/>
      <c r="V559" s="45"/>
      <c r="W559" s="45"/>
      <c r="X559" s="45"/>
      <c r="Y559" s="45"/>
      <c r="Z559" s="336"/>
      <c r="AA559" s="45"/>
      <c r="AB559" s="45"/>
      <c r="AC559" s="46"/>
      <c r="AD559" s="46"/>
      <c r="AE559" s="45"/>
      <c r="AF559" s="45"/>
      <c r="AH559" s="51"/>
      <c r="AI559" s="164"/>
      <c r="AJ559" s="164"/>
      <c r="AL559" s="45"/>
      <c r="AM559" s="46"/>
      <c r="AN559" s="46"/>
    </row>
    <row r="560" spans="3:40">
      <c r="F560" s="45"/>
      <c r="H560" s="50"/>
      <c r="I560" s="50"/>
      <c r="J560" s="326"/>
      <c r="K560" s="326"/>
      <c r="L560" s="50"/>
      <c r="M560" s="50"/>
      <c r="N560" s="50"/>
      <c r="O560" s="50"/>
      <c r="P560" s="50"/>
      <c r="Q560" s="50"/>
      <c r="R560" s="50"/>
      <c r="V560" s="50"/>
      <c r="Y560" s="50"/>
      <c r="Z560" s="326"/>
      <c r="AA560" s="50"/>
      <c r="AB560" s="50"/>
      <c r="AC560" s="50"/>
      <c r="AD560" s="50"/>
      <c r="AE560" s="50"/>
      <c r="AF560" s="50"/>
      <c r="AI560" s="50"/>
      <c r="AJ560" s="50"/>
      <c r="AK560" s="111"/>
      <c r="AL560" s="50"/>
    </row>
    <row r="561" spans="3:40">
      <c r="C561" s="42"/>
      <c r="D561" s="42"/>
      <c r="E561" s="42"/>
      <c r="F561" s="50"/>
      <c r="T561" s="42"/>
      <c r="U561" s="42"/>
      <c r="V561" s="45"/>
      <c r="W561" s="45"/>
      <c r="X561" s="45"/>
      <c r="Y561" s="45"/>
      <c r="Z561" s="336"/>
    </row>
    <row r="562" spans="3:40">
      <c r="C562" s="42"/>
      <c r="T562" s="42"/>
      <c r="V562" s="45"/>
      <c r="W562" s="45"/>
      <c r="X562" s="45"/>
      <c r="Y562" s="45"/>
      <c r="Z562" s="336"/>
    </row>
    <row r="563" spans="3:40">
      <c r="C563" s="42"/>
      <c r="H563" s="164"/>
      <c r="I563" s="164"/>
      <c r="J563" s="336"/>
      <c r="K563" s="336"/>
      <c r="L563" s="45"/>
      <c r="M563" s="45"/>
      <c r="N563" s="46"/>
      <c r="O563" s="46"/>
      <c r="P563" s="45"/>
      <c r="Q563" s="45"/>
      <c r="R563" s="45"/>
      <c r="T563" s="42"/>
      <c r="V563" s="45"/>
      <c r="W563" s="45"/>
      <c r="X563" s="45"/>
      <c r="Y563" s="45"/>
      <c r="Z563" s="336"/>
      <c r="AA563" s="45"/>
      <c r="AB563" s="45"/>
      <c r="AC563" s="46"/>
      <c r="AD563" s="46"/>
      <c r="AE563" s="45"/>
      <c r="AF563" s="45"/>
      <c r="AH563" s="51"/>
      <c r="AI563" s="45"/>
      <c r="AJ563" s="45"/>
      <c r="AL563" s="45"/>
      <c r="AM563" s="46"/>
      <c r="AN563" s="46"/>
    </row>
    <row r="564" spans="3:40">
      <c r="C564" s="42"/>
      <c r="F564" s="164"/>
      <c r="T564" s="42"/>
      <c r="V564" s="45"/>
      <c r="W564" s="45"/>
      <c r="X564" s="45"/>
      <c r="Y564" s="45"/>
      <c r="Z564" s="336"/>
    </row>
    <row r="565" spans="3:40">
      <c r="C565" s="42"/>
      <c r="H565" s="164"/>
      <c r="I565" s="164"/>
      <c r="J565" s="336"/>
      <c r="K565" s="336"/>
      <c r="L565" s="45"/>
      <c r="M565" s="45"/>
      <c r="N565" s="46"/>
      <c r="O565" s="46"/>
      <c r="P565" s="45"/>
      <c r="Q565" s="45"/>
      <c r="R565" s="45"/>
      <c r="T565" s="42"/>
      <c r="V565" s="45"/>
      <c r="W565" s="45"/>
      <c r="X565" s="45"/>
      <c r="Y565" s="45"/>
      <c r="Z565" s="336"/>
      <c r="AA565" s="45"/>
      <c r="AB565" s="45"/>
      <c r="AC565" s="46"/>
      <c r="AD565" s="46"/>
      <c r="AE565" s="45"/>
      <c r="AF565" s="45"/>
      <c r="AH565" s="51"/>
      <c r="AI565" s="45"/>
      <c r="AJ565" s="45"/>
      <c r="AL565" s="45"/>
      <c r="AM565" s="46"/>
      <c r="AN565" s="46"/>
    </row>
    <row r="566" spans="3:40">
      <c r="C566" s="42"/>
      <c r="F566" s="164"/>
      <c r="T566" s="42"/>
      <c r="V566" s="45"/>
      <c r="W566" s="45"/>
      <c r="X566" s="45"/>
      <c r="Y566" s="45"/>
      <c r="Z566" s="336"/>
    </row>
    <row r="567" spans="3:40">
      <c r="C567" s="42"/>
      <c r="H567" s="164"/>
      <c r="I567" s="164"/>
      <c r="J567" s="336"/>
      <c r="K567" s="336"/>
      <c r="L567" s="45"/>
      <c r="M567" s="45"/>
      <c r="N567" s="46"/>
      <c r="O567" s="46"/>
      <c r="P567" s="45"/>
      <c r="Q567" s="45"/>
      <c r="R567" s="45"/>
      <c r="T567" s="42"/>
      <c r="V567" s="45"/>
      <c r="W567" s="45"/>
      <c r="X567" s="45"/>
      <c r="Y567" s="45"/>
      <c r="Z567" s="336"/>
      <c r="AA567" s="45"/>
      <c r="AB567" s="45"/>
      <c r="AC567" s="46"/>
      <c r="AD567" s="46"/>
      <c r="AE567" s="45"/>
      <c r="AF567" s="45"/>
      <c r="AH567" s="51"/>
      <c r="AI567" s="45"/>
      <c r="AJ567" s="45"/>
      <c r="AL567" s="45"/>
      <c r="AM567" s="46"/>
      <c r="AN567" s="46"/>
    </row>
    <row r="568" spans="3:40">
      <c r="C568" s="42"/>
      <c r="F568" s="164"/>
      <c r="T568" s="42"/>
      <c r="V568" s="45"/>
      <c r="W568" s="45"/>
      <c r="X568" s="45"/>
      <c r="Y568" s="45"/>
      <c r="Z568" s="336"/>
    </row>
    <row r="569" spans="3:40">
      <c r="C569" s="42"/>
      <c r="H569" s="164"/>
      <c r="I569" s="164"/>
      <c r="J569" s="336"/>
      <c r="K569" s="336"/>
      <c r="L569" s="45"/>
      <c r="M569" s="45"/>
      <c r="N569" s="46"/>
      <c r="O569" s="46"/>
      <c r="P569" s="45"/>
      <c r="Q569" s="45"/>
      <c r="R569" s="45"/>
      <c r="T569" s="42"/>
      <c r="V569" s="45"/>
      <c r="W569" s="45"/>
      <c r="X569" s="45"/>
      <c r="Y569" s="45"/>
      <c r="Z569" s="336"/>
      <c r="AA569" s="45"/>
      <c r="AB569" s="45"/>
      <c r="AC569" s="46"/>
      <c r="AD569" s="46"/>
      <c r="AE569" s="45"/>
      <c r="AF569" s="45"/>
      <c r="AH569" s="51"/>
      <c r="AI569" s="45"/>
      <c r="AJ569" s="45"/>
      <c r="AL569" s="45"/>
      <c r="AM569" s="46"/>
      <c r="AN569" s="46"/>
    </row>
    <row r="570" spans="3:40">
      <c r="F570" s="164"/>
      <c r="H570" s="50"/>
      <c r="I570" s="50"/>
      <c r="J570" s="326"/>
      <c r="K570" s="326"/>
      <c r="L570" s="50"/>
      <c r="M570" s="50"/>
      <c r="N570" s="50"/>
      <c r="O570" s="50"/>
      <c r="P570" s="50"/>
      <c r="Q570" s="50"/>
      <c r="R570" s="50"/>
      <c r="V570" s="50"/>
      <c r="Y570" s="50"/>
      <c r="Z570" s="326"/>
      <c r="AA570" s="50"/>
      <c r="AB570" s="50"/>
      <c r="AC570" s="50"/>
      <c r="AD570" s="50"/>
      <c r="AE570" s="50"/>
      <c r="AF570" s="50"/>
      <c r="AI570" s="50"/>
      <c r="AJ570" s="50"/>
      <c r="AK570" s="111"/>
      <c r="AL570" s="50"/>
    </row>
    <row r="571" spans="3:40">
      <c r="C571" s="42"/>
      <c r="F571" s="50"/>
      <c r="H571" s="45"/>
      <c r="I571" s="45"/>
      <c r="L571" s="45"/>
      <c r="M571" s="45"/>
      <c r="N571" s="46"/>
      <c r="O571" s="46"/>
      <c r="P571" s="164"/>
      <c r="Q571" s="164"/>
      <c r="R571" s="45"/>
      <c r="T571" s="42"/>
      <c r="V571" s="45"/>
      <c r="W571" s="45"/>
      <c r="X571" s="45"/>
      <c r="Y571" s="45"/>
      <c r="Z571" s="336"/>
      <c r="AA571" s="45"/>
      <c r="AB571" s="45"/>
      <c r="AC571" s="46"/>
      <c r="AD571" s="46"/>
      <c r="AE571" s="45"/>
      <c r="AF571" s="45"/>
      <c r="AH571" s="51"/>
      <c r="AI571" s="164"/>
      <c r="AJ571" s="164"/>
      <c r="AL571" s="45"/>
      <c r="AM571" s="46"/>
      <c r="AN571" s="46"/>
    </row>
    <row r="572" spans="3:40">
      <c r="F572" s="45"/>
      <c r="H572" s="50"/>
      <c r="I572" s="50"/>
      <c r="J572" s="326"/>
      <c r="K572" s="326"/>
      <c r="L572" s="50"/>
      <c r="M572" s="50"/>
      <c r="N572" s="50"/>
      <c r="O572" s="50"/>
      <c r="P572" s="50"/>
      <c r="Q572" s="50"/>
      <c r="R572" s="50"/>
      <c r="V572" s="50"/>
      <c r="Y572" s="50"/>
      <c r="Z572" s="326"/>
      <c r="AA572" s="50"/>
      <c r="AB572" s="50"/>
      <c r="AC572" s="50"/>
      <c r="AD572" s="50"/>
      <c r="AE572" s="50"/>
      <c r="AF572" s="50"/>
      <c r="AI572" s="50"/>
      <c r="AJ572" s="50"/>
      <c r="AK572" s="111"/>
      <c r="AL572" s="50"/>
    </row>
    <row r="573" spans="3:40">
      <c r="C573" s="42"/>
      <c r="F573" s="50"/>
      <c r="H573" s="45"/>
      <c r="I573" s="45"/>
      <c r="L573" s="45"/>
      <c r="M573" s="45"/>
      <c r="N573" s="46"/>
      <c r="O573" s="46"/>
      <c r="P573" s="45"/>
      <c r="Q573" s="45"/>
      <c r="R573" s="45"/>
      <c r="T573" s="42"/>
      <c r="V573" s="45"/>
      <c r="W573" s="45"/>
      <c r="X573" s="45"/>
      <c r="Y573" s="45"/>
      <c r="AA573" s="45"/>
      <c r="AB573" s="45"/>
      <c r="AC573" s="46"/>
      <c r="AD573" s="46"/>
      <c r="AE573" s="45"/>
      <c r="AF573" s="45"/>
      <c r="AH573" s="51"/>
      <c r="AI573" s="45"/>
      <c r="AJ573" s="45"/>
      <c r="AL573" s="45"/>
      <c r="AM573" s="51"/>
      <c r="AN573" s="51"/>
    </row>
    <row r="574" spans="3:40">
      <c r="F574" s="45"/>
      <c r="H574" s="50"/>
      <c r="I574" s="50"/>
      <c r="J574" s="326"/>
      <c r="K574" s="326"/>
      <c r="L574" s="50"/>
      <c r="M574" s="50"/>
      <c r="N574" s="50"/>
      <c r="O574" s="50"/>
      <c r="P574" s="50"/>
      <c r="Q574" s="50"/>
      <c r="R574" s="50"/>
      <c r="V574" s="50"/>
      <c r="Y574" s="50"/>
      <c r="Z574" s="326"/>
      <c r="AA574" s="50"/>
      <c r="AB574" s="50"/>
      <c r="AC574" s="50"/>
      <c r="AD574" s="50"/>
      <c r="AE574" s="50"/>
      <c r="AF574" s="50"/>
      <c r="AI574" s="50"/>
      <c r="AJ574" s="50"/>
      <c r="AK574" s="111"/>
      <c r="AL574" s="50"/>
    </row>
    <row r="576" spans="3:40">
      <c r="F576" s="50"/>
    </row>
    <row r="577" spans="1:40">
      <c r="A577" s="42"/>
    </row>
    <row r="579" spans="1:40">
      <c r="H579" s="42"/>
      <c r="I579" s="42"/>
      <c r="Y579" s="42"/>
    </row>
    <row r="581" spans="1:40">
      <c r="L581" s="42"/>
      <c r="M581" s="42"/>
      <c r="AA581" s="42"/>
      <c r="AB581" s="42"/>
    </row>
    <row r="582" spans="1:40">
      <c r="R582" s="42"/>
      <c r="AK582" s="110"/>
      <c r="AL582" s="42"/>
    </row>
    <row r="583" spans="1:40">
      <c r="R583" s="42"/>
      <c r="AK583" s="110"/>
      <c r="AL583" s="42"/>
    </row>
    <row r="584" spans="1:40">
      <c r="A584" s="42"/>
      <c r="R584" s="42"/>
      <c r="AK584" s="110"/>
      <c r="AL584" s="42"/>
    </row>
    <row r="585" spans="1:40">
      <c r="L585" s="42"/>
      <c r="M585" s="42"/>
      <c r="AA585" s="42"/>
      <c r="AB585" s="42"/>
    </row>
    <row r="586" spans="1:40">
      <c r="A586" s="49"/>
      <c r="B586" s="49"/>
      <c r="C586" s="49"/>
      <c r="D586" s="49"/>
      <c r="E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107"/>
      <c r="AH586" s="49"/>
      <c r="AI586" s="49"/>
      <c r="AJ586" s="49"/>
      <c r="AK586" s="107"/>
      <c r="AL586" s="49"/>
      <c r="AM586" s="49"/>
      <c r="AN586" s="49"/>
    </row>
    <row r="587" spans="1:40">
      <c r="F587" s="49"/>
      <c r="L587" s="44"/>
      <c r="M587" s="44"/>
      <c r="N587" s="44"/>
      <c r="O587" s="44"/>
      <c r="R587" s="44"/>
      <c r="AA587" s="44"/>
      <c r="AB587" s="44"/>
      <c r="AC587" s="44"/>
      <c r="AD587" s="44"/>
      <c r="AE587" s="44"/>
      <c r="AF587" s="44"/>
      <c r="AG587" s="102"/>
      <c r="AH587" s="44"/>
      <c r="AK587" s="102"/>
      <c r="AL587" s="44"/>
      <c r="AM587" s="44"/>
      <c r="AN587" s="44"/>
    </row>
    <row r="588" spans="1:40">
      <c r="L588" s="44"/>
      <c r="M588" s="44"/>
      <c r="N588" s="44"/>
      <c r="O588" s="44"/>
      <c r="R588" s="44"/>
      <c r="Z588" s="44"/>
      <c r="AA588" s="44"/>
      <c r="AB588" s="44"/>
      <c r="AC588" s="44"/>
      <c r="AD588" s="44"/>
      <c r="AE588" s="44"/>
      <c r="AF588" s="44"/>
      <c r="AG588" s="102"/>
      <c r="AH588" s="44"/>
      <c r="AK588" s="102"/>
      <c r="AL588" s="44"/>
      <c r="AM588" s="44"/>
      <c r="AN588" s="44"/>
    </row>
    <row r="589" spans="1:40">
      <c r="A589" s="44"/>
      <c r="C589" s="44"/>
      <c r="D589" s="44"/>
      <c r="E589" s="44"/>
      <c r="J589" s="44"/>
      <c r="K589" s="44"/>
      <c r="L589" s="44"/>
      <c r="M589" s="44"/>
      <c r="N589" s="44"/>
      <c r="O589" s="44"/>
      <c r="P589" s="44"/>
      <c r="Q589" s="44"/>
      <c r="R589" s="44"/>
      <c r="T589" s="44"/>
      <c r="U589" s="44"/>
      <c r="V589" s="44"/>
      <c r="Z589" s="44"/>
      <c r="AA589" s="44"/>
      <c r="AB589" s="44"/>
      <c r="AC589" s="44"/>
      <c r="AD589" s="44"/>
      <c r="AE589" s="44"/>
      <c r="AF589" s="44"/>
      <c r="AG589" s="102"/>
      <c r="AH589" s="44"/>
      <c r="AI589" s="44"/>
      <c r="AJ589" s="44"/>
      <c r="AK589" s="102"/>
      <c r="AL589" s="44"/>
      <c r="AM589" s="44"/>
      <c r="AN589" s="44"/>
    </row>
    <row r="590" spans="1:40">
      <c r="A590" s="44"/>
      <c r="C590" s="44"/>
      <c r="D590" s="44"/>
      <c r="E590" s="44"/>
      <c r="F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T590" s="44"/>
      <c r="U590" s="44"/>
      <c r="V590" s="44"/>
      <c r="Y590" s="44"/>
      <c r="Z590" s="44"/>
      <c r="AA590" s="44"/>
      <c r="AB590" s="44"/>
      <c r="AC590" s="44"/>
      <c r="AD590" s="44"/>
      <c r="AE590" s="44"/>
      <c r="AF590" s="44"/>
      <c r="AG590" s="102"/>
      <c r="AH590" s="44"/>
      <c r="AI590" s="44"/>
      <c r="AJ590" s="44"/>
      <c r="AK590" s="102"/>
      <c r="AL590" s="44"/>
      <c r="AM590" s="44"/>
      <c r="AN590" s="44"/>
    </row>
    <row r="591" spans="1:40">
      <c r="C591" s="44"/>
      <c r="D591" s="44"/>
      <c r="E591" s="44"/>
      <c r="F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T591" s="44"/>
      <c r="U591" s="44"/>
      <c r="V591" s="44"/>
      <c r="Y591" s="44"/>
      <c r="Z591" s="44"/>
      <c r="AA591" s="44"/>
      <c r="AB591" s="44"/>
      <c r="AC591" s="44"/>
      <c r="AD591" s="44"/>
      <c r="AE591" s="44"/>
      <c r="AF591" s="44"/>
      <c r="AG591" s="102"/>
      <c r="AH591" s="44"/>
      <c r="AI591" s="44"/>
      <c r="AJ591" s="44"/>
      <c r="AK591" s="102"/>
      <c r="AL591" s="44"/>
      <c r="AM591" s="44"/>
      <c r="AN591" s="44"/>
    </row>
    <row r="592" spans="1:40">
      <c r="A592" s="49"/>
      <c r="B592" s="49"/>
      <c r="C592" s="49"/>
      <c r="D592" s="49"/>
      <c r="E592" s="49"/>
      <c r="F592" s="44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107"/>
      <c r="AH592" s="49"/>
      <c r="AI592" s="49"/>
      <c r="AJ592" s="49"/>
      <c r="AK592" s="107"/>
      <c r="AL592" s="49"/>
      <c r="AM592" s="49"/>
      <c r="AN592" s="49"/>
    </row>
    <row r="593" spans="3:40">
      <c r="F593" s="49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Y593" s="44"/>
      <c r="Z593" s="44"/>
      <c r="AA593" s="44"/>
      <c r="AB593" s="44"/>
      <c r="AC593" s="44"/>
      <c r="AD593" s="44"/>
      <c r="AE593" s="44"/>
      <c r="AF593" s="44"/>
      <c r="AG593" s="102"/>
      <c r="AH593" s="44"/>
      <c r="AI593" s="44"/>
      <c r="AJ593" s="44"/>
      <c r="AK593" s="102"/>
      <c r="AL593" s="44"/>
      <c r="AM593" s="44"/>
      <c r="AN593" s="44"/>
    </row>
    <row r="594" spans="3:40">
      <c r="C594" s="42"/>
      <c r="D594" s="42"/>
      <c r="E594" s="42"/>
      <c r="H594" s="45"/>
      <c r="I594" s="45"/>
      <c r="J594" s="47"/>
      <c r="K594" s="47"/>
      <c r="L594" s="45"/>
      <c r="M594" s="45"/>
      <c r="N594" s="47"/>
      <c r="O594" s="47"/>
      <c r="P594" s="45"/>
      <c r="Q594" s="45"/>
      <c r="R594" s="45"/>
      <c r="T594" s="42"/>
      <c r="U594" s="42"/>
      <c r="V594" s="45"/>
      <c r="Y594" s="45"/>
      <c r="Z594" s="47"/>
      <c r="AA594" s="45"/>
      <c r="AB594" s="45"/>
      <c r="AC594" s="47"/>
      <c r="AD594" s="47"/>
      <c r="AE594" s="45"/>
      <c r="AF594" s="45"/>
      <c r="AH594" s="51"/>
      <c r="AI594" s="45"/>
      <c r="AJ594" s="45"/>
      <c r="AL594" s="45"/>
      <c r="AM594" s="46"/>
      <c r="AN594" s="46"/>
    </row>
    <row r="595" spans="3:40">
      <c r="F595" s="45"/>
      <c r="H595" s="50"/>
      <c r="I595" s="50"/>
      <c r="J595" s="326"/>
      <c r="K595" s="326"/>
      <c r="L595" s="50"/>
      <c r="M595" s="50"/>
      <c r="N595" s="50"/>
      <c r="O595" s="50"/>
      <c r="P595" s="50"/>
      <c r="Q595" s="50"/>
      <c r="R595" s="50"/>
      <c r="V595" s="50"/>
      <c r="Y595" s="50"/>
      <c r="Z595" s="326"/>
      <c r="AA595" s="50"/>
      <c r="AB595" s="50"/>
      <c r="AC595" s="50"/>
      <c r="AD595" s="50"/>
      <c r="AE595" s="50"/>
      <c r="AF595" s="50"/>
      <c r="AI595" s="50"/>
      <c r="AJ595" s="50"/>
      <c r="AK595" s="111"/>
      <c r="AL595" s="50"/>
      <c r="AM595" s="46"/>
      <c r="AN595" s="46"/>
    </row>
    <row r="596" spans="3:40">
      <c r="C596" s="42"/>
      <c r="F596" s="50"/>
      <c r="H596" s="45"/>
      <c r="I596" s="45"/>
      <c r="J596" s="47"/>
      <c r="K596" s="47"/>
      <c r="L596" s="45"/>
      <c r="M596" s="45"/>
      <c r="N596" s="47"/>
      <c r="O596" s="47"/>
      <c r="P596" s="45"/>
      <c r="Q596" s="45"/>
      <c r="R596" s="45"/>
      <c r="T596" s="42"/>
      <c r="V596" s="45"/>
      <c r="Y596" s="45"/>
      <c r="Z596" s="47"/>
      <c r="AA596" s="45"/>
      <c r="AB596" s="45"/>
      <c r="AC596" s="47"/>
      <c r="AD596" s="47"/>
      <c r="AE596" s="45"/>
      <c r="AF596" s="45"/>
      <c r="AH596" s="51"/>
      <c r="AI596" s="45"/>
      <c r="AJ596" s="45"/>
      <c r="AL596" s="45"/>
      <c r="AM596" s="46"/>
      <c r="AN596" s="46"/>
    </row>
    <row r="597" spans="3:40">
      <c r="F597" s="45"/>
      <c r="H597" s="45"/>
      <c r="I597" s="45"/>
      <c r="J597" s="47"/>
      <c r="K597" s="47"/>
      <c r="L597" s="45"/>
      <c r="M597" s="45"/>
      <c r="N597" s="47"/>
      <c r="O597" s="47"/>
      <c r="P597" s="45"/>
      <c r="Q597" s="45"/>
      <c r="R597" s="45"/>
      <c r="V597" s="45"/>
      <c r="Y597" s="45"/>
      <c r="Z597" s="47"/>
      <c r="AA597" s="45"/>
      <c r="AB597" s="45"/>
      <c r="AC597" s="47"/>
      <c r="AD597" s="47"/>
      <c r="AH597" s="51"/>
      <c r="AI597" s="45"/>
      <c r="AJ597" s="45"/>
      <c r="AL597" s="45"/>
      <c r="AM597" s="46"/>
      <c r="AN597" s="46"/>
    </row>
    <row r="598" spans="3:40">
      <c r="C598" s="42"/>
      <c r="D598" s="42"/>
      <c r="E598" s="42"/>
      <c r="F598" s="45"/>
      <c r="H598" s="45"/>
      <c r="I598" s="45"/>
      <c r="J598" s="47"/>
      <c r="K598" s="47"/>
      <c r="L598" s="45"/>
      <c r="M598" s="45"/>
      <c r="N598" s="47"/>
      <c r="O598" s="47"/>
      <c r="P598" s="45"/>
      <c r="Q598" s="45"/>
      <c r="R598" s="45"/>
      <c r="T598" s="42"/>
      <c r="U598" s="42"/>
      <c r="V598" s="45"/>
      <c r="Y598" s="45"/>
      <c r="Z598" s="47"/>
      <c r="AA598" s="45"/>
      <c r="AB598" s="45"/>
      <c r="AC598" s="47"/>
      <c r="AD598" s="47"/>
      <c r="AE598" s="45"/>
      <c r="AF598" s="45"/>
      <c r="AH598" s="51"/>
      <c r="AI598" s="45"/>
      <c r="AJ598" s="45"/>
      <c r="AL598" s="45"/>
      <c r="AM598" s="46"/>
      <c r="AN598" s="46"/>
    </row>
    <row r="599" spans="3:40">
      <c r="C599" s="42"/>
      <c r="D599" s="42"/>
      <c r="E599" s="42"/>
      <c r="F599" s="45"/>
      <c r="H599" s="45"/>
      <c r="I599" s="45"/>
      <c r="J599" s="47"/>
      <c r="K599" s="47"/>
      <c r="L599" s="45"/>
      <c r="M599" s="45"/>
      <c r="N599" s="47"/>
      <c r="O599" s="47"/>
      <c r="P599" s="45"/>
      <c r="Q599" s="45"/>
      <c r="R599" s="45"/>
      <c r="T599" s="42"/>
      <c r="U599" s="42"/>
      <c r="V599" s="45"/>
      <c r="Y599" s="45"/>
      <c r="Z599" s="47"/>
      <c r="AA599" s="45"/>
      <c r="AB599" s="45"/>
      <c r="AC599" s="47"/>
      <c r="AD599" s="47"/>
      <c r="AE599" s="45"/>
      <c r="AF599" s="45"/>
      <c r="AH599" s="51"/>
      <c r="AI599" s="45"/>
      <c r="AJ599" s="45"/>
      <c r="AL599" s="45"/>
      <c r="AM599" s="46"/>
      <c r="AN599" s="46"/>
    </row>
    <row r="600" spans="3:40">
      <c r="C600" s="42"/>
      <c r="D600" s="42"/>
      <c r="E600" s="42"/>
      <c r="F600" s="45"/>
      <c r="H600" s="45"/>
      <c r="I600" s="45"/>
      <c r="J600" s="47"/>
      <c r="K600" s="47"/>
      <c r="L600" s="45"/>
      <c r="M600" s="45"/>
      <c r="N600" s="47"/>
      <c r="O600" s="47"/>
      <c r="P600" s="45"/>
      <c r="Q600" s="45"/>
      <c r="R600" s="45"/>
      <c r="T600" s="42"/>
      <c r="U600" s="42"/>
      <c r="V600" s="45"/>
      <c r="Y600" s="45"/>
      <c r="Z600" s="47"/>
      <c r="AA600" s="45"/>
      <c r="AB600" s="45"/>
      <c r="AC600" s="47"/>
      <c r="AD600" s="47"/>
      <c r="AE600" s="45"/>
      <c r="AF600" s="45"/>
      <c r="AH600" s="51"/>
      <c r="AI600" s="45"/>
      <c r="AJ600" s="45"/>
      <c r="AL600" s="45"/>
      <c r="AM600" s="46"/>
      <c r="AN600" s="46"/>
    </row>
    <row r="601" spans="3:40">
      <c r="C601" s="42"/>
      <c r="D601" s="42"/>
      <c r="E601" s="42"/>
      <c r="F601" s="45"/>
      <c r="H601" s="45"/>
      <c r="I601" s="45"/>
      <c r="J601" s="47"/>
      <c r="K601" s="47"/>
      <c r="L601" s="45"/>
      <c r="M601" s="45"/>
      <c r="N601" s="47"/>
      <c r="O601" s="47"/>
      <c r="P601" s="45"/>
      <c r="Q601" s="45"/>
      <c r="R601" s="45"/>
      <c r="T601" s="42"/>
      <c r="U601" s="42"/>
      <c r="V601" s="45"/>
      <c r="Y601" s="45"/>
      <c r="Z601" s="47"/>
      <c r="AA601" s="45"/>
      <c r="AB601" s="45"/>
      <c r="AC601" s="47"/>
      <c r="AD601" s="47"/>
      <c r="AE601" s="45"/>
      <c r="AF601" s="45"/>
      <c r="AH601" s="51"/>
      <c r="AI601" s="45"/>
      <c r="AJ601" s="45"/>
      <c r="AL601" s="45"/>
      <c r="AM601" s="46"/>
      <c r="AN601" s="46"/>
    </row>
    <row r="602" spans="3:40">
      <c r="C602" s="42"/>
      <c r="D602" s="42"/>
      <c r="E602" s="42"/>
      <c r="F602" s="45"/>
      <c r="H602" s="45"/>
      <c r="I602" s="45"/>
      <c r="J602" s="47"/>
      <c r="K602" s="47"/>
      <c r="L602" s="45"/>
      <c r="M602" s="45"/>
      <c r="N602" s="47"/>
      <c r="O602" s="47"/>
      <c r="P602" s="45"/>
      <c r="Q602" s="45"/>
      <c r="R602" s="45"/>
      <c r="T602" s="42"/>
      <c r="U602" s="42"/>
      <c r="V602" s="45"/>
      <c r="Y602" s="45"/>
      <c r="Z602" s="47"/>
      <c r="AA602" s="45"/>
      <c r="AB602" s="45"/>
      <c r="AC602" s="47"/>
      <c r="AD602" s="47"/>
      <c r="AE602" s="45"/>
      <c r="AF602" s="45"/>
      <c r="AH602" s="51"/>
      <c r="AI602" s="45"/>
      <c r="AJ602" s="45"/>
      <c r="AL602" s="45"/>
      <c r="AM602" s="46"/>
      <c r="AN602" s="46"/>
    </row>
    <row r="603" spans="3:40">
      <c r="C603" s="42"/>
      <c r="D603" s="42"/>
      <c r="E603" s="42"/>
      <c r="F603" s="45"/>
      <c r="H603" s="45"/>
      <c r="I603" s="45"/>
      <c r="J603" s="47"/>
      <c r="K603" s="47"/>
      <c r="L603" s="45"/>
      <c r="M603" s="45"/>
      <c r="N603" s="47"/>
      <c r="O603" s="47"/>
      <c r="P603" s="45"/>
      <c r="Q603" s="45"/>
      <c r="R603" s="45"/>
      <c r="T603" s="42"/>
      <c r="U603" s="42"/>
      <c r="V603" s="45"/>
      <c r="Y603" s="45"/>
      <c r="Z603" s="47"/>
      <c r="AA603" s="45"/>
      <c r="AB603" s="45"/>
      <c r="AC603" s="47"/>
      <c r="AD603" s="47"/>
      <c r="AE603" s="45"/>
      <c r="AF603" s="45"/>
      <c r="AH603" s="51"/>
      <c r="AI603" s="45"/>
      <c r="AJ603" s="45"/>
      <c r="AL603" s="45"/>
      <c r="AM603" s="46"/>
      <c r="AN603" s="46"/>
    </row>
    <row r="604" spans="3:40">
      <c r="F604" s="45"/>
      <c r="H604" s="50"/>
      <c r="I604" s="50"/>
      <c r="J604" s="326"/>
      <c r="K604" s="326"/>
      <c r="L604" s="50"/>
      <c r="M604" s="50"/>
      <c r="N604" s="50"/>
      <c r="O604" s="50"/>
      <c r="P604" s="50"/>
      <c r="Q604" s="50"/>
      <c r="R604" s="50"/>
      <c r="V604" s="50"/>
      <c r="Y604" s="50"/>
      <c r="Z604" s="326"/>
      <c r="AA604" s="50"/>
      <c r="AB604" s="50"/>
      <c r="AC604" s="50"/>
      <c r="AD604" s="50"/>
      <c r="AE604" s="50"/>
      <c r="AF604" s="50"/>
      <c r="AI604" s="50"/>
      <c r="AJ604" s="50"/>
      <c r="AK604" s="111"/>
      <c r="AL604" s="50"/>
      <c r="AM604" s="46"/>
      <c r="AN604" s="46"/>
    </row>
    <row r="605" spans="3:40">
      <c r="C605" s="42"/>
      <c r="F605" s="50"/>
      <c r="H605" s="45"/>
      <c r="I605" s="45"/>
      <c r="J605" s="47"/>
      <c r="K605" s="47"/>
      <c r="L605" s="45"/>
      <c r="M605" s="45"/>
      <c r="N605" s="47"/>
      <c r="O605" s="47"/>
      <c r="P605" s="45"/>
      <c r="Q605" s="45"/>
      <c r="R605" s="45"/>
      <c r="T605" s="42"/>
      <c r="V605" s="45"/>
      <c r="Y605" s="45"/>
      <c r="Z605" s="47"/>
      <c r="AA605" s="45"/>
      <c r="AB605" s="45"/>
      <c r="AC605" s="47"/>
      <c r="AD605" s="47"/>
      <c r="AE605" s="45"/>
      <c r="AF605" s="45"/>
      <c r="AH605" s="51"/>
      <c r="AI605" s="45"/>
      <c r="AJ605" s="45"/>
      <c r="AL605" s="45"/>
      <c r="AM605" s="46"/>
      <c r="AN605" s="46"/>
    </row>
    <row r="606" spans="3:40">
      <c r="F606" s="45"/>
      <c r="H606" s="45"/>
      <c r="I606" s="45"/>
      <c r="J606" s="47"/>
      <c r="K606" s="47"/>
      <c r="L606" s="45"/>
      <c r="M606" s="45"/>
      <c r="N606" s="47"/>
      <c r="O606" s="47"/>
      <c r="P606" s="45"/>
      <c r="Q606" s="45"/>
      <c r="R606" s="45"/>
      <c r="V606" s="45"/>
      <c r="Y606" s="45"/>
      <c r="Z606" s="47"/>
      <c r="AA606" s="45"/>
      <c r="AB606" s="45"/>
      <c r="AC606" s="47"/>
      <c r="AD606" s="47"/>
      <c r="AH606" s="51"/>
      <c r="AI606" s="45"/>
      <c r="AJ606" s="45"/>
      <c r="AL606" s="45"/>
      <c r="AM606" s="46"/>
      <c r="AN606" s="46"/>
    </row>
    <row r="607" spans="3:40">
      <c r="C607" s="42"/>
      <c r="D607" s="42"/>
      <c r="E607" s="42"/>
      <c r="F607" s="45"/>
      <c r="H607" s="45"/>
      <c r="I607" s="45"/>
      <c r="J607" s="47"/>
      <c r="K607" s="47"/>
      <c r="L607" s="45"/>
      <c r="M607" s="45"/>
      <c r="N607" s="47"/>
      <c r="O607" s="47"/>
      <c r="P607" s="45"/>
      <c r="Q607" s="45"/>
      <c r="R607" s="45"/>
      <c r="T607" s="42"/>
      <c r="U607" s="42"/>
      <c r="V607" s="45"/>
      <c r="Y607" s="45"/>
      <c r="Z607" s="47"/>
      <c r="AA607" s="45"/>
      <c r="AB607" s="45"/>
      <c r="AC607" s="47"/>
      <c r="AD607" s="47"/>
      <c r="AE607" s="45"/>
      <c r="AF607" s="45"/>
      <c r="AH607" s="51"/>
      <c r="AI607" s="45"/>
      <c r="AJ607" s="45"/>
      <c r="AL607" s="45"/>
      <c r="AM607" s="46"/>
      <c r="AN607" s="46"/>
    </row>
    <row r="608" spans="3:40">
      <c r="F608" s="45"/>
      <c r="H608" s="50"/>
      <c r="I608" s="50"/>
      <c r="J608" s="326"/>
      <c r="K608" s="326"/>
      <c r="L608" s="50"/>
      <c r="M608" s="50"/>
      <c r="N608" s="50"/>
      <c r="O608" s="50"/>
      <c r="P608" s="50"/>
      <c r="Q608" s="50"/>
      <c r="R608" s="50"/>
      <c r="V608" s="50"/>
      <c r="Y608" s="50"/>
      <c r="Z608" s="326"/>
      <c r="AA608" s="50"/>
      <c r="AB608" s="50"/>
      <c r="AC608" s="50"/>
      <c r="AD608" s="50"/>
      <c r="AE608" s="50"/>
      <c r="AF608" s="50"/>
      <c r="AI608" s="50"/>
      <c r="AJ608" s="50"/>
      <c r="AK608" s="111"/>
      <c r="AL608" s="50"/>
      <c r="AM608" s="46"/>
      <c r="AN608" s="46"/>
    </row>
    <row r="609" spans="3:40">
      <c r="C609" s="42"/>
      <c r="F609" s="50"/>
      <c r="H609" s="45"/>
      <c r="I609" s="45"/>
      <c r="J609" s="47"/>
      <c r="K609" s="47"/>
      <c r="L609" s="45"/>
      <c r="M609" s="45"/>
      <c r="N609" s="47"/>
      <c r="O609" s="47"/>
      <c r="P609" s="45"/>
      <c r="Q609" s="45"/>
      <c r="R609" s="45"/>
      <c r="T609" s="42"/>
      <c r="V609" s="45"/>
      <c r="Y609" s="45"/>
      <c r="Z609" s="47"/>
      <c r="AA609" s="45"/>
      <c r="AB609" s="45"/>
      <c r="AC609" s="47"/>
      <c r="AD609" s="47"/>
      <c r="AE609" s="45"/>
      <c r="AF609" s="45"/>
      <c r="AH609" s="51"/>
      <c r="AI609" s="45"/>
      <c r="AJ609" s="45"/>
      <c r="AL609" s="45"/>
      <c r="AM609" s="46"/>
      <c r="AN609" s="46"/>
    </row>
    <row r="610" spans="3:40">
      <c r="F610" s="45"/>
      <c r="H610" s="45"/>
      <c r="I610" s="45"/>
      <c r="J610" s="47"/>
      <c r="K610" s="47"/>
      <c r="L610" s="45"/>
      <c r="M610" s="45"/>
      <c r="N610" s="47"/>
      <c r="O610" s="47"/>
      <c r="P610" s="45"/>
      <c r="Q610" s="45"/>
      <c r="R610" s="45"/>
      <c r="V610" s="45"/>
      <c r="Y610" s="45"/>
      <c r="Z610" s="47"/>
      <c r="AA610" s="45"/>
      <c r="AB610" s="45"/>
      <c r="AC610" s="47"/>
      <c r="AD610" s="47"/>
      <c r="AH610" s="51"/>
      <c r="AI610" s="45"/>
      <c r="AJ610" s="45"/>
      <c r="AL610" s="45"/>
      <c r="AM610" s="46"/>
      <c r="AN610" s="46"/>
    </row>
    <row r="611" spans="3:40">
      <c r="C611" s="42"/>
      <c r="D611" s="42"/>
      <c r="E611" s="42"/>
      <c r="F611" s="45"/>
      <c r="H611" s="45"/>
      <c r="I611" s="45"/>
      <c r="J611" s="47"/>
      <c r="K611" s="47"/>
      <c r="L611" s="45"/>
      <c r="M611" s="45"/>
      <c r="N611" s="47"/>
      <c r="O611" s="47"/>
      <c r="P611" s="45"/>
      <c r="Q611" s="45"/>
      <c r="R611" s="45"/>
      <c r="T611" s="42"/>
      <c r="U611" s="42"/>
      <c r="V611" s="45"/>
      <c r="Y611" s="45"/>
      <c r="Z611" s="47"/>
      <c r="AA611" s="45"/>
      <c r="AB611" s="45"/>
      <c r="AC611" s="47"/>
      <c r="AD611" s="47"/>
      <c r="AE611" s="45"/>
      <c r="AF611" s="45"/>
      <c r="AH611" s="51"/>
      <c r="AI611" s="45"/>
      <c r="AJ611" s="45"/>
      <c r="AL611" s="45"/>
      <c r="AM611" s="46"/>
      <c r="AN611" s="46"/>
    </row>
    <row r="612" spans="3:40">
      <c r="C612" s="42"/>
      <c r="D612" s="42"/>
      <c r="E612" s="42"/>
      <c r="F612" s="45"/>
      <c r="G612" s="45"/>
      <c r="H612" s="45"/>
      <c r="I612" s="45"/>
      <c r="J612" s="47"/>
      <c r="K612" s="47"/>
      <c r="L612" s="45"/>
      <c r="M612" s="45"/>
      <c r="N612" s="47"/>
      <c r="O612" s="47"/>
      <c r="P612" s="45"/>
      <c r="Q612" s="45"/>
      <c r="R612" s="45"/>
      <c r="T612" s="42"/>
      <c r="U612" s="42"/>
      <c r="V612" s="45"/>
      <c r="W612" s="45"/>
      <c r="X612" s="45"/>
      <c r="Y612" s="45"/>
      <c r="Z612" s="47"/>
      <c r="AA612" s="45"/>
      <c r="AB612" s="45"/>
      <c r="AC612" s="47"/>
      <c r="AD612" s="47"/>
      <c r="AE612" s="45"/>
      <c r="AF612" s="45"/>
      <c r="AH612" s="51"/>
      <c r="AI612" s="45"/>
      <c r="AJ612" s="45"/>
      <c r="AL612" s="45"/>
      <c r="AM612" s="46"/>
      <c r="AN612" s="46"/>
    </row>
    <row r="613" spans="3:40">
      <c r="C613" s="42"/>
      <c r="D613" s="42"/>
      <c r="E613" s="42"/>
      <c r="F613" s="45"/>
      <c r="G613" s="45"/>
      <c r="H613" s="45"/>
      <c r="I613" s="45"/>
      <c r="J613" s="47"/>
      <c r="K613" s="47"/>
      <c r="L613" s="45"/>
      <c r="M613" s="45"/>
      <c r="N613" s="47"/>
      <c r="O613" s="47"/>
      <c r="P613" s="45"/>
      <c r="Q613" s="45"/>
      <c r="R613" s="45"/>
      <c r="T613" s="42"/>
      <c r="U613" s="42"/>
      <c r="V613" s="45"/>
      <c r="W613" s="45"/>
      <c r="X613" s="45"/>
      <c r="Y613" s="45"/>
      <c r="Z613" s="47"/>
      <c r="AA613" s="45"/>
      <c r="AB613" s="45"/>
      <c r="AC613" s="47"/>
      <c r="AD613" s="47"/>
      <c r="AE613" s="45"/>
      <c r="AF613" s="45"/>
      <c r="AH613" s="51"/>
      <c r="AI613" s="45"/>
      <c r="AJ613" s="45"/>
      <c r="AL613" s="45"/>
      <c r="AM613" s="46"/>
      <c r="AN613" s="46"/>
    </row>
    <row r="614" spans="3:40">
      <c r="C614" s="42"/>
      <c r="D614" s="42"/>
      <c r="E614" s="42"/>
      <c r="F614" s="45"/>
      <c r="H614" s="45"/>
      <c r="I614" s="45"/>
      <c r="J614" s="47"/>
      <c r="K614" s="47"/>
      <c r="L614" s="45"/>
      <c r="M614" s="45"/>
      <c r="N614" s="47"/>
      <c r="O614" s="47"/>
      <c r="P614" s="45"/>
      <c r="Q614" s="45"/>
      <c r="R614" s="45"/>
      <c r="T614" s="42"/>
      <c r="U614" s="42"/>
      <c r="V614" s="45"/>
      <c r="Y614" s="45"/>
      <c r="Z614" s="47"/>
      <c r="AA614" s="45"/>
      <c r="AB614" s="45"/>
      <c r="AC614" s="47"/>
      <c r="AD614" s="47"/>
      <c r="AE614" s="45"/>
      <c r="AF614" s="45"/>
      <c r="AH614" s="51"/>
      <c r="AI614" s="45"/>
      <c r="AJ614" s="45"/>
      <c r="AL614" s="45"/>
      <c r="AM614" s="46"/>
      <c r="AN614" s="46"/>
    </row>
    <row r="615" spans="3:40">
      <c r="C615" s="42"/>
      <c r="D615" s="42"/>
      <c r="E615" s="42"/>
      <c r="F615" s="45"/>
      <c r="H615" s="45"/>
      <c r="I615" s="45"/>
      <c r="J615" s="47"/>
      <c r="K615" s="47"/>
      <c r="L615" s="45"/>
      <c r="M615" s="45"/>
      <c r="N615" s="47"/>
      <c r="O615" s="47"/>
      <c r="P615" s="45"/>
      <c r="Q615" s="45"/>
      <c r="R615" s="45"/>
      <c r="T615" s="42"/>
      <c r="U615" s="42"/>
      <c r="V615" s="45"/>
      <c r="Y615" s="45"/>
      <c r="Z615" s="47"/>
      <c r="AA615" s="45"/>
      <c r="AB615" s="45"/>
      <c r="AC615" s="47"/>
      <c r="AD615" s="47"/>
      <c r="AE615" s="45"/>
      <c r="AF615" s="45"/>
      <c r="AH615" s="51"/>
      <c r="AI615" s="45"/>
      <c r="AJ615" s="45"/>
      <c r="AL615" s="45"/>
      <c r="AM615" s="46"/>
      <c r="AN615" s="46"/>
    </row>
    <row r="616" spans="3:40">
      <c r="C616" s="42"/>
      <c r="D616" s="42"/>
      <c r="E616" s="42"/>
      <c r="F616" s="45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3:40">
      <c r="C617" s="42"/>
      <c r="D617" s="42"/>
      <c r="E617" s="42"/>
      <c r="F617" s="45"/>
      <c r="H617" s="45"/>
      <c r="I617" s="45"/>
      <c r="J617" s="47"/>
      <c r="K617" s="47"/>
      <c r="L617" s="45"/>
      <c r="M617" s="45"/>
      <c r="N617" s="47"/>
      <c r="O617" s="47"/>
      <c r="P617" s="45"/>
      <c r="Q617" s="45"/>
      <c r="R617" s="45"/>
      <c r="T617" s="42"/>
      <c r="U617" s="42"/>
      <c r="V617" s="45"/>
      <c r="Y617" s="45"/>
      <c r="Z617" s="47"/>
      <c r="AA617" s="45"/>
      <c r="AB617" s="45"/>
      <c r="AC617" s="47"/>
      <c r="AD617" s="47"/>
      <c r="AE617" s="45"/>
      <c r="AF617" s="45"/>
      <c r="AH617" s="51"/>
      <c r="AI617" s="45"/>
      <c r="AJ617" s="45"/>
      <c r="AL617" s="45"/>
      <c r="AM617" s="46"/>
      <c r="AN617" s="46"/>
    </row>
    <row r="618" spans="3:40">
      <c r="F618" s="45"/>
      <c r="H618" s="50"/>
      <c r="I618" s="50"/>
      <c r="J618" s="326"/>
      <c r="K618" s="326"/>
      <c r="L618" s="50"/>
      <c r="M618" s="50"/>
      <c r="N618" s="50"/>
      <c r="O618" s="50"/>
      <c r="P618" s="50"/>
      <c r="Q618" s="50"/>
      <c r="R618" s="50"/>
      <c r="V618" s="50"/>
      <c r="Y618" s="50"/>
      <c r="Z618" s="326"/>
      <c r="AA618" s="50"/>
      <c r="AB618" s="50"/>
      <c r="AC618" s="50"/>
      <c r="AD618" s="50"/>
      <c r="AE618" s="50"/>
      <c r="AF618" s="50"/>
      <c r="AI618" s="50"/>
      <c r="AJ618" s="50"/>
      <c r="AK618" s="111"/>
      <c r="AL618" s="50"/>
      <c r="AM618" s="46"/>
      <c r="AN618" s="46"/>
    </row>
    <row r="619" spans="3:40">
      <c r="C619" s="42"/>
      <c r="F619" s="50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T619" s="42"/>
      <c r="V619" s="45"/>
      <c r="Y619" s="45"/>
      <c r="Z619" s="47"/>
      <c r="AA619" s="45"/>
      <c r="AB619" s="45"/>
      <c r="AC619" s="47"/>
      <c r="AD619" s="47"/>
      <c r="AE619" s="45"/>
      <c r="AF619" s="45"/>
      <c r="AH619" s="51"/>
      <c r="AI619" s="45"/>
      <c r="AJ619" s="45"/>
      <c r="AL619" s="45"/>
      <c r="AM619" s="46"/>
      <c r="AN619" s="46"/>
    </row>
    <row r="620" spans="3:40">
      <c r="F620" s="45"/>
      <c r="V620" s="45"/>
      <c r="Y620" s="45"/>
      <c r="Z620" s="326"/>
      <c r="AA620" s="45"/>
      <c r="AB620" s="45"/>
      <c r="AC620" s="45"/>
      <c r="AD620" s="45"/>
      <c r="AE620" s="45"/>
      <c r="AF620" s="45"/>
      <c r="AI620" s="45"/>
      <c r="AJ620" s="45"/>
      <c r="AL620" s="45"/>
      <c r="AM620" s="46"/>
      <c r="AN620" s="46"/>
    </row>
    <row r="621" spans="3:40">
      <c r="C621" s="42"/>
      <c r="D621" s="42"/>
      <c r="E621" s="42"/>
      <c r="L621" s="45"/>
      <c r="M621" s="45"/>
      <c r="N621" s="47"/>
      <c r="O621" s="47"/>
      <c r="R621" s="45"/>
      <c r="T621" s="42"/>
      <c r="U621" s="42"/>
      <c r="AA621" s="45"/>
      <c r="AB621" s="45"/>
      <c r="AC621" s="47"/>
      <c r="AD621" s="47"/>
      <c r="AE621" s="45"/>
      <c r="AF621" s="45"/>
      <c r="AH621" s="51"/>
      <c r="AL621" s="45"/>
      <c r="AM621" s="46"/>
      <c r="AN621" s="46"/>
    </row>
    <row r="622" spans="3:40">
      <c r="D622" s="42"/>
      <c r="E622" s="42"/>
      <c r="H622" s="164"/>
      <c r="I622" s="164"/>
      <c r="J622" s="47"/>
      <c r="K622" s="47"/>
      <c r="L622" s="45"/>
      <c r="M622" s="45"/>
      <c r="N622" s="47"/>
      <c r="O622" s="47"/>
      <c r="P622" s="164"/>
      <c r="Q622" s="164"/>
      <c r="R622" s="45"/>
      <c r="U622" s="42"/>
      <c r="V622" s="45"/>
      <c r="Y622" s="45"/>
      <c r="Z622" s="47"/>
      <c r="AA622" s="45"/>
      <c r="AB622" s="45"/>
      <c r="AC622" s="47"/>
      <c r="AD622" s="47"/>
      <c r="AE622" s="45"/>
      <c r="AF622" s="45"/>
      <c r="AH622" s="51"/>
      <c r="AI622" s="45"/>
      <c r="AJ622" s="45"/>
      <c r="AL622" s="45"/>
      <c r="AM622" s="46"/>
      <c r="AN622" s="46"/>
    </row>
    <row r="623" spans="3:40">
      <c r="F623" s="164"/>
      <c r="H623" s="50"/>
      <c r="I623" s="50"/>
      <c r="J623" s="326"/>
      <c r="K623" s="326"/>
      <c r="L623" s="50"/>
      <c r="M623" s="50"/>
      <c r="N623" s="50"/>
      <c r="O623" s="50"/>
      <c r="P623" s="50"/>
      <c r="Q623" s="50"/>
      <c r="R623" s="50"/>
      <c r="V623" s="50"/>
      <c r="Y623" s="50"/>
      <c r="Z623" s="326"/>
      <c r="AA623" s="50"/>
      <c r="AB623" s="50"/>
      <c r="AC623" s="50"/>
      <c r="AD623" s="50"/>
      <c r="AE623" s="50"/>
      <c r="AF623" s="50"/>
      <c r="AI623" s="50"/>
      <c r="AJ623" s="50"/>
      <c r="AK623" s="111"/>
      <c r="AL623" s="50"/>
      <c r="AM623" s="46"/>
      <c r="AN623" s="46"/>
    </row>
    <row r="624" spans="3:40">
      <c r="C624" s="42"/>
      <c r="F624" s="50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V624" s="45"/>
      <c r="Y624" s="45"/>
      <c r="Z624" s="47"/>
      <c r="AA624" s="45"/>
      <c r="AB624" s="45"/>
      <c r="AC624" s="47"/>
      <c r="AD624" s="47"/>
      <c r="AE624" s="45"/>
      <c r="AF624" s="45"/>
      <c r="AH624" s="51"/>
      <c r="AI624" s="45"/>
      <c r="AJ624" s="45"/>
      <c r="AL624" s="45"/>
      <c r="AM624" s="46"/>
      <c r="AN624" s="46"/>
    </row>
    <row r="625" spans="1:40"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V625" s="45"/>
      <c r="Y625" s="45"/>
      <c r="Z625" s="47"/>
      <c r="AA625" s="45"/>
      <c r="AB625" s="45"/>
      <c r="AC625" s="47"/>
      <c r="AD625" s="47"/>
      <c r="AH625" s="51"/>
      <c r="AI625" s="45"/>
      <c r="AJ625" s="45"/>
      <c r="AL625" s="45"/>
      <c r="AM625" s="46"/>
      <c r="AN625" s="46"/>
    </row>
    <row r="626" spans="1:40">
      <c r="D626" s="42"/>
      <c r="E626" s="42"/>
      <c r="F626" s="45"/>
      <c r="H626" s="45"/>
      <c r="I626" s="45"/>
      <c r="J626" s="47"/>
      <c r="K626" s="47"/>
      <c r="L626" s="164"/>
      <c r="M626" s="164"/>
      <c r="N626" s="47"/>
      <c r="O626" s="47"/>
      <c r="P626" s="45"/>
      <c r="Q626" s="45"/>
      <c r="R626" s="45"/>
      <c r="U626" s="42"/>
      <c r="V626" s="45"/>
      <c r="Y626" s="45"/>
      <c r="Z626" s="47"/>
      <c r="AA626" s="164"/>
      <c r="AB626" s="164"/>
      <c r="AC626" s="47"/>
      <c r="AD626" s="47"/>
      <c r="AE626" s="45"/>
      <c r="AF626" s="45"/>
      <c r="AH626" s="51"/>
      <c r="AI626" s="45"/>
      <c r="AJ626" s="45"/>
      <c r="AL626" s="45"/>
      <c r="AM626" s="46"/>
      <c r="AN626" s="46"/>
    </row>
    <row r="627" spans="1:40">
      <c r="D627" s="42"/>
      <c r="E627" s="42"/>
      <c r="F627" s="45"/>
      <c r="H627" s="45"/>
      <c r="I627" s="45"/>
      <c r="J627" s="47"/>
      <c r="K627" s="47"/>
      <c r="L627" s="164"/>
      <c r="M627" s="164"/>
      <c r="N627" s="47"/>
      <c r="O627" s="47"/>
      <c r="P627" s="45"/>
      <c r="Q627" s="45"/>
      <c r="R627" s="45"/>
      <c r="U627" s="42"/>
      <c r="V627" s="45"/>
      <c r="Y627" s="45"/>
      <c r="Z627" s="47"/>
      <c r="AA627" s="164"/>
      <c r="AB627" s="164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1:40">
      <c r="D628" s="42"/>
      <c r="E628" s="42"/>
      <c r="F628" s="45"/>
      <c r="H628" s="45"/>
      <c r="I628" s="45"/>
      <c r="J628" s="47"/>
      <c r="K628" s="47"/>
      <c r="L628" s="164"/>
      <c r="M628" s="164"/>
      <c r="N628" s="47"/>
      <c r="O628" s="47"/>
      <c r="P628" s="45"/>
      <c r="Q628" s="45"/>
      <c r="R628" s="45"/>
      <c r="U628" s="42"/>
      <c r="V628" s="45"/>
      <c r="Y628" s="45"/>
      <c r="Z628" s="47"/>
      <c r="AA628" s="164"/>
      <c r="AB628" s="164"/>
      <c r="AC628" s="47"/>
      <c r="AD628" s="47"/>
      <c r="AE628" s="45"/>
      <c r="AF628" s="45"/>
      <c r="AH628" s="51"/>
      <c r="AI628" s="45"/>
      <c r="AJ628" s="45"/>
      <c r="AL628" s="45"/>
      <c r="AM628" s="46"/>
      <c r="AN628" s="46"/>
    </row>
    <row r="629" spans="1:40">
      <c r="F629" s="45"/>
      <c r="H629" s="50"/>
      <c r="I629" s="50"/>
      <c r="J629" s="326"/>
      <c r="K629" s="326"/>
      <c r="L629" s="50"/>
      <c r="M629" s="50"/>
      <c r="N629" s="50"/>
      <c r="O629" s="50"/>
      <c r="P629" s="50"/>
      <c r="Q629" s="50"/>
      <c r="R629" s="50"/>
      <c r="V629" s="50"/>
      <c r="Y629" s="50"/>
      <c r="Z629" s="326"/>
      <c r="AA629" s="50"/>
      <c r="AB629" s="50"/>
      <c r="AC629" s="50"/>
      <c r="AD629" s="50"/>
      <c r="AE629" s="50"/>
      <c r="AF629" s="50"/>
      <c r="AI629" s="50"/>
      <c r="AJ629" s="50"/>
      <c r="AK629" s="111"/>
      <c r="AL629" s="50"/>
      <c r="AM629" s="46"/>
      <c r="AN629" s="46"/>
    </row>
    <row r="630" spans="1:40">
      <c r="C630" s="42"/>
      <c r="F630" s="50"/>
      <c r="H630" s="45"/>
      <c r="I630" s="45"/>
      <c r="J630" s="47"/>
      <c r="K630" s="47"/>
      <c r="L630" s="45"/>
      <c r="M630" s="45"/>
      <c r="N630" s="47"/>
      <c r="O630" s="47"/>
      <c r="P630" s="45"/>
      <c r="Q630" s="45"/>
      <c r="R630" s="45"/>
      <c r="T630" s="42"/>
      <c r="V630" s="45"/>
      <c r="Y630" s="45"/>
      <c r="Z630" s="47"/>
      <c r="AA630" s="45"/>
      <c r="AB630" s="45"/>
      <c r="AC630" s="47"/>
      <c r="AD630" s="47"/>
      <c r="AE630" s="45"/>
      <c r="AF630" s="45"/>
      <c r="AH630" s="51"/>
      <c r="AI630" s="45"/>
      <c r="AJ630" s="45"/>
      <c r="AL630" s="45"/>
      <c r="AM630" s="46"/>
      <c r="AN630" s="46"/>
    </row>
    <row r="631" spans="1:40">
      <c r="F631" s="45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V631" s="45"/>
      <c r="Y631" s="45"/>
      <c r="Z631" s="47"/>
      <c r="AA631" s="45"/>
      <c r="AB631" s="45"/>
      <c r="AC631" s="47"/>
      <c r="AD631" s="47"/>
      <c r="AH631" s="51"/>
      <c r="AI631" s="45"/>
      <c r="AJ631" s="45"/>
      <c r="AL631" s="45"/>
      <c r="AM631" s="46"/>
      <c r="AN631" s="46"/>
    </row>
    <row r="632" spans="1:40">
      <c r="C632" s="42"/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T632" s="42"/>
      <c r="V632" s="45"/>
      <c r="Y632" s="45"/>
      <c r="Z632" s="47"/>
      <c r="AA632" s="45"/>
      <c r="AB632" s="45"/>
      <c r="AC632" s="47"/>
      <c r="AD632" s="47"/>
      <c r="AE632" s="45"/>
      <c r="AF632" s="45"/>
      <c r="AH632" s="51"/>
      <c r="AI632" s="45"/>
      <c r="AJ632" s="45"/>
      <c r="AL632" s="45"/>
      <c r="AM632" s="46"/>
      <c r="AN632" s="46"/>
    </row>
    <row r="633" spans="1:40">
      <c r="F633" s="45"/>
      <c r="H633" s="50"/>
      <c r="I633" s="50"/>
      <c r="J633" s="326"/>
      <c r="K633" s="326"/>
      <c r="L633" s="50"/>
      <c r="M633" s="50"/>
      <c r="N633" s="50"/>
      <c r="O633" s="50"/>
      <c r="P633" s="50"/>
      <c r="Q633" s="50"/>
      <c r="R633" s="50"/>
      <c r="V633" s="50"/>
      <c r="Y633" s="50"/>
      <c r="Z633" s="326"/>
      <c r="AA633" s="50"/>
      <c r="AB633" s="50"/>
      <c r="AC633" s="50"/>
      <c r="AD633" s="50"/>
      <c r="AE633" s="50"/>
      <c r="AF633" s="50"/>
      <c r="AI633" s="50"/>
      <c r="AJ633" s="50"/>
      <c r="AK633" s="111"/>
      <c r="AL633" s="50"/>
    </row>
    <row r="635" spans="1:40">
      <c r="C635" s="42"/>
      <c r="F635" s="50"/>
      <c r="L635" s="45"/>
      <c r="M635" s="45"/>
      <c r="P635" s="45"/>
      <c r="Q635" s="45"/>
      <c r="R635" s="45"/>
      <c r="T635" s="42"/>
    </row>
    <row r="636" spans="1:40">
      <c r="A636" s="42"/>
      <c r="L636" s="45"/>
      <c r="M636" s="45"/>
      <c r="P636" s="45"/>
      <c r="Q636" s="45"/>
      <c r="R636" s="45"/>
    </row>
    <row r="637" spans="1:40">
      <c r="L637" s="45"/>
      <c r="M637" s="45"/>
      <c r="P637" s="45"/>
      <c r="Q637" s="45"/>
      <c r="R637" s="45"/>
    </row>
    <row r="638" spans="1:40">
      <c r="L638" s="45"/>
      <c r="M638" s="45"/>
      <c r="P638" s="45"/>
      <c r="Q638" s="45"/>
      <c r="R638" s="45"/>
    </row>
    <row r="639" spans="1:40">
      <c r="L639" s="45"/>
      <c r="M639" s="45"/>
      <c r="P639" s="45"/>
      <c r="Q639" s="45"/>
      <c r="R639" s="45"/>
    </row>
    <row r="640" spans="1:40">
      <c r="L640" s="45"/>
      <c r="M640" s="45"/>
      <c r="P640" s="45"/>
      <c r="Q640" s="45"/>
      <c r="R640" s="45"/>
    </row>
    <row r="641" spans="12:18">
      <c r="L641" s="45"/>
      <c r="M641" s="45"/>
      <c r="P641" s="45"/>
      <c r="Q641" s="45"/>
      <c r="R641" s="45"/>
    </row>
    <row r="674" spans="49:49">
      <c r="AW674" s="45"/>
    </row>
    <row r="675" spans="49:49">
      <c r="AW675" s="45"/>
    </row>
    <row r="676" spans="49:49">
      <c r="AW676" s="45"/>
    </row>
    <row r="677" spans="49:49">
      <c r="AW677" s="45"/>
    </row>
    <row r="678" spans="49:49">
      <c r="AW678" s="45"/>
    </row>
    <row r="679" spans="49:49">
      <c r="AW679" s="45"/>
    </row>
    <row r="682" spans="49:49">
      <c r="AW682" s="45"/>
    </row>
    <row r="683" spans="49:49">
      <c r="AW683" s="45"/>
    </row>
    <row r="684" spans="49:49">
      <c r="AW684" s="45"/>
    </row>
    <row r="685" spans="49:49">
      <c r="AW685" s="45"/>
    </row>
    <row r="686" spans="49:49">
      <c r="AW686" s="45"/>
    </row>
    <row r="687" spans="49:49">
      <c r="AW687" s="45"/>
    </row>
    <row r="688" spans="49:49">
      <c r="AW688" s="45"/>
    </row>
    <row r="689" spans="49:49">
      <c r="AW689" s="45"/>
    </row>
    <row r="692" spans="49:49">
      <c r="AW692" s="45"/>
    </row>
    <row r="693" spans="49:49">
      <c r="AW693" s="45"/>
    </row>
    <row r="696" spans="49:49">
      <c r="AW696" s="45"/>
    </row>
    <row r="697" spans="49:49">
      <c r="AW697" s="45"/>
    </row>
    <row r="698" spans="49:49">
      <c r="AW698" s="45"/>
    </row>
    <row r="699" spans="49:49">
      <c r="AW699" s="45"/>
    </row>
    <row r="707" spans="45:69">
      <c r="AY707" s="42"/>
    </row>
    <row r="708" spans="45:69">
      <c r="AY708" s="42"/>
    </row>
    <row r="709" spans="45:69">
      <c r="BD709" s="42"/>
    </row>
    <row r="710" spans="45:69">
      <c r="BD710" s="42"/>
    </row>
    <row r="711" spans="45:69">
      <c r="AS711" s="42"/>
      <c r="BD711" s="42"/>
    </row>
    <row r="713" spans="45:69"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49"/>
    </row>
    <row r="714" spans="45:69">
      <c r="AX714" s="42"/>
    </row>
    <row r="715" spans="45:69">
      <c r="AX715" s="49"/>
      <c r="AY715" s="49"/>
      <c r="AZ715" s="49"/>
      <c r="BA715" s="49"/>
      <c r="BC715" s="44"/>
      <c r="BD715" s="44"/>
    </row>
    <row r="716" spans="45:69">
      <c r="AV716" s="44"/>
      <c r="AW716" s="44"/>
      <c r="AZ716" s="44"/>
      <c r="BA716" s="44"/>
      <c r="BC716" s="44"/>
      <c r="BD716" s="44"/>
      <c r="BE716" s="44"/>
      <c r="BG716" s="49"/>
      <c r="BH716" s="42"/>
      <c r="BK716" s="49"/>
      <c r="BM716" s="49"/>
      <c r="BN716" s="42"/>
      <c r="BQ716" s="49"/>
    </row>
    <row r="717" spans="45:69"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H717" s="44"/>
      <c r="BI717" s="44"/>
      <c r="BJ717" s="44"/>
      <c r="BN717" s="44"/>
      <c r="BO717" s="44"/>
      <c r="BP717" s="44"/>
    </row>
    <row r="718" spans="45:69">
      <c r="AS718" s="44"/>
      <c r="AU718" s="42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G718" s="44"/>
      <c r="BH718" s="44"/>
      <c r="BI718" s="44"/>
      <c r="BJ718" s="44"/>
      <c r="BK718" s="44"/>
      <c r="BM718" s="44"/>
      <c r="BN718" s="44"/>
      <c r="BO718" s="44"/>
      <c r="BP718" s="44"/>
      <c r="BQ718" s="44"/>
    </row>
    <row r="719" spans="45:69">
      <c r="AS719" s="44"/>
      <c r="AU719" s="42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G719" s="44"/>
      <c r="BH719" s="44"/>
      <c r="BI719" s="44"/>
      <c r="BJ719" s="44"/>
      <c r="BK719" s="44"/>
      <c r="BM719" s="44"/>
      <c r="BN719" s="44"/>
      <c r="BO719" s="44"/>
      <c r="BP719" s="44"/>
      <c r="BQ719" s="44"/>
    </row>
    <row r="720" spans="45:69"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G720" s="49"/>
      <c r="BH720" s="49"/>
      <c r="BI720" s="49"/>
      <c r="BJ720" s="49"/>
      <c r="BK720" s="49"/>
      <c r="BM720" s="49"/>
      <c r="BN720" s="49"/>
      <c r="BO720" s="49"/>
      <c r="BP720" s="49"/>
      <c r="BQ720" s="49"/>
    </row>
    <row r="721" spans="47:69"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</row>
    <row r="722" spans="47:69">
      <c r="AU722" s="42"/>
      <c r="AV722" s="44"/>
      <c r="AY722" s="47"/>
    </row>
    <row r="723" spans="47:69">
      <c r="AV723" s="44"/>
      <c r="AW723" s="45"/>
      <c r="AX723" s="56"/>
      <c r="AY723" s="56"/>
      <c r="AZ723" s="56"/>
      <c r="BA723" s="46"/>
      <c r="BB723" s="56"/>
      <c r="BC723" s="47"/>
      <c r="BD723" s="47"/>
      <c r="BE723" s="46"/>
      <c r="BG723" s="56"/>
      <c r="BH723" s="56"/>
      <c r="BI723" s="56"/>
      <c r="BJ723" s="56"/>
      <c r="BK723" s="56"/>
      <c r="BM723" s="56"/>
      <c r="BN723" s="56"/>
      <c r="BO723" s="56"/>
      <c r="BP723" s="56"/>
      <c r="BQ723" s="56"/>
    </row>
    <row r="724" spans="47:69">
      <c r="AV724" s="44"/>
      <c r="AW724" s="45"/>
      <c r="AX724" s="56"/>
      <c r="AY724" s="56"/>
      <c r="AZ724" s="56"/>
      <c r="BA724" s="46"/>
      <c r="BB724" s="56"/>
      <c r="BC724" s="47"/>
      <c r="BD724" s="47"/>
      <c r="BE724" s="46"/>
      <c r="BG724" s="56"/>
      <c r="BH724" s="56"/>
      <c r="BI724" s="56"/>
      <c r="BJ724" s="56"/>
      <c r="BK724" s="56"/>
      <c r="BM724" s="56"/>
      <c r="BN724" s="56"/>
      <c r="BO724" s="56"/>
      <c r="BP724" s="56"/>
      <c r="BQ724" s="56"/>
    </row>
    <row r="725" spans="47:69">
      <c r="AV725" s="44"/>
      <c r="AW725" s="45"/>
      <c r="AX725" s="56"/>
      <c r="AY725" s="56"/>
      <c r="AZ725" s="56"/>
      <c r="BA725" s="46"/>
      <c r="BB725" s="56"/>
      <c r="BC725" s="47"/>
      <c r="BD725" s="47"/>
      <c r="BE725" s="46"/>
      <c r="BG725" s="56"/>
      <c r="BH725" s="56"/>
      <c r="BI725" s="56"/>
      <c r="BJ725" s="56"/>
      <c r="BK725" s="56"/>
      <c r="BM725" s="56"/>
      <c r="BN725" s="56"/>
      <c r="BO725" s="56"/>
      <c r="BP725" s="56"/>
      <c r="BQ725" s="56"/>
    </row>
    <row r="726" spans="47:69">
      <c r="AV726" s="44"/>
      <c r="AW726" s="45"/>
      <c r="AX726" s="56"/>
      <c r="AY726" s="56"/>
      <c r="AZ726" s="56"/>
      <c r="BA726" s="46"/>
      <c r="BB726" s="56"/>
      <c r="BC726" s="47"/>
      <c r="BD726" s="47"/>
      <c r="BE726" s="46"/>
      <c r="BG726" s="56"/>
      <c r="BH726" s="56"/>
      <c r="BI726" s="56"/>
      <c r="BJ726" s="56"/>
      <c r="BK726" s="56"/>
      <c r="BM726" s="56"/>
      <c r="BN726" s="56"/>
      <c r="BO726" s="56"/>
      <c r="BP726" s="56"/>
      <c r="BQ726" s="56"/>
    </row>
    <row r="727" spans="47:69">
      <c r="AV727" s="44"/>
      <c r="AW727" s="45"/>
      <c r="AX727" s="56"/>
      <c r="AY727" s="56"/>
      <c r="AZ727" s="56"/>
      <c r="BA727" s="46"/>
      <c r="BB727" s="56"/>
      <c r="BC727" s="47"/>
      <c r="BD727" s="47"/>
      <c r="BE727" s="46"/>
      <c r="BG727" s="56"/>
      <c r="BH727" s="56"/>
      <c r="BI727" s="56"/>
      <c r="BJ727" s="56"/>
      <c r="BK727" s="56"/>
      <c r="BM727" s="56"/>
      <c r="BN727" s="56"/>
      <c r="BO727" s="56"/>
      <c r="BP727" s="56"/>
      <c r="BQ727" s="56"/>
    </row>
    <row r="728" spans="47:69">
      <c r="AV728" s="44"/>
      <c r="AW728" s="45"/>
      <c r="AX728" s="56"/>
      <c r="AY728" s="56"/>
      <c r="AZ728" s="56"/>
      <c r="BA728" s="46"/>
      <c r="BB728" s="56"/>
      <c r="BC728" s="47"/>
      <c r="BD728" s="47"/>
      <c r="BE728" s="46"/>
      <c r="BG728" s="56"/>
      <c r="BH728" s="56"/>
      <c r="BI728" s="56"/>
      <c r="BJ728" s="56"/>
      <c r="BK728" s="56"/>
      <c r="BM728" s="56"/>
      <c r="BN728" s="56"/>
      <c r="BO728" s="56"/>
      <c r="BP728" s="56"/>
      <c r="BQ728" s="56"/>
    </row>
    <row r="729" spans="47:69">
      <c r="AV729" s="44"/>
      <c r="AW729" s="45"/>
      <c r="AX729" s="56"/>
      <c r="AY729" s="56"/>
      <c r="AZ729" s="56"/>
      <c r="BA729" s="46"/>
      <c r="BB729" s="56"/>
      <c r="BC729" s="47"/>
      <c r="BD729" s="47"/>
      <c r="BE729" s="46"/>
      <c r="BG729" s="56"/>
      <c r="BH729" s="56"/>
      <c r="BI729" s="56"/>
      <c r="BJ729" s="56"/>
      <c r="BK729" s="56"/>
      <c r="BM729" s="56"/>
      <c r="BN729" s="56"/>
      <c r="BO729" s="56"/>
      <c r="BP729" s="56"/>
      <c r="BQ729" s="56"/>
    </row>
    <row r="730" spans="47:69">
      <c r="AY730" s="47"/>
      <c r="AZ730" s="56"/>
      <c r="BA730" s="46"/>
      <c r="BB730" s="56"/>
      <c r="BC730" s="47"/>
      <c r="BD730" s="47"/>
      <c r="BE730" s="46"/>
      <c r="BK730" s="56"/>
      <c r="BQ730" s="56"/>
    </row>
    <row r="731" spans="47:69">
      <c r="AV731" s="44"/>
      <c r="AY731" s="47"/>
      <c r="AZ731" s="56"/>
      <c r="BA731" s="46"/>
      <c r="BB731" s="56"/>
      <c r="BC731" s="47"/>
      <c r="BD731" s="47"/>
      <c r="BE731" s="46"/>
      <c r="BK731" s="56"/>
      <c r="BQ731" s="56"/>
    </row>
    <row r="732" spans="47:69">
      <c r="AV732" s="44"/>
      <c r="AW732" s="45"/>
      <c r="AX732" s="56"/>
      <c r="AY732" s="56"/>
      <c r="AZ732" s="56"/>
      <c r="BA732" s="46"/>
      <c r="BB732" s="56"/>
      <c r="BC732" s="47"/>
      <c r="BD732" s="47"/>
      <c r="BE732" s="46"/>
      <c r="BG732" s="56"/>
      <c r="BH732" s="56"/>
      <c r="BI732" s="56"/>
      <c r="BJ732" s="56"/>
      <c r="BK732" s="56"/>
      <c r="BM732" s="56"/>
      <c r="BN732" s="56"/>
      <c r="BO732" s="56"/>
      <c r="BP732" s="56"/>
      <c r="BQ732" s="56"/>
    </row>
    <row r="733" spans="47:69">
      <c r="AV733" s="44"/>
      <c r="AW733" s="45"/>
      <c r="AX733" s="56"/>
      <c r="AY733" s="56"/>
      <c r="AZ733" s="56"/>
      <c r="BA733" s="46"/>
      <c r="BB733" s="56"/>
      <c r="BC733" s="47"/>
      <c r="BD733" s="47"/>
      <c r="BE733" s="46"/>
      <c r="BG733" s="56"/>
      <c r="BH733" s="56"/>
      <c r="BI733" s="56"/>
      <c r="BJ733" s="56"/>
      <c r="BK733" s="56"/>
      <c r="BM733" s="56"/>
      <c r="BN733" s="56"/>
      <c r="BO733" s="56"/>
      <c r="BP733" s="56"/>
      <c r="BQ733" s="56"/>
    </row>
    <row r="734" spans="47:69">
      <c r="AV734" s="44"/>
      <c r="AW734" s="45"/>
      <c r="AX734" s="56"/>
      <c r="AY734" s="56"/>
      <c r="AZ734" s="56"/>
      <c r="BA734" s="46"/>
      <c r="BB734" s="56"/>
      <c r="BC734" s="47"/>
      <c r="BD734" s="47"/>
      <c r="BE734" s="46"/>
      <c r="BG734" s="56"/>
      <c r="BH734" s="56"/>
      <c r="BI734" s="56"/>
      <c r="BJ734" s="56"/>
      <c r="BK734" s="56"/>
      <c r="BM734" s="56"/>
      <c r="BN734" s="56"/>
      <c r="BO734" s="56"/>
      <c r="BP734" s="56"/>
      <c r="BQ734" s="56"/>
    </row>
    <row r="735" spans="47:69">
      <c r="AV735" s="44"/>
      <c r="AW735" s="45"/>
      <c r="AX735" s="56"/>
      <c r="AY735" s="56"/>
      <c r="AZ735" s="56"/>
      <c r="BA735" s="46"/>
      <c r="BB735" s="56"/>
      <c r="BC735" s="47"/>
      <c r="BD735" s="47"/>
      <c r="BE735" s="46"/>
      <c r="BG735" s="56"/>
      <c r="BH735" s="56"/>
      <c r="BI735" s="56"/>
      <c r="BJ735" s="56"/>
      <c r="BK735" s="56"/>
      <c r="BM735" s="56"/>
      <c r="BN735" s="56"/>
      <c r="BO735" s="56"/>
      <c r="BP735" s="56"/>
      <c r="BQ735" s="56"/>
    </row>
    <row r="736" spans="47:69">
      <c r="AV736" s="44"/>
      <c r="AW736" s="45"/>
      <c r="AX736" s="56"/>
      <c r="AY736" s="56"/>
      <c r="AZ736" s="56"/>
      <c r="BA736" s="46"/>
      <c r="BB736" s="56"/>
      <c r="BC736" s="47"/>
      <c r="BD736" s="47"/>
      <c r="BE736" s="46"/>
      <c r="BG736" s="56"/>
      <c r="BH736" s="56"/>
      <c r="BI736" s="56"/>
      <c r="BJ736" s="56"/>
      <c r="BK736" s="56"/>
      <c r="BM736" s="56"/>
      <c r="BN736" s="56"/>
      <c r="BO736" s="56"/>
      <c r="BP736" s="56"/>
      <c r="BQ736" s="56"/>
    </row>
    <row r="737" spans="45:69">
      <c r="AV737" s="44"/>
      <c r="AW737" s="45"/>
      <c r="AX737" s="56"/>
      <c r="AY737" s="56"/>
      <c r="AZ737" s="56"/>
      <c r="BA737" s="46"/>
      <c r="BB737" s="56"/>
      <c r="BC737" s="47"/>
      <c r="BD737" s="47"/>
      <c r="BE737" s="46"/>
      <c r="BG737" s="56"/>
      <c r="BH737" s="56"/>
      <c r="BI737" s="56"/>
      <c r="BJ737" s="56"/>
      <c r="BK737" s="56"/>
      <c r="BM737" s="56"/>
      <c r="BN737" s="56"/>
      <c r="BO737" s="56"/>
      <c r="BP737" s="56"/>
      <c r="BQ737" s="56"/>
    </row>
    <row r="738" spans="45:69">
      <c r="AV738" s="44"/>
      <c r="AW738" s="45"/>
      <c r="AX738" s="56"/>
      <c r="AY738" s="56"/>
      <c r="AZ738" s="56"/>
      <c r="BA738" s="46"/>
      <c r="BB738" s="56"/>
      <c r="BC738" s="47"/>
      <c r="BD738" s="47"/>
      <c r="BE738" s="46"/>
      <c r="BG738" s="56"/>
      <c r="BH738" s="56"/>
      <c r="BI738" s="56"/>
      <c r="BJ738" s="56"/>
      <c r="BK738" s="56"/>
      <c r="BM738" s="56"/>
      <c r="BN738" s="56"/>
      <c r="BO738" s="56"/>
      <c r="BP738" s="56"/>
      <c r="BQ738" s="56"/>
    </row>
    <row r="739" spans="45:69">
      <c r="AV739" s="44"/>
      <c r="AW739" s="45"/>
      <c r="AX739" s="56"/>
      <c r="AY739" s="56"/>
      <c r="AZ739" s="56"/>
      <c r="BA739" s="46"/>
      <c r="BB739" s="56"/>
      <c r="BC739" s="47"/>
      <c r="BD739" s="47"/>
      <c r="BE739" s="46"/>
      <c r="BG739" s="56"/>
      <c r="BH739" s="56"/>
      <c r="BI739" s="56"/>
      <c r="BJ739" s="56"/>
      <c r="BK739" s="56"/>
      <c r="BM739" s="56"/>
      <c r="BN739" s="56"/>
      <c r="BO739" s="56"/>
      <c r="BP739" s="56"/>
      <c r="BQ739" s="56"/>
    </row>
    <row r="740" spans="45:69">
      <c r="AY740" s="47"/>
      <c r="AZ740" s="56"/>
      <c r="BA740" s="46"/>
      <c r="BB740" s="56"/>
      <c r="BC740" s="47"/>
      <c r="BD740" s="47"/>
      <c r="BE740" s="46"/>
      <c r="BK740" s="56"/>
      <c r="BQ740" s="56"/>
    </row>
    <row r="741" spans="45:69">
      <c r="AU741" s="42"/>
      <c r="AZ741" s="56"/>
      <c r="BB741" s="56"/>
      <c r="BG741" s="56"/>
      <c r="BH741" s="56"/>
      <c r="BJ741" s="56"/>
      <c r="BK741" s="56"/>
    </row>
    <row r="742" spans="45:69">
      <c r="AZ742" s="56"/>
      <c r="BB742" s="56"/>
    </row>
    <row r="743" spans="45:69">
      <c r="AS743" s="42"/>
      <c r="AZ743" s="56"/>
      <c r="BB743" s="56"/>
      <c r="BI743" s="56"/>
    </row>
    <row r="744" spans="45:69">
      <c r="AZ744" s="56"/>
      <c r="BB744" s="56"/>
    </row>
    <row r="745" spans="45:69">
      <c r="AY745" s="56"/>
      <c r="BB745" s="56"/>
    </row>
    <row r="746" spans="45:69">
      <c r="AY746" s="42"/>
      <c r="AZ746" s="56"/>
      <c r="BB746" s="56"/>
    </row>
    <row r="747" spans="45:69">
      <c r="AY747" s="42"/>
      <c r="AZ747" s="56"/>
      <c r="BB747" s="56"/>
    </row>
    <row r="748" spans="45:69">
      <c r="AZ748" s="56"/>
      <c r="BB748" s="56"/>
      <c r="BD748" s="42"/>
    </row>
    <row r="749" spans="45:69">
      <c r="AZ749" s="56"/>
      <c r="BB749" s="56"/>
      <c r="BD749" s="42"/>
    </row>
    <row r="750" spans="45:69">
      <c r="AS750" s="42"/>
      <c r="AZ750" s="56"/>
      <c r="BB750" s="56"/>
      <c r="BD750" s="42"/>
    </row>
    <row r="751" spans="45:69">
      <c r="AZ751" s="56"/>
      <c r="BB751" s="56"/>
    </row>
    <row r="752" spans="45:69">
      <c r="AS752" s="49"/>
      <c r="AT752" s="49"/>
      <c r="AU752" s="49"/>
      <c r="AV752" s="49"/>
      <c r="AW752" s="49"/>
      <c r="AX752" s="49"/>
      <c r="AY752" s="49"/>
      <c r="AZ752" s="57"/>
      <c r="BA752" s="49"/>
      <c r="BB752" s="57"/>
      <c r="BC752" s="49"/>
      <c r="BD752" s="49"/>
      <c r="BE752" s="49"/>
    </row>
    <row r="753" spans="45:75">
      <c r="AX753" s="42"/>
      <c r="AZ753" s="56"/>
      <c r="BB753" s="56"/>
    </row>
    <row r="754" spans="45:75">
      <c r="AX754" s="49"/>
      <c r="AY754" s="49"/>
      <c r="AZ754" s="57"/>
      <c r="BA754" s="49"/>
      <c r="BB754" s="56"/>
      <c r="BC754" s="44"/>
      <c r="BD754" s="44"/>
    </row>
    <row r="755" spans="45:75">
      <c r="AV755" s="44"/>
      <c r="AW755" s="44"/>
      <c r="AZ755" s="58"/>
      <c r="BA755" s="44"/>
      <c r="BB755" s="56"/>
      <c r="BC755" s="44"/>
      <c r="BD755" s="44"/>
      <c r="BE755" s="44"/>
      <c r="BG755" s="49"/>
      <c r="BH755" s="49"/>
      <c r="BI755" s="42"/>
      <c r="BM755" s="49"/>
      <c r="BN755" s="49"/>
      <c r="BP755" s="49"/>
      <c r="BQ755" s="49"/>
      <c r="BR755" s="42"/>
      <c r="BV755" s="49"/>
      <c r="BW755" s="49"/>
    </row>
    <row r="756" spans="45:75">
      <c r="AV756" s="44"/>
      <c r="AW756" s="44"/>
      <c r="AX756" s="44"/>
      <c r="AY756" s="44"/>
      <c r="AZ756" s="58"/>
      <c r="BA756" s="44"/>
      <c r="BB756" s="58"/>
      <c r="BC756" s="44"/>
      <c r="BD756" s="44"/>
      <c r="BE756" s="44"/>
      <c r="BH756" s="44"/>
      <c r="BI756" s="44"/>
      <c r="BJ756" s="44"/>
      <c r="BK756" s="44"/>
      <c r="BL756" s="44"/>
      <c r="BM756" s="44"/>
      <c r="BQ756" s="44"/>
      <c r="BR756" s="44"/>
      <c r="BS756" s="44"/>
      <c r="BT756" s="44"/>
      <c r="BU756" s="44"/>
      <c r="BV756" s="44"/>
    </row>
    <row r="757" spans="45:75">
      <c r="AS757" s="44"/>
      <c r="AU757" s="42"/>
      <c r="AV757" s="44"/>
      <c r="AW757" s="44"/>
      <c r="AX757" s="44"/>
      <c r="AY757" s="44"/>
      <c r="AZ757" s="58"/>
      <c r="BA757" s="44"/>
      <c r="BB757" s="58"/>
      <c r="BC757" s="44"/>
      <c r="BD757" s="44"/>
      <c r="BE757" s="44"/>
      <c r="BG757" s="44"/>
      <c r="BH757" s="44"/>
      <c r="BI757" s="44"/>
      <c r="BJ757" s="44"/>
      <c r="BK757" s="44"/>
      <c r="BL757" s="44"/>
      <c r="BM757" s="44"/>
      <c r="BN757" s="44"/>
      <c r="BP757" s="44"/>
      <c r="BQ757" s="44"/>
      <c r="BR757" s="44"/>
      <c r="BS757" s="44"/>
      <c r="BT757" s="44"/>
      <c r="BU757" s="44"/>
      <c r="BV757" s="44"/>
      <c r="BW757" s="44"/>
    </row>
    <row r="758" spans="45:75">
      <c r="AS758" s="44"/>
      <c r="AU758" s="42"/>
      <c r="AV758" s="44"/>
      <c r="AW758" s="44"/>
      <c r="AX758" s="44"/>
      <c r="AY758" s="44"/>
      <c r="AZ758" s="58"/>
      <c r="BA758" s="44"/>
      <c r="BB758" s="58"/>
      <c r="BC758" s="44"/>
      <c r="BD758" s="44"/>
      <c r="BE758" s="44"/>
      <c r="BG758" s="44"/>
      <c r="BH758" s="44"/>
      <c r="BI758" s="44"/>
      <c r="BJ758" s="44"/>
      <c r="BK758" s="44"/>
      <c r="BL758" s="44"/>
      <c r="BM758" s="44"/>
      <c r="BN758" s="44"/>
      <c r="BP758" s="44"/>
      <c r="BQ758" s="44"/>
      <c r="BR758" s="44"/>
      <c r="BS758" s="44"/>
      <c r="BT758" s="44"/>
      <c r="BU758" s="44"/>
      <c r="BV758" s="44"/>
      <c r="BW758" s="44"/>
    </row>
    <row r="759" spans="45:75">
      <c r="AS759" s="49"/>
      <c r="AT759" s="49"/>
      <c r="AU759" s="49"/>
      <c r="AV759" s="49"/>
      <c r="AW759" s="49"/>
      <c r="AX759" s="49"/>
      <c r="AY759" s="49"/>
      <c r="AZ759" s="57"/>
      <c r="BA759" s="49"/>
      <c r="BB759" s="57"/>
      <c r="BC759" s="49"/>
      <c r="BD759" s="49"/>
      <c r="BE759" s="49"/>
      <c r="BG759" s="49"/>
      <c r="BH759" s="49"/>
      <c r="BI759" s="49"/>
      <c r="BJ759" s="49"/>
      <c r="BK759" s="49"/>
      <c r="BL759" s="49"/>
      <c r="BM759" s="49"/>
      <c r="BN759" s="49"/>
      <c r="BP759" s="49"/>
      <c r="BQ759" s="49"/>
      <c r="BR759" s="49"/>
      <c r="BS759" s="49"/>
      <c r="BT759" s="49"/>
      <c r="BU759" s="49"/>
      <c r="BV759" s="49"/>
      <c r="BW759" s="49"/>
    </row>
    <row r="760" spans="45:75">
      <c r="AV760" s="44"/>
      <c r="AW760" s="44"/>
      <c r="AX760" s="44"/>
      <c r="AY760" s="44"/>
      <c r="AZ760" s="58"/>
      <c r="BA760" s="44"/>
      <c r="BB760" s="58"/>
      <c r="BC760" s="44"/>
      <c r="BD760" s="44"/>
      <c r="BE760" s="44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</row>
    <row r="761" spans="45:75">
      <c r="AU761" s="42"/>
      <c r="AW761" s="45"/>
      <c r="AX761" s="56"/>
      <c r="AY761" s="56"/>
      <c r="AZ761" s="56"/>
      <c r="BA761" s="51"/>
      <c r="BB761" s="56"/>
      <c r="BC761" s="56"/>
      <c r="BD761" s="56"/>
      <c r="BE761" s="51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</row>
    <row r="762" spans="45:75">
      <c r="AW762" s="45"/>
      <c r="AX762" s="56"/>
      <c r="AY762" s="56"/>
      <c r="AZ762" s="56"/>
      <c r="BA762" s="51"/>
      <c r="BB762" s="56"/>
      <c r="BC762" s="56"/>
      <c r="BD762" s="56"/>
      <c r="BE762" s="51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</row>
    <row r="763" spans="45:75">
      <c r="AW763" s="45"/>
      <c r="AX763" s="56"/>
      <c r="AY763" s="56"/>
      <c r="AZ763" s="56"/>
      <c r="BA763" s="51"/>
      <c r="BB763" s="56"/>
      <c r="BC763" s="56"/>
      <c r="BD763" s="56"/>
      <c r="BE763" s="51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</row>
    <row r="764" spans="45:75">
      <c r="AW764" s="45"/>
      <c r="AX764" s="56"/>
      <c r="AY764" s="56"/>
      <c r="AZ764" s="56"/>
      <c r="BA764" s="51"/>
      <c r="BB764" s="56"/>
      <c r="BC764" s="56"/>
      <c r="BD764" s="56"/>
      <c r="BE764" s="51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</row>
    <row r="765" spans="45:75">
      <c r="AW765" s="45"/>
      <c r="AX765" s="56"/>
      <c r="AY765" s="56"/>
      <c r="AZ765" s="56"/>
      <c r="BA765" s="51"/>
      <c r="BB765" s="56"/>
      <c r="BC765" s="56"/>
      <c r="BD765" s="56"/>
      <c r="BE765" s="51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</row>
    <row r="766" spans="45:75">
      <c r="AW766" s="45"/>
      <c r="AX766" s="56"/>
      <c r="AY766" s="56"/>
      <c r="AZ766" s="56"/>
      <c r="BA766" s="51"/>
      <c r="BB766" s="56"/>
      <c r="BC766" s="56"/>
      <c r="BD766" s="56"/>
      <c r="BE766" s="51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</row>
    <row r="767" spans="45:75">
      <c r="AW767" s="45"/>
      <c r="AX767" s="56"/>
      <c r="AY767" s="56"/>
      <c r="AZ767" s="56"/>
      <c r="BA767" s="51"/>
      <c r="BB767" s="56"/>
      <c r="BC767" s="56"/>
      <c r="BD767" s="56"/>
      <c r="BE767" s="51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</row>
    <row r="768" spans="45:75">
      <c r="AW768" s="45"/>
      <c r="AX768" s="56"/>
      <c r="AY768" s="56"/>
      <c r="AZ768" s="56"/>
      <c r="BA768" s="51"/>
      <c r="BB768" s="56"/>
      <c r="BC768" s="56"/>
      <c r="BD768" s="56"/>
      <c r="BE768" s="51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</row>
    <row r="769" spans="47:75">
      <c r="AW769" s="45"/>
      <c r="AX769" s="56"/>
      <c r="AY769" s="56"/>
      <c r="AZ769" s="56"/>
      <c r="BA769" s="51"/>
      <c r="BB769" s="56"/>
      <c r="BC769" s="56"/>
      <c r="BD769" s="56"/>
      <c r="BE769" s="51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</row>
    <row r="770" spans="47:75">
      <c r="AW770" s="45"/>
      <c r="AX770" s="56"/>
      <c r="AY770" s="56"/>
      <c r="AZ770" s="56"/>
      <c r="BA770" s="51"/>
      <c r="BB770" s="56"/>
      <c r="BC770" s="56"/>
      <c r="BD770" s="56"/>
      <c r="BE770" s="51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</row>
    <row r="771" spans="47:75">
      <c r="AW771" s="45"/>
      <c r="AX771" s="56"/>
      <c r="AY771" s="56"/>
      <c r="AZ771" s="56"/>
      <c r="BA771" s="51"/>
      <c r="BB771" s="56"/>
      <c r="BC771" s="56"/>
      <c r="BD771" s="56"/>
      <c r="BE771" s="51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</row>
    <row r="772" spans="47:75">
      <c r="AW772" s="45"/>
      <c r="AX772" s="56"/>
      <c r="AY772" s="56"/>
      <c r="AZ772" s="56"/>
      <c r="BA772" s="51"/>
      <c r="BB772" s="56"/>
      <c r="BC772" s="56"/>
      <c r="BD772" s="56"/>
      <c r="BE772" s="51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</row>
    <row r="773" spans="47:75">
      <c r="AW773" s="45"/>
      <c r="AX773" s="56"/>
      <c r="AY773" s="56"/>
      <c r="AZ773" s="56"/>
      <c r="BA773" s="51"/>
      <c r="BB773" s="56"/>
      <c r="BC773" s="56"/>
      <c r="BD773" s="56"/>
      <c r="BE773" s="51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</row>
    <row r="774" spans="47:75">
      <c r="AW774" s="45"/>
      <c r="AX774" s="56"/>
      <c r="AY774" s="56"/>
      <c r="AZ774" s="56"/>
      <c r="BA774" s="51"/>
      <c r="BB774" s="56"/>
      <c r="BC774" s="56"/>
      <c r="BD774" s="56"/>
      <c r="BE774" s="51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</row>
    <row r="775" spans="47:75">
      <c r="AW775" s="45"/>
      <c r="AX775" s="56"/>
      <c r="AY775" s="56"/>
      <c r="AZ775" s="56"/>
      <c r="BA775" s="51"/>
      <c r="BB775" s="56"/>
      <c r="BC775" s="56"/>
      <c r="BD775" s="56"/>
      <c r="BE775" s="51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</row>
    <row r="776" spans="47:75">
      <c r="AW776" s="45"/>
      <c r="AX776" s="56"/>
      <c r="AY776" s="56"/>
      <c r="AZ776" s="56"/>
      <c r="BA776" s="51"/>
      <c r="BB776" s="56"/>
      <c r="BC776" s="56"/>
      <c r="BD776" s="56"/>
      <c r="BE776" s="51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</row>
    <row r="777" spans="47:75">
      <c r="AW777" s="45"/>
      <c r="AX777" s="56"/>
      <c r="AY777" s="56"/>
      <c r="AZ777" s="56"/>
      <c r="BA777" s="51"/>
      <c r="BB777" s="56"/>
      <c r="BC777" s="56"/>
      <c r="BD777" s="56"/>
      <c r="BE777" s="51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</row>
    <row r="778" spans="47:75">
      <c r="AW778" s="45"/>
      <c r="AX778" s="56"/>
      <c r="AY778" s="56"/>
      <c r="AZ778" s="56"/>
      <c r="BA778" s="51"/>
      <c r="BB778" s="56"/>
      <c r="BC778" s="56"/>
      <c r="BD778" s="56"/>
      <c r="BE778" s="51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</row>
    <row r="779" spans="47:75">
      <c r="AW779" s="45"/>
      <c r="AX779" s="56"/>
      <c r="AY779" s="56"/>
      <c r="AZ779" s="56"/>
      <c r="BA779" s="51"/>
      <c r="BB779" s="56"/>
      <c r="BC779" s="56"/>
      <c r="BD779" s="56"/>
      <c r="BE779" s="51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</row>
    <row r="780" spans="47:75">
      <c r="AW780" s="45"/>
      <c r="AX780" s="56"/>
      <c r="AY780" s="56"/>
      <c r="AZ780" s="56"/>
      <c r="BA780" s="51"/>
      <c r="BB780" s="56"/>
      <c r="BC780" s="56"/>
      <c r="BD780" s="56"/>
      <c r="BE780" s="51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</row>
    <row r="781" spans="47:75">
      <c r="AW781" s="45"/>
      <c r="AX781" s="56"/>
      <c r="AY781" s="56"/>
      <c r="AZ781" s="56"/>
      <c r="BA781" s="51"/>
      <c r="BB781" s="56"/>
      <c r="BC781" s="56"/>
      <c r="BD781" s="56"/>
      <c r="BE781" s="51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</row>
    <row r="782" spans="47:75">
      <c r="AW782" s="45"/>
      <c r="AX782" s="56"/>
      <c r="AY782" s="56"/>
      <c r="AZ782" s="56"/>
      <c r="BA782" s="51"/>
      <c r="BB782" s="56"/>
      <c r="BC782" s="56"/>
      <c r="BD782" s="56"/>
      <c r="BE782" s="51"/>
      <c r="BG782" s="49"/>
      <c r="BH782" s="49"/>
      <c r="BI782" s="42"/>
      <c r="BM782" s="49"/>
      <c r="BN782" s="49"/>
      <c r="BO782" s="56"/>
      <c r="BP782" s="49"/>
      <c r="BQ782" s="49"/>
      <c r="BR782" s="42"/>
      <c r="BV782" s="49"/>
      <c r="BW782" s="49"/>
    </row>
    <row r="783" spans="47:75">
      <c r="AU783" s="42"/>
      <c r="AV783" s="44"/>
      <c r="AW783" s="45"/>
      <c r="AX783" s="56"/>
      <c r="AY783" s="56"/>
      <c r="AZ783" s="56"/>
      <c r="BA783" s="51"/>
      <c r="BB783" s="56"/>
      <c r="BC783" s="56"/>
      <c r="BD783" s="56"/>
      <c r="BE783" s="51"/>
      <c r="BG783" s="58"/>
      <c r="BH783" s="56"/>
      <c r="BI783" s="56"/>
      <c r="BJ783" s="56"/>
      <c r="BK783" s="58"/>
      <c r="BL783" s="59"/>
      <c r="BM783" s="56"/>
      <c r="BN783" s="58"/>
      <c r="BO783" s="56"/>
      <c r="BP783" s="58"/>
      <c r="BQ783" s="56"/>
      <c r="BR783" s="56"/>
      <c r="BS783" s="56"/>
      <c r="BT783" s="58"/>
      <c r="BU783" s="59"/>
      <c r="BV783" s="56"/>
      <c r="BW783" s="58"/>
    </row>
    <row r="784" spans="47:75">
      <c r="AV784" s="44"/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9"/>
      <c r="BM784" s="56"/>
      <c r="BN784" s="56"/>
      <c r="BO784" s="56"/>
      <c r="BP784" s="56"/>
      <c r="BQ784" s="56"/>
      <c r="BR784" s="56"/>
      <c r="BS784" s="56"/>
      <c r="BT784" s="56"/>
      <c r="BU784" s="59"/>
      <c r="BV784" s="56"/>
      <c r="BW784" s="56"/>
    </row>
    <row r="785" spans="45:75">
      <c r="AV785" s="44"/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9"/>
      <c r="BM785" s="56"/>
      <c r="BN785" s="56"/>
      <c r="BO785" s="56"/>
      <c r="BP785" s="56"/>
      <c r="BQ785" s="56"/>
      <c r="BR785" s="56"/>
      <c r="BS785" s="56"/>
      <c r="BT785" s="56"/>
      <c r="BU785" s="59"/>
      <c r="BV785" s="56"/>
      <c r="BW785" s="56"/>
    </row>
    <row r="786" spans="45:75">
      <c r="AV786" s="44"/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9"/>
      <c r="BM786" s="56"/>
      <c r="BN786" s="56"/>
      <c r="BO786" s="56"/>
      <c r="BP786" s="56"/>
      <c r="BQ786" s="56"/>
      <c r="BR786" s="56"/>
      <c r="BS786" s="56"/>
      <c r="BT786" s="56"/>
      <c r="BU786" s="59"/>
      <c r="BV786" s="56"/>
      <c r="BW786" s="56"/>
    </row>
    <row r="787" spans="45:75"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</row>
    <row r="788" spans="45:75">
      <c r="AU788" s="42"/>
    </row>
    <row r="789" spans="45:75">
      <c r="AU789" s="42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</row>
    <row r="790" spans="45:75">
      <c r="AS790" s="42"/>
      <c r="AZ790" s="56"/>
      <c r="BB790" s="56"/>
    </row>
    <row r="791" spans="45:75">
      <c r="AZ791" s="56"/>
      <c r="BB791" s="56"/>
      <c r="BO791" s="56"/>
      <c r="BP791" s="56"/>
      <c r="BQ791" s="56"/>
      <c r="BR791" s="56"/>
      <c r="BS791" s="56"/>
      <c r="BT791" s="56"/>
      <c r="BU791" s="56"/>
      <c r="BV791" s="56"/>
    </row>
    <row r="792" spans="45:75">
      <c r="AY792" s="56"/>
      <c r="AZ792" s="56"/>
      <c r="BB792" s="56"/>
      <c r="BO792" s="56"/>
      <c r="BP792" s="56"/>
      <c r="BQ792" s="56"/>
      <c r="BR792" s="56"/>
      <c r="BS792" s="56"/>
      <c r="BT792" s="56"/>
      <c r="BU792" s="56"/>
      <c r="BV792" s="56"/>
    </row>
    <row r="793" spans="45:75">
      <c r="AY793" s="42"/>
      <c r="AZ793" s="56"/>
      <c r="BB793" s="56"/>
      <c r="BO793" s="56"/>
      <c r="BP793" s="56"/>
      <c r="BQ793" s="56"/>
      <c r="BR793" s="56"/>
      <c r="BS793" s="56"/>
      <c r="BT793" s="56"/>
      <c r="BU793" s="56"/>
      <c r="BV793" s="56"/>
    </row>
    <row r="794" spans="45:75">
      <c r="AY794" s="42"/>
      <c r="AZ794" s="56"/>
      <c r="BB794" s="56"/>
      <c r="BO794" s="56"/>
      <c r="BP794" s="56"/>
      <c r="BQ794" s="56"/>
      <c r="BR794" s="56"/>
      <c r="BS794" s="56"/>
      <c r="BT794" s="56"/>
      <c r="BU794" s="56"/>
      <c r="BV794" s="56"/>
    </row>
    <row r="795" spans="45:75">
      <c r="AZ795" s="56"/>
      <c r="BB795" s="56"/>
      <c r="BD795" s="42"/>
      <c r="BO795" s="56"/>
      <c r="BP795" s="56"/>
      <c r="BQ795" s="56"/>
      <c r="BR795" s="56"/>
      <c r="BS795" s="56"/>
      <c r="BT795" s="56"/>
      <c r="BU795" s="56"/>
      <c r="BV795" s="56"/>
    </row>
    <row r="796" spans="45:75">
      <c r="AZ796" s="56"/>
      <c r="BB796" s="56"/>
      <c r="BD796" s="42"/>
      <c r="BO796" s="56"/>
      <c r="BP796" s="56"/>
      <c r="BQ796" s="56"/>
      <c r="BR796" s="56"/>
      <c r="BS796" s="56"/>
      <c r="BT796" s="56"/>
      <c r="BU796" s="56"/>
      <c r="BV796" s="56"/>
    </row>
    <row r="797" spans="45:75">
      <c r="AS797" s="42"/>
      <c r="AZ797" s="56"/>
      <c r="BB797" s="56"/>
      <c r="BD797" s="42"/>
      <c r="BO797" s="56"/>
      <c r="BP797" s="56"/>
      <c r="BQ797" s="56"/>
      <c r="BR797" s="56"/>
      <c r="BS797" s="56"/>
      <c r="BT797" s="56"/>
      <c r="BU797" s="56"/>
      <c r="BV797" s="56"/>
    </row>
    <row r="798" spans="45:75">
      <c r="AZ798" s="56"/>
      <c r="BB798" s="56"/>
      <c r="BO798" s="56"/>
      <c r="BP798" s="56"/>
      <c r="BQ798" s="56"/>
      <c r="BR798" s="56"/>
      <c r="BS798" s="56"/>
      <c r="BT798" s="56"/>
      <c r="BU798" s="56"/>
      <c r="BV798" s="56"/>
    </row>
    <row r="799" spans="45:75">
      <c r="AS799" s="49"/>
      <c r="AT799" s="49"/>
      <c r="AU799" s="49"/>
      <c r="AV799" s="49"/>
      <c r="AW799" s="49"/>
      <c r="AX799" s="49"/>
      <c r="AY799" s="49"/>
      <c r="AZ799" s="57"/>
      <c r="BA799" s="49"/>
      <c r="BB799" s="57"/>
      <c r="BC799" s="49"/>
      <c r="BD799" s="49"/>
      <c r="BE799" s="49"/>
      <c r="BO799" s="56"/>
      <c r="BP799" s="56"/>
      <c r="BQ799" s="56"/>
      <c r="BR799" s="56"/>
      <c r="BS799" s="56"/>
      <c r="BT799" s="56"/>
      <c r="BU799" s="56"/>
      <c r="BV799" s="56"/>
    </row>
    <row r="800" spans="45:75">
      <c r="AX800" s="42"/>
      <c r="AZ800" s="56"/>
      <c r="BB800" s="56"/>
      <c r="BO800" s="56"/>
      <c r="BP800" s="56"/>
      <c r="BQ800" s="56"/>
      <c r="BR800" s="56"/>
      <c r="BS800" s="56"/>
      <c r="BT800" s="56"/>
      <c r="BU800" s="56"/>
      <c r="BV800" s="56"/>
    </row>
    <row r="801" spans="45:74">
      <c r="AX801" s="49"/>
      <c r="AY801" s="49"/>
      <c r="AZ801" s="57"/>
      <c r="BA801" s="49"/>
      <c r="BB801" s="56"/>
      <c r="BC801" s="44"/>
      <c r="BD801" s="44"/>
      <c r="BO801" s="56"/>
      <c r="BP801" s="56"/>
      <c r="BQ801" s="56"/>
      <c r="BR801" s="56"/>
      <c r="BS801" s="56"/>
      <c r="BT801" s="56"/>
      <c r="BU801" s="56"/>
      <c r="BV801" s="56"/>
    </row>
    <row r="802" spans="45:74">
      <c r="AV802" s="44"/>
      <c r="AW802" s="44"/>
      <c r="AZ802" s="58"/>
      <c r="BA802" s="44"/>
      <c r="BB802" s="56"/>
      <c r="BC802" s="44"/>
      <c r="BD802" s="44"/>
      <c r="BE802" s="44"/>
      <c r="BG802" s="49"/>
      <c r="BH802" s="42"/>
      <c r="BK802" s="49"/>
      <c r="BM802" s="49"/>
      <c r="BN802" s="42"/>
      <c r="BQ802" s="49"/>
    </row>
    <row r="803" spans="45:74">
      <c r="AV803" s="44"/>
      <c r="AW803" s="44"/>
      <c r="AX803" s="44"/>
      <c r="AY803" s="44"/>
      <c r="AZ803" s="58"/>
      <c r="BA803" s="44"/>
      <c r="BB803" s="58"/>
      <c r="BC803" s="44"/>
      <c r="BD803" s="44"/>
      <c r="BE803" s="44"/>
      <c r="BH803" s="44"/>
      <c r="BI803" s="44"/>
      <c r="BN803" s="44"/>
      <c r="BO803" s="44"/>
    </row>
    <row r="804" spans="45:74">
      <c r="AS804" s="44"/>
      <c r="AU804" s="42"/>
      <c r="AV804" s="44"/>
      <c r="AW804" s="44"/>
      <c r="AX804" s="44"/>
      <c r="AY804" s="44"/>
      <c r="AZ804" s="58"/>
      <c r="BA804" s="44"/>
      <c r="BB804" s="58"/>
      <c r="BC804" s="44"/>
      <c r="BD804" s="44"/>
      <c r="BE804" s="44"/>
      <c r="BG804" s="44"/>
      <c r="BH804" s="44"/>
      <c r="BI804" s="44"/>
      <c r="BJ804" s="44"/>
      <c r="BK804" s="44"/>
      <c r="BM804" s="44"/>
      <c r="BN804" s="44"/>
      <c r="BO804" s="44"/>
      <c r="BP804" s="44"/>
      <c r="BQ804" s="44"/>
    </row>
    <row r="805" spans="45:74">
      <c r="AS805" s="44"/>
      <c r="AU805" s="42"/>
      <c r="AV805" s="44"/>
      <c r="AW805" s="44"/>
      <c r="AX805" s="44"/>
      <c r="AY805" s="44"/>
      <c r="AZ805" s="58"/>
      <c r="BA805" s="44"/>
      <c r="BB805" s="58"/>
      <c r="BC805" s="44"/>
      <c r="BD805" s="44"/>
      <c r="BE805" s="44"/>
      <c r="BG805" s="44"/>
      <c r="BH805" s="44"/>
      <c r="BI805" s="44"/>
      <c r="BJ805" s="44"/>
      <c r="BK805" s="44"/>
      <c r="BM805" s="44"/>
      <c r="BN805" s="44"/>
      <c r="BO805" s="44"/>
      <c r="BP805" s="44"/>
      <c r="BQ805" s="44"/>
    </row>
    <row r="806" spans="45:74">
      <c r="AS806" s="49"/>
      <c r="AT806" s="49"/>
      <c r="AU806" s="49"/>
      <c r="AV806" s="49"/>
      <c r="AW806" s="49"/>
      <c r="AX806" s="49"/>
      <c r="AY806" s="49"/>
      <c r="AZ806" s="57"/>
      <c r="BA806" s="49"/>
      <c r="BB806" s="57"/>
      <c r="BC806" s="49"/>
      <c r="BD806" s="49"/>
      <c r="BE806" s="49"/>
      <c r="BG806" s="49"/>
      <c r="BH806" s="49"/>
      <c r="BI806" s="49"/>
      <c r="BJ806" s="49"/>
      <c r="BK806" s="49"/>
      <c r="BM806" s="49"/>
      <c r="BN806" s="49"/>
      <c r="BO806" s="49"/>
      <c r="BP806" s="49"/>
      <c r="BQ806" s="49"/>
    </row>
    <row r="807" spans="45:74">
      <c r="AV807" s="44"/>
      <c r="AW807" s="44"/>
      <c r="AX807" s="44"/>
      <c r="AY807" s="44"/>
      <c r="AZ807" s="58"/>
      <c r="BA807" s="44"/>
      <c r="BB807" s="58"/>
      <c r="BC807" s="44"/>
      <c r="BD807" s="44"/>
      <c r="BE807" s="44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</row>
    <row r="808" spans="45:74">
      <c r="AT808" s="42"/>
      <c r="AV808" s="45"/>
      <c r="AW808" s="45"/>
      <c r="AX808" s="56"/>
      <c r="AY808" s="56"/>
      <c r="AZ808" s="56"/>
      <c r="BA808" s="51"/>
      <c r="BB808" s="56"/>
      <c r="BC808" s="56"/>
      <c r="BD808" s="56"/>
      <c r="BE808" s="51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</row>
    <row r="809" spans="45:74">
      <c r="AV809" s="45"/>
      <c r="AW809" s="45"/>
      <c r="AX809" s="56"/>
      <c r="AY809" s="56"/>
      <c r="AZ809" s="56"/>
      <c r="BA809" s="51"/>
      <c r="BB809" s="56"/>
      <c r="BC809" s="56"/>
      <c r="BD809" s="56"/>
      <c r="BE809" s="51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</row>
    <row r="810" spans="45:74">
      <c r="AV810" s="45"/>
      <c r="AW810" s="45"/>
      <c r="AX810" s="56"/>
      <c r="AY810" s="56"/>
      <c r="AZ810" s="56"/>
      <c r="BA810" s="51"/>
      <c r="BB810" s="56"/>
      <c r="BC810" s="56"/>
      <c r="BD810" s="56"/>
      <c r="BE810" s="51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</row>
    <row r="811" spans="45:74">
      <c r="AV811" s="45"/>
      <c r="AW811" s="45"/>
      <c r="AX811" s="56"/>
      <c r="AY811" s="56"/>
      <c r="AZ811" s="56"/>
      <c r="BA811" s="51"/>
      <c r="BB811" s="56"/>
      <c r="BC811" s="56"/>
      <c r="BD811" s="56"/>
      <c r="BE811" s="51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</row>
    <row r="812" spans="45:74">
      <c r="AV812" s="45"/>
      <c r="AW812" s="45"/>
      <c r="AX812" s="56"/>
      <c r="AY812" s="56"/>
      <c r="AZ812" s="56"/>
      <c r="BA812" s="51"/>
      <c r="BB812" s="56"/>
      <c r="BC812" s="56"/>
      <c r="BD812" s="56"/>
      <c r="BE812" s="51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</row>
    <row r="813" spans="45:74">
      <c r="AV813" s="45"/>
      <c r="AW813" s="45"/>
      <c r="AX813" s="56"/>
      <c r="AY813" s="56"/>
      <c r="AZ813" s="56"/>
      <c r="BA813" s="51"/>
      <c r="BB813" s="56"/>
      <c r="BC813" s="56"/>
      <c r="BD813" s="56"/>
      <c r="BE813" s="51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</row>
    <row r="814" spans="45:74">
      <c r="AV814" s="45"/>
      <c r="AW814" s="45"/>
      <c r="AX814" s="56"/>
      <c r="AY814" s="56"/>
      <c r="AZ814" s="56"/>
      <c r="BA814" s="51"/>
      <c r="BB814" s="56"/>
      <c r="BC814" s="56"/>
      <c r="BD814" s="56"/>
      <c r="BE814" s="51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</row>
    <row r="815" spans="45:74">
      <c r="AV815" s="45"/>
      <c r="AW815" s="45"/>
      <c r="AX815" s="56"/>
      <c r="AY815" s="56"/>
      <c r="AZ815" s="56"/>
      <c r="BA815" s="51"/>
      <c r="BB815" s="56"/>
      <c r="BC815" s="56"/>
      <c r="BD815" s="56"/>
      <c r="BE815" s="51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</row>
    <row r="816" spans="45:74">
      <c r="AV816" s="45"/>
      <c r="AW816" s="45"/>
      <c r="AX816" s="56"/>
      <c r="AY816" s="56"/>
      <c r="AZ816" s="56"/>
      <c r="BA816" s="51"/>
      <c r="BB816" s="56"/>
      <c r="BC816" s="56"/>
      <c r="BD816" s="56"/>
      <c r="BE816" s="51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</row>
    <row r="817" spans="46:71">
      <c r="AV817" s="45"/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</row>
    <row r="818" spans="46:71">
      <c r="AV818" s="45"/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</row>
    <row r="819" spans="46:71">
      <c r="AV819" s="45"/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</row>
    <row r="820" spans="46:71">
      <c r="AV820" s="45"/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</row>
    <row r="821" spans="46:71">
      <c r="AV821" s="45"/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</row>
    <row r="822" spans="46:71">
      <c r="AV822" s="45"/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</row>
    <row r="823" spans="46:71">
      <c r="AV823" s="45"/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</row>
    <row r="824" spans="46:71">
      <c r="AV824" s="45"/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</row>
    <row r="825" spans="46:71">
      <c r="AV825" s="45"/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</row>
    <row r="826" spans="46:71">
      <c r="AZ826" s="56"/>
      <c r="BB826" s="56"/>
      <c r="BC826" s="56"/>
      <c r="BD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</row>
    <row r="827" spans="46:71">
      <c r="AT827" s="42"/>
      <c r="AV827" s="45"/>
      <c r="AW827" s="45"/>
      <c r="AX827" s="56"/>
      <c r="AY827" s="56"/>
      <c r="AZ827" s="56"/>
      <c r="BA827" s="51"/>
      <c r="BB827" s="56"/>
      <c r="BC827" s="56"/>
      <c r="BD827" s="56"/>
      <c r="BE827" s="51"/>
    </row>
    <row r="828" spans="46:71">
      <c r="AV828" s="45"/>
      <c r="AW828" s="45"/>
      <c r="AX828" s="56"/>
      <c r="AY828" s="56"/>
      <c r="AZ828" s="56"/>
      <c r="BA828" s="51"/>
      <c r="BB828" s="56"/>
      <c r="BC828" s="56"/>
      <c r="BD828" s="56"/>
      <c r="BE828" s="51"/>
    </row>
    <row r="829" spans="46:71">
      <c r="AV829" s="45"/>
      <c r="AW829" s="45"/>
      <c r="AX829" s="56"/>
      <c r="AY829" s="56"/>
      <c r="AZ829" s="56"/>
      <c r="BA829" s="51"/>
      <c r="BB829" s="56"/>
      <c r="BC829" s="56"/>
      <c r="BD829" s="56"/>
      <c r="BE829" s="51"/>
    </row>
    <row r="830" spans="46:71"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</row>
    <row r="831" spans="46:71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</row>
    <row r="832" spans="46:71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</row>
    <row r="833" spans="47:57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</row>
    <row r="834" spans="47:57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</row>
    <row r="835" spans="47:57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</row>
    <row r="836" spans="47:57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</row>
    <row r="837" spans="47:57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</row>
    <row r="838" spans="47:57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</row>
    <row r="839" spans="47:57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</row>
    <row r="840" spans="47:57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</row>
    <row r="841" spans="47:57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</row>
    <row r="842" spans="47:57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</row>
    <row r="843" spans="47:57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</row>
    <row r="844" spans="47:57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</row>
    <row r="845" spans="47:57">
      <c r="BB845" s="56"/>
    </row>
    <row r="846" spans="47:57">
      <c r="AU846" s="42"/>
      <c r="BB846" s="56"/>
    </row>
    <row r="847" spans="47:57">
      <c r="AU847" s="42"/>
    </row>
    <row r="848" spans="47:57">
      <c r="AU848" s="42"/>
      <c r="BB848" s="56"/>
    </row>
    <row r="849" spans="45:57">
      <c r="AS849" s="42"/>
      <c r="AZ849" s="56"/>
      <c r="BB849" s="56"/>
    </row>
    <row r="850" spans="45:57">
      <c r="AZ850" s="56"/>
      <c r="BB850" s="56"/>
    </row>
    <row r="851" spans="45:57">
      <c r="AY851" s="56"/>
      <c r="AZ851" s="56"/>
      <c r="BB851" s="56"/>
    </row>
    <row r="852" spans="45:57">
      <c r="AY852" s="42"/>
      <c r="AZ852" s="56"/>
      <c r="BB852" s="56"/>
    </row>
    <row r="853" spans="45:57">
      <c r="AY853" s="42"/>
      <c r="AZ853" s="56"/>
      <c r="BB853" s="56"/>
    </row>
    <row r="854" spans="45:57">
      <c r="AZ854" s="56"/>
      <c r="BB854" s="56"/>
      <c r="BD854" s="42"/>
    </row>
    <row r="855" spans="45:57">
      <c r="AZ855" s="56"/>
      <c r="BB855" s="56"/>
      <c r="BD855" s="42"/>
    </row>
    <row r="856" spans="45:57">
      <c r="AS856" s="42"/>
      <c r="AZ856" s="56"/>
      <c r="BB856" s="56"/>
      <c r="BD856" s="42"/>
    </row>
    <row r="857" spans="45:57">
      <c r="AZ857" s="56"/>
      <c r="BB857" s="56"/>
    </row>
    <row r="858" spans="45:57">
      <c r="AS858" s="49"/>
      <c r="AT858" s="49"/>
      <c r="AU858" s="49"/>
      <c r="AV858" s="49"/>
      <c r="AW858" s="49"/>
      <c r="AX858" s="49"/>
      <c r="AY858" s="49"/>
      <c r="AZ858" s="57"/>
      <c r="BA858" s="49"/>
      <c r="BB858" s="57"/>
      <c r="BC858" s="49"/>
      <c r="BD858" s="49"/>
      <c r="BE858" s="49"/>
    </row>
    <row r="859" spans="45:57">
      <c r="AX859" s="42"/>
      <c r="AZ859" s="56"/>
      <c r="BB859" s="56"/>
    </row>
    <row r="860" spans="45:57">
      <c r="AX860" s="49"/>
      <c r="AY860" s="49"/>
      <c r="AZ860" s="57"/>
      <c r="BA860" s="49"/>
      <c r="BB860" s="56"/>
      <c r="BC860" s="44"/>
      <c r="BD860" s="44"/>
    </row>
    <row r="861" spans="45:57">
      <c r="AV861" s="44"/>
      <c r="AW861" s="44"/>
      <c r="AZ861" s="58"/>
      <c r="BA861" s="44"/>
      <c r="BB861" s="56"/>
      <c r="BC861" s="44"/>
      <c r="BD861" s="44"/>
      <c r="BE861" s="44"/>
    </row>
    <row r="862" spans="45:57">
      <c r="AV862" s="44"/>
      <c r="AW862" s="44"/>
      <c r="AX862" s="44"/>
      <c r="AY862" s="44"/>
      <c r="AZ862" s="58"/>
      <c r="BA862" s="44"/>
      <c r="BB862" s="58"/>
      <c r="BC862" s="44"/>
      <c r="BD862" s="44"/>
      <c r="BE862" s="44"/>
    </row>
    <row r="863" spans="45:57">
      <c r="AS863" s="44"/>
      <c r="AU863" s="42"/>
      <c r="AV863" s="44"/>
      <c r="AW863" s="44"/>
      <c r="AX863" s="44"/>
      <c r="AY863" s="44"/>
      <c r="AZ863" s="58"/>
      <c r="BA863" s="44"/>
      <c r="BB863" s="58"/>
      <c r="BC863" s="44"/>
      <c r="BD863" s="44"/>
      <c r="BE863" s="44"/>
    </row>
    <row r="864" spans="45:57">
      <c r="AS864" s="44"/>
      <c r="AU864" s="42"/>
      <c r="AV864" s="44"/>
      <c r="AW864" s="44"/>
      <c r="AX864" s="44"/>
      <c r="AY864" s="44"/>
      <c r="AZ864" s="58"/>
      <c r="BA864" s="44"/>
      <c r="BB864" s="58"/>
      <c r="BC864" s="44"/>
      <c r="BD864" s="44"/>
      <c r="BE864" s="44"/>
    </row>
    <row r="865" spans="45:57">
      <c r="AS865" s="49"/>
      <c r="AT865" s="49"/>
      <c r="AU865" s="49"/>
      <c r="AV865" s="49"/>
      <c r="AW865" s="49"/>
      <c r="AX865" s="49"/>
      <c r="AY865" s="49"/>
      <c r="AZ865" s="57"/>
      <c r="BA865" s="49"/>
      <c r="BB865" s="57"/>
      <c r="BC865" s="49"/>
      <c r="BD865" s="49"/>
      <c r="BE865" s="49"/>
    </row>
    <row r="866" spans="45:57">
      <c r="AV866" s="44"/>
      <c r="AW866" s="44"/>
      <c r="AX866" s="44"/>
      <c r="AY866" s="44"/>
      <c r="AZ866" s="58"/>
      <c r="BA866" s="44"/>
      <c r="BB866" s="58"/>
      <c r="BC866" s="44"/>
      <c r="BD866" s="44"/>
      <c r="BE866" s="44"/>
    </row>
    <row r="867" spans="45:57">
      <c r="AT867" s="42"/>
      <c r="AV867" s="45"/>
      <c r="AW867" s="45"/>
      <c r="AX867" s="56"/>
      <c r="AY867" s="56"/>
      <c r="AZ867" s="56"/>
      <c r="BA867" s="51"/>
      <c r="BB867" s="56"/>
      <c r="BC867" s="56"/>
      <c r="BD867" s="56"/>
      <c r="BE867" s="51"/>
    </row>
    <row r="868" spans="45:57"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</row>
    <row r="869" spans="45:57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</row>
    <row r="870" spans="45:57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</row>
    <row r="871" spans="45:57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</row>
    <row r="872" spans="45:57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</row>
    <row r="873" spans="45:57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</row>
    <row r="874" spans="45:57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</row>
    <row r="875" spans="45:57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</row>
    <row r="876" spans="45:57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</row>
    <row r="877" spans="45:57">
      <c r="AV877" s="45"/>
      <c r="AW877" s="45"/>
      <c r="BB877" s="56"/>
    </row>
    <row r="878" spans="45:57">
      <c r="AT878" s="42"/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</row>
    <row r="879" spans="45:57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</row>
    <row r="880" spans="45:57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</row>
    <row r="881" spans="45:57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</row>
    <row r="882" spans="45:57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5:57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5:57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5:57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5:57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5:57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9" spans="45:57">
      <c r="AU889" s="42"/>
    </row>
    <row r="890" spans="45:57">
      <c r="AU890" s="42"/>
    </row>
    <row r="891" spans="45:57">
      <c r="AU891" s="42"/>
    </row>
    <row r="892" spans="45:57">
      <c r="AS892" s="42"/>
    </row>
    <row r="913" spans="52:71">
      <c r="AZ913" s="56"/>
      <c r="BB913" s="56"/>
      <c r="BC913" s="56"/>
      <c r="BD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</row>
    <row r="914" spans="52:71">
      <c r="AZ914" s="56"/>
      <c r="BB914" s="56"/>
      <c r="BC914" s="56"/>
      <c r="BD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</row>
    <row r="915" spans="52:71">
      <c r="AZ915" s="56"/>
      <c r="BB915" s="56"/>
      <c r="BC915" s="56"/>
      <c r="BD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</row>
    <row r="916" spans="52:71">
      <c r="AZ916" s="56"/>
      <c r="BB916" s="56"/>
      <c r="BC916" s="56"/>
      <c r="BD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</row>
    <row r="917" spans="52:71">
      <c r="AZ917" s="56"/>
      <c r="BB917" s="56"/>
      <c r="BC917" s="56"/>
      <c r="BD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</row>
    <row r="918" spans="52:71">
      <c r="AZ918" s="56"/>
      <c r="BB918" s="56"/>
      <c r="BC918" s="56"/>
      <c r="BD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</row>
    <row r="919" spans="52:71">
      <c r="AZ919" s="56"/>
      <c r="BB919" s="56"/>
      <c r="BC919" s="56"/>
      <c r="BD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</row>
    <row r="920" spans="52:71">
      <c r="AZ920" s="56"/>
      <c r="BB920" s="56"/>
      <c r="BC920" s="56"/>
      <c r="BD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</row>
    <row r="921" spans="52:71">
      <c r="AZ921" s="56"/>
      <c r="BB921" s="56"/>
      <c r="BC921" s="56"/>
      <c r="BD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</row>
    <row r="922" spans="52:71">
      <c r="AZ922" s="56"/>
      <c r="BB922" s="56"/>
      <c r="BC922" s="56"/>
      <c r="BD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</row>
    <row r="923" spans="52:71">
      <c r="AZ923" s="56"/>
      <c r="BB923" s="56"/>
      <c r="BC923" s="56"/>
      <c r="BD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</row>
    <row r="924" spans="52:71">
      <c r="AZ924" s="56"/>
      <c r="BB924" s="56"/>
      <c r="BC924" s="56"/>
      <c r="BD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52:71">
      <c r="AZ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52:71">
      <c r="AZ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</row>
    <row r="927" spans="52:71">
      <c r="AZ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</row>
    <row r="928" spans="52:71">
      <c r="AZ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</row>
    <row r="929" spans="52:71">
      <c r="AZ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</row>
    <row r="930" spans="52:71">
      <c r="AZ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</row>
    <row r="931" spans="52:71">
      <c r="AZ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</row>
    <row r="932" spans="52:71">
      <c r="AZ932" s="56"/>
    </row>
    <row r="933" spans="52:71">
      <c r="AZ933" s="56"/>
    </row>
    <row r="947" spans="1:28">
      <c r="A947" s="42"/>
    </row>
    <row r="950" spans="1:28">
      <c r="Y950" s="42"/>
    </row>
    <row r="951" spans="1:28">
      <c r="A951" s="42"/>
      <c r="H951" s="42"/>
      <c r="I951" s="42"/>
    </row>
    <row r="952" spans="1:28">
      <c r="A952" s="42"/>
      <c r="V952" s="44"/>
      <c r="AA952" s="44"/>
      <c r="AB952" s="44"/>
    </row>
    <row r="953" spans="1:28">
      <c r="A953" s="42"/>
      <c r="V953" s="49"/>
      <c r="AA953" s="49"/>
      <c r="AB953" s="49"/>
    </row>
    <row r="954" spans="1:28">
      <c r="A954" s="42"/>
      <c r="U954" s="42"/>
      <c r="AA954" s="44"/>
      <c r="AB954" s="44"/>
    </row>
    <row r="955" spans="1:28">
      <c r="A955" s="42"/>
    </row>
    <row r="956" spans="1:28">
      <c r="A956" s="42"/>
      <c r="U956" s="42"/>
      <c r="AA956" s="44"/>
      <c r="AB956" s="44"/>
    </row>
    <row r="957" spans="1:28">
      <c r="A957" s="42"/>
    </row>
    <row r="958" spans="1:28">
      <c r="A958" s="42"/>
      <c r="U958" s="42"/>
      <c r="V958" s="339"/>
      <c r="AA958" s="44"/>
      <c r="AB958" s="44"/>
    </row>
    <row r="959" spans="1:28">
      <c r="A959" s="42"/>
    </row>
    <row r="960" spans="1:28">
      <c r="A960" s="42"/>
      <c r="U960" s="42"/>
      <c r="AA960" s="44"/>
      <c r="AB960" s="44"/>
    </row>
    <row r="961" spans="1:28">
      <c r="A961" s="42"/>
    </row>
    <row r="962" spans="1:28">
      <c r="A962" s="42"/>
      <c r="U962" s="42"/>
      <c r="AA962" s="44"/>
      <c r="AB962" s="44"/>
    </row>
    <row r="963" spans="1:28">
      <c r="A963" s="42"/>
    </row>
    <row r="964" spans="1:28">
      <c r="A964" s="42"/>
    </row>
    <row r="965" spans="1:28">
      <c r="A965" s="42"/>
    </row>
    <row r="966" spans="1:28">
      <c r="A966" s="42"/>
    </row>
    <row r="967" spans="1:28">
      <c r="A967" s="42"/>
    </row>
    <row r="968" spans="1:28">
      <c r="A968" s="42"/>
    </row>
    <row r="969" spans="1:28">
      <c r="A969" s="42"/>
    </row>
    <row r="970" spans="1:28">
      <c r="A970" s="42"/>
    </row>
    <row r="971" spans="1:28">
      <c r="A971" s="42"/>
    </row>
    <row r="972" spans="1:28">
      <c r="A972" s="42"/>
    </row>
    <row r="973" spans="1:28">
      <c r="A973" s="42"/>
      <c r="H973" s="42"/>
      <c r="I973" s="42"/>
    </row>
    <row r="976" spans="1:28">
      <c r="A976" s="42"/>
    </row>
    <row r="979" spans="1:1">
      <c r="A979" s="42"/>
    </row>
    <row r="982" spans="1:1">
      <c r="A982" s="42"/>
    </row>
    <row r="983" spans="1:1">
      <c r="A983" s="42"/>
    </row>
    <row r="984" spans="1:1">
      <c r="A984" s="42"/>
    </row>
    <row r="985" spans="1:1">
      <c r="A985" s="42"/>
    </row>
    <row r="986" spans="1:1">
      <c r="A986" s="42"/>
    </row>
    <row r="987" spans="1:1">
      <c r="A987" s="42"/>
    </row>
    <row r="988" spans="1:1">
      <c r="A988" s="42"/>
    </row>
    <row r="989" spans="1:1">
      <c r="A989" s="42"/>
    </row>
    <row r="990" spans="1:1">
      <c r="A990" s="42"/>
    </row>
    <row r="991" spans="1:1">
      <c r="A991" s="42"/>
    </row>
    <row r="992" spans="1:1">
      <c r="A992" s="42"/>
    </row>
    <row r="993" spans="1:1">
      <c r="A993" s="42"/>
    </row>
    <row r="994" spans="1:1">
      <c r="A994" s="42"/>
    </row>
    <row r="995" spans="1:1">
      <c r="A995" s="42"/>
    </row>
    <row r="996" spans="1:1">
      <c r="A996" s="42"/>
    </row>
    <row r="997" spans="1:1">
      <c r="A997" s="42"/>
    </row>
    <row r="998" spans="1:1">
      <c r="A998" s="42"/>
    </row>
    <row r="999" spans="1:1">
      <c r="A999" s="42"/>
    </row>
    <row r="1000" spans="1:1">
      <c r="A1000" s="42"/>
    </row>
    <row r="1001" spans="1:1">
      <c r="A1001" s="42"/>
    </row>
    <row r="1002" spans="1:1">
      <c r="A1002" s="42"/>
    </row>
    <row r="1003" spans="1:1">
      <c r="A1003" s="42"/>
    </row>
    <row r="1004" spans="1:1">
      <c r="A1004" s="42"/>
    </row>
    <row r="1005" spans="1:1">
      <c r="A1005" s="42"/>
    </row>
    <row r="1006" spans="1:1">
      <c r="A1006" s="42"/>
    </row>
    <row r="1007" spans="1:1">
      <c r="A1007" s="42"/>
    </row>
    <row r="1008" spans="1:1">
      <c r="A1008" s="42"/>
    </row>
    <row r="1009" spans="1:1">
      <c r="A1009" s="42"/>
    </row>
    <row r="1010" spans="1:1">
      <c r="A1010" s="42"/>
    </row>
    <row r="1011" spans="1:1">
      <c r="A1011" s="42"/>
    </row>
    <row r="1012" spans="1:1">
      <c r="A1012" s="42"/>
    </row>
    <row r="1013" spans="1:1">
      <c r="A1013" s="42"/>
    </row>
    <row r="1014" spans="1:1">
      <c r="A1014" s="42"/>
    </row>
    <row r="1015" spans="1:1">
      <c r="A1015" s="42"/>
    </row>
    <row r="1016" spans="1:1">
      <c r="A1016" s="42"/>
    </row>
    <row r="1021" spans="1:1">
      <c r="A1021" s="42"/>
    </row>
    <row r="1022" spans="1:1">
      <c r="A1022" s="42"/>
    </row>
    <row r="1025" spans="1:1">
      <c r="A1025" s="42"/>
    </row>
    <row r="1027" spans="1:1">
      <c r="A1027" s="42"/>
    </row>
    <row r="1029" spans="1:1">
      <c r="A1029" s="42"/>
    </row>
    <row r="1031" spans="1:1">
      <c r="A1031" s="42"/>
    </row>
    <row r="1034" spans="1:1">
      <c r="A1034" s="42"/>
    </row>
    <row r="1035" spans="1:1">
      <c r="A1035" s="42"/>
    </row>
    <row r="1036" spans="1:1">
      <c r="A1036" s="42"/>
    </row>
    <row r="1037" spans="1:1">
      <c r="A1037" s="42"/>
    </row>
    <row r="1038" spans="1:1">
      <c r="A1038" s="42"/>
    </row>
    <row r="1039" spans="1:1">
      <c r="A1039" s="42"/>
    </row>
    <row r="1040" spans="1:1">
      <c r="A1040" s="42"/>
    </row>
    <row r="1041" spans="1:1">
      <c r="A1041" s="42"/>
    </row>
  </sheetData>
  <customSheetViews>
    <customSheetView guid="{F562D92E-120C-4AE9-9663-89E64D41DC53}" scale="75" fitToPage="1" topLeftCell="A41">
      <selection activeCell="P67" sqref="P6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"/>
      <headerFooter alignWithMargins="0"/>
    </customSheetView>
    <customSheetView guid="{35F19056-2E6F-4935-B863-78836FE990BF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2"/>
      <headerFooter alignWithMargins="0"/>
    </customSheetView>
    <customSheetView guid="{18BDED73-BFA0-442E-87EC-CED86EE4CF94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3"/>
      <headerFooter alignWithMargins="0"/>
    </customSheetView>
    <customSheetView guid="{0BC1F393-8A13-47D5-BC6C-0C99615B5AB9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6"/>
      <headerFooter alignWithMargins="0"/>
    </customSheetView>
    <customSheetView guid="{8FC77C99-DBF7-40B8-99B8-01B75826CDCB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7"/>
      <headerFooter alignWithMargins="0"/>
    </customSheetView>
    <customSheetView guid="{2EA35095-1ADC-4CC7-8C3C-B487D65FA247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8"/>
      <headerFooter alignWithMargins="0"/>
    </customSheetView>
    <customSheetView guid="{2431C9E5-7CC2-4B8D-99C3-962247B1DBF5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9"/>
      <headerFooter alignWithMargins="0"/>
    </customSheetView>
    <customSheetView guid="{4BC93440-BA85-4935-A8C9-66DC6AE5DE5E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10"/>
      <headerFooter alignWithMargins="0"/>
    </customSheetView>
    <customSheetView guid="{0C49E549-011E-46F4-A82E-2CC8951A9C1E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2"/>
      <headerFooter alignWithMargins="0"/>
    </customSheetView>
  </customSheetViews>
  <phoneticPr fontId="12" type="noConversion"/>
  <pageMargins left="0.5" right="0.5" top="1" bottom="0" header="0" footer="0"/>
  <pageSetup scale="41" orientation="landscape" r:id="rId13"/>
  <headerFooter alignWithMargins="0"/>
  <rowBreaks count="16" manualBreakCount="16">
    <brk id="132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transitionEntry="1" codeName="Sheet14">
    <pageSetUpPr fitToPage="1"/>
  </sheetPr>
  <dimension ref="A1:BW1079"/>
  <sheetViews>
    <sheetView workbookViewId="0"/>
  </sheetViews>
  <sheetFormatPr defaultColWidth="9.69921875" defaultRowHeight="15.75"/>
  <cols>
    <col min="1" max="1" width="5.09765625" style="41" customWidth="1"/>
    <col min="2" max="2" width="0.3984375" style="41" customWidth="1"/>
    <col min="3" max="3" width="6.69921875" style="41" customWidth="1"/>
    <col min="4" max="4" width="37.69921875" style="41" customWidth="1"/>
    <col min="5" max="5" width="0.6992187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0" width="11" style="41" customWidth="1"/>
    <col min="11" max="11" width="0.69921875" style="41" customWidth="1"/>
    <col min="12" max="12" width="14.69921875" style="41" customWidth="1"/>
    <col min="13" max="13" width="0.296875" style="41" customWidth="1"/>
    <col min="14" max="14" width="12.69921875" style="41" customWidth="1"/>
    <col min="15" max="15" width="0.59765625" style="41" customWidth="1"/>
    <col min="16" max="16" width="14.69921875" style="41" customWidth="1"/>
    <col min="17" max="17" width="0.59765625" style="41" customWidth="1"/>
    <col min="18" max="18" width="18.09765625" style="41" customWidth="1"/>
    <col min="19" max="19" width="6.69921875" style="41" customWidth="1"/>
    <col min="20" max="20" width="5.3984375" style="41" customWidth="1"/>
    <col min="21" max="21" width="0.59765625" style="41" customWidth="1"/>
    <col min="22" max="22" width="4.59765625" style="41" customWidth="1"/>
    <col min="23" max="23" width="38.59765625" style="41" customWidth="1"/>
    <col min="24" max="24" width="0.8984375" style="41" customWidth="1"/>
    <col min="25" max="25" width="9.69921875" style="41" customWidth="1"/>
    <col min="26" max="26" width="0.69921875" style="41" customWidth="1"/>
    <col min="27" max="27" width="13.296875" style="41" customWidth="1"/>
    <col min="28" max="28" width="0.69921875" style="41" customWidth="1"/>
    <col min="29" max="29" width="12.296875" style="41" customWidth="1"/>
    <col min="30" max="30" width="0.8984375" style="41" customWidth="1"/>
    <col min="31" max="31" width="12.8984375" style="41" customWidth="1"/>
    <col min="32" max="32" width="0.69921875" style="41" customWidth="1"/>
    <col min="33" max="33" width="13.69921875" style="99" customWidth="1"/>
    <col min="34" max="34" width="0.69921875" style="41" customWidth="1"/>
    <col min="35" max="35" width="14.296875" style="41" customWidth="1"/>
    <col min="36" max="36" width="0.69921875" style="41" customWidth="1"/>
    <col min="37" max="37" width="14.59765625" style="99" customWidth="1"/>
    <col min="38" max="38" width="0.59765625" style="41" customWidth="1"/>
    <col min="39" max="39" width="12.09765625" style="41" customWidth="1"/>
    <col min="40" max="40" width="0.59765625" style="41" customWidth="1"/>
    <col min="41" max="41" width="13.09765625" style="41" customWidth="1"/>
    <col min="42" max="42" width="0.69921875" style="41" customWidth="1"/>
    <col min="43" max="43" width="11.09765625" style="99" customWidth="1"/>
    <col min="44" max="44" width="14.69921875" style="41" customWidth="1"/>
    <col min="45" max="45" width="4.69921875" style="41" customWidth="1"/>
    <col min="46" max="46" width="5.69921875" style="41" customWidth="1"/>
    <col min="47" max="47" width="10.69921875" style="41" customWidth="1"/>
    <col min="48" max="48" width="11.69921875" style="41" customWidth="1"/>
    <col min="49" max="49" width="12.69921875" style="41" customWidth="1"/>
    <col min="50" max="52" width="15.69921875" style="41" customWidth="1"/>
    <col min="53" max="53" width="12.69921875" style="41" customWidth="1"/>
    <col min="54" max="56" width="15.69921875" style="41" customWidth="1"/>
    <col min="57" max="57" width="12.69921875" style="41" customWidth="1"/>
    <col min="58" max="59" width="9.69921875" style="41"/>
    <col min="60" max="62" width="12.69921875" style="41" customWidth="1"/>
    <col min="63" max="63" width="14.69921875" style="41" customWidth="1"/>
    <col min="64" max="65" width="9.69921875" style="41"/>
    <col min="66" max="68" width="12.69921875" style="41" customWidth="1"/>
    <col min="69" max="69" width="14.69921875" style="41" customWidth="1"/>
    <col min="70" max="76" width="9.69921875" style="41"/>
    <col min="77" max="77" width="1.69921875" style="41" customWidth="1"/>
    <col min="78" max="79" width="9.69921875" style="41"/>
    <col min="80" max="80" width="10.69921875" style="41" customWidth="1"/>
    <col min="81" max="82" width="9.69921875" style="41"/>
    <col min="83" max="83" width="7.69921875" style="41" customWidth="1"/>
    <col min="84" max="16384" width="9.69921875" style="41"/>
  </cols>
  <sheetData>
    <row r="1" spans="1:4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Y1" s="42"/>
    </row>
    <row r="2" spans="1:4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Y2" s="42"/>
    </row>
    <row r="3" spans="1:40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V3" s="50"/>
    </row>
    <row r="4" spans="1:4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V4" s="50"/>
      <c r="AA4" s="42"/>
      <c r="AB4" s="42"/>
    </row>
    <row r="5" spans="1:4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V5" s="132"/>
      <c r="AK5" s="110"/>
      <c r="AL5" s="42"/>
    </row>
    <row r="6" spans="1:40">
      <c r="A6" s="41" t="str">
        <f>DATA_PERIOD</f>
        <v>DATA: ____ BASE PERIOD   __X__FORECASTED PERIOD</v>
      </c>
      <c r="R6" s="42" t="s">
        <v>156</v>
      </c>
      <c r="V6" s="132"/>
      <c r="AK6" s="110"/>
      <c r="AL6" s="42"/>
    </row>
    <row r="7" spans="1:40">
      <c r="A7" s="41" t="str">
        <f>TYPE</f>
        <v>TYPE OF FILING: _X_ ORIGINAL   ___UPDATED  ___ REVISED</v>
      </c>
      <c r="R7" s="48" t="str">
        <f>"PAGE 19 OF "&amp;TEXT(Page_Num_2.3,"00")</f>
        <v>PAGE 19 OF 24</v>
      </c>
      <c r="V7" s="132"/>
      <c r="AK7" s="110"/>
      <c r="AL7" s="42"/>
    </row>
    <row r="8" spans="1:40">
      <c r="A8" s="42" t="s">
        <v>170</v>
      </c>
      <c r="R8" s="42" t="s">
        <v>3</v>
      </c>
      <c r="V8" s="132"/>
      <c r="W8" s="40"/>
      <c r="AK8" s="110"/>
      <c r="AL8" s="42"/>
    </row>
    <row r="9" spans="1:40">
      <c r="A9" s="130" t="str">
        <f>TIME</f>
        <v>12 Months Projected with Riders</v>
      </c>
      <c r="M9" s="42"/>
      <c r="R9" s="41" t="str">
        <f>WIT</f>
        <v>B. L. Sailers</v>
      </c>
      <c r="V9" s="132"/>
      <c r="W9" s="42"/>
      <c r="AA9" s="42"/>
      <c r="AB9" s="42"/>
    </row>
    <row r="10" spans="1:40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T10" s="49"/>
      <c r="U10" s="49"/>
      <c r="V10" s="132"/>
      <c r="W10" s="40"/>
      <c r="X10" s="49"/>
      <c r="Y10" s="49"/>
      <c r="Z10" s="49"/>
      <c r="AA10" s="49"/>
      <c r="AB10" s="49"/>
      <c r="AC10" s="49"/>
      <c r="AD10" s="49"/>
      <c r="AE10" s="49"/>
      <c r="AF10" s="49"/>
      <c r="AG10" s="107"/>
      <c r="AH10" s="49"/>
      <c r="AI10" s="49"/>
      <c r="AJ10" s="49"/>
      <c r="AK10" s="107"/>
      <c r="AL10" s="49"/>
      <c r="AM10" s="49"/>
      <c r="AN10" s="49"/>
    </row>
    <row r="11" spans="1:40">
      <c r="A11" s="49"/>
      <c r="B11" s="49"/>
      <c r="C11" s="49"/>
      <c r="D11" s="49"/>
      <c r="E11" s="49"/>
      <c r="G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V11" s="132"/>
      <c r="W11" s="42"/>
      <c r="AA11" s="44"/>
      <c r="AB11" s="44"/>
      <c r="AC11" s="44"/>
      <c r="AD11" s="44"/>
      <c r="AE11" s="44"/>
      <c r="AF11" s="44"/>
      <c r="AG11" s="102"/>
      <c r="AH11" s="44"/>
      <c r="AK11" s="102"/>
      <c r="AL11" s="44"/>
      <c r="AM11" s="44"/>
      <c r="AN11" s="44"/>
    </row>
    <row r="12" spans="1:40" ht="18" customHeight="1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Z12" s="44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>
      <c r="L13" s="44" t="s">
        <v>12</v>
      </c>
      <c r="M13" s="44"/>
      <c r="N13" s="44" t="s">
        <v>13</v>
      </c>
      <c r="O13" s="44"/>
      <c r="R13" s="44" t="s">
        <v>11</v>
      </c>
      <c r="T13" s="44"/>
      <c r="U13" s="44"/>
      <c r="V13" s="44"/>
      <c r="Z13" s="44"/>
      <c r="AA13" s="44"/>
      <c r="AB13" s="44"/>
      <c r="AC13" s="44"/>
      <c r="AD13" s="44"/>
      <c r="AE13" s="44"/>
      <c r="AF13" s="44"/>
      <c r="AG13" s="102"/>
      <c r="AH13" s="44"/>
      <c r="AI13" s="44"/>
      <c r="AJ13" s="44"/>
      <c r="AK13" s="102"/>
      <c r="AL13" s="44"/>
      <c r="AM13" s="44"/>
      <c r="AN13" s="44"/>
    </row>
    <row r="14" spans="1:40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Y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324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9"/>
      <c r="U15" s="49"/>
      <c r="V15" s="49"/>
      <c r="W15" s="49"/>
      <c r="X15" s="49"/>
      <c r="Y15" s="44"/>
      <c r="Z15" s="49"/>
      <c r="AA15" s="49"/>
      <c r="AB15" s="49"/>
      <c r="AC15" s="49"/>
      <c r="AD15" s="49"/>
      <c r="AE15" s="49"/>
      <c r="AF15" s="49"/>
      <c r="AG15" s="107"/>
      <c r="AH15" s="49"/>
      <c r="AI15" s="49"/>
      <c r="AJ15" s="49"/>
      <c r="AK15" s="107"/>
      <c r="AL15" s="49"/>
      <c r="AM15" s="49"/>
      <c r="AN15" s="49"/>
    </row>
    <row r="16" spans="1:40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Y16" s="44"/>
      <c r="Z16" s="44"/>
      <c r="AA16" s="44" t="s">
        <v>521</v>
      </c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ht="17.100000000000001" customHeight="1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69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T17" s="42"/>
      <c r="U17" s="42"/>
      <c r="Y17" s="44"/>
      <c r="AA17" s="41" t="s">
        <v>403</v>
      </c>
    </row>
    <row r="18" spans="1:40">
      <c r="A18" s="41">
        <v>1</v>
      </c>
      <c r="C18" s="130" t="s">
        <v>70</v>
      </c>
      <c r="D18" s="310" t="s">
        <v>78</v>
      </c>
      <c r="F18" s="1"/>
      <c r="G18" s="1"/>
      <c r="H18" s="2"/>
      <c r="I18" s="2"/>
      <c r="J18" s="82"/>
      <c r="K18" s="2"/>
      <c r="L18" s="2"/>
      <c r="M18" s="2"/>
      <c r="N18" s="2"/>
      <c r="O18" s="2"/>
      <c r="P18" s="2"/>
      <c r="Q18" s="2"/>
      <c r="R18" s="2"/>
      <c r="T18" s="42"/>
      <c r="U18" s="42"/>
    </row>
    <row r="19" spans="1:40">
      <c r="A19" s="41">
        <v>2</v>
      </c>
      <c r="C19" s="130"/>
      <c r="D19" s="133" t="s">
        <v>72</v>
      </c>
      <c r="E19" s="4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42"/>
    </row>
    <row r="20" spans="1:40">
      <c r="D20" s="42"/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</row>
    <row r="21" spans="1:40">
      <c r="A21" s="41">
        <v>3</v>
      </c>
      <c r="C21" s="310" t="s">
        <v>229</v>
      </c>
      <c r="F21" s="68"/>
      <c r="G21" s="1"/>
      <c r="H21" s="68"/>
      <c r="I21" s="68"/>
      <c r="J21" s="342"/>
      <c r="K21" s="342"/>
      <c r="L21" s="3"/>
      <c r="M21" s="3"/>
      <c r="N21" s="4"/>
      <c r="O21" s="4"/>
      <c r="P21" s="3"/>
      <c r="Q21" s="3"/>
      <c r="R21" s="3"/>
    </row>
    <row r="22" spans="1:40">
      <c r="A22" s="41">
        <v>4</v>
      </c>
      <c r="C22" s="42" t="s">
        <v>230</v>
      </c>
      <c r="F22" s="45">
        <v>5338</v>
      </c>
      <c r="G22" s="1"/>
      <c r="H22" s="45">
        <f>ROUND(F22*AA22/12,0)</f>
        <v>379443</v>
      </c>
      <c r="I22" s="3"/>
      <c r="J22" s="132">
        <f>ROUND(AC78+(AC78*LT_COS_RATE),2)</f>
        <v>13.46</v>
      </c>
      <c r="K22" s="342"/>
      <c r="L22" s="3">
        <f>ROUND(F22*J22,0)</f>
        <v>71849</v>
      </c>
      <c r="M22" s="3"/>
      <c r="N22" s="4">
        <f>ROUND((L22/L$52)*100,1)</f>
        <v>24.5</v>
      </c>
      <c r="O22" s="4"/>
      <c r="P22" s="3">
        <f>ROUND((P$52/H$52)*H22,0)</f>
        <v>1323</v>
      </c>
      <c r="Q22" s="3"/>
      <c r="R22" s="3">
        <f>P22+L22</f>
        <v>73172</v>
      </c>
      <c r="S22" s="56"/>
      <c r="Y22" s="56"/>
      <c r="AA22" s="41">
        <v>853</v>
      </c>
    </row>
    <row r="23" spans="1:40">
      <c r="A23" s="41">
        <v>5</v>
      </c>
      <c r="C23" s="42" t="s">
        <v>231</v>
      </c>
      <c r="F23" s="45">
        <v>2105</v>
      </c>
      <c r="G23" s="1"/>
      <c r="H23" s="45">
        <f>ROUND(F23*AA23/12,0)</f>
        <v>153314</v>
      </c>
      <c r="I23" s="3"/>
      <c r="J23" s="132">
        <f>ROUND(AC79+(AC79*LT_COS_RATE),2)</f>
        <v>13.52</v>
      </c>
      <c r="K23" s="342"/>
      <c r="L23" s="3">
        <f>ROUND(F23*J23,0)</f>
        <v>28460</v>
      </c>
      <c r="M23" s="3"/>
      <c r="N23" s="4">
        <f>ROUND((L23/L$52)*100,1)</f>
        <v>9.6999999999999993</v>
      </c>
      <c r="O23" s="4"/>
      <c r="P23" s="3">
        <f>ROUND((P$52/H$52)*H23,0)</f>
        <v>535</v>
      </c>
      <c r="Q23" s="3"/>
      <c r="R23" s="3">
        <f>P23+L23</f>
        <v>28995</v>
      </c>
      <c r="S23" s="56"/>
      <c r="Y23" s="56"/>
      <c r="AA23" s="41">
        <v>874</v>
      </c>
    </row>
    <row r="24" spans="1:40">
      <c r="A24" s="41">
        <v>6</v>
      </c>
      <c r="C24" s="42" t="s">
        <v>232</v>
      </c>
      <c r="F24" s="45">
        <v>432</v>
      </c>
      <c r="G24" s="1"/>
      <c r="H24" s="45">
        <f>ROUND(F24*AA24/12,0)</f>
        <v>31464</v>
      </c>
      <c r="I24" s="3"/>
      <c r="J24" s="132">
        <f>ROUND(AC80+(AC80*LT_COS_RATE),2)</f>
        <v>13.52</v>
      </c>
      <c r="K24" s="342"/>
      <c r="L24" s="3">
        <f>ROUND(F24*J24,0)</f>
        <v>5841</v>
      </c>
      <c r="M24" s="3"/>
      <c r="N24" s="4">
        <f>ROUND((L24/L$52)*100,1)</f>
        <v>2</v>
      </c>
      <c r="O24" s="4"/>
      <c r="P24" s="3">
        <f>ROUND((P$52/H$52)*H24,0)</f>
        <v>110</v>
      </c>
      <c r="Q24" s="3"/>
      <c r="R24" s="3">
        <f>P24+L24</f>
        <v>5951</v>
      </c>
      <c r="S24" s="56"/>
      <c r="Y24" s="56"/>
      <c r="AA24" s="41">
        <v>874</v>
      </c>
    </row>
    <row r="25" spans="1:40">
      <c r="A25" s="41">
        <v>7</v>
      </c>
      <c r="C25" s="42" t="s">
        <v>233</v>
      </c>
      <c r="F25" s="45">
        <v>120</v>
      </c>
      <c r="G25" s="1"/>
      <c r="H25" s="45">
        <f>ROUND(F25*AA25/12,0)</f>
        <v>8740</v>
      </c>
      <c r="I25" s="3"/>
      <c r="J25" s="132">
        <f>ROUND(AC81+(AC81*LT_COS_RATE),2)</f>
        <v>13.52</v>
      </c>
      <c r="K25" s="342"/>
      <c r="L25" s="3">
        <f>ROUND(F25*J25,0)</f>
        <v>1622</v>
      </c>
      <c r="M25" s="3"/>
      <c r="N25" s="4">
        <f>ROUND((L25/L$52)*100,1)</f>
        <v>0.6</v>
      </c>
      <c r="O25" s="4"/>
      <c r="P25" s="3">
        <f>ROUND((P$52/H$52)*H25,0)</f>
        <v>30</v>
      </c>
      <c r="Q25" s="3"/>
      <c r="R25" s="3">
        <f>P25+L25</f>
        <v>1652</v>
      </c>
      <c r="S25" s="56"/>
      <c r="Y25" s="56"/>
      <c r="AA25" s="41">
        <v>874</v>
      </c>
    </row>
    <row r="26" spans="1:40">
      <c r="G26" s="1"/>
      <c r="H26" s="1"/>
      <c r="I26" s="1"/>
      <c r="K26" s="1"/>
      <c r="L26" s="1"/>
      <c r="M26" s="1"/>
      <c r="N26" s="1"/>
      <c r="O26" s="1"/>
      <c r="P26" s="1"/>
      <c r="Q26" s="1"/>
      <c r="R26" s="1"/>
      <c r="S26" s="56"/>
    </row>
    <row r="27" spans="1:40">
      <c r="A27" s="41">
        <v>8</v>
      </c>
      <c r="C27" s="133" t="s">
        <v>406</v>
      </c>
      <c r="F27" s="45"/>
      <c r="G27" s="1"/>
      <c r="H27" s="3"/>
      <c r="I27" s="3"/>
      <c r="J27" s="132"/>
      <c r="K27" s="314"/>
      <c r="L27" s="3"/>
      <c r="M27" s="3"/>
      <c r="N27" s="4"/>
      <c r="O27" s="4"/>
      <c r="P27" s="3"/>
      <c r="Q27" s="3"/>
      <c r="R27" s="3"/>
      <c r="S27" s="56"/>
      <c r="V27" s="164"/>
      <c r="Y27" s="164"/>
      <c r="Z27" s="326"/>
      <c r="AA27" s="45"/>
      <c r="AB27" s="45"/>
      <c r="AC27" s="46"/>
      <c r="AD27" s="46"/>
      <c r="AE27" s="45"/>
      <c r="AF27" s="45"/>
      <c r="AI27" s="45"/>
      <c r="AJ27" s="45"/>
      <c r="AL27" s="45"/>
      <c r="AM27" s="46"/>
      <c r="AN27" s="46"/>
    </row>
    <row r="28" spans="1:40">
      <c r="A28" s="41">
        <v>9</v>
      </c>
      <c r="C28" s="42" t="s">
        <v>348</v>
      </c>
      <c r="F28" s="164">
        <v>2320</v>
      </c>
      <c r="G28" s="1"/>
      <c r="H28" s="45">
        <f>ROUND(F28*AA28/12,0)</f>
        <v>164913</v>
      </c>
      <c r="I28" s="3"/>
      <c r="J28" s="132">
        <f>ROUND(AC84+(AC84*LT_COS_RATE),2)</f>
        <v>13.46</v>
      </c>
      <c r="K28" s="342"/>
      <c r="L28" s="3">
        <f>ROUND(F28*J28,0)</f>
        <v>31227</v>
      </c>
      <c r="M28" s="3"/>
      <c r="N28" s="4">
        <f>ROUND((L28/L$52)*100,1)</f>
        <v>10.7</v>
      </c>
      <c r="O28" s="4"/>
      <c r="P28" s="3">
        <f>ROUND((P$52/H$52)*H28,0)</f>
        <v>575</v>
      </c>
      <c r="Q28" s="3"/>
      <c r="R28" s="3">
        <f>P28+L28</f>
        <v>31802</v>
      </c>
      <c r="S28" s="56"/>
      <c r="V28" s="164"/>
      <c r="Y28" s="56"/>
      <c r="Z28" s="326"/>
      <c r="AA28" s="41">
        <v>853</v>
      </c>
      <c r="AB28" s="45"/>
      <c r="AC28" s="46"/>
      <c r="AD28" s="46"/>
      <c r="AE28" s="45"/>
      <c r="AF28" s="45"/>
      <c r="AI28" s="45"/>
      <c r="AJ28" s="45"/>
      <c r="AL28" s="45"/>
      <c r="AM28" s="46"/>
      <c r="AN28" s="46"/>
    </row>
    <row r="29" spans="1:40">
      <c r="A29" s="41">
        <v>10</v>
      </c>
      <c r="C29" s="42" t="s">
        <v>268</v>
      </c>
      <c r="F29" s="164">
        <v>0</v>
      </c>
      <c r="G29" s="1"/>
      <c r="H29" s="45">
        <f>ROUND(F29*AA29/12,0)</f>
        <v>0</v>
      </c>
      <c r="I29" s="3"/>
      <c r="J29" s="132">
        <f>ROUND(AC85+(AC85*LT_COS_RATE),2)</f>
        <v>13.52</v>
      </c>
      <c r="K29" s="342"/>
      <c r="L29" s="3">
        <f>ROUND(F29*J29,0)</f>
        <v>0</v>
      </c>
      <c r="M29" s="3"/>
      <c r="N29" s="4">
        <f>ROUND((L29/L$52)*100,1)</f>
        <v>0</v>
      </c>
      <c r="O29" s="4"/>
      <c r="P29" s="3">
        <f>ROUND((P$52/H$52)*H29,0)</f>
        <v>0</v>
      </c>
      <c r="Q29" s="3"/>
      <c r="R29" s="3">
        <f>P29+L29</f>
        <v>0</v>
      </c>
      <c r="S29" s="56"/>
      <c r="V29" s="164"/>
      <c r="Y29" s="56"/>
      <c r="Z29" s="326"/>
      <c r="AA29" s="41">
        <v>874</v>
      </c>
      <c r="AB29" s="45"/>
      <c r="AC29" s="46"/>
      <c r="AD29" s="46"/>
      <c r="AE29" s="45"/>
      <c r="AF29" s="45"/>
      <c r="AI29" s="45"/>
      <c r="AJ29" s="45"/>
      <c r="AL29" s="45"/>
      <c r="AM29" s="46"/>
      <c r="AN29" s="46"/>
    </row>
    <row r="30" spans="1:40">
      <c r="A30" s="41">
        <v>11</v>
      </c>
      <c r="C30" s="42" t="s">
        <v>232</v>
      </c>
      <c r="F30" s="164">
        <v>362</v>
      </c>
      <c r="G30" s="1"/>
      <c r="H30" s="45">
        <f>ROUND(F30*AA30/12,0)</f>
        <v>26366</v>
      </c>
      <c r="I30" s="3"/>
      <c r="J30" s="132">
        <f>ROUND(AC86+(AC86*LT_COS_RATE),2)</f>
        <v>13.52</v>
      </c>
      <c r="K30" s="342"/>
      <c r="L30" s="3">
        <f>ROUND(F30*J30,0)</f>
        <v>4894</v>
      </c>
      <c r="M30" s="3"/>
      <c r="N30" s="4">
        <f>ROUND((L30/L$52)*100,1)</f>
        <v>1.7</v>
      </c>
      <c r="O30" s="4"/>
      <c r="P30" s="3">
        <f>ROUND((P$52/H$52)*H30,0)</f>
        <v>92</v>
      </c>
      <c r="Q30" s="3"/>
      <c r="R30" s="3">
        <f>P30+L30</f>
        <v>4986</v>
      </c>
      <c r="S30" s="56"/>
      <c r="V30" s="164"/>
      <c r="Y30" s="56"/>
      <c r="Z30" s="326"/>
      <c r="AA30" s="41">
        <v>874</v>
      </c>
      <c r="AB30" s="45"/>
      <c r="AC30" s="46"/>
      <c r="AD30" s="46"/>
      <c r="AE30" s="45"/>
      <c r="AF30" s="45"/>
      <c r="AI30" s="45"/>
      <c r="AJ30" s="45"/>
      <c r="AL30" s="45"/>
      <c r="AM30" s="46"/>
      <c r="AN30" s="46"/>
    </row>
    <row r="31" spans="1:40">
      <c r="G31" s="1"/>
      <c r="H31" s="1"/>
      <c r="I31" s="1"/>
      <c r="K31" s="1"/>
      <c r="L31" s="1"/>
      <c r="M31" s="1"/>
      <c r="N31" s="1"/>
      <c r="O31" s="1"/>
      <c r="P31" s="1"/>
      <c r="Q31" s="1"/>
      <c r="R31" s="1"/>
      <c r="S31" s="56"/>
    </row>
    <row r="32" spans="1:40">
      <c r="A32" s="41">
        <v>12</v>
      </c>
      <c r="C32" s="310" t="s">
        <v>234</v>
      </c>
      <c r="D32" s="130"/>
      <c r="G32" s="1"/>
      <c r="H32" s="1"/>
      <c r="I32" s="1"/>
      <c r="J32" s="56"/>
      <c r="K32" s="1"/>
      <c r="L32" s="1"/>
      <c r="M32" s="1"/>
      <c r="N32" s="1"/>
      <c r="O32" s="1"/>
      <c r="P32" s="1"/>
      <c r="Q32" s="1"/>
      <c r="R32" s="1"/>
      <c r="S32" s="56"/>
      <c r="V32" s="50"/>
      <c r="Y32" s="56"/>
      <c r="Z32" s="164"/>
      <c r="AA32" s="45"/>
      <c r="AB32" s="45"/>
      <c r="AC32" s="46"/>
      <c r="AD32" s="46"/>
      <c r="AE32" s="45"/>
      <c r="AF32" s="45"/>
      <c r="AI32" s="45"/>
      <c r="AJ32" s="45"/>
      <c r="AL32" s="45"/>
    </row>
    <row r="33" spans="1:40">
      <c r="A33" s="41">
        <v>13</v>
      </c>
      <c r="C33" s="42" t="s">
        <v>230</v>
      </c>
      <c r="F33" s="164">
        <v>3035</v>
      </c>
      <c r="G33" s="1"/>
      <c r="H33" s="45">
        <f t="shared" ref="H33:H39" si="0">ROUND(F33*AA33/12,0)</f>
        <v>123170</v>
      </c>
      <c r="I33" s="68"/>
      <c r="J33" s="132">
        <f t="shared" ref="J33:J39" si="1">ROUND(AC89+(AC89*LT_COS_RATE),2)</f>
        <v>14.18</v>
      </c>
      <c r="K33" s="342"/>
      <c r="L33" s="3">
        <f t="shared" ref="L33:L39" si="2">ROUND(F33*J33,0)</f>
        <v>43036</v>
      </c>
      <c r="M33" s="3"/>
      <c r="N33" s="4">
        <f t="shared" ref="N33:N39" si="3">ROUND((L33/L$52)*100,1)</f>
        <v>14.7</v>
      </c>
      <c r="O33" s="4"/>
      <c r="P33" s="3">
        <f t="shared" ref="P33:P39" si="4">ROUND((P$52/H$52)*H33,0)</f>
        <v>430</v>
      </c>
      <c r="Q33" s="3"/>
      <c r="R33" s="3">
        <f t="shared" ref="R33:R39" si="5">P33+L33</f>
        <v>43466</v>
      </c>
      <c r="S33" s="56"/>
      <c r="V33" s="50"/>
      <c r="Y33" s="56"/>
      <c r="Z33" s="326"/>
      <c r="AA33" s="50">
        <v>487</v>
      </c>
      <c r="AB33" s="50"/>
      <c r="AC33" s="50"/>
      <c r="AD33" s="50"/>
      <c r="AE33" s="50"/>
      <c r="AF33" s="50"/>
      <c r="AI33" s="50"/>
      <c r="AJ33" s="50"/>
      <c r="AK33" s="111"/>
      <c r="AL33" s="50"/>
      <c r="AM33" s="46"/>
      <c r="AN33" s="46"/>
    </row>
    <row r="34" spans="1:40">
      <c r="A34" s="41">
        <v>15</v>
      </c>
      <c r="C34" s="42" t="s">
        <v>231</v>
      </c>
      <c r="F34" s="45">
        <v>2290</v>
      </c>
      <c r="G34" s="1"/>
      <c r="H34" s="45">
        <f t="shared" si="0"/>
        <v>101523</v>
      </c>
      <c r="I34" s="3"/>
      <c r="J34" s="132">
        <f t="shared" si="1"/>
        <v>14.43</v>
      </c>
      <c r="K34" s="314"/>
      <c r="L34" s="3">
        <f t="shared" si="2"/>
        <v>33045</v>
      </c>
      <c r="M34" s="3"/>
      <c r="N34" s="4">
        <f t="shared" si="3"/>
        <v>11.3</v>
      </c>
      <c r="O34" s="4"/>
      <c r="P34" s="3">
        <f t="shared" si="4"/>
        <v>354</v>
      </c>
      <c r="Q34" s="3"/>
      <c r="R34" s="3">
        <f t="shared" si="5"/>
        <v>33399</v>
      </c>
      <c r="S34" s="56"/>
      <c r="V34" s="164"/>
      <c r="Y34" s="56"/>
      <c r="Z34" s="326"/>
      <c r="AA34" s="45">
        <v>532</v>
      </c>
      <c r="AB34" s="45"/>
      <c r="AC34" s="46"/>
      <c r="AD34" s="46"/>
      <c r="AE34" s="45"/>
      <c r="AF34" s="45"/>
      <c r="AI34" s="45"/>
      <c r="AJ34" s="45"/>
      <c r="AL34" s="45"/>
      <c r="AM34" s="46"/>
      <c r="AN34" s="46"/>
    </row>
    <row r="35" spans="1:40">
      <c r="A35" s="41">
        <v>16</v>
      </c>
      <c r="C35" s="48" t="s">
        <v>235</v>
      </c>
      <c r="F35" s="45">
        <v>696</v>
      </c>
      <c r="G35" s="1"/>
      <c r="H35" s="45">
        <f t="shared" si="0"/>
        <v>28246</v>
      </c>
      <c r="I35" s="3"/>
      <c r="J35" s="132">
        <f t="shared" si="1"/>
        <v>14.18</v>
      </c>
      <c r="K35" s="314"/>
      <c r="L35" s="3">
        <f t="shared" si="2"/>
        <v>9869</v>
      </c>
      <c r="M35" s="3"/>
      <c r="N35" s="4">
        <f t="shared" si="3"/>
        <v>3.4</v>
      </c>
      <c r="O35" s="4"/>
      <c r="P35" s="3">
        <f t="shared" si="4"/>
        <v>98</v>
      </c>
      <c r="Q35" s="3"/>
      <c r="R35" s="3">
        <f t="shared" si="5"/>
        <v>9967</v>
      </c>
      <c r="S35" s="56"/>
      <c r="V35" s="164"/>
      <c r="Y35" s="56"/>
      <c r="Z35" s="326"/>
      <c r="AA35" s="45">
        <v>487</v>
      </c>
      <c r="AB35" s="45"/>
      <c r="AC35" s="46"/>
      <c r="AD35" s="46"/>
      <c r="AE35" s="45"/>
      <c r="AF35" s="45"/>
      <c r="AI35" s="45"/>
      <c r="AJ35" s="45"/>
      <c r="AL35" s="45"/>
      <c r="AM35" s="46"/>
      <c r="AN35" s="46"/>
    </row>
    <row r="36" spans="1:40">
      <c r="A36" s="41">
        <v>17</v>
      </c>
      <c r="C36" s="42" t="s">
        <v>232</v>
      </c>
      <c r="F36" s="45">
        <v>952</v>
      </c>
      <c r="G36" s="1"/>
      <c r="H36" s="45">
        <f t="shared" si="0"/>
        <v>42205</v>
      </c>
      <c r="I36" s="3"/>
      <c r="J36" s="132">
        <f t="shared" si="1"/>
        <v>14.42</v>
      </c>
      <c r="K36" s="314"/>
      <c r="L36" s="3">
        <f t="shared" si="2"/>
        <v>13728</v>
      </c>
      <c r="M36" s="3"/>
      <c r="N36" s="4">
        <f t="shared" si="3"/>
        <v>4.7</v>
      </c>
      <c r="O36" s="4"/>
      <c r="P36" s="3">
        <f t="shared" si="4"/>
        <v>147</v>
      </c>
      <c r="Q36" s="3"/>
      <c r="R36" s="3">
        <f t="shared" si="5"/>
        <v>13875</v>
      </c>
      <c r="S36" s="56"/>
      <c r="V36" s="164"/>
      <c r="Y36" s="56"/>
      <c r="Z36" s="326"/>
      <c r="AA36" s="45">
        <v>532</v>
      </c>
      <c r="AB36" s="45"/>
      <c r="AC36" s="46"/>
      <c r="AD36" s="46"/>
      <c r="AE36" s="45"/>
      <c r="AF36" s="45"/>
      <c r="AI36" s="45"/>
      <c r="AJ36" s="45"/>
      <c r="AL36" s="45"/>
      <c r="AM36" s="46"/>
      <c r="AN36" s="46"/>
    </row>
    <row r="37" spans="1:40">
      <c r="A37" s="41">
        <v>19</v>
      </c>
      <c r="C37" s="42" t="s">
        <v>233</v>
      </c>
      <c r="F37" s="45">
        <v>2293</v>
      </c>
      <c r="G37" s="1"/>
      <c r="H37" s="45">
        <f t="shared" si="0"/>
        <v>101656</v>
      </c>
      <c r="I37" s="3"/>
      <c r="J37" s="132">
        <f t="shared" si="1"/>
        <v>14.42</v>
      </c>
      <c r="K37" s="314"/>
      <c r="L37" s="3">
        <f t="shared" si="2"/>
        <v>33065</v>
      </c>
      <c r="M37" s="3"/>
      <c r="N37" s="4">
        <f t="shared" si="3"/>
        <v>11.3</v>
      </c>
      <c r="O37" s="4"/>
      <c r="P37" s="3">
        <f t="shared" si="4"/>
        <v>354</v>
      </c>
      <c r="Q37" s="3"/>
      <c r="R37" s="3">
        <f t="shared" si="5"/>
        <v>33419</v>
      </c>
      <c r="S37" s="56"/>
      <c r="V37" s="164"/>
      <c r="Y37" s="56"/>
      <c r="Z37" s="326"/>
      <c r="AA37" s="45">
        <v>532</v>
      </c>
      <c r="AB37" s="45"/>
      <c r="AC37" s="46"/>
      <c r="AD37" s="46"/>
      <c r="AE37" s="45"/>
      <c r="AF37" s="45"/>
      <c r="AI37" s="45"/>
      <c r="AJ37" s="45"/>
      <c r="AL37" s="45"/>
      <c r="AM37" s="46"/>
      <c r="AN37" s="46"/>
    </row>
    <row r="38" spans="1:40">
      <c r="A38" s="41">
        <v>14</v>
      </c>
      <c r="C38" s="42" t="s">
        <v>281</v>
      </c>
      <c r="F38" s="164">
        <v>0</v>
      </c>
      <c r="G38" s="1"/>
      <c r="H38" s="45">
        <f t="shared" si="0"/>
        <v>0</v>
      </c>
      <c r="I38" s="68"/>
      <c r="J38" s="132">
        <f t="shared" si="1"/>
        <v>14.18</v>
      </c>
      <c r="K38" s="342"/>
      <c r="L38" s="3">
        <f t="shared" si="2"/>
        <v>0</v>
      </c>
      <c r="M38" s="3"/>
      <c r="N38" s="4">
        <f t="shared" si="3"/>
        <v>0</v>
      </c>
      <c r="O38" s="4"/>
      <c r="P38" s="3">
        <f t="shared" si="4"/>
        <v>0</v>
      </c>
      <c r="Q38" s="3"/>
      <c r="R38" s="3">
        <f t="shared" si="5"/>
        <v>0</v>
      </c>
      <c r="S38" s="56"/>
      <c r="V38" s="50"/>
      <c r="Y38" s="56"/>
      <c r="Z38" s="326"/>
      <c r="AA38" s="50">
        <v>487</v>
      </c>
      <c r="AB38" s="50"/>
      <c r="AC38" s="50"/>
      <c r="AD38" s="50"/>
      <c r="AE38" s="50"/>
      <c r="AF38" s="50"/>
      <c r="AI38" s="50"/>
      <c r="AJ38" s="50"/>
      <c r="AK38" s="111"/>
      <c r="AL38" s="50"/>
      <c r="AM38" s="46"/>
      <c r="AN38" s="46"/>
    </row>
    <row r="39" spans="1:40">
      <c r="A39" s="41">
        <v>18</v>
      </c>
      <c r="C39" s="42" t="s">
        <v>268</v>
      </c>
      <c r="F39" s="45">
        <v>84</v>
      </c>
      <c r="G39" s="1"/>
      <c r="H39" s="45">
        <f t="shared" si="0"/>
        <v>3724</v>
      </c>
      <c r="I39" s="3"/>
      <c r="J39" s="132">
        <f t="shared" si="1"/>
        <v>14.42</v>
      </c>
      <c r="K39" s="314"/>
      <c r="L39" s="3">
        <f t="shared" si="2"/>
        <v>1211</v>
      </c>
      <c r="M39" s="3"/>
      <c r="N39" s="4">
        <f t="shared" si="3"/>
        <v>0.4</v>
      </c>
      <c r="O39" s="4"/>
      <c r="P39" s="3">
        <f t="shared" si="4"/>
        <v>13</v>
      </c>
      <c r="Q39" s="3"/>
      <c r="R39" s="3">
        <f t="shared" si="5"/>
        <v>1224</v>
      </c>
      <c r="S39" s="56"/>
      <c r="V39" s="164"/>
      <c r="Y39" s="56"/>
      <c r="Z39" s="326"/>
      <c r="AA39" s="45">
        <v>532</v>
      </c>
      <c r="AB39" s="45"/>
      <c r="AC39" s="46"/>
      <c r="AD39" s="46"/>
      <c r="AE39" s="45"/>
      <c r="AF39" s="45"/>
      <c r="AI39" s="45"/>
      <c r="AJ39" s="45"/>
      <c r="AL39" s="45"/>
      <c r="AM39" s="46"/>
      <c r="AN39" s="46"/>
    </row>
    <row r="40" spans="1:40">
      <c r="C40" s="42"/>
      <c r="F40" s="45"/>
      <c r="G40" s="1"/>
      <c r="H40" s="3"/>
      <c r="I40" s="3"/>
      <c r="J40" s="132"/>
      <c r="K40" s="314"/>
      <c r="L40" s="3"/>
      <c r="M40" s="3"/>
      <c r="N40" s="4"/>
      <c r="O40" s="4"/>
      <c r="P40" s="3"/>
      <c r="Q40" s="3"/>
      <c r="R40" s="3"/>
      <c r="S40" s="56"/>
      <c r="V40" s="164"/>
      <c r="Y40" s="164"/>
      <c r="Z40" s="326"/>
      <c r="AA40" s="45"/>
      <c r="AB40" s="45"/>
      <c r="AC40" s="46"/>
      <c r="AD40" s="46"/>
      <c r="AE40" s="45"/>
      <c r="AF40" s="45"/>
      <c r="AI40" s="45"/>
      <c r="AJ40" s="45"/>
      <c r="AL40" s="45"/>
      <c r="AM40" s="46"/>
      <c r="AN40" s="46"/>
    </row>
    <row r="41" spans="1:40">
      <c r="A41" s="41">
        <v>20</v>
      </c>
      <c r="C41" s="133" t="s">
        <v>202</v>
      </c>
      <c r="F41" s="45"/>
      <c r="G41" s="1"/>
      <c r="H41" s="3"/>
      <c r="I41" s="3"/>
      <c r="J41" s="132"/>
      <c r="K41" s="314"/>
      <c r="L41" s="3"/>
      <c r="M41" s="3"/>
      <c r="N41" s="4"/>
      <c r="O41" s="4"/>
      <c r="P41" s="3"/>
      <c r="Q41" s="3"/>
      <c r="R41" s="3"/>
      <c r="S41" s="56"/>
      <c r="V41" s="164"/>
      <c r="Y41" s="164"/>
      <c r="Z41" s="326"/>
      <c r="AA41" s="45"/>
      <c r="AB41" s="45"/>
      <c r="AC41" s="46"/>
      <c r="AD41" s="46"/>
      <c r="AE41" s="45"/>
      <c r="AF41" s="45"/>
      <c r="AI41" s="45"/>
      <c r="AJ41" s="45"/>
      <c r="AL41" s="45"/>
      <c r="AM41" s="46"/>
      <c r="AN41" s="46"/>
    </row>
    <row r="42" spans="1:40">
      <c r="A42" s="41">
        <v>21</v>
      </c>
      <c r="C42" s="48" t="s">
        <v>238</v>
      </c>
      <c r="F42" s="164">
        <v>480</v>
      </c>
      <c r="G42" s="1"/>
      <c r="H42" s="45">
        <f>ROUND(F42*AA42/12,0)</f>
        <v>40920</v>
      </c>
      <c r="I42" s="68"/>
      <c r="J42" s="132">
        <f>ROUND(AC98+(AC98*LT_COS_RATE),2)</f>
        <v>20.73</v>
      </c>
      <c r="K42" s="342"/>
      <c r="L42" s="3">
        <f>ROUND(F42*J42,0)</f>
        <v>9950</v>
      </c>
      <c r="M42" s="3"/>
      <c r="N42" s="4">
        <f>ROUND((L42/L$52)*100,1)</f>
        <v>3.4</v>
      </c>
      <c r="O42" s="4"/>
      <c r="P42" s="3">
        <f>ROUND((P$52/H$52)*H42,0)</f>
        <v>143</v>
      </c>
      <c r="Q42" s="3"/>
      <c r="R42" s="3">
        <f>P42+L42</f>
        <v>10093</v>
      </c>
      <c r="S42" s="56"/>
      <c r="V42" s="50"/>
      <c r="Y42" s="56"/>
      <c r="Z42" s="326"/>
      <c r="AA42" s="50">
        <v>1023</v>
      </c>
      <c r="AB42" s="50"/>
      <c r="AC42" s="50"/>
      <c r="AD42" s="50"/>
      <c r="AE42" s="50"/>
      <c r="AF42" s="50"/>
      <c r="AI42" s="50"/>
      <c r="AJ42" s="50"/>
      <c r="AK42" s="111"/>
      <c r="AL42" s="50"/>
      <c r="AM42" s="46"/>
      <c r="AN42" s="46"/>
    </row>
    <row r="43" spans="1:40">
      <c r="A43" s="41">
        <v>22</v>
      </c>
      <c r="C43" s="48" t="s">
        <v>237</v>
      </c>
      <c r="F43" s="164">
        <v>24</v>
      </c>
      <c r="G43" s="1"/>
      <c r="H43" s="45">
        <f>ROUND(F43*AA43/12,0)</f>
        <v>3918</v>
      </c>
      <c r="I43" s="68"/>
      <c r="J43" s="132">
        <f>ROUND(AC99+(AC99*LT_COS_RATE),2)</f>
        <v>28.09</v>
      </c>
      <c r="K43" s="342"/>
      <c r="L43" s="3">
        <f>ROUND(F43*J43,0)</f>
        <v>674</v>
      </c>
      <c r="M43" s="3"/>
      <c r="N43" s="4">
        <f>ROUND((L43/L$52)*100,1)</f>
        <v>0.2</v>
      </c>
      <c r="O43" s="4"/>
      <c r="P43" s="3">
        <f>ROUND((P$52/H$52)*H43,0)</f>
        <v>14</v>
      </c>
      <c r="Q43" s="3"/>
      <c r="R43" s="3">
        <f>P43+L43</f>
        <v>688</v>
      </c>
      <c r="S43" s="56"/>
      <c r="Y43" s="56"/>
      <c r="AA43" s="45">
        <v>1959</v>
      </c>
      <c r="AB43" s="45"/>
      <c r="AC43" s="45"/>
      <c r="AD43" s="45"/>
      <c r="AI43" s="45"/>
      <c r="AJ43" s="45"/>
      <c r="AL43" s="45"/>
    </row>
    <row r="44" spans="1:40">
      <c r="A44" s="41">
        <v>23</v>
      </c>
      <c r="C44" s="41" t="s">
        <v>236</v>
      </c>
      <c r="F44" s="318">
        <v>0</v>
      </c>
      <c r="G44" s="1"/>
      <c r="H44" s="45">
        <f>ROUND(F44*AA44/12,0)</f>
        <v>0</v>
      </c>
      <c r="I44" s="68"/>
      <c r="J44" s="132">
        <f>ROUND(AC100+(AC100*LT_COS_RATE),2)</f>
        <v>28.09</v>
      </c>
      <c r="K44" s="342"/>
      <c r="L44" s="66">
        <f>ROUND(F44*J44,0)</f>
        <v>0</v>
      </c>
      <c r="M44" s="3"/>
      <c r="N44" s="70">
        <f>ROUND((L44/L$52)*100,1)</f>
        <v>0</v>
      </c>
      <c r="O44" s="4"/>
      <c r="P44" s="66">
        <f>ROUND((P$52/H$52)*H44,0)</f>
        <v>0</v>
      </c>
      <c r="Q44" s="3"/>
      <c r="R44" s="66">
        <f>P44+L44</f>
        <v>0</v>
      </c>
      <c r="S44" s="56"/>
      <c r="Y44" s="56"/>
      <c r="AA44" s="45">
        <v>1959</v>
      </c>
      <c r="AD44" s="45"/>
      <c r="AI44" s="45"/>
      <c r="AJ44" s="45"/>
      <c r="AL44" s="45"/>
    </row>
    <row r="45" spans="1:40" ht="20.100000000000001" customHeight="1">
      <c r="A45" s="41">
        <v>24</v>
      </c>
      <c r="C45" s="310" t="s">
        <v>472</v>
      </c>
      <c r="F45" s="71">
        <f>SUM(F22:F44)</f>
        <v>20531</v>
      </c>
      <c r="G45" s="1"/>
      <c r="H45" s="71">
        <f>SUM(H22:H44)</f>
        <v>1209602</v>
      </c>
      <c r="I45" s="68"/>
      <c r="J45" s="132"/>
      <c r="K45" s="342"/>
      <c r="L45" s="71">
        <f>SUM(L22:L44)</f>
        <v>288471</v>
      </c>
      <c r="M45" s="3"/>
      <c r="N45" s="74">
        <f>ROUND((L45/L$52)*100,1)</f>
        <v>98.5</v>
      </c>
      <c r="O45" s="4"/>
      <c r="P45" s="71">
        <f>SUM(P22:P44)</f>
        <v>4218</v>
      </c>
      <c r="Q45" s="3"/>
      <c r="R45" s="71">
        <f>SUM(R22:R44)</f>
        <v>292689</v>
      </c>
      <c r="S45" s="56"/>
      <c r="Y45" s="56"/>
      <c r="AD45" s="45"/>
      <c r="AI45" s="45"/>
      <c r="AJ45" s="45"/>
      <c r="AL45" s="45"/>
    </row>
    <row r="46" spans="1:40">
      <c r="C46" s="310"/>
      <c r="F46" s="164"/>
      <c r="G46" s="1"/>
      <c r="H46" s="45"/>
      <c r="I46" s="68"/>
      <c r="J46" s="132"/>
      <c r="K46" s="342"/>
      <c r="L46" s="3"/>
      <c r="M46" s="3"/>
      <c r="N46" s="4"/>
      <c r="O46" s="4"/>
      <c r="P46" s="3"/>
      <c r="Q46" s="3"/>
      <c r="R46" s="3"/>
      <c r="S46" s="56"/>
      <c r="Y46" s="56"/>
      <c r="AD46" s="45"/>
      <c r="AI46" s="45"/>
      <c r="AJ46" s="45"/>
      <c r="AL46" s="45"/>
    </row>
    <row r="47" spans="1:40">
      <c r="A47" s="41">
        <v>25</v>
      </c>
      <c r="C47" s="133" t="s">
        <v>467</v>
      </c>
      <c r="F47" s="164"/>
      <c r="G47" s="1"/>
      <c r="H47" s="45"/>
      <c r="I47" s="68"/>
      <c r="J47" s="132"/>
      <c r="K47" s="342"/>
      <c r="L47" s="3"/>
      <c r="M47" s="3"/>
      <c r="N47" s="4"/>
      <c r="O47" s="4"/>
      <c r="P47" s="3"/>
      <c r="Q47" s="3"/>
      <c r="R47" s="3"/>
      <c r="S47" s="56"/>
      <c r="Y47" s="56"/>
      <c r="AD47" s="45"/>
      <c r="AI47" s="45"/>
      <c r="AJ47" s="45"/>
      <c r="AL47" s="45"/>
    </row>
    <row r="48" spans="1:40">
      <c r="A48" s="41">
        <v>26</v>
      </c>
      <c r="C48" s="128" t="str">
        <f>ESM_Name</f>
        <v>ENVIRONMENTAL SURCHARGE MECHANISM RIDER (ESM)</v>
      </c>
      <c r="F48" s="3"/>
      <c r="G48" s="1"/>
      <c r="H48" s="3"/>
      <c r="I48" s="3"/>
      <c r="J48" s="390">
        <f>PRO_ESM_NONRES</f>
        <v>5.4606095773317587E-3</v>
      </c>
      <c r="K48" s="342"/>
      <c r="L48" s="3">
        <f>ROUND((R45-(PRO_BASE_FUEL*H45)+R49)*J48,0)</f>
        <v>1391</v>
      </c>
      <c r="M48" s="3"/>
      <c r="N48" s="4">
        <f>ROUND((L48/L$52)*100,1)</f>
        <v>0.5</v>
      </c>
      <c r="O48" s="4"/>
      <c r="P48" s="3"/>
      <c r="Q48" s="3"/>
      <c r="R48" s="3">
        <f>P48+L48</f>
        <v>1391</v>
      </c>
      <c r="S48" s="56"/>
      <c r="Y48" s="56"/>
      <c r="AD48" s="45"/>
      <c r="AI48" s="45"/>
      <c r="AJ48" s="45"/>
      <c r="AL48" s="45"/>
    </row>
    <row r="49" spans="1:47">
      <c r="A49" s="41">
        <v>29</v>
      </c>
      <c r="C49" s="128" t="str">
        <f>PSM_Name</f>
        <v>PROFIT SHARING MECHANISM (PSM)</v>
      </c>
      <c r="F49" s="3"/>
      <c r="G49" s="1"/>
      <c r="H49" s="3"/>
      <c r="I49" s="3"/>
      <c r="J49" s="327">
        <f>PRO_PSM</f>
        <v>2.4750000000000002E-3</v>
      </c>
      <c r="K49" s="342"/>
      <c r="L49" s="66">
        <f>ROUND($H$45*J49,0)</f>
        <v>2994</v>
      </c>
      <c r="M49" s="3"/>
      <c r="N49" s="104">
        <f>ROUND((L49/L$52)*100,1)</f>
        <v>1</v>
      </c>
      <c r="O49" s="4"/>
      <c r="P49" s="66"/>
      <c r="Q49" s="3"/>
      <c r="R49" s="66">
        <f>P49+L49</f>
        <v>2994</v>
      </c>
      <c r="S49" s="56"/>
      <c r="Y49" s="56"/>
      <c r="AD49" s="45"/>
      <c r="AI49" s="45"/>
      <c r="AJ49" s="45"/>
      <c r="AL49" s="45"/>
    </row>
    <row r="50" spans="1:47" ht="20.100000000000001" customHeight="1">
      <c r="A50" s="41">
        <v>30</v>
      </c>
      <c r="C50" s="133" t="s">
        <v>463</v>
      </c>
      <c r="F50" s="318"/>
      <c r="G50" s="1"/>
      <c r="H50" s="343"/>
      <c r="I50" s="68"/>
      <c r="J50" s="132"/>
      <c r="K50" s="342"/>
      <c r="L50" s="66">
        <f>SUM(L48:L49)</f>
        <v>4385</v>
      </c>
      <c r="M50" s="3"/>
      <c r="N50" s="105">
        <f>ROUND((L50/L$52)*100,1)</f>
        <v>1.5</v>
      </c>
      <c r="O50" s="4"/>
      <c r="P50" s="72"/>
      <c r="Q50" s="3"/>
      <c r="R50" s="72">
        <f>SUM(R48:R49)</f>
        <v>4385</v>
      </c>
      <c r="S50" s="56"/>
      <c r="Y50" s="56"/>
      <c r="AD50" s="45"/>
      <c r="AI50" s="45"/>
      <c r="AJ50" s="45"/>
      <c r="AL50" s="45"/>
    </row>
    <row r="51" spans="1:47">
      <c r="F51" s="164"/>
      <c r="G51" s="1"/>
      <c r="H51" s="45"/>
      <c r="I51" s="68"/>
      <c r="J51" s="132"/>
      <c r="K51" s="342"/>
      <c r="L51" s="3"/>
      <c r="M51" s="3"/>
      <c r="N51" s="4"/>
      <c r="O51" s="4"/>
      <c r="P51" s="3"/>
      <c r="Q51" s="3"/>
      <c r="R51" s="3"/>
      <c r="S51" s="56"/>
      <c r="Y51" s="56"/>
      <c r="AD51" s="45"/>
      <c r="AI51" s="45"/>
      <c r="AJ51" s="45"/>
      <c r="AL51" s="45"/>
    </row>
    <row r="52" spans="1:47" ht="20.100000000000001" customHeight="1" thickBot="1">
      <c r="A52" s="41">
        <v>31</v>
      </c>
      <c r="C52" s="133" t="s">
        <v>473</v>
      </c>
      <c r="F52" s="67">
        <f>SUM(F22:F44)</f>
        <v>20531</v>
      </c>
      <c r="G52" s="1"/>
      <c r="H52" s="67">
        <f>SUM(H22:H44)</f>
        <v>1209602</v>
      </c>
      <c r="I52" s="3"/>
      <c r="J52" s="342"/>
      <c r="K52" s="342"/>
      <c r="L52" s="67">
        <f>L50+L45</f>
        <v>292856</v>
      </c>
      <c r="M52" s="3"/>
      <c r="N52" s="396">
        <v>100</v>
      </c>
      <c r="O52" s="6"/>
      <c r="P52" s="402">
        <f>ROUND(H52*CUR_FAC,0)</f>
        <v>4218</v>
      </c>
      <c r="Q52" s="3"/>
      <c r="R52" s="67">
        <f>R50+R45</f>
        <v>297074</v>
      </c>
    </row>
    <row r="53" spans="1:47" ht="16.5" thickTop="1">
      <c r="F53" s="1"/>
      <c r="G53" s="1"/>
      <c r="H53" s="1"/>
      <c r="I53" s="1"/>
      <c r="J53" s="5"/>
      <c r="K53" s="1"/>
      <c r="L53" s="1"/>
      <c r="M53" s="1"/>
      <c r="N53" s="1"/>
      <c r="O53" s="1"/>
      <c r="P53" s="1"/>
      <c r="Q53" s="1"/>
      <c r="R53" s="1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00"/>
      <c r="AH53" s="40"/>
      <c r="AI53" s="40"/>
      <c r="AJ53" s="40"/>
      <c r="AK53" s="100"/>
      <c r="AL53" s="40"/>
      <c r="AM53" s="40"/>
      <c r="AN53" s="40"/>
      <c r="AO53" s="40"/>
      <c r="AP53" s="40"/>
      <c r="AQ53" s="100"/>
    </row>
    <row r="54" spans="1:47">
      <c r="C54" s="140" t="s">
        <v>76</v>
      </c>
      <c r="F54" s="164"/>
      <c r="H54" s="164"/>
      <c r="I54" s="164"/>
      <c r="J54" s="132"/>
      <c r="K54" s="316"/>
      <c r="L54" s="45"/>
      <c r="M54" s="45"/>
      <c r="N54" s="46"/>
      <c r="O54" s="46"/>
      <c r="P54" s="45"/>
      <c r="Q54" s="45"/>
      <c r="R54" s="45"/>
      <c r="AS54" s="45"/>
      <c r="AT54" s="45"/>
      <c r="AU54" s="46"/>
    </row>
    <row r="55" spans="1:47">
      <c r="C55" s="140" t="str">
        <f>"(2) REFLECTS FUEL COMPONENT OF "&amp;TEXT(PRO_FAC,"$0.000000;($0.000000)")&amp;" PER KWH."</f>
        <v>(2) REFLECTS FUEL COMPONENT OF $0.003487 PER KWH.</v>
      </c>
      <c r="F55" s="164"/>
      <c r="H55" s="164"/>
      <c r="I55" s="164"/>
      <c r="J55" s="132"/>
      <c r="K55" s="316"/>
      <c r="L55" s="45"/>
      <c r="M55" s="45"/>
      <c r="N55" s="46"/>
      <c r="O55" s="46"/>
      <c r="P55" s="45"/>
      <c r="Q55" s="45"/>
      <c r="R55" s="45"/>
      <c r="AS55" s="45"/>
      <c r="AT55" s="45"/>
      <c r="AU55" s="46"/>
    </row>
    <row r="56" spans="1:47">
      <c r="C56" s="140" t="str">
        <f>"(3) REFLECTS FUEL COST RECOVERY INCLUDED IN BASE RATES OF "&amp;TEXT(PRO_BASE_FUEL,"$0.000000;($0.000000)")&amp;"  PER KWH."</f>
        <v>(3) REFLECTS FUEL COST RECOVERY INCLUDED IN BASE RATES OF $0.033780  PER KWH.</v>
      </c>
      <c r="F56" s="164"/>
      <c r="H56" s="164"/>
      <c r="I56" s="164"/>
      <c r="J56" s="132"/>
      <c r="K56" s="316"/>
      <c r="L56" s="45"/>
      <c r="M56" s="45"/>
      <c r="N56" s="46"/>
      <c r="O56" s="46"/>
      <c r="P56" s="45"/>
      <c r="Q56" s="45"/>
      <c r="R56" s="45"/>
      <c r="V56" s="42"/>
      <c r="Y56" s="45"/>
      <c r="AC56" s="53"/>
      <c r="AD56" s="53"/>
      <c r="AE56" s="45"/>
      <c r="AF56" s="45"/>
      <c r="AO56" s="45"/>
      <c r="AP56" s="45"/>
      <c r="AS56" s="45"/>
      <c r="AT56" s="45"/>
      <c r="AU56" s="46"/>
    </row>
    <row r="57" spans="1:47">
      <c r="J57" s="56"/>
      <c r="L57" s="42"/>
      <c r="M57" s="42"/>
      <c r="T57" s="40" t="str">
        <f>NAME</f>
        <v>DUKE ENERGY KENTUCKY, INC.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00"/>
      <c r="AH57" s="40"/>
      <c r="AI57" s="40"/>
      <c r="AJ57" s="40"/>
      <c r="AK57" s="100"/>
      <c r="AL57" s="40"/>
      <c r="AM57" s="40"/>
      <c r="AN57" s="40"/>
      <c r="AO57" s="40"/>
      <c r="AP57" s="40"/>
      <c r="AQ57" s="100"/>
      <c r="AR57" s="164"/>
    </row>
    <row r="58" spans="1:47">
      <c r="F58" s="45"/>
      <c r="H58" s="45"/>
      <c r="I58" s="45"/>
      <c r="J58" s="56"/>
      <c r="K58" s="56"/>
      <c r="L58" s="50"/>
      <c r="M58" s="395"/>
      <c r="N58" s="51"/>
      <c r="O58" s="51"/>
      <c r="P58" s="45"/>
      <c r="Q58" s="45"/>
      <c r="R58" s="45"/>
      <c r="T58" s="40" t="str">
        <f>CASE_NO</f>
        <v>CASE NO.   2024-00354</v>
      </c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00"/>
      <c r="AH58" s="40"/>
      <c r="AI58" s="40"/>
      <c r="AJ58" s="40"/>
      <c r="AK58" s="100"/>
      <c r="AL58" s="40"/>
      <c r="AM58" s="40"/>
      <c r="AN58" s="40"/>
      <c r="AO58" s="40"/>
      <c r="AP58" s="40"/>
      <c r="AQ58" s="100"/>
      <c r="AR58" s="164"/>
    </row>
    <row r="59" spans="1:47"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50"/>
      <c r="T59" s="40" t="str">
        <f>TITLE</f>
        <v>ANNUALIZED TEST YEAR REVENUES AT PROPOSED VS. MOST CURRENT RATES</v>
      </c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100"/>
      <c r="AH59" s="40"/>
      <c r="AI59" s="40"/>
      <c r="AJ59" s="40"/>
      <c r="AK59" s="100"/>
      <c r="AL59" s="40"/>
      <c r="AM59" s="40"/>
      <c r="AN59" s="40"/>
      <c r="AO59" s="40"/>
      <c r="AP59" s="40"/>
      <c r="AQ59" s="100"/>
      <c r="AR59" s="164"/>
    </row>
    <row r="60" spans="1:47"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T60" s="40" t="str">
        <f>DATE</f>
        <v>FOR THE TWELVE MONTHS ENDED June 30, 2026</v>
      </c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100"/>
      <c r="AH60" s="40"/>
      <c r="AI60" s="40"/>
      <c r="AJ60" s="40"/>
      <c r="AK60" s="100"/>
      <c r="AL60" s="40"/>
      <c r="AM60" s="40"/>
      <c r="AN60" s="40"/>
      <c r="AO60" s="40"/>
      <c r="AP60" s="40"/>
      <c r="AQ60" s="100"/>
      <c r="AR60" s="45"/>
    </row>
    <row r="61" spans="1:47">
      <c r="A61" s="42"/>
      <c r="J61" s="56"/>
      <c r="R61" s="42"/>
      <c r="T61" s="40" t="str">
        <f>SERVICE</f>
        <v>(ELECTRIC SERVICE)</v>
      </c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100"/>
      <c r="AH61" s="40"/>
      <c r="AI61" s="40"/>
      <c r="AJ61" s="40"/>
      <c r="AK61" s="100"/>
      <c r="AL61" s="40"/>
      <c r="AM61" s="40"/>
      <c r="AN61" s="40"/>
      <c r="AO61" s="40"/>
      <c r="AP61" s="40"/>
      <c r="AQ61" s="100"/>
      <c r="AR61" s="45"/>
    </row>
    <row r="62" spans="1:47">
      <c r="A62" s="49"/>
      <c r="B62" s="49"/>
      <c r="C62" s="49"/>
      <c r="D62" s="49"/>
      <c r="E62" s="49"/>
      <c r="F62" s="49"/>
      <c r="G62" s="49"/>
      <c r="H62" s="49"/>
      <c r="I62" s="49"/>
      <c r="J62" s="57"/>
      <c r="K62" s="49"/>
      <c r="L62" s="49"/>
      <c r="M62" s="49"/>
      <c r="N62" s="49"/>
      <c r="O62" s="49"/>
      <c r="P62" s="49"/>
      <c r="Q62" s="49"/>
      <c r="R62" s="49"/>
      <c r="T62" s="41" t="str">
        <f>DATA_PERIOD</f>
        <v>DATA: ____ BASE PERIOD   __X__FORECASTED PERIOD</v>
      </c>
      <c r="AO62" s="42" t="s">
        <v>157</v>
      </c>
      <c r="AP62" s="42"/>
    </row>
    <row r="63" spans="1:47">
      <c r="J63" s="56"/>
      <c r="L63" s="44"/>
      <c r="M63" s="44"/>
      <c r="N63" s="44"/>
      <c r="O63" s="44"/>
      <c r="R63" s="44"/>
      <c r="T63" s="41" t="str">
        <f>TYPE</f>
        <v>TYPE OF FILING: _X_ ORIGINAL   ___UPDATED  ___ REVISED</v>
      </c>
      <c r="AO63" s="48" t="str">
        <f>"PAGE 19 OF "&amp;TEXT(Page_Num_2.2,"00")</f>
        <v>PAGE 19 OF 24</v>
      </c>
      <c r="AP63" s="42"/>
    </row>
    <row r="64" spans="1:47">
      <c r="C64" s="44"/>
      <c r="D64" s="44"/>
      <c r="E64" s="44"/>
      <c r="F64" s="44"/>
      <c r="H64" s="44"/>
      <c r="I64" s="44"/>
      <c r="J64" s="58"/>
      <c r="K64" s="44"/>
      <c r="L64" s="44"/>
      <c r="M64" s="44"/>
      <c r="N64" s="44"/>
      <c r="O64" s="44"/>
      <c r="P64" s="44"/>
      <c r="Q64" s="44"/>
      <c r="R64" s="44"/>
      <c r="T64" s="42" t="s">
        <v>170</v>
      </c>
      <c r="AO64" s="42" t="s">
        <v>3</v>
      </c>
      <c r="AP64" s="42"/>
    </row>
    <row r="65" spans="1:49">
      <c r="A65" s="49"/>
      <c r="B65" s="49"/>
      <c r="C65" s="49"/>
      <c r="D65" s="49"/>
      <c r="E65" s="49"/>
      <c r="F65" s="49"/>
      <c r="G65" s="49"/>
      <c r="H65" s="49"/>
      <c r="I65" s="49"/>
      <c r="J65" s="57"/>
      <c r="K65" s="49"/>
      <c r="L65" s="49"/>
      <c r="M65" s="49"/>
      <c r="N65" s="49"/>
      <c r="O65" s="49"/>
      <c r="P65" s="49"/>
      <c r="Q65" s="49"/>
      <c r="R65" s="49"/>
      <c r="T65" s="130" t="str">
        <f>TIME</f>
        <v>12 Months Projected with Riders</v>
      </c>
      <c r="AF65" s="42"/>
      <c r="AO65" s="45" t="str">
        <f>WIT</f>
        <v>B. L. Sailers</v>
      </c>
    </row>
    <row r="66" spans="1:49">
      <c r="H66" s="44"/>
      <c r="I66" s="44"/>
      <c r="J66" s="58"/>
      <c r="K66" s="44"/>
      <c r="L66" s="44"/>
      <c r="M66" s="44"/>
      <c r="N66" s="44"/>
      <c r="O66" s="44"/>
      <c r="P66" s="44"/>
      <c r="Q66" s="44"/>
      <c r="R66" s="44"/>
      <c r="T66" s="40" t="s">
        <v>130</v>
      </c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100"/>
      <c r="AH66" s="40"/>
      <c r="AI66" s="40"/>
      <c r="AJ66" s="40"/>
      <c r="AK66" s="100"/>
      <c r="AL66" s="40"/>
      <c r="AM66" s="40"/>
      <c r="AN66" s="40"/>
      <c r="AO66" s="40"/>
      <c r="AP66" s="40"/>
      <c r="AQ66" s="100"/>
    </row>
    <row r="67" spans="1:49">
      <c r="C67" s="42"/>
      <c r="D67" s="42"/>
      <c r="E67" s="42"/>
      <c r="J67" s="56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3"/>
      <c r="AF67" s="43"/>
      <c r="AG67" s="101"/>
      <c r="AH67" s="43"/>
      <c r="AI67" s="43"/>
      <c r="AJ67" s="43"/>
      <c r="AK67" s="101"/>
      <c r="AL67" s="43"/>
      <c r="AM67" s="43"/>
      <c r="AN67" s="49"/>
      <c r="AO67" s="49"/>
      <c r="AP67" s="49"/>
      <c r="AQ67" s="107"/>
    </row>
    <row r="68" spans="1:49" ht="18" customHeight="1">
      <c r="C68" s="42"/>
      <c r="J68" s="56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44" t="s">
        <v>8</v>
      </c>
      <c r="AF68" s="44"/>
      <c r="AG68" s="102" t="s">
        <v>7</v>
      </c>
      <c r="AH68" s="44"/>
      <c r="AI68" s="44" t="s">
        <v>9</v>
      </c>
      <c r="AJ68" s="44"/>
      <c r="AK68" s="102" t="s">
        <v>10</v>
      </c>
      <c r="AL68" s="44"/>
      <c r="AN68" s="62"/>
      <c r="AO68" s="63" t="s">
        <v>8</v>
      </c>
      <c r="AP68" s="63"/>
      <c r="AQ68" s="109" t="s">
        <v>11</v>
      </c>
    </row>
    <row r="69" spans="1:49">
      <c r="J69" s="56"/>
      <c r="AC69" s="44" t="s">
        <v>14</v>
      </c>
      <c r="AD69" s="44"/>
      <c r="AE69" s="44" t="s">
        <v>12</v>
      </c>
      <c r="AF69" s="44"/>
      <c r="AG69" s="102" t="s">
        <v>13</v>
      </c>
      <c r="AH69" s="44"/>
      <c r="AI69" s="44" t="s">
        <v>15</v>
      </c>
      <c r="AJ69" s="44"/>
      <c r="AK69" s="102" t="s">
        <v>16</v>
      </c>
      <c r="AL69" s="44"/>
      <c r="AO69" s="44" t="s">
        <v>11</v>
      </c>
      <c r="AP69" s="44"/>
      <c r="AQ69" s="102" t="s">
        <v>9</v>
      </c>
    </row>
    <row r="70" spans="1:49">
      <c r="C70" s="42"/>
      <c r="F70" s="164"/>
      <c r="H70" s="164"/>
      <c r="I70" s="164"/>
      <c r="J70" s="132"/>
      <c r="K70" s="316"/>
      <c r="L70" s="45"/>
      <c r="M70" s="45"/>
      <c r="N70" s="46"/>
      <c r="O70" s="46"/>
      <c r="R70" s="45"/>
      <c r="T70" s="44" t="s">
        <v>17</v>
      </c>
      <c r="V70" s="44" t="s">
        <v>18</v>
      </c>
      <c r="W70" s="44" t="s">
        <v>19</v>
      </c>
      <c r="X70" s="44"/>
      <c r="Y70" s="44" t="s">
        <v>20</v>
      </c>
      <c r="AC70" s="44" t="s">
        <v>8</v>
      </c>
      <c r="AD70" s="44"/>
      <c r="AE70" s="44" t="s">
        <v>841</v>
      </c>
      <c r="AF70" s="44"/>
      <c r="AG70" s="102" t="s">
        <v>841</v>
      </c>
      <c r="AH70" s="44"/>
      <c r="AI70" s="60" t="s">
        <v>964</v>
      </c>
      <c r="AJ70" s="44"/>
      <c r="AK70" s="277" t="s">
        <v>964</v>
      </c>
      <c r="AL70" s="44"/>
      <c r="AM70" s="44" t="s">
        <v>841</v>
      </c>
      <c r="AN70" s="44"/>
      <c r="AO70" s="44" t="s">
        <v>9</v>
      </c>
      <c r="AP70" s="44"/>
      <c r="AQ70" s="102" t="s">
        <v>21</v>
      </c>
      <c r="AU70" s="44"/>
    </row>
    <row r="71" spans="1:49">
      <c r="C71" s="42"/>
      <c r="F71" s="164"/>
      <c r="H71" s="164"/>
      <c r="I71" s="164"/>
      <c r="J71" s="132"/>
      <c r="K71" s="316"/>
      <c r="L71" s="45"/>
      <c r="M71" s="45"/>
      <c r="N71" s="46"/>
      <c r="O71" s="46"/>
      <c r="R71" s="45"/>
      <c r="T71" s="44" t="s">
        <v>22</v>
      </c>
      <c r="V71" s="44" t="s">
        <v>23</v>
      </c>
      <c r="W71" s="44" t="s">
        <v>24</v>
      </c>
      <c r="X71" s="44"/>
      <c r="Y71" s="44" t="s">
        <v>25</v>
      </c>
      <c r="AA71" s="44" t="s">
        <v>26</v>
      </c>
      <c r="AB71" s="44"/>
      <c r="AC71" s="60" t="s">
        <v>324</v>
      </c>
      <c r="AD71" s="44"/>
      <c r="AE71" s="44" t="s">
        <v>9</v>
      </c>
      <c r="AF71" s="44"/>
      <c r="AG71" s="102" t="s">
        <v>9</v>
      </c>
      <c r="AH71" s="44"/>
      <c r="AI71" s="304" t="s">
        <v>29</v>
      </c>
      <c r="AJ71" s="304"/>
      <c r="AK71" s="311" t="s">
        <v>30</v>
      </c>
      <c r="AL71" s="44"/>
      <c r="AM71" s="44" t="s">
        <v>323</v>
      </c>
      <c r="AN71" s="44"/>
      <c r="AO71" s="304" t="s">
        <v>31</v>
      </c>
      <c r="AP71" s="304"/>
      <c r="AQ71" s="311" t="s">
        <v>32</v>
      </c>
      <c r="AU71" s="44"/>
      <c r="AW71" s="41" t="s">
        <v>299</v>
      </c>
    </row>
    <row r="72" spans="1:49">
      <c r="C72" s="42"/>
      <c r="F72" s="164"/>
      <c r="H72" s="164"/>
      <c r="I72" s="164"/>
      <c r="J72" s="132"/>
      <c r="K72" s="316"/>
      <c r="L72" s="45"/>
      <c r="M72" s="45"/>
      <c r="N72" s="46"/>
      <c r="O72" s="46"/>
      <c r="R72" s="45"/>
      <c r="V72" s="304" t="s">
        <v>33</v>
      </c>
      <c r="W72" s="304" t="s">
        <v>34</v>
      </c>
      <c r="X72" s="304"/>
      <c r="Y72" s="304" t="s">
        <v>35</v>
      </c>
      <c r="Z72" s="130"/>
      <c r="AA72" s="304" t="s">
        <v>36</v>
      </c>
      <c r="AB72" s="304"/>
      <c r="AC72" s="304" t="s">
        <v>42</v>
      </c>
      <c r="AD72" s="304"/>
      <c r="AE72" s="304" t="s">
        <v>43</v>
      </c>
      <c r="AF72" s="304"/>
      <c r="AG72" s="311" t="s">
        <v>44</v>
      </c>
      <c r="AH72" s="304"/>
      <c r="AI72" s="304" t="s">
        <v>45</v>
      </c>
      <c r="AJ72" s="304"/>
      <c r="AK72" s="311" t="s">
        <v>46</v>
      </c>
      <c r="AL72" s="304"/>
      <c r="AM72" s="304" t="s">
        <v>40</v>
      </c>
      <c r="AN72" s="304"/>
      <c r="AO72" s="304" t="s">
        <v>47</v>
      </c>
      <c r="AP72" s="304"/>
      <c r="AQ72" s="311" t="s">
        <v>48</v>
      </c>
      <c r="AU72" s="44"/>
    </row>
    <row r="73" spans="1:49" ht="17.100000000000001" customHeight="1">
      <c r="F73" s="50"/>
      <c r="H73" s="45"/>
      <c r="I73" s="45"/>
      <c r="J73" s="132"/>
      <c r="K73" s="326"/>
      <c r="L73" s="50"/>
      <c r="M73" s="50"/>
      <c r="N73" s="50"/>
      <c r="O73" s="50"/>
      <c r="P73" s="50"/>
      <c r="Q73" s="50"/>
      <c r="R73" s="50"/>
      <c r="T73" s="62"/>
      <c r="U73" s="62"/>
      <c r="V73" s="62"/>
      <c r="W73" s="62"/>
      <c r="X73" s="62"/>
      <c r="Y73" s="62"/>
      <c r="Z73" s="62"/>
      <c r="AA73" s="345" t="s">
        <v>49</v>
      </c>
      <c r="AB73" s="345"/>
      <c r="AC73" s="344" t="s">
        <v>69</v>
      </c>
      <c r="AD73" s="345"/>
      <c r="AE73" s="345" t="s">
        <v>50</v>
      </c>
      <c r="AF73" s="345"/>
      <c r="AG73" s="346" t="s">
        <v>51</v>
      </c>
      <c r="AH73" s="345"/>
      <c r="AI73" s="345" t="s">
        <v>50</v>
      </c>
      <c r="AJ73" s="345"/>
      <c r="AK73" s="346" t="s">
        <v>51</v>
      </c>
      <c r="AL73" s="345"/>
      <c r="AM73" s="345" t="s">
        <v>50</v>
      </c>
      <c r="AN73" s="345"/>
      <c r="AO73" s="345" t="s">
        <v>50</v>
      </c>
      <c r="AP73" s="345"/>
      <c r="AQ73" s="346" t="s">
        <v>51</v>
      </c>
    </row>
    <row r="74" spans="1:49">
      <c r="C74" s="42"/>
      <c r="F74" s="45"/>
      <c r="H74" s="45"/>
      <c r="I74" s="45"/>
      <c r="J74" s="132"/>
      <c r="K74" s="326"/>
      <c r="L74" s="45"/>
      <c r="M74" s="45"/>
      <c r="N74" s="46"/>
      <c r="O74" s="46"/>
      <c r="P74" s="45"/>
      <c r="Q74" s="45"/>
      <c r="R74" s="45"/>
      <c r="T74" s="41">
        <v>1</v>
      </c>
      <c r="V74" s="133" t="s">
        <v>70</v>
      </c>
      <c r="W74" s="133" t="s">
        <v>71</v>
      </c>
      <c r="X74" s="42"/>
      <c r="Y74" s="1"/>
      <c r="Z74" s="1"/>
      <c r="AA74" s="1"/>
      <c r="AB74" s="1"/>
      <c r="AC74" s="1"/>
      <c r="AD74" s="1"/>
      <c r="AE74" s="1"/>
      <c r="AF74" s="1"/>
      <c r="AG74" s="103"/>
      <c r="AH74" s="1"/>
      <c r="AI74" s="1"/>
      <c r="AJ74" s="1"/>
      <c r="AK74" s="103"/>
      <c r="AL74" s="1"/>
      <c r="AM74" s="1"/>
      <c r="AN74" s="1"/>
      <c r="AO74" s="1"/>
      <c r="AP74" s="1"/>
      <c r="AQ74" s="103"/>
    </row>
    <row r="75" spans="1:49">
      <c r="C75" s="42"/>
      <c r="F75" s="164"/>
      <c r="H75" s="164"/>
      <c r="I75" s="164"/>
      <c r="J75" s="132"/>
      <c r="K75" s="336"/>
      <c r="L75" s="45"/>
      <c r="M75" s="45"/>
      <c r="N75" s="46"/>
      <c r="O75" s="46"/>
      <c r="P75" s="45"/>
      <c r="Q75" s="45"/>
      <c r="R75" s="45"/>
      <c r="S75" s="45"/>
      <c r="T75" s="41">
        <v>2</v>
      </c>
      <c r="V75" s="130"/>
      <c r="W75" s="133" t="s">
        <v>72</v>
      </c>
      <c r="X75" s="42"/>
      <c r="Y75" s="1"/>
      <c r="Z75" s="1"/>
      <c r="AA75" s="1"/>
      <c r="AB75" s="1"/>
      <c r="AC75" s="1"/>
      <c r="AD75" s="1"/>
      <c r="AE75" s="1"/>
      <c r="AF75" s="1"/>
      <c r="AG75" s="103"/>
      <c r="AH75" s="1"/>
      <c r="AI75" s="1"/>
      <c r="AJ75" s="1"/>
      <c r="AK75" s="103"/>
      <c r="AL75" s="1"/>
      <c r="AM75" s="1"/>
      <c r="AN75" s="1"/>
      <c r="AO75" s="1"/>
      <c r="AP75" s="1"/>
      <c r="AQ75" s="103"/>
    </row>
    <row r="76" spans="1:49">
      <c r="C76" s="42"/>
      <c r="F76" s="164"/>
      <c r="H76" s="164"/>
      <c r="I76" s="164"/>
      <c r="J76" s="132"/>
      <c r="K76" s="316"/>
      <c r="L76" s="45"/>
      <c r="M76" s="45"/>
      <c r="N76" s="46"/>
      <c r="O76" s="46"/>
      <c r="P76" s="45"/>
      <c r="Q76" s="45"/>
      <c r="R76" s="45"/>
      <c r="V76" s="130"/>
      <c r="W76" s="130"/>
      <c r="Y76" s="1"/>
      <c r="Z76" s="1"/>
      <c r="AA76" s="1"/>
      <c r="AB76" s="1"/>
      <c r="AC76" s="5"/>
      <c r="AD76" s="1"/>
      <c r="AE76" s="1"/>
      <c r="AF76" s="1"/>
      <c r="AG76" s="103"/>
      <c r="AH76" s="1"/>
      <c r="AI76" s="1"/>
      <c r="AJ76" s="1"/>
      <c r="AK76" s="103"/>
      <c r="AL76" s="1"/>
      <c r="AM76" s="1"/>
      <c r="AN76" s="1"/>
      <c r="AO76" s="1"/>
      <c r="AP76" s="1"/>
      <c r="AQ76" s="103"/>
    </row>
    <row r="77" spans="1:49">
      <c r="C77" s="42"/>
      <c r="F77" s="164"/>
      <c r="H77" s="164"/>
      <c r="I77" s="164"/>
      <c r="J77" s="132"/>
      <c r="K77" s="316"/>
      <c r="L77" s="45"/>
      <c r="M77" s="45"/>
      <c r="N77" s="46"/>
      <c r="O77" s="46"/>
      <c r="P77" s="45"/>
      <c r="Q77" s="45"/>
      <c r="R77" s="45"/>
      <c r="T77" s="41">
        <v>3</v>
      </c>
      <c r="V77" s="310" t="s">
        <v>229</v>
      </c>
      <c r="W77" s="130"/>
      <c r="Y77" s="68"/>
      <c r="Z77" s="3"/>
      <c r="AA77" s="68"/>
      <c r="AB77" s="68"/>
      <c r="AC77" s="342"/>
      <c r="AD77" s="342"/>
      <c r="AE77" s="3"/>
      <c r="AF77" s="3"/>
      <c r="AG77" s="103"/>
      <c r="AH77" s="4"/>
      <c r="AI77" s="3"/>
      <c r="AJ77" s="3"/>
      <c r="AK77" s="103"/>
      <c r="AL77" s="6"/>
      <c r="AM77" s="3"/>
      <c r="AN77" s="3"/>
      <c r="AO77" s="3"/>
      <c r="AP77" s="3"/>
      <c r="AQ77" s="103"/>
    </row>
    <row r="78" spans="1:49">
      <c r="C78" s="42"/>
      <c r="F78" s="164"/>
      <c r="H78" s="164"/>
      <c r="I78" s="164"/>
      <c r="J78" s="132"/>
      <c r="K78" s="316"/>
      <c r="L78" s="45"/>
      <c r="M78" s="45"/>
      <c r="N78" s="46"/>
      <c r="O78" s="46"/>
      <c r="P78" s="45"/>
      <c r="Q78" s="45"/>
      <c r="R78" s="45"/>
      <c r="T78" s="41">
        <v>4</v>
      </c>
      <c r="V78" s="42" t="s">
        <v>230</v>
      </c>
      <c r="Y78" s="68">
        <f>F22</f>
        <v>5338</v>
      </c>
      <c r="Z78" s="3"/>
      <c r="AA78" s="68">
        <f>H22</f>
        <v>379443</v>
      </c>
      <c r="AB78" s="68"/>
      <c r="AC78" s="132">
        <v>11.78</v>
      </c>
      <c r="AD78" s="342"/>
      <c r="AE78" s="3">
        <f>ROUND(Y78*AC78,0)</f>
        <v>62882</v>
      </c>
      <c r="AF78" s="3"/>
      <c r="AG78" s="103">
        <f>ROUND((AE78/AE$108)*100,1)</f>
        <v>24.5</v>
      </c>
      <c r="AH78" s="4"/>
      <c r="AI78" s="3">
        <f>L22-AE78</f>
        <v>8967</v>
      </c>
      <c r="AJ78" s="3"/>
      <c r="AK78" s="103">
        <f>IF(AE78=0,"0.0 ",ROUND((AI78/AE78)*100,1))</f>
        <v>14.3</v>
      </c>
      <c r="AL78" s="6"/>
      <c r="AM78" s="3">
        <f>ROUND((AM$108/AA$108)*AA78,0)</f>
        <v>1323</v>
      </c>
      <c r="AN78" s="3"/>
      <c r="AO78" s="3">
        <f>AM78+AE78</f>
        <v>64205</v>
      </c>
      <c r="AP78" s="3"/>
      <c r="AQ78" s="103">
        <f>IF(AO78=0,"0.0 ",ROUND((AI78/AO78)*100,1))</f>
        <v>14</v>
      </c>
      <c r="AU78" s="56"/>
      <c r="AW78" s="45">
        <f>853</f>
        <v>853</v>
      </c>
    </row>
    <row r="79" spans="1:49">
      <c r="C79" s="42"/>
      <c r="F79" s="164"/>
      <c r="H79" s="164"/>
      <c r="I79" s="164"/>
      <c r="J79" s="132"/>
      <c r="K79" s="316"/>
      <c r="L79" s="45"/>
      <c r="M79" s="45"/>
      <c r="N79" s="46"/>
      <c r="O79" s="46"/>
      <c r="P79" s="45"/>
      <c r="Q79" s="45"/>
      <c r="R79" s="45"/>
      <c r="T79" s="41">
        <v>5</v>
      </c>
      <c r="V79" s="42" t="s">
        <v>231</v>
      </c>
      <c r="Y79" s="68">
        <f>F23</f>
        <v>2105</v>
      </c>
      <c r="Z79" s="3"/>
      <c r="AA79" s="68">
        <f>H23</f>
        <v>153314</v>
      </c>
      <c r="AB79" s="68"/>
      <c r="AC79" s="132">
        <v>11.83</v>
      </c>
      <c r="AD79" s="342"/>
      <c r="AE79" s="3">
        <f>ROUND(Y79*AC79,0)</f>
        <v>24902</v>
      </c>
      <c r="AF79" s="3"/>
      <c r="AG79" s="103">
        <f>ROUND((AE79/AE$108)*100,1)</f>
        <v>9.6999999999999993</v>
      </c>
      <c r="AH79" s="4"/>
      <c r="AI79" s="3">
        <f>L23-AE79</f>
        <v>3558</v>
      </c>
      <c r="AJ79" s="3"/>
      <c r="AK79" s="113">
        <f>IF(AE79=0,"0.0 ",ROUND((AI79/AE79)*100,1))</f>
        <v>14.3</v>
      </c>
      <c r="AL79" s="6"/>
      <c r="AM79" s="3">
        <f>ROUND((AM$108/AA$108)*AA79,0)</f>
        <v>535</v>
      </c>
      <c r="AN79" s="3"/>
      <c r="AO79" s="3">
        <f>AM79+AE79</f>
        <v>25437</v>
      </c>
      <c r="AP79" s="3"/>
      <c r="AQ79" s="113">
        <f>IF(AO79=0,"0.0 ",ROUND((AI79/AO79)*100,1))</f>
        <v>14</v>
      </c>
      <c r="AU79" s="56"/>
      <c r="AW79" s="45">
        <v>874</v>
      </c>
    </row>
    <row r="80" spans="1:49">
      <c r="C80" s="42"/>
      <c r="F80" s="164"/>
      <c r="H80" s="164"/>
      <c r="I80" s="164"/>
      <c r="J80" s="132"/>
      <c r="K80" s="316"/>
      <c r="L80" s="45"/>
      <c r="M80" s="45"/>
      <c r="N80" s="46"/>
      <c r="O80" s="46"/>
      <c r="P80" s="45"/>
      <c r="Q80" s="45"/>
      <c r="R80" s="45"/>
      <c r="T80" s="41">
        <v>6</v>
      </c>
      <c r="V80" s="42" t="s">
        <v>232</v>
      </c>
      <c r="Y80" s="68">
        <f>F24</f>
        <v>432</v>
      </c>
      <c r="Z80" s="1"/>
      <c r="AA80" s="68">
        <f>H24</f>
        <v>31464</v>
      </c>
      <c r="AB80" s="1"/>
      <c r="AC80" s="132">
        <v>11.83</v>
      </c>
      <c r="AD80" s="1"/>
      <c r="AE80" s="3">
        <f>ROUND(Y80*AC80,0)</f>
        <v>5111</v>
      </c>
      <c r="AF80" s="1"/>
      <c r="AG80" s="103">
        <f>ROUND((AE80/AE$108)*100,1)</f>
        <v>2</v>
      </c>
      <c r="AH80" s="1"/>
      <c r="AI80" s="3">
        <f>L24-AE80</f>
        <v>730</v>
      </c>
      <c r="AJ80" s="1"/>
      <c r="AK80" s="113">
        <f>IF(AE80=0,"0.0 ",ROUND((AI80/AE80)*100,1))</f>
        <v>14.3</v>
      </c>
      <c r="AL80" s="1"/>
      <c r="AM80" s="3">
        <f>ROUND((AM$108/AA$108)*AA80,0)</f>
        <v>110</v>
      </c>
      <c r="AN80" s="1"/>
      <c r="AO80" s="3">
        <f>AM80+AE80</f>
        <v>5221</v>
      </c>
      <c r="AP80" s="1"/>
      <c r="AQ80" s="113">
        <f>IF(AO80=0,"0.0 ",ROUND((AI80/AO80)*100,1))</f>
        <v>14</v>
      </c>
      <c r="AU80" s="56"/>
      <c r="AW80" s="45">
        <v>874</v>
      </c>
    </row>
    <row r="81" spans="3:49">
      <c r="C81" s="42"/>
      <c r="F81" s="164"/>
      <c r="H81" s="164"/>
      <c r="I81" s="164"/>
      <c r="J81" s="132"/>
      <c r="K81" s="316"/>
      <c r="L81" s="45"/>
      <c r="M81" s="45"/>
      <c r="N81" s="46"/>
      <c r="O81" s="46"/>
      <c r="P81" s="45"/>
      <c r="Q81" s="45"/>
      <c r="R81" s="45"/>
      <c r="T81" s="41">
        <v>7</v>
      </c>
      <c r="V81" s="42" t="s">
        <v>233</v>
      </c>
      <c r="Y81" s="68">
        <f>F25</f>
        <v>120</v>
      </c>
      <c r="Z81" s="1"/>
      <c r="AA81" s="68">
        <f>H25</f>
        <v>8740</v>
      </c>
      <c r="AB81" s="1"/>
      <c r="AC81" s="132">
        <v>11.83</v>
      </c>
      <c r="AD81" s="1"/>
      <c r="AE81" s="3">
        <f>ROUND(Y81*AC81,0)</f>
        <v>1420</v>
      </c>
      <c r="AF81" s="1"/>
      <c r="AG81" s="103">
        <f>ROUND((AE81/AE$108)*100,1)</f>
        <v>0.6</v>
      </c>
      <c r="AH81" s="1"/>
      <c r="AI81" s="3">
        <f>L25-AE81</f>
        <v>202</v>
      </c>
      <c r="AJ81" s="1"/>
      <c r="AK81" s="113">
        <f>IF(AE81=0,"0.0 ",ROUND((AI81/AE81)*100,1))</f>
        <v>14.2</v>
      </c>
      <c r="AL81" s="1"/>
      <c r="AM81" s="3">
        <f>ROUND((AM$108/AA$108)*AA81,0)</f>
        <v>30</v>
      </c>
      <c r="AN81" s="1"/>
      <c r="AO81" s="3">
        <f>AM81+AE81</f>
        <v>1450</v>
      </c>
      <c r="AP81" s="1"/>
      <c r="AQ81" s="113">
        <f>IF(AO81=0,"0.0 ",ROUND((AI81/AO81)*100,1))</f>
        <v>13.9</v>
      </c>
      <c r="AU81" s="56"/>
      <c r="AW81" s="45">
        <v>874</v>
      </c>
    </row>
    <row r="82" spans="3:49">
      <c r="C82" s="42"/>
      <c r="F82" s="164"/>
      <c r="H82" s="164"/>
      <c r="I82" s="164"/>
      <c r="J82" s="132"/>
      <c r="K82" s="316"/>
      <c r="L82" s="45"/>
      <c r="M82" s="45"/>
      <c r="N82" s="46"/>
      <c r="O82" s="46"/>
      <c r="P82" s="45"/>
      <c r="Q82" s="45"/>
      <c r="R82" s="45"/>
      <c r="Y82" s="1"/>
      <c r="Z82" s="1"/>
      <c r="AA82" s="1"/>
      <c r="AB82" s="1"/>
      <c r="AD82" s="1"/>
      <c r="AE82" s="1"/>
      <c r="AF82" s="1"/>
      <c r="AG82" s="103"/>
      <c r="AH82" s="1"/>
      <c r="AI82" s="1"/>
      <c r="AJ82" s="1"/>
      <c r="AK82" s="103"/>
      <c r="AL82" s="1"/>
      <c r="AM82" s="1"/>
      <c r="AN82" s="1"/>
      <c r="AO82" s="1"/>
      <c r="AP82" s="1"/>
      <c r="AQ82" s="103"/>
    </row>
    <row r="83" spans="3:49">
      <c r="F83" s="45"/>
      <c r="H83" s="45"/>
      <c r="I83" s="45"/>
      <c r="J83" s="132"/>
      <c r="K83" s="326"/>
      <c r="L83" s="50"/>
      <c r="M83" s="50"/>
      <c r="N83" s="50"/>
      <c r="O83" s="50"/>
      <c r="P83" s="50"/>
      <c r="Q83" s="50"/>
      <c r="R83" s="50"/>
      <c r="T83" s="41">
        <v>8</v>
      </c>
      <c r="V83" s="133" t="s">
        <v>406</v>
      </c>
      <c r="Y83" s="3"/>
      <c r="Z83" s="1"/>
      <c r="AA83" s="3"/>
      <c r="AB83" s="3"/>
      <c r="AC83" s="132"/>
      <c r="AD83" s="342"/>
      <c r="AE83" s="3"/>
      <c r="AF83" s="3"/>
      <c r="AG83" s="103"/>
      <c r="AH83" s="4"/>
      <c r="AI83" s="3"/>
      <c r="AJ83" s="3"/>
      <c r="AK83" s="113"/>
      <c r="AL83" s="6"/>
      <c r="AM83" s="3"/>
      <c r="AN83" s="3"/>
      <c r="AO83" s="3"/>
      <c r="AP83" s="3"/>
      <c r="AQ83" s="113"/>
      <c r="AW83" s="45"/>
    </row>
    <row r="84" spans="3:49">
      <c r="F84" s="45"/>
      <c r="H84" s="45"/>
      <c r="I84" s="45"/>
      <c r="J84" s="132"/>
      <c r="K84" s="326"/>
      <c r="L84" s="50"/>
      <c r="M84" s="50"/>
      <c r="N84" s="50"/>
      <c r="O84" s="50"/>
      <c r="P84" s="50"/>
      <c r="Q84" s="50"/>
      <c r="R84" s="50"/>
      <c r="T84" s="41">
        <v>9</v>
      </c>
      <c r="V84" s="42" t="s">
        <v>281</v>
      </c>
      <c r="Y84" s="68">
        <f>F28</f>
        <v>2320</v>
      </c>
      <c r="Z84" s="1"/>
      <c r="AA84" s="68">
        <f>H28</f>
        <v>164913</v>
      </c>
      <c r="AB84" s="3"/>
      <c r="AC84" s="132">
        <v>11.78</v>
      </c>
      <c r="AD84" s="342"/>
      <c r="AE84" s="3">
        <f>ROUND(Y84*AC84,0)</f>
        <v>27330</v>
      </c>
      <c r="AF84" s="3"/>
      <c r="AG84" s="103">
        <f>ROUND((AE84/AE$108)*100,1)</f>
        <v>10.6</v>
      </c>
      <c r="AH84" s="4"/>
      <c r="AI84" s="3">
        <f>L28-AE84</f>
        <v>3897</v>
      </c>
      <c r="AJ84" s="3"/>
      <c r="AK84" s="113">
        <f>IF(AE84=0,"0.0 ",ROUND((AI84/AE84)*100,1))</f>
        <v>14.3</v>
      </c>
      <c r="AL84" s="6"/>
      <c r="AM84" s="3">
        <f>ROUND((AM$108/AA$108)*AA84,0)</f>
        <v>575</v>
      </c>
      <c r="AN84" s="3"/>
      <c r="AO84" s="3">
        <f>AM84+AE84</f>
        <v>27905</v>
      </c>
      <c r="AP84" s="3"/>
      <c r="AQ84" s="113">
        <f>IF(AO84=0,"0.0 ",ROUND((AI84/AO84)*100,1))</f>
        <v>14</v>
      </c>
      <c r="AU84" s="56"/>
      <c r="AW84" s="45">
        <v>853</v>
      </c>
    </row>
    <row r="85" spans="3:49">
      <c r="F85" s="45"/>
      <c r="H85" s="45"/>
      <c r="I85" s="45"/>
      <c r="J85" s="132"/>
      <c r="K85" s="326"/>
      <c r="L85" s="50"/>
      <c r="M85" s="50"/>
      <c r="N85" s="50"/>
      <c r="O85" s="50"/>
      <c r="P85" s="50"/>
      <c r="Q85" s="50"/>
      <c r="R85" s="50"/>
      <c r="T85" s="41">
        <v>10</v>
      </c>
      <c r="V85" s="42" t="s">
        <v>407</v>
      </c>
      <c r="Y85" s="68">
        <f>F29</f>
        <v>0</v>
      </c>
      <c r="Z85" s="1"/>
      <c r="AA85" s="68">
        <f>H29</f>
        <v>0</v>
      </c>
      <c r="AB85" s="3"/>
      <c r="AC85" s="132">
        <v>11.83</v>
      </c>
      <c r="AD85" s="342"/>
      <c r="AE85" s="3">
        <f>ROUND(Y85*AC85,0)</f>
        <v>0</v>
      </c>
      <c r="AF85" s="3"/>
      <c r="AG85" s="103">
        <f>ROUND((AE85/AE$108)*100,1)</f>
        <v>0</v>
      </c>
      <c r="AH85" s="4"/>
      <c r="AI85" s="3">
        <f>L29-AE85</f>
        <v>0</v>
      </c>
      <c r="AJ85" s="3"/>
      <c r="AK85" s="113" t="str">
        <f>IF(AE85=0,"0.0 ",ROUND((AI85/AE85)*100,1))</f>
        <v xml:space="preserve">0.0 </v>
      </c>
      <c r="AL85" s="6"/>
      <c r="AM85" s="3">
        <f>ROUND((AM$108/AA$108)*AA85,0)</f>
        <v>0</v>
      </c>
      <c r="AN85" s="3"/>
      <c r="AO85" s="3">
        <f>AM85+AE85</f>
        <v>0</v>
      </c>
      <c r="AP85" s="3"/>
      <c r="AQ85" s="113" t="str">
        <f>IF(AO85=0,"0.0 ",ROUND((AI85/AO85)*100,1))</f>
        <v xml:space="preserve">0.0 </v>
      </c>
      <c r="AU85" s="56"/>
      <c r="AW85" s="45">
        <v>874</v>
      </c>
    </row>
    <row r="86" spans="3:49">
      <c r="F86" s="45"/>
      <c r="H86" s="45"/>
      <c r="I86" s="45"/>
      <c r="J86" s="132"/>
      <c r="K86" s="326"/>
      <c r="L86" s="50"/>
      <c r="M86" s="50"/>
      <c r="N86" s="50"/>
      <c r="O86" s="50"/>
      <c r="P86" s="50"/>
      <c r="Q86" s="50"/>
      <c r="R86" s="50"/>
      <c r="T86" s="41">
        <v>11</v>
      </c>
      <c r="V86" s="42" t="s">
        <v>408</v>
      </c>
      <c r="Y86" s="68">
        <f>F30</f>
        <v>362</v>
      </c>
      <c r="Z86" s="1"/>
      <c r="AA86" s="68">
        <f>H30</f>
        <v>26366</v>
      </c>
      <c r="AB86" s="3"/>
      <c r="AC86" s="132">
        <v>11.83</v>
      </c>
      <c r="AD86" s="342"/>
      <c r="AE86" s="3">
        <f>ROUND(Y86*AC86,0)</f>
        <v>4282</v>
      </c>
      <c r="AF86" s="3"/>
      <c r="AG86" s="103">
        <f>ROUND((AE86/AE$108)*100,1)</f>
        <v>1.7</v>
      </c>
      <c r="AH86" s="4"/>
      <c r="AI86" s="3">
        <f>L30-AE86</f>
        <v>612</v>
      </c>
      <c r="AJ86" s="3"/>
      <c r="AK86" s="113">
        <f>IF(AE86=0,"0.0 ",ROUND((AI86/AE86)*100,1))</f>
        <v>14.3</v>
      </c>
      <c r="AL86" s="6"/>
      <c r="AM86" s="3">
        <f>ROUND((AM$108/AA$108)*AA86,0)</f>
        <v>92</v>
      </c>
      <c r="AN86" s="3"/>
      <c r="AO86" s="3">
        <f>AM86+AE86</f>
        <v>4374</v>
      </c>
      <c r="AP86" s="3"/>
      <c r="AQ86" s="113">
        <f>IF(AO86=0,"0.0 ",ROUND((AI86/AO86)*100,1))</f>
        <v>14</v>
      </c>
      <c r="AU86" s="56"/>
      <c r="AW86" s="45">
        <v>874</v>
      </c>
    </row>
    <row r="87" spans="3:49">
      <c r="C87" s="42"/>
      <c r="F87" s="164"/>
      <c r="H87" s="164"/>
      <c r="I87" s="164"/>
      <c r="J87" s="132"/>
      <c r="K87" s="316"/>
      <c r="L87" s="45"/>
      <c r="M87" s="45"/>
      <c r="N87" s="46"/>
      <c r="O87" s="46"/>
      <c r="P87" s="45"/>
      <c r="Q87" s="45"/>
      <c r="R87" s="45"/>
      <c r="Y87" s="1"/>
      <c r="Z87" s="1"/>
      <c r="AA87" s="1"/>
      <c r="AB87" s="1"/>
      <c r="AD87" s="1"/>
      <c r="AE87" s="1"/>
      <c r="AF87" s="1"/>
      <c r="AG87" s="103"/>
      <c r="AH87" s="1"/>
      <c r="AI87" s="1"/>
      <c r="AJ87" s="1"/>
      <c r="AK87" s="103"/>
      <c r="AL87" s="1"/>
      <c r="AM87" s="1"/>
      <c r="AN87" s="1"/>
      <c r="AO87" s="1"/>
      <c r="AP87" s="1"/>
      <c r="AQ87" s="103"/>
    </row>
    <row r="88" spans="3:49">
      <c r="C88" s="42"/>
      <c r="F88" s="164"/>
      <c r="H88" s="164"/>
      <c r="I88" s="164"/>
      <c r="J88" s="132"/>
      <c r="K88" s="316"/>
      <c r="L88" s="45"/>
      <c r="M88" s="45"/>
      <c r="N88" s="46"/>
      <c r="O88" s="46"/>
      <c r="P88" s="45"/>
      <c r="Q88" s="45"/>
      <c r="R88" s="45"/>
      <c r="T88" s="41">
        <v>12</v>
      </c>
      <c r="V88" s="310" t="s">
        <v>234</v>
      </c>
      <c r="Y88" s="1"/>
      <c r="Z88" s="1"/>
      <c r="AA88" s="1"/>
      <c r="AB88" s="1"/>
      <c r="AC88" s="56"/>
      <c r="AD88" s="1"/>
      <c r="AE88" s="1"/>
      <c r="AF88" s="1"/>
      <c r="AG88" s="103"/>
      <c r="AH88" s="1"/>
      <c r="AI88" s="1"/>
      <c r="AJ88" s="1"/>
      <c r="AK88" s="103"/>
      <c r="AL88" s="1"/>
      <c r="AM88" s="1"/>
      <c r="AN88" s="1"/>
      <c r="AO88" s="1"/>
      <c r="AP88" s="1"/>
      <c r="AQ88" s="103"/>
    </row>
    <row r="89" spans="3:49">
      <c r="C89" s="42"/>
      <c r="F89" s="164"/>
      <c r="H89" s="164"/>
      <c r="I89" s="164"/>
      <c r="J89" s="132"/>
      <c r="K89" s="316"/>
      <c r="L89" s="45"/>
      <c r="M89" s="45"/>
      <c r="N89" s="46"/>
      <c r="O89" s="46"/>
      <c r="P89" s="45"/>
      <c r="Q89" s="45"/>
      <c r="R89" s="45"/>
      <c r="T89" s="41">
        <v>13</v>
      </c>
      <c r="V89" s="42" t="s">
        <v>230</v>
      </c>
      <c r="Y89" s="68">
        <f t="shared" ref="Y89:Y95" si="6">F33</f>
        <v>3035</v>
      </c>
      <c r="Z89" s="1"/>
      <c r="AA89" s="68">
        <f t="shared" ref="AA89:AA95" si="7">H33</f>
        <v>123170</v>
      </c>
      <c r="AB89" s="1"/>
      <c r="AC89" s="132">
        <v>12.41</v>
      </c>
      <c r="AD89" s="1"/>
      <c r="AE89" s="3">
        <f t="shared" ref="AE89:AE95" si="8">ROUND(Y89*AC89,0)</f>
        <v>37664</v>
      </c>
      <c r="AF89" s="1"/>
      <c r="AG89" s="103">
        <f t="shared" ref="AG89:AG95" si="9">ROUND((AE89/AE$108)*100,1)</f>
        <v>14.7</v>
      </c>
      <c r="AH89" s="1"/>
      <c r="AI89" s="3">
        <f t="shared" ref="AI89:AI95" si="10">L33-AE89</f>
        <v>5372</v>
      </c>
      <c r="AJ89" s="1"/>
      <c r="AK89" s="113">
        <f t="shared" ref="AK89:AK95" si="11">IF(AE89=0,"0.0 ",ROUND((AI89/AE89)*100,1))</f>
        <v>14.3</v>
      </c>
      <c r="AL89" s="1"/>
      <c r="AM89" s="3">
        <f t="shared" ref="AM89:AM95" si="12">ROUND((AM$108/AA$108)*AA89,0)</f>
        <v>430</v>
      </c>
      <c r="AN89" s="1"/>
      <c r="AO89" s="3">
        <f t="shared" ref="AO89:AO95" si="13">AM89+AE89</f>
        <v>38094</v>
      </c>
      <c r="AP89" s="1"/>
      <c r="AQ89" s="113">
        <f t="shared" ref="AQ89:AQ95" si="14">IF(AO89=0,"0.0 ",ROUND((AI89/AO89)*100,1))</f>
        <v>14.1</v>
      </c>
      <c r="AU89" s="56"/>
      <c r="AW89" s="164">
        <v>487</v>
      </c>
    </row>
    <row r="90" spans="3:49">
      <c r="C90" s="42"/>
      <c r="F90" s="164"/>
      <c r="H90" s="164"/>
      <c r="I90" s="164"/>
      <c r="J90" s="132"/>
      <c r="K90" s="316"/>
      <c r="L90" s="45"/>
      <c r="M90" s="45"/>
      <c r="N90" s="46"/>
      <c r="O90" s="46"/>
      <c r="P90" s="45"/>
      <c r="Q90" s="45"/>
      <c r="R90" s="45"/>
      <c r="T90" s="41">
        <v>15</v>
      </c>
      <c r="V90" s="42" t="s">
        <v>231</v>
      </c>
      <c r="Y90" s="68">
        <f t="shared" si="6"/>
        <v>2290</v>
      </c>
      <c r="Z90" s="1"/>
      <c r="AA90" s="68">
        <f t="shared" si="7"/>
        <v>101523</v>
      </c>
      <c r="AB90" s="1"/>
      <c r="AC90" s="132">
        <v>12.63</v>
      </c>
      <c r="AD90" s="1"/>
      <c r="AE90" s="3">
        <f t="shared" si="8"/>
        <v>28923</v>
      </c>
      <c r="AF90" s="1"/>
      <c r="AG90" s="103">
        <f t="shared" si="9"/>
        <v>11.3</v>
      </c>
      <c r="AH90" s="1"/>
      <c r="AI90" s="3">
        <f t="shared" si="10"/>
        <v>4122</v>
      </c>
      <c r="AJ90" s="1"/>
      <c r="AK90" s="113">
        <f t="shared" si="11"/>
        <v>14.3</v>
      </c>
      <c r="AL90" s="1"/>
      <c r="AM90" s="3">
        <f t="shared" si="12"/>
        <v>354</v>
      </c>
      <c r="AN90" s="1"/>
      <c r="AO90" s="3">
        <f t="shared" si="13"/>
        <v>29277</v>
      </c>
      <c r="AP90" s="1"/>
      <c r="AQ90" s="113">
        <f t="shared" si="14"/>
        <v>14.1</v>
      </c>
      <c r="AU90" s="56"/>
      <c r="AW90" s="45">
        <v>532</v>
      </c>
    </row>
    <row r="91" spans="3:49">
      <c r="C91" s="42"/>
      <c r="F91" s="164"/>
      <c r="H91" s="164"/>
      <c r="I91" s="164"/>
      <c r="J91" s="132"/>
      <c r="K91" s="316"/>
      <c r="L91" s="45"/>
      <c r="M91" s="45"/>
      <c r="N91" s="46"/>
      <c r="O91" s="46"/>
      <c r="P91" s="45"/>
      <c r="Q91" s="45"/>
      <c r="R91" s="45"/>
      <c r="T91" s="41">
        <v>16</v>
      </c>
      <c r="V91" s="48" t="s">
        <v>235</v>
      </c>
      <c r="Y91" s="68">
        <f t="shared" si="6"/>
        <v>696</v>
      </c>
      <c r="Z91" s="1"/>
      <c r="AA91" s="68">
        <f t="shared" si="7"/>
        <v>28246</v>
      </c>
      <c r="AB91" s="1"/>
      <c r="AC91" s="132">
        <v>12.41</v>
      </c>
      <c r="AD91" s="1"/>
      <c r="AE91" s="3">
        <f t="shared" si="8"/>
        <v>8637</v>
      </c>
      <c r="AF91" s="1"/>
      <c r="AG91" s="103">
        <f t="shared" si="9"/>
        <v>3.4</v>
      </c>
      <c r="AH91" s="1"/>
      <c r="AI91" s="3">
        <f t="shared" si="10"/>
        <v>1232</v>
      </c>
      <c r="AJ91" s="1"/>
      <c r="AK91" s="113">
        <f t="shared" si="11"/>
        <v>14.3</v>
      </c>
      <c r="AL91" s="1"/>
      <c r="AM91" s="3">
        <f t="shared" si="12"/>
        <v>98</v>
      </c>
      <c r="AN91" s="1"/>
      <c r="AO91" s="3">
        <f t="shared" si="13"/>
        <v>8735</v>
      </c>
      <c r="AP91" s="1"/>
      <c r="AQ91" s="113">
        <f t="shared" si="14"/>
        <v>14.1</v>
      </c>
      <c r="AU91" s="56"/>
      <c r="AW91" s="45">
        <v>487</v>
      </c>
    </row>
    <row r="92" spans="3:49">
      <c r="C92" s="42"/>
      <c r="F92" s="45"/>
      <c r="H92" s="45"/>
      <c r="I92" s="45"/>
      <c r="J92" s="132"/>
      <c r="K92" s="326"/>
      <c r="L92" s="45"/>
      <c r="M92" s="45"/>
      <c r="N92" s="46"/>
      <c r="O92" s="46"/>
      <c r="P92" s="45"/>
      <c r="Q92" s="45"/>
      <c r="R92" s="45"/>
      <c r="T92" s="41">
        <v>17</v>
      </c>
      <c r="V92" s="42" t="s">
        <v>232</v>
      </c>
      <c r="Y92" s="68">
        <f t="shared" si="6"/>
        <v>952</v>
      </c>
      <c r="Z92" s="1"/>
      <c r="AA92" s="68">
        <f t="shared" si="7"/>
        <v>42205</v>
      </c>
      <c r="AB92" s="68"/>
      <c r="AC92" s="132">
        <v>12.62</v>
      </c>
      <c r="AD92" s="342"/>
      <c r="AE92" s="3">
        <f t="shared" si="8"/>
        <v>12014</v>
      </c>
      <c r="AF92" s="3"/>
      <c r="AG92" s="103">
        <f t="shared" si="9"/>
        <v>4.7</v>
      </c>
      <c r="AH92" s="4"/>
      <c r="AI92" s="3">
        <f t="shared" si="10"/>
        <v>1714</v>
      </c>
      <c r="AJ92" s="3"/>
      <c r="AK92" s="113">
        <f t="shared" si="11"/>
        <v>14.3</v>
      </c>
      <c r="AL92" s="6"/>
      <c r="AM92" s="3">
        <f t="shared" si="12"/>
        <v>147</v>
      </c>
      <c r="AN92" s="3"/>
      <c r="AO92" s="3">
        <f t="shared" si="13"/>
        <v>12161</v>
      </c>
      <c r="AP92" s="3"/>
      <c r="AQ92" s="113">
        <f t="shared" si="14"/>
        <v>14.1</v>
      </c>
      <c r="AU92" s="56"/>
      <c r="AW92" s="45">
        <v>532</v>
      </c>
    </row>
    <row r="93" spans="3:49">
      <c r="C93" s="42"/>
      <c r="F93" s="45"/>
      <c r="H93" s="45"/>
      <c r="I93" s="45"/>
      <c r="J93" s="132"/>
      <c r="K93" s="326"/>
      <c r="L93" s="45"/>
      <c r="M93" s="45"/>
      <c r="N93" s="45"/>
      <c r="O93" s="45"/>
      <c r="P93" s="45"/>
      <c r="Q93" s="45"/>
      <c r="R93" s="45"/>
      <c r="T93" s="41">
        <v>19</v>
      </c>
      <c r="V93" s="42" t="s">
        <v>233</v>
      </c>
      <c r="Y93" s="68">
        <f t="shared" si="6"/>
        <v>2293</v>
      </c>
      <c r="Z93" s="1"/>
      <c r="AA93" s="68">
        <f t="shared" si="7"/>
        <v>101656</v>
      </c>
      <c r="AB93" s="68"/>
      <c r="AC93" s="132">
        <v>12.62</v>
      </c>
      <c r="AD93" s="314"/>
      <c r="AE93" s="3">
        <f t="shared" si="8"/>
        <v>28938</v>
      </c>
      <c r="AF93" s="3"/>
      <c r="AG93" s="103">
        <f t="shared" si="9"/>
        <v>11.3</v>
      </c>
      <c r="AH93" s="4"/>
      <c r="AI93" s="3">
        <f t="shared" si="10"/>
        <v>4127</v>
      </c>
      <c r="AJ93" s="3"/>
      <c r="AK93" s="113">
        <f t="shared" si="11"/>
        <v>14.3</v>
      </c>
      <c r="AL93" s="6"/>
      <c r="AM93" s="3">
        <f t="shared" si="12"/>
        <v>354</v>
      </c>
      <c r="AN93" s="3"/>
      <c r="AO93" s="3">
        <f t="shared" si="13"/>
        <v>29292</v>
      </c>
      <c r="AP93" s="3"/>
      <c r="AQ93" s="113">
        <f t="shared" si="14"/>
        <v>14.1</v>
      </c>
      <c r="AU93" s="56"/>
      <c r="AW93" s="45">
        <v>532</v>
      </c>
    </row>
    <row r="94" spans="3:49">
      <c r="C94" s="42"/>
      <c r="F94" s="164"/>
      <c r="H94" s="164"/>
      <c r="I94" s="164"/>
      <c r="J94" s="132"/>
      <c r="K94" s="316"/>
      <c r="L94" s="45"/>
      <c r="M94" s="45"/>
      <c r="N94" s="46"/>
      <c r="O94" s="46"/>
      <c r="P94" s="45"/>
      <c r="Q94" s="45"/>
      <c r="R94" s="45"/>
      <c r="T94" s="41">
        <v>14</v>
      </c>
      <c r="V94" s="42" t="s">
        <v>281</v>
      </c>
      <c r="Y94" s="68">
        <f t="shared" si="6"/>
        <v>0</v>
      </c>
      <c r="Z94" s="1"/>
      <c r="AA94" s="68">
        <f t="shared" si="7"/>
        <v>0</v>
      </c>
      <c r="AB94" s="1"/>
      <c r="AC94" s="132">
        <v>12.41</v>
      </c>
      <c r="AD94" s="1"/>
      <c r="AE94" s="3">
        <f t="shared" si="8"/>
        <v>0</v>
      </c>
      <c r="AF94" s="1"/>
      <c r="AG94" s="103">
        <f t="shared" si="9"/>
        <v>0</v>
      </c>
      <c r="AH94" s="1"/>
      <c r="AI94" s="3">
        <f t="shared" si="10"/>
        <v>0</v>
      </c>
      <c r="AJ94" s="1"/>
      <c r="AK94" s="113" t="str">
        <f t="shared" si="11"/>
        <v xml:space="preserve">0.0 </v>
      </c>
      <c r="AL94" s="1"/>
      <c r="AM94" s="3">
        <f t="shared" si="12"/>
        <v>0</v>
      </c>
      <c r="AN94" s="1"/>
      <c r="AO94" s="3">
        <f t="shared" si="13"/>
        <v>0</v>
      </c>
      <c r="AP94" s="1"/>
      <c r="AQ94" s="113" t="str">
        <f t="shared" si="14"/>
        <v xml:space="preserve">0.0 </v>
      </c>
      <c r="AU94" s="56"/>
      <c r="AW94" s="164">
        <v>487</v>
      </c>
    </row>
    <row r="95" spans="3:49">
      <c r="C95" s="42"/>
      <c r="F95" s="45"/>
      <c r="H95" s="45"/>
      <c r="I95" s="45"/>
      <c r="J95" s="132"/>
      <c r="K95" s="326"/>
      <c r="L95" s="45"/>
      <c r="M95" s="45"/>
      <c r="N95" s="46"/>
      <c r="O95" s="46"/>
      <c r="P95" s="45"/>
      <c r="Q95" s="45"/>
      <c r="R95" s="45"/>
      <c r="T95" s="41">
        <v>18</v>
      </c>
      <c r="V95" s="42" t="s">
        <v>268</v>
      </c>
      <c r="Y95" s="68">
        <f t="shared" si="6"/>
        <v>84</v>
      </c>
      <c r="Z95" s="1"/>
      <c r="AA95" s="68">
        <f t="shared" si="7"/>
        <v>3724</v>
      </c>
      <c r="AB95" s="68"/>
      <c r="AC95" s="132">
        <v>12.62</v>
      </c>
      <c r="AD95" s="342"/>
      <c r="AE95" s="3">
        <f t="shared" si="8"/>
        <v>1060</v>
      </c>
      <c r="AF95" s="3"/>
      <c r="AG95" s="103">
        <f t="shared" si="9"/>
        <v>0.4</v>
      </c>
      <c r="AH95" s="4"/>
      <c r="AI95" s="3">
        <f t="shared" si="10"/>
        <v>151</v>
      </c>
      <c r="AJ95" s="3"/>
      <c r="AK95" s="113">
        <f t="shared" si="11"/>
        <v>14.2</v>
      </c>
      <c r="AL95" s="6"/>
      <c r="AM95" s="3">
        <f t="shared" si="12"/>
        <v>13</v>
      </c>
      <c r="AN95" s="3"/>
      <c r="AO95" s="3">
        <f t="shared" si="13"/>
        <v>1073</v>
      </c>
      <c r="AP95" s="3"/>
      <c r="AQ95" s="113">
        <f t="shared" si="14"/>
        <v>14.1</v>
      </c>
      <c r="AU95" s="56"/>
      <c r="AW95" s="45">
        <v>532</v>
      </c>
    </row>
    <row r="96" spans="3:49">
      <c r="C96" s="42"/>
      <c r="F96" s="45"/>
      <c r="H96" s="45"/>
      <c r="I96" s="45"/>
      <c r="J96" s="132"/>
      <c r="K96" s="326"/>
      <c r="L96" s="45"/>
      <c r="M96" s="45"/>
      <c r="N96" s="45"/>
      <c r="O96" s="45"/>
      <c r="P96" s="45"/>
      <c r="Q96" s="45"/>
      <c r="R96" s="45"/>
      <c r="V96" s="42"/>
      <c r="Y96" s="68"/>
      <c r="Z96" s="3"/>
      <c r="AA96" s="68"/>
      <c r="AB96" s="68"/>
      <c r="AC96" s="132"/>
      <c r="AD96" s="314"/>
      <c r="AE96" s="3"/>
      <c r="AF96" s="3"/>
      <c r="AG96" s="103"/>
      <c r="AH96" s="4"/>
      <c r="AI96" s="3"/>
      <c r="AJ96" s="3"/>
      <c r="AK96" s="103"/>
      <c r="AL96" s="6"/>
      <c r="AM96" s="3"/>
      <c r="AN96" s="3"/>
      <c r="AO96" s="3"/>
      <c r="AP96" s="3"/>
      <c r="AQ96" s="103"/>
      <c r="AW96" s="45"/>
    </row>
    <row r="97" spans="3:49">
      <c r="C97" s="42"/>
      <c r="F97" s="45"/>
      <c r="H97" s="45"/>
      <c r="I97" s="45"/>
      <c r="J97" s="132"/>
      <c r="K97" s="326"/>
      <c r="L97" s="45"/>
      <c r="M97" s="45"/>
      <c r="N97" s="45"/>
      <c r="O97" s="45"/>
      <c r="P97" s="45"/>
      <c r="Q97" s="45"/>
      <c r="R97" s="45"/>
      <c r="T97" s="41">
        <v>20</v>
      </c>
      <c r="V97" s="133" t="s">
        <v>202</v>
      </c>
      <c r="Y97" s="68"/>
      <c r="Z97" s="3"/>
      <c r="AA97" s="68"/>
      <c r="AB97" s="68"/>
      <c r="AC97" s="132"/>
      <c r="AD97" s="314"/>
      <c r="AE97" s="3"/>
      <c r="AF97" s="3"/>
      <c r="AG97" s="103"/>
      <c r="AH97" s="4"/>
      <c r="AI97" s="3"/>
      <c r="AJ97" s="3"/>
      <c r="AK97" s="103"/>
      <c r="AL97" s="6"/>
      <c r="AM97" s="3"/>
      <c r="AN97" s="3"/>
      <c r="AO97" s="3"/>
      <c r="AP97" s="3"/>
      <c r="AQ97" s="103"/>
      <c r="AW97" s="45"/>
    </row>
    <row r="98" spans="3:49">
      <c r="C98" s="42"/>
      <c r="F98" s="45"/>
      <c r="H98" s="164"/>
      <c r="I98" s="164"/>
      <c r="J98" s="132"/>
      <c r="K98" s="132"/>
      <c r="L98" s="45"/>
      <c r="M98" s="45"/>
      <c r="N98" s="46"/>
      <c r="O98" s="46"/>
      <c r="P98" s="45"/>
      <c r="Q98" s="45"/>
      <c r="R98" s="45"/>
      <c r="T98" s="41">
        <v>21</v>
      </c>
      <c r="V98" s="48" t="s">
        <v>238</v>
      </c>
      <c r="Y98" s="68">
        <f>F42</f>
        <v>480</v>
      </c>
      <c r="Z98" s="3"/>
      <c r="AA98" s="68">
        <f>H42</f>
        <v>40920</v>
      </c>
      <c r="AB98" s="68"/>
      <c r="AC98" s="132">
        <v>18.14</v>
      </c>
      <c r="AD98" s="342"/>
      <c r="AE98" s="3">
        <f>ROUND(Y98*AC98,0)</f>
        <v>8707</v>
      </c>
      <c r="AF98" s="3"/>
      <c r="AG98" s="103">
        <f>ROUND((AE98/AE$108)*100,1)</f>
        <v>3.4</v>
      </c>
      <c r="AH98" s="4"/>
      <c r="AI98" s="3">
        <f>L42-AE98</f>
        <v>1243</v>
      </c>
      <c r="AJ98" s="3"/>
      <c r="AK98" s="113">
        <f>IF(AE98=0,"0.0 ",ROUND((AI98/AE98)*100,1))</f>
        <v>14.3</v>
      </c>
      <c r="AL98" s="6"/>
      <c r="AM98" s="3">
        <f>ROUND((AM$108/AA$108)*AA98,0)</f>
        <v>143</v>
      </c>
      <c r="AN98" s="3"/>
      <c r="AO98" s="3">
        <f>AM98+AE98</f>
        <v>8850</v>
      </c>
      <c r="AP98" s="3"/>
      <c r="AQ98" s="113">
        <f>IF(AO98=0,"0.0 ",ROUND((AI98/AO98)*100,1))</f>
        <v>14</v>
      </c>
      <c r="AU98" s="56"/>
      <c r="AW98" s="45">
        <v>1023</v>
      </c>
    </row>
    <row r="99" spans="3:49">
      <c r="F99" s="45"/>
      <c r="H99" s="45"/>
      <c r="I99" s="45"/>
      <c r="J99" s="132"/>
      <c r="K99" s="326"/>
      <c r="L99" s="50"/>
      <c r="M99" s="50"/>
      <c r="N99" s="50"/>
      <c r="O99" s="50"/>
      <c r="P99" s="50"/>
      <c r="Q99" s="50"/>
      <c r="R99" s="50"/>
      <c r="T99" s="41">
        <v>22</v>
      </c>
      <c r="V99" s="48" t="s">
        <v>237</v>
      </c>
      <c r="Y99" s="68">
        <f>F43</f>
        <v>24</v>
      </c>
      <c r="Z99" s="3"/>
      <c r="AA99" s="68">
        <f>H43</f>
        <v>3918</v>
      </c>
      <c r="AB99" s="68"/>
      <c r="AC99" s="132">
        <v>24.58</v>
      </c>
      <c r="AD99" s="342"/>
      <c r="AE99" s="3">
        <f>ROUND(Y99*AC99,0)</f>
        <v>590</v>
      </c>
      <c r="AF99" s="3"/>
      <c r="AG99" s="103">
        <f>ROUND((AE99/AE$108)*100,1)</f>
        <v>0.2</v>
      </c>
      <c r="AH99" s="4"/>
      <c r="AI99" s="3">
        <f>L43-AE99</f>
        <v>84</v>
      </c>
      <c r="AJ99" s="3"/>
      <c r="AK99" s="113">
        <f>IF(AE99=0,"0.0 ",ROUND((AI99/AE99)*100,1))</f>
        <v>14.2</v>
      </c>
      <c r="AL99" s="6"/>
      <c r="AM99" s="3">
        <f>ROUND((AM$108/AA$108)*AA99,0)</f>
        <v>14</v>
      </c>
      <c r="AN99" s="3"/>
      <c r="AO99" s="3">
        <f>AM99+AE99</f>
        <v>604</v>
      </c>
      <c r="AP99" s="3"/>
      <c r="AQ99" s="113">
        <f>IF(AO99=0,"0.0 ",ROUND((AI99/AO99)*100,1))</f>
        <v>13.9</v>
      </c>
      <c r="AU99" s="56"/>
      <c r="AW99" s="45">
        <v>1959</v>
      </c>
    </row>
    <row r="100" spans="3:49">
      <c r="F100" s="45"/>
      <c r="H100" s="45"/>
      <c r="I100" s="45"/>
      <c r="J100" s="132"/>
      <c r="K100" s="326"/>
      <c r="L100" s="50"/>
      <c r="M100" s="50"/>
      <c r="N100" s="50"/>
      <c r="O100" s="50"/>
      <c r="P100" s="50"/>
      <c r="Q100" s="50"/>
      <c r="R100" s="50"/>
      <c r="T100" s="41">
        <v>23</v>
      </c>
      <c r="V100" s="41" t="s">
        <v>236</v>
      </c>
      <c r="Y100" s="69">
        <f>F44</f>
        <v>0</v>
      </c>
      <c r="Z100" s="3"/>
      <c r="AA100" s="69">
        <f>H44</f>
        <v>0</v>
      </c>
      <c r="AB100" s="68"/>
      <c r="AC100" s="132">
        <v>24.58</v>
      </c>
      <c r="AD100" s="342"/>
      <c r="AE100" s="66">
        <f>ROUND(Y100*AC100,0)</f>
        <v>0</v>
      </c>
      <c r="AF100" s="3"/>
      <c r="AG100" s="104">
        <f>ROUND((AE100/AE$108)*100,1)</f>
        <v>0</v>
      </c>
      <c r="AH100" s="4"/>
      <c r="AI100" s="66">
        <f>L44-AE100</f>
        <v>0</v>
      </c>
      <c r="AJ100" s="3"/>
      <c r="AK100" s="112" t="str">
        <f>IF(AE100=0,"0.0 ",ROUND((AI100/AE100)*100,1))</f>
        <v xml:space="preserve">0.0 </v>
      </c>
      <c r="AL100" s="6"/>
      <c r="AM100" s="66">
        <f>ROUND((AM$108/AA$108)*AA100,0)</f>
        <v>0</v>
      </c>
      <c r="AN100" s="3"/>
      <c r="AO100" s="66">
        <f>AM100+AE100</f>
        <v>0</v>
      </c>
      <c r="AP100" s="3"/>
      <c r="AQ100" s="112" t="str">
        <f>IF(AO100=0,"0.0 ",ROUND((AI100/AO100)*100,1))</f>
        <v xml:space="preserve">0.0 </v>
      </c>
      <c r="AU100" s="56"/>
      <c r="AW100" s="45">
        <v>1959</v>
      </c>
    </row>
    <row r="101" spans="3:49" ht="20.100000000000001" customHeight="1">
      <c r="F101" s="45"/>
      <c r="H101" s="45"/>
      <c r="I101" s="45"/>
      <c r="J101" s="132"/>
      <c r="K101" s="326"/>
      <c r="L101" s="50"/>
      <c r="M101" s="50"/>
      <c r="N101" s="50"/>
      <c r="O101" s="50"/>
      <c r="P101" s="50"/>
      <c r="Q101" s="50"/>
      <c r="R101" s="50"/>
      <c r="T101" s="41">
        <v>24</v>
      </c>
      <c r="V101" s="310" t="s">
        <v>472</v>
      </c>
      <c r="Y101" s="71">
        <f>SUM(Y78:Y100)</f>
        <v>20531</v>
      </c>
      <c r="Z101" s="3"/>
      <c r="AA101" s="71">
        <f>SUM(AA78:AA100)</f>
        <v>1209602</v>
      </c>
      <c r="AB101" s="68"/>
      <c r="AC101" s="132"/>
      <c r="AD101" s="342"/>
      <c r="AE101" s="71">
        <f>SUM(AE78:AE100)</f>
        <v>252460</v>
      </c>
      <c r="AF101" s="3"/>
      <c r="AG101" s="105">
        <f>ROUND((AE101/AE$108)*100,1)</f>
        <v>98.3</v>
      </c>
      <c r="AH101" s="4"/>
      <c r="AI101" s="71">
        <f>SUM(AI78:AI100)</f>
        <v>36011</v>
      </c>
      <c r="AJ101" s="3"/>
      <c r="AK101" s="114">
        <f>IF(AE101=0,"0.0 ",ROUND((AI101/AE101)*100,1))</f>
        <v>14.3</v>
      </c>
      <c r="AL101" s="6"/>
      <c r="AM101" s="71">
        <f>SUM(AM78:AM100)</f>
        <v>4218</v>
      </c>
      <c r="AN101" s="3"/>
      <c r="AO101" s="71">
        <f>SUM(AO78:AO100)</f>
        <v>256678</v>
      </c>
      <c r="AP101" s="3"/>
      <c r="AQ101" s="112">
        <f>IF(AO101=0,"0.0 ",ROUND((AI101/AO101)*100,1))</f>
        <v>14</v>
      </c>
      <c r="AU101" s="56"/>
      <c r="AW101" s="45"/>
    </row>
    <row r="102" spans="3:49">
      <c r="F102" s="45"/>
      <c r="H102" s="45"/>
      <c r="I102" s="45"/>
      <c r="J102" s="132"/>
      <c r="K102" s="326"/>
      <c r="L102" s="50"/>
      <c r="M102" s="50"/>
      <c r="N102" s="50"/>
      <c r="O102" s="50"/>
      <c r="P102" s="50"/>
      <c r="Q102" s="50"/>
      <c r="R102" s="50"/>
      <c r="V102" s="310"/>
      <c r="Y102" s="68"/>
      <c r="Z102" s="3"/>
      <c r="AA102" s="68"/>
      <c r="AB102" s="68"/>
      <c r="AC102" s="132"/>
      <c r="AD102" s="342"/>
      <c r="AE102" s="3"/>
      <c r="AF102" s="3"/>
      <c r="AG102" s="103"/>
      <c r="AH102" s="4"/>
      <c r="AI102" s="3"/>
      <c r="AJ102" s="3"/>
      <c r="AK102" s="113"/>
      <c r="AL102" s="6"/>
      <c r="AM102" s="3"/>
      <c r="AN102" s="3"/>
      <c r="AO102" s="3"/>
      <c r="AP102" s="3"/>
      <c r="AQ102" s="113"/>
      <c r="AU102" s="56"/>
      <c r="AW102" s="45"/>
    </row>
    <row r="103" spans="3:49">
      <c r="F103" s="45"/>
      <c r="H103" s="45"/>
      <c r="I103" s="45"/>
      <c r="J103" s="132"/>
      <c r="K103" s="326"/>
      <c r="L103" s="50"/>
      <c r="M103" s="50"/>
      <c r="N103" s="50"/>
      <c r="O103" s="50"/>
      <c r="P103" s="50"/>
      <c r="Q103" s="50"/>
      <c r="R103" s="50"/>
      <c r="T103" s="41">
        <f>A47</f>
        <v>25</v>
      </c>
      <c r="V103" s="133" t="s">
        <v>467</v>
      </c>
      <c r="Y103" s="68"/>
      <c r="Z103" s="3"/>
      <c r="AA103" s="68"/>
      <c r="AB103" s="68"/>
      <c r="AC103" s="132"/>
      <c r="AD103" s="342"/>
      <c r="AE103" s="3"/>
      <c r="AF103" s="3"/>
      <c r="AG103" s="103"/>
      <c r="AH103" s="4"/>
      <c r="AI103" s="3"/>
      <c r="AJ103" s="3"/>
      <c r="AK103" s="113"/>
      <c r="AL103" s="6"/>
      <c r="AM103" s="3"/>
      <c r="AN103" s="3"/>
      <c r="AO103" s="3"/>
      <c r="AP103" s="3"/>
      <c r="AQ103" s="113"/>
      <c r="AU103" s="56"/>
      <c r="AW103" s="45"/>
    </row>
    <row r="104" spans="3:49">
      <c r="F104" s="45"/>
      <c r="H104" s="45"/>
      <c r="I104" s="45"/>
      <c r="J104" s="132"/>
      <c r="K104" s="326"/>
      <c r="L104" s="50"/>
      <c r="M104" s="50"/>
      <c r="N104" s="50"/>
      <c r="O104" s="50"/>
      <c r="P104" s="50"/>
      <c r="Q104" s="50"/>
      <c r="R104" s="50"/>
      <c r="T104" s="41">
        <f>A48</f>
        <v>26</v>
      </c>
      <c r="V104" s="128" t="str">
        <f>C48</f>
        <v>ENVIRONMENTAL SURCHARGE MECHANISM RIDER (ESM)</v>
      </c>
      <c r="Y104" s="68"/>
      <c r="Z104" s="3"/>
      <c r="AA104" s="68"/>
      <c r="AB104" s="68"/>
      <c r="AC104" s="387">
        <f>CUR_ESM_NonRes</f>
        <v>6.4941608437496566E-3</v>
      </c>
      <c r="AD104" s="342"/>
      <c r="AE104" s="3">
        <f>ROUND((AO101-(CUR_BASE_FUEL*AA101)+AO105)*AC104,0)</f>
        <v>1421</v>
      </c>
      <c r="AF104" s="3"/>
      <c r="AG104" s="103">
        <f>ROUND((AE104/AE$108)*100,1)</f>
        <v>0.6</v>
      </c>
      <c r="AH104" s="4"/>
      <c r="AI104" s="3">
        <f>L48-AE104</f>
        <v>-30</v>
      </c>
      <c r="AJ104" s="3"/>
      <c r="AK104" s="113">
        <f>IF(AE104=0,"0.0 ",ROUND((AI104/AE104)*100,1))</f>
        <v>-2.1</v>
      </c>
      <c r="AL104" s="6"/>
      <c r="AM104" s="3"/>
      <c r="AN104" s="3"/>
      <c r="AO104" s="3">
        <f>AM104+AE104</f>
        <v>1421</v>
      </c>
      <c r="AP104" s="3"/>
      <c r="AQ104" s="113">
        <f>IF(AO104=0,"0.0 ",ROUND((AI104/AO104)*100,1))</f>
        <v>-2.1</v>
      </c>
      <c r="AU104" s="56"/>
      <c r="AW104" s="45"/>
    </row>
    <row r="105" spans="3:49">
      <c r="F105" s="45"/>
      <c r="H105" s="45"/>
      <c r="I105" s="45"/>
      <c r="J105" s="132"/>
      <c r="K105" s="326"/>
      <c r="L105" s="50"/>
      <c r="M105" s="50"/>
      <c r="N105" s="50"/>
      <c r="O105" s="50"/>
      <c r="P105" s="50"/>
      <c r="Q105" s="50"/>
      <c r="R105" s="50"/>
      <c r="T105" s="41">
        <f>A49</f>
        <v>29</v>
      </c>
      <c r="V105" s="128" t="str">
        <f>C49</f>
        <v>PROFIT SHARING MECHANISM (PSM)</v>
      </c>
      <c r="Y105" s="68"/>
      <c r="Z105" s="3"/>
      <c r="AA105" s="68"/>
      <c r="AB105" s="68"/>
      <c r="AC105" s="134">
        <f>RS_PSM</f>
        <v>2.4750000000000002E-3</v>
      </c>
      <c r="AD105" s="342"/>
      <c r="AE105" s="3">
        <f>ROUND($AA$101*AC105,0)</f>
        <v>2994</v>
      </c>
      <c r="AF105" s="3"/>
      <c r="AG105" s="104">
        <f>ROUND((AE105/AE$108)*100,1)</f>
        <v>1.2</v>
      </c>
      <c r="AH105" s="4"/>
      <c r="AI105" s="66">
        <f>L49-AE105</f>
        <v>0</v>
      </c>
      <c r="AJ105" s="3"/>
      <c r="AK105" s="112">
        <f>IF(AE105=0,"0.0 ",ROUND((AI105/AE105)*100,1))</f>
        <v>0</v>
      </c>
      <c r="AL105" s="6"/>
      <c r="AM105" s="66"/>
      <c r="AN105" s="3"/>
      <c r="AO105" s="66">
        <f>AM105+AE105</f>
        <v>2994</v>
      </c>
      <c r="AP105" s="3"/>
      <c r="AQ105" s="112">
        <f>IF(AO105=0,"0.0 ",ROUND((AI105/AO105)*100,1))</f>
        <v>0</v>
      </c>
      <c r="AU105" s="56"/>
      <c r="AW105" s="45"/>
    </row>
    <row r="106" spans="3:49">
      <c r="F106" s="45"/>
      <c r="H106" s="45"/>
      <c r="I106" s="45"/>
      <c r="J106" s="132"/>
      <c r="K106" s="326"/>
      <c r="L106" s="50"/>
      <c r="M106" s="50"/>
      <c r="N106" s="50"/>
      <c r="O106" s="50"/>
      <c r="P106" s="50"/>
      <c r="Q106" s="50"/>
      <c r="R106" s="50"/>
      <c r="T106" s="41">
        <f>A50</f>
        <v>30</v>
      </c>
      <c r="V106" s="133" t="s">
        <v>463</v>
      </c>
      <c r="Y106" s="69"/>
      <c r="Z106" s="3"/>
      <c r="AA106" s="69"/>
      <c r="AB106" s="68"/>
      <c r="AC106" s="132"/>
      <c r="AD106" s="342"/>
      <c r="AE106" s="72">
        <f>SUM(AE104:AE105)</f>
        <v>4415</v>
      </c>
      <c r="AF106" s="3"/>
      <c r="AG106" s="105">
        <f>ROUND((AE106/AE$108)*100,1)</f>
        <v>1.7</v>
      </c>
      <c r="AH106" s="4"/>
      <c r="AI106" s="72">
        <f>SUM(AI104:AI105)</f>
        <v>-30</v>
      </c>
      <c r="AJ106" s="3"/>
      <c r="AK106" s="112">
        <f>IF(AE106=0,"0.0 ",ROUND((AI106/AE106)*100,1))</f>
        <v>-0.7</v>
      </c>
      <c r="AL106" s="6"/>
      <c r="AM106" s="72"/>
      <c r="AN106" s="3"/>
      <c r="AO106" s="72">
        <f>SUM(AO104:AO105)</f>
        <v>4415</v>
      </c>
      <c r="AP106" s="3"/>
      <c r="AQ106" s="112">
        <f>IF(AO106=0,"0.0 ",ROUND((AI106/AO106)*100,1))</f>
        <v>-0.7</v>
      </c>
      <c r="AU106" s="56"/>
      <c r="AW106" s="45"/>
    </row>
    <row r="107" spans="3:49">
      <c r="F107" s="45"/>
      <c r="H107" s="45"/>
      <c r="I107" s="45"/>
      <c r="J107" s="132"/>
      <c r="K107" s="326"/>
      <c r="L107" s="50"/>
      <c r="M107" s="50"/>
      <c r="N107" s="50"/>
      <c r="O107" s="50"/>
      <c r="P107" s="50"/>
      <c r="Q107" s="50"/>
      <c r="R107" s="50"/>
      <c r="Y107" s="68"/>
      <c r="Z107" s="3"/>
      <c r="AA107" s="68"/>
      <c r="AB107" s="68"/>
      <c r="AC107" s="132"/>
      <c r="AD107" s="342"/>
      <c r="AE107" s="3"/>
      <c r="AF107" s="3"/>
      <c r="AG107" s="103"/>
      <c r="AH107" s="4"/>
      <c r="AI107" s="3"/>
      <c r="AJ107" s="3"/>
      <c r="AK107" s="113"/>
      <c r="AL107" s="6"/>
      <c r="AM107" s="3"/>
      <c r="AN107" s="3"/>
      <c r="AO107" s="3"/>
      <c r="AP107" s="3"/>
      <c r="AQ107" s="113"/>
      <c r="AU107" s="56"/>
      <c r="AW107" s="45"/>
    </row>
    <row r="108" spans="3:49" ht="20.100000000000001" customHeight="1" thickBot="1">
      <c r="J108" s="56"/>
      <c r="T108" s="41">
        <f>A52</f>
        <v>31</v>
      </c>
      <c r="V108" s="133" t="s">
        <v>473</v>
      </c>
      <c r="Y108" s="67">
        <f>Y101</f>
        <v>20531</v>
      </c>
      <c r="Z108" s="3"/>
      <c r="AA108" s="67">
        <f>AA101</f>
        <v>1209602</v>
      </c>
      <c r="AB108" s="3"/>
      <c r="AC108" s="342"/>
      <c r="AD108" s="342"/>
      <c r="AE108" s="67">
        <f>AE106+AE101</f>
        <v>256875</v>
      </c>
      <c r="AF108" s="3"/>
      <c r="AG108" s="106">
        <v>100</v>
      </c>
      <c r="AH108" s="6"/>
      <c r="AI108" s="67">
        <f>AI106+AI101</f>
        <v>35981</v>
      </c>
      <c r="AJ108" s="3"/>
      <c r="AK108" s="106">
        <f>ROUND((AI108/AE108)*100,1)</f>
        <v>14</v>
      </c>
      <c r="AL108" s="6"/>
      <c r="AM108" s="402">
        <f>ROUND(AA108*CUR_FAC,0)</f>
        <v>4218</v>
      </c>
      <c r="AN108" s="3"/>
      <c r="AO108" s="67">
        <f>AO106+AO101</f>
        <v>261093</v>
      </c>
      <c r="AP108" s="3"/>
      <c r="AQ108" s="106">
        <f>ROUND((AI108/AO108)*100,1)</f>
        <v>13.8</v>
      </c>
    </row>
    <row r="109" spans="3:49" ht="16.5" thickTop="1">
      <c r="F109" s="45"/>
      <c r="H109" s="45"/>
      <c r="I109" s="45"/>
      <c r="J109" s="132"/>
      <c r="K109" s="326"/>
      <c r="L109" s="50"/>
      <c r="M109" s="50"/>
      <c r="N109" s="50"/>
      <c r="O109" s="50"/>
      <c r="P109" s="50"/>
      <c r="Q109" s="50"/>
      <c r="R109" s="50"/>
      <c r="AC109" s="56"/>
    </row>
    <row r="110" spans="3:49">
      <c r="C110" s="42"/>
      <c r="F110" s="45"/>
      <c r="H110" s="45"/>
      <c r="I110" s="45"/>
      <c r="J110" s="56"/>
      <c r="K110" s="47"/>
      <c r="L110" s="45"/>
      <c r="M110" s="45"/>
      <c r="N110" s="46"/>
      <c r="O110" s="46"/>
      <c r="P110" s="45"/>
      <c r="Q110" s="45"/>
      <c r="R110" s="45"/>
      <c r="V110" s="140" t="s">
        <v>76</v>
      </c>
      <c r="AC110" s="56"/>
    </row>
    <row r="111" spans="3:49">
      <c r="C111" s="42"/>
      <c r="F111" s="45"/>
      <c r="H111" s="45"/>
      <c r="I111" s="45"/>
      <c r="J111" s="56"/>
      <c r="K111" s="47"/>
      <c r="L111" s="45"/>
      <c r="M111" s="45"/>
      <c r="N111" s="46"/>
      <c r="O111" s="46"/>
      <c r="P111" s="45"/>
      <c r="Q111" s="45"/>
      <c r="R111" s="45"/>
      <c r="V111" s="140" t="str">
        <f>"(2) REFLECTS FUEL COMPONENT OF "&amp;TEXT(CUR_FAC,"$0.000000;($0.000000)")&amp;" PER KWH."</f>
        <v>(2) REFLECTS FUEL COMPONENT OF $0.003487 PER KWH.</v>
      </c>
      <c r="AC111" s="56"/>
    </row>
    <row r="112" spans="3:49">
      <c r="F112" s="45"/>
      <c r="H112" s="45"/>
      <c r="I112" s="45"/>
      <c r="J112" s="132"/>
      <c r="K112" s="326"/>
      <c r="L112" s="50"/>
      <c r="M112" s="50"/>
      <c r="N112" s="50"/>
      <c r="O112" s="50"/>
      <c r="P112" s="50"/>
      <c r="Q112" s="50"/>
      <c r="R112" s="50"/>
      <c r="V112" s="140" t="str">
        <f>"(3) REFLECTS FUEL COST RECOVERY INCLUDED IN BASE RATES OF "&amp;TEXT(CUR_BASE_FUEL,"$0.000000;($0.000000)")&amp;"  PER KWH."</f>
        <v>(3) REFLECTS FUEL COST RECOVERY INCLUDED IN BASE RATES OF $0.033780  PER KWH.</v>
      </c>
      <c r="AC112" s="56"/>
    </row>
    <row r="113" spans="1:40">
      <c r="C113" s="42"/>
      <c r="F113" s="45"/>
      <c r="H113" s="45"/>
      <c r="I113" s="45"/>
      <c r="J113" s="56"/>
      <c r="K113" s="47"/>
      <c r="L113" s="45"/>
      <c r="M113" s="45"/>
      <c r="N113" s="46"/>
      <c r="O113" s="46"/>
      <c r="P113" s="45"/>
      <c r="Q113" s="45"/>
      <c r="R113" s="45"/>
      <c r="T113" s="42"/>
      <c r="AC113" s="56"/>
    </row>
    <row r="114" spans="1:40">
      <c r="C114" s="42"/>
      <c r="F114" s="164"/>
      <c r="H114" s="164"/>
      <c r="I114" s="164"/>
      <c r="J114" s="132"/>
      <c r="K114" s="331"/>
      <c r="L114" s="45"/>
      <c r="M114" s="45"/>
      <c r="N114" s="46"/>
      <c r="O114" s="46"/>
      <c r="P114" s="45"/>
      <c r="Q114" s="45"/>
      <c r="R114" s="45"/>
      <c r="V114" s="45"/>
      <c r="Y114" s="50"/>
      <c r="Z114" s="326"/>
      <c r="AA114" s="50"/>
      <c r="AB114" s="50"/>
      <c r="AC114" s="64"/>
      <c r="AD114" s="50"/>
      <c r="AE114" s="50"/>
      <c r="AF114" s="50"/>
      <c r="AI114" s="50"/>
      <c r="AJ114" s="50"/>
      <c r="AK114" s="111"/>
      <c r="AL114" s="50"/>
      <c r="AM114" s="46"/>
      <c r="AN114" s="46"/>
    </row>
    <row r="115" spans="1:40">
      <c r="F115" s="50"/>
      <c r="H115" s="50"/>
      <c r="I115" s="50"/>
      <c r="J115" s="132"/>
      <c r="K115" s="326"/>
      <c r="L115" s="50"/>
      <c r="M115" s="50"/>
      <c r="N115" s="50"/>
      <c r="O115" s="50"/>
      <c r="P115" s="50"/>
      <c r="Q115" s="50"/>
      <c r="R115" s="50"/>
      <c r="T115" s="42"/>
      <c r="V115" s="45"/>
      <c r="Y115" s="45"/>
      <c r="Z115" s="326"/>
      <c r="AA115" s="45"/>
      <c r="AB115" s="45"/>
      <c r="AC115" s="56"/>
      <c r="AD115" s="45"/>
      <c r="AE115" s="45"/>
      <c r="AF115" s="45"/>
      <c r="AH115" s="51"/>
      <c r="AI115" s="45"/>
      <c r="AJ115" s="45"/>
      <c r="AL115" s="45"/>
      <c r="AM115" s="46"/>
      <c r="AN115" s="46"/>
    </row>
    <row r="116" spans="1:40">
      <c r="C116" s="42"/>
      <c r="F116" s="45"/>
      <c r="H116" s="45"/>
      <c r="I116" s="45"/>
      <c r="J116" s="132"/>
      <c r="K116" s="326"/>
      <c r="L116" s="45"/>
      <c r="M116" s="45"/>
      <c r="N116" s="46"/>
      <c r="O116" s="46"/>
      <c r="P116" s="45"/>
      <c r="Q116" s="45"/>
      <c r="R116" s="45"/>
      <c r="S116" s="45"/>
      <c r="T116" s="42"/>
      <c r="V116" s="45"/>
      <c r="Y116" s="45"/>
      <c r="Z116" s="132"/>
      <c r="AA116" s="45"/>
      <c r="AB116" s="45"/>
      <c r="AC116" s="56"/>
      <c r="AD116" s="46"/>
      <c r="AE116" s="45"/>
      <c r="AF116" s="45"/>
      <c r="AH116" s="51"/>
      <c r="AI116" s="45"/>
      <c r="AJ116" s="45"/>
      <c r="AL116" s="45"/>
      <c r="AM116" s="46"/>
      <c r="AN116" s="46"/>
    </row>
    <row r="117" spans="1:40">
      <c r="F117" s="50"/>
      <c r="H117" s="50"/>
      <c r="I117" s="50"/>
      <c r="J117" s="132"/>
      <c r="K117" s="326"/>
      <c r="L117" s="50"/>
      <c r="M117" s="50"/>
      <c r="N117" s="50"/>
      <c r="O117" s="50"/>
      <c r="P117" s="50"/>
      <c r="Q117" s="50"/>
      <c r="R117" s="50"/>
      <c r="S117" s="45"/>
      <c r="T117" s="42"/>
      <c r="Y117" s="45"/>
      <c r="Z117" s="132"/>
      <c r="AA117" s="45"/>
      <c r="AB117" s="45"/>
      <c r="AC117" s="56"/>
      <c r="AD117" s="46"/>
      <c r="AE117" s="45"/>
      <c r="AF117" s="45"/>
      <c r="AH117" s="51"/>
      <c r="AI117" s="45"/>
      <c r="AJ117" s="45"/>
      <c r="AL117" s="45"/>
      <c r="AM117" s="46"/>
      <c r="AN117" s="46"/>
    </row>
    <row r="118" spans="1:40">
      <c r="C118" s="42"/>
      <c r="J118" s="56"/>
      <c r="V118" s="45"/>
      <c r="Y118" s="45"/>
      <c r="Z118" s="326"/>
      <c r="AA118" s="50"/>
      <c r="AB118" s="50"/>
      <c r="AC118" s="64"/>
      <c r="AD118" s="50"/>
      <c r="AE118" s="50"/>
      <c r="AF118" s="50"/>
      <c r="AI118" s="50"/>
      <c r="AJ118" s="50"/>
      <c r="AK118" s="111"/>
      <c r="AL118" s="50"/>
      <c r="AM118" s="46"/>
      <c r="AN118" s="46"/>
    </row>
    <row r="119" spans="1:40">
      <c r="C119" s="42"/>
      <c r="F119" s="45"/>
      <c r="H119" s="45"/>
      <c r="I119" s="45"/>
      <c r="J119" s="56"/>
      <c r="L119" s="45"/>
      <c r="M119" s="45"/>
      <c r="N119" s="46"/>
      <c r="O119" s="46"/>
      <c r="P119" s="164"/>
      <c r="Q119" s="164"/>
      <c r="R119" s="45"/>
      <c r="T119" s="42"/>
      <c r="V119" s="45"/>
      <c r="Y119" s="45"/>
      <c r="Z119" s="47"/>
      <c r="AA119" s="45"/>
      <c r="AB119" s="45"/>
      <c r="AC119" s="56"/>
      <c r="AD119" s="46"/>
      <c r="AE119" s="45"/>
      <c r="AF119" s="45"/>
      <c r="AH119" s="51"/>
      <c r="AI119" s="45"/>
      <c r="AJ119" s="45"/>
      <c r="AL119" s="45"/>
      <c r="AM119" s="46"/>
      <c r="AN119" s="46"/>
    </row>
    <row r="120" spans="1:40">
      <c r="F120" s="50"/>
      <c r="H120" s="50"/>
      <c r="I120" s="50"/>
      <c r="J120" s="132"/>
      <c r="K120" s="326"/>
      <c r="L120" s="50"/>
      <c r="M120" s="50"/>
      <c r="N120" s="50"/>
      <c r="O120" s="50"/>
      <c r="P120" s="50"/>
      <c r="Q120" s="50"/>
      <c r="R120" s="50"/>
      <c r="V120" s="45"/>
      <c r="Y120" s="45"/>
      <c r="Z120" s="326"/>
      <c r="AA120" s="50"/>
      <c r="AB120" s="50"/>
      <c r="AC120" s="64"/>
      <c r="AD120" s="50"/>
      <c r="AE120" s="50"/>
      <c r="AF120" s="50"/>
      <c r="AI120" s="50"/>
      <c r="AJ120" s="50"/>
      <c r="AK120" s="111"/>
      <c r="AL120" s="50"/>
      <c r="AM120" s="46"/>
      <c r="AN120" s="46"/>
    </row>
    <row r="121" spans="1:40">
      <c r="J121" s="56"/>
      <c r="T121" s="42"/>
      <c r="V121" s="45"/>
      <c r="Y121" s="45"/>
      <c r="Z121" s="47"/>
      <c r="AA121" s="45"/>
      <c r="AB121" s="45"/>
      <c r="AC121" s="56"/>
      <c r="AD121" s="46"/>
      <c r="AE121" s="45"/>
      <c r="AF121" s="45"/>
      <c r="AH121" s="51"/>
      <c r="AI121" s="45"/>
      <c r="AJ121" s="45"/>
      <c r="AL121" s="45"/>
      <c r="AM121" s="46"/>
      <c r="AN121" s="46"/>
    </row>
    <row r="122" spans="1:40">
      <c r="C122" s="42"/>
      <c r="J122" s="56"/>
      <c r="L122" s="45"/>
      <c r="M122" s="45"/>
      <c r="N122" s="45"/>
      <c r="O122" s="45"/>
      <c r="P122" s="45"/>
      <c r="Q122" s="45"/>
      <c r="R122" s="45"/>
      <c r="S122" s="45"/>
      <c r="T122" s="42"/>
      <c r="V122" s="164"/>
      <c r="Y122" s="45"/>
      <c r="Z122" s="331"/>
      <c r="AA122" s="45"/>
      <c r="AB122" s="45"/>
      <c r="AC122" s="56"/>
      <c r="AD122" s="46"/>
      <c r="AE122" s="45"/>
      <c r="AF122" s="45"/>
      <c r="AH122" s="51"/>
      <c r="AI122" s="45"/>
      <c r="AJ122" s="45"/>
      <c r="AL122" s="45"/>
      <c r="AM122" s="46"/>
      <c r="AN122" s="46"/>
    </row>
    <row r="123" spans="1:40">
      <c r="A123" s="42"/>
      <c r="J123" s="56"/>
      <c r="V123" s="50"/>
      <c r="Y123" s="50"/>
      <c r="Z123" s="326"/>
      <c r="AA123" s="50"/>
      <c r="AB123" s="50"/>
      <c r="AC123" s="64"/>
      <c r="AD123" s="50"/>
      <c r="AE123" s="50"/>
      <c r="AF123" s="50"/>
      <c r="AI123" s="50"/>
      <c r="AJ123" s="50"/>
      <c r="AK123" s="111"/>
      <c r="AL123" s="50"/>
      <c r="AM123" s="46"/>
      <c r="AN123" s="46"/>
    </row>
    <row r="124" spans="1:40">
      <c r="J124" s="56"/>
      <c r="T124" s="42"/>
      <c r="V124" s="45"/>
      <c r="Y124" s="45"/>
      <c r="Z124" s="326"/>
      <c r="AA124" s="45"/>
      <c r="AB124" s="45"/>
      <c r="AC124" s="56"/>
      <c r="AD124" s="46"/>
      <c r="AE124" s="45"/>
      <c r="AF124" s="45"/>
      <c r="AH124" s="46"/>
      <c r="AI124" s="45"/>
      <c r="AJ124" s="45"/>
      <c r="AL124" s="45"/>
      <c r="AM124" s="46"/>
      <c r="AN124" s="46"/>
    </row>
    <row r="125" spans="1:40">
      <c r="H125" s="42"/>
      <c r="I125" s="42"/>
      <c r="J125" s="56"/>
      <c r="V125" s="50"/>
      <c r="Y125" s="50"/>
      <c r="Z125" s="326"/>
      <c r="AA125" s="50"/>
      <c r="AB125" s="50"/>
      <c r="AC125" s="64"/>
      <c r="AD125" s="50"/>
      <c r="AE125" s="50"/>
      <c r="AF125" s="50"/>
      <c r="AI125" s="50"/>
      <c r="AJ125" s="50"/>
      <c r="AK125" s="111"/>
      <c r="AL125" s="50"/>
      <c r="AM125" s="46"/>
      <c r="AN125" s="46"/>
    </row>
    <row r="126" spans="1:40">
      <c r="J126" s="56"/>
      <c r="T126" s="42"/>
      <c r="AC126" s="56"/>
    </row>
    <row r="127" spans="1:40">
      <c r="J127" s="56"/>
      <c r="L127" s="42"/>
      <c r="M127" s="42"/>
      <c r="AA127" s="42"/>
      <c r="AB127" s="42"/>
      <c r="AC127" s="56"/>
    </row>
    <row r="128" spans="1:40">
      <c r="J128" s="56"/>
      <c r="R128" s="42"/>
      <c r="AC128" s="56"/>
      <c r="AK128" s="110"/>
      <c r="AL128" s="42"/>
    </row>
    <row r="129" spans="1:40">
      <c r="J129" s="56"/>
      <c r="R129" s="42"/>
      <c r="AC129" s="56"/>
      <c r="AK129" s="110"/>
      <c r="AL129" s="42"/>
    </row>
    <row r="130" spans="1:40">
      <c r="A130" s="42"/>
      <c r="J130" s="56"/>
      <c r="R130" s="42"/>
      <c r="AC130" s="56"/>
      <c r="AK130" s="110"/>
      <c r="AL130" s="42"/>
    </row>
    <row r="131" spans="1:40">
      <c r="J131" s="56"/>
      <c r="L131" s="42"/>
      <c r="M131" s="42"/>
      <c r="AA131" s="42"/>
      <c r="AB131" s="42"/>
      <c r="AC131" s="56"/>
    </row>
    <row r="132" spans="1:40">
      <c r="A132" s="49"/>
      <c r="B132" s="49"/>
      <c r="C132" s="49"/>
      <c r="D132" s="49"/>
      <c r="E132" s="49"/>
      <c r="F132" s="49"/>
      <c r="G132" s="49"/>
      <c r="H132" s="49"/>
      <c r="I132" s="49"/>
      <c r="J132" s="57"/>
      <c r="K132" s="49"/>
      <c r="L132" s="49"/>
      <c r="M132" s="49"/>
      <c r="N132" s="49"/>
      <c r="O132" s="49"/>
      <c r="P132" s="49"/>
      <c r="Q132" s="49"/>
      <c r="R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107"/>
      <c r="AH132" s="49"/>
      <c r="AI132" s="49"/>
      <c r="AJ132" s="49"/>
      <c r="AK132" s="107"/>
      <c r="AL132" s="49"/>
      <c r="AM132" s="49"/>
      <c r="AN132" s="49"/>
    </row>
    <row r="133" spans="1:40">
      <c r="J133" s="56"/>
      <c r="L133" s="44"/>
      <c r="M133" s="44"/>
      <c r="N133" s="44"/>
      <c r="O133" s="44"/>
      <c r="R133" s="44"/>
      <c r="AA133" s="44"/>
      <c r="AB133" s="44"/>
      <c r="AC133" s="44"/>
      <c r="AD133" s="44"/>
      <c r="AE133" s="44"/>
      <c r="AF133" s="44"/>
      <c r="AG133" s="102"/>
      <c r="AH133" s="44"/>
      <c r="AK133" s="102"/>
      <c r="AL133" s="44"/>
      <c r="AM133" s="44"/>
      <c r="AN133" s="44"/>
    </row>
    <row r="134" spans="1:40">
      <c r="J134" s="56"/>
      <c r="L134" s="44"/>
      <c r="M134" s="44"/>
      <c r="N134" s="44"/>
      <c r="O134" s="44"/>
      <c r="R134" s="44"/>
      <c r="Z134" s="44"/>
      <c r="AA134" s="44"/>
      <c r="AB134" s="44"/>
      <c r="AC134" s="44"/>
      <c r="AD134" s="44"/>
      <c r="AE134" s="44"/>
      <c r="AF134" s="44"/>
      <c r="AG134" s="102"/>
      <c r="AH134" s="44"/>
      <c r="AK134" s="102"/>
      <c r="AL134" s="44"/>
      <c r="AM134" s="44"/>
      <c r="AN134" s="44"/>
    </row>
    <row r="135" spans="1:40">
      <c r="A135" s="44"/>
      <c r="C135" s="44"/>
      <c r="D135" s="44"/>
      <c r="E135" s="44"/>
      <c r="F135" s="44"/>
      <c r="J135" s="58"/>
      <c r="K135" s="44"/>
      <c r="L135" s="44"/>
      <c r="M135" s="44"/>
      <c r="N135" s="44"/>
      <c r="O135" s="44"/>
      <c r="P135" s="44"/>
      <c r="Q135" s="44"/>
      <c r="R135" s="44"/>
      <c r="T135" s="44"/>
      <c r="U135" s="44"/>
      <c r="V135" s="44"/>
      <c r="Z135" s="44"/>
      <c r="AA135" s="44"/>
      <c r="AB135" s="44"/>
      <c r="AC135" s="44"/>
      <c r="AD135" s="44"/>
      <c r="AE135" s="44"/>
      <c r="AF135" s="44"/>
      <c r="AG135" s="102"/>
      <c r="AH135" s="44"/>
      <c r="AI135" s="44"/>
      <c r="AJ135" s="44"/>
      <c r="AK135" s="102"/>
      <c r="AL135" s="44"/>
      <c r="AM135" s="44"/>
      <c r="AN135" s="44"/>
    </row>
    <row r="136" spans="1:40">
      <c r="A136" s="44"/>
      <c r="C136" s="44"/>
      <c r="D136" s="44"/>
      <c r="E136" s="44"/>
      <c r="F136" s="44"/>
      <c r="H136" s="44"/>
      <c r="I136" s="44"/>
      <c r="J136" s="58"/>
      <c r="K136" s="44"/>
      <c r="L136" s="44"/>
      <c r="M136" s="44"/>
      <c r="N136" s="44"/>
      <c r="O136" s="44"/>
      <c r="P136" s="44"/>
      <c r="Q136" s="44"/>
      <c r="R136" s="44"/>
      <c r="T136" s="44"/>
      <c r="U136" s="44"/>
      <c r="V136" s="44"/>
      <c r="Y136" s="44"/>
      <c r="Z136" s="44"/>
      <c r="AA136" s="44"/>
      <c r="AB136" s="44"/>
      <c r="AC136" s="44"/>
      <c r="AD136" s="44"/>
      <c r="AE136" s="44"/>
      <c r="AF136" s="44"/>
      <c r="AG136" s="102"/>
      <c r="AH136" s="44"/>
      <c r="AI136" s="44"/>
      <c r="AJ136" s="44"/>
      <c r="AK136" s="102"/>
      <c r="AL136" s="44"/>
      <c r="AM136" s="44"/>
      <c r="AN136" s="44"/>
    </row>
    <row r="137" spans="1:40">
      <c r="C137" s="44"/>
      <c r="D137" s="44"/>
      <c r="E137" s="44"/>
      <c r="F137" s="44"/>
      <c r="H137" s="44"/>
      <c r="I137" s="44"/>
      <c r="J137" s="58"/>
      <c r="K137" s="44"/>
      <c r="L137" s="44"/>
      <c r="M137" s="44"/>
      <c r="N137" s="44"/>
      <c r="O137" s="44"/>
      <c r="P137" s="44"/>
      <c r="Q137" s="44"/>
      <c r="R137" s="44"/>
      <c r="T137" s="44"/>
      <c r="U137" s="44"/>
      <c r="V137" s="44"/>
      <c r="Y137" s="44"/>
      <c r="Z137" s="44"/>
      <c r="AA137" s="44"/>
      <c r="AB137" s="44"/>
      <c r="AC137" s="44"/>
      <c r="AD137" s="44"/>
      <c r="AE137" s="44"/>
      <c r="AF137" s="44"/>
      <c r="AG137" s="102"/>
      <c r="AH137" s="44"/>
      <c r="AI137" s="44"/>
      <c r="AJ137" s="44"/>
      <c r="AK137" s="102"/>
      <c r="AL137" s="44"/>
      <c r="AM137" s="44"/>
      <c r="AN137" s="44"/>
    </row>
    <row r="138" spans="1:40">
      <c r="A138" s="49"/>
      <c r="B138" s="49"/>
      <c r="C138" s="49"/>
      <c r="D138" s="49"/>
      <c r="E138" s="49"/>
      <c r="F138" s="49"/>
      <c r="G138" s="49"/>
      <c r="H138" s="49"/>
      <c r="I138" s="49"/>
      <c r="J138" s="57"/>
      <c r="K138" s="49"/>
      <c r="L138" s="49"/>
      <c r="M138" s="49"/>
      <c r="N138" s="49"/>
      <c r="O138" s="49"/>
      <c r="P138" s="49"/>
      <c r="Q138" s="49"/>
      <c r="R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107"/>
      <c r="AH138" s="49"/>
      <c r="AI138" s="49"/>
      <c r="AJ138" s="49"/>
      <c r="AK138" s="107"/>
      <c r="AL138" s="49"/>
      <c r="AM138" s="49"/>
      <c r="AN138" s="49"/>
    </row>
    <row r="139" spans="1:40">
      <c r="H139" s="44"/>
      <c r="I139" s="44"/>
      <c r="J139" s="58"/>
      <c r="K139" s="44"/>
      <c r="L139" s="44"/>
      <c r="M139" s="44"/>
      <c r="N139" s="44"/>
      <c r="O139" s="44"/>
      <c r="P139" s="44"/>
      <c r="Q139" s="44"/>
      <c r="R139" s="44"/>
      <c r="Y139" s="44"/>
      <c r="Z139" s="44"/>
      <c r="AA139" s="44"/>
      <c r="AB139" s="44"/>
      <c r="AC139" s="44"/>
      <c r="AD139" s="44"/>
      <c r="AE139" s="44"/>
      <c r="AF139" s="44"/>
      <c r="AG139" s="102"/>
      <c r="AH139" s="44"/>
      <c r="AI139" s="44"/>
      <c r="AJ139" s="44"/>
      <c r="AK139" s="102"/>
      <c r="AL139" s="44"/>
      <c r="AM139" s="44"/>
      <c r="AN139" s="44"/>
    </row>
    <row r="140" spans="1:40">
      <c r="C140" s="42"/>
      <c r="D140" s="42"/>
      <c r="E140" s="42"/>
      <c r="J140" s="56"/>
      <c r="T140" s="42"/>
      <c r="U140" s="42"/>
    </row>
    <row r="141" spans="1:40">
      <c r="D141" s="42"/>
      <c r="E141" s="42"/>
      <c r="J141" s="56"/>
      <c r="U141" s="42"/>
    </row>
    <row r="142" spans="1:40">
      <c r="J142" s="56"/>
    </row>
    <row r="143" spans="1:40">
      <c r="C143" s="42"/>
      <c r="F143" s="164"/>
      <c r="H143" s="164"/>
      <c r="I143" s="164"/>
      <c r="J143" s="132"/>
      <c r="K143" s="316"/>
      <c r="L143" s="45"/>
      <c r="M143" s="45"/>
      <c r="N143" s="46"/>
      <c r="O143" s="46"/>
      <c r="R143" s="45"/>
      <c r="T143" s="42"/>
      <c r="V143" s="45"/>
      <c r="Y143" s="164"/>
      <c r="Z143" s="316"/>
      <c r="AA143" s="45"/>
      <c r="AB143" s="45"/>
      <c r="AC143" s="46"/>
      <c r="AD143" s="46"/>
      <c r="AE143" s="45"/>
      <c r="AF143" s="45"/>
      <c r="AG143" s="333"/>
      <c r="AH143" s="334"/>
      <c r="AL143" s="45"/>
      <c r="AM143" s="335"/>
      <c r="AN143" s="335"/>
    </row>
    <row r="144" spans="1:40">
      <c r="C144" s="42"/>
      <c r="F144" s="164"/>
      <c r="H144" s="164"/>
      <c r="I144" s="164"/>
      <c r="J144" s="132"/>
      <c r="K144" s="316"/>
      <c r="L144" s="45"/>
      <c r="M144" s="45"/>
      <c r="N144" s="46"/>
      <c r="O144" s="46"/>
      <c r="R144" s="45"/>
      <c r="T144" s="42"/>
      <c r="V144" s="45"/>
      <c r="Y144" s="164"/>
      <c r="Z144" s="316"/>
      <c r="AA144" s="45"/>
      <c r="AB144" s="45"/>
      <c r="AC144" s="46"/>
      <c r="AD144" s="46"/>
      <c r="AE144" s="45"/>
      <c r="AF144" s="45"/>
      <c r="AH144" s="51"/>
      <c r="AL144" s="45"/>
      <c r="AM144" s="46"/>
      <c r="AN144" s="46"/>
    </row>
    <row r="145" spans="3:40">
      <c r="F145" s="50"/>
      <c r="H145" s="45"/>
      <c r="I145" s="45"/>
      <c r="J145" s="132"/>
      <c r="K145" s="326"/>
      <c r="L145" s="50"/>
      <c r="M145" s="50"/>
      <c r="N145" s="50"/>
      <c r="O145" s="50"/>
      <c r="P145" s="50"/>
      <c r="Q145" s="50"/>
      <c r="R145" s="50"/>
      <c r="V145" s="50"/>
      <c r="Y145" s="45"/>
      <c r="Z145" s="326"/>
      <c r="AA145" s="50"/>
      <c r="AB145" s="50"/>
      <c r="AC145" s="50"/>
      <c r="AD145" s="50"/>
      <c r="AE145" s="50"/>
      <c r="AF145" s="50"/>
      <c r="AI145" s="50"/>
      <c r="AJ145" s="50"/>
      <c r="AK145" s="111"/>
      <c r="AL145" s="50"/>
      <c r="AM145" s="46"/>
      <c r="AN145" s="46"/>
    </row>
    <row r="146" spans="3:40">
      <c r="C146" s="42"/>
      <c r="F146" s="45"/>
      <c r="H146" s="45"/>
      <c r="I146" s="45"/>
      <c r="J146" s="132"/>
      <c r="K146" s="326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3:40">
      <c r="F147" s="50"/>
      <c r="H147" s="45"/>
      <c r="I147" s="45"/>
      <c r="J147" s="132"/>
      <c r="K147" s="326"/>
      <c r="L147" s="50"/>
      <c r="M147" s="50"/>
      <c r="N147" s="50"/>
      <c r="O147" s="50"/>
      <c r="P147" s="50"/>
      <c r="Q147" s="50"/>
      <c r="R147" s="50"/>
      <c r="V147" s="50"/>
      <c r="Y147" s="45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6"/>
      <c r="AN147" s="46"/>
    </row>
    <row r="148" spans="3:40">
      <c r="F148" s="45"/>
      <c r="H148" s="45"/>
      <c r="I148" s="45"/>
      <c r="J148" s="132"/>
      <c r="K148" s="326"/>
      <c r="L148" s="45"/>
      <c r="M148" s="45"/>
      <c r="N148" s="46"/>
      <c r="O148" s="46"/>
      <c r="P148" s="45"/>
      <c r="Q148" s="45"/>
      <c r="R148" s="45"/>
      <c r="V148" s="45"/>
      <c r="Y148" s="45"/>
      <c r="Z148" s="47"/>
      <c r="AA148" s="45"/>
      <c r="AB148" s="45"/>
      <c r="AC148" s="46"/>
      <c r="AD148" s="46"/>
      <c r="AE148" s="45"/>
      <c r="AF148" s="45"/>
      <c r="AH148" s="51"/>
      <c r="AI148" s="45"/>
      <c r="AJ148" s="45"/>
      <c r="AL148" s="45"/>
      <c r="AM148" s="46"/>
      <c r="AN148" s="46"/>
    </row>
    <row r="149" spans="3:40">
      <c r="C149" s="42"/>
      <c r="F149" s="164"/>
      <c r="H149" s="164"/>
      <c r="I149" s="164"/>
      <c r="J149" s="132"/>
      <c r="K149" s="316"/>
      <c r="L149" s="45"/>
      <c r="M149" s="45"/>
      <c r="N149" s="46"/>
      <c r="O149" s="46"/>
      <c r="P149" s="45"/>
      <c r="Q149" s="45"/>
      <c r="R149" s="45"/>
      <c r="T149" s="42"/>
      <c r="V149" s="164"/>
      <c r="Y149" s="45"/>
      <c r="Z149" s="316"/>
      <c r="AA149" s="45"/>
      <c r="AB149" s="45"/>
      <c r="AC149" s="46"/>
      <c r="AD149" s="46"/>
      <c r="AE149" s="45"/>
      <c r="AF149" s="45"/>
      <c r="AG149" s="333"/>
      <c r="AH149" s="334"/>
      <c r="AI149" s="45"/>
      <c r="AJ149" s="45"/>
      <c r="AL149" s="45"/>
      <c r="AM149" s="335"/>
      <c r="AN149" s="335"/>
    </row>
    <row r="150" spans="3:40">
      <c r="C150" s="42"/>
      <c r="F150" s="164"/>
      <c r="H150" s="164"/>
      <c r="I150" s="164"/>
      <c r="J150" s="132"/>
      <c r="K150" s="316"/>
      <c r="L150" s="45"/>
      <c r="M150" s="45"/>
      <c r="N150" s="46"/>
      <c r="O150" s="46"/>
      <c r="P150" s="45"/>
      <c r="Q150" s="45"/>
      <c r="R150" s="45"/>
      <c r="T150" s="42"/>
      <c r="V150" s="164"/>
      <c r="Y150" s="45"/>
      <c r="Z150" s="316"/>
      <c r="AA150" s="45"/>
      <c r="AB150" s="45"/>
      <c r="AC150" s="46"/>
      <c r="AD150" s="46"/>
      <c r="AE150" s="45"/>
      <c r="AF150" s="45"/>
      <c r="AH150" s="51"/>
      <c r="AI150" s="45"/>
      <c r="AJ150" s="45"/>
      <c r="AL150" s="45"/>
      <c r="AM150" s="46"/>
      <c r="AN150" s="46"/>
    </row>
    <row r="151" spans="3:40">
      <c r="F151" s="45"/>
      <c r="H151" s="50"/>
      <c r="I151" s="50"/>
      <c r="J151" s="132"/>
      <c r="K151" s="326"/>
      <c r="L151" s="50"/>
      <c r="M151" s="50"/>
      <c r="N151" s="50"/>
      <c r="O151" s="50"/>
      <c r="P151" s="50"/>
      <c r="Q151" s="50"/>
      <c r="R151" s="50"/>
      <c r="V151" s="45"/>
      <c r="Y151" s="50"/>
      <c r="Z151" s="326"/>
      <c r="AA151" s="50"/>
      <c r="AB151" s="50"/>
      <c r="AC151" s="50"/>
      <c r="AD151" s="50"/>
      <c r="AE151" s="50"/>
      <c r="AF151" s="50"/>
      <c r="AI151" s="50"/>
      <c r="AJ151" s="50"/>
      <c r="AK151" s="111"/>
      <c r="AL151" s="50"/>
      <c r="AM151" s="46"/>
      <c r="AN151" s="46"/>
    </row>
    <row r="152" spans="3:40">
      <c r="C152" s="42"/>
      <c r="F152" s="45"/>
      <c r="H152" s="45"/>
      <c r="I152" s="45"/>
      <c r="J152" s="132"/>
      <c r="K152" s="326"/>
      <c r="L152" s="45"/>
      <c r="M152" s="45"/>
      <c r="N152" s="46"/>
      <c r="O152" s="46"/>
      <c r="P152" s="45"/>
      <c r="Q152" s="45"/>
      <c r="R152" s="45"/>
      <c r="T152" s="42"/>
      <c r="V152" s="45"/>
      <c r="Y152" s="45"/>
      <c r="Z152" s="326"/>
      <c r="AA152" s="45"/>
      <c r="AB152" s="45"/>
      <c r="AC152" s="46"/>
      <c r="AD152" s="46"/>
      <c r="AE152" s="45"/>
      <c r="AF152" s="45"/>
      <c r="AH152" s="51"/>
      <c r="AI152" s="45"/>
      <c r="AJ152" s="45"/>
      <c r="AL152" s="45"/>
      <c r="AM152" s="46"/>
      <c r="AN152" s="46"/>
    </row>
    <row r="153" spans="3:40">
      <c r="F153" s="45"/>
      <c r="H153" s="50"/>
      <c r="I153" s="50"/>
      <c r="J153" s="132"/>
      <c r="K153" s="326"/>
      <c r="L153" s="50"/>
      <c r="M153" s="50"/>
      <c r="N153" s="50"/>
      <c r="O153" s="50"/>
      <c r="P153" s="50"/>
      <c r="Q153" s="50"/>
      <c r="R153" s="50"/>
      <c r="V153" s="45"/>
      <c r="Y153" s="50"/>
      <c r="Z153" s="326"/>
      <c r="AA153" s="50"/>
      <c r="AB153" s="50"/>
      <c r="AC153" s="50"/>
      <c r="AD153" s="50"/>
      <c r="AE153" s="50"/>
      <c r="AF153" s="50"/>
      <c r="AI153" s="50"/>
      <c r="AJ153" s="50"/>
      <c r="AK153" s="111"/>
      <c r="AL153" s="50"/>
      <c r="AM153" s="46"/>
      <c r="AN153" s="46"/>
    </row>
    <row r="154" spans="3:40">
      <c r="F154" s="45"/>
      <c r="H154" s="45"/>
      <c r="I154" s="45"/>
      <c r="J154" s="132"/>
      <c r="K154" s="326"/>
      <c r="L154" s="45"/>
      <c r="M154" s="45"/>
      <c r="N154" s="45"/>
      <c r="O154" s="45"/>
      <c r="P154" s="45"/>
      <c r="Q154" s="45"/>
      <c r="R154" s="45"/>
      <c r="V154" s="45"/>
      <c r="Y154" s="45"/>
      <c r="Z154" s="326"/>
      <c r="AA154" s="45"/>
      <c r="AB154" s="45"/>
      <c r="AC154" s="45"/>
      <c r="AD154" s="45"/>
      <c r="AE154" s="45"/>
      <c r="AF154" s="45"/>
      <c r="AH154" s="51"/>
      <c r="AI154" s="45"/>
      <c r="AJ154" s="45"/>
      <c r="AL154" s="45"/>
      <c r="AM154" s="46"/>
      <c r="AN154" s="46"/>
    </row>
    <row r="155" spans="3:40">
      <c r="C155" s="42"/>
      <c r="F155" s="164"/>
      <c r="H155" s="164"/>
      <c r="I155" s="164"/>
      <c r="J155" s="132"/>
      <c r="K155" s="331"/>
      <c r="L155" s="45"/>
      <c r="M155" s="45"/>
      <c r="N155" s="46"/>
      <c r="O155" s="46"/>
      <c r="P155" s="164"/>
      <c r="Q155" s="164"/>
      <c r="R155" s="45"/>
      <c r="T155" s="42"/>
      <c r="V155" s="164"/>
      <c r="Y155" s="164"/>
      <c r="Z155" s="336"/>
      <c r="AA155" s="45"/>
      <c r="AB155" s="45"/>
      <c r="AC155" s="46"/>
      <c r="AD155" s="46"/>
      <c r="AE155" s="45"/>
      <c r="AF155" s="45"/>
      <c r="AH155" s="51"/>
      <c r="AI155" s="164"/>
      <c r="AJ155" s="164"/>
      <c r="AL155" s="45"/>
      <c r="AM155" s="46"/>
      <c r="AN155" s="46"/>
    </row>
    <row r="156" spans="3:40">
      <c r="C156" s="42"/>
      <c r="F156" s="164"/>
      <c r="H156" s="164"/>
      <c r="I156" s="164"/>
      <c r="J156" s="132"/>
      <c r="K156" s="331"/>
      <c r="L156" s="45"/>
      <c r="M156" s="45"/>
      <c r="N156" s="46"/>
      <c r="O156" s="46"/>
      <c r="P156" s="164"/>
      <c r="Q156" s="164"/>
      <c r="R156" s="45"/>
      <c r="T156" s="42"/>
      <c r="V156" s="164"/>
      <c r="Y156" s="45"/>
      <c r="Z156" s="325"/>
      <c r="AA156" s="45"/>
      <c r="AB156" s="45"/>
      <c r="AC156" s="46"/>
      <c r="AD156" s="46"/>
      <c r="AE156" s="45"/>
      <c r="AF156" s="45"/>
      <c r="AH156" s="51"/>
      <c r="AI156" s="164"/>
      <c r="AJ156" s="164"/>
      <c r="AL156" s="45"/>
      <c r="AM156" s="46"/>
      <c r="AN156" s="46"/>
    </row>
    <row r="157" spans="3:40">
      <c r="C157" s="42"/>
      <c r="F157" s="164"/>
      <c r="H157" s="164"/>
      <c r="I157" s="164"/>
      <c r="J157" s="132"/>
      <c r="K157" s="331"/>
      <c r="L157" s="45"/>
      <c r="M157" s="45"/>
      <c r="N157" s="46"/>
      <c r="O157" s="46"/>
      <c r="P157" s="164"/>
      <c r="Q157" s="164"/>
      <c r="R157" s="45"/>
      <c r="T157" s="42"/>
      <c r="V157" s="164"/>
      <c r="Y157" s="45"/>
      <c r="Z157" s="325"/>
      <c r="AA157" s="45"/>
      <c r="AB157" s="45"/>
      <c r="AC157" s="46"/>
      <c r="AD157" s="46"/>
      <c r="AE157" s="45"/>
      <c r="AF157" s="45"/>
      <c r="AH157" s="51"/>
      <c r="AI157" s="164"/>
      <c r="AJ157" s="164"/>
      <c r="AL157" s="45"/>
      <c r="AM157" s="46"/>
      <c r="AN157" s="46"/>
    </row>
    <row r="158" spans="3:40">
      <c r="F158" s="50"/>
      <c r="H158" s="50"/>
      <c r="I158" s="50"/>
      <c r="J158" s="132"/>
      <c r="K158" s="326"/>
      <c r="L158" s="50"/>
      <c r="M158" s="50"/>
      <c r="N158" s="50"/>
      <c r="O158" s="50"/>
      <c r="P158" s="50"/>
      <c r="Q158" s="50"/>
      <c r="R158" s="50"/>
      <c r="V158" s="50"/>
      <c r="Y158" s="50"/>
      <c r="Z158" s="326"/>
      <c r="AA158" s="50"/>
      <c r="AB158" s="50"/>
      <c r="AC158" s="50"/>
      <c r="AD158" s="50"/>
      <c r="AE158" s="50"/>
      <c r="AF158" s="50"/>
      <c r="AI158" s="50"/>
      <c r="AJ158" s="50"/>
      <c r="AK158" s="111"/>
      <c r="AL158" s="50"/>
      <c r="AM158" s="46"/>
      <c r="AN158" s="46"/>
    </row>
    <row r="159" spans="3:40">
      <c r="C159" s="42"/>
      <c r="F159" s="45"/>
      <c r="H159" s="45"/>
      <c r="I159" s="45"/>
      <c r="J159" s="56"/>
      <c r="K159" s="47"/>
      <c r="L159" s="45"/>
      <c r="M159" s="45"/>
      <c r="N159" s="46"/>
      <c r="O159" s="46"/>
      <c r="P159" s="45"/>
      <c r="Q159" s="45"/>
      <c r="R159" s="45"/>
      <c r="T159" s="42"/>
      <c r="V159" s="45"/>
      <c r="Y159" s="45"/>
      <c r="Z159" s="47"/>
      <c r="AA159" s="45"/>
      <c r="AB159" s="45"/>
      <c r="AC159" s="46"/>
      <c r="AD159" s="46"/>
      <c r="AE159" s="45"/>
      <c r="AF159" s="45"/>
      <c r="AH159" s="51"/>
      <c r="AI159" s="45"/>
      <c r="AJ159" s="45"/>
      <c r="AL159" s="45"/>
      <c r="AM159" s="46"/>
      <c r="AN159" s="46"/>
    </row>
    <row r="160" spans="3:40">
      <c r="F160" s="50"/>
      <c r="H160" s="50"/>
      <c r="I160" s="50"/>
      <c r="J160" s="132"/>
      <c r="K160" s="326"/>
      <c r="L160" s="50"/>
      <c r="M160" s="50"/>
      <c r="N160" s="50"/>
      <c r="O160" s="50"/>
      <c r="P160" s="50"/>
      <c r="Q160" s="50"/>
      <c r="R160" s="50"/>
      <c r="V160" s="50"/>
      <c r="Y160" s="50"/>
      <c r="Z160" s="326"/>
      <c r="AA160" s="50"/>
      <c r="AB160" s="50"/>
      <c r="AC160" s="50"/>
      <c r="AD160" s="50"/>
      <c r="AE160" s="50"/>
      <c r="AF160" s="50"/>
      <c r="AI160" s="50"/>
      <c r="AJ160" s="50"/>
      <c r="AK160" s="111"/>
      <c r="AL160" s="50"/>
      <c r="AM160" s="46"/>
      <c r="AN160" s="46"/>
    </row>
    <row r="161" spans="1:40">
      <c r="C161" s="42"/>
      <c r="F161" s="45"/>
      <c r="H161" s="45"/>
      <c r="I161" s="45"/>
      <c r="J161" s="56"/>
      <c r="K161" s="47"/>
      <c r="L161" s="45"/>
      <c r="M161" s="45"/>
      <c r="N161" s="46"/>
      <c r="O161" s="46"/>
      <c r="P161" s="45"/>
      <c r="Q161" s="45"/>
      <c r="R161" s="45"/>
      <c r="T161" s="42"/>
      <c r="V161" s="45"/>
      <c r="Y161" s="45"/>
      <c r="Z161" s="47"/>
      <c r="AA161" s="45"/>
      <c r="AB161" s="45"/>
      <c r="AC161" s="46"/>
      <c r="AD161" s="46"/>
      <c r="AE161" s="45"/>
      <c r="AF161" s="45"/>
      <c r="AH161" s="51"/>
      <c r="AI161" s="45"/>
      <c r="AJ161" s="45"/>
      <c r="AL161" s="45"/>
      <c r="AM161" s="46"/>
      <c r="AN161" s="46"/>
    </row>
    <row r="162" spans="1:40">
      <c r="C162" s="42"/>
      <c r="F162" s="45"/>
      <c r="H162" s="45"/>
      <c r="I162" s="45"/>
      <c r="J162" s="56"/>
      <c r="K162" s="47"/>
      <c r="L162" s="45"/>
      <c r="M162" s="45"/>
      <c r="N162" s="46"/>
      <c r="O162" s="46"/>
      <c r="P162" s="45"/>
      <c r="Q162" s="45"/>
      <c r="R162" s="45"/>
      <c r="T162" s="42"/>
      <c r="V162" s="45"/>
      <c r="Y162" s="45"/>
      <c r="Z162" s="47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1:40">
      <c r="F163" s="50"/>
      <c r="H163" s="50"/>
      <c r="I163" s="50"/>
      <c r="J163" s="132"/>
      <c r="K163" s="326"/>
      <c r="L163" s="50"/>
      <c r="M163" s="50"/>
      <c r="N163" s="50"/>
      <c r="O163" s="50"/>
      <c r="P163" s="50"/>
      <c r="Q163" s="50"/>
      <c r="R163" s="50"/>
      <c r="V163" s="50"/>
      <c r="Y163" s="50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  <c r="AM163" s="45"/>
      <c r="AN163" s="45"/>
    </row>
    <row r="164" spans="1:40">
      <c r="F164" s="45"/>
      <c r="H164" s="45"/>
      <c r="I164" s="45"/>
      <c r="J164" s="56"/>
      <c r="K164" s="47"/>
      <c r="L164" s="45"/>
      <c r="M164" s="45"/>
      <c r="N164" s="45"/>
      <c r="O164" s="45"/>
      <c r="P164" s="45"/>
      <c r="Q164" s="45"/>
      <c r="R164" s="45"/>
      <c r="V164" s="45"/>
      <c r="Y164" s="45"/>
      <c r="Z164" s="47"/>
      <c r="AA164" s="45"/>
      <c r="AB164" s="45"/>
      <c r="AC164" s="45"/>
      <c r="AD164" s="45"/>
    </row>
    <row r="165" spans="1:40">
      <c r="C165" s="42"/>
      <c r="F165" s="45"/>
      <c r="H165" s="45"/>
      <c r="I165" s="45"/>
      <c r="J165" s="56"/>
      <c r="K165" s="47"/>
      <c r="L165" s="45"/>
      <c r="M165" s="45"/>
      <c r="N165" s="45"/>
      <c r="O165" s="45"/>
      <c r="P165" s="45"/>
      <c r="Q165" s="45"/>
      <c r="R165" s="45"/>
      <c r="T165" s="42"/>
      <c r="V165" s="45"/>
      <c r="Y165" s="45"/>
      <c r="Z165" s="47"/>
      <c r="AA165" s="45"/>
      <c r="AB165" s="45"/>
      <c r="AC165" s="45"/>
      <c r="AD165" s="45"/>
    </row>
    <row r="166" spans="1:40">
      <c r="A166" s="42"/>
      <c r="J166" s="56"/>
    </row>
    <row r="167" spans="1:40">
      <c r="J167" s="56"/>
    </row>
    <row r="168" spans="1:40">
      <c r="H168" s="42"/>
      <c r="I168" s="42"/>
      <c r="J168" s="56"/>
      <c r="Y168" s="42"/>
    </row>
    <row r="169" spans="1:40">
      <c r="J169" s="56"/>
    </row>
    <row r="170" spans="1:40">
      <c r="J170" s="56"/>
      <c r="L170" s="42"/>
      <c r="M170" s="42"/>
      <c r="AA170" s="42"/>
      <c r="AB170" s="42"/>
    </row>
    <row r="171" spans="1:40">
      <c r="J171" s="56"/>
      <c r="R171" s="42"/>
      <c r="AK171" s="110"/>
      <c r="AL171" s="42"/>
    </row>
    <row r="172" spans="1:40">
      <c r="J172" s="56"/>
      <c r="R172" s="42"/>
      <c r="AK172" s="110"/>
      <c r="AL172" s="42"/>
    </row>
    <row r="173" spans="1:40">
      <c r="A173" s="42"/>
      <c r="J173" s="56"/>
      <c r="R173" s="42"/>
      <c r="AK173" s="110"/>
      <c r="AL173" s="42"/>
    </row>
    <row r="174" spans="1:40">
      <c r="J174" s="56"/>
      <c r="L174" s="42"/>
      <c r="M174" s="42"/>
      <c r="AA174" s="42"/>
      <c r="AB174" s="42"/>
    </row>
    <row r="175" spans="1:40">
      <c r="A175" s="49"/>
      <c r="B175" s="49"/>
      <c r="C175" s="49"/>
      <c r="D175" s="49"/>
      <c r="E175" s="49"/>
      <c r="F175" s="49"/>
      <c r="G175" s="49"/>
      <c r="H175" s="49"/>
      <c r="I175" s="49"/>
      <c r="J175" s="57"/>
      <c r="K175" s="49"/>
      <c r="L175" s="49"/>
      <c r="M175" s="49"/>
      <c r="N175" s="49"/>
      <c r="O175" s="49"/>
      <c r="P175" s="49"/>
      <c r="Q175" s="49"/>
      <c r="R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107"/>
      <c r="AH175" s="49"/>
      <c r="AI175" s="49"/>
      <c r="AJ175" s="49"/>
      <c r="AK175" s="107"/>
      <c r="AL175" s="49"/>
      <c r="AM175" s="49"/>
      <c r="AN175" s="49"/>
    </row>
    <row r="176" spans="1:40">
      <c r="J176" s="56"/>
      <c r="L176" s="44"/>
      <c r="M176" s="44"/>
      <c r="N176" s="44"/>
      <c r="O176" s="44"/>
      <c r="R176" s="44"/>
      <c r="AA176" s="44"/>
      <c r="AB176" s="44"/>
      <c r="AC176" s="44"/>
      <c r="AD176" s="44"/>
      <c r="AE176" s="44"/>
      <c r="AF176" s="44"/>
      <c r="AG176" s="102"/>
      <c r="AH176" s="44"/>
      <c r="AK176" s="102"/>
      <c r="AL176" s="44"/>
      <c r="AM176" s="44"/>
      <c r="AN176" s="44"/>
    </row>
    <row r="177" spans="1:40">
      <c r="J177" s="56"/>
      <c r="L177" s="44"/>
      <c r="M177" s="44"/>
      <c r="N177" s="44"/>
      <c r="O177" s="44"/>
      <c r="R177" s="44"/>
      <c r="Z177" s="44"/>
      <c r="AA177" s="44"/>
      <c r="AB177" s="44"/>
      <c r="AC177" s="44"/>
      <c r="AD177" s="44"/>
      <c r="AE177" s="44"/>
      <c r="AF177" s="44"/>
      <c r="AG177" s="102"/>
      <c r="AH177" s="44"/>
      <c r="AK177" s="102"/>
      <c r="AL177" s="44"/>
      <c r="AM177" s="44"/>
      <c r="AN177" s="44"/>
    </row>
    <row r="178" spans="1:40">
      <c r="A178" s="44"/>
      <c r="C178" s="44"/>
      <c r="D178" s="44"/>
      <c r="E178" s="44"/>
      <c r="F178" s="44"/>
      <c r="J178" s="58"/>
      <c r="K178" s="44"/>
      <c r="L178" s="44"/>
      <c r="M178" s="44"/>
      <c r="N178" s="44"/>
      <c r="O178" s="44"/>
      <c r="P178" s="44"/>
      <c r="Q178" s="44"/>
      <c r="R178" s="44"/>
      <c r="T178" s="44"/>
      <c r="U178" s="44"/>
      <c r="V178" s="44"/>
      <c r="Z178" s="44"/>
      <c r="AA178" s="44"/>
      <c r="AB178" s="44"/>
      <c r="AC178" s="44"/>
      <c r="AD178" s="44"/>
      <c r="AE178" s="44"/>
      <c r="AF178" s="44"/>
      <c r="AG178" s="102"/>
      <c r="AH178" s="44"/>
      <c r="AI178" s="44"/>
      <c r="AJ178" s="44"/>
      <c r="AK178" s="102"/>
      <c r="AL178" s="44"/>
      <c r="AM178" s="44"/>
      <c r="AN178" s="44"/>
    </row>
    <row r="179" spans="1:40">
      <c r="A179" s="44"/>
      <c r="C179" s="44"/>
      <c r="D179" s="44"/>
      <c r="E179" s="44"/>
      <c r="F179" s="44"/>
      <c r="H179" s="44"/>
      <c r="I179" s="44"/>
      <c r="J179" s="58"/>
      <c r="K179" s="44"/>
      <c r="L179" s="44"/>
      <c r="M179" s="44"/>
      <c r="N179" s="44"/>
      <c r="O179" s="44"/>
      <c r="P179" s="44"/>
      <c r="Q179" s="44"/>
      <c r="R179" s="44"/>
      <c r="T179" s="44"/>
      <c r="U179" s="44"/>
      <c r="V179" s="44"/>
      <c r="Y179" s="44"/>
      <c r="Z179" s="44"/>
      <c r="AA179" s="44"/>
      <c r="AB179" s="44"/>
      <c r="AC179" s="44"/>
      <c r="AD179" s="44"/>
      <c r="AE179" s="44"/>
      <c r="AF179" s="44"/>
      <c r="AG179" s="102"/>
      <c r="AH179" s="44"/>
      <c r="AI179" s="44"/>
      <c r="AJ179" s="44"/>
      <c r="AK179" s="102"/>
      <c r="AL179" s="44"/>
      <c r="AM179" s="44"/>
      <c r="AN179" s="44"/>
    </row>
    <row r="180" spans="1:40">
      <c r="C180" s="44"/>
      <c r="D180" s="44"/>
      <c r="E180" s="44"/>
      <c r="F180" s="44"/>
      <c r="H180" s="44"/>
      <c r="I180" s="44"/>
      <c r="J180" s="58"/>
      <c r="K180" s="44"/>
      <c r="L180" s="44"/>
      <c r="M180" s="44"/>
      <c r="N180" s="44"/>
      <c r="O180" s="44"/>
      <c r="P180" s="44"/>
      <c r="Q180" s="44"/>
      <c r="R180" s="44"/>
      <c r="T180" s="44"/>
      <c r="U180" s="44"/>
      <c r="V180" s="44"/>
      <c r="Y180" s="44"/>
      <c r="Z180" s="44"/>
      <c r="AA180" s="44"/>
      <c r="AB180" s="44"/>
      <c r="AC180" s="44"/>
      <c r="AD180" s="44"/>
      <c r="AE180" s="44"/>
      <c r="AF180" s="44"/>
      <c r="AG180" s="102"/>
      <c r="AH180" s="44"/>
      <c r="AI180" s="44"/>
      <c r="AJ180" s="44"/>
      <c r="AK180" s="102"/>
      <c r="AL180" s="44"/>
      <c r="AM180" s="44"/>
      <c r="AN180" s="44"/>
    </row>
    <row r="181" spans="1:40">
      <c r="A181" s="49"/>
      <c r="B181" s="49"/>
      <c r="C181" s="49"/>
      <c r="D181" s="49"/>
      <c r="E181" s="49"/>
      <c r="F181" s="49"/>
      <c r="G181" s="49"/>
      <c r="H181" s="49"/>
      <c r="I181" s="49"/>
      <c r="J181" s="57"/>
      <c r="K181" s="49"/>
      <c r="L181" s="49"/>
      <c r="M181" s="49"/>
      <c r="N181" s="49"/>
      <c r="O181" s="49"/>
      <c r="P181" s="49"/>
      <c r="Q181" s="49"/>
      <c r="R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107"/>
      <c r="AH181" s="49"/>
      <c r="AI181" s="49"/>
      <c r="AJ181" s="49"/>
      <c r="AK181" s="107"/>
      <c r="AL181" s="49"/>
      <c r="AM181" s="49"/>
      <c r="AN181" s="49"/>
    </row>
    <row r="182" spans="1:40">
      <c r="H182" s="44"/>
      <c r="I182" s="44"/>
      <c r="J182" s="58"/>
      <c r="K182" s="44"/>
      <c r="L182" s="44"/>
      <c r="M182" s="44"/>
      <c r="N182" s="44"/>
      <c r="O182" s="44"/>
      <c r="P182" s="44"/>
      <c r="Q182" s="44"/>
      <c r="R182" s="44"/>
      <c r="Y182" s="44"/>
      <c r="Z182" s="44"/>
      <c r="AA182" s="44"/>
      <c r="AB182" s="44"/>
      <c r="AC182" s="44"/>
      <c r="AD182" s="44"/>
      <c r="AE182" s="44"/>
      <c r="AF182" s="44"/>
      <c r="AG182" s="102"/>
      <c r="AH182" s="44"/>
      <c r="AI182" s="44"/>
      <c r="AJ182" s="44"/>
      <c r="AK182" s="102"/>
      <c r="AL182" s="44"/>
      <c r="AM182" s="44"/>
      <c r="AN182" s="44"/>
    </row>
    <row r="183" spans="1:40">
      <c r="C183" s="42"/>
      <c r="D183" s="42"/>
      <c r="E183" s="42"/>
      <c r="J183" s="56"/>
      <c r="T183" s="42"/>
      <c r="U183" s="42"/>
    </row>
    <row r="184" spans="1:40">
      <c r="J184" s="56"/>
    </row>
    <row r="185" spans="1:40">
      <c r="C185" s="42"/>
      <c r="F185" s="164"/>
      <c r="H185" s="329"/>
      <c r="I185" s="329"/>
      <c r="J185" s="132"/>
      <c r="K185" s="316"/>
      <c r="L185" s="45"/>
      <c r="M185" s="45"/>
      <c r="R185" s="45"/>
      <c r="T185" s="42"/>
      <c r="V185" s="45"/>
      <c r="Z185" s="316"/>
      <c r="AA185" s="45"/>
      <c r="AB185" s="45"/>
      <c r="AE185" s="45"/>
      <c r="AF185" s="45"/>
      <c r="AG185" s="333"/>
      <c r="AH185" s="334"/>
      <c r="AI185" s="45"/>
      <c r="AJ185" s="45"/>
      <c r="AL185" s="45"/>
      <c r="AM185" s="335"/>
      <c r="AN185" s="335"/>
    </row>
    <row r="186" spans="1:40">
      <c r="F186" s="164"/>
      <c r="H186" s="329"/>
      <c r="I186" s="329"/>
      <c r="J186" s="132"/>
      <c r="K186" s="329"/>
      <c r="R186" s="45"/>
      <c r="V186" s="45"/>
      <c r="Z186" s="329"/>
    </row>
    <row r="187" spans="1:40">
      <c r="C187" s="42"/>
      <c r="F187" s="164"/>
      <c r="H187" s="164"/>
      <c r="I187" s="164"/>
      <c r="J187" s="132"/>
      <c r="K187" s="331"/>
      <c r="L187" s="45"/>
      <c r="M187" s="45"/>
      <c r="N187" s="46"/>
      <c r="O187" s="46"/>
      <c r="P187" s="164"/>
      <c r="Q187" s="164"/>
      <c r="R187" s="45"/>
      <c r="T187" s="42"/>
      <c r="V187" s="45"/>
      <c r="Y187" s="45"/>
      <c r="Z187" s="325"/>
      <c r="AA187" s="45"/>
      <c r="AB187" s="45"/>
      <c r="AC187" s="46"/>
      <c r="AD187" s="46"/>
      <c r="AE187" s="45"/>
      <c r="AF187" s="45"/>
      <c r="AH187" s="51"/>
      <c r="AI187" s="164"/>
      <c r="AJ187" s="164"/>
      <c r="AL187" s="45"/>
      <c r="AM187" s="46"/>
      <c r="AN187" s="46"/>
    </row>
    <row r="188" spans="1:40">
      <c r="F188" s="50"/>
      <c r="H188" s="50"/>
      <c r="I188" s="50"/>
      <c r="J188" s="132"/>
      <c r="K188" s="326"/>
      <c r="L188" s="50"/>
      <c r="M188" s="50"/>
      <c r="N188" s="50"/>
      <c r="O188" s="50"/>
      <c r="P188" s="50"/>
      <c r="Q188" s="50"/>
      <c r="R188" s="50"/>
      <c r="V188" s="50"/>
      <c r="Y188" s="50"/>
      <c r="Z188" s="326"/>
      <c r="AA188" s="50"/>
      <c r="AB188" s="50"/>
      <c r="AC188" s="50"/>
      <c r="AD188" s="50"/>
      <c r="AE188" s="50"/>
      <c r="AF188" s="50"/>
      <c r="AI188" s="50"/>
      <c r="AJ188" s="50"/>
      <c r="AK188" s="111"/>
      <c r="AL188" s="50"/>
    </row>
    <row r="189" spans="1:40">
      <c r="D189" s="42"/>
      <c r="E189" s="42"/>
      <c r="F189" s="45"/>
      <c r="H189" s="45"/>
      <c r="I189" s="45"/>
      <c r="J189" s="56"/>
      <c r="K189" s="47"/>
      <c r="L189" s="45"/>
      <c r="M189" s="45"/>
      <c r="N189" s="46"/>
      <c r="O189" s="46"/>
      <c r="P189" s="45"/>
      <c r="Q189" s="45"/>
      <c r="R189" s="45"/>
      <c r="U189" s="42"/>
      <c r="V189" s="45"/>
      <c r="Y189" s="45"/>
      <c r="Z189" s="47"/>
      <c r="AA189" s="45"/>
      <c r="AB189" s="45"/>
      <c r="AC189" s="46"/>
      <c r="AD189" s="46"/>
      <c r="AE189" s="45"/>
      <c r="AF189" s="45"/>
      <c r="AH189" s="51"/>
      <c r="AI189" s="45"/>
      <c r="AJ189" s="45"/>
      <c r="AL189" s="45"/>
      <c r="AM189" s="46"/>
      <c r="AN189" s="46"/>
    </row>
    <row r="190" spans="1:40">
      <c r="F190" s="50"/>
      <c r="H190" s="50"/>
      <c r="I190" s="50"/>
      <c r="J190" s="132"/>
      <c r="K190" s="326"/>
      <c r="L190" s="50"/>
      <c r="M190" s="50"/>
      <c r="N190" s="50"/>
      <c r="O190" s="50"/>
      <c r="P190" s="50"/>
      <c r="Q190" s="50"/>
      <c r="R190" s="50"/>
      <c r="V190" s="50"/>
      <c r="Y190" s="50"/>
      <c r="Z190" s="326"/>
      <c r="AA190" s="50"/>
      <c r="AB190" s="50"/>
      <c r="AC190" s="50"/>
      <c r="AD190" s="50"/>
      <c r="AE190" s="50"/>
      <c r="AF190" s="50"/>
      <c r="AI190" s="50"/>
      <c r="AJ190" s="50"/>
      <c r="AK190" s="111"/>
      <c r="AL190" s="50"/>
    </row>
    <row r="191" spans="1:40">
      <c r="J191" s="56"/>
      <c r="R191" s="45"/>
    </row>
    <row r="192" spans="1:40">
      <c r="J192" s="56"/>
      <c r="R192" s="45"/>
    </row>
    <row r="193" spans="1:40">
      <c r="J193" s="56"/>
      <c r="R193" s="45"/>
    </row>
    <row r="194" spans="1:40">
      <c r="C194" s="42"/>
      <c r="D194" s="42"/>
      <c r="E194" s="42"/>
      <c r="H194" s="45"/>
      <c r="I194" s="45"/>
      <c r="J194" s="56"/>
      <c r="K194" s="47"/>
      <c r="L194" s="45"/>
      <c r="M194" s="45"/>
      <c r="N194" s="46"/>
      <c r="O194" s="46"/>
      <c r="P194" s="45"/>
      <c r="Q194" s="45"/>
      <c r="R194" s="45"/>
      <c r="T194" s="42"/>
      <c r="U194" s="42"/>
      <c r="Y194" s="45"/>
      <c r="Z194" s="47"/>
      <c r="AA194" s="45"/>
      <c r="AB194" s="45"/>
      <c r="AC194" s="46"/>
      <c r="AD194" s="46"/>
    </row>
    <row r="195" spans="1:40">
      <c r="H195" s="45"/>
      <c r="I195" s="45"/>
      <c r="J195" s="56"/>
      <c r="K195" s="47"/>
      <c r="L195" s="45"/>
      <c r="M195" s="45"/>
      <c r="N195" s="46"/>
      <c r="O195" s="46"/>
      <c r="P195" s="45"/>
      <c r="Q195" s="45"/>
      <c r="R195" s="45"/>
      <c r="Y195" s="45"/>
      <c r="Z195" s="47"/>
      <c r="AA195" s="45"/>
      <c r="AB195" s="45"/>
      <c r="AC195" s="46"/>
      <c r="AD195" s="46"/>
    </row>
    <row r="196" spans="1:40">
      <c r="C196" s="42"/>
      <c r="F196" s="164"/>
      <c r="H196" s="164"/>
      <c r="I196" s="164"/>
      <c r="J196" s="58"/>
      <c r="K196" s="52"/>
      <c r="L196" s="164"/>
      <c r="M196" s="164"/>
      <c r="N196" s="46"/>
      <c r="O196" s="46"/>
      <c r="P196" s="45"/>
      <c r="Q196" s="45"/>
      <c r="R196" s="45"/>
      <c r="T196" s="42"/>
      <c r="V196" s="45"/>
      <c r="Y196" s="45"/>
      <c r="Z196" s="52"/>
      <c r="AA196" s="45"/>
      <c r="AB196" s="45"/>
      <c r="AC196" s="46"/>
      <c r="AD196" s="46"/>
      <c r="AE196" s="45"/>
      <c r="AF196" s="45"/>
      <c r="AH196" s="51"/>
      <c r="AI196" s="45"/>
      <c r="AJ196" s="45"/>
      <c r="AL196" s="45"/>
      <c r="AM196" s="46"/>
      <c r="AN196" s="46"/>
    </row>
    <row r="197" spans="1:40">
      <c r="F197" s="164"/>
      <c r="H197" s="329"/>
      <c r="I197" s="329"/>
      <c r="J197" s="132"/>
      <c r="K197" s="329"/>
      <c r="R197" s="45"/>
      <c r="V197" s="45"/>
      <c r="Z197" s="329"/>
    </row>
    <row r="198" spans="1:40">
      <c r="C198" s="42"/>
      <c r="F198" s="164"/>
      <c r="H198" s="164"/>
      <c r="I198" s="164"/>
      <c r="J198" s="132"/>
      <c r="K198" s="316"/>
      <c r="L198" s="45"/>
      <c r="M198" s="45"/>
      <c r="N198" s="46"/>
      <c r="O198" s="46"/>
      <c r="P198" s="45"/>
      <c r="Q198" s="45"/>
      <c r="R198" s="45"/>
      <c r="T198" s="42"/>
      <c r="V198" s="45"/>
      <c r="Y198" s="45"/>
      <c r="Z198" s="316"/>
      <c r="AA198" s="45"/>
      <c r="AB198" s="45"/>
      <c r="AC198" s="46"/>
      <c r="AD198" s="46"/>
      <c r="AE198" s="45"/>
      <c r="AF198" s="45"/>
      <c r="AH198" s="51"/>
      <c r="AI198" s="45"/>
      <c r="AJ198" s="45"/>
      <c r="AL198" s="45"/>
      <c r="AM198" s="46"/>
      <c r="AN198" s="46"/>
    </row>
    <row r="199" spans="1:40">
      <c r="F199" s="164"/>
      <c r="H199" s="329"/>
      <c r="I199" s="329"/>
      <c r="J199" s="132"/>
      <c r="K199" s="329"/>
      <c r="R199" s="45"/>
      <c r="V199" s="45"/>
      <c r="Z199" s="329"/>
    </row>
    <row r="200" spans="1:40">
      <c r="C200" s="42"/>
      <c r="F200" s="164"/>
      <c r="H200" s="164"/>
      <c r="I200" s="164"/>
      <c r="J200" s="132"/>
      <c r="K200" s="331"/>
      <c r="L200" s="45"/>
      <c r="M200" s="45"/>
      <c r="N200" s="46"/>
      <c r="O200" s="46"/>
      <c r="P200" s="45"/>
      <c r="Q200" s="45"/>
      <c r="R200" s="45"/>
      <c r="T200" s="42"/>
      <c r="V200" s="45"/>
      <c r="Y200" s="45"/>
      <c r="Z200" s="325"/>
      <c r="AA200" s="45"/>
      <c r="AB200" s="45"/>
      <c r="AC200" s="46"/>
      <c r="AD200" s="46"/>
      <c r="AE200" s="45"/>
      <c r="AF200" s="45"/>
      <c r="AH200" s="51"/>
      <c r="AI200" s="45"/>
      <c r="AJ200" s="45"/>
      <c r="AL200" s="45"/>
      <c r="AM200" s="46"/>
      <c r="AN200" s="46"/>
    </row>
    <row r="201" spans="1:40">
      <c r="F201" s="50"/>
      <c r="H201" s="50"/>
      <c r="I201" s="50"/>
      <c r="J201" s="132"/>
      <c r="K201" s="326"/>
      <c r="L201" s="50"/>
      <c r="M201" s="50"/>
      <c r="N201" s="50"/>
      <c r="O201" s="50"/>
      <c r="P201" s="50"/>
      <c r="Q201" s="50"/>
      <c r="R201" s="50"/>
      <c r="S201" s="45"/>
      <c r="V201" s="50"/>
      <c r="Y201" s="50"/>
      <c r="Z201" s="326"/>
      <c r="AA201" s="50"/>
      <c r="AB201" s="50"/>
      <c r="AC201" s="50"/>
      <c r="AD201" s="50"/>
      <c r="AE201" s="50"/>
      <c r="AF201" s="50"/>
      <c r="AI201" s="50"/>
      <c r="AJ201" s="50"/>
      <c r="AK201" s="111"/>
      <c r="AL201" s="50"/>
    </row>
    <row r="202" spans="1:40">
      <c r="D202" s="42"/>
      <c r="E202" s="42"/>
      <c r="F202" s="45"/>
      <c r="H202" s="45"/>
      <c r="I202" s="45"/>
      <c r="J202" s="56"/>
      <c r="K202" s="47"/>
      <c r="L202" s="45"/>
      <c r="M202" s="45"/>
      <c r="N202" s="46"/>
      <c r="O202" s="46"/>
      <c r="P202" s="164"/>
      <c r="Q202" s="164"/>
      <c r="R202" s="45"/>
      <c r="S202" s="45"/>
      <c r="U202" s="42"/>
      <c r="V202" s="45"/>
      <c r="Y202" s="45"/>
      <c r="Z202" s="47"/>
      <c r="AA202" s="45"/>
      <c r="AB202" s="45"/>
      <c r="AC202" s="46"/>
      <c r="AD202" s="46"/>
      <c r="AE202" s="45"/>
      <c r="AF202" s="45"/>
      <c r="AH202" s="51"/>
      <c r="AI202" s="164"/>
      <c r="AJ202" s="164"/>
      <c r="AL202" s="45"/>
      <c r="AM202" s="46"/>
      <c r="AN202" s="46"/>
    </row>
    <row r="203" spans="1:40">
      <c r="F203" s="50"/>
      <c r="H203" s="50"/>
      <c r="I203" s="50"/>
      <c r="J203" s="132"/>
      <c r="K203" s="326"/>
      <c r="L203" s="50"/>
      <c r="M203" s="50"/>
      <c r="N203" s="50"/>
      <c r="O203" s="50"/>
      <c r="P203" s="50"/>
      <c r="Q203" s="50"/>
      <c r="R203" s="50"/>
      <c r="S203" s="45"/>
      <c r="V203" s="50"/>
      <c r="Y203" s="50"/>
      <c r="Z203" s="326"/>
      <c r="AA203" s="50"/>
      <c r="AB203" s="50"/>
      <c r="AC203" s="50"/>
      <c r="AD203" s="50"/>
      <c r="AE203" s="50"/>
      <c r="AF203" s="50"/>
      <c r="AI203" s="50"/>
      <c r="AJ203" s="50"/>
      <c r="AK203" s="111"/>
      <c r="AL203" s="50"/>
    </row>
    <row r="204" spans="1:40">
      <c r="J204" s="56"/>
      <c r="R204" s="45"/>
    </row>
    <row r="205" spans="1:40">
      <c r="F205" s="45"/>
      <c r="H205" s="45"/>
      <c r="I205" s="45"/>
      <c r="J205" s="56"/>
      <c r="K205" s="47"/>
      <c r="L205" s="45"/>
      <c r="M205" s="45"/>
      <c r="N205" s="45"/>
      <c r="O205" s="45"/>
      <c r="P205" s="45"/>
      <c r="Q205" s="45"/>
      <c r="R205" s="45"/>
      <c r="V205" s="45"/>
      <c r="Y205" s="45"/>
      <c r="Z205" s="47"/>
      <c r="AA205" s="45"/>
      <c r="AB205" s="45"/>
      <c r="AC205" s="45"/>
      <c r="AD205" s="45"/>
    </row>
    <row r="206" spans="1:40">
      <c r="C206" s="42"/>
      <c r="F206" s="45"/>
      <c r="H206" s="45"/>
      <c r="I206" s="45"/>
      <c r="J206" s="56"/>
      <c r="K206" s="47"/>
      <c r="L206" s="45"/>
      <c r="M206" s="45"/>
      <c r="N206" s="45"/>
      <c r="O206" s="45"/>
      <c r="P206" s="45"/>
      <c r="Q206" s="45"/>
      <c r="R206" s="45"/>
      <c r="T206" s="42"/>
      <c r="V206" s="45"/>
      <c r="Y206" s="45"/>
      <c r="Z206" s="47"/>
      <c r="AA206" s="45"/>
      <c r="AB206" s="45"/>
      <c r="AC206" s="45"/>
      <c r="AD206" s="45"/>
    </row>
    <row r="207" spans="1:40">
      <c r="C207" s="42"/>
      <c r="J207" s="56"/>
      <c r="T207" s="42"/>
    </row>
    <row r="208" spans="1:40">
      <c r="A208" s="42"/>
      <c r="J208" s="56"/>
    </row>
    <row r="209" spans="1:40">
      <c r="J209" s="56"/>
    </row>
    <row r="210" spans="1:40">
      <c r="J210" s="56"/>
    </row>
    <row r="211" spans="1:40">
      <c r="H211" s="42"/>
      <c r="I211" s="42"/>
      <c r="J211" s="56"/>
      <c r="Y211" s="42"/>
    </row>
    <row r="212" spans="1:40">
      <c r="J212" s="56"/>
    </row>
    <row r="213" spans="1:40">
      <c r="J213" s="56"/>
      <c r="L213" s="42"/>
      <c r="M213" s="42"/>
      <c r="AA213" s="42"/>
      <c r="AB213" s="42"/>
    </row>
    <row r="214" spans="1:40">
      <c r="J214" s="56"/>
      <c r="R214" s="42"/>
      <c r="AK214" s="110"/>
      <c r="AL214" s="42"/>
    </row>
    <row r="215" spans="1:40">
      <c r="J215" s="56"/>
      <c r="R215" s="42"/>
      <c r="AK215" s="110"/>
      <c r="AL215" s="42"/>
    </row>
    <row r="216" spans="1:40">
      <c r="A216" s="42"/>
      <c r="J216" s="56"/>
      <c r="R216" s="42"/>
      <c r="AK216" s="110"/>
      <c r="AL216" s="42"/>
    </row>
    <row r="217" spans="1:40">
      <c r="J217" s="56"/>
      <c r="L217" s="42"/>
      <c r="M217" s="42"/>
      <c r="AA217" s="42"/>
      <c r="AB217" s="42"/>
    </row>
    <row r="218" spans="1:40">
      <c r="A218" s="49"/>
      <c r="B218" s="49"/>
      <c r="C218" s="49"/>
      <c r="D218" s="49"/>
      <c r="E218" s="49"/>
      <c r="F218" s="49"/>
      <c r="G218" s="49"/>
      <c r="H218" s="49"/>
      <c r="I218" s="49"/>
      <c r="J218" s="57"/>
      <c r="K218" s="49"/>
      <c r="L218" s="49"/>
      <c r="M218" s="49"/>
      <c r="N218" s="49"/>
      <c r="O218" s="49"/>
      <c r="P218" s="49"/>
      <c r="Q218" s="49"/>
      <c r="R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107"/>
      <c r="AH218" s="49"/>
      <c r="AI218" s="49"/>
      <c r="AJ218" s="49"/>
      <c r="AK218" s="107"/>
      <c r="AL218" s="49"/>
      <c r="AM218" s="49"/>
      <c r="AN218" s="49"/>
    </row>
    <row r="219" spans="1:40">
      <c r="J219" s="56"/>
      <c r="L219" s="44"/>
      <c r="M219" s="44"/>
      <c r="N219" s="44"/>
      <c r="O219" s="44"/>
      <c r="R219" s="44"/>
      <c r="AA219" s="44"/>
      <c r="AB219" s="44"/>
      <c r="AC219" s="44"/>
      <c r="AD219" s="44"/>
      <c r="AE219" s="44"/>
      <c r="AF219" s="44"/>
      <c r="AG219" s="102"/>
      <c r="AH219" s="44"/>
      <c r="AK219" s="102"/>
      <c r="AL219" s="44"/>
      <c r="AM219" s="44"/>
      <c r="AN219" s="44"/>
    </row>
    <row r="220" spans="1:40">
      <c r="J220" s="56"/>
      <c r="L220" s="44"/>
      <c r="M220" s="44"/>
      <c r="N220" s="44"/>
      <c r="O220" s="44"/>
      <c r="R220" s="44"/>
      <c r="Z220" s="44"/>
      <c r="AA220" s="44"/>
      <c r="AB220" s="44"/>
      <c r="AC220" s="44"/>
      <c r="AD220" s="44"/>
      <c r="AE220" s="44"/>
      <c r="AF220" s="44"/>
      <c r="AG220" s="102"/>
      <c r="AH220" s="44"/>
      <c r="AK220" s="102"/>
      <c r="AL220" s="44"/>
      <c r="AM220" s="44"/>
      <c r="AN220" s="44"/>
    </row>
    <row r="221" spans="1:40">
      <c r="A221" s="44"/>
      <c r="C221" s="44"/>
      <c r="D221" s="44"/>
      <c r="E221" s="44"/>
      <c r="F221" s="44"/>
      <c r="J221" s="58"/>
      <c r="K221" s="44"/>
      <c r="L221" s="44"/>
      <c r="M221" s="44"/>
      <c r="N221" s="44"/>
      <c r="O221" s="44"/>
      <c r="P221" s="44"/>
      <c r="Q221" s="44"/>
      <c r="R221" s="44"/>
      <c r="T221" s="44"/>
      <c r="U221" s="44"/>
      <c r="V221" s="44"/>
      <c r="Z221" s="44"/>
      <c r="AA221" s="44"/>
      <c r="AB221" s="44"/>
      <c r="AC221" s="44"/>
      <c r="AD221" s="44"/>
      <c r="AE221" s="44"/>
      <c r="AF221" s="44"/>
      <c r="AG221" s="102"/>
      <c r="AH221" s="44"/>
      <c r="AI221" s="44"/>
      <c r="AJ221" s="44"/>
      <c r="AK221" s="102"/>
      <c r="AL221" s="44"/>
      <c r="AM221" s="44"/>
      <c r="AN221" s="44"/>
    </row>
    <row r="222" spans="1:40">
      <c r="A222" s="44"/>
      <c r="C222" s="44"/>
      <c r="D222" s="44"/>
      <c r="E222" s="44"/>
      <c r="F222" s="44"/>
      <c r="H222" s="44"/>
      <c r="I222" s="44"/>
      <c r="J222" s="58"/>
      <c r="K222" s="44"/>
      <c r="L222" s="44"/>
      <c r="M222" s="44"/>
      <c r="N222" s="44"/>
      <c r="O222" s="44"/>
      <c r="P222" s="44"/>
      <c r="Q222" s="44"/>
      <c r="R222" s="44"/>
      <c r="T222" s="44"/>
      <c r="U222" s="44"/>
      <c r="V222" s="44"/>
      <c r="Y222" s="44"/>
      <c r="Z222" s="44"/>
      <c r="AA222" s="44"/>
      <c r="AB222" s="44"/>
      <c r="AC222" s="44"/>
      <c r="AD222" s="44"/>
      <c r="AE222" s="44"/>
      <c r="AF222" s="44"/>
      <c r="AG222" s="102"/>
      <c r="AH222" s="44"/>
      <c r="AI222" s="44"/>
      <c r="AJ222" s="44"/>
      <c r="AK222" s="102"/>
      <c r="AL222" s="44"/>
      <c r="AM222" s="44"/>
      <c r="AN222" s="44"/>
    </row>
    <row r="223" spans="1:40">
      <c r="C223" s="44"/>
      <c r="D223" s="44"/>
      <c r="E223" s="44"/>
      <c r="F223" s="44"/>
      <c r="H223" s="44"/>
      <c r="I223" s="44"/>
      <c r="J223" s="58"/>
      <c r="K223" s="44"/>
      <c r="L223" s="44"/>
      <c r="M223" s="44"/>
      <c r="N223" s="44"/>
      <c r="O223" s="44"/>
      <c r="P223" s="44"/>
      <c r="Q223" s="44"/>
      <c r="R223" s="44"/>
      <c r="T223" s="44"/>
      <c r="U223" s="44"/>
      <c r="V223" s="44"/>
      <c r="Y223" s="44"/>
      <c r="Z223" s="44"/>
      <c r="AA223" s="44"/>
      <c r="AB223" s="44"/>
      <c r="AC223" s="44"/>
      <c r="AD223" s="44"/>
      <c r="AE223" s="44"/>
      <c r="AF223" s="44"/>
      <c r="AG223" s="102"/>
      <c r="AH223" s="44"/>
      <c r="AI223" s="44"/>
      <c r="AJ223" s="44"/>
      <c r="AK223" s="102"/>
      <c r="AL223" s="44"/>
      <c r="AM223" s="44"/>
      <c r="AN223" s="44"/>
    </row>
    <row r="224" spans="1:40">
      <c r="A224" s="49"/>
      <c r="B224" s="49"/>
      <c r="C224" s="49"/>
      <c r="D224" s="49"/>
      <c r="E224" s="49"/>
      <c r="F224" s="49"/>
      <c r="G224" s="49"/>
      <c r="H224" s="49"/>
      <c r="I224" s="49"/>
      <c r="J224" s="57"/>
      <c r="K224" s="49"/>
      <c r="L224" s="49"/>
      <c r="M224" s="49"/>
      <c r="N224" s="49"/>
      <c r="O224" s="49"/>
      <c r="P224" s="49"/>
      <c r="Q224" s="49"/>
      <c r="R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107"/>
      <c r="AH224" s="49"/>
      <c r="AI224" s="49"/>
      <c r="AJ224" s="49"/>
      <c r="AK224" s="107"/>
      <c r="AL224" s="49"/>
      <c r="AM224" s="49"/>
      <c r="AN224" s="49"/>
    </row>
    <row r="225" spans="3:40">
      <c r="H225" s="44"/>
      <c r="I225" s="44"/>
      <c r="J225" s="58"/>
      <c r="K225" s="44"/>
      <c r="L225" s="44"/>
      <c r="M225" s="44"/>
      <c r="N225" s="44"/>
      <c r="O225" s="44"/>
      <c r="P225" s="44"/>
      <c r="Q225" s="44"/>
      <c r="R225" s="44"/>
      <c r="Y225" s="44"/>
      <c r="Z225" s="44"/>
      <c r="AA225" s="44"/>
      <c r="AB225" s="44"/>
      <c r="AC225" s="44"/>
      <c r="AD225" s="44"/>
      <c r="AE225" s="44"/>
      <c r="AF225" s="44"/>
      <c r="AG225" s="102"/>
      <c r="AH225" s="44"/>
      <c r="AI225" s="44"/>
      <c r="AJ225" s="44"/>
      <c r="AK225" s="102"/>
      <c r="AL225" s="44"/>
      <c r="AM225" s="44"/>
      <c r="AN225" s="44"/>
    </row>
    <row r="226" spans="3:40">
      <c r="C226" s="42"/>
      <c r="D226" s="42"/>
      <c r="E226" s="42"/>
      <c r="J226" s="56"/>
      <c r="T226" s="42"/>
      <c r="U226" s="42"/>
    </row>
    <row r="227" spans="3:40">
      <c r="D227" s="42"/>
      <c r="E227" s="42"/>
      <c r="J227" s="56"/>
      <c r="U227" s="42"/>
    </row>
    <row r="228" spans="3:40">
      <c r="J228" s="56"/>
    </row>
    <row r="229" spans="3:40">
      <c r="C229" s="42"/>
      <c r="F229" s="45"/>
      <c r="J229" s="56"/>
      <c r="K229" s="53"/>
      <c r="L229" s="45"/>
      <c r="M229" s="45"/>
      <c r="R229" s="45"/>
      <c r="T229" s="42"/>
      <c r="V229" s="45"/>
      <c r="Z229" s="53"/>
      <c r="AA229" s="45"/>
      <c r="AB229" s="45"/>
      <c r="AL229" s="45"/>
    </row>
    <row r="230" spans="3:40">
      <c r="F230" s="45"/>
      <c r="J230" s="56"/>
      <c r="R230" s="45"/>
      <c r="V230" s="45"/>
      <c r="AL230" s="45"/>
    </row>
    <row r="231" spans="3:40">
      <c r="C231" s="42"/>
      <c r="F231" s="164"/>
      <c r="H231" s="164"/>
      <c r="I231" s="164"/>
      <c r="J231" s="132"/>
      <c r="K231" s="316"/>
      <c r="L231" s="45"/>
      <c r="M231" s="45"/>
      <c r="N231" s="46"/>
      <c r="O231" s="46"/>
      <c r="P231" s="45"/>
      <c r="Q231" s="45"/>
      <c r="R231" s="45"/>
      <c r="T231" s="42"/>
      <c r="V231" s="45"/>
      <c r="Y231" s="45"/>
      <c r="Z231" s="316"/>
      <c r="AA231" s="45"/>
      <c r="AB231" s="45"/>
      <c r="AC231" s="46"/>
      <c r="AD231" s="46"/>
      <c r="AE231" s="45"/>
      <c r="AF231" s="45"/>
      <c r="AH231" s="51"/>
      <c r="AI231" s="45"/>
      <c r="AJ231" s="45"/>
      <c r="AL231" s="45"/>
      <c r="AM231" s="46"/>
      <c r="AN231" s="46"/>
    </row>
    <row r="232" spans="3:40">
      <c r="C232" s="42"/>
      <c r="F232" s="164"/>
      <c r="H232" s="329"/>
      <c r="I232" s="329"/>
      <c r="J232" s="132"/>
      <c r="K232" s="316"/>
      <c r="L232" s="45"/>
      <c r="M232" s="45"/>
      <c r="N232" s="46"/>
      <c r="O232" s="46"/>
      <c r="P232" s="45"/>
      <c r="Q232" s="45"/>
      <c r="R232" s="45"/>
      <c r="T232" s="42"/>
      <c r="V232" s="45"/>
      <c r="Y232" s="45"/>
      <c r="Z232" s="316"/>
      <c r="AA232" s="45"/>
      <c r="AB232" s="45"/>
      <c r="AC232" s="46"/>
      <c r="AD232" s="46"/>
      <c r="AE232" s="45"/>
      <c r="AF232" s="45"/>
      <c r="AH232" s="51"/>
      <c r="AI232" s="45"/>
      <c r="AJ232" s="45"/>
      <c r="AL232" s="45"/>
      <c r="AM232" s="46"/>
      <c r="AN232" s="46"/>
    </row>
    <row r="233" spans="3:40">
      <c r="F233" s="50"/>
      <c r="H233" s="45"/>
      <c r="I233" s="45"/>
      <c r="J233" s="132"/>
      <c r="K233" s="326"/>
      <c r="L233" s="50"/>
      <c r="M233" s="50"/>
      <c r="N233" s="50"/>
      <c r="O233" s="50"/>
      <c r="P233" s="50"/>
      <c r="Q233" s="50"/>
      <c r="R233" s="50"/>
      <c r="V233" s="50"/>
      <c r="Y233" s="45"/>
      <c r="Z233" s="326"/>
      <c r="AA233" s="50"/>
      <c r="AB233" s="50"/>
      <c r="AC233" s="50"/>
      <c r="AD233" s="50"/>
      <c r="AE233" s="50"/>
      <c r="AF233" s="50"/>
      <c r="AI233" s="50"/>
      <c r="AJ233" s="50"/>
      <c r="AK233" s="111"/>
      <c r="AL233" s="50"/>
    </row>
    <row r="234" spans="3:40">
      <c r="C234" s="42"/>
      <c r="F234" s="45"/>
      <c r="H234" s="45"/>
      <c r="I234" s="45"/>
      <c r="J234" s="56"/>
      <c r="K234" s="47"/>
      <c r="L234" s="45"/>
      <c r="M234" s="45"/>
      <c r="N234" s="46"/>
      <c r="O234" s="46"/>
      <c r="P234" s="45"/>
      <c r="Q234" s="45"/>
      <c r="R234" s="45"/>
      <c r="T234" s="42"/>
      <c r="V234" s="45"/>
      <c r="Y234" s="45"/>
      <c r="Z234" s="47"/>
      <c r="AA234" s="45"/>
      <c r="AB234" s="45"/>
      <c r="AC234" s="46"/>
      <c r="AD234" s="46"/>
      <c r="AE234" s="45"/>
      <c r="AF234" s="45"/>
      <c r="AH234" s="51"/>
      <c r="AI234" s="45"/>
      <c r="AJ234" s="45"/>
      <c r="AL234" s="45"/>
      <c r="AM234" s="46"/>
      <c r="AN234" s="46"/>
    </row>
    <row r="235" spans="3:40">
      <c r="F235" s="50"/>
      <c r="H235" s="45"/>
      <c r="I235" s="45"/>
      <c r="J235" s="132"/>
      <c r="K235" s="326"/>
      <c r="L235" s="50"/>
      <c r="M235" s="50"/>
      <c r="N235" s="50"/>
      <c r="O235" s="50"/>
      <c r="P235" s="50"/>
      <c r="Q235" s="50"/>
      <c r="R235" s="50"/>
      <c r="V235" s="50"/>
      <c r="Y235" s="45"/>
      <c r="Z235" s="326"/>
      <c r="AA235" s="50"/>
      <c r="AB235" s="50"/>
      <c r="AC235" s="50"/>
      <c r="AD235" s="50"/>
      <c r="AE235" s="50"/>
      <c r="AF235" s="50"/>
      <c r="AI235" s="50"/>
      <c r="AJ235" s="50"/>
      <c r="AK235" s="111"/>
      <c r="AL235" s="50"/>
    </row>
    <row r="236" spans="3:40">
      <c r="F236" s="45"/>
      <c r="J236" s="56"/>
      <c r="R236" s="45"/>
      <c r="V236" s="45"/>
      <c r="AL236" s="45"/>
    </row>
    <row r="237" spans="3:40">
      <c r="C237" s="42"/>
      <c r="F237" s="45"/>
      <c r="J237" s="56"/>
      <c r="R237" s="45"/>
      <c r="T237" s="42"/>
      <c r="V237" s="45"/>
      <c r="AL237" s="45"/>
    </row>
    <row r="238" spans="3:40">
      <c r="F238" s="45"/>
      <c r="J238" s="56"/>
      <c r="R238" s="45"/>
      <c r="V238" s="45"/>
      <c r="AL238" s="45"/>
    </row>
    <row r="239" spans="3:40">
      <c r="C239" s="42"/>
      <c r="F239" s="45"/>
      <c r="H239" s="164"/>
      <c r="I239" s="164"/>
      <c r="J239" s="132"/>
      <c r="K239" s="331"/>
      <c r="L239" s="45"/>
      <c r="M239" s="45"/>
      <c r="N239" s="46"/>
      <c r="O239" s="46"/>
      <c r="P239" s="164"/>
      <c r="Q239" s="164"/>
      <c r="R239" s="45"/>
      <c r="T239" s="42"/>
      <c r="V239" s="45"/>
      <c r="Y239" s="45"/>
      <c r="Z239" s="325"/>
      <c r="AA239" s="45"/>
      <c r="AB239" s="45"/>
      <c r="AC239" s="46"/>
      <c r="AD239" s="46"/>
      <c r="AE239" s="45"/>
      <c r="AF239" s="45"/>
      <c r="AH239" s="51"/>
      <c r="AI239" s="164"/>
      <c r="AJ239" s="164"/>
      <c r="AL239" s="45"/>
      <c r="AM239" s="46"/>
      <c r="AN239" s="46"/>
    </row>
    <row r="240" spans="3:40">
      <c r="H240" s="50"/>
      <c r="I240" s="50"/>
      <c r="J240" s="132"/>
      <c r="K240" s="326"/>
      <c r="L240" s="50"/>
      <c r="M240" s="50"/>
      <c r="N240" s="50"/>
      <c r="O240" s="50"/>
      <c r="P240" s="50"/>
      <c r="Q240" s="50"/>
      <c r="R240" s="50"/>
      <c r="V240" s="50"/>
      <c r="Y240" s="50"/>
      <c r="Z240" s="326"/>
      <c r="AA240" s="50"/>
      <c r="AB240" s="50"/>
      <c r="AC240" s="50"/>
      <c r="AD240" s="50"/>
      <c r="AE240" s="50"/>
      <c r="AF240" s="50"/>
      <c r="AI240" s="50"/>
      <c r="AJ240" s="50"/>
      <c r="AK240" s="111"/>
      <c r="AL240" s="50"/>
    </row>
    <row r="241" spans="1:40">
      <c r="F241" s="50"/>
      <c r="J241" s="56"/>
    </row>
    <row r="242" spans="1:40">
      <c r="C242" s="42"/>
      <c r="F242" s="45"/>
      <c r="H242" s="45"/>
      <c r="I242" s="45"/>
      <c r="J242" s="56"/>
      <c r="K242" s="53"/>
      <c r="L242" s="45"/>
      <c r="M242" s="45"/>
      <c r="N242" s="46"/>
      <c r="O242" s="46"/>
      <c r="P242" s="45"/>
      <c r="Q242" s="45"/>
      <c r="R242" s="45"/>
      <c r="T242" s="42"/>
      <c r="V242" s="45"/>
      <c r="Y242" s="45"/>
      <c r="Z242" s="53"/>
      <c r="AA242" s="45"/>
      <c r="AB242" s="45"/>
      <c r="AC242" s="46"/>
      <c r="AD242" s="46"/>
      <c r="AE242" s="45"/>
      <c r="AF242" s="45"/>
      <c r="AH242" s="51"/>
      <c r="AI242" s="45"/>
      <c r="AJ242" s="45"/>
      <c r="AL242" s="45"/>
      <c r="AM242" s="46"/>
      <c r="AN242" s="46"/>
    </row>
    <row r="243" spans="1:40">
      <c r="F243" s="50"/>
      <c r="H243" s="50"/>
      <c r="I243" s="50"/>
      <c r="J243" s="132"/>
      <c r="K243" s="326"/>
      <c r="L243" s="50"/>
      <c r="M243" s="50"/>
      <c r="N243" s="50"/>
      <c r="O243" s="50"/>
      <c r="P243" s="50"/>
      <c r="Q243" s="50"/>
      <c r="R243" s="50"/>
      <c r="V243" s="50"/>
      <c r="Y243" s="50"/>
      <c r="Z243" s="326"/>
      <c r="AA243" s="50"/>
      <c r="AB243" s="50"/>
      <c r="AC243" s="50"/>
      <c r="AD243" s="50"/>
      <c r="AE243" s="50"/>
      <c r="AF243" s="50"/>
      <c r="AI243" s="50"/>
      <c r="AJ243" s="50"/>
      <c r="AK243" s="111"/>
      <c r="AL243" s="50"/>
    </row>
    <row r="244" spans="1:40">
      <c r="J244" s="56"/>
      <c r="R244" s="45"/>
      <c r="AH244" s="45"/>
    </row>
    <row r="245" spans="1:40">
      <c r="F245" s="45"/>
      <c r="H245" s="45"/>
      <c r="I245" s="45"/>
      <c r="J245" s="56"/>
      <c r="K245" s="47"/>
      <c r="L245" s="45"/>
      <c r="M245" s="45"/>
      <c r="N245" s="45"/>
      <c r="O245" s="45"/>
      <c r="P245" s="45"/>
      <c r="Q245" s="45"/>
      <c r="R245" s="45"/>
      <c r="V245" s="45"/>
      <c r="Y245" s="45"/>
      <c r="Z245" s="47"/>
      <c r="AA245" s="45"/>
      <c r="AB245" s="45"/>
      <c r="AC245" s="45"/>
      <c r="AD245" s="45"/>
      <c r="AE245" s="45"/>
      <c r="AF245" s="45"/>
      <c r="AH245" s="45"/>
    </row>
    <row r="246" spans="1:40">
      <c r="C246" s="42"/>
      <c r="F246" s="45"/>
      <c r="H246" s="45"/>
      <c r="I246" s="45"/>
      <c r="J246" s="56"/>
      <c r="K246" s="47"/>
      <c r="L246" s="45"/>
      <c r="M246" s="45"/>
      <c r="N246" s="45"/>
      <c r="O246" s="45"/>
      <c r="P246" s="45"/>
      <c r="Q246" s="45"/>
      <c r="R246" s="45"/>
      <c r="T246" s="42"/>
      <c r="V246" s="45"/>
      <c r="Y246" s="45"/>
      <c r="Z246" s="47"/>
      <c r="AA246" s="45"/>
      <c r="AB246" s="45"/>
      <c r="AC246" s="45"/>
      <c r="AD246" s="45"/>
      <c r="AE246" s="45"/>
      <c r="AF246" s="45"/>
      <c r="AH246" s="45"/>
    </row>
    <row r="247" spans="1:40">
      <c r="A247" s="42"/>
      <c r="J247" s="56"/>
    </row>
    <row r="248" spans="1:40">
      <c r="J248" s="56"/>
    </row>
    <row r="249" spans="1:40">
      <c r="J249" s="56"/>
    </row>
    <row r="250" spans="1:40">
      <c r="H250" s="42"/>
      <c r="I250" s="42"/>
      <c r="J250" s="56"/>
      <c r="Y250" s="42"/>
    </row>
    <row r="251" spans="1:40">
      <c r="J251" s="56"/>
    </row>
    <row r="252" spans="1:40">
      <c r="J252" s="56"/>
      <c r="L252" s="42"/>
      <c r="M252" s="42"/>
      <c r="AA252" s="42"/>
      <c r="AB252" s="42"/>
    </row>
    <row r="253" spans="1:40">
      <c r="J253" s="56"/>
      <c r="R253" s="42"/>
      <c r="AK253" s="110"/>
      <c r="AL253" s="42"/>
    </row>
    <row r="254" spans="1:40">
      <c r="J254" s="56"/>
      <c r="R254" s="42"/>
      <c r="AK254" s="110"/>
      <c r="AL254" s="42"/>
    </row>
    <row r="255" spans="1:40">
      <c r="A255" s="42"/>
      <c r="J255" s="56"/>
      <c r="R255" s="42"/>
      <c r="AK255" s="110"/>
      <c r="AL255" s="42"/>
    </row>
    <row r="256" spans="1:40">
      <c r="J256" s="56"/>
      <c r="L256" s="42"/>
      <c r="M256" s="42"/>
      <c r="AA256" s="42"/>
      <c r="AB256" s="42"/>
    </row>
    <row r="257" spans="1:40">
      <c r="A257" s="49"/>
      <c r="B257" s="49"/>
      <c r="C257" s="49"/>
      <c r="D257" s="49"/>
      <c r="E257" s="49"/>
      <c r="F257" s="49"/>
      <c r="G257" s="49"/>
      <c r="H257" s="49"/>
      <c r="I257" s="49"/>
      <c r="J257" s="57"/>
      <c r="K257" s="49"/>
      <c r="L257" s="49"/>
      <c r="M257" s="49"/>
      <c r="N257" s="49"/>
      <c r="O257" s="49"/>
      <c r="P257" s="49"/>
      <c r="Q257" s="49"/>
      <c r="R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107"/>
      <c r="AH257" s="49"/>
      <c r="AI257" s="49"/>
      <c r="AJ257" s="49"/>
      <c r="AK257" s="107"/>
      <c r="AL257" s="49"/>
      <c r="AM257" s="49"/>
      <c r="AN257" s="49"/>
    </row>
    <row r="258" spans="1:40">
      <c r="J258" s="56"/>
      <c r="L258" s="44"/>
      <c r="M258" s="44"/>
      <c r="N258" s="44"/>
      <c r="O258" s="44"/>
      <c r="R258" s="44"/>
      <c r="AA258" s="44"/>
      <c r="AB258" s="44"/>
      <c r="AC258" s="44"/>
      <c r="AD258" s="44"/>
      <c r="AE258" s="44"/>
      <c r="AF258" s="44"/>
      <c r="AG258" s="102"/>
      <c r="AH258" s="44"/>
      <c r="AK258" s="102"/>
      <c r="AL258" s="44"/>
      <c r="AM258" s="44"/>
      <c r="AN258" s="44"/>
    </row>
    <row r="259" spans="1:40">
      <c r="J259" s="56"/>
      <c r="L259" s="44"/>
      <c r="M259" s="44"/>
      <c r="N259" s="44"/>
      <c r="O259" s="44"/>
      <c r="R259" s="44"/>
      <c r="Z259" s="44"/>
      <c r="AA259" s="44"/>
      <c r="AB259" s="44"/>
      <c r="AC259" s="44"/>
      <c r="AD259" s="44"/>
      <c r="AE259" s="44"/>
      <c r="AF259" s="44"/>
      <c r="AG259" s="102"/>
      <c r="AH259" s="44"/>
      <c r="AK259" s="102"/>
      <c r="AL259" s="44"/>
      <c r="AM259" s="44"/>
      <c r="AN259" s="44"/>
    </row>
    <row r="260" spans="1:40">
      <c r="A260" s="44"/>
      <c r="C260" s="44"/>
      <c r="D260" s="44"/>
      <c r="E260" s="44"/>
      <c r="F260" s="44"/>
      <c r="J260" s="58"/>
      <c r="K260" s="44"/>
      <c r="L260" s="44"/>
      <c r="M260" s="44"/>
      <c r="N260" s="44"/>
      <c r="O260" s="44"/>
      <c r="P260" s="44"/>
      <c r="Q260" s="44"/>
      <c r="R260" s="44"/>
      <c r="T260" s="44"/>
      <c r="U260" s="44"/>
      <c r="V260" s="44"/>
      <c r="Z260" s="44"/>
      <c r="AA260" s="44"/>
      <c r="AB260" s="44"/>
      <c r="AC260" s="44"/>
      <c r="AD260" s="44"/>
      <c r="AE260" s="44"/>
      <c r="AF260" s="44"/>
      <c r="AG260" s="102"/>
      <c r="AH260" s="44"/>
      <c r="AI260" s="44"/>
      <c r="AJ260" s="44"/>
      <c r="AK260" s="102"/>
      <c r="AL260" s="44"/>
      <c r="AM260" s="44"/>
      <c r="AN260" s="44"/>
    </row>
    <row r="261" spans="1:40">
      <c r="A261" s="44"/>
      <c r="C261" s="44"/>
      <c r="D261" s="44"/>
      <c r="E261" s="44"/>
      <c r="F261" s="44"/>
      <c r="H261" s="44"/>
      <c r="I261" s="44"/>
      <c r="J261" s="58"/>
      <c r="K261" s="44"/>
      <c r="L261" s="44"/>
      <c r="M261" s="44"/>
      <c r="N261" s="44"/>
      <c r="O261" s="44"/>
      <c r="P261" s="44"/>
      <c r="Q261" s="44"/>
      <c r="R261" s="44"/>
      <c r="T261" s="44"/>
      <c r="U261" s="44"/>
      <c r="V261" s="44"/>
      <c r="Y261" s="44"/>
      <c r="Z261" s="44"/>
      <c r="AA261" s="44"/>
      <c r="AB261" s="44"/>
      <c r="AC261" s="44"/>
      <c r="AD261" s="44"/>
      <c r="AE261" s="44"/>
      <c r="AF261" s="44"/>
      <c r="AG261" s="102"/>
      <c r="AH261" s="44"/>
      <c r="AI261" s="44"/>
      <c r="AJ261" s="44"/>
      <c r="AK261" s="102"/>
      <c r="AL261" s="44"/>
      <c r="AM261" s="44"/>
      <c r="AN261" s="44"/>
    </row>
    <row r="262" spans="1:40">
      <c r="C262" s="44"/>
      <c r="D262" s="44"/>
      <c r="E262" s="44"/>
      <c r="F262" s="44"/>
      <c r="H262" s="44"/>
      <c r="I262" s="44"/>
      <c r="J262" s="58"/>
      <c r="K262" s="44"/>
      <c r="L262" s="44"/>
      <c r="M262" s="44"/>
      <c r="N262" s="44"/>
      <c r="O262" s="44"/>
      <c r="P262" s="44"/>
      <c r="Q262" s="44"/>
      <c r="R262" s="44"/>
      <c r="T262" s="44"/>
      <c r="U262" s="44"/>
      <c r="V262" s="44"/>
      <c r="Y262" s="44"/>
      <c r="Z262" s="44"/>
      <c r="AA262" s="44"/>
      <c r="AB262" s="44"/>
      <c r="AC262" s="44"/>
      <c r="AD262" s="44"/>
      <c r="AE262" s="44"/>
      <c r="AF262" s="44"/>
      <c r="AG262" s="102"/>
      <c r="AH262" s="44"/>
      <c r="AI262" s="44"/>
      <c r="AJ262" s="44"/>
      <c r="AK262" s="102"/>
      <c r="AL262" s="44"/>
      <c r="AM262" s="44"/>
      <c r="AN262" s="44"/>
    </row>
    <row r="263" spans="1:40">
      <c r="A263" s="49"/>
      <c r="B263" s="49"/>
      <c r="C263" s="49"/>
      <c r="D263" s="49"/>
      <c r="E263" s="49"/>
      <c r="F263" s="49"/>
      <c r="G263" s="49"/>
      <c r="H263" s="49"/>
      <c r="I263" s="49"/>
      <c r="J263" s="57"/>
      <c r="K263" s="49"/>
      <c r="L263" s="49"/>
      <c r="M263" s="49"/>
      <c r="N263" s="49"/>
      <c r="O263" s="49"/>
      <c r="P263" s="49"/>
      <c r="Q263" s="49"/>
      <c r="R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107"/>
      <c r="AH263" s="49"/>
      <c r="AI263" s="49"/>
      <c r="AJ263" s="49"/>
      <c r="AK263" s="107"/>
      <c r="AL263" s="49"/>
      <c r="AM263" s="49"/>
      <c r="AN263" s="49"/>
    </row>
    <row r="264" spans="1:40">
      <c r="H264" s="44"/>
      <c r="I264" s="44"/>
      <c r="J264" s="58"/>
      <c r="K264" s="44"/>
      <c r="L264" s="44"/>
      <c r="M264" s="44"/>
      <c r="N264" s="44"/>
      <c r="O264" s="44"/>
      <c r="P264" s="44"/>
      <c r="Q264" s="44"/>
      <c r="R264" s="44"/>
      <c r="Y264" s="44"/>
      <c r="Z264" s="44"/>
      <c r="AA264" s="44"/>
      <c r="AB264" s="44"/>
      <c r="AC264" s="44"/>
      <c r="AD264" s="44"/>
      <c r="AE264" s="44"/>
      <c r="AF264" s="44"/>
      <c r="AG264" s="102"/>
      <c r="AH264" s="44"/>
      <c r="AI264" s="44"/>
      <c r="AJ264" s="44"/>
      <c r="AK264" s="102"/>
      <c r="AL264" s="44"/>
      <c r="AM264" s="44"/>
      <c r="AN264" s="44"/>
    </row>
    <row r="265" spans="1:40">
      <c r="C265" s="42"/>
      <c r="D265" s="42"/>
      <c r="E265" s="42"/>
      <c r="J265" s="56"/>
      <c r="T265" s="42"/>
      <c r="U265" s="42"/>
    </row>
    <row r="266" spans="1:40">
      <c r="C266" s="42"/>
      <c r="J266" s="56"/>
      <c r="T266" s="42"/>
    </row>
    <row r="267" spans="1:40">
      <c r="J267" s="56"/>
    </row>
    <row r="268" spans="1:40">
      <c r="C268" s="42"/>
      <c r="F268" s="164"/>
      <c r="H268" s="164"/>
      <c r="I268" s="164"/>
      <c r="J268" s="132"/>
      <c r="K268" s="316"/>
      <c r="L268" s="45"/>
      <c r="M268" s="45"/>
      <c r="N268" s="46"/>
      <c r="O268" s="46"/>
      <c r="R268" s="45"/>
      <c r="T268" s="42"/>
      <c r="V268" s="45"/>
      <c r="Y268" s="164"/>
      <c r="Z268" s="316"/>
      <c r="AA268" s="45"/>
      <c r="AB268" s="45"/>
      <c r="AC268" s="46"/>
      <c r="AD268" s="46"/>
      <c r="AE268" s="45"/>
      <c r="AF268" s="45"/>
      <c r="AH268" s="51"/>
      <c r="AL268" s="45"/>
      <c r="AM268" s="46"/>
      <c r="AN268" s="46"/>
    </row>
    <row r="269" spans="1:40">
      <c r="F269" s="50"/>
      <c r="H269" s="45"/>
      <c r="I269" s="45"/>
      <c r="J269" s="132"/>
      <c r="K269" s="326"/>
      <c r="L269" s="50"/>
      <c r="M269" s="50"/>
      <c r="N269" s="50"/>
      <c r="O269" s="50"/>
      <c r="P269" s="50"/>
      <c r="Q269" s="50"/>
      <c r="R269" s="50"/>
      <c r="V269" s="50"/>
      <c r="Y269" s="45"/>
      <c r="Z269" s="326"/>
      <c r="AA269" s="50"/>
      <c r="AB269" s="50"/>
      <c r="AC269" s="50"/>
      <c r="AD269" s="50"/>
      <c r="AE269" s="50"/>
      <c r="AF269" s="50"/>
      <c r="AI269" s="50"/>
      <c r="AJ269" s="50"/>
      <c r="AK269" s="111"/>
      <c r="AL269" s="50"/>
      <c r="AM269" s="46"/>
      <c r="AN269" s="46"/>
    </row>
    <row r="270" spans="1:40">
      <c r="C270" s="42"/>
      <c r="F270" s="164"/>
      <c r="H270" s="164"/>
      <c r="I270" s="164"/>
      <c r="J270" s="132"/>
      <c r="K270" s="336"/>
      <c r="L270" s="45"/>
      <c r="M270" s="45"/>
      <c r="N270" s="46"/>
      <c r="O270" s="46"/>
      <c r="P270" s="45"/>
      <c r="Q270" s="45"/>
      <c r="R270" s="45"/>
      <c r="S270" s="45"/>
      <c r="T270" s="42"/>
      <c r="V270" s="164"/>
      <c r="Y270" s="164"/>
      <c r="Z270" s="336"/>
      <c r="AA270" s="45"/>
      <c r="AB270" s="45"/>
      <c r="AC270" s="46"/>
      <c r="AD270" s="46"/>
      <c r="AE270" s="45"/>
      <c r="AF270" s="45"/>
      <c r="AH270" s="46"/>
      <c r="AI270" s="45"/>
      <c r="AJ270" s="45"/>
      <c r="AL270" s="45"/>
      <c r="AM270" s="46"/>
      <c r="AN270" s="46"/>
    </row>
    <row r="271" spans="1:40">
      <c r="C271" s="42"/>
      <c r="F271" s="164"/>
      <c r="H271" s="164"/>
      <c r="I271" s="164"/>
      <c r="J271" s="132"/>
      <c r="K271" s="316"/>
      <c r="L271" s="45"/>
      <c r="M271" s="45"/>
      <c r="N271" s="46"/>
      <c r="O271" s="46"/>
      <c r="P271" s="45"/>
      <c r="Q271" s="45"/>
      <c r="R271" s="45"/>
      <c r="T271" s="42"/>
      <c r="V271" s="164"/>
      <c r="Y271" s="45"/>
      <c r="Z271" s="316"/>
      <c r="AA271" s="45"/>
      <c r="AB271" s="45"/>
      <c r="AC271" s="46"/>
      <c r="AD271" s="46"/>
      <c r="AE271" s="45"/>
      <c r="AF271" s="45"/>
      <c r="AH271" s="51"/>
      <c r="AI271" s="45"/>
      <c r="AJ271" s="45"/>
      <c r="AL271" s="45"/>
      <c r="AM271" s="46"/>
      <c r="AN271" s="46"/>
    </row>
    <row r="272" spans="1:40">
      <c r="C272" s="42"/>
      <c r="F272" s="164"/>
      <c r="H272" s="164"/>
      <c r="I272" s="164"/>
      <c r="J272" s="132"/>
      <c r="K272" s="316"/>
      <c r="L272" s="45"/>
      <c r="M272" s="45"/>
      <c r="N272" s="46"/>
      <c r="O272" s="46"/>
      <c r="P272" s="45"/>
      <c r="Q272" s="45"/>
      <c r="R272" s="45"/>
      <c r="T272" s="42"/>
      <c r="V272" s="164"/>
      <c r="Y272" s="45"/>
      <c r="Z272" s="316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3:40">
      <c r="F273" s="50"/>
      <c r="H273" s="50"/>
      <c r="I273" s="50"/>
      <c r="J273" s="132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  <c r="AM273" s="46"/>
      <c r="AN273" s="46"/>
    </row>
    <row r="274" spans="3:40">
      <c r="C274" s="42"/>
      <c r="F274" s="45"/>
      <c r="H274" s="45"/>
      <c r="I274" s="45"/>
      <c r="J274" s="56"/>
      <c r="K274" s="47"/>
      <c r="L274" s="45"/>
      <c r="M274" s="45"/>
      <c r="N274" s="46"/>
      <c r="O274" s="46"/>
      <c r="P274" s="45"/>
      <c r="Q274" s="45"/>
      <c r="R274" s="45"/>
      <c r="T274" s="42"/>
      <c r="V274" s="45"/>
      <c r="Y274" s="45"/>
      <c r="Z274" s="47"/>
      <c r="AA274" s="45"/>
      <c r="AB274" s="45"/>
      <c r="AC274" s="46"/>
      <c r="AD274" s="46"/>
      <c r="AE274" s="45"/>
      <c r="AF274" s="45"/>
      <c r="AH274" s="51"/>
      <c r="AI274" s="45"/>
      <c r="AJ274" s="45"/>
      <c r="AL274" s="45"/>
      <c r="AM274" s="46"/>
      <c r="AN274" s="46"/>
    </row>
    <row r="275" spans="3:40">
      <c r="F275" s="50"/>
      <c r="H275" s="50"/>
      <c r="I275" s="50"/>
      <c r="J275" s="132"/>
      <c r="K275" s="326"/>
      <c r="L275" s="50"/>
      <c r="M275" s="50"/>
      <c r="N275" s="50"/>
      <c r="O275" s="50"/>
      <c r="P275" s="50"/>
      <c r="Q275" s="50"/>
      <c r="R275" s="50"/>
      <c r="V275" s="50"/>
      <c r="Y275" s="50"/>
      <c r="Z275" s="326"/>
      <c r="AA275" s="50"/>
      <c r="AB275" s="50"/>
      <c r="AC275" s="50"/>
      <c r="AD275" s="50"/>
      <c r="AE275" s="50"/>
      <c r="AF275" s="50"/>
      <c r="AI275" s="50"/>
      <c r="AJ275" s="50"/>
      <c r="AK275" s="111"/>
      <c r="AL275" s="50"/>
      <c r="AM275" s="46"/>
      <c r="AN275" s="46"/>
    </row>
    <row r="276" spans="3:40">
      <c r="C276" s="42"/>
      <c r="F276" s="45"/>
      <c r="H276" s="45"/>
      <c r="I276" s="45"/>
      <c r="J276" s="56"/>
      <c r="K276" s="47"/>
      <c r="L276" s="45"/>
      <c r="M276" s="45"/>
      <c r="N276" s="46"/>
      <c r="O276" s="46"/>
      <c r="P276" s="45"/>
      <c r="Q276" s="45"/>
      <c r="R276" s="45"/>
      <c r="T276" s="42"/>
      <c r="V276" s="45"/>
      <c r="Y276" s="45"/>
      <c r="Z276" s="47"/>
      <c r="AA276" s="45"/>
      <c r="AB276" s="45"/>
      <c r="AC276" s="46"/>
      <c r="AD276" s="46"/>
      <c r="AE276" s="45"/>
      <c r="AF276" s="45"/>
      <c r="AH276" s="51"/>
      <c r="AI276" s="45"/>
      <c r="AJ276" s="45"/>
      <c r="AL276" s="45"/>
      <c r="AM276" s="46"/>
      <c r="AN276" s="46"/>
    </row>
    <row r="277" spans="3:40">
      <c r="C277" s="42"/>
      <c r="F277" s="45"/>
      <c r="H277" s="164"/>
      <c r="I277" s="164"/>
      <c r="J277" s="132"/>
      <c r="K277" s="331"/>
      <c r="L277" s="45"/>
      <c r="M277" s="45"/>
      <c r="N277" s="46"/>
      <c r="O277" s="46"/>
      <c r="P277" s="45"/>
      <c r="Q277" s="45"/>
      <c r="R277" s="45"/>
      <c r="T277" s="42"/>
      <c r="V277" s="45"/>
      <c r="Y277" s="45"/>
      <c r="Z277" s="325"/>
      <c r="AA277" s="45"/>
      <c r="AB277" s="45"/>
      <c r="AC277" s="46"/>
      <c r="AD277" s="46"/>
      <c r="AE277" s="45"/>
      <c r="AF277" s="45"/>
      <c r="AH277" s="51"/>
      <c r="AI277" s="45"/>
      <c r="AJ277" s="45"/>
      <c r="AL277" s="45"/>
      <c r="AM277" s="46"/>
      <c r="AN277" s="46"/>
    </row>
    <row r="278" spans="3:40">
      <c r="H278" s="50"/>
      <c r="I278" s="50"/>
      <c r="J278" s="132"/>
      <c r="K278" s="326"/>
      <c r="L278" s="50"/>
      <c r="M278" s="50"/>
      <c r="N278" s="50"/>
      <c r="O278" s="50"/>
      <c r="P278" s="50"/>
      <c r="Q278" s="50"/>
      <c r="R278" s="50"/>
      <c r="V278" s="50"/>
      <c r="Y278" s="50"/>
      <c r="Z278" s="326"/>
      <c r="AA278" s="50"/>
      <c r="AB278" s="50"/>
      <c r="AC278" s="50"/>
      <c r="AD278" s="50"/>
      <c r="AE278" s="50"/>
      <c r="AF278" s="50"/>
      <c r="AI278" s="50"/>
      <c r="AJ278" s="50"/>
      <c r="AK278" s="111"/>
      <c r="AL278" s="50"/>
      <c r="AM278" s="46"/>
      <c r="AN278" s="46"/>
    </row>
    <row r="279" spans="3:40">
      <c r="F279" s="50"/>
      <c r="J279" s="56"/>
    </row>
    <row r="280" spans="3:40">
      <c r="C280" s="42"/>
      <c r="F280" s="45"/>
      <c r="H280" s="45"/>
      <c r="I280" s="45"/>
      <c r="J280" s="132"/>
      <c r="K280" s="326"/>
      <c r="L280" s="45"/>
      <c r="M280" s="45"/>
      <c r="N280" s="46"/>
      <c r="O280" s="46"/>
      <c r="P280" s="45"/>
      <c r="Q280" s="45"/>
      <c r="R280" s="45"/>
      <c r="S280" s="45"/>
      <c r="T280" s="42"/>
      <c r="V280" s="45"/>
      <c r="Y280" s="45"/>
      <c r="Z280" s="326"/>
      <c r="AA280" s="45"/>
      <c r="AB280" s="45"/>
      <c r="AC280" s="46"/>
      <c r="AD280" s="46"/>
      <c r="AE280" s="45"/>
      <c r="AF280" s="45"/>
      <c r="AH280" s="46"/>
      <c r="AI280" s="45"/>
      <c r="AJ280" s="45"/>
      <c r="AL280" s="45"/>
      <c r="AM280" s="46"/>
      <c r="AN280" s="46"/>
    </row>
    <row r="281" spans="3:40">
      <c r="F281" s="50"/>
      <c r="H281" s="50"/>
      <c r="I281" s="50"/>
      <c r="J281" s="132"/>
      <c r="K281" s="326"/>
      <c r="L281" s="50"/>
      <c r="M281" s="50"/>
      <c r="N281" s="50"/>
      <c r="O281" s="50"/>
      <c r="P281" s="50"/>
      <c r="Q281" s="50"/>
      <c r="R281" s="50"/>
      <c r="S281" s="45"/>
      <c r="V281" s="50"/>
      <c r="Y281" s="50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  <c r="AM281" s="46"/>
      <c r="AN281" s="46"/>
    </row>
    <row r="282" spans="3:40">
      <c r="C282" s="42"/>
      <c r="H282" s="164"/>
      <c r="I282" s="164"/>
      <c r="J282" s="132"/>
      <c r="K282" s="326"/>
      <c r="L282" s="45"/>
      <c r="M282" s="45"/>
      <c r="N282" s="46"/>
      <c r="O282" s="46"/>
      <c r="P282" s="45"/>
      <c r="Q282" s="45"/>
      <c r="R282" s="45"/>
      <c r="S282" s="45"/>
      <c r="T282" s="42"/>
      <c r="V282" s="164"/>
      <c r="Y282" s="164"/>
      <c r="Z282" s="326"/>
      <c r="AA282" s="45"/>
      <c r="AB282" s="45"/>
      <c r="AC282" s="46"/>
      <c r="AD282" s="46"/>
      <c r="AE282" s="45"/>
      <c r="AF282" s="45"/>
      <c r="AI282" s="45"/>
      <c r="AJ282" s="45"/>
      <c r="AL282" s="45"/>
      <c r="AM282" s="46"/>
      <c r="AN282" s="46"/>
    </row>
    <row r="283" spans="3:40">
      <c r="F283" s="164"/>
      <c r="J283" s="56"/>
    </row>
    <row r="284" spans="3:40">
      <c r="C284" s="42"/>
      <c r="F284" s="164"/>
      <c r="H284" s="164"/>
      <c r="I284" s="164"/>
      <c r="J284" s="132"/>
      <c r="K284" s="316"/>
      <c r="L284" s="45"/>
      <c r="M284" s="45"/>
      <c r="N284" s="46"/>
      <c r="O284" s="46"/>
      <c r="R284" s="45"/>
      <c r="T284" s="42"/>
      <c r="V284" s="45"/>
      <c r="Y284" s="164"/>
      <c r="Z284" s="316"/>
      <c r="AA284" s="45"/>
      <c r="AB284" s="45"/>
      <c r="AC284" s="46"/>
      <c r="AD284" s="46"/>
      <c r="AE284" s="45"/>
      <c r="AF284" s="45"/>
      <c r="AH284" s="51"/>
      <c r="AL284" s="45"/>
      <c r="AM284" s="46"/>
      <c r="AN284" s="46"/>
    </row>
    <row r="285" spans="3:40">
      <c r="F285" s="50"/>
      <c r="H285" s="45"/>
      <c r="I285" s="45"/>
      <c r="J285" s="132"/>
      <c r="K285" s="326"/>
      <c r="L285" s="50"/>
      <c r="M285" s="50"/>
      <c r="N285" s="50"/>
      <c r="O285" s="50"/>
      <c r="P285" s="50"/>
      <c r="Q285" s="50"/>
      <c r="R285" s="50"/>
      <c r="V285" s="50"/>
      <c r="Y285" s="45"/>
      <c r="Z285" s="326"/>
      <c r="AA285" s="50"/>
      <c r="AB285" s="50"/>
      <c r="AC285" s="50"/>
      <c r="AD285" s="50"/>
      <c r="AE285" s="50"/>
      <c r="AF285" s="50"/>
      <c r="AI285" s="50"/>
      <c r="AJ285" s="50"/>
      <c r="AK285" s="111"/>
      <c r="AL285" s="50"/>
      <c r="AM285" s="46"/>
      <c r="AN285" s="46"/>
    </row>
    <row r="286" spans="3:40">
      <c r="C286" s="42"/>
      <c r="F286" s="164"/>
      <c r="H286" s="164"/>
      <c r="I286" s="164"/>
      <c r="J286" s="132"/>
      <c r="K286" s="336"/>
      <c r="L286" s="45"/>
      <c r="M286" s="45"/>
      <c r="N286" s="46"/>
      <c r="O286" s="46"/>
      <c r="P286" s="45"/>
      <c r="Q286" s="45"/>
      <c r="R286" s="45"/>
      <c r="S286" s="45"/>
      <c r="T286" s="42"/>
      <c r="V286" s="164"/>
      <c r="Y286" s="164"/>
      <c r="Z286" s="336"/>
      <c r="AA286" s="45"/>
      <c r="AB286" s="45"/>
      <c r="AC286" s="46"/>
      <c r="AD286" s="46"/>
      <c r="AE286" s="45"/>
      <c r="AF286" s="45"/>
      <c r="AH286" s="46"/>
      <c r="AI286" s="45"/>
      <c r="AJ286" s="45"/>
      <c r="AL286" s="45"/>
      <c r="AM286" s="46"/>
      <c r="AN286" s="46"/>
    </row>
    <row r="287" spans="3:40">
      <c r="C287" s="42"/>
      <c r="F287" s="164"/>
      <c r="H287" s="164"/>
      <c r="I287" s="164"/>
      <c r="J287" s="132"/>
      <c r="K287" s="316"/>
      <c r="L287" s="45"/>
      <c r="M287" s="45"/>
      <c r="N287" s="46"/>
      <c r="O287" s="46"/>
      <c r="P287" s="45"/>
      <c r="Q287" s="45"/>
      <c r="R287" s="45"/>
      <c r="T287" s="42"/>
      <c r="V287" s="164"/>
      <c r="Y287" s="45"/>
      <c r="Z287" s="316"/>
      <c r="AA287" s="45"/>
      <c r="AB287" s="45"/>
      <c r="AC287" s="46"/>
      <c r="AD287" s="46"/>
      <c r="AE287" s="45"/>
      <c r="AF287" s="45"/>
      <c r="AH287" s="51"/>
      <c r="AI287" s="45"/>
      <c r="AJ287" s="45"/>
      <c r="AL287" s="45"/>
      <c r="AM287" s="46"/>
      <c r="AN287" s="46"/>
    </row>
    <row r="288" spans="3:40">
      <c r="C288" s="42"/>
      <c r="F288" s="164"/>
      <c r="H288" s="164"/>
      <c r="I288" s="164"/>
      <c r="J288" s="132"/>
      <c r="K288" s="316"/>
      <c r="L288" s="45"/>
      <c r="M288" s="45"/>
      <c r="N288" s="46"/>
      <c r="O288" s="46"/>
      <c r="P288" s="45"/>
      <c r="Q288" s="45"/>
      <c r="R288" s="45"/>
      <c r="T288" s="42"/>
      <c r="V288" s="164"/>
      <c r="Y288" s="45"/>
      <c r="Z288" s="316"/>
      <c r="AA288" s="45"/>
      <c r="AB288" s="45"/>
      <c r="AC288" s="46"/>
      <c r="AD288" s="46"/>
      <c r="AE288" s="45"/>
      <c r="AF288" s="45"/>
      <c r="AH288" s="51"/>
      <c r="AI288" s="45"/>
      <c r="AJ288" s="45"/>
      <c r="AL288" s="45"/>
      <c r="AM288" s="46"/>
      <c r="AN288" s="46"/>
    </row>
    <row r="289" spans="1:40">
      <c r="F289" s="50"/>
      <c r="H289" s="50"/>
      <c r="I289" s="50"/>
      <c r="J289" s="132"/>
      <c r="K289" s="326"/>
      <c r="L289" s="50"/>
      <c r="M289" s="50"/>
      <c r="N289" s="50"/>
      <c r="O289" s="50"/>
      <c r="P289" s="50"/>
      <c r="Q289" s="50"/>
      <c r="R289" s="50"/>
      <c r="V289" s="50"/>
      <c r="Y289" s="50"/>
      <c r="Z289" s="326"/>
      <c r="AA289" s="50"/>
      <c r="AB289" s="50"/>
      <c r="AC289" s="50"/>
      <c r="AD289" s="50"/>
      <c r="AE289" s="50"/>
      <c r="AF289" s="50"/>
      <c r="AI289" s="50"/>
      <c r="AJ289" s="50"/>
      <c r="AK289" s="111"/>
      <c r="AL289" s="50"/>
      <c r="AM289" s="46"/>
      <c r="AN289" s="46"/>
    </row>
    <row r="290" spans="1:40">
      <c r="C290" s="42"/>
      <c r="F290" s="45"/>
      <c r="H290" s="45"/>
      <c r="I290" s="45"/>
      <c r="J290" s="56"/>
      <c r="K290" s="47"/>
      <c r="L290" s="45"/>
      <c r="M290" s="45"/>
      <c r="N290" s="46"/>
      <c r="O290" s="46"/>
      <c r="P290" s="45"/>
      <c r="Q290" s="45"/>
      <c r="R290" s="45"/>
      <c r="T290" s="42"/>
      <c r="V290" s="45"/>
      <c r="Y290" s="45"/>
      <c r="Z290" s="47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1:40">
      <c r="F291" s="50"/>
      <c r="H291" s="50"/>
      <c r="I291" s="50"/>
      <c r="J291" s="132"/>
      <c r="K291" s="326"/>
      <c r="L291" s="50"/>
      <c r="M291" s="50"/>
      <c r="N291" s="50"/>
      <c r="O291" s="50"/>
      <c r="P291" s="50"/>
      <c r="Q291" s="50"/>
      <c r="R291" s="50"/>
      <c r="V291" s="50"/>
      <c r="Y291" s="50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  <c r="AM291" s="46"/>
      <c r="AN291" s="46"/>
    </row>
    <row r="292" spans="1:40">
      <c r="C292" s="42"/>
      <c r="F292" s="45"/>
      <c r="H292" s="45"/>
      <c r="I292" s="45"/>
      <c r="J292" s="56"/>
      <c r="K292" s="47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47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1:40">
      <c r="C293" s="42"/>
      <c r="F293" s="45"/>
      <c r="H293" s="164"/>
      <c r="I293" s="164"/>
      <c r="J293" s="132"/>
      <c r="K293" s="331"/>
      <c r="L293" s="45"/>
      <c r="M293" s="45"/>
      <c r="N293" s="46"/>
      <c r="O293" s="46"/>
      <c r="P293" s="45"/>
      <c r="Q293" s="45"/>
      <c r="R293" s="45"/>
      <c r="T293" s="42"/>
      <c r="V293" s="45"/>
      <c r="Y293" s="45"/>
      <c r="Z293" s="325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1:40">
      <c r="H294" s="50"/>
      <c r="I294" s="50"/>
      <c r="J294" s="132"/>
      <c r="K294" s="326"/>
      <c r="L294" s="50"/>
      <c r="M294" s="50"/>
      <c r="N294" s="50"/>
      <c r="O294" s="50"/>
      <c r="P294" s="50"/>
      <c r="Q294" s="50"/>
      <c r="R294" s="50"/>
      <c r="V294" s="50"/>
      <c r="Y294" s="50"/>
      <c r="Z294" s="326"/>
      <c r="AA294" s="50"/>
      <c r="AB294" s="50"/>
      <c r="AC294" s="50"/>
      <c r="AD294" s="50"/>
      <c r="AE294" s="50"/>
      <c r="AF294" s="50"/>
      <c r="AI294" s="50"/>
      <c r="AJ294" s="50"/>
      <c r="AK294" s="111"/>
      <c r="AL294" s="50"/>
      <c r="AM294" s="46"/>
      <c r="AN294" s="46"/>
    </row>
    <row r="295" spans="1:40">
      <c r="F295" s="50"/>
      <c r="J295" s="56"/>
    </row>
    <row r="296" spans="1:40">
      <c r="C296" s="42"/>
      <c r="F296" s="45"/>
      <c r="H296" s="45"/>
      <c r="I296" s="45"/>
      <c r="J296" s="132"/>
      <c r="K296" s="326"/>
      <c r="L296" s="45"/>
      <c r="M296" s="45"/>
      <c r="N296" s="46"/>
      <c r="O296" s="46"/>
      <c r="P296" s="45"/>
      <c r="Q296" s="45"/>
      <c r="R296" s="45"/>
      <c r="S296" s="45"/>
      <c r="T296" s="42"/>
      <c r="V296" s="45"/>
      <c r="Y296" s="45"/>
      <c r="Z296" s="326"/>
      <c r="AA296" s="45"/>
      <c r="AB296" s="45"/>
      <c r="AC296" s="46"/>
      <c r="AD296" s="46"/>
      <c r="AE296" s="45"/>
      <c r="AF296" s="45"/>
      <c r="AH296" s="46"/>
      <c r="AI296" s="45"/>
      <c r="AJ296" s="45"/>
      <c r="AL296" s="45"/>
      <c r="AM296" s="46"/>
      <c r="AN296" s="46"/>
    </row>
    <row r="297" spans="1:40">
      <c r="F297" s="50"/>
      <c r="H297" s="50"/>
      <c r="I297" s="50"/>
      <c r="J297" s="132"/>
      <c r="K297" s="326"/>
      <c r="L297" s="50"/>
      <c r="M297" s="50"/>
      <c r="N297" s="50"/>
      <c r="O297" s="50"/>
      <c r="P297" s="50"/>
      <c r="Q297" s="50"/>
      <c r="R297" s="50"/>
      <c r="S297" s="45"/>
      <c r="V297" s="50"/>
      <c r="Y297" s="50"/>
      <c r="Z297" s="326"/>
      <c r="AA297" s="50"/>
      <c r="AB297" s="50"/>
      <c r="AC297" s="50"/>
      <c r="AD297" s="50"/>
      <c r="AE297" s="50"/>
      <c r="AF297" s="50"/>
      <c r="AI297" s="50"/>
      <c r="AJ297" s="50"/>
      <c r="AK297" s="111"/>
      <c r="AL297" s="50"/>
      <c r="AM297" s="46"/>
      <c r="AN297" s="46"/>
    </row>
    <row r="298" spans="1:40">
      <c r="C298" s="42"/>
      <c r="J298" s="56"/>
      <c r="T298" s="42"/>
    </row>
    <row r="299" spans="1:40">
      <c r="C299" s="42"/>
      <c r="F299" s="45"/>
      <c r="H299" s="45"/>
      <c r="I299" s="45"/>
      <c r="J299" s="56"/>
      <c r="L299" s="45"/>
      <c r="M299" s="45"/>
      <c r="N299" s="46"/>
      <c r="O299" s="46"/>
      <c r="P299" s="164"/>
      <c r="Q299" s="164"/>
      <c r="R299" s="45"/>
      <c r="T299" s="42"/>
      <c r="V299" s="45"/>
      <c r="Y299" s="45"/>
      <c r="AA299" s="45"/>
      <c r="AB299" s="45"/>
      <c r="AC299" s="46"/>
      <c r="AD299" s="46"/>
      <c r="AE299" s="45"/>
      <c r="AF299" s="45"/>
      <c r="AH299" s="46"/>
      <c r="AI299" s="164"/>
      <c r="AJ299" s="164"/>
      <c r="AL299" s="45"/>
      <c r="AM299" s="46"/>
      <c r="AN299" s="46"/>
    </row>
    <row r="300" spans="1:40">
      <c r="H300" s="50"/>
      <c r="I300" s="50"/>
      <c r="J300" s="132"/>
      <c r="K300" s="326"/>
      <c r="L300" s="50"/>
      <c r="M300" s="50"/>
      <c r="N300" s="50"/>
      <c r="O300" s="50"/>
      <c r="P300" s="50"/>
      <c r="Q300" s="50"/>
      <c r="R300" s="50"/>
      <c r="V300" s="50"/>
      <c r="Y300" s="50"/>
      <c r="Z300" s="326"/>
      <c r="AA300" s="50"/>
      <c r="AB300" s="50"/>
      <c r="AC300" s="50"/>
      <c r="AD300" s="50"/>
      <c r="AE300" s="50"/>
      <c r="AF300" s="50"/>
      <c r="AI300" s="50"/>
      <c r="AJ300" s="50"/>
      <c r="AK300" s="111"/>
      <c r="AL300" s="50"/>
    </row>
    <row r="301" spans="1:40">
      <c r="F301" s="50"/>
      <c r="J301" s="56"/>
    </row>
    <row r="302" spans="1:40">
      <c r="C302" s="42"/>
      <c r="J302" s="56"/>
      <c r="L302" s="45"/>
      <c r="M302" s="45"/>
      <c r="N302" s="45"/>
      <c r="O302" s="45"/>
      <c r="P302" s="45"/>
      <c r="Q302" s="45"/>
      <c r="R302" s="45"/>
      <c r="S302" s="45"/>
      <c r="T302" s="42"/>
      <c r="AA302" s="45"/>
      <c r="AB302" s="45"/>
      <c r="AC302" s="45"/>
      <c r="AD302" s="45"/>
      <c r="AI302" s="45"/>
      <c r="AJ302" s="45"/>
      <c r="AL302" s="45"/>
    </row>
    <row r="303" spans="1:40">
      <c r="A303" s="42"/>
      <c r="J303" s="56"/>
    </row>
    <row r="304" spans="1:40">
      <c r="J304" s="56"/>
    </row>
    <row r="305" spans="1:40">
      <c r="H305" s="42"/>
      <c r="I305" s="42"/>
      <c r="J305" s="56"/>
      <c r="Y305" s="42"/>
    </row>
    <row r="306" spans="1:40">
      <c r="J306" s="56"/>
    </row>
    <row r="307" spans="1:40">
      <c r="J307" s="56"/>
      <c r="L307" s="42"/>
      <c r="M307" s="42"/>
      <c r="AA307" s="42"/>
      <c r="AB307" s="42"/>
    </row>
    <row r="308" spans="1:40">
      <c r="J308" s="56"/>
      <c r="R308" s="42"/>
      <c r="AK308" s="110"/>
      <c r="AL308" s="42"/>
    </row>
    <row r="309" spans="1:40">
      <c r="J309" s="56"/>
      <c r="R309" s="42"/>
      <c r="AK309" s="110"/>
      <c r="AL309" s="42"/>
    </row>
    <row r="310" spans="1:40">
      <c r="A310" s="42"/>
      <c r="J310" s="56"/>
      <c r="R310" s="42"/>
      <c r="AK310" s="110"/>
      <c r="AL310" s="42"/>
    </row>
    <row r="311" spans="1:40">
      <c r="J311" s="56"/>
      <c r="L311" s="42"/>
      <c r="M311" s="42"/>
      <c r="AA311" s="42"/>
      <c r="AB311" s="42"/>
    </row>
    <row r="312" spans="1:40">
      <c r="A312" s="49"/>
      <c r="B312" s="49"/>
      <c r="C312" s="49"/>
      <c r="D312" s="49"/>
      <c r="E312" s="49"/>
      <c r="F312" s="49"/>
      <c r="G312" s="49"/>
      <c r="H312" s="49"/>
      <c r="I312" s="49"/>
      <c r="J312" s="57"/>
      <c r="K312" s="49"/>
      <c r="L312" s="49"/>
      <c r="M312" s="49"/>
      <c r="N312" s="49"/>
      <c r="O312" s="49"/>
      <c r="P312" s="49"/>
      <c r="Q312" s="49"/>
      <c r="R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107"/>
      <c r="AH312" s="49"/>
      <c r="AI312" s="49"/>
      <c r="AJ312" s="49"/>
      <c r="AK312" s="107"/>
      <c r="AL312" s="49"/>
      <c r="AM312" s="49"/>
      <c r="AN312" s="49"/>
    </row>
    <row r="313" spans="1:40">
      <c r="J313" s="56"/>
      <c r="L313" s="44"/>
      <c r="M313" s="44"/>
      <c r="N313" s="44"/>
      <c r="O313" s="44"/>
      <c r="R313" s="44"/>
      <c r="AA313" s="44"/>
      <c r="AB313" s="44"/>
      <c r="AC313" s="44"/>
      <c r="AD313" s="44"/>
      <c r="AE313" s="44"/>
      <c r="AF313" s="44"/>
      <c r="AG313" s="102"/>
      <c r="AH313" s="44"/>
      <c r="AK313" s="102"/>
      <c r="AL313" s="44"/>
      <c r="AM313" s="44"/>
      <c r="AN313" s="44"/>
    </row>
    <row r="314" spans="1:40">
      <c r="J314" s="56"/>
      <c r="L314" s="44"/>
      <c r="M314" s="44"/>
      <c r="N314" s="44"/>
      <c r="O314" s="44"/>
      <c r="R314" s="44"/>
      <c r="Z314" s="44"/>
      <c r="AA314" s="44"/>
      <c r="AB314" s="44"/>
      <c r="AC314" s="44"/>
      <c r="AD314" s="44"/>
      <c r="AE314" s="44"/>
      <c r="AF314" s="44"/>
      <c r="AG314" s="102"/>
      <c r="AH314" s="44"/>
      <c r="AK314" s="102"/>
      <c r="AL314" s="44"/>
      <c r="AM314" s="44"/>
      <c r="AN314" s="44"/>
    </row>
    <row r="315" spans="1:40">
      <c r="A315" s="44"/>
      <c r="C315" s="44"/>
      <c r="D315" s="44"/>
      <c r="E315" s="44"/>
      <c r="F315" s="44"/>
      <c r="J315" s="58"/>
      <c r="K315" s="44"/>
      <c r="L315" s="44"/>
      <c r="M315" s="44"/>
      <c r="N315" s="44"/>
      <c r="O315" s="44"/>
      <c r="P315" s="44"/>
      <c r="Q315" s="44"/>
      <c r="R315" s="44"/>
      <c r="T315" s="44"/>
      <c r="U315" s="44"/>
      <c r="V315" s="44"/>
      <c r="Z315" s="44"/>
      <c r="AA315" s="44"/>
      <c r="AB315" s="44"/>
      <c r="AC315" s="44"/>
      <c r="AD315" s="44"/>
      <c r="AE315" s="44"/>
      <c r="AF315" s="44"/>
      <c r="AG315" s="102"/>
      <c r="AH315" s="44"/>
      <c r="AI315" s="44"/>
      <c r="AJ315" s="44"/>
      <c r="AK315" s="102"/>
      <c r="AL315" s="44"/>
      <c r="AM315" s="44"/>
      <c r="AN315" s="44"/>
    </row>
    <row r="316" spans="1:40">
      <c r="A316" s="44"/>
      <c r="C316" s="44"/>
      <c r="D316" s="44"/>
      <c r="E316" s="44"/>
      <c r="F316" s="44"/>
      <c r="H316" s="44"/>
      <c r="I316" s="44"/>
      <c r="J316" s="58"/>
      <c r="K316" s="44"/>
      <c r="L316" s="44"/>
      <c r="M316" s="44"/>
      <c r="N316" s="44"/>
      <c r="O316" s="44"/>
      <c r="P316" s="44"/>
      <c r="Q316" s="44"/>
      <c r="R316" s="44"/>
      <c r="T316" s="44"/>
      <c r="U316" s="44"/>
      <c r="V316" s="44"/>
      <c r="Y316" s="44"/>
      <c r="Z316" s="44"/>
      <c r="AA316" s="44"/>
      <c r="AB316" s="44"/>
      <c r="AC316" s="44"/>
      <c r="AD316" s="44"/>
      <c r="AE316" s="44"/>
      <c r="AF316" s="44"/>
      <c r="AG316" s="102"/>
      <c r="AH316" s="44"/>
      <c r="AI316" s="44"/>
      <c r="AJ316" s="44"/>
      <c r="AK316" s="102"/>
      <c r="AL316" s="44"/>
      <c r="AM316" s="44"/>
      <c r="AN316" s="44"/>
    </row>
    <row r="317" spans="1:40">
      <c r="C317" s="44"/>
      <c r="D317" s="44"/>
      <c r="E317" s="44"/>
      <c r="F317" s="44"/>
      <c r="H317" s="44"/>
      <c r="I317" s="44"/>
      <c r="J317" s="58"/>
      <c r="K317" s="44"/>
      <c r="L317" s="44"/>
      <c r="M317" s="44"/>
      <c r="N317" s="44"/>
      <c r="O317" s="44"/>
      <c r="P317" s="44"/>
      <c r="Q317" s="44"/>
      <c r="R317" s="44"/>
      <c r="T317" s="44"/>
      <c r="U317" s="44"/>
      <c r="V317" s="44"/>
      <c r="Y317" s="44"/>
      <c r="Z317" s="44"/>
      <c r="AA317" s="44"/>
      <c r="AB317" s="44"/>
      <c r="AC317" s="44"/>
      <c r="AD317" s="44"/>
      <c r="AE317" s="44"/>
      <c r="AF317" s="44"/>
      <c r="AG317" s="102"/>
      <c r="AH317" s="44"/>
      <c r="AI317" s="44"/>
      <c r="AJ317" s="44"/>
      <c r="AK317" s="102"/>
      <c r="AL317" s="44"/>
      <c r="AM317" s="44"/>
      <c r="AN317" s="44"/>
    </row>
    <row r="318" spans="1:40">
      <c r="A318" s="49"/>
      <c r="B318" s="49"/>
      <c r="C318" s="49"/>
      <c r="D318" s="49"/>
      <c r="E318" s="49"/>
      <c r="F318" s="49"/>
      <c r="G318" s="49"/>
      <c r="H318" s="49"/>
      <c r="I318" s="49"/>
      <c r="J318" s="57"/>
      <c r="K318" s="49"/>
      <c r="L318" s="49"/>
      <c r="M318" s="49"/>
      <c r="N318" s="49"/>
      <c r="O318" s="49"/>
      <c r="P318" s="49"/>
      <c r="Q318" s="49"/>
      <c r="R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107"/>
      <c r="AH318" s="49"/>
      <c r="AI318" s="49"/>
      <c r="AJ318" s="49"/>
      <c r="AK318" s="107"/>
      <c r="AL318" s="49"/>
      <c r="AM318" s="49"/>
      <c r="AN318" s="49"/>
    </row>
    <row r="319" spans="1:40">
      <c r="H319" s="44"/>
      <c r="I319" s="44"/>
      <c r="J319" s="58"/>
      <c r="K319" s="44"/>
      <c r="L319" s="44"/>
      <c r="M319" s="44"/>
      <c r="N319" s="44"/>
      <c r="O319" s="44"/>
      <c r="P319" s="44"/>
      <c r="Q319" s="44"/>
      <c r="R319" s="44"/>
      <c r="Y319" s="44"/>
      <c r="Z319" s="44"/>
      <c r="AA319" s="44"/>
      <c r="AB319" s="44"/>
      <c r="AC319" s="44"/>
      <c r="AD319" s="44"/>
      <c r="AE319" s="44"/>
      <c r="AF319" s="44"/>
      <c r="AG319" s="102"/>
      <c r="AH319" s="44"/>
      <c r="AI319" s="44"/>
      <c r="AJ319" s="44"/>
      <c r="AK319" s="102"/>
      <c r="AL319" s="44"/>
      <c r="AM319" s="44"/>
      <c r="AN319" s="44"/>
    </row>
    <row r="320" spans="1:40">
      <c r="C320" s="42"/>
      <c r="D320" s="42"/>
      <c r="E320" s="42"/>
      <c r="J320" s="56"/>
      <c r="T320" s="42"/>
      <c r="U320" s="42"/>
    </row>
    <row r="321" spans="3:40">
      <c r="D321" s="42"/>
      <c r="E321" s="42"/>
      <c r="J321" s="56"/>
      <c r="U321" s="42"/>
    </row>
    <row r="322" spans="3:40">
      <c r="J322" s="56"/>
    </row>
    <row r="323" spans="3:40">
      <c r="C323" s="42"/>
      <c r="J323" s="56"/>
      <c r="T323" s="42"/>
    </row>
    <row r="324" spans="3:40">
      <c r="C324" s="42"/>
      <c r="F324" s="164"/>
      <c r="H324" s="164"/>
      <c r="I324" s="164"/>
      <c r="J324" s="132"/>
      <c r="K324" s="132"/>
      <c r="L324" s="45"/>
      <c r="M324" s="45"/>
      <c r="N324" s="46"/>
      <c r="O324" s="46"/>
      <c r="P324" s="45"/>
      <c r="Q324" s="45"/>
      <c r="R324" s="45"/>
      <c r="T324" s="42"/>
      <c r="V324" s="164"/>
      <c r="W324" s="45"/>
      <c r="X324" s="45"/>
      <c r="Y324" s="164"/>
      <c r="Z324" s="132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3:40">
      <c r="C325" s="42"/>
      <c r="F325" s="45"/>
      <c r="H325" s="45"/>
      <c r="I325" s="45"/>
      <c r="J325" s="132"/>
      <c r="K325" s="326"/>
      <c r="L325" s="45"/>
      <c r="M325" s="45"/>
      <c r="N325" s="46"/>
      <c r="O325" s="46"/>
      <c r="P325" s="45"/>
      <c r="Q325" s="45"/>
      <c r="R325" s="45"/>
      <c r="T325" s="42"/>
      <c r="V325" s="164"/>
      <c r="W325" s="45"/>
      <c r="X325" s="45"/>
      <c r="Y325" s="164"/>
      <c r="Z325" s="326"/>
      <c r="AA325" s="45"/>
      <c r="AB325" s="45"/>
      <c r="AC325" s="46"/>
      <c r="AD325" s="46"/>
      <c r="AE325" s="45"/>
      <c r="AF325" s="45"/>
      <c r="AH325" s="51"/>
      <c r="AI325" s="45"/>
      <c r="AJ325" s="45"/>
      <c r="AL325" s="45"/>
      <c r="AM325" s="46"/>
      <c r="AN325" s="46"/>
    </row>
    <row r="326" spans="3:40">
      <c r="C326" s="42"/>
      <c r="F326" s="164"/>
      <c r="H326" s="164"/>
      <c r="I326" s="164"/>
      <c r="J326" s="132"/>
      <c r="K326" s="132"/>
      <c r="L326" s="45"/>
      <c r="M326" s="45"/>
      <c r="N326" s="46"/>
      <c r="O326" s="46"/>
      <c r="P326" s="45"/>
      <c r="Q326" s="45"/>
      <c r="R326" s="45"/>
      <c r="T326" s="42"/>
      <c r="V326" s="164"/>
      <c r="W326" s="45"/>
      <c r="X326" s="45"/>
      <c r="Y326" s="164"/>
      <c r="Z326" s="132"/>
      <c r="AA326" s="45"/>
      <c r="AB326" s="45"/>
      <c r="AC326" s="46"/>
      <c r="AD326" s="46"/>
      <c r="AE326" s="45"/>
      <c r="AF326" s="45"/>
      <c r="AH326" s="51"/>
      <c r="AI326" s="45"/>
      <c r="AJ326" s="45"/>
      <c r="AL326" s="45"/>
      <c r="AM326" s="46"/>
      <c r="AN326" s="46"/>
    </row>
    <row r="327" spans="3:40">
      <c r="C327" s="42"/>
      <c r="F327" s="164"/>
      <c r="H327" s="164"/>
      <c r="I327" s="164"/>
      <c r="J327" s="132"/>
      <c r="K327" s="132"/>
      <c r="L327" s="45"/>
      <c r="M327" s="45"/>
      <c r="N327" s="46"/>
      <c r="O327" s="46"/>
      <c r="P327" s="45"/>
      <c r="Q327" s="45"/>
      <c r="R327" s="45"/>
      <c r="T327" s="42"/>
      <c r="V327" s="164"/>
      <c r="W327" s="45"/>
      <c r="X327" s="45"/>
      <c r="Y327" s="164"/>
      <c r="Z327" s="132"/>
      <c r="AA327" s="45"/>
      <c r="AB327" s="45"/>
      <c r="AC327" s="46"/>
      <c r="AD327" s="46"/>
      <c r="AE327" s="45"/>
      <c r="AF327" s="45"/>
      <c r="AH327" s="51"/>
      <c r="AI327" s="45"/>
      <c r="AJ327" s="45"/>
      <c r="AL327" s="45"/>
      <c r="AM327" s="46"/>
      <c r="AN327" s="46"/>
    </row>
    <row r="328" spans="3:40">
      <c r="C328" s="42"/>
      <c r="F328" s="164"/>
      <c r="H328" s="164"/>
      <c r="I328" s="164"/>
      <c r="J328" s="132"/>
      <c r="K328" s="132"/>
      <c r="L328" s="45"/>
      <c r="M328" s="45"/>
      <c r="N328" s="46"/>
      <c r="O328" s="46"/>
      <c r="P328" s="45"/>
      <c r="Q328" s="45"/>
      <c r="R328" s="45"/>
      <c r="T328" s="42"/>
      <c r="V328" s="164"/>
      <c r="W328" s="45"/>
      <c r="X328" s="45"/>
      <c r="Y328" s="164"/>
      <c r="Z328" s="132"/>
      <c r="AA328" s="45"/>
      <c r="AB328" s="45"/>
      <c r="AC328" s="46"/>
      <c r="AD328" s="46"/>
      <c r="AE328" s="45"/>
      <c r="AF328" s="45"/>
      <c r="AH328" s="51"/>
      <c r="AI328" s="45"/>
      <c r="AJ328" s="45"/>
      <c r="AL328" s="45"/>
      <c r="AM328" s="46"/>
      <c r="AN328" s="46"/>
    </row>
    <row r="329" spans="3:40">
      <c r="C329" s="42"/>
      <c r="F329" s="45"/>
      <c r="H329" s="45"/>
      <c r="I329" s="45"/>
      <c r="J329" s="132"/>
      <c r="K329" s="132"/>
      <c r="L329" s="45"/>
      <c r="M329" s="45"/>
      <c r="N329" s="46"/>
      <c r="O329" s="46"/>
      <c r="P329" s="45"/>
      <c r="Q329" s="45"/>
      <c r="R329" s="45"/>
      <c r="T329" s="42"/>
      <c r="V329" s="164"/>
      <c r="W329" s="45"/>
      <c r="X329" s="45"/>
      <c r="Y329" s="164"/>
      <c r="Z329" s="132"/>
      <c r="AA329" s="45"/>
      <c r="AB329" s="45"/>
      <c r="AC329" s="46"/>
      <c r="AD329" s="46"/>
      <c r="AE329" s="45"/>
      <c r="AF329" s="45"/>
      <c r="AH329" s="51"/>
      <c r="AI329" s="45"/>
      <c r="AJ329" s="45"/>
      <c r="AL329" s="45"/>
      <c r="AM329" s="46"/>
      <c r="AN329" s="46"/>
    </row>
    <row r="330" spans="3:40">
      <c r="C330" s="42"/>
      <c r="F330" s="45"/>
      <c r="H330" s="45"/>
      <c r="I330" s="45"/>
      <c r="J330" s="132"/>
      <c r="K330" s="132"/>
      <c r="L330" s="45"/>
      <c r="M330" s="45"/>
      <c r="N330" s="46"/>
      <c r="O330" s="46"/>
      <c r="P330" s="45"/>
      <c r="Q330" s="45"/>
      <c r="R330" s="45"/>
      <c r="T330" s="42"/>
      <c r="V330" s="164"/>
      <c r="W330" s="45"/>
      <c r="X330" s="45"/>
      <c r="Y330" s="164"/>
      <c r="Z330" s="132"/>
      <c r="AA330" s="45"/>
      <c r="AB330" s="45"/>
      <c r="AC330" s="46"/>
      <c r="AD330" s="46"/>
      <c r="AE330" s="45"/>
      <c r="AF330" s="45"/>
      <c r="AH330" s="51"/>
      <c r="AI330" s="45"/>
      <c r="AJ330" s="45"/>
      <c r="AL330" s="45"/>
      <c r="AM330" s="46"/>
      <c r="AN330" s="46"/>
    </row>
    <row r="331" spans="3:40">
      <c r="F331" s="54"/>
      <c r="H331" s="338"/>
      <c r="I331" s="338"/>
      <c r="J331" s="132"/>
      <c r="K331" s="132"/>
      <c r="L331" s="54"/>
      <c r="M331" s="54"/>
      <c r="N331" s="50"/>
      <c r="O331" s="50"/>
      <c r="P331" s="54"/>
      <c r="Q331" s="54"/>
      <c r="R331" s="54"/>
      <c r="V331" s="54"/>
      <c r="W331" s="45"/>
      <c r="X331" s="45"/>
      <c r="Y331" s="54"/>
      <c r="Z331" s="132"/>
      <c r="AA331" s="54"/>
      <c r="AB331" s="54"/>
      <c r="AC331" s="55"/>
      <c r="AD331" s="55"/>
      <c r="AE331" s="54"/>
      <c r="AF331" s="54"/>
      <c r="AH331" s="51"/>
      <c r="AI331" s="54"/>
      <c r="AJ331" s="54"/>
      <c r="AK331" s="107"/>
      <c r="AL331" s="54"/>
      <c r="AM331" s="46"/>
      <c r="AN331" s="46"/>
    </row>
    <row r="332" spans="3:40">
      <c r="C332" s="42"/>
      <c r="F332" s="45"/>
      <c r="H332" s="45"/>
      <c r="I332" s="45"/>
      <c r="J332" s="132"/>
      <c r="K332" s="132"/>
      <c r="L332" s="45"/>
      <c r="M332" s="45"/>
      <c r="N332" s="51"/>
      <c r="O332" s="51"/>
      <c r="P332" s="45"/>
      <c r="Q332" s="45"/>
      <c r="R332" s="45"/>
      <c r="T332" s="44"/>
      <c r="V332" s="45"/>
      <c r="W332" s="45"/>
      <c r="X332" s="45"/>
      <c r="Y332" s="45"/>
      <c r="Z332" s="132"/>
      <c r="AA332" s="45"/>
      <c r="AB332" s="45"/>
      <c r="AC332" s="51"/>
      <c r="AD332" s="51"/>
      <c r="AE332" s="45"/>
      <c r="AF332" s="45"/>
      <c r="AH332" s="51"/>
      <c r="AI332" s="45"/>
      <c r="AJ332" s="45"/>
      <c r="AL332" s="45"/>
      <c r="AM332" s="46"/>
      <c r="AN332" s="46"/>
    </row>
    <row r="333" spans="3:40">
      <c r="F333" s="49"/>
      <c r="H333" s="49"/>
      <c r="I333" s="49"/>
      <c r="J333" s="56"/>
      <c r="L333" s="49"/>
      <c r="M333" s="49"/>
      <c r="N333" s="55"/>
      <c r="O333" s="55"/>
      <c r="P333" s="54"/>
      <c r="Q333" s="54"/>
      <c r="R333" s="54"/>
      <c r="V333" s="54"/>
      <c r="Y333" s="54"/>
      <c r="Z333" s="326"/>
      <c r="AA333" s="54"/>
      <c r="AB333" s="54"/>
      <c r="AC333" s="54"/>
      <c r="AD333" s="54"/>
      <c r="AE333" s="54"/>
      <c r="AF333" s="54"/>
      <c r="AI333" s="54"/>
      <c r="AJ333" s="54"/>
      <c r="AK333" s="107"/>
      <c r="AL333" s="54"/>
      <c r="AM333" s="55"/>
      <c r="AN333" s="55"/>
    </row>
    <row r="334" spans="3:40">
      <c r="J334" s="56"/>
    </row>
    <row r="335" spans="3:40">
      <c r="J335" s="56"/>
    </row>
    <row r="336" spans="3:40">
      <c r="J336" s="56"/>
    </row>
    <row r="337" spans="1:40">
      <c r="J337" s="56"/>
    </row>
    <row r="338" spans="1:40">
      <c r="J338" s="56"/>
      <c r="N338" s="45"/>
      <c r="O338" s="45"/>
      <c r="P338" s="45"/>
      <c r="Q338" s="45"/>
      <c r="R338" s="45"/>
      <c r="V338" s="45"/>
      <c r="Y338" s="45"/>
      <c r="Z338" s="47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1:40">
      <c r="C339" s="42"/>
      <c r="D339" s="42"/>
      <c r="E339" s="42"/>
      <c r="J339" s="56"/>
      <c r="K339" s="56"/>
      <c r="T339" s="42"/>
      <c r="U339" s="42"/>
      <c r="Z339" s="56"/>
      <c r="AE339" s="45"/>
      <c r="AF339" s="45"/>
      <c r="AI339" s="45"/>
      <c r="AJ339" s="45"/>
      <c r="AL339" s="45"/>
      <c r="AM339" s="46"/>
      <c r="AN339" s="46"/>
    </row>
    <row r="340" spans="1:40">
      <c r="D340" s="42"/>
      <c r="E340" s="42"/>
      <c r="F340" s="45"/>
      <c r="H340" s="45"/>
      <c r="I340" s="45"/>
      <c r="J340" s="132"/>
      <c r="K340" s="132"/>
      <c r="L340" s="45"/>
      <c r="M340" s="45"/>
      <c r="N340" s="46"/>
      <c r="O340" s="46"/>
      <c r="P340" s="45"/>
      <c r="Q340" s="45"/>
      <c r="R340" s="45"/>
      <c r="U340" s="42"/>
      <c r="V340" s="45"/>
      <c r="Y340" s="45"/>
      <c r="Z340" s="132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1:40">
      <c r="F341" s="45"/>
      <c r="H341" s="45"/>
      <c r="I341" s="45"/>
      <c r="J341" s="132"/>
      <c r="K341" s="326"/>
      <c r="L341" s="45"/>
      <c r="M341" s="45"/>
      <c r="N341" s="45"/>
      <c r="O341" s="45"/>
      <c r="P341" s="45"/>
      <c r="Q341" s="45"/>
      <c r="R341" s="45"/>
      <c r="V341" s="45"/>
      <c r="Y341" s="45"/>
      <c r="Z341" s="326"/>
      <c r="AA341" s="45"/>
      <c r="AB341" s="45"/>
      <c r="AC341" s="45"/>
      <c r="AD341" s="45"/>
      <c r="AE341" s="45"/>
      <c r="AF341" s="45"/>
      <c r="AH341" s="51"/>
      <c r="AI341" s="164"/>
      <c r="AJ341" s="164"/>
      <c r="AL341" s="45"/>
      <c r="AM341" s="46"/>
      <c r="AN341" s="46"/>
    </row>
    <row r="342" spans="1:40">
      <c r="C342" s="42"/>
      <c r="F342" s="164"/>
      <c r="H342" s="164"/>
      <c r="I342" s="164"/>
      <c r="J342" s="132"/>
      <c r="K342" s="325"/>
      <c r="L342" s="45"/>
      <c r="M342" s="45"/>
      <c r="N342" s="46"/>
      <c r="O342" s="46"/>
      <c r="P342" s="45"/>
      <c r="Q342" s="45"/>
      <c r="R342" s="45"/>
      <c r="T342" s="42"/>
      <c r="V342" s="164"/>
      <c r="Y342" s="164"/>
      <c r="Z342" s="325"/>
      <c r="AA342" s="45"/>
      <c r="AB342" s="45"/>
      <c r="AC342" s="46"/>
      <c r="AD342" s="46"/>
      <c r="AE342" s="45"/>
      <c r="AF342" s="45"/>
      <c r="AH342" s="51"/>
      <c r="AI342" s="45"/>
      <c r="AJ342" s="45"/>
      <c r="AL342" s="45"/>
      <c r="AM342" s="46"/>
      <c r="AN342" s="46"/>
    </row>
    <row r="343" spans="1:40">
      <c r="F343" s="49"/>
      <c r="H343" s="49"/>
      <c r="I343" s="49"/>
      <c r="J343" s="56"/>
      <c r="L343" s="49"/>
      <c r="M343" s="49"/>
      <c r="N343" s="49"/>
      <c r="O343" s="49"/>
      <c r="P343" s="49"/>
      <c r="Q343" s="49"/>
      <c r="R343" s="49"/>
      <c r="V343" s="49"/>
      <c r="Y343" s="49"/>
      <c r="AA343" s="49"/>
      <c r="AB343" s="49"/>
      <c r="AC343" s="49"/>
      <c r="AD343" s="49"/>
      <c r="AE343" s="49"/>
      <c r="AF343" s="49"/>
      <c r="AG343" s="107"/>
      <c r="AH343" s="49"/>
      <c r="AI343" s="49"/>
      <c r="AJ343" s="49"/>
      <c r="AK343" s="107"/>
      <c r="AL343" s="49"/>
      <c r="AM343" s="49"/>
      <c r="AN343" s="49"/>
    </row>
    <row r="344" spans="1:40">
      <c r="C344" s="44"/>
      <c r="F344" s="164"/>
      <c r="H344" s="164"/>
      <c r="I344" s="164"/>
      <c r="J344" s="132"/>
      <c r="K344" s="316"/>
      <c r="L344" s="164"/>
      <c r="M344" s="164"/>
      <c r="N344" s="46"/>
      <c r="O344" s="46"/>
      <c r="P344" s="164"/>
      <c r="Q344" s="164"/>
      <c r="R344" s="164"/>
      <c r="T344" s="44"/>
      <c r="V344" s="45"/>
      <c r="Y344" s="45"/>
      <c r="Z344" s="47"/>
      <c r="AA344" s="45"/>
      <c r="AB344" s="45"/>
      <c r="AC344" s="46"/>
      <c r="AD344" s="46"/>
      <c r="AH344" s="51"/>
      <c r="AI344" s="45"/>
      <c r="AJ344" s="45"/>
      <c r="AL344" s="45"/>
      <c r="AM344" s="46"/>
      <c r="AN344" s="46"/>
    </row>
    <row r="345" spans="1:40">
      <c r="F345" s="54"/>
      <c r="H345" s="54"/>
      <c r="I345" s="54"/>
      <c r="J345" s="132"/>
      <c r="K345" s="326"/>
      <c r="L345" s="54"/>
      <c r="M345" s="54"/>
      <c r="N345" s="54"/>
      <c r="O345" s="54"/>
      <c r="P345" s="54"/>
      <c r="Q345" s="54"/>
      <c r="R345" s="54"/>
      <c r="V345" s="49"/>
      <c r="Y345" s="49"/>
      <c r="AA345" s="49"/>
      <c r="AB345" s="49"/>
      <c r="AC345" s="49"/>
      <c r="AD345" s="49"/>
      <c r="AE345" s="49"/>
      <c r="AF345" s="49"/>
      <c r="AG345" s="107"/>
      <c r="AH345" s="49"/>
      <c r="AI345" s="49"/>
      <c r="AJ345" s="49"/>
      <c r="AK345" s="107"/>
      <c r="AL345" s="49"/>
      <c r="AM345" s="49"/>
      <c r="AN345" s="49"/>
    </row>
    <row r="346" spans="1:40">
      <c r="F346" s="164"/>
      <c r="H346" s="164"/>
      <c r="I346" s="164"/>
      <c r="J346" s="132"/>
      <c r="K346" s="336"/>
      <c r="L346" s="45"/>
      <c r="M346" s="45"/>
      <c r="N346" s="46"/>
      <c r="O346" s="46"/>
      <c r="P346" s="45"/>
      <c r="Q346" s="45"/>
      <c r="R346" s="45"/>
    </row>
    <row r="347" spans="1:40">
      <c r="A347" s="42"/>
      <c r="F347" s="164"/>
      <c r="H347" s="164"/>
      <c r="I347" s="164"/>
      <c r="J347" s="132"/>
      <c r="K347" s="316"/>
      <c r="L347" s="45"/>
      <c r="M347" s="45"/>
      <c r="N347" s="46"/>
      <c r="O347" s="46"/>
      <c r="P347" s="45"/>
      <c r="Q347" s="45"/>
      <c r="R347" s="45"/>
    </row>
    <row r="348" spans="1:40">
      <c r="F348" s="164"/>
      <c r="H348" s="164"/>
      <c r="I348" s="164"/>
      <c r="J348" s="132"/>
      <c r="K348" s="316"/>
      <c r="L348" s="45"/>
      <c r="M348" s="45"/>
      <c r="N348" s="46"/>
      <c r="O348" s="46"/>
      <c r="P348" s="45"/>
      <c r="Q348" s="45"/>
      <c r="R348" s="45"/>
    </row>
    <row r="349" spans="1:40">
      <c r="A349" s="42"/>
      <c r="J349" s="56"/>
    </row>
    <row r="350" spans="1:40">
      <c r="J350" s="56"/>
    </row>
    <row r="351" spans="1:40">
      <c r="J351" s="56"/>
    </row>
    <row r="352" spans="1:40">
      <c r="H352" s="42"/>
      <c r="I352" s="42"/>
      <c r="J352" s="56"/>
      <c r="Y352" s="42"/>
    </row>
    <row r="353" spans="1:40">
      <c r="J353" s="56"/>
    </row>
    <row r="354" spans="1:40">
      <c r="J354" s="56"/>
      <c r="L354" s="42"/>
      <c r="M354" s="42"/>
      <c r="AA354" s="42"/>
      <c r="AB354" s="42"/>
    </row>
    <row r="355" spans="1:40">
      <c r="J355" s="56"/>
      <c r="R355" s="42"/>
      <c r="AK355" s="110"/>
      <c r="AL355" s="42"/>
    </row>
    <row r="356" spans="1:40">
      <c r="J356" s="56"/>
      <c r="R356" s="42"/>
      <c r="AK356" s="110"/>
      <c r="AL356" s="42"/>
    </row>
    <row r="357" spans="1:40">
      <c r="A357" s="42"/>
      <c r="J357" s="56"/>
      <c r="R357" s="42"/>
      <c r="AK357" s="110"/>
      <c r="AL357" s="42"/>
    </row>
    <row r="358" spans="1:40">
      <c r="J358" s="56"/>
      <c r="L358" s="42"/>
      <c r="M358" s="42"/>
      <c r="AA358" s="42"/>
      <c r="AB358" s="42"/>
    </row>
    <row r="359" spans="1:40">
      <c r="A359" s="49"/>
      <c r="B359" s="49"/>
      <c r="C359" s="49"/>
      <c r="D359" s="49"/>
      <c r="E359" s="49"/>
      <c r="F359" s="49"/>
      <c r="G359" s="49"/>
      <c r="H359" s="49"/>
      <c r="I359" s="49"/>
      <c r="J359" s="57"/>
      <c r="K359" s="49"/>
      <c r="L359" s="49"/>
      <c r="M359" s="49"/>
      <c r="N359" s="49"/>
      <c r="O359" s="49"/>
      <c r="P359" s="49"/>
      <c r="Q359" s="49"/>
      <c r="R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107"/>
      <c r="AH359" s="49"/>
      <c r="AI359" s="49"/>
      <c r="AJ359" s="49"/>
      <c r="AK359" s="107"/>
      <c r="AL359" s="49"/>
      <c r="AM359" s="49"/>
      <c r="AN359" s="49"/>
    </row>
    <row r="360" spans="1:40">
      <c r="J360" s="56"/>
      <c r="L360" s="44"/>
      <c r="M360" s="44"/>
      <c r="N360" s="44"/>
      <c r="O360" s="44"/>
      <c r="R360" s="44"/>
      <c r="AA360" s="44"/>
      <c r="AB360" s="44"/>
      <c r="AC360" s="44"/>
      <c r="AD360" s="44"/>
      <c r="AE360" s="44"/>
      <c r="AF360" s="44"/>
      <c r="AG360" s="102"/>
      <c r="AH360" s="44"/>
      <c r="AK360" s="102"/>
      <c r="AL360" s="44"/>
      <c r="AM360" s="44"/>
      <c r="AN360" s="44"/>
    </row>
    <row r="361" spans="1:40">
      <c r="J361" s="56"/>
      <c r="L361" s="44"/>
      <c r="M361" s="44"/>
      <c r="N361" s="44"/>
      <c r="O361" s="44"/>
      <c r="R361" s="44"/>
      <c r="Z361" s="44"/>
      <c r="AA361" s="44"/>
      <c r="AB361" s="44"/>
      <c r="AC361" s="44"/>
      <c r="AD361" s="44"/>
      <c r="AE361" s="44"/>
      <c r="AF361" s="44"/>
      <c r="AG361" s="102"/>
      <c r="AH361" s="44"/>
      <c r="AK361" s="102"/>
      <c r="AL361" s="44"/>
      <c r="AM361" s="44"/>
      <c r="AN361" s="44"/>
    </row>
    <row r="362" spans="1:40">
      <c r="A362" s="44"/>
      <c r="C362" s="44"/>
      <c r="D362" s="44"/>
      <c r="E362" s="44"/>
      <c r="F362" s="44"/>
      <c r="J362" s="58"/>
      <c r="K362" s="44"/>
      <c r="L362" s="44"/>
      <c r="M362" s="44"/>
      <c r="N362" s="44"/>
      <c r="O362" s="44"/>
      <c r="P362" s="44"/>
      <c r="Q362" s="44"/>
      <c r="R362" s="44"/>
      <c r="T362" s="44"/>
      <c r="U362" s="44"/>
      <c r="V362" s="44"/>
      <c r="Z362" s="44"/>
      <c r="AA362" s="44"/>
      <c r="AB362" s="44"/>
      <c r="AC362" s="44"/>
      <c r="AD362" s="44"/>
      <c r="AE362" s="44"/>
      <c r="AF362" s="44"/>
      <c r="AG362" s="102"/>
      <c r="AH362" s="44"/>
      <c r="AI362" s="44"/>
      <c r="AJ362" s="44"/>
      <c r="AK362" s="102"/>
      <c r="AL362" s="44"/>
      <c r="AM362" s="44"/>
      <c r="AN362" s="44"/>
    </row>
    <row r="363" spans="1:40">
      <c r="A363" s="44"/>
      <c r="C363" s="44"/>
      <c r="D363" s="44"/>
      <c r="E363" s="44"/>
      <c r="F363" s="44"/>
      <c r="H363" s="44"/>
      <c r="I363" s="44"/>
      <c r="J363" s="58"/>
      <c r="K363" s="44"/>
      <c r="L363" s="44"/>
      <c r="M363" s="44"/>
      <c r="N363" s="44"/>
      <c r="O363" s="44"/>
      <c r="P363" s="44"/>
      <c r="Q363" s="44"/>
      <c r="R363" s="44"/>
      <c r="T363" s="44"/>
      <c r="U363" s="44"/>
      <c r="V363" s="44"/>
      <c r="Y363" s="44"/>
      <c r="Z363" s="44"/>
      <c r="AA363" s="44"/>
      <c r="AB363" s="44"/>
      <c r="AC363" s="44"/>
      <c r="AD363" s="44"/>
      <c r="AE363" s="44"/>
      <c r="AF363" s="44"/>
      <c r="AG363" s="102"/>
      <c r="AH363" s="44"/>
      <c r="AI363" s="44"/>
      <c r="AJ363" s="44"/>
      <c r="AK363" s="102"/>
      <c r="AL363" s="44"/>
      <c r="AM363" s="44"/>
      <c r="AN363" s="44"/>
    </row>
    <row r="364" spans="1:40">
      <c r="C364" s="44"/>
      <c r="D364" s="44"/>
      <c r="E364" s="44"/>
      <c r="F364" s="44"/>
      <c r="H364" s="44"/>
      <c r="I364" s="44"/>
      <c r="J364" s="58"/>
      <c r="K364" s="44"/>
      <c r="L364" s="44"/>
      <c r="M364" s="44"/>
      <c r="N364" s="44"/>
      <c r="O364" s="44"/>
      <c r="P364" s="44"/>
      <c r="Q364" s="44"/>
      <c r="R364" s="44"/>
      <c r="T364" s="44"/>
      <c r="U364" s="44"/>
      <c r="V364" s="44"/>
      <c r="Y364" s="44"/>
      <c r="Z364" s="44"/>
      <c r="AA364" s="44"/>
      <c r="AB364" s="44"/>
      <c r="AC364" s="44"/>
      <c r="AD364" s="44"/>
      <c r="AE364" s="44"/>
      <c r="AF364" s="44"/>
      <c r="AG364" s="102"/>
      <c r="AH364" s="44"/>
      <c r="AI364" s="44"/>
      <c r="AJ364" s="44"/>
      <c r="AK364" s="102"/>
      <c r="AL364" s="44"/>
      <c r="AM364" s="44"/>
      <c r="AN364" s="44"/>
    </row>
    <row r="365" spans="1:40">
      <c r="A365" s="49"/>
      <c r="B365" s="49"/>
      <c r="C365" s="49"/>
      <c r="D365" s="49"/>
      <c r="E365" s="49"/>
      <c r="F365" s="49"/>
      <c r="G365" s="49"/>
      <c r="H365" s="49"/>
      <c r="I365" s="49"/>
      <c r="J365" s="57"/>
      <c r="K365" s="49"/>
      <c r="L365" s="49"/>
      <c r="M365" s="49"/>
      <c r="N365" s="49"/>
      <c r="O365" s="49"/>
      <c r="P365" s="49"/>
      <c r="Q365" s="49"/>
      <c r="R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107"/>
      <c r="AH365" s="49"/>
      <c r="AI365" s="49"/>
      <c r="AJ365" s="49"/>
      <c r="AK365" s="107"/>
      <c r="AL365" s="49"/>
      <c r="AM365" s="49"/>
      <c r="AN365" s="49"/>
    </row>
    <row r="366" spans="1:40">
      <c r="H366" s="44"/>
      <c r="I366" s="44"/>
      <c r="J366" s="58"/>
      <c r="K366" s="44"/>
      <c r="L366" s="44"/>
      <c r="M366" s="44"/>
      <c r="N366" s="44"/>
      <c r="O366" s="44"/>
      <c r="P366" s="44"/>
      <c r="Q366" s="44"/>
      <c r="R366" s="44"/>
      <c r="Y366" s="44"/>
      <c r="Z366" s="44"/>
      <c r="AA366" s="44"/>
      <c r="AB366" s="44"/>
      <c r="AC366" s="44"/>
      <c r="AD366" s="44"/>
      <c r="AE366" s="44"/>
      <c r="AF366" s="44"/>
      <c r="AG366" s="102"/>
      <c r="AH366" s="44"/>
      <c r="AI366" s="44"/>
      <c r="AJ366" s="44"/>
      <c r="AK366" s="102"/>
      <c r="AL366" s="44"/>
      <c r="AM366" s="44"/>
      <c r="AN366" s="44"/>
    </row>
    <row r="367" spans="1:40">
      <c r="C367" s="42"/>
      <c r="D367" s="42"/>
      <c r="E367" s="42"/>
      <c r="J367" s="56"/>
      <c r="T367" s="42"/>
      <c r="U367" s="42"/>
    </row>
    <row r="368" spans="1:40">
      <c r="J368" s="56"/>
    </row>
    <row r="369" spans="3:40">
      <c r="C369" s="42"/>
      <c r="J369" s="56"/>
      <c r="T369" s="42"/>
    </row>
    <row r="370" spans="3:40">
      <c r="C370" s="42"/>
      <c r="F370" s="164"/>
      <c r="H370" s="164"/>
      <c r="I370" s="164"/>
      <c r="J370" s="132"/>
      <c r="K370" s="326"/>
      <c r="L370" s="45"/>
      <c r="M370" s="45"/>
      <c r="N370" s="46"/>
      <c r="O370" s="46"/>
      <c r="P370" s="45"/>
      <c r="Q370" s="45"/>
      <c r="R370" s="45"/>
      <c r="T370" s="42"/>
      <c r="V370" s="164"/>
      <c r="Y370" s="164"/>
      <c r="Z370" s="326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3:40">
      <c r="C371" s="42"/>
      <c r="J371" s="56"/>
      <c r="T371" s="42"/>
    </row>
    <row r="372" spans="3:40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45"/>
      <c r="Y372" s="45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3:40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Y373" s="45"/>
      <c r="Z373" s="132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Y374" s="45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45"/>
      <c r="Y375" s="45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>
      <c r="C376" s="42"/>
      <c r="J376" s="56"/>
      <c r="K376" s="56"/>
      <c r="T376" s="42"/>
      <c r="Z376" s="56"/>
    </row>
    <row r="377" spans="3:40">
      <c r="C377" s="42"/>
      <c r="F377" s="164"/>
      <c r="H377" s="164"/>
      <c r="I377" s="164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>
      <c r="C379" s="42"/>
      <c r="F379" s="164"/>
      <c r="H379" s="164"/>
      <c r="I379" s="164"/>
      <c r="J379" s="132"/>
      <c r="K379" s="132"/>
      <c r="L379" s="45"/>
      <c r="M379" s="45"/>
      <c r="N379" s="46"/>
      <c r="O379" s="46"/>
      <c r="P379" s="45"/>
      <c r="Q379" s="45"/>
      <c r="R379" s="45"/>
      <c r="T379" s="42"/>
      <c r="V379" s="45"/>
      <c r="Y379" s="45"/>
      <c r="Z379" s="132"/>
      <c r="AA379" s="45"/>
      <c r="AB379" s="45"/>
      <c r="AC379" s="46"/>
      <c r="AD379" s="46"/>
      <c r="AE379" s="45"/>
      <c r="AF379" s="45"/>
      <c r="AH379" s="51"/>
      <c r="AI379" s="45"/>
      <c r="AJ379" s="45"/>
      <c r="AL379" s="45"/>
      <c r="AM379" s="46"/>
      <c r="AN379" s="46"/>
    </row>
    <row r="380" spans="3:40">
      <c r="C380" s="42"/>
      <c r="J380" s="56"/>
      <c r="K380" s="56"/>
      <c r="T380" s="42"/>
      <c r="Z380" s="56"/>
    </row>
    <row r="381" spans="3:40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>
      <c r="C383" s="42"/>
      <c r="J383" s="56"/>
      <c r="K383" s="56"/>
      <c r="T383" s="42"/>
      <c r="Z383" s="56"/>
    </row>
    <row r="384" spans="3:40">
      <c r="C384" s="42"/>
      <c r="F384" s="164"/>
      <c r="H384" s="164"/>
      <c r="I384" s="164"/>
      <c r="J384" s="132"/>
      <c r="K384" s="132"/>
      <c r="L384" s="45"/>
      <c r="M384" s="45"/>
      <c r="N384" s="46"/>
      <c r="O384" s="46"/>
      <c r="P384" s="45"/>
      <c r="Q384" s="45"/>
      <c r="R384" s="45"/>
      <c r="T384" s="42"/>
      <c r="V384" s="45"/>
      <c r="Y384" s="45"/>
      <c r="Z384" s="132"/>
      <c r="AA384" s="45"/>
      <c r="AB384" s="45"/>
      <c r="AC384" s="46"/>
      <c r="AD384" s="46"/>
      <c r="AE384" s="45"/>
      <c r="AF384" s="45"/>
      <c r="AH384" s="51"/>
      <c r="AI384" s="45"/>
      <c r="AJ384" s="45"/>
      <c r="AL384" s="45"/>
      <c r="AM384" s="46"/>
      <c r="AN384" s="46"/>
    </row>
    <row r="385" spans="3:40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Y385" s="45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Y386" s="45"/>
      <c r="Z386" s="132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>
      <c r="F387" s="50"/>
      <c r="H387" s="50"/>
      <c r="I387" s="50"/>
      <c r="J387" s="132"/>
      <c r="K387" s="132"/>
      <c r="L387" s="50"/>
      <c r="M387" s="50"/>
      <c r="N387" s="50"/>
      <c r="O387" s="50"/>
      <c r="P387" s="50"/>
      <c r="Q387" s="50"/>
      <c r="R387" s="50"/>
      <c r="V387" s="50"/>
      <c r="Y387" s="50"/>
      <c r="Z387" s="132"/>
      <c r="AA387" s="50"/>
      <c r="AB387" s="50"/>
      <c r="AC387" s="50"/>
      <c r="AD387" s="50"/>
      <c r="AE387" s="50"/>
      <c r="AF387" s="50"/>
      <c r="AI387" s="50"/>
      <c r="AJ387" s="50"/>
      <c r="AK387" s="111"/>
      <c r="AL387" s="50"/>
    </row>
    <row r="388" spans="3:40">
      <c r="C388" s="44"/>
      <c r="F388" s="45"/>
      <c r="H388" s="45"/>
      <c r="I388" s="45"/>
      <c r="J388" s="56"/>
      <c r="K388" s="56"/>
      <c r="L388" s="45"/>
      <c r="M388" s="45"/>
      <c r="N388" s="51"/>
      <c r="O388" s="51"/>
      <c r="P388" s="45"/>
      <c r="Q388" s="45"/>
      <c r="R388" s="45"/>
      <c r="T388" s="44"/>
      <c r="V388" s="45"/>
      <c r="Y388" s="45"/>
      <c r="Z388" s="56"/>
      <c r="AA388" s="45"/>
      <c r="AB388" s="45"/>
      <c r="AC388" s="45"/>
      <c r="AD388" s="45"/>
      <c r="AE388" s="45"/>
      <c r="AF388" s="45"/>
      <c r="AH388" s="51"/>
      <c r="AI388" s="45"/>
      <c r="AJ388" s="45"/>
      <c r="AL388" s="45"/>
      <c r="AM388" s="46"/>
      <c r="AN388" s="46"/>
    </row>
    <row r="389" spans="3:40">
      <c r="F389" s="50"/>
      <c r="H389" s="50"/>
      <c r="I389" s="50"/>
      <c r="J389" s="132"/>
      <c r="K389" s="132"/>
      <c r="L389" s="50"/>
      <c r="M389" s="50"/>
      <c r="N389" s="50"/>
      <c r="O389" s="50"/>
      <c r="P389" s="50"/>
      <c r="Q389" s="50"/>
      <c r="R389" s="50"/>
      <c r="V389" s="50"/>
      <c r="Y389" s="50"/>
      <c r="Z389" s="132"/>
      <c r="AA389" s="50"/>
      <c r="AB389" s="50"/>
      <c r="AC389" s="50"/>
      <c r="AD389" s="50"/>
      <c r="AE389" s="50"/>
      <c r="AF389" s="50"/>
      <c r="AI389" s="50"/>
      <c r="AJ389" s="50"/>
      <c r="AK389" s="111"/>
      <c r="AL389" s="50"/>
    </row>
    <row r="390" spans="3:40">
      <c r="C390" s="42"/>
      <c r="J390" s="56"/>
      <c r="K390" s="56"/>
      <c r="T390" s="42"/>
      <c r="Z390" s="56"/>
    </row>
    <row r="391" spans="3:40">
      <c r="C391" s="42"/>
      <c r="J391" s="56"/>
      <c r="K391" s="56"/>
      <c r="T391" s="42"/>
      <c r="Z391" s="56"/>
    </row>
    <row r="392" spans="3:40">
      <c r="C392" s="42"/>
      <c r="F392" s="164"/>
      <c r="H392" s="164"/>
      <c r="I392" s="164"/>
      <c r="J392" s="132"/>
      <c r="K392" s="132"/>
      <c r="L392" s="45"/>
      <c r="M392" s="45"/>
      <c r="N392" s="46"/>
      <c r="O392" s="46"/>
      <c r="P392" s="45"/>
      <c r="Q392" s="45"/>
      <c r="R392" s="45"/>
      <c r="T392" s="42"/>
      <c r="V392" s="45"/>
      <c r="Y392" s="45"/>
      <c r="Z392" s="132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3:40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>
      <c r="C394" s="42"/>
      <c r="F394" s="164"/>
      <c r="H394" s="164"/>
      <c r="I394" s="164"/>
      <c r="J394" s="132"/>
      <c r="K394" s="132"/>
      <c r="L394" s="45"/>
      <c r="M394" s="45"/>
      <c r="N394" s="46"/>
      <c r="O394" s="46"/>
      <c r="P394" s="45"/>
      <c r="Q394" s="45"/>
      <c r="R394" s="45"/>
      <c r="T394" s="42"/>
      <c r="V394" s="45"/>
      <c r="Y394" s="45"/>
      <c r="Z394" s="132"/>
      <c r="AA394" s="45"/>
      <c r="AB394" s="45"/>
      <c r="AC394" s="46"/>
      <c r="AD394" s="46"/>
      <c r="AE394" s="45"/>
      <c r="AF394" s="45"/>
      <c r="AH394" s="51"/>
      <c r="AI394" s="45"/>
      <c r="AJ394" s="45"/>
      <c r="AL394" s="45"/>
      <c r="AM394" s="46"/>
      <c r="AN394" s="46"/>
    </row>
    <row r="395" spans="3:40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132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>
      <c r="C396" s="42"/>
      <c r="F396" s="164"/>
      <c r="H396" s="164"/>
      <c r="I396" s="164"/>
      <c r="J396" s="132"/>
      <c r="K396" s="132"/>
      <c r="L396" s="45"/>
      <c r="M396" s="45"/>
      <c r="N396" s="46"/>
      <c r="O396" s="46"/>
      <c r="P396" s="45"/>
      <c r="Q396" s="45"/>
      <c r="R396" s="45"/>
      <c r="T396" s="42"/>
      <c r="V396" s="45"/>
      <c r="Y396" s="45"/>
      <c r="Z396" s="132"/>
      <c r="AA396" s="45"/>
      <c r="AB396" s="45"/>
      <c r="AC396" s="46"/>
      <c r="AD396" s="46"/>
      <c r="AE396" s="45"/>
      <c r="AF396" s="45"/>
      <c r="AH396" s="51"/>
      <c r="AI396" s="45"/>
      <c r="AJ396" s="45"/>
      <c r="AL396" s="45"/>
      <c r="AM396" s="46"/>
      <c r="AN396" s="46"/>
    </row>
    <row r="397" spans="3:40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Y397" s="45"/>
      <c r="Z397" s="132"/>
      <c r="AA397" s="45"/>
      <c r="AB397" s="45"/>
      <c r="AC397" s="46"/>
      <c r="AD397" s="46"/>
      <c r="AE397" s="45"/>
      <c r="AF397" s="45"/>
      <c r="AH397" s="51"/>
      <c r="AI397" s="45"/>
      <c r="AJ397" s="45"/>
      <c r="AL397" s="45"/>
      <c r="AM397" s="46"/>
      <c r="AN397" s="46"/>
    </row>
    <row r="398" spans="3:40">
      <c r="C398" s="42"/>
      <c r="F398" s="164"/>
      <c r="H398" s="164"/>
      <c r="I398" s="164"/>
      <c r="J398" s="132"/>
      <c r="K398" s="132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Z398" s="132"/>
      <c r="AA398" s="45"/>
      <c r="AB398" s="45"/>
      <c r="AC398" s="46"/>
      <c r="AD398" s="46"/>
      <c r="AE398" s="45"/>
      <c r="AF398" s="45"/>
      <c r="AH398" s="51"/>
      <c r="AI398" s="45"/>
      <c r="AJ398" s="45"/>
      <c r="AL398" s="45"/>
      <c r="AM398" s="46"/>
      <c r="AN398" s="46"/>
    </row>
    <row r="399" spans="3:40">
      <c r="C399" s="42"/>
      <c r="J399" s="56"/>
      <c r="K399" s="56"/>
      <c r="T399" s="42"/>
      <c r="Z399" s="56"/>
    </row>
    <row r="400" spans="3:40">
      <c r="C400" s="42"/>
      <c r="F400" s="164"/>
      <c r="H400" s="164"/>
      <c r="I400" s="164"/>
      <c r="J400" s="132"/>
      <c r="K400" s="132"/>
      <c r="L400" s="45"/>
      <c r="M400" s="45"/>
      <c r="N400" s="46"/>
      <c r="O400" s="46"/>
      <c r="P400" s="45"/>
      <c r="Q400" s="45"/>
      <c r="R400" s="45"/>
      <c r="T400" s="42"/>
      <c r="V400" s="45"/>
      <c r="Y400" s="45"/>
      <c r="Z400" s="132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>
      <c r="C401" s="42"/>
      <c r="F401" s="164"/>
      <c r="H401" s="164"/>
      <c r="I401" s="164"/>
      <c r="J401" s="132"/>
      <c r="K401" s="132"/>
      <c r="L401" s="45"/>
      <c r="M401" s="45"/>
      <c r="N401" s="46"/>
      <c r="O401" s="46"/>
      <c r="P401" s="45"/>
      <c r="Q401" s="45"/>
      <c r="R401" s="45"/>
      <c r="T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3:40">
      <c r="C402" s="42"/>
      <c r="F402" s="164"/>
      <c r="H402" s="164"/>
      <c r="I402" s="164"/>
      <c r="J402" s="132"/>
      <c r="K402" s="132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Z402" s="132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>
      <c r="C403" s="42"/>
      <c r="F403" s="164"/>
      <c r="H403" s="164"/>
      <c r="I403" s="164"/>
      <c r="J403" s="132"/>
      <c r="K403" s="132"/>
      <c r="L403" s="45"/>
      <c r="M403" s="45"/>
      <c r="N403" s="46"/>
      <c r="O403" s="46"/>
      <c r="P403" s="45"/>
      <c r="Q403" s="45"/>
      <c r="R403" s="45"/>
      <c r="T403" s="42"/>
      <c r="V403" s="45"/>
      <c r="Y403" s="45"/>
      <c r="Z403" s="132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3:40">
      <c r="C404" s="42"/>
      <c r="J404" s="56"/>
      <c r="K404" s="56"/>
      <c r="T404" s="42"/>
      <c r="Z404" s="56"/>
    </row>
    <row r="405" spans="3:40">
      <c r="C405" s="42"/>
      <c r="F405" s="164"/>
      <c r="H405" s="164"/>
      <c r="I405" s="164"/>
      <c r="J405" s="132"/>
      <c r="K405" s="132"/>
      <c r="L405" s="45"/>
      <c r="M405" s="45"/>
      <c r="N405" s="46"/>
      <c r="O405" s="46"/>
      <c r="P405" s="45"/>
      <c r="Q405" s="45"/>
      <c r="R405" s="45"/>
      <c r="T405" s="42"/>
      <c r="V405" s="45"/>
      <c r="Y405" s="45"/>
      <c r="Z405" s="132"/>
      <c r="AA405" s="45"/>
      <c r="AB405" s="45"/>
      <c r="AC405" s="46"/>
      <c r="AD405" s="46"/>
      <c r="AE405" s="45"/>
      <c r="AF405" s="45"/>
      <c r="AH405" s="51"/>
      <c r="AI405" s="45"/>
      <c r="AJ405" s="45"/>
      <c r="AL405" s="45"/>
      <c r="AM405" s="46"/>
      <c r="AN405" s="46"/>
    </row>
    <row r="406" spans="3:40">
      <c r="C406" s="42"/>
      <c r="F406" s="164"/>
      <c r="H406" s="164"/>
      <c r="I406" s="164"/>
      <c r="J406" s="132"/>
      <c r="K406" s="132"/>
      <c r="L406" s="45"/>
      <c r="M406" s="45"/>
      <c r="N406" s="46"/>
      <c r="O406" s="46"/>
      <c r="P406" s="45"/>
      <c r="Q406" s="45"/>
      <c r="R406" s="45"/>
      <c r="T406" s="42"/>
      <c r="V406" s="45"/>
      <c r="Y406" s="45"/>
      <c r="Z406" s="132"/>
      <c r="AA406" s="45"/>
      <c r="AB406" s="45"/>
      <c r="AC406" s="46"/>
      <c r="AD406" s="46"/>
      <c r="AE406" s="45"/>
      <c r="AF406" s="45"/>
      <c r="AH406" s="51"/>
      <c r="AI406" s="45"/>
      <c r="AJ406" s="45"/>
      <c r="AL406" s="45"/>
      <c r="AM406" s="46"/>
      <c r="AN406" s="46"/>
    </row>
    <row r="407" spans="3:40">
      <c r="C407" s="42"/>
      <c r="F407" s="164"/>
      <c r="H407" s="164"/>
      <c r="I407" s="164"/>
      <c r="J407" s="132"/>
      <c r="K407" s="132"/>
      <c r="L407" s="45"/>
      <c r="M407" s="45"/>
      <c r="N407" s="46"/>
      <c r="O407" s="46"/>
      <c r="P407" s="45"/>
      <c r="Q407" s="45"/>
      <c r="R407" s="45"/>
      <c r="T407" s="42"/>
      <c r="V407" s="45"/>
      <c r="Y407" s="45"/>
      <c r="Z407" s="132"/>
      <c r="AA407" s="45"/>
      <c r="AB407" s="45"/>
      <c r="AC407" s="46"/>
      <c r="AD407" s="46"/>
      <c r="AE407" s="45"/>
      <c r="AF407" s="45"/>
      <c r="AH407" s="51"/>
      <c r="AI407" s="45"/>
      <c r="AJ407" s="45"/>
      <c r="AL407" s="45"/>
      <c r="AM407" s="46"/>
      <c r="AN407" s="46"/>
    </row>
    <row r="408" spans="3:40">
      <c r="C408" s="42"/>
      <c r="F408" s="164"/>
      <c r="H408" s="164"/>
      <c r="I408" s="164"/>
      <c r="J408" s="132"/>
      <c r="K408" s="132"/>
      <c r="L408" s="45"/>
      <c r="M408" s="45"/>
      <c r="N408" s="46"/>
      <c r="O408" s="46"/>
      <c r="P408" s="45"/>
      <c r="Q408" s="45"/>
      <c r="R408" s="45"/>
      <c r="T408" s="42"/>
      <c r="V408" s="45"/>
      <c r="Y408" s="45"/>
      <c r="Z408" s="132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3:40">
      <c r="C409" s="42"/>
      <c r="F409" s="164"/>
      <c r="H409" s="164"/>
      <c r="I409" s="164"/>
      <c r="J409" s="132"/>
      <c r="K409" s="132"/>
      <c r="L409" s="45"/>
      <c r="M409" s="45"/>
      <c r="N409" s="46"/>
      <c r="O409" s="46"/>
      <c r="P409" s="45"/>
      <c r="Q409" s="45"/>
      <c r="R409" s="45"/>
      <c r="T409" s="42"/>
      <c r="V409" s="45"/>
      <c r="Y409" s="45"/>
      <c r="Z409" s="132"/>
      <c r="AA409" s="45"/>
      <c r="AB409" s="45"/>
      <c r="AC409" s="46"/>
      <c r="AD409" s="46"/>
      <c r="AE409" s="45"/>
      <c r="AF409" s="45"/>
      <c r="AH409" s="51"/>
      <c r="AI409" s="45"/>
      <c r="AJ409" s="45"/>
      <c r="AL409" s="45"/>
      <c r="AM409" s="46"/>
      <c r="AN409" s="46"/>
    </row>
    <row r="410" spans="3:40">
      <c r="F410" s="50"/>
      <c r="H410" s="50"/>
      <c r="I410" s="50"/>
      <c r="J410" s="132"/>
      <c r="K410" s="326"/>
      <c r="L410" s="50"/>
      <c r="M410" s="50"/>
      <c r="N410" s="50"/>
      <c r="O410" s="50"/>
      <c r="P410" s="50"/>
      <c r="Q410" s="50"/>
      <c r="R410" s="50"/>
      <c r="V410" s="50"/>
      <c r="Y410" s="50"/>
      <c r="Z410" s="132"/>
      <c r="AA410" s="50"/>
      <c r="AB410" s="50"/>
      <c r="AC410" s="50"/>
      <c r="AD410" s="50"/>
      <c r="AE410" s="50"/>
      <c r="AF410" s="50"/>
      <c r="AI410" s="50"/>
      <c r="AJ410" s="50"/>
      <c r="AK410" s="111"/>
      <c r="AL410" s="50"/>
    </row>
    <row r="411" spans="3:40">
      <c r="C411" s="42"/>
      <c r="F411" s="45"/>
      <c r="H411" s="45"/>
      <c r="I411" s="45"/>
      <c r="J411" s="56"/>
      <c r="L411" s="45"/>
      <c r="M411" s="45"/>
      <c r="N411" s="51"/>
      <c r="O411" s="51"/>
      <c r="P411" s="45"/>
      <c r="Q411" s="45"/>
      <c r="R411" s="45"/>
      <c r="T411" s="42"/>
      <c r="V411" s="45"/>
      <c r="Y411" s="45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>
      <c r="F412" s="50"/>
      <c r="H412" s="50"/>
      <c r="I412" s="50"/>
      <c r="J412" s="132"/>
      <c r="K412" s="326"/>
      <c r="L412" s="50"/>
      <c r="M412" s="50"/>
      <c r="N412" s="50"/>
      <c r="O412" s="50"/>
      <c r="P412" s="50"/>
      <c r="Q412" s="50"/>
      <c r="R412" s="50"/>
      <c r="V412" s="50"/>
      <c r="Y412" s="50"/>
      <c r="Z412" s="326"/>
      <c r="AA412" s="50"/>
      <c r="AB412" s="50"/>
      <c r="AC412" s="50"/>
      <c r="AD412" s="50"/>
      <c r="AE412" s="50"/>
      <c r="AF412" s="50"/>
      <c r="AI412" s="50"/>
      <c r="AJ412" s="50"/>
      <c r="AK412" s="111"/>
      <c r="AL412" s="50"/>
    </row>
    <row r="413" spans="3:40">
      <c r="C413" s="42"/>
      <c r="J413" s="56"/>
      <c r="T413" s="42"/>
    </row>
    <row r="414" spans="3:40">
      <c r="C414" s="42"/>
      <c r="F414" s="164"/>
      <c r="H414" s="164"/>
      <c r="I414" s="164"/>
      <c r="J414" s="132"/>
      <c r="K414" s="316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316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>
      <c r="C415" s="42"/>
      <c r="F415" s="164"/>
      <c r="H415" s="164"/>
      <c r="I415" s="164"/>
      <c r="J415" s="132"/>
      <c r="K415" s="316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316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3:40">
      <c r="F416" s="50"/>
      <c r="H416" s="45"/>
      <c r="I416" s="45"/>
      <c r="J416" s="132"/>
      <c r="K416" s="326"/>
      <c r="L416" s="50"/>
      <c r="M416" s="50"/>
      <c r="N416" s="50"/>
      <c r="O416" s="50"/>
      <c r="P416" s="50"/>
      <c r="Q416" s="50"/>
      <c r="R416" s="50"/>
      <c r="V416" s="50"/>
      <c r="Y416" s="45"/>
      <c r="Z416" s="326"/>
      <c r="AA416" s="50"/>
      <c r="AB416" s="50"/>
      <c r="AC416" s="50"/>
      <c r="AD416" s="50"/>
      <c r="AE416" s="50"/>
      <c r="AF416" s="50"/>
      <c r="AI416" s="50"/>
      <c r="AJ416" s="50"/>
      <c r="AK416" s="111"/>
      <c r="AL416" s="50"/>
    </row>
    <row r="417" spans="1:40">
      <c r="F417" s="45"/>
      <c r="H417" s="45"/>
      <c r="I417" s="45"/>
      <c r="J417" s="132"/>
      <c r="K417" s="326"/>
      <c r="L417" s="45"/>
      <c r="M417" s="45"/>
      <c r="N417" s="45"/>
      <c r="O417" s="45"/>
      <c r="P417" s="45"/>
      <c r="Q417" s="45"/>
      <c r="R417" s="45"/>
      <c r="V417" s="45"/>
      <c r="Y417" s="45"/>
      <c r="Z417" s="326"/>
      <c r="AA417" s="45"/>
      <c r="AB417" s="45"/>
      <c r="AC417" s="45"/>
      <c r="AD417" s="45"/>
      <c r="AE417" s="45"/>
      <c r="AF417" s="45"/>
      <c r="AI417" s="45"/>
      <c r="AJ417" s="45"/>
      <c r="AL417" s="45"/>
    </row>
    <row r="418" spans="1:40">
      <c r="C418" s="42"/>
      <c r="F418" s="45"/>
      <c r="H418" s="45"/>
      <c r="I418" s="45"/>
      <c r="J418" s="56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AA418" s="45"/>
      <c r="AB418" s="45"/>
      <c r="AC418" s="46"/>
      <c r="AD418" s="46"/>
      <c r="AE418" s="45"/>
      <c r="AF418" s="45"/>
      <c r="AH418" s="51"/>
      <c r="AI418" s="164"/>
      <c r="AJ418" s="164"/>
      <c r="AL418" s="45"/>
      <c r="AM418" s="46"/>
      <c r="AN418" s="46"/>
    </row>
    <row r="419" spans="1:40">
      <c r="H419" s="50"/>
      <c r="I419" s="50"/>
      <c r="J419" s="132"/>
      <c r="K419" s="326"/>
      <c r="L419" s="50"/>
      <c r="M419" s="50"/>
      <c r="N419" s="50"/>
      <c r="O419" s="50"/>
      <c r="P419" s="50"/>
      <c r="Q419" s="50"/>
      <c r="R419" s="50"/>
      <c r="V419" s="50"/>
      <c r="Y419" s="50"/>
      <c r="Z419" s="326"/>
      <c r="AA419" s="50"/>
      <c r="AB419" s="50"/>
      <c r="AC419" s="50"/>
      <c r="AD419" s="50"/>
      <c r="AE419" s="50"/>
      <c r="AF419" s="50"/>
      <c r="AI419" s="50"/>
      <c r="AJ419" s="50"/>
      <c r="AK419" s="111"/>
      <c r="AL419" s="50"/>
    </row>
    <row r="420" spans="1:40">
      <c r="F420" s="50"/>
      <c r="J420" s="56"/>
    </row>
    <row r="421" spans="1:40">
      <c r="A421" s="42"/>
      <c r="J421" s="56"/>
      <c r="T421" s="42"/>
    </row>
    <row r="422" spans="1:40">
      <c r="A422" s="42"/>
      <c r="J422" s="56"/>
      <c r="T422" s="42"/>
    </row>
    <row r="423" spans="1:40">
      <c r="A423" s="42"/>
      <c r="J423" s="56"/>
      <c r="T423" s="42"/>
    </row>
    <row r="424" spans="1:40">
      <c r="A424" s="42"/>
      <c r="J424" s="56"/>
      <c r="T424" s="42"/>
    </row>
    <row r="425" spans="1:40">
      <c r="A425" s="42"/>
      <c r="J425" s="56"/>
      <c r="T425" s="42"/>
    </row>
    <row r="426" spans="1:40">
      <c r="A426" s="42"/>
      <c r="J426" s="56"/>
      <c r="T426" s="42"/>
    </row>
    <row r="427" spans="1:40">
      <c r="A427" s="42"/>
      <c r="J427" s="56"/>
      <c r="T427" s="42"/>
    </row>
    <row r="428" spans="1:40">
      <c r="A428" s="42"/>
      <c r="J428" s="56"/>
      <c r="T428" s="42"/>
    </row>
    <row r="429" spans="1:40">
      <c r="A429" s="42"/>
      <c r="J429" s="56"/>
      <c r="T429" s="42"/>
    </row>
    <row r="430" spans="1:40">
      <c r="J430" s="56"/>
    </row>
    <row r="431" spans="1:40">
      <c r="A431" s="42"/>
      <c r="J431" s="56"/>
    </row>
    <row r="432" spans="1:40">
      <c r="J432" s="56"/>
    </row>
    <row r="433" spans="1:40">
      <c r="H433" s="42"/>
      <c r="I433" s="42"/>
      <c r="J433" s="56"/>
      <c r="Y433" s="42"/>
    </row>
    <row r="434" spans="1:40">
      <c r="J434" s="56"/>
    </row>
    <row r="435" spans="1:40">
      <c r="J435" s="56"/>
      <c r="L435" s="42"/>
      <c r="M435" s="42"/>
      <c r="AA435" s="42"/>
      <c r="AB435" s="42"/>
    </row>
    <row r="436" spans="1:40">
      <c r="J436" s="56"/>
      <c r="R436" s="42"/>
      <c r="AK436" s="110"/>
      <c r="AL436" s="42"/>
    </row>
    <row r="437" spans="1:40">
      <c r="J437" s="56"/>
      <c r="R437" s="42"/>
      <c r="AK437" s="110"/>
      <c r="AL437" s="42"/>
    </row>
    <row r="438" spans="1:40">
      <c r="A438" s="42"/>
      <c r="J438" s="56"/>
      <c r="R438" s="42"/>
      <c r="AK438" s="110"/>
      <c r="AL438" s="42"/>
    </row>
    <row r="439" spans="1:40">
      <c r="J439" s="56"/>
      <c r="L439" s="42"/>
      <c r="M439" s="42"/>
      <c r="AA439" s="42"/>
      <c r="AB439" s="42"/>
    </row>
    <row r="440" spans="1:40">
      <c r="A440" s="49"/>
      <c r="B440" s="49"/>
      <c r="C440" s="49"/>
      <c r="D440" s="49"/>
      <c r="E440" s="49"/>
      <c r="F440" s="49"/>
      <c r="G440" s="49"/>
      <c r="H440" s="49"/>
      <c r="I440" s="49"/>
      <c r="J440" s="57"/>
      <c r="K440" s="49"/>
      <c r="L440" s="49"/>
      <c r="M440" s="49"/>
      <c r="N440" s="49"/>
      <c r="O440" s="49"/>
      <c r="P440" s="49"/>
      <c r="Q440" s="49"/>
      <c r="R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107"/>
      <c r="AH440" s="49"/>
      <c r="AI440" s="49"/>
      <c r="AJ440" s="49"/>
      <c r="AK440" s="107"/>
      <c r="AL440" s="49"/>
      <c r="AM440" s="49"/>
      <c r="AN440" s="49"/>
    </row>
    <row r="441" spans="1:40">
      <c r="J441" s="56"/>
      <c r="L441" s="44"/>
      <c r="M441" s="44"/>
      <c r="N441" s="44"/>
      <c r="O441" s="44"/>
      <c r="R441" s="44"/>
      <c r="AA441" s="44"/>
      <c r="AB441" s="44"/>
      <c r="AC441" s="44"/>
      <c r="AD441" s="44"/>
      <c r="AE441" s="44"/>
      <c r="AF441" s="44"/>
      <c r="AG441" s="102"/>
      <c r="AH441" s="44"/>
      <c r="AK441" s="102"/>
      <c r="AL441" s="44"/>
      <c r="AM441" s="44"/>
      <c r="AN441" s="44"/>
    </row>
    <row r="442" spans="1:40">
      <c r="J442" s="56"/>
      <c r="L442" s="44"/>
      <c r="M442" s="44"/>
      <c r="N442" s="44"/>
      <c r="O442" s="44"/>
      <c r="R442" s="44"/>
      <c r="Z442" s="44"/>
      <c r="AA442" s="44"/>
      <c r="AB442" s="44"/>
      <c r="AC442" s="44"/>
      <c r="AD442" s="44"/>
      <c r="AE442" s="44"/>
      <c r="AF442" s="44"/>
      <c r="AG442" s="102"/>
      <c r="AH442" s="44"/>
      <c r="AK442" s="102"/>
      <c r="AL442" s="44"/>
      <c r="AM442" s="44"/>
      <c r="AN442" s="44"/>
    </row>
    <row r="443" spans="1:40">
      <c r="A443" s="44"/>
      <c r="C443" s="44"/>
      <c r="D443" s="44"/>
      <c r="E443" s="44"/>
      <c r="F443" s="44"/>
      <c r="J443" s="58"/>
      <c r="K443" s="44"/>
      <c r="L443" s="44"/>
      <c r="M443" s="44"/>
      <c r="N443" s="44"/>
      <c r="O443" s="44"/>
      <c r="P443" s="44"/>
      <c r="Q443" s="44"/>
      <c r="R443" s="44"/>
      <c r="T443" s="44"/>
      <c r="U443" s="44"/>
      <c r="V443" s="44"/>
      <c r="Z443" s="44"/>
      <c r="AA443" s="44"/>
      <c r="AB443" s="44"/>
      <c r="AC443" s="44"/>
      <c r="AD443" s="44"/>
      <c r="AE443" s="44"/>
      <c r="AF443" s="44"/>
      <c r="AG443" s="102"/>
      <c r="AH443" s="44"/>
      <c r="AI443" s="44"/>
      <c r="AJ443" s="44"/>
      <c r="AK443" s="102"/>
      <c r="AL443" s="44"/>
      <c r="AM443" s="44"/>
      <c r="AN443" s="44"/>
    </row>
    <row r="444" spans="1:40">
      <c r="A444" s="44"/>
      <c r="C444" s="44"/>
      <c r="D444" s="44"/>
      <c r="E444" s="44"/>
      <c r="F444" s="44"/>
      <c r="H444" s="44"/>
      <c r="I444" s="44"/>
      <c r="J444" s="58"/>
      <c r="K444" s="44"/>
      <c r="L444" s="44"/>
      <c r="M444" s="44"/>
      <c r="N444" s="44"/>
      <c r="O444" s="44"/>
      <c r="P444" s="44"/>
      <c r="Q444" s="44"/>
      <c r="R444" s="44"/>
      <c r="T444" s="44"/>
      <c r="U444" s="44"/>
      <c r="V444" s="44"/>
      <c r="Y444" s="44"/>
      <c r="Z444" s="44"/>
      <c r="AA444" s="44"/>
      <c r="AB444" s="44"/>
      <c r="AC444" s="44"/>
      <c r="AD444" s="44"/>
      <c r="AE444" s="44"/>
      <c r="AF444" s="44"/>
      <c r="AG444" s="102"/>
      <c r="AH444" s="44"/>
      <c r="AI444" s="44"/>
      <c r="AJ444" s="44"/>
      <c r="AK444" s="102"/>
      <c r="AL444" s="44"/>
      <c r="AM444" s="44"/>
      <c r="AN444" s="44"/>
    </row>
    <row r="445" spans="1:40">
      <c r="C445" s="44"/>
      <c r="D445" s="44"/>
      <c r="E445" s="44"/>
      <c r="F445" s="44"/>
      <c r="H445" s="44"/>
      <c r="I445" s="44"/>
      <c r="J445" s="58"/>
      <c r="K445" s="44"/>
      <c r="L445" s="44"/>
      <c r="M445" s="44"/>
      <c r="N445" s="44"/>
      <c r="O445" s="44"/>
      <c r="P445" s="44"/>
      <c r="Q445" s="44"/>
      <c r="R445" s="44"/>
      <c r="T445" s="44"/>
      <c r="U445" s="44"/>
      <c r="V445" s="44"/>
      <c r="Y445" s="44"/>
      <c r="Z445" s="44"/>
      <c r="AA445" s="44"/>
      <c r="AB445" s="44"/>
      <c r="AC445" s="44"/>
      <c r="AD445" s="44"/>
      <c r="AE445" s="44"/>
      <c r="AF445" s="44"/>
      <c r="AG445" s="102"/>
      <c r="AH445" s="44"/>
      <c r="AI445" s="44"/>
      <c r="AJ445" s="44"/>
      <c r="AK445" s="102"/>
      <c r="AL445" s="44"/>
      <c r="AM445" s="44"/>
      <c r="AN445" s="44"/>
    </row>
    <row r="446" spans="1:40">
      <c r="A446" s="49"/>
      <c r="B446" s="49"/>
      <c r="C446" s="49"/>
      <c r="D446" s="49"/>
      <c r="E446" s="49"/>
      <c r="F446" s="49"/>
      <c r="G446" s="49"/>
      <c r="H446" s="49"/>
      <c r="I446" s="49"/>
      <c r="J446" s="57"/>
      <c r="K446" s="49"/>
      <c r="L446" s="49"/>
      <c r="M446" s="49"/>
      <c r="N446" s="49"/>
      <c r="O446" s="49"/>
      <c r="P446" s="49"/>
      <c r="Q446" s="49"/>
      <c r="R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107"/>
      <c r="AH446" s="49"/>
      <c r="AI446" s="49"/>
      <c r="AJ446" s="49"/>
      <c r="AK446" s="107"/>
      <c r="AL446" s="49"/>
      <c r="AM446" s="49"/>
      <c r="AN446" s="49"/>
    </row>
    <row r="447" spans="1:40">
      <c r="H447" s="44"/>
      <c r="I447" s="44"/>
      <c r="J447" s="58"/>
      <c r="K447" s="44"/>
      <c r="L447" s="44"/>
      <c r="M447" s="44"/>
      <c r="N447" s="44"/>
      <c r="O447" s="44"/>
      <c r="P447" s="44"/>
      <c r="Q447" s="44"/>
      <c r="R447" s="44"/>
      <c r="Y447" s="44"/>
      <c r="Z447" s="44"/>
      <c r="AA447" s="44"/>
      <c r="AB447" s="44"/>
      <c r="AC447" s="44"/>
      <c r="AD447" s="44"/>
      <c r="AE447" s="44"/>
      <c r="AF447" s="44"/>
      <c r="AG447" s="102"/>
      <c r="AH447" s="44"/>
      <c r="AI447" s="44"/>
      <c r="AJ447" s="44"/>
      <c r="AK447" s="102"/>
      <c r="AL447" s="44"/>
      <c r="AM447" s="44"/>
      <c r="AN447" s="44"/>
    </row>
    <row r="448" spans="1:40">
      <c r="C448" s="42"/>
      <c r="D448" s="42"/>
      <c r="E448" s="42"/>
      <c r="J448" s="56"/>
      <c r="T448" s="42"/>
      <c r="U448" s="42"/>
    </row>
    <row r="449" spans="3:40">
      <c r="D449" s="42"/>
      <c r="E449" s="42"/>
      <c r="J449" s="56"/>
      <c r="U449" s="42"/>
    </row>
    <row r="450" spans="3:40">
      <c r="J450" s="56"/>
    </row>
    <row r="451" spans="3:40">
      <c r="C451" s="42"/>
      <c r="F451" s="45"/>
      <c r="J451" s="56"/>
      <c r="K451" s="53"/>
      <c r="L451" s="45"/>
      <c r="M451" s="45"/>
      <c r="R451" s="45"/>
      <c r="T451" s="42"/>
      <c r="V451" s="45"/>
      <c r="Z451" s="53"/>
      <c r="AA451" s="45"/>
      <c r="AB451" s="45"/>
      <c r="AH451" s="45"/>
      <c r="AL451" s="45"/>
    </row>
    <row r="452" spans="3:40">
      <c r="C452" s="42"/>
      <c r="F452" s="45"/>
      <c r="J452" s="56"/>
      <c r="R452" s="45"/>
      <c r="T452" s="42"/>
      <c r="V452" s="45"/>
      <c r="AH452" s="45"/>
      <c r="AL452" s="45"/>
    </row>
    <row r="453" spans="3:40">
      <c r="J453" s="56"/>
      <c r="AI453" s="45"/>
      <c r="AJ453" s="45"/>
      <c r="AL453" s="45"/>
      <c r="AM453" s="46"/>
      <c r="AN453" s="46"/>
    </row>
    <row r="454" spans="3:40">
      <c r="C454" s="42"/>
      <c r="F454" s="164"/>
      <c r="H454" s="164"/>
      <c r="I454" s="164"/>
      <c r="J454" s="132"/>
      <c r="K454" s="336"/>
      <c r="L454" s="45"/>
      <c r="M454" s="45"/>
      <c r="N454" s="46"/>
      <c r="O454" s="46"/>
      <c r="P454" s="45"/>
      <c r="Q454" s="45"/>
      <c r="R454" s="45"/>
      <c r="T454" s="42"/>
      <c r="V454" s="45"/>
      <c r="Y454" s="45"/>
      <c r="Z454" s="336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>
      <c r="F455" s="45"/>
      <c r="H455" s="45"/>
      <c r="I455" s="45"/>
      <c r="J455" s="56"/>
      <c r="K455" s="47"/>
      <c r="L455" s="45"/>
      <c r="M455" s="45"/>
      <c r="P455" s="45"/>
      <c r="Q455" s="45"/>
      <c r="R455" s="45"/>
      <c r="V455" s="45"/>
      <c r="Y455" s="45"/>
      <c r="Z455" s="47"/>
      <c r="AA455" s="45"/>
      <c r="AB455" s="45"/>
      <c r="AI455" s="45"/>
      <c r="AJ455" s="45"/>
      <c r="AL455" s="45"/>
      <c r="AM455" s="46"/>
      <c r="AN455" s="46"/>
    </row>
    <row r="456" spans="3:40">
      <c r="F456" s="45"/>
      <c r="J456" s="56"/>
      <c r="R456" s="45"/>
      <c r="V456" s="45"/>
      <c r="AL456" s="45"/>
      <c r="AM456" s="46"/>
      <c r="AN456" s="46"/>
    </row>
    <row r="457" spans="3:40">
      <c r="C457" s="42"/>
      <c r="F457" s="45"/>
      <c r="J457" s="56"/>
      <c r="K457" s="53"/>
      <c r="L457" s="45"/>
      <c r="M457" s="45"/>
      <c r="N457" s="46"/>
      <c r="O457" s="46"/>
      <c r="R457" s="45"/>
      <c r="T457" s="42"/>
      <c r="V457" s="45"/>
      <c r="Z457" s="53"/>
      <c r="AA457" s="45"/>
      <c r="AB457" s="45"/>
      <c r="AC457" s="46"/>
      <c r="AD457" s="46"/>
      <c r="AL457" s="45"/>
      <c r="AM457" s="46"/>
      <c r="AN457" s="46"/>
    </row>
    <row r="458" spans="3:40">
      <c r="C458" s="42"/>
      <c r="F458" s="45"/>
      <c r="H458" s="45"/>
      <c r="I458" s="45"/>
      <c r="J458" s="56"/>
      <c r="K458" s="53"/>
      <c r="L458" s="45"/>
      <c r="M458" s="45"/>
      <c r="N458" s="46"/>
      <c r="O458" s="46"/>
      <c r="P458" s="45"/>
      <c r="Q458" s="45"/>
      <c r="R458" s="45"/>
      <c r="T458" s="42"/>
      <c r="V458" s="45"/>
      <c r="Y458" s="45"/>
      <c r="Z458" s="53"/>
      <c r="AA458" s="45"/>
      <c r="AB458" s="45"/>
      <c r="AC458" s="46"/>
      <c r="AD458" s="46"/>
      <c r="AI458" s="45"/>
      <c r="AJ458" s="45"/>
      <c r="AL458" s="45"/>
      <c r="AM458" s="46"/>
      <c r="AN458" s="46"/>
    </row>
    <row r="459" spans="3:40">
      <c r="C459" s="42"/>
      <c r="J459" s="56"/>
      <c r="T459" s="42"/>
      <c r="AM459" s="46"/>
      <c r="AN459" s="46"/>
    </row>
    <row r="460" spans="3:40">
      <c r="C460" s="42"/>
      <c r="J460" s="56"/>
      <c r="T460" s="42"/>
      <c r="AM460" s="46"/>
      <c r="AN460" s="46"/>
    </row>
    <row r="461" spans="3:40">
      <c r="J461" s="56"/>
      <c r="AM461" s="46"/>
      <c r="AN461" s="46"/>
    </row>
    <row r="462" spans="3:40">
      <c r="C462" s="42"/>
      <c r="F462" s="164"/>
      <c r="H462" s="164"/>
      <c r="I462" s="164"/>
      <c r="J462" s="132"/>
      <c r="K462" s="336"/>
      <c r="L462" s="45"/>
      <c r="M462" s="45"/>
      <c r="N462" s="46"/>
      <c r="O462" s="46"/>
      <c r="P462" s="45"/>
      <c r="Q462" s="45"/>
      <c r="R462" s="45"/>
      <c r="T462" s="42"/>
      <c r="V462" s="45"/>
      <c r="Y462" s="45"/>
      <c r="Z462" s="336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3:40">
      <c r="F463" s="50"/>
      <c r="H463" s="50"/>
      <c r="I463" s="50"/>
      <c r="J463" s="132"/>
      <c r="K463" s="326"/>
      <c r="L463" s="50"/>
      <c r="M463" s="50"/>
      <c r="N463" s="50"/>
      <c r="O463" s="50"/>
      <c r="P463" s="50"/>
      <c r="Q463" s="50"/>
      <c r="R463" s="50"/>
      <c r="V463" s="50"/>
      <c r="Y463" s="50"/>
      <c r="Z463" s="326"/>
      <c r="AA463" s="50"/>
      <c r="AB463" s="50"/>
      <c r="AC463" s="50"/>
      <c r="AD463" s="50"/>
      <c r="AE463" s="50"/>
      <c r="AF463" s="50"/>
      <c r="AI463" s="50"/>
      <c r="AJ463" s="50"/>
      <c r="AK463" s="111"/>
      <c r="AL463" s="50"/>
      <c r="AM463" s="46"/>
      <c r="AN463" s="46"/>
    </row>
    <row r="464" spans="3:40">
      <c r="H464" s="45"/>
      <c r="I464" s="45"/>
      <c r="J464" s="56"/>
      <c r="Y464" s="45"/>
      <c r="AM464" s="46"/>
      <c r="AN464" s="46"/>
    </row>
    <row r="465" spans="1:40">
      <c r="C465" s="42"/>
      <c r="F465" s="45"/>
      <c r="H465" s="45"/>
      <c r="I465" s="45"/>
      <c r="J465" s="56"/>
      <c r="L465" s="45"/>
      <c r="M465" s="45"/>
      <c r="N465" s="46"/>
      <c r="O465" s="46"/>
      <c r="P465" s="164"/>
      <c r="Q465" s="164"/>
      <c r="R465" s="45"/>
      <c r="T465" s="42"/>
      <c r="V465" s="45"/>
      <c r="Y465" s="45"/>
      <c r="AA465" s="45"/>
      <c r="AB465" s="45"/>
      <c r="AC465" s="46"/>
      <c r="AD465" s="46"/>
      <c r="AE465" s="45"/>
      <c r="AF465" s="45"/>
      <c r="AH465" s="51"/>
      <c r="AI465" s="164"/>
      <c r="AJ465" s="164"/>
      <c r="AL465" s="45"/>
      <c r="AM465" s="46"/>
      <c r="AN465" s="46"/>
    </row>
    <row r="466" spans="1:40">
      <c r="H466" s="50"/>
      <c r="I466" s="50"/>
      <c r="J466" s="132"/>
      <c r="K466" s="326"/>
      <c r="L466" s="50"/>
      <c r="M466" s="50"/>
      <c r="N466" s="50"/>
      <c r="O466" s="50"/>
      <c r="P466" s="50"/>
      <c r="Q466" s="50"/>
      <c r="R466" s="50"/>
      <c r="V466" s="50"/>
      <c r="Y466" s="50"/>
      <c r="Z466" s="326"/>
      <c r="AA466" s="50"/>
      <c r="AB466" s="50"/>
      <c r="AC466" s="50"/>
      <c r="AD466" s="50"/>
      <c r="AE466" s="50"/>
      <c r="AF466" s="50"/>
      <c r="AI466" s="50"/>
      <c r="AJ466" s="50"/>
      <c r="AK466" s="111"/>
      <c r="AL466" s="50"/>
      <c r="AM466" s="46"/>
      <c r="AN466" s="46"/>
    </row>
    <row r="467" spans="1:40">
      <c r="F467" s="50"/>
      <c r="J467" s="56"/>
    </row>
    <row r="468" spans="1:40">
      <c r="F468" s="45"/>
      <c r="H468" s="45"/>
      <c r="I468" s="45"/>
      <c r="J468" s="56"/>
      <c r="K468" s="47"/>
      <c r="L468" s="45"/>
      <c r="M468" s="45"/>
      <c r="N468" s="45"/>
      <c r="O468" s="45"/>
      <c r="P468" s="45"/>
      <c r="Q468" s="45"/>
      <c r="R468" s="45"/>
      <c r="V468" s="45"/>
      <c r="Y468" s="45"/>
      <c r="Z468" s="47"/>
      <c r="AA468" s="45"/>
      <c r="AB468" s="45"/>
      <c r="AC468" s="45"/>
      <c r="AD468" s="45"/>
      <c r="AE468" s="45"/>
      <c r="AF468" s="45"/>
      <c r="AH468" s="45"/>
      <c r="AI468" s="45"/>
      <c r="AJ468" s="45"/>
      <c r="AL468" s="45"/>
    </row>
    <row r="469" spans="1:40">
      <c r="A469" s="42"/>
      <c r="J469" s="56"/>
    </row>
    <row r="470" spans="1:40">
      <c r="J470" s="56"/>
    </row>
    <row r="471" spans="1:40">
      <c r="H471" s="42"/>
      <c r="I471" s="42"/>
      <c r="J471" s="56"/>
      <c r="Y471" s="42"/>
    </row>
    <row r="472" spans="1:40">
      <c r="J472" s="56"/>
    </row>
    <row r="473" spans="1:40">
      <c r="J473" s="56"/>
      <c r="L473" s="42"/>
      <c r="M473" s="42"/>
      <c r="AA473" s="42"/>
      <c r="AB473" s="42"/>
    </row>
    <row r="474" spans="1:40">
      <c r="J474" s="56"/>
      <c r="R474" s="42"/>
      <c r="AK474" s="110"/>
      <c r="AL474" s="42"/>
    </row>
    <row r="475" spans="1:40">
      <c r="J475" s="56"/>
      <c r="R475" s="42"/>
      <c r="AK475" s="110"/>
      <c r="AL475" s="42"/>
    </row>
    <row r="476" spans="1:40">
      <c r="A476" s="42"/>
      <c r="J476" s="56"/>
      <c r="R476" s="42"/>
      <c r="AK476" s="110"/>
      <c r="AL476" s="42"/>
    </row>
    <row r="477" spans="1:40">
      <c r="J477" s="56"/>
      <c r="L477" s="42"/>
      <c r="M477" s="42"/>
      <c r="AA477" s="42"/>
      <c r="AB477" s="42"/>
    </row>
    <row r="478" spans="1:40">
      <c r="A478" s="49"/>
      <c r="B478" s="49"/>
      <c r="C478" s="49"/>
      <c r="D478" s="49"/>
      <c r="E478" s="49"/>
      <c r="F478" s="49"/>
      <c r="G478" s="49"/>
      <c r="H478" s="49"/>
      <c r="I478" s="49"/>
      <c r="J478" s="57"/>
      <c r="K478" s="49"/>
      <c r="L478" s="49"/>
      <c r="M478" s="49"/>
      <c r="N478" s="49"/>
      <c r="O478" s="49"/>
      <c r="P478" s="49"/>
      <c r="Q478" s="49"/>
      <c r="R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107"/>
      <c r="AH478" s="49"/>
      <c r="AI478" s="49"/>
      <c r="AJ478" s="49"/>
      <c r="AK478" s="107"/>
      <c r="AL478" s="49"/>
      <c r="AM478" s="49"/>
      <c r="AN478" s="49"/>
    </row>
    <row r="479" spans="1:40">
      <c r="J479" s="56"/>
      <c r="L479" s="44"/>
      <c r="M479" s="44"/>
      <c r="N479" s="44"/>
      <c r="O479" s="44"/>
      <c r="R479" s="44"/>
      <c r="AA479" s="44"/>
      <c r="AB479" s="44"/>
      <c r="AC479" s="44"/>
      <c r="AD479" s="44"/>
      <c r="AE479" s="44"/>
      <c r="AF479" s="44"/>
      <c r="AG479" s="102"/>
      <c r="AH479" s="44"/>
      <c r="AK479" s="102"/>
      <c r="AL479" s="44"/>
      <c r="AM479" s="44"/>
      <c r="AN479" s="44"/>
    </row>
    <row r="480" spans="1:40">
      <c r="J480" s="56"/>
      <c r="L480" s="44"/>
      <c r="M480" s="44"/>
      <c r="N480" s="44"/>
      <c r="O480" s="44"/>
      <c r="R480" s="44"/>
      <c r="Z480" s="44"/>
      <c r="AA480" s="44"/>
      <c r="AB480" s="44"/>
      <c r="AC480" s="44"/>
      <c r="AD480" s="44"/>
      <c r="AE480" s="44"/>
      <c r="AF480" s="44"/>
      <c r="AG480" s="102"/>
      <c r="AH480" s="44"/>
      <c r="AK480" s="102"/>
      <c r="AL480" s="44"/>
      <c r="AM480" s="44"/>
      <c r="AN480" s="44"/>
    </row>
    <row r="481" spans="1:40">
      <c r="A481" s="44"/>
      <c r="C481" s="44"/>
      <c r="D481" s="44"/>
      <c r="E481" s="44"/>
      <c r="F481" s="44"/>
      <c r="J481" s="58"/>
      <c r="K481" s="44"/>
      <c r="L481" s="44"/>
      <c r="M481" s="44"/>
      <c r="N481" s="44"/>
      <c r="O481" s="44"/>
      <c r="P481" s="44"/>
      <c r="Q481" s="44"/>
      <c r="R481" s="44"/>
      <c r="T481" s="44"/>
      <c r="U481" s="44"/>
      <c r="V481" s="44"/>
      <c r="Z481" s="44"/>
      <c r="AA481" s="44"/>
      <c r="AB481" s="44"/>
      <c r="AC481" s="44"/>
      <c r="AD481" s="44"/>
      <c r="AE481" s="44"/>
      <c r="AF481" s="44"/>
      <c r="AG481" s="102"/>
      <c r="AH481" s="44"/>
      <c r="AI481" s="44"/>
      <c r="AJ481" s="44"/>
      <c r="AK481" s="102"/>
      <c r="AL481" s="44"/>
      <c r="AM481" s="44"/>
      <c r="AN481" s="44"/>
    </row>
    <row r="482" spans="1:40">
      <c r="A482" s="44"/>
      <c r="C482" s="44"/>
      <c r="D482" s="44"/>
      <c r="E482" s="44"/>
      <c r="F482" s="44"/>
      <c r="H482" s="44"/>
      <c r="I482" s="44"/>
      <c r="J482" s="58"/>
      <c r="K482" s="44"/>
      <c r="L482" s="44"/>
      <c r="M482" s="44"/>
      <c r="N482" s="44"/>
      <c r="O482" s="44"/>
      <c r="P482" s="44"/>
      <c r="Q482" s="44"/>
      <c r="R482" s="44"/>
      <c r="T482" s="44"/>
      <c r="U482" s="44"/>
      <c r="V482" s="44"/>
      <c r="Y482" s="44"/>
      <c r="Z482" s="44"/>
      <c r="AA482" s="44"/>
      <c r="AB482" s="44"/>
      <c r="AC482" s="44"/>
      <c r="AD482" s="44"/>
      <c r="AE482" s="44"/>
      <c r="AF482" s="44"/>
      <c r="AG482" s="102"/>
      <c r="AH482" s="44"/>
      <c r="AI482" s="44"/>
      <c r="AJ482" s="44"/>
      <c r="AK482" s="102"/>
      <c r="AL482" s="44"/>
      <c r="AM482" s="44"/>
      <c r="AN482" s="44"/>
    </row>
    <row r="483" spans="1:40">
      <c r="C483" s="44"/>
      <c r="D483" s="44"/>
      <c r="E483" s="44"/>
      <c r="F483" s="44"/>
      <c r="H483" s="44"/>
      <c r="I483" s="44"/>
      <c r="J483" s="58"/>
      <c r="K483" s="44"/>
      <c r="L483" s="44"/>
      <c r="M483" s="44"/>
      <c r="N483" s="44"/>
      <c r="O483" s="44"/>
      <c r="P483" s="44"/>
      <c r="Q483" s="44"/>
      <c r="R483" s="44"/>
      <c r="T483" s="44"/>
      <c r="U483" s="44"/>
      <c r="V483" s="44"/>
      <c r="Y483" s="44"/>
      <c r="Z483" s="44"/>
      <c r="AA483" s="44"/>
      <c r="AB483" s="44"/>
      <c r="AC483" s="44"/>
      <c r="AD483" s="44"/>
      <c r="AE483" s="44"/>
      <c r="AF483" s="44"/>
      <c r="AG483" s="102"/>
      <c r="AH483" s="44"/>
      <c r="AI483" s="44"/>
      <c r="AJ483" s="44"/>
      <c r="AK483" s="102"/>
      <c r="AL483" s="44"/>
      <c r="AM483" s="44"/>
      <c r="AN483" s="44"/>
    </row>
    <row r="484" spans="1:40">
      <c r="A484" s="49"/>
      <c r="B484" s="49"/>
      <c r="C484" s="49"/>
      <c r="D484" s="49"/>
      <c r="E484" s="49"/>
      <c r="F484" s="49"/>
      <c r="G484" s="49"/>
      <c r="H484" s="49"/>
      <c r="I484" s="49"/>
      <c r="J484" s="57"/>
      <c r="K484" s="49"/>
      <c r="L484" s="49"/>
      <c r="M484" s="49"/>
      <c r="N484" s="49"/>
      <c r="O484" s="49"/>
      <c r="P484" s="49"/>
      <c r="Q484" s="49"/>
      <c r="R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107"/>
      <c r="AH484" s="49"/>
      <c r="AI484" s="49"/>
      <c r="AJ484" s="49"/>
      <c r="AK484" s="107"/>
      <c r="AL484" s="49"/>
      <c r="AM484" s="49"/>
      <c r="AN484" s="49"/>
    </row>
    <row r="485" spans="1:40">
      <c r="H485" s="44"/>
      <c r="I485" s="44"/>
      <c r="J485" s="58"/>
      <c r="K485" s="44"/>
      <c r="L485" s="44"/>
      <c r="M485" s="44"/>
      <c r="N485" s="44"/>
      <c r="O485" s="44"/>
      <c r="P485" s="44"/>
      <c r="Q485" s="44"/>
      <c r="R485" s="44"/>
      <c r="Y485" s="44"/>
      <c r="Z485" s="44"/>
      <c r="AA485" s="44"/>
      <c r="AB485" s="44"/>
      <c r="AC485" s="44"/>
      <c r="AD485" s="44"/>
      <c r="AE485" s="44"/>
      <c r="AF485" s="44"/>
      <c r="AG485" s="102"/>
      <c r="AH485" s="44"/>
      <c r="AI485" s="44"/>
      <c r="AJ485" s="44"/>
      <c r="AK485" s="102"/>
      <c r="AL485" s="44"/>
      <c r="AM485" s="44"/>
      <c r="AN485" s="44"/>
    </row>
    <row r="486" spans="1:40">
      <c r="C486" s="42"/>
      <c r="D486" s="42"/>
      <c r="E486" s="42"/>
      <c r="J486" s="56"/>
      <c r="T486" s="42"/>
      <c r="U486" s="42"/>
      <c r="V486" s="45"/>
      <c r="W486" s="45"/>
      <c r="X486" s="45"/>
      <c r="Y486" s="45"/>
      <c r="Z486" s="336"/>
    </row>
    <row r="487" spans="1:40">
      <c r="J487" s="56"/>
    </row>
    <row r="488" spans="1:40">
      <c r="C488" s="42"/>
      <c r="J488" s="56"/>
      <c r="T488" s="42"/>
      <c r="V488" s="45"/>
      <c r="W488" s="45"/>
      <c r="X488" s="45"/>
      <c r="Y488" s="45"/>
      <c r="Z488" s="336"/>
    </row>
    <row r="489" spans="1:40">
      <c r="C489" s="42"/>
      <c r="F489" s="164"/>
      <c r="H489" s="164"/>
      <c r="I489" s="164"/>
      <c r="J489" s="132"/>
      <c r="K489" s="132"/>
      <c r="L489" s="45"/>
      <c r="M489" s="45"/>
      <c r="N489" s="46"/>
      <c r="O489" s="46"/>
      <c r="P489" s="45"/>
      <c r="Q489" s="45"/>
      <c r="R489" s="45"/>
      <c r="T489" s="42"/>
      <c r="V489" s="45"/>
      <c r="W489" s="45"/>
      <c r="X489" s="45"/>
      <c r="Y489" s="45"/>
      <c r="Z489" s="132"/>
      <c r="AA489" s="45"/>
      <c r="AB489" s="45"/>
      <c r="AC489" s="46"/>
      <c r="AD489" s="46"/>
      <c r="AE489" s="45"/>
      <c r="AF489" s="45"/>
      <c r="AH489" s="51"/>
      <c r="AI489" s="45"/>
      <c r="AJ489" s="45"/>
      <c r="AL489" s="45"/>
      <c r="AM489" s="46"/>
      <c r="AN489" s="46"/>
    </row>
    <row r="490" spans="1:40">
      <c r="C490" s="42"/>
      <c r="F490" s="164"/>
      <c r="H490" s="164"/>
      <c r="I490" s="164"/>
      <c r="J490" s="132"/>
      <c r="K490" s="132"/>
      <c r="L490" s="45"/>
      <c r="M490" s="45"/>
      <c r="N490" s="46"/>
      <c r="O490" s="46"/>
      <c r="P490" s="45"/>
      <c r="Q490" s="45"/>
      <c r="R490" s="45"/>
      <c r="T490" s="42"/>
      <c r="V490" s="45"/>
      <c r="W490" s="45"/>
      <c r="X490" s="45"/>
      <c r="Y490" s="45"/>
      <c r="Z490" s="132"/>
      <c r="AA490" s="45"/>
      <c r="AB490" s="45"/>
      <c r="AC490" s="46"/>
      <c r="AD490" s="46"/>
      <c r="AE490" s="45"/>
      <c r="AF490" s="45"/>
      <c r="AH490" s="51"/>
      <c r="AI490" s="45"/>
      <c r="AJ490" s="45"/>
      <c r="AL490" s="45"/>
      <c r="AM490" s="46"/>
      <c r="AN490" s="46"/>
    </row>
    <row r="491" spans="1:40">
      <c r="C491" s="42"/>
      <c r="F491" s="164"/>
      <c r="H491" s="164"/>
      <c r="I491" s="164"/>
      <c r="J491" s="132"/>
      <c r="K491" s="132"/>
      <c r="L491" s="45"/>
      <c r="M491" s="45"/>
      <c r="N491" s="46"/>
      <c r="O491" s="46"/>
      <c r="P491" s="45"/>
      <c r="Q491" s="45"/>
      <c r="R491" s="45"/>
      <c r="T491" s="42"/>
      <c r="V491" s="45"/>
      <c r="W491" s="45"/>
      <c r="X491" s="45"/>
      <c r="Y491" s="45"/>
      <c r="Z491" s="132"/>
      <c r="AA491" s="45"/>
      <c r="AB491" s="45"/>
      <c r="AC491" s="46"/>
      <c r="AD491" s="46"/>
      <c r="AE491" s="45"/>
      <c r="AF491" s="45"/>
      <c r="AH491" s="51"/>
      <c r="AI491" s="45"/>
      <c r="AJ491" s="45"/>
      <c r="AL491" s="45"/>
      <c r="AM491" s="46"/>
      <c r="AN491" s="46"/>
    </row>
    <row r="492" spans="1:40">
      <c r="C492" s="42"/>
      <c r="F492" s="164"/>
      <c r="H492" s="164"/>
      <c r="I492" s="164"/>
      <c r="J492" s="132"/>
      <c r="K492" s="132"/>
      <c r="L492" s="45"/>
      <c r="M492" s="45"/>
      <c r="N492" s="46"/>
      <c r="O492" s="46"/>
      <c r="P492" s="45"/>
      <c r="Q492" s="45"/>
      <c r="R492" s="45"/>
      <c r="T492" s="42"/>
      <c r="V492" s="45"/>
      <c r="W492" s="45"/>
      <c r="X492" s="45"/>
      <c r="Y492" s="45"/>
      <c r="Z492" s="132"/>
      <c r="AA492" s="45"/>
      <c r="AB492" s="45"/>
      <c r="AC492" s="46"/>
      <c r="AD492" s="46"/>
      <c r="AE492" s="45"/>
      <c r="AF492" s="45"/>
      <c r="AH492" s="51"/>
      <c r="AI492" s="45"/>
      <c r="AJ492" s="45"/>
      <c r="AL492" s="45"/>
      <c r="AM492" s="46"/>
      <c r="AN492" s="46"/>
    </row>
    <row r="493" spans="1:40">
      <c r="J493" s="56"/>
      <c r="K493" s="56"/>
      <c r="V493" s="45"/>
      <c r="W493" s="45"/>
      <c r="X493" s="45"/>
      <c r="Y493" s="45"/>
      <c r="Z493" s="132"/>
    </row>
    <row r="494" spans="1:40">
      <c r="C494" s="42"/>
      <c r="F494" s="164"/>
      <c r="H494" s="164"/>
      <c r="I494" s="164"/>
      <c r="J494" s="132"/>
      <c r="K494" s="132"/>
      <c r="L494" s="45"/>
      <c r="M494" s="45"/>
      <c r="N494" s="46"/>
      <c r="O494" s="46"/>
      <c r="P494" s="45"/>
      <c r="Q494" s="45"/>
      <c r="R494" s="45"/>
      <c r="T494" s="42"/>
      <c r="V494" s="45"/>
      <c r="W494" s="45"/>
      <c r="X494" s="45"/>
      <c r="Y494" s="45"/>
      <c r="Z494" s="132"/>
      <c r="AA494" s="45"/>
      <c r="AB494" s="45"/>
      <c r="AC494" s="46"/>
      <c r="AD494" s="46"/>
      <c r="AE494" s="45"/>
      <c r="AF494" s="45"/>
      <c r="AH494" s="51"/>
      <c r="AI494" s="45"/>
      <c r="AJ494" s="45"/>
      <c r="AL494" s="45"/>
      <c r="AM494" s="51"/>
      <c r="AN494" s="51"/>
    </row>
    <row r="495" spans="1:40">
      <c r="C495" s="42"/>
      <c r="J495" s="56"/>
      <c r="K495" s="56"/>
      <c r="T495" s="42"/>
      <c r="V495" s="45"/>
      <c r="W495" s="45"/>
      <c r="X495" s="45"/>
      <c r="Y495" s="45"/>
      <c r="Z495" s="132"/>
    </row>
    <row r="496" spans="1:40">
      <c r="C496" s="42"/>
      <c r="F496" s="164"/>
      <c r="H496" s="164"/>
      <c r="I496" s="164"/>
      <c r="J496" s="132"/>
      <c r="K496" s="132"/>
      <c r="L496" s="45"/>
      <c r="M496" s="45"/>
      <c r="N496" s="46"/>
      <c r="O496" s="46"/>
      <c r="P496" s="45"/>
      <c r="Q496" s="45"/>
      <c r="R496" s="45"/>
      <c r="T496" s="42"/>
      <c r="V496" s="45"/>
      <c r="W496" s="45"/>
      <c r="X496" s="45"/>
      <c r="Y496" s="45"/>
      <c r="Z496" s="132"/>
      <c r="AA496" s="45"/>
      <c r="AB496" s="45"/>
      <c r="AC496" s="46"/>
      <c r="AD496" s="46"/>
      <c r="AE496" s="45"/>
      <c r="AF496" s="45"/>
      <c r="AH496" s="51"/>
      <c r="AI496" s="45"/>
      <c r="AJ496" s="45"/>
      <c r="AL496" s="45"/>
      <c r="AM496" s="51"/>
      <c r="AN496" s="51"/>
    </row>
    <row r="497" spans="1:40">
      <c r="J497" s="56"/>
      <c r="K497" s="56"/>
      <c r="Z497" s="56"/>
    </row>
    <row r="498" spans="1:40">
      <c r="C498" s="42"/>
      <c r="J498" s="56"/>
      <c r="K498" s="56"/>
      <c r="T498" s="42"/>
      <c r="V498" s="45"/>
      <c r="W498" s="45"/>
      <c r="X498" s="45"/>
      <c r="Y498" s="45"/>
      <c r="Z498" s="132"/>
    </row>
    <row r="499" spans="1:40">
      <c r="C499" s="42"/>
      <c r="F499" s="164"/>
      <c r="H499" s="164"/>
      <c r="I499" s="164"/>
      <c r="J499" s="132"/>
      <c r="K499" s="132"/>
      <c r="L499" s="45"/>
      <c r="M499" s="45"/>
      <c r="N499" s="46"/>
      <c r="O499" s="46"/>
      <c r="P499" s="45"/>
      <c r="Q499" s="45"/>
      <c r="R499" s="45"/>
      <c r="T499" s="42"/>
      <c r="V499" s="45"/>
      <c r="W499" s="45"/>
      <c r="X499" s="45"/>
      <c r="Y499" s="45"/>
      <c r="Z499" s="132"/>
      <c r="AA499" s="45"/>
      <c r="AB499" s="45"/>
      <c r="AC499" s="46"/>
      <c r="AD499" s="46"/>
      <c r="AE499" s="45"/>
      <c r="AF499" s="45"/>
      <c r="AH499" s="51"/>
      <c r="AI499" s="45"/>
      <c r="AJ499" s="45"/>
      <c r="AL499" s="45"/>
      <c r="AM499" s="51"/>
      <c r="AN499" s="51"/>
    </row>
    <row r="500" spans="1:40">
      <c r="C500" s="42"/>
      <c r="F500" s="164"/>
      <c r="H500" s="164"/>
      <c r="I500" s="164"/>
      <c r="J500" s="132"/>
      <c r="K500" s="132"/>
      <c r="L500" s="45"/>
      <c r="M500" s="45"/>
      <c r="N500" s="46"/>
      <c r="O500" s="46"/>
      <c r="P500" s="45"/>
      <c r="Q500" s="45"/>
      <c r="R500" s="45"/>
      <c r="T500" s="42"/>
      <c r="V500" s="45"/>
      <c r="W500" s="45"/>
      <c r="X500" s="45"/>
      <c r="Y500" s="45"/>
      <c r="Z500" s="132"/>
      <c r="AA500" s="45"/>
      <c r="AB500" s="45"/>
      <c r="AC500" s="46"/>
      <c r="AD500" s="46"/>
      <c r="AE500" s="45"/>
      <c r="AF500" s="45"/>
      <c r="AH500" s="51"/>
      <c r="AI500" s="45"/>
      <c r="AJ500" s="45"/>
      <c r="AL500" s="45"/>
      <c r="AM500" s="51"/>
      <c r="AN500" s="51"/>
    </row>
    <row r="501" spans="1:40">
      <c r="F501" s="50"/>
      <c r="H501" s="50"/>
      <c r="I501" s="50"/>
      <c r="J501" s="132"/>
      <c r="K501" s="132"/>
      <c r="L501" s="50"/>
      <c r="M501" s="50"/>
      <c r="N501" s="50"/>
      <c r="O501" s="50"/>
      <c r="P501" s="50"/>
      <c r="Q501" s="50"/>
      <c r="R501" s="50"/>
      <c r="V501" s="50"/>
      <c r="Y501" s="50"/>
      <c r="Z501" s="326"/>
      <c r="AA501" s="50"/>
      <c r="AB501" s="50"/>
      <c r="AC501" s="50"/>
      <c r="AD501" s="50"/>
      <c r="AE501" s="50"/>
      <c r="AF501" s="50"/>
      <c r="AI501" s="50"/>
      <c r="AJ501" s="50"/>
      <c r="AK501" s="111"/>
      <c r="AL501" s="50"/>
    </row>
    <row r="502" spans="1:40">
      <c r="C502" s="42"/>
      <c r="F502" s="45"/>
      <c r="H502" s="45"/>
      <c r="I502" s="45"/>
      <c r="J502" s="56"/>
      <c r="L502" s="45"/>
      <c r="M502" s="45"/>
      <c r="N502" s="46"/>
      <c r="O502" s="46"/>
      <c r="P502" s="164"/>
      <c r="Q502" s="164"/>
      <c r="R502" s="45"/>
      <c r="T502" s="42"/>
      <c r="V502" s="45"/>
      <c r="W502" s="45"/>
      <c r="X502" s="45"/>
      <c r="Y502" s="45"/>
      <c r="Z502" s="336"/>
      <c r="AA502" s="45"/>
      <c r="AB502" s="45"/>
      <c r="AC502" s="46"/>
      <c r="AD502" s="46"/>
      <c r="AE502" s="45"/>
      <c r="AF502" s="45"/>
      <c r="AH502" s="51"/>
      <c r="AI502" s="164"/>
      <c r="AJ502" s="164"/>
      <c r="AL502" s="45"/>
      <c r="AM502" s="51"/>
      <c r="AN502" s="51"/>
    </row>
    <row r="503" spans="1:40">
      <c r="H503" s="50"/>
      <c r="I503" s="50"/>
      <c r="J503" s="132"/>
      <c r="K503" s="326"/>
      <c r="L503" s="50"/>
      <c r="M503" s="50"/>
      <c r="N503" s="50"/>
      <c r="O503" s="50"/>
      <c r="P503" s="50"/>
      <c r="Q503" s="50"/>
      <c r="R503" s="50"/>
      <c r="V503" s="50"/>
      <c r="Y503" s="50"/>
      <c r="Z503" s="326"/>
      <c r="AA503" s="50"/>
      <c r="AB503" s="50"/>
      <c r="AC503" s="50"/>
      <c r="AD503" s="50"/>
      <c r="AE503" s="50"/>
      <c r="AF503" s="50"/>
      <c r="AI503" s="50"/>
      <c r="AJ503" s="50"/>
      <c r="AK503" s="111"/>
      <c r="AL503" s="50"/>
    </row>
    <row r="504" spans="1:40">
      <c r="F504" s="50"/>
      <c r="J504" s="56"/>
    </row>
    <row r="505" spans="1:40">
      <c r="J505" s="56"/>
    </row>
    <row r="506" spans="1:40">
      <c r="A506" s="42"/>
      <c r="J506" s="56"/>
    </row>
    <row r="507" spans="1:40">
      <c r="J507" s="56"/>
    </row>
    <row r="508" spans="1:40">
      <c r="H508" s="42"/>
      <c r="I508" s="42"/>
      <c r="J508" s="56"/>
      <c r="Y508" s="42"/>
    </row>
    <row r="509" spans="1:40">
      <c r="J509" s="56"/>
    </row>
    <row r="510" spans="1:40">
      <c r="J510" s="56"/>
      <c r="L510" s="42"/>
      <c r="M510" s="42"/>
      <c r="AA510" s="42"/>
      <c r="AB510" s="42"/>
    </row>
    <row r="511" spans="1:40">
      <c r="J511" s="56"/>
      <c r="R511" s="42"/>
      <c r="AK511" s="110"/>
      <c r="AL511" s="42"/>
    </row>
    <row r="512" spans="1:40">
      <c r="J512" s="56"/>
      <c r="R512" s="42"/>
      <c r="AK512" s="110"/>
      <c r="AL512" s="42"/>
    </row>
    <row r="513" spans="1:40">
      <c r="A513" s="42"/>
      <c r="J513" s="56"/>
      <c r="R513" s="42"/>
      <c r="AK513" s="110"/>
      <c r="AL513" s="42"/>
    </row>
    <row r="514" spans="1:40">
      <c r="J514" s="56"/>
      <c r="L514" s="42"/>
      <c r="M514" s="42"/>
      <c r="AA514" s="42"/>
      <c r="AB514" s="42"/>
    </row>
    <row r="515" spans="1:40">
      <c r="A515" s="49"/>
      <c r="B515" s="49"/>
      <c r="C515" s="49"/>
      <c r="D515" s="49"/>
      <c r="E515" s="49"/>
      <c r="F515" s="49"/>
      <c r="G515" s="49"/>
      <c r="H515" s="49"/>
      <c r="I515" s="49"/>
      <c r="J515" s="57"/>
      <c r="K515" s="49"/>
      <c r="L515" s="49"/>
      <c r="M515" s="49"/>
      <c r="N515" s="49"/>
      <c r="O515" s="49"/>
      <c r="P515" s="49"/>
      <c r="Q515" s="49"/>
      <c r="R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107"/>
      <c r="AH515" s="49"/>
      <c r="AI515" s="49"/>
      <c r="AJ515" s="49"/>
      <c r="AK515" s="107"/>
      <c r="AL515" s="49"/>
      <c r="AM515" s="49"/>
      <c r="AN515" s="49"/>
    </row>
    <row r="516" spans="1:40">
      <c r="J516" s="56"/>
      <c r="L516" s="44"/>
      <c r="M516" s="44"/>
      <c r="N516" s="44"/>
      <c r="O516" s="44"/>
      <c r="R516" s="44"/>
      <c r="AA516" s="44"/>
      <c r="AB516" s="44"/>
      <c r="AC516" s="44"/>
      <c r="AD516" s="44"/>
      <c r="AE516" s="44"/>
      <c r="AF516" s="44"/>
      <c r="AG516" s="102"/>
      <c r="AH516" s="44"/>
      <c r="AK516" s="102"/>
      <c r="AL516" s="44"/>
      <c r="AM516" s="44"/>
      <c r="AN516" s="44"/>
    </row>
    <row r="517" spans="1:40">
      <c r="J517" s="56"/>
      <c r="L517" s="44"/>
      <c r="M517" s="44"/>
      <c r="N517" s="44"/>
      <c r="O517" s="44"/>
      <c r="R517" s="44"/>
      <c r="Z517" s="44"/>
      <c r="AA517" s="44"/>
      <c r="AB517" s="44"/>
      <c r="AC517" s="44"/>
      <c r="AD517" s="44"/>
      <c r="AE517" s="44"/>
      <c r="AF517" s="44"/>
      <c r="AG517" s="102"/>
      <c r="AH517" s="44"/>
      <c r="AK517" s="102"/>
      <c r="AL517" s="44"/>
      <c r="AM517" s="44"/>
      <c r="AN517" s="44"/>
    </row>
    <row r="518" spans="1:40">
      <c r="A518" s="44"/>
      <c r="C518" s="44"/>
      <c r="D518" s="44"/>
      <c r="E518" s="44"/>
      <c r="F518" s="44"/>
      <c r="J518" s="58"/>
      <c r="K518" s="44"/>
      <c r="L518" s="44"/>
      <c r="M518" s="44"/>
      <c r="N518" s="44"/>
      <c r="O518" s="44"/>
      <c r="P518" s="44"/>
      <c r="Q518" s="44"/>
      <c r="R518" s="44"/>
      <c r="T518" s="44"/>
      <c r="U518" s="44"/>
      <c r="V518" s="44"/>
      <c r="Z518" s="44"/>
      <c r="AA518" s="44"/>
      <c r="AB518" s="44"/>
      <c r="AC518" s="44"/>
      <c r="AD518" s="44"/>
      <c r="AE518" s="44"/>
      <c r="AF518" s="44"/>
      <c r="AG518" s="102"/>
      <c r="AH518" s="44"/>
      <c r="AI518" s="44"/>
      <c r="AJ518" s="44"/>
      <c r="AK518" s="102"/>
      <c r="AL518" s="44"/>
      <c r="AM518" s="44"/>
      <c r="AN518" s="44"/>
    </row>
    <row r="519" spans="1:40">
      <c r="A519" s="44"/>
      <c r="C519" s="44"/>
      <c r="D519" s="44"/>
      <c r="E519" s="44"/>
      <c r="F519" s="44"/>
      <c r="H519" s="44"/>
      <c r="I519" s="44"/>
      <c r="J519" s="58"/>
      <c r="K519" s="44"/>
      <c r="L519" s="44"/>
      <c r="M519" s="44"/>
      <c r="N519" s="44"/>
      <c r="O519" s="44"/>
      <c r="P519" s="44"/>
      <c r="Q519" s="44"/>
      <c r="R519" s="44"/>
      <c r="T519" s="44"/>
      <c r="U519" s="44"/>
      <c r="V519" s="44"/>
      <c r="Y519" s="44"/>
      <c r="Z519" s="44"/>
      <c r="AA519" s="44"/>
      <c r="AB519" s="44"/>
      <c r="AC519" s="44"/>
      <c r="AD519" s="44"/>
      <c r="AE519" s="44"/>
      <c r="AF519" s="44"/>
      <c r="AG519" s="102"/>
      <c r="AH519" s="44"/>
      <c r="AI519" s="44"/>
      <c r="AJ519" s="44"/>
      <c r="AK519" s="102"/>
      <c r="AL519" s="44"/>
      <c r="AM519" s="44"/>
      <c r="AN519" s="44"/>
    </row>
    <row r="520" spans="1:40">
      <c r="C520" s="44"/>
      <c r="D520" s="44"/>
      <c r="E520" s="44"/>
      <c r="F520" s="44"/>
      <c r="H520" s="44"/>
      <c r="I520" s="44"/>
      <c r="J520" s="58"/>
      <c r="K520" s="44"/>
      <c r="L520" s="44"/>
      <c r="M520" s="44"/>
      <c r="N520" s="44"/>
      <c r="O520" s="44"/>
      <c r="P520" s="44"/>
      <c r="Q520" s="44"/>
      <c r="R520" s="44"/>
      <c r="T520" s="44"/>
      <c r="U520" s="44"/>
      <c r="V520" s="44"/>
      <c r="Y520" s="44"/>
      <c r="Z520" s="44"/>
      <c r="AA520" s="44"/>
      <c r="AB520" s="44"/>
      <c r="AC520" s="44"/>
      <c r="AD520" s="44"/>
      <c r="AE520" s="44"/>
      <c r="AF520" s="44"/>
      <c r="AG520" s="102"/>
      <c r="AH520" s="44"/>
      <c r="AI520" s="44"/>
      <c r="AJ520" s="44"/>
      <c r="AK520" s="102"/>
      <c r="AL520" s="44"/>
      <c r="AM520" s="44"/>
      <c r="AN520" s="44"/>
    </row>
    <row r="521" spans="1:40">
      <c r="A521" s="49"/>
      <c r="B521" s="49"/>
      <c r="C521" s="49"/>
      <c r="D521" s="49"/>
      <c r="E521" s="49"/>
      <c r="F521" s="49"/>
      <c r="G521" s="49"/>
      <c r="H521" s="49"/>
      <c r="I521" s="49"/>
      <c r="J521" s="57"/>
      <c r="K521" s="49"/>
      <c r="L521" s="49"/>
      <c r="M521" s="49"/>
      <c r="N521" s="49"/>
      <c r="O521" s="49"/>
      <c r="P521" s="49"/>
      <c r="Q521" s="49"/>
      <c r="R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107"/>
      <c r="AH521" s="49"/>
      <c r="AI521" s="49"/>
      <c r="AJ521" s="49"/>
      <c r="AK521" s="107"/>
      <c r="AL521" s="49"/>
      <c r="AM521" s="49"/>
      <c r="AN521" s="49"/>
    </row>
    <row r="522" spans="1:40">
      <c r="H522" s="44"/>
      <c r="I522" s="44"/>
      <c r="J522" s="58"/>
      <c r="K522" s="44"/>
      <c r="L522" s="44"/>
      <c r="M522" s="44"/>
      <c r="N522" s="44"/>
      <c r="O522" s="44"/>
      <c r="P522" s="44"/>
      <c r="Q522" s="44"/>
      <c r="R522" s="44"/>
      <c r="Y522" s="44"/>
      <c r="Z522" s="44"/>
      <c r="AA522" s="44"/>
      <c r="AB522" s="44"/>
      <c r="AC522" s="44"/>
      <c r="AD522" s="44"/>
      <c r="AE522" s="44"/>
      <c r="AF522" s="44"/>
      <c r="AG522" s="102"/>
      <c r="AH522" s="44"/>
      <c r="AI522" s="44"/>
      <c r="AJ522" s="44"/>
      <c r="AK522" s="102"/>
      <c r="AL522" s="44"/>
      <c r="AM522" s="44"/>
      <c r="AN522" s="44"/>
    </row>
    <row r="523" spans="1:40">
      <c r="C523" s="42"/>
      <c r="D523" s="42"/>
      <c r="E523" s="42"/>
      <c r="J523" s="56"/>
      <c r="T523" s="42"/>
      <c r="U523" s="42"/>
    </row>
    <row r="524" spans="1:40">
      <c r="J524" s="56"/>
    </row>
    <row r="525" spans="1:40">
      <c r="C525" s="42"/>
      <c r="J525" s="56"/>
      <c r="T525" s="42"/>
    </row>
    <row r="526" spans="1:40">
      <c r="C526" s="42"/>
      <c r="J526" s="56"/>
      <c r="T526" s="42"/>
    </row>
    <row r="527" spans="1:40">
      <c r="C527" s="42"/>
      <c r="F527" s="164"/>
      <c r="H527" s="164"/>
      <c r="I527" s="164"/>
      <c r="J527" s="132"/>
      <c r="K527" s="132"/>
      <c r="L527" s="45"/>
      <c r="M527" s="45"/>
      <c r="N527" s="46"/>
      <c r="O527" s="46"/>
      <c r="P527" s="45"/>
      <c r="Q527" s="45"/>
      <c r="R527" s="45"/>
      <c r="T527" s="42"/>
      <c r="V527" s="45"/>
      <c r="W527" s="45"/>
      <c r="X527" s="45"/>
      <c r="Y527" s="45"/>
      <c r="Z527" s="132"/>
      <c r="AA527" s="45"/>
      <c r="AB527" s="45"/>
      <c r="AC527" s="46"/>
      <c r="AD527" s="46"/>
      <c r="AE527" s="45"/>
      <c r="AF527" s="45"/>
      <c r="AH527" s="51"/>
      <c r="AI527" s="45"/>
      <c r="AJ527" s="45"/>
      <c r="AL527" s="45"/>
      <c r="AM527" s="51"/>
      <c r="AN527" s="51"/>
    </row>
    <row r="528" spans="1:40">
      <c r="C528" s="42"/>
      <c r="F528" s="45"/>
      <c r="H528" s="45"/>
      <c r="I528" s="45"/>
      <c r="J528" s="56"/>
      <c r="K528" s="56"/>
      <c r="L528" s="45"/>
      <c r="M528" s="45"/>
      <c r="N528" s="46"/>
      <c r="O528" s="46"/>
      <c r="P528" s="45"/>
      <c r="Q528" s="45"/>
      <c r="R528" s="45"/>
      <c r="T528" s="42"/>
      <c r="V528" s="45"/>
      <c r="W528" s="45"/>
      <c r="X528" s="45"/>
      <c r="Y528" s="45"/>
      <c r="Z528" s="56"/>
      <c r="AA528" s="45"/>
      <c r="AB528" s="45"/>
      <c r="AC528" s="46"/>
      <c r="AD528" s="46"/>
      <c r="AE528" s="45"/>
      <c r="AF528" s="45"/>
      <c r="AH528" s="51"/>
      <c r="AI528" s="45"/>
      <c r="AJ528" s="45"/>
      <c r="AL528" s="45"/>
      <c r="AM528" s="51"/>
      <c r="AN528" s="51"/>
    </row>
    <row r="529" spans="3:40">
      <c r="C529" s="42"/>
      <c r="F529" s="45"/>
      <c r="H529" s="45"/>
      <c r="I529" s="45"/>
      <c r="J529" s="56"/>
      <c r="K529" s="56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56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51"/>
      <c r="AN529" s="51"/>
    </row>
    <row r="530" spans="3:40">
      <c r="C530" s="42"/>
      <c r="F530" s="45"/>
      <c r="H530" s="45"/>
      <c r="I530" s="45"/>
      <c r="J530" s="56"/>
      <c r="K530" s="56"/>
      <c r="T530" s="42"/>
      <c r="V530" s="45"/>
      <c r="Z530" s="56"/>
    </row>
    <row r="531" spans="3:40">
      <c r="C531" s="42"/>
      <c r="F531" s="164"/>
      <c r="H531" s="164"/>
      <c r="I531" s="164"/>
      <c r="J531" s="132"/>
      <c r="K531" s="132"/>
      <c r="L531" s="45"/>
      <c r="M531" s="45"/>
      <c r="N531" s="46"/>
      <c r="O531" s="46"/>
      <c r="P531" s="45"/>
      <c r="Q531" s="45"/>
      <c r="R531" s="45"/>
      <c r="T531" s="42"/>
      <c r="V531" s="45"/>
      <c r="W531" s="45"/>
      <c r="X531" s="45"/>
      <c r="Y531" s="45"/>
      <c r="Z531" s="132"/>
      <c r="AA531" s="45"/>
      <c r="AB531" s="45"/>
      <c r="AC531" s="46"/>
      <c r="AD531" s="46"/>
      <c r="AE531" s="45"/>
      <c r="AF531" s="45"/>
      <c r="AH531" s="51"/>
      <c r="AI531" s="45"/>
      <c r="AJ531" s="45"/>
      <c r="AL531" s="45"/>
      <c r="AM531" s="51"/>
      <c r="AN531" s="51"/>
    </row>
    <row r="532" spans="3:40">
      <c r="C532" s="42"/>
      <c r="F532" s="45"/>
      <c r="H532" s="45"/>
      <c r="I532" s="45"/>
      <c r="J532" s="56"/>
      <c r="K532" s="56"/>
      <c r="T532" s="42"/>
      <c r="V532" s="45"/>
      <c r="W532" s="45"/>
      <c r="X532" s="45"/>
      <c r="Y532" s="45"/>
      <c r="Z532" s="56"/>
      <c r="AC532" s="46"/>
      <c r="AD532" s="46"/>
      <c r="AE532" s="45"/>
      <c r="AF532" s="45"/>
      <c r="AH532" s="51"/>
      <c r="AI532" s="45"/>
      <c r="AJ532" s="45"/>
      <c r="AL532" s="45"/>
      <c r="AM532" s="51"/>
      <c r="AN532" s="51"/>
    </row>
    <row r="533" spans="3:40">
      <c r="C533" s="42"/>
      <c r="F533" s="164"/>
      <c r="H533" s="164"/>
      <c r="I533" s="164"/>
      <c r="J533" s="132"/>
      <c r="K533" s="132"/>
      <c r="L533" s="45"/>
      <c r="M533" s="45"/>
      <c r="N533" s="46"/>
      <c r="O533" s="46"/>
      <c r="P533" s="45"/>
      <c r="Q533" s="45"/>
      <c r="R533" s="45"/>
      <c r="T533" s="42"/>
      <c r="V533" s="45"/>
      <c r="W533" s="45"/>
      <c r="X533" s="45"/>
      <c r="Y533" s="45"/>
      <c r="Z533" s="132"/>
      <c r="AA533" s="45"/>
      <c r="AB533" s="45"/>
      <c r="AC533" s="46"/>
      <c r="AD533" s="46"/>
      <c r="AE533" s="45"/>
      <c r="AF533" s="45"/>
      <c r="AH533" s="51"/>
      <c r="AI533" s="45"/>
      <c r="AJ533" s="45"/>
      <c r="AL533" s="45"/>
      <c r="AM533" s="51"/>
      <c r="AN533" s="51"/>
    </row>
    <row r="534" spans="3:40">
      <c r="C534" s="42"/>
      <c r="F534" s="45"/>
      <c r="H534" s="45"/>
      <c r="I534" s="45"/>
      <c r="J534" s="56"/>
      <c r="K534" s="56"/>
      <c r="L534" s="45"/>
      <c r="M534" s="45"/>
      <c r="N534" s="46"/>
      <c r="O534" s="46"/>
      <c r="P534" s="45"/>
      <c r="Q534" s="45"/>
      <c r="R534" s="45"/>
      <c r="T534" s="42"/>
      <c r="V534" s="45"/>
      <c r="W534" s="45"/>
      <c r="X534" s="45"/>
      <c r="Y534" s="45"/>
      <c r="Z534" s="56"/>
      <c r="AA534" s="45"/>
      <c r="AB534" s="45"/>
      <c r="AC534" s="46"/>
      <c r="AD534" s="46"/>
      <c r="AE534" s="45"/>
      <c r="AF534" s="45"/>
      <c r="AH534" s="51"/>
      <c r="AI534" s="45"/>
      <c r="AJ534" s="45"/>
      <c r="AL534" s="45"/>
      <c r="AM534" s="51"/>
      <c r="AN534" s="51"/>
    </row>
    <row r="535" spans="3:40">
      <c r="F535" s="45"/>
      <c r="H535" s="45"/>
      <c r="I535" s="45"/>
      <c r="J535" s="56"/>
      <c r="K535" s="56"/>
      <c r="Z535" s="56"/>
    </row>
    <row r="536" spans="3:40">
      <c r="C536" s="42"/>
      <c r="F536" s="45"/>
      <c r="H536" s="164"/>
      <c r="I536" s="164"/>
      <c r="J536" s="132"/>
      <c r="K536" s="132"/>
      <c r="L536" s="45"/>
      <c r="M536" s="45"/>
      <c r="N536" s="46"/>
      <c r="O536" s="46"/>
      <c r="P536" s="45"/>
      <c r="Q536" s="45"/>
      <c r="R536" s="45"/>
      <c r="T536" s="42"/>
      <c r="V536" s="45"/>
      <c r="W536" s="45"/>
      <c r="X536" s="45"/>
      <c r="Y536" s="45"/>
      <c r="Z536" s="132"/>
      <c r="AA536" s="45"/>
      <c r="AB536" s="45"/>
      <c r="AC536" s="46"/>
      <c r="AD536" s="46"/>
      <c r="AE536" s="45"/>
      <c r="AF536" s="45"/>
      <c r="AH536" s="51"/>
      <c r="AI536" s="45"/>
      <c r="AJ536" s="45"/>
      <c r="AL536" s="45"/>
      <c r="AM536" s="51"/>
      <c r="AN536" s="51"/>
    </row>
    <row r="537" spans="3:40">
      <c r="F537" s="50"/>
      <c r="H537" s="50"/>
      <c r="I537" s="50"/>
      <c r="J537" s="132"/>
      <c r="K537" s="132"/>
      <c r="L537" s="50"/>
      <c r="M537" s="50"/>
      <c r="N537" s="50"/>
      <c r="O537" s="50"/>
      <c r="P537" s="50"/>
      <c r="Q537" s="50"/>
      <c r="R537" s="50"/>
      <c r="V537" s="50"/>
      <c r="Y537" s="50"/>
      <c r="Z537" s="132"/>
      <c r="AA537" s="50"/>
      <c r="AB537" s="50"/>
      <c r="AC537" s="50"/>
      <c r="AD537" s="50"/>
      <c r="AE537" s="50"/>
      <c r="AF537" s="50"/>
      <c r="AI537" s="50"/>
      <c r="AJ537" s="50"/>
      <c r="AK537" s="111"/>
      <c r="AL537" s="50"/>
    </row>
    <row r="538" spans="3:40">
      <c r="C538" s="42"/>
      <c r="F538" s="45"/>
      <c r="H538" s="45"/>
      <c r="I538" s="45"/>
      <c r="J538" s="56"/>
      <c r="K538" s="56"/>
      <c r="L538" s="45"/>
      <c r="M538" s="45"/>
      <c r="P538" s="45"/>
      <c r="Q538" s="45"/>
      <c r="R538" s="45"/>
      <c r="T538" s="42"/>
      <c r="V538" s="45"/>
      <c r="Y538" s="45"/>
      <c r="Z538" s="56"/>
      <c r="AA538" s="45"/>
      <c r="AB538" s="45"/>
      <c r="AC538" s="51"/>
      <c r="AD538" s="51"/>
      <c r="AE538" s="45"/>
      <c r="AF538" s="45"/>
      <c r="AH538" s="51"/>
      <c r="AI538" s="45"/>
      <c r="AJ538" s="45"/>
      <c r="AL538" s="45"/>
      <c r="AM538" s="51"/>
      <c r="AN538" s="51"/>
    </row>
    <row r="539" spans="3:40">
      <c r="F539" s="50"/>
      <c r="H539" s="50"/>
      <c r="I539" s="50"/>
      <c r="J539" s="132"/>
      <c r="K539" s="132"/>
      <c r="L539" s="50"/>
      <c r="M539" s="50"/>
      <c r="N539" s="50"/>
      <c r="O539" s="50"/>
      <c r="P539" s="50"/>
      <c r="Q539" s="50"/>
      <c r="R539" s="50"/>
      <c r="V539" s="50"/>
      <c r="Y539" s="50"/>
      <c r="Z539" s="132"/>
      <c r="AA539" s="50"/>
      <c r="AB539" s="50"/>
      <c r="AC539" s="50"/>
      <c r="AD539" s="50"/>
      <c r="AE539" s="50"/>
      <c r="AF539" s="50"/>
      <c r="AI539" s="50"/>
      <c r="AJ539" s="50"/>
      <c r="AK539" s="111"/>
      <c r="AL539" s="50"/>
    </row>
    <row r="540" spans="3:40">
      <c r="J540" s="56"/>
      <c r="K540" s="56"/>
      <c r="Z540" s="56"/>
    </row>
    <row r="541" spans="3:40">
      <c r="C541" s="42"/>
      <c r="J541" s="56"/>
      <c r="K541" s="56"/>
      <c r="T541" s="42"/>
      <c r="Z541" s="56"/>
    </row>
    <row r="542" spans="3:40">
      <c r="C542" s="42"/>
      <c r="J542" s="56"/>
      <c r="K542" s="56"/>
      <c r="T542" s="42"/>
      <c r="Z542" s="56"/>
    </row>
    <row r="543" spans="3:40">
      <c r="C543" s="42"/>
      <c r="F543" s="164"/>
      <c r="H543" s="164"/>
      <c r="I543" s="164"/>
      <c r="J543" s="132"/>
      <c r="K543" s="132"/>
      <c r="L543" s="45"/>
      <c r="M543" s="45"/>
      <c r="N543" s="46"/>
      <c r="O543" s="46"/>
      <c r="P543" s="45"/>
      <c r="Q543" s="45"/>
      <c r="R543" s="45"/>
      <c r="T543" s="42"/>
      <c r="V543" s="45"/>
      <c r="W543" s="45"/>
      <c r="X543" s="45"/>
      <c r="Y543" s="45"/>
      <c r="Z543" s="132"/>
      <c r="AA543" s="45"/>
      <c r="AB543" s="45"/>
      <c r="AC543" s="46"/>
      <c r="AD543" s="46"/>
      <c r="AE543" s="45"/>
      <c r="AF543" s="45"/>
      <c r="AH543" s="51"/>
      <c r="AI543" s="45"/>
      <c r="AJ543" s="45"/>
      <c r="AL543" s="45"/>
      <c r="AM543" s="51"/>
      <c r="AN543" s="51"/>
    </row>
    <row r="544" spans="3:40">
      <c r="C544" s="42"/>
      <c r="J544" s="56"/>
      <c r="K544" s="56"/>
      <c r="T544" s="42"/>
      <c r="Z544" s="56"/>
    </row>
    <row r="545" spans="1:40">
      <c r="C545" s="42"/>
      <c r="F545" s="164"/>
      <c r="H545" s="164"/>
      <c r="I545" s="164"/>
      <c r="J545" s="132"/>
      <c r="K545" s="132"/>
      <c r="L545" s="45"/>
      <c r="M545" s="45"/>
      <c r="N545" s="46"/>
      <c r="O545" s="46"/>
      <c r="P545" s="45"/>
      <c r="Q545" s="45"/>
      <c r="R545" s="45"/>
      <c r="T545" s="42"/>
      <c r="V545" s="45"/>
      <c r="W545" s="45"/>
      <c r="X545" s="45"/>
      <c r="Y545" s="45"/>
      <c r="Z545" s="132"/>
      <c r="AA545" s="45"/>
      <c r="AB545" s="45"/>
      <c r="AC545" s="46"/>
      <c r="AD545" s="46"/>
      <c r="AE545" s="45"/>
      <c r="AF545" s="45"/>
      <c r="AH545" s="51"/>
      <c r="AI545" s="45"/>
      <c r="AJ545" s="45"/>
      <c r="AL545" s="45"/>
      <c r="AM545" s="51"/>
      <c r="AN545" s="51"/>
    </row>
    <row r="546" spans="1:40">
      <c r="F546" s="50"/>
      <c r="H546" s="50"/>
      <c r="I546" s="50"/>
      <c r="J546" s="132"/>
      <c r="K546" s="132"/>
      <c r="L546" s="50"/>
      <c r="M546" s="50"/>
      <c r="N546" s="50"/>
      <c r="O546" s="50"/>
      <c r="P546" s="50"/>
      <c r="Q546" s="50"/>
      <c r="R546" s="50"/>
      <c r="V546" s="50"/>
      <c r="Y546" s="50"/>
      <c r="Z546" s="132"/>
      <c r="AA546" s="50"/>
      <c r="AB546" s="50"/>
      <c r="AC546" s="50"/>
      <c r="AD546" s="50"/>
      <c r="AE546" s="50"/>
      <c r="AF546" s="50"/>
      <c r="AI546" s="50"/>
      <c r="AJ546" s="50"/>
      <c r="AK546" s="111"/>
      <c r="AL546" s="50"/>
    </row>
    <row r="547" spans="1:40">
      <c r="C547" s="42"/>
      <c r="F547" s="45"/>
      <c r="H547" s="45"/>
      <c r="I547" s="45"/>
      <c r="J547" s="56"/>
      <c r="K547" s="56"/>
      <c r="L547" s="45"/>
      <c r="M547" s="45"/>
      <c r="N547" s="51"/>
      <c r="O547" s="51"/>
      <c r="P547" s="45"/>
      <c r="Q547" s="45"/>
      <c r="R547" s="45"/>
      <c r="T547" s="42"/>
      <c r="V547" s="45"/>
      <c r="Y547" s="45"/>
      <c r="Z547" s="56"/>
      <c r="AA547" s="45"/>
      <c r="AB547" s="45"/>
      <c r="AC547" s="51"/>
      <c r="AD547" s="51"/>
      <c r="AE547" s="45"/>
      <c r="AF547" s="45"/>
      <c r="AH547" s="51"/>
      <c r="AI547" s="45"/>
      <c r="AJ547" s="45"/>
      <c r="AL547" s="45"/>
      <c r="AM547" s="51"/>
      <c r="AN547" s="51"/>
    </row>
    <row r="548" spans="1:40">
      <c r="F548" s="50"/>
      <c r="H548" s="50"/>
      <c r="I548" s="50"/>
      <c r="J548" s="132"/>
      <c r="K548" s="132"/>
      <c r="L548" s="50"/>
      <c r="M548" s="50"/>
      <c r="N548" s="50"/>
      <c r="O548" s="50"/>
      <c r="P548" s="50"/>
      <c r="Q548" s="50"/>
      <c r="R548" s="50"/>
      <c r="V548" s="50"/>
      <c r="Y548" s="50"/>
      <c r="Z548" s="326"/>
      <c r="AA548" s="50"/>
      <c r="AB548" s="50"/>
      <c r="AC548" s="50"/>
      <c r="AD548" s="50"/>
      <c r="AE548" s="50"/>
      <c r="AF548" s="50"/>
      <c r="AI548" s="50"/>
      <c r="AJ548" s="50"/>
      <c r="AK548" s="111"/>
      <c r="AL548" s="50"/>
    </row>
    <row r="549" spans="1:40">
      <c r="J549" s="56"/>
      <c r="K549" s="56"/>
    </row>
    <row r="550" spans="1:40">
      <c r="C550" s="42"/>
      <c r="F550" s="45"/>
      <c r="H550" s="45"/>
      <c r="I550" s="45"/>
      <c r="J550" s="56"/>
      <c r="K550" s="56"/>
      <c r="L550" s="45"/>
      <c r="M550" s="45"/>
      <c r="N550" s="46"/>
      <c r="O550" s="46"/>
      <c r="P550" s="164"/>
      <c r="Q550" s="164"/>
      <c r="R550" s="45"/>
      <c r="T550" s="42"/>
      <c r="V550" s="45"/>
      <c r="Y550" s="45"/>
      <c r="AA550" s="45"/>
      <c r="AB550" s="45"/>
      <c r="AC550" s="51"/>
      <c r="AD550" s="51"/>
      <c r="AE550" s="45"/>
      <c r="AF550" s="45"/>
      <c r="AH550" s="51"/>
      <c r="AI550" s="164"/>
      <c r="AJ550" s="164"/>
      <c r="AL550" s="45"/>
      <c r="AM550" s="51"/>
      <c r="AN550" s="51"/>
    </row>
    <row r="551" spans="1:40">
      <c r="H551" s="50"/>
      <c r="I551" s="50"/>
      <c r="J551" s="132"/>
      <c r="K551" s="132"/>
      <c r="L551" s="50"/>
      <c r="M551" s="50"/>
      <c r="N551" s="50"/>
      <c r="O551" s="50"/>
      <c r="P551" s="50"/>
      <c r="Q551" s="50"/>
      <c r="R551" s="50"/>
      <c r="V551" s="50"/>
      <c r="Y551" s="50"/>
      <c r="Z551" s="326"/>
      <c r="AA551" s="50"/>
      <c r="AB551" s="50"/>
      <c r="AC551" s="50"/>
      <c r="AD551" s="50"/>
      <c r="AE551" s="50"/>
      <c r="AF551" s="50"/>
      <c r="AI551" s="50"/>
      <c r="AJ551" s="50"/>
      <c r="AK551" s="111"/>
      <c r="AL551" s="50"/>
    </row>
    <row r="552" spans="1:40">
      <c r="F552" s="50"/>
      <c r="J552" s="56"/>
    </row>
    <row r="553" spans="1:40">
      <c r="J553" s="56"/>
    </row>
    <row r="554" spans="1:40">
      <c r="A554" s="42"/>
      <c r="J554" s="56"/>
    </row>
    <row r="555" spans="1:40">
      <c r="J555" s="56"/>
    </row>
    <row r="556" spans="1:40">
      <c r="H556" s="42"/>
      <c r="I556" s="42"/>
      <c r="J556" s="56"/>
      <c r="Y556" s="42"/>
    </row>
    <row r="557" spans="1:40">
      <c r="J557" s="56"/>
    </row>
    <row r="558" spans="1:40">
      <c r="J558" s="56"/>
      <c r="L558" s="42"/>
      <c r="M558" s="42"/>
      <c r="AA558" s="42"/>
      <c r="AB558" s="42"/>
    </row>
    <row r="559" spans="1:40">
      <c r="J559" s="56"/>
      <c r="R559" s="42"/>
      <c r="AK559" s="110"/>
      <c r="AL559" s="42"/>
    </row>
    <row r="560" spans="1:40">
      <c r="J560" s="56"/>
      <c r="R560" s="42"/>
      <c r="AK560" s="110"/>
      <c r="AL560" s="42"/>
    </row>
    <row r="561" spans="1:40">
      <c r="A561" s="42"/>
      <c r="J561" s="56"/>
      <c r="R561" s="42"/>
      <c r="AK561" s="110"/>
      <c r="AL561" s="42"/>
    </row>
    <row r="562" spans="1:40">
      <c r="J562" s="56"/>
      <c r="L562" s="42"/>
      <c r="M562" s="42"/>
      <c r="AA562" s="42"/>
      <c r="AB562" s="42"/>
    </row>
    <row r="563" spans="1:40">
      <c r="A563" s="49"/>
      <c r="B563" s="49"/>
      <c r="C563" s="49"/>
      <c r="D563" s="49"/>
      <c r="E563" s="49"/>
      <c r="F563" s="49"/>
      <c r="G563" s="49"/>
      <c r="H563" s="49"/>
      <c r="I563" s="49"/>
      <c r="J563" s="57"/>
      <c r="K563" s="49"/>
      <c r="L563" s="49"/>
      <c r="M563" s="49"/>
      <c r="N563" s="49"/>
      <c r="O563" s="49"/>
      <c r="P563" s="49"/>
      <c r="Q563" s="49"/>
      <c r="R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107"/>
      <c r="AH563" s="49"/>
      <c r="AI563" s="49"/>
      <c r="AJ563" s="49"/>
      <c r="AK563" s="107"/>
      <c r="AL563" s="49"/>
      <c r="AM563" s="49"/>
      <c r="AN563" s="49"/>
    </row>
    <row r="564" spans="1:40">
      <c r="J564" s="56"/>
      <c r="L564" s="44"/>
      <c r="M564" s="44"/>
      <c r="N564" s="44"/>
      <c r="O564" s="44"/>
      <c r="R564" s="44"/>
      <c r="AA564" s="44"/>
      <c r="AB564" s="44"/>
      <c r="AC564" s="44"/>
      <c r="AD564" s="44"/>
      <c r="AE564" s="44"/>
      <c r="AF564" s="44"/>
      <c r="AG564" s="102"/>
      <c r="AH564" s="44"/>
      <c r="AK564" s="102"/>
      <c r="AL564" s="44"/>
      <c r="AM564" s="44"/>
      <c r="AN564" s="44"/>
    </row>
    <row r="565" spans="1:40">
      <c r="J565" s="56"/>
      <c r="L565" s="44"/>
      <c r="M565" s="44"/>
      <c r="N565" s="44"/>
      <c r="O565" s="44"/>
      <c r="R565" s="44"/>
      <c r="Z565" s="44"/>
      <c r="AA565" s="44"/>
      <c r="AB565" s="44"/>
      <c r="AC565" s="44"/>
      <c r="AD565" s="44"/>
      <c r="AE565" s="44"/>
      <c r="AF565" s="44"/>
      <c r="AG565" s="102"/>
      <c r="AH565" s="44"/>
      <c r="AK565" s="102"/>
      <c r="AL565" s="44"/>
      <c r="AM565" s="44"/>
      <c r="AN565" s="44"/>
    </row>
    <row r="566" spans="1:40">
      <c r="A566" s="44"/>
      <c r="C566" s="44"/>
      <c r="D566" s="44"/>
      <c r="E566" s="44"/>
      <c r="F566" s="44"/>
      <c r="J566" s="58"/>
      <c r="K566" s="44"/>
      <c r="L566" s="44"/>
      <c r="M566" s="44"/>
      <c r="N566" s="44"/>
      <c r="O566" s="44"/>
      <c r="P566" s="44"/>
      <c r="Q566" s="44"/>
      <c r="R566" s="44"/>
      <c r="T566" s="44"/>
      <c r="U566" s="44"/>
      <c r="V566" s="44"/>
      <c r="Z566" s="44"/>
      <c r="AA566" s="44"/>
      <c r="AB566" s="44"/>
      <c r="AC566" s="44"/>
      <c r="AD566" s="44"/>
      <c r="AE566" s="44"/>
      <c r="AF566" s="44"/>
      <c r="AG566" s="102"/>
      <c r="AH566" s="44"/>
      <c r="AI566" s="44"/>
      <c r="AJ566" s="44"/>
      <c r="AK566" s="102"/>
      <c r="AL566" s="44"/>
      <c r="AM566" s="44"/>
      <c r="AN566" s="44"/>
    </row>
    <row r="567" spans="1:40">
      <c r="A567" s="44"/>
      <c r="C567" s="44"/>
      <c r="D567" s="44"/>
      <c r="E567" s="44"/>
      <c r="F567" s="44"/>
      <c r="H567" s="44"/>
      <c r="I567" s="44"/>
      <c r="J567" s="58"/>
      <c r="K567" s="44"/>
      <c r="L567" s="44"/>
      <c r="M567" s="44"/>
      <c r="N567" s="44"/>
      <c r="O567" s="44"/>
      <c r="P567" s="44"/>
      <c r="Q567" s="44"/>
      <c r="R567" s="44"/>
      <c r="T567" s="44"/>
      <c r="U567" s="44"/>
      <c r="V567" s="44"/>
      <c r="Y567" s="44"/>
      <c r="Z567" s="44"/>
      <c r="AA567" s="44"/>
      <c r="AB567" s="44"/>
      <c r="AC567" s="44"/>
      <c r="AD567" s="44"/>
      <c r="AE567" s="44"/>
      <c r="AF567" s="44"/>
      <c r="AG567" s="102"/>
      <c r="AH567" s="44"/>
      <c r="AI567" s="44"/>
      <c r="AJ567" s="44"/>
      <c r="AK567" s="102"/>
      <c r="AL567" s="44"/>
      <c r="AM567" s="44"/>
      <c r="AN567" s="44"/>
    </row>
    <row r="568" spans="1:40">
      <c r="C568" s="44"/>
      <c r="D568" s="44"/>
      <c r="E568" s="44"/>
      <c r="F568" s="44"/>
      <c r="H568" s="44"/>
      <c r="I568" s="44"/>
      <c r="J568" s="58"/>
      <c r="K568" s="44"/>
      <c r="L568" s="44"/>
      <c r="M568" s="44"/>
      <c r="N568" s="44"/>
      <c r="O568" s="44"/>
      <c r="P568" s="44"/>
      <c r="Q568" s="44"/>
      <c r="R568" s="44"/>
      <c r="T568" s="44"/>
      <c r="U568" s="44"/>
      <c r="V568" s="44"/>
      <c r="Y568" s="44"/>
      <c r="Z568" s="44"/>
      <c r="AA568" s="44"/>
      <c r="AB568" s="44"/>
      <c r="AC568" s="44"/>
      <c r="AD568" s="44"/>
      <c r="AE568" s="44"/>
      <c r="AF568" s="44"/>
      <c r="AG568" s="102"/>
      <c r="AH568" s="44"/>
      <c r="AI568" s="44"/>
      <c r="AJ568" s="44"/>
      <c r="AK568" s="102"/>
      <c r="AL568" s="44"/>
      <c r="AM568" s="44"/>
      <c r="AN568" s="44"/>
    </row>
    <row r="569" spans="1:40">
      <c r="A569" s="49"/>
      <c r="B569" s="49"/>
      <c r="C569" s="49"/>
      <c r="D569" s="49"/>
      <c r="E569" s="49"/>
      <c r="F569" s="49"/>
      <c r="G569" s="49"/>
      <c r="H569" s="49"/>
      <c r="I569" s="49"/>
      <c r="J569" s="57"/>
      <c r="K569" s="49"/>
      <c r="L569" s="49"/>
      <c r="M569" s="49"/>
      <c r="N569" s="49"/>
      <c r="O569" s="49"/>
      <c r="P569" s="49"/>
      <c r="Q569" s="49"/>
      <c r="R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107"/>
      <c r="AH569" s="49"/>
      <c r="AI569" s="49"/>
      <c r="AJ569" s="49"/>
      <c r="AK569" s="107"/>
      <c r="AL569" s="49"/>
      <c r="AM569" s="49"/>
      <c r="AN569" s="49"/>
    </row>
    <row r="570" spans="1:40">
      <c r="H570" s="44"/>
      <c r="I570" s="44"/>
      <c r="J570" s="58"/>
      <c r="K570" s="44"/>
      <c r="L570" s="44"/>
      <c r="M570" s="44"/>
      <c r="N570" s="44"/>
      <c r="O570" s="44"/>
      <c r="P570" s="44"/>
      <c r="Q570" s="44"/>
      <c r="R570" s="44"/>
      <c r="Y570" s="44"/>
      <c r="Z570" s="44"/>
      <c r="AA570" s="44"/>
      <c r="AB570" s="44"/>
      <c r="AC570" s="44"/>
      <c r="AD570" s="44"/>
      <c r="AE570" s="44"/>
      <c r="AF570" s="44"/>
      <c r="AG570" s="102"/>
      <c r="AH570" s="44"/>
      <c r="AI570" s="44"/>
      <c r="AJ570" s="44"/>
      <c r="AK570" s="102"/>
      <c r="AL570" s="44"/>
      <c r="AM570" s="44"/>
      <c r="AN570" s="44"/>
    </row>
    <row r="571" spans="1:40">
      <c r="C571" s="42"/>
      <c r="D571" s="42"/>
      <c r="E571" s="42"/>
      <c r="J571" s="56"/>
      <c r="T571" s="42"/>
      <c r="U571" s="42"/>
    </row>
    <row r="572" spans="1:40">
      <c r="J572" s="56"/>
    </row>
    <row r="573" spans="1:40">
      <c r="C573" s="42"/>
      <c r="D573" s="42"/>
      <c r="E573" s="42"/>
      <c r="J573" s="56"/>
      <c r="T573" s="42"/>
      <c r="U573" s="42"/>
    </row>
    <row r="574" spans="1:40">
      <c r="C574" s="42"/>
      <c r="J574" s="56"/>
      <c r="T574" s="42"/>
    </row>
    <row r="575" spans="1:40">
      <c r="C575" s="42"/>
      <c r="J575" s="56"/>
      <c r="T575" s="42"/>
    </row>
    <row r="576" spans="1:40">
      <c r="C576" s="42"/>
      <c r="H576" s="164"/>
      <c r="I576" s="164"/>
      <c r="J576" s="132"/>
      <c r="K576" s="132"/>
      <c r="L576" s="45"/>
      <c r="M576" s="45"/>
      <c r="N576" s="46"/>
      <c r="O576" s="46"/>
      <c r="P576" s="45"/>
      <c r="Q576" s="45"/>
      <c r="R576" s="45"/>
      <c r="T576" s="42"/>
      <c r="V576" s="45"/>
      <c r="W576" s="45"/>
      <c r="X576" s="45"/>
      <c r="Y576" s="45"/>
      <c r="Z576" s="132"/>
      <c r="AA576" s="45"/>
      <c r="AB576" s="45"/>
      <c r="AC576" s="46"/>
      <c r="AD576" s="46"/>
      <c r="AE576" s="45"/>
      <c r="AF576" s="45"/>
      <c r="AH576" s="51"/>
      <c r="AI576" s="45"/>
      <c r="AJ576" s="45"/>
      <c r="AL576" s="45"/>
      <c r="AM576" s="46"/>
      <c r="AN576" s="46"/>
    </row>
    <row r="577" spans="3:40">
      <c r="C577" s="42"/>
      <c r="F577" s="164"/>
      <c r="J577" s="56"/>
      <c r="K577" s="56"/>
      <c r="T577" s="42"/>
      <c r="V577" s="45"/>
      <c r="W577" s="45"/>
      <c r="X577" s="45"/>
      <c r="Y577" s="45"/>
      <c r="Z577" s="132"/>
    </row>
    <row r="578" spans="3:40">
      <c r="C578" s="42"/>
      <c r="H578" s="164"/>
      <c r="I578" s="164"/>
      <c r="J578" s="132"/>
      <c r="K578" s="132"/>
      <c r="L578" s="45"/>
      <c r="M578" s="45"/>
      <c r="N578" s="46"/>
      <c r="O578" s="46"/>
      <c r="P578" s="45"/>
      <c r="Q578" s="45"/>
      <c r="R578" s="45"/>
      <c r="T578" s="42"/>
      <c r="V578" s="45"/>
      <c r="W578" s="45"/>
      <c r="X578" s="45"/>
      <c r="Y578" s="45"/>
      <c r="Z578" s="132"/>
      <c r="AA578" s="45"/>
      <c r="AB578" s="45"/>
      <c r="AC578" s="46"/>
      <c r="AD578" s="46"/>
      <c r="AE578" s="45"/>
      <c r="AF578" s="45"/>
      <c r="AH578" s="51"/>
      <c r="AI578" s="45"/>
      <c r="AJ578" s="45"/>
      <c r="AL578" s="45"/>
      <c r="AM578" s="46"/>
      <c r="AN578" s="46"/>
    </row>
    <row r="579" spans="3:40">
      <c r="C579" s="42"/>
      <c r="F579" s="164"/>
      <c r="J579" s="56"/>
      <c r="K579" s="56"/>
      <c r="T579" s="42"/>
      <c r="V579" s="45"/>
      <c r="W579" s="45"/>
      <c r="X579" s="45"/>
      <c r="Y579" s="45"/>
      <c r="Z579" s="132"/>
    </row>
    <row r="580" spans="3:40">
      <c r="C580" s="42"/>
      <c r="H580" s="164"/>
      <c r="I580" s="164"/>
      <c r="J580" s="132"/>
      <c r="K580" s="132"/>
      <c r="L580" s="45"/>
      <c r="M580" s="45"/>
      <c r="N580" s="46"/>
      <c r="O580" s="46"/>
      <c r="P580" s="45"/>
      <c r="Q580" s="45"/>
      <c r="R580" s="45"/>
      <c r="T580" s="42"/>
      <c r="V580" s="45"/>
      <c r="W580" s="45"/>
      <c r="X580" s="45"/>
      <c r="Y580" s="45"/>
      <c r="Z580" s="132"/>
      <c r="AA580" s="45"/>
      <c r="AB580" s="45"/>
      <c r="AC580" s="46"/>
      <c r="AD580" s="46"/>
      <c r="AE580" s="45"/>
      <c r="AF580" s="45"/>
      <c r="AH580" s="51"/>
      <c r="AI580" s="45"/>
      <c r="AJ580" s="45"/>
      <c r="AL580" s="45"/>
      <c r="AM580" s="46"/>
      <c r="AN580" s="46"/>
    </row>
    <row r="581" spans="3:40">
      <c r="C581" s="42"/>
      <c r="F581" s="164"/>
      <c r="J581" s="56"/>
      <c r="K581" s="56"/>
      <c r="T581" s="42"/>
      <c r="V581" s="45"/>
      <c r="W581" s="45"/>
      <c r="X581" s="45"/>
      <c r="Y581" s="45"/>
      <c r="Z581" s="132"/>
    </row>
    <row r="582" spans="3:40">
      <c r="C582" s="42"/>
      <c r="H582" s="164"/>
      <c r="I582" s="164"/>
      <c r="J582" s="132"/>
      <c r="K582" s="132"/>
      <c r="L582" s="45"/>
      <c r="M582" s="45"/>
      <c r="N582" s="46"/>
      <c r="O582" s="46"/>
      <c r="P582" s="45"/>
      <c r="Q582" s="45"/>
      <c r="R582" s="45"/>
      <c r="T582" s="42"/>
      <c r="V582" s="45"/>
      <c r="W582" s="45"/>
      <c r="X582" s="45"/>
      <c r="Y582" s="45"/>
      <c r="Z582" s="132"/>
      <c r="AA582" s="45"/>
      <c r="AB582" s="45"/>
      <c r="AC582" s="46"/>
      <c r="AD582" s="46"/>
      <c r="AE582" s="45"/>
      <c r="AF582" s="45"/>
      <c r="AH582" s="51"/>
      <c r="AI582" s="45"/>
      <c r="AJ582" s="45"/>
      <c r="AL582" s="45"/>
      <c r="AM582" s="46"/>
      <c r="AN582" s="46"/>
    </row>
    <row r="583" spans="3:40">
      <c r="C583" s="42"/>
      <c r="F583" s="164"/>
      <c r="J583" s="56"/>
      <c r="K583" s="56"/>
      <c r="T583" s="42"/>
      <c r="V583" s="45"/>
      <c r="W583" s="45"/>
      <c r="X583" s="45"/>
      <c r="Y583" s="45"/>
      <c r="Z583" s="132"/>
    </row>
    <row r="584" spans="3:40">
      <c r="C584" s="42"/>
      <c r="H584" s="164"/>
      <c r="I584" s="164"/>
      <c r="J584" s="132"/>
      <c r="K584" s="132"/>
      <c r="L584" s="45"/>
      <c r="M584" s="45"/>
      <c r="N584" s="46"/>
      <c r="O584" s="46"/>
      <c r="P584" s="45"/>
      <c r="Q584" s="45"/>
      <c r="R584" s="45"/>
      <c r="T584" s="42"/>
      <c r="V584" s="45"/>
      <c r="W584" s="45"/>
      <c r="X584" s="45"/>
      <c r="Y584" s="45"/>
      <c r="Z584" s="132"/>
      <c r="AA584" s="45"/>
      <c r="AB584" s="45"/>
      <c r="AC584" s="46"/>
      <c r="AD584" s="46"/>
      <c r="AE584" s="45"/>
      <c r="AF584" s="45"/>
      <c r="AH584" s="51"/>
      <c r="AI584" s="45"/>
      <c r="AJ584" s="45"/>
      <c r="AL584" s="45"/>
      <c r="AM584" s="46"/>
      <c r="AN584" s="46"/>
    </row>
    <row r="585" spans="3:40">
      <c r="C585" s="42"/>
      <c r="F585" s="164"/>
      <c r="J585" s="56"/>
      <c r="K585" s="56"/>
      <c r="T585" s="42"/>
      <c r="V585" s="45"/>
      <c r="W585" s="45"/>
      <c r="X585" s="45"/>
      <c r="Y585" s="45"/>
      <c r="Z585" s="132"/>
    </row>
    <row r="586" spans="3:40">
      <c r="C586" s="42"/>
      <c r="H586" s="164"/>
      <c r="I586" s="164"/>
      <c r="J586" s="132"/>
      <c r="K586" s="132"/>
      <c r="L586" s="45"/>
      <c r="M586" s="45"/>
      <c r="N586" s="46"/>
      <c r="O586" s="46"/>
      <c r="P586" s="45"/>
      <c r="Q586" s="45"/>
      <c r="R586" s="45"/>
      <c r="T586" s="42"/>
      <c r="V586" s="45"/>
      <c r="W586" s="45"/>
      <c r="X586" s="45"/>
      <c r="Y586" s="45"/>
      <c r="Z586" s="132"/>
      <c r="AA586" s="45"/>
      <c r="AB586" s="45"/>
      <c r="AC586" s="46"/>
      <c r="AD586" s="46"/>
      <c r="AE586" s="45"/>
      <c r="AF586" s="45"/>
      <c r="AH586" s="51"/>
      <c r="AI586" s="45"/>
      <c r="AJ586" s="45"/>
      <c r="AL586" s="45"/>
      <c r="AM586" s="46"/>
      <c r="AN586" s="46"/>
    </row>
    <row r="587" spans="3:40">
      <c r="F587" s="164"/>
      <c r="H587" s="50"/>
      <c r="I587" s="50"/>
      <c r="J587" s="132"/>
      <c r="K587" s="132"/>
      <c r="L587" s="50"/>
      <c r="M587" s="50"/>
      <c r="N587" s="50"/>
      <c r="O587" s="50"/>
      <c r="P587" s="50"/>
      <c r="Q587" s="50"/>
      <c r="R587" s="50"/>
      <c r="V587" s="50"/>
      <c r="Y587" s="50"/>
      <c r="Z587" s="132"/>
      <c r="AA587" s="50"/>
      <c r="AB587" s="50"/>
      <c r="AC587" s="50"/>
      <c r="AD587" s="50"/>
      <c r="AE587" s="50"/>
      <c r="AF587" s="50"/>
      <c r="AI587" s="50"/>
      <c r="AJ587" s="50"/>
      <c r="AK587" s="111"/>
      <c r="AL587" s="50"/>
      <c r="AM587" s="46"/>
      <c r="AN587" s="46"/>
    </row>
    <row r="588" spans="3:40">
      <c r="C588" s="42"/>
      <c r="F588" s="50"/>
      <c r="H588" s="45"/>
      <c r="I588" s="45"/>
      <c r="J588" s="56"/>
      <c r="K588" s="56"/>
      <c r="L588" s="45"/>
      <c r="M588" s="45"/>
      <c r="N588" s="46"/>
      <c r="O588" s="46"/>
      <c r="P588" s="164"/>
      <c r="Q588" s="164"/>
      <c r="R588" s="45"/>
      <c r="T588" s="42"/>
      <c r="V588" s="45"/>
      <c r="W588" s="45"/>
      <c r="X588" s="45"/>
      <c r="Y588" s="45"/>
      <c r="Z588" s="132"/>
      <c r="AA588" s="45"/>
      <c r="AB588" s="45"/>
      <c r="AC588" s="46"/>
      <c r="AD588" s="46"/>
      <c r="AE588" s="45"/>
      <c r="AF588" s="45"/>
      <c r="AH588" s="51"/>
      <c r="AI588" s="164"/>
      <c r="AJ588" s="164"/>
      <c r="AL588" s="45"/>
      <c r="AM588" s="46"/>
      <c r="AN588" s="46"/>
    </row>
    <row r="589" spans="3:40">
      <c r="F589" s="45"/>
      <c r="H589" s="50"/>
      <c r="I589" s="50"/>
      <c r="J589" s="132"/>
      <c r="K589" s="132"/>
      <c r="L589" s="50"/>
      <c r="M589" s="50"/>
      <c r="N589" s="50"/>
      <c r="O589" s="50"/>
      <c r="P589" s="50"/>
      <c r="Q589" s="50"/>
      <c r="R589" s="50"/>
      <c r="V589" s="50"/>
      <c r="Y589" s="50"/>
      <c r="Z589" s="132"/>
      <c r="AA589" s="50"/>
      <c r="AB589" s="50"/>
      <c r="AC589" s="50"/>
      <c r="AD589" s="50"/>
      <c r="AE589" s="50"/>
      <c r="AF589" s="50"/>
      <c r="AI589" s="50"/>
      <c r="AJ589" s="50"/>
      <c r="AK589" s="111"/>
      <c r="AL589" s="50"/>
    </row>
    <row r="590" spans="3:40">
      <c r="C590" s="42"/>
      <c r="D590" s="42"/>
      <c r="E590" s="42"/>
      <c r="F590" s="50"/>
      <c r="J590" s="56"/>
      <c r="K590" s="56"/>
      <c r="T590" s="42"/>
      <c r="U590" s="42"/>
      <c r="V590" s="45"/>
      <c r="W590" s="45"/>
      <c r="X590" s="45"/>
      <c r="Y590" s="45"/>
      <c r="Z590" s="132"/>
    </row>
    <row r="591" spans="3:40">
      <c r="C591" s="42"/>
      <c r="J591" s="56"/>
      <c r="K591" s="56"/>
      <c r="T591" s="42"/>
      <c r="V591" s="45"/>
      <c r="W591" s="45"/>
      <c r="X591" s="45"/>
      <c r="Y591" s="45"/>
      <c r="Z591" s="132"/>
    </row>
    <row r="592" spans="3:40">
      <c r="C592" s="42"/>
      <c r="J592" s="56"/>
      <c r="K592" s="56"/>
      <c r="T592" s="42"/>
      <c r="V592" s="45"/>
      <c r="W592" s="45"/>
      <c r="X592" s="45"/>
      <c r="Y592" s="45"/>
      <c r="Z592" s="132"/>
    </row>
    <row r="593" spans="3:40">
      <c r="C593" s="42"/>
      <c r="H593" s="164"/>
      <c r="I593" s="164"/>
      <c r="J593" s="132"/>
      <c r="K593" s="132"/>
      <c r="L593" s="45"/>
      <c r="M593" s="45"/>
      <c r="N593" s="46"/>
      <c r="O593" s="46"/>
      <c r="P593" s="45"/>
      <c r="Q593" s="45"/>
      <c r="R593" s="45"/>
      <c r="T593" s="42"/>
      <c r="V593" s="45"/>
      <c r="W593" s="45"/>
      <c r="X593" s="45"/>
      <c r="Y593" s="45"/>
      <c r="Z593" s="132"/>
      <c r="AA593" s="45"/>
      <c r="AB593" s="45"/>
      <c r="AC593" s="46"/>
      <c r="AD593" s="46"/>
      <c r="AE593" s="45"/>
      <c r="AF593" s="45"/>
      <c r="AH593" s="51"/>
      <c r="AI593" s="45"/>
      <c r="AJ593" s="45"/>
      <c r="AL593" s="45"/>
      <c r="AM593" s="46"/>
      <c r="AN593" s="46"/>
    </row>
    <row r="594" spans="3:40">
      <c r="C594" s="42"/>
      <c r="F594" s="164"/>
      <c r="J594" s="56"/>
      <c r="K594" s="56"/>
      <c r="T594" s="42"/>
      <c r="V594" s="45"/>
      <c r="W594" s="45"/>
      <c r="X594" s="45"/>
      <c r="Y594" s="45"/>
      <c r="Z594" s="132"/>
    </row>
    <row r="595" spans="3:40">
      <c r="C595" s="42"/>
      <c r="H595" s="164"/>
      <c r="I595" s="164"/>
      <c r="J595" s="132"/>
      <c r="K595" s="132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Z595" s="132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46"/>
      <c r="AN595" s="46"/>
    </row>
    <row r="596" spans="3:40">
      <c r="F596" s="164"/>
      <c r="H596" s="50"/>
      <c r="I596" s="50"/>
      <c r="J596" s="132"/>
      <c r="K596" s="132"/>
      <c r="L596" s="50"/>
      <c r="M596" s="50"/>
      <c r="N596" s="50"/>
      <c r="O596" s="50"/>
      <c r="P596" s="50"/>
      <c r="Q596" s="50"/>
      <c r="R596" s="50"/>
      <c r="V596" s="50"/>
      <c r="Y596" s="50"/>
      <c r="Z596" s="326"/>
      <c r="AA596" s="50"/>
      <c r="AB596" s="50"/>
      <c r="AC596" s="50"/>
      <c r="AD596" s="50"/>
      <c r="AE596" s="50"/>
      <c r="AF596" s="50"/>
      <c r="AI596" s="50"/>
      <c r="AJ596" s="50"/>
      <c r="AK596" s="111"/>
      <c r="AL596" s="50"/>
    </row>
    <row r="597" spans="3:40">
      <c r="C597" s="42"/>
      <c r="F597" s="50"/>
      <c r="H597" s="45"/>
      <c r="I597" s="45"/>
      <c r="L597" s="45"/>
      <c r="M597" s="45"/>
      <c r="N597" s="46"/>
      <c r="O597" s="46"/>
      <c r="P597" s="164"/>
      <c r="Q597" s="164"/>
      <c r="R597" s="45"/>
      <c r="T597" s="42"/>
      <c r="V597" s="45"/>
      <c r="W597" s="45"/>
      <c r="X597" s="45"/>
      <c r="Y597" s="45"/>
      <c r="Z597" s="336"/>
      <c r="AA597" s="45"/>
      <c r="AB597" s="45"/>
      <c r="AC597" s="46"/>
      <c r="AD597" s="46"/>
      <c r="AE597" s="45"/>
      <c r="AF597" s="45"/>
      <c r="AH597" s="51"/>
      <c r="AI597" s="164"/>
      <c r="AJ597" s="164"/>
      <c r="AL597" s="45"/>
      <c r="AM597" s="46"/>
      <c r="AN597" s="46"/>
    </row>
    <row r="598" spans="3:40">
      <c r="F598" s="45"/>
      <c r="H598" s="50"/>
      <c r="I598" s="50"/>
      <c r="J598" s="326"/>
      <c r="K598" s="326"/>
      <c r="L598" s="50"/>
      <c r="M598" s="50"/>
      <c r="N598" s="50"/>
      <c r="O598" s="50"/>
      <c r="P598" s="50"/>
      <c r="Q598" s="50"/>
      <c r="R598" s="50"/>
      <c r="V598" s="50"/>
      <c r="Y598" s="50"/>
      <c r="Z598" s="326"/>
      <c r="AA598" s="50"/>
      <c r="AB598" s="50"/>
      <c r="AC598" s="50"/>
      <c r="AD598" s="50"/>
      <c r="AE598" s="50"/>
      <c r="AF598" s="50"/>
      <c r="AI598" s="50"/>
      <c r="AJ598" s="50"/>
      <c r="AK598" s="111"/>
      <c r="AL598" s="50"/>
    </row>
    <row r="599" spans="3:40">
      <c r="C599" s="42"/>
      <c r="D599" s="42"/>
      <c r="E599" s="42"/>
      <c r="F599" s="50"/>
      <c r="T599" s="42"/>
      <c r="U599" s="42"/>
      <c r="V599" s="45"/>
      <c r="W599" s="45"/>
      <c r="X599" s="45"/>
      <c r="Y599" s="45"/>
      <c r="Z599" s="336"/>
    </row>
    <row r="600" spans="3:40">
      <c r="C600" s="42"/>
      <c r="T600" s="42"/>
      <c r="V600" s="45"/>
      <c r="W600" s="45"/>
      <c r="X600" s="45"/>
      <c r="Y600" s="45"/>
      <c r="Z600" s="336"/>
    </row>
    <row r="601" spans="3:40">
      <c r="C601" s="42"/>
      <c r="H601" s="164"/>
      <c r="I601" s="164"/>
      <c r="J601" s="336"/>
      <c r="K601" s="336"/>
      <c r="L601" s="45"/>
      <c r="M601" s="45"/>
      <c r="N601" s="46"/>
      <c r="O601" s="46"/>
      <c r="P601" s="45"/>
      <c r="Q601" s="45"/>
      <c r="R601" s="45"/>
      <c r="T601" s="42"/>
      <c r="V601" s="45"/>
      <c r="W601" s="45"/>
      <c r="X601" s="45"/>
      <c r="Y601" s="45"/>
      <c r="Z601" s="336"/>
      <c r="AA601" s="45"/>
      <c r="AB601" s="45"/>
      <c r="AC601" s="46"/>
      <c r="AD601" s="46"/>
      <c r="AE601" s="45"/>
      <c r="AF601" s="45"/>
      <c r="AH601" s="51"/>
      <c r="AI601" s="45"/>
      <c r="AJ601" s="45"/>
      <c r="AL601" s="45"/>
      <c r="AM601" s="46"/>
      <c r="AN601" s="46"/>
    </row>
    <row r="602" spans="3:40">
      <c r="C602" s="42"/>
      <c r="F602" s="164"/>
      <c r="T602" s="42"/>
      <c r="V602" s="45"/>
      <c r="W602" s="45"/>
      <c r="X602" s="45"/>
      <c r="Y602" s="45"/>
      <c r="Z602" s="336"/>
    </row>
    <row r="603" spans="3:40">
      <c r="C603" s="42"/>
      <c r="H603" s="164"/>
      <c r="I603" s="164"/>
      <c r="J603" s="336"/>
      <c r="K603" s="336"/>
      <c r="L603" s="45"/>
      <c r="M603" s="45"/>
      <c r="N603" s="46"/>
      <c r="O603" s="46"/>
      <c r="P603" s="45"/>
      <c r="Q603" s="45"/>
      <c r="R603" s="45"/>
      <c r="T603" s="42"/>
      <c r="V603" s="45"/>
      <c r="W603" s="45"/>
      <c r="X603" s="45"/>
      <c r="Y603" s="45"/>
      <c r="Z603" s="336"/>
      <c r="AA603" s="45"/>
      <c r="AB603" s="45"/>
      <c r="AC603" s="46"/>
      <c r="AD603" s="46"/>
      <c r="AE603" s="45"/>
      <c r="AF603" s="45"/>
      <c r="AH603" s="51"/>
      <c r="AI603" s="45"/>
      <c r="AJ603" s="45"/>
      <c r="AL603" s="45"/>
      <c r="AM603" s="46"/>
      <c r="AN603" s="46"/>
    </row>
    <row r="604" spans="3:40">
      <c r="C604" s="42"/>
      <c r="F604" s="164"/>
      <c r="T604" s="42"/>
      <c r="V604" s="45"/>
      <c r="W604" s="45"/>
      <c r="X604" s="45"/>
      <c r="Y604" s="45"/>
      <c r="Z604" s="336"/>
    </row>
    <row r="605" spans="3:40">
      <c r="C605" s="42"/>
      <c r="H605" s="164"/>
      <c r="I605" s="164"/>
      <c r="J605" s="336"/>
      <c r="K605" s="336"/>
      <c r="L605" s="45"/>
      <c r="M605" s="45"/>
      <c r="N605" s="46"/>
      <c r="O605" s="46"/>
      <c r="P605" s="45"/>
      <c r="Q605" s="45"/>
      <c r="R605" s="45"/>
      <c r="T605" s="42"/>
      <c r="V605" s="45"/>
      <c r="W605" s="45"/>
      <c r="X605" s="45"/>
      <c r="Y605" s="45"/>
      <c r="Z605" s="336"/>
      <c r="AA605" s="45"/>
      <c r="AB605" s="45"/>
      <c r="AC605" s="46"/>
      <c r="AD605" s="46"/>
      <c r="AE605" s="45"/>
      <c r="AF605" s="45"/>
      <c r="AH605" s="51"/>
      <c r="AI605" s="45"/>
      <c r="AJ605" s="45"/>
      <c r="AL605" s="45"/>
      <c r="AM605" s="46"/>
      <c r="AN605" s="46"/>
    </row>
    <row r="606" spans="3:40">
      <c r="C606" s="42"/>
      <c r="F606" s="164"/>
      <c r="T606" s="42"/>
      <c r="V606" s="45"/>
      <c r="W606" s="45"/>
      <c r="X606" s="45"/>
      <c r="Y606" s="45"/>
      <c r="Z606" s="336"/>
    </row>
    <row r="607" spans="3:40">
      <c r="C607" s="42"/>
      <c r="H607" s="164"/>
      <c r="I607" s="164"/>
      <c r="J607" s="336"/>
      <c r="K607" s="336"/>
      <c r="L607" s="45"/>
      <c r="M607" s="45"/>
      <c r="N607" s="46"/>
      <c r="O607" s="46"/>
      <c r="P607" s="45"/>
      <c r="Q607" s="45"/>
      <c r="R607" s="45"/>
      <c r="T607" s="42"/>
      <c r="V607" s="45"/>
      <c r="W607" s="45"/>
      <c r="X607" s="45"/>
      <c r="Y607" s="45"/>
      <c r="Z607" s="336"/>
      <c r="AA607" s="45"/>
      <c r="AB607" s="45"/>
      <c r="AC607" s="46"/>
      <c r="AD607" s="46"/>
      <c r="AE607" s="45"/>
      <c r="AF607" s="45"/>
      <c r="AH607" s="51"/>
      <c r="AI607" s="45"/>
      <c r="AJ607" s="45"/>
      <c r="AL607" s="45"/>
      <c r="AM607" s="46"/>
      <c r="AN607" s="46"/>
    </row>
    <row r="608" spans="3:40">
      <c r="F608" s="164"/>
      <c r="H608" s="50"/>
      <c r="I608" s="50"/>
      <c r="J608" s="326"/>
      <c r="K608" s="326"/>
      <c r="L608" s="50"/>
      <c r="M608" s="50"/>
      <c r="N608" s="50"/>
      <c r="O608" s="50"/>
      <c r="P608" s="50"/>
      <c r="Q608" s="50"/>
      <c r="R608" s="50"/>
      <c r="V608" s="50"/>
      <c r="Y608" s="50"/>
      <c r="Z608" s="326"/>
      <c r="AA608" s="50"/>
      <c r="AB608" s="50"/>
      <c r="AC608" s="50"/>
      <c r="AD608" s="50"/>
      <c r="AE608" s="50"/>
      <c r="AF608" s="50"/>
      <c r="AI608" s="50"/>
      <c r="AJ608" s="50"/>
      <c r="AK608" s="111"/>
      <c r="AL608" s="50"/>
    </row>
    <row r="609" spans="1:40">
      <c r="C609" s="42"/>
      <c r="F609" s="50"/>
      <c r="H609" s="45"/>
      <c r="I609" s="45"/>
      <c r="L609" s="45"/>
      <c r="M609" s="45"/>
      <c r="N609" s="46"/>
      <c r="O609" s="46"/>
      <c r="P609" s="164"/>
      <c r="Q609" s="164"/>
      <c r="R609" s="45"/>
      <c r="T609" s="42"/>
      <c r="V609" s="45"/>
      <c r="W609" s="45"/>
      <c r="X609" s="45"/>
      <c r="Y609" s="45"/>
      <c r="Z609" s="336"/>
      <c r="AA609" s="45"/>
      <c r="AB609" s="45"/>
      <c r="AC609" s="46"/>
      <c r="AD609" s="46"/>
      <c r="AE609" s="45"/>
      <c r="AF609" s="45"/>
      <c r="AH609" s="51"/>
      <c r="AI609" s="164"/>
      <c r="AJ609" s="164"/>
      <c r="AL609" s="45"/>
      <c r="AM609" s="46"/>
      <c r="AN609" s="46"/>
    </row>
    <row r="610" spans="1:40">
      <c r="F610" s="45"/>
      <c r="H610" s="50"/>
      <c r="I610" s="50"/>
      <c r="J610" s="326"/>
      <c r="K610" s="326"/>
      <c r="L610" s="50"/>
      <c r="M610" s="50"/>
      <c r="N610" s="50"/>
      <c r="O610" s="50"/>
      <c r="P610" s="50"/>
      <c r="Q610" s="50"/>
      <c r="R610" s="50"/>
      <c r="V610" s="50"/>
      <c r="Y610" s="50"/>
      <c r="Z610" s="326"/>
      <c r="AA610" s="50"/>
      <c r="AB610" s="50"/>
      <c r="AC610" s="50"/>
      <c r="AD610" s="50"/>
      <c r="AE610" s="50"/>
      <c r="AF610" s="50"/>
      <c r="AI610" s="50"/>
      <c r="AJ610" s="50"/>
      <c r="AK610" s="111"/>
      <c r="AL610" s="50"/>
    </row>
    <row r="611" spans="1:40">
      <c r="C611" s="42"/>
      <c r="F611" s="50"/>
      <c r="H611" s="45"/>
      <c r="I611" s="45"/>
      <c r="L611" s="45"/>
      <c r="M611" s="45"/>
      <c r="N611" s="46"/>
      <c r="O611" s="46"/>
      <c r="P611" s="45"/>
      <c r="Q611" s="45"/>
      <c r="R611" s="45"/>
      <c r="T611" s="42"/>
      <c r="V611" s="45"/>
      <c r="W611" s="45"/>
      <c r="X611" s="45"/>
      <c r="Y611" s="45"/>
      <c r="AA611" s="45"/>
      <c r="AB611" s="45"/>
      <c r="AC611" s="46"/>
      <c r="AD611" s="46"/>
      <c r="AE611" s="45"/>
      <c r="AF611" s="45"/>
      <c r="AH611" s="51"/>
      <c r="AI611" s="45"/>
      <c r="AJ611" s="45"/>
      <c r="AL611" s="45"/>
      <c r="AM611" s="51"/>
      <c r="AN611" s="51"/>
    </row>
    <row r="612" spans="1:40">
      <c r="F612" s="45"/>
      <c r="H612" s="50"/>
      <c r="I612" s="50"/>
      <c r="J612" s="326"/>
      <c r="K612" s="326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</row>
    <row r="614" spans="1:40">
      <c r="F614" s="50"/>
    </row>
    <row r="615" spans="1:40">
      <c r="A615" s="42"/>
    </row>
    <row r="617" spans="1:40">
      <c r="H617" s="42"/>
      <c r="I617" s="42"/>
      <c r="Y617" s="42"/>
    </row>
    <row r="619" spans="1:40">
      <c r="L619" s="42"/>
      <c r="M619" s="42"/>
      <c r="AA619" s="42"/>
      <c r="AB619" s="42"/>
    </row>
    <row r="620" spans="1:40">
      <c r="R620" s="42"/>
      <c r="AK620" s="110"/>
      <c r="AL620" s="42"/>
    </row>
    <row r="621" spans="1:40">
      <c r="R621" s="42"/>
      <c r="AK621" s="110"/>
      <c r="AL621" s="42"/>
    </row>
    <row r="622" spans="1:40">
      <c r="A622" s="42"/>
      <c r="R622" s="42"/>
      <c r="AK622" s="110"/>
      <c r="AL622" s="42"/>
    </row>
    <row r="623" spans="1:40">
      <c r="L623" s="42"/>
      <c r="M623" s="42"/>
      <c r="AA623" s="42"/>
      <c r="AB623" s="42"/>
    </row>
    <row r="624" spans="1:40">
      <c r="A624" s="49"/>
      <c r="B624" s="49"/>
      <c r="C624" s="49"/>
      <c r="D624" s="49"/>
      <c r="E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107"/>
      <c r="AH624" s="49"/>
      <c r="AI624" s="49"/>
      <c r="AJ624" s="49"/>
      <c r="AK624" s="107"/>
      <c r="AL624" s="49"/>
      <c r="AM624" s="49"/>
      <c r="AN624" s="49"/>
    </row>
    <row r="625" spans="1:40">
      <c r="F625" s="49"/>
      <c r="L625" s="44"/>
      <c r="M625" s="44"/>
      <c r="N625" s="44"/>
      <c r="O625" s="44"/>
      <c r="R625" s="44"/>
      <c r="AA625" s="44"/>
      <c r="AB625" s="44"/>
      <c r="AC625" s="44"/>
      <c r="AD625" s="44"/>
      <c r="AE625" s="44"/>
      <c r="AF625" s="44"/>
      <c r="AG625" s="102"/>
      <c r="AH625" s="44"/>
      <c r="AK625" s="102"/>
      <c r="AL625" s="44"/>
      <c r="AM625" s="44"/>
      <c r="AN625" s="44"/>
    </row>
    <row r="626" spans="1:40">
      <c r="L626" s="44"/>
      <c r="M626" s="44"/>
      <c r="N626" s="44"/>
      <c r="O626" s="44"/>
      <c r="R626" s="44"/>
      <c r="Z626" s="44"/>
      <c r="AA626" s="44"/>
      <c r="AB626" s="44"/>
      <c r="AC626" s="44"/>
      <c r="AD626" s="44"/>
      <c r="AE626" s="44"/>
      <c r="AF626" s="44"/>
      <c r="AG626" s="102"/>
      <c r="AH626" s="44"/>
      <c r="AK626" s="102"/>
      <c r="AL626" s="44"/>
      <c r="AM626" s="44"/>
      <c r="AN626" s="44"/>
    </row>
    <row r="627" spans="1:40">
      <c r="A627" s="44"/>
      <c r="C627" s="44"/>
      <c r="D627" s="44"/>
      <c r="E627" s="44"/>
      <c r="J627" s="44"/>
      <c r="K627" s="44"/>
      <c r="L627" s="44"/>
      <c r="M627" s="44"/>
      <c r="N627" s="44"/>
      <c r="O627" s="44"/>
      <c r="P627" s="44"/>
      <c r="Q627" s="44"/>
      <c r="R627" s="44"/>
      <c r="T627" s="44"/>
      <c r="U627" s="44"/>
      <c r="V627" s="44"/>
      <c r="Z627" s="44"/>
      <c r="AA627" s="44"/>
      <c r="AB627" s="44"/>
      <c r="AC627" s="44"/>
      <c r="AD627" s="44"/>
      <c r="AE627" s="44"/>
      <c r="AF627" s="44"/>
      <c r="AG627" s="102"/>
      <c r="AH627" s="44"/>
      <c r="AI627" s="44"/>
      <c r="AJ627" s="44"/>
      <c r="AK627" s="102"/>
      <c r="AL627" s="44"/>
      <c r="AM627" s="44"/>
      <c r="AN627" s="44"/>
    </row>
    <row r="628" spans="1:40">
      <c r="A628" s="44"/>
      <c r="C628" s="44"/>
      <c r="D628" s="44"/>
      <c r="E628" s="44"/>
      <c r="F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T628" s="44"/>
      <c r="U628" s="44"/>
      <c r="V628" s="44"/>
      <c r="Y628" s="44"/>
      <c r="Z628" s="44"/>
      <c r="AA628" s="44"/>
      <c r="AB628" s="44"/>
      <c r="AC628" s="44"/>
      <c r="AD628" s="44"/>
      <c r="AE628" s="44"/>
      <c r="AF628" s="44"/>
      <c r="AG628" s="102"/>
      <c r="AH628" s="44"/>
      <c r="AI628" s="44"/>
      <c r="AJ628" s="44"/>
      <c r="AK628" s="102"/>
      <c r="AL628" s="44"/>
      <c r="AM628" s="44"/>
      <c r="AN628" s="44"/>
    </row>
    <row r="629" spans="1:40">
      <c r="C629" s="44"/>
      <c r="D629" s="44"/>
      <c r="E629" s="44"/>
      <c r="F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T629" s="44"/>
      <c r="U629" s="44"/>
      <c r="V629" s="44"/>
      <c r="Y629" s="44"/>
      <c r="Z629" s="44"/>
      <c r="AA629" s="44"/>
      <c r="AB629" s="44"/>
      <c r="AC629" s="44"/>
      <c r="AD629" s="44"/>
      <c r="AE629" s="44"/>
      <c r="AF629" s="44"/>
      <c r="AG629" s="102"/>
      <c r="AH629" s="44"/>
      <c r="AI629" s="44"/>
      <c r="AJ629" s="44"/>
      <c r="AK629" s="102"/>
      <c r="AL629" s="44"/>
      <c r="AM629" s="44"/>
      <c r="AN629" s="44"/>
    </row>
    <row r="630" spans="1:40">
      <c r="A630" s="49"/>
      <c r="B630" s="49"/>
      <c r="C630" s="49"/>
      <c r="D630" s="49"/>
      <c r="E630" s="49"/>
      <c r="F630" s="44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107"/>
      <c r="AH630" s="49"/>
      <c r="AI630" s="49"/>
      <c r="AJ630" s="49"/>
      <c r="AK630" s="107"/>
      <c r="AL630" s="49"/>
      <c r="AM630" s="49"/>
      <c r="AN630" s="49"/>
    </row>
    <row r="631" spans="1:40">
      <c r="F631" s="49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Y631" s="44"/>
      <c r="Z631" s="44"/>
      <c r="AA631" s="44"/>
      <c r="AB631" s="44"/>
      <c r="AC631" s="44"/>
      <c r="AD631" s="44"/>
      <c r="AE631" s="44"/>
      <c r="AF631" s="44"/>
      <c r="AG631" s="102"/>
      <c r="AH631" s="44"/>
      <c r="AI631" s="44"/>
      <c r="AJ631" s="44"/>
      <c r="AK631" s="102"/>
      <c r="AL631" s="44"/>
      <c r="AM631" s="44"/>
      <c r="AN631" s="44"/>
    </row>
    <row r="632" spans="1:40">
      <c r="C632" s="42"/>
      <c r="D632" s="42"/>
      <c r="E632" s="42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T632" s="42"/>
      <c r="U632" s="42"/>
      <c r="V632" s="45"/>
      <c r="Y632" s="45"/>
      <c r="Z632" s="47"/>
      <c r="AA632" s="45"/>
      <c r="AB632" s="45"/>
      <c r="AC632" s="47"/>
      <c r="AD632" s="47"/>
      <c r="AE632" s="45"/>
      <c r="AF632" s="45"/>
      <c r="AH632" s="51"/>
      <c r="AI632" s="45"/>
      <c r="AJ632" s="45"/>
      <c r="AL632" s="45"/>
      <c r="AM632" s="46"/>
      <c r="AN632" s="46"/>
    </row>
    <row r="633" spans="1:40">
      <c r="F633" s="45"/>
      <c r="H633" s="50"/>
      <c r="I633" s="50"/>
      <c r="J633" s="326"/>
      <c r="K633" s="326"/>
      <c r="L633" s="50"/>
      <c r="M633" s="50"/>
      <c r="N633" s="50"/>
      <c r="O633" s="50"/>
      <c r="P633" s="50"/>
      <c r="Q633" s="50"/>
      <c r="R633" s="50"/>
      <c r="V633" s="50"/>
      <c r="Y633" s="50"/>
      <c r="Z633" s="326"/>
      <c r="AA633" s="50"/>
      <c r="AB633" s="50"/>
      <c r="AC633" s="50"/>
      <c r="AD633" s="50"/>
      <c r="AE633" s="50"/>
      <c r="AF633" s="50"/>
      <c r="AI633" s="50"/>
      <c r="AJ633" s="50"/>
      <c r="AK633" s="111"/>
      <c r="AL633" s="50"/>
      <c r="AM633" s="46"/>
      <c r="AN633" s="46"/>
    </row>
    <row r="634" spans="1:40">
      <c r="C634" s="42"/>
      <c r="F634" s="50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V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1:40">
      <c r="F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V635" s="45"/>
      <c r="Y635" s="45"/>
      <c r="Z635" s="47"/>
      <c r="AA635" s="45"/>
      <c r="AB635" s="45"/>
      <c r="AC635" s="47"/>
      <c r="AD635" s="47"/>
      <c r="AH635" s="51"/>
      <c r="AI635" s="45"/>
      <c r="AJ635" s="45"/>
      <c r="AL635" s="45"/>
      <c r="AM635" s="46"/>
      <c r="AN635" s="46"/>
    </row>
    <row r="636" spans="1:40">
      <c r="C636" s="42"/>
      <c r="D636" s="42"/>
      <c r="E636" s="42"/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T636" s="42"/>
      <c r="U636" s="42"/>
      <c r="V636" s="45"/>
      <c r="Y636" s="45"/>
      <c r="Z636" s="47"/>
      <c r="AA636" s="45"/>
      <c r="AB636" s="45"/>
      <c r="AC636" s="47"/>
      <c r="AD636" s="47"/>
      <c r="AE636" s="45"/>
      <c r="AF636" s="45"/>
      <c r="AH636" s="51"/>
      <c r="AI636" s="45"/>
      <c r="AJ636" s="45"/>
      <c r="AL636" s="45"/>
      <c r="AM636" s="46"/>
      <c r="AN636" s="46"/>
    </row>
    <row r="637" spans="1:40">
      <c r="C637" s="42"/>
      <c r="D637" s="42"/>
      <c r="E637" s="42"/>
      <c r="F637" s="45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U637" s="42"/>
      <c r="V637" s="45"/>
      <c r="Y637" s="45"/>
      <c r="Z637" s="47"/>
      <c r="AA637" s="45"/>
      <c r="AB637" s="45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1:40">
      <c r="C638" s="42"/>
      <c r="D638" s="42"/>
      <c r="E638" s="42"/>
      <c r="F638" s="45"/>
      <c r="H638" s="45"/>
      <c r="I638" s="45"/>
      <c r="J638" s="47"/>
      <c r="K638" s="47"/>
      <c r="L638" s="45"/>
      <c r="M638" s="45"/>
      <c r="N638" s="47"/>
      <c r="O638" s="47"/>
      <c r="P638" s="45"/>
      <c r="Q638" s="45"/>
      <c r="R638" s="45"/>
      <c r="T638" s="42"/>
      <c r="U638" s="42"/>
      <c r="V638" s="45"/>
      <c r="Y638" s="45"/>
      <c r="Z638" s="47"/>
      <c r="AA638" s="45"/>
      <c r="AB638" s="45"/>
      <c r="AC638" s="47"/>
      <c r="AD638" s="47"/>
      <c r="AE638" s="45"/>
      <c r="AF638" s="45"/>
      <c r="AH638" s="51"/>
      <c r="AI638" s="45"/>
      <c r="AJ638" s="45"/>
      <c r="AL638" s="45"/>
      <c r="AM638" s="46"/>
      <c r="AN638" s="46"/>
    </row>
    <row r="639" spans="1:40">
      <c r="C639" s="42"/>
      <c r="D639" s="42"/>
      <c r="E639" s="42"/>
      <c r="F639" s="45"/>
      <c r="H639" s="45"/>
      <c r="I639" s="45"/>
      <c r="J639" s="47"/>
      <c r="K639" s="47"/>
      <c r="L639" s="45"/>
      <c r="M639" s="45"/>
      <c r="N639" s="47"/>
      <c r="O639" s="47"/>
      <c r="P639" s="45"/>
      <c r="Q639" s="45"/>
      <c r="R639" s="45"/>
      <c r="T639" s="42"/>
      <c r="U639" s="42"/>
      <c r="V639" s="45"/>
      <c r="Y639" s="45"/>
      <c r="Z639" s="47"/>
      <c r="AA639" s="45"/>
      <c r="AB639" s="45"/>
      <c r="AC639" s="47"/>
      <c r="AD639" s="47"/>
      <c r="AE639" s="45"/>
      <c r="AF639" s="45"/>
      <c r="AH639" s="51"/>
      <c r="AI639" s="45"/>
      <c r="AJ639" s="45"/>
      <c r="AL639" s="45"/>
      <c r="AM639" s="46"/>
      <c r="AN639" s="46"/>
    </row>
    <row r="640" spans="1:40">
      <c r="C640" s="42"/>
      <c r="D640" s="42"/>
      <c r="E640" s="42"/>
      <c r="F640" s="45"/>
      <c r="H640" s="45"/>
      <c r="I640" s="45"/>
      <c r="J640" s="47"/>
      <c r="K640" s="47"/>
      <c r="L640" s="45"/>
      <c r="M640" s="45"/>
      <c r="N640" s="47"/>
      <c r="O640" s="47"/>
      <c r="P640" s="45"/>
      <c r="Q640" s="45"/>
      <c r="R640" s="45"/>
      <c r="T640" s="42"/>
      <c r="U640" s="42"/>
      <c r="V640" s="45"/>
      <c r="Y640" s="45"/>
      <c r="Z640" s="47"/>
      <c r="AA640" s="45"/>
      <c r="AB640" s="45"/>
      <c r="AC640" s="47"/>
      <c r="AD640" s="47"/>
      <c r="AE640" s="45"/>
      <c r="AF640" s="45"/>
      <c r="AH640" s="51"/>
      <c r="AI640" s="45"/>
      <c r="AJ640" s="45"/>
      <c r="AL640" s="45"/>
      <c r="AM640" s="46"/>
      <c r="AN640" s="46"/>
    </row>
    <row r="641" spans="3:40">
      <c r="C641" s="42"/>
      <c r="D641" s="42"/>
      <c r="E641" s="42"/>
      <c r="F641" s="45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U641" s="42"/>
      <c r="V641" s="45"/>
      <c r="Y641" s="45"/>
      <c r="Z641" s="47"/>
      <c r="AA641" s="45"/>
      <c r="AB641" s="45"/>
      <c r="AC641" s="47"/>
      <c r="AD641" s="47"/>
      <c r="AE641" s="45"/>
      <c r="AF641" s="45"/>
      <c r="AH641" s="51"/>
      <c r="AI641" s="45"/>
      <c r="AJ641" s="45"/>
      <c r="AL641" s="45"/>
      <c r="AM641" s="46"/>
      <c r="AN641" s="46"/>
    </row>
    <row r="642" spans="3:40">
      <c r="F642" s="45"/>
      <c r="H642" s="50"/>
      <c r="I642" s="50"/>
      <c r="J642" s="326"/>
      <c r="K642" s="326"/>
      <c r="L642" s="50"/>
      <c r="M642" s="50"/>
      <c r="N642" s="50"/>
      <c r="O642" s="50"/>
      <c r="P642" s="50"/>
      <c r="Q642" s="50"/>
      <c r="R642" s="50"/>
      <c r="V642" s="50"/>
      <c r="Y642" s="50"/>
      <c r="Z642" s="326"/>
      <c r="AA642" s="50"/>
      <c r="AB642" s="50"/>
      <c r="AC642" s="50"/>
      <c r="AD642" s="50"/>
      <c r="AE642" s="50"/>
      <c r="AF642" s="50"/>
      <c r="AI642" s="50"/>
      <c r="AJ642" s="50"/>
      <c r="AK642" s="111"/>
      <c r="AL642" s="50"/>
      <c r="AM642" s="46"/>
      <c r="AN642" s="46"/>
    </row>
    <row r="643" spans="3:40">
      <c r="C643" s="42"/>
      <c r="F643" s="50"/>
      <c r="H643" s="45"/>
      <c r="I643" s="45"/>
      <c r="J643" s="47"/>
      <c r="K643" s="47"/>
      <c r="L643" s="45"/>
      <c r="M643" s="45"/>
      <c r="N643" s="47"/>
      <c r="O643" s="47"/>
      <c r="P643" s="45"/>
      <c r="Q643" s="45"/>
      <c r="R643" s="45"/>
      <c r="T643" s="42"/>
      <c r="V643" s="45"/>
      <c r="Y643" s="45"/>
      <c r="Z643" s="47"/>
      <c r="AA643" s="45"/>
      <c r="AB643" s="45"/>
      <c r="AC643" s="47"/>
      <c r="AD643" s="47"/>
      <c r="AE643" s="45"/>
      <c r="AF643" s="45"/>
      <c r="AH643" s="51"/>
      <c r="AI643" s="45"/>
      <c r="AJ643" s="45"/>
      <c r="AL643" s="45"/>
      <c r="AM643" s="46"/>
      <c r="AN643" s="46"/>
    </row>
    <row r="644" spans="3:40">
      <c r="F644" s="45"/>
      <c r="H644" s="45"/>
      <c r="I644" s="45"/>
      <c r="J644" s="47"/>
      <c r="K644" s="47"/>
      <c r="L644" s="45"/>
      <c r="M644" s="45"/>
      <c r="N644" s="47"/>
      <c r="O644" s="47"/>
      <c r="P644" s="45"/>
      <c r="Q644" s="45"/>
      <c r="R644" s="45"/>
      <c r="V644" s="45"/>
      <c r="Y644" s="45"/>
      <c r="Z644" s="47"/>
      <c r="AA644" s="45"/>
      <c r="AB644" s="45"/>
      <c r="AC644" s="47"/>
      <c r="AD644" s="47"/>
      <c r="AH644" s="51"/>
      <c r="AI644" s="45"/>
      <c r="AJ644" s="45"/>
      <c r="AL644" s="45"/>
      <c r="AM644" s="46"/>
      <c r="AN644" s="46"/>
    </row>
    <row r="645" spans="3:40">
      <c r="C645" s="42"/>
      <c r="D645" s="42"/>
      <c r="E645" s="42"/>
      <c r="F645" s="45"/>
      <c r="H645" s="45"/>
      <c r="I645" s="45"/>
      <c r="J645" s="47"/>
      <c r="K645" s="47"/>
      <c r="L645" s="45"/>
      <c r="M645" s="45"/>
      <c r="N645" s="47"/>
      <c r="O645" s="47"/>
      <c r="P645" s="45"/>
      <c r="Q645" s="45"/>
      <c r="R645" s="45"/>
      <c r="T645" s="42"/>
      <c r="U645" s="42"/>
      <c r="V645" s="45"/>
      <c r="Y645" s="45"/>
      <c r="Z645" s="47"/>
      <c r="AA645" s="45"/>
      <c r="AB645" s="45"/>
      <c r="AC645" s="47"/>
      <c r="AD645" s="47"/>
      <c r="AE645" s="45"/>
      <c r="AF645" s="45"/>
      <c r="AH645" s="51"/>
      <c r="AI645" s="45"/>
      <c r="AJ645" s="45"/>
      <c r="AL645" s="45"/>
      <c r="AM645" s="46"/>
      <c r="AN645" s="46"/>
    </row>
    <row r="646" spans="3:40">
      <c r="F646" s="45"/>
      <c r="H646" s="50"/>
      <c r="I646" s="50"/>
      <c r="J646" s="326"/>
      <c r="K646" s="326"/>
      <c r="L646" s="50"/>
      <c r="M646" s="50"/>
      <c r="N646" s="50"/>
      <c r="O646" s="50"/>
      <c r="P646" s="50"/>
      <c r="Q646" s="50"/>
      <c r="R646" s="50"/>
      <c r="V646" s="50"/>
      <c r="Y646" s="50"/>
      <c r="Z646" s="326"/>
      <c r="AA646" s="50"/>
      <c r="AB646" s="50"/>
      <c r="AC646" s="50"/>
      <c r="AD646" s="50"/>
      <c r="AE646" s="50"/>
      <c r="AF646" s="50"/>
      <c r="AI646" s="50"/>
      <c r="AJ646" s="50"/>
      <c r="AK646" s="111"/>
      <c r="AL646" s="50"/>
      <c r="AM646" s="46"/>
      <c r="AN646" s="46"/>
    </row>
    <row r="647" spans="3:40">
      <c r="C647" s="42"/>
      <c r="F647" s="50"/>
      <c r="H647" s="45"/>
      <c r="I647" s="45"/>
      <c r="J647" s="47"/>
      <c r="K647" s="47"/>
      <c r="L647" s="45"/>
      <c r="M647" s="45"/>
      <c r="N647" s="47"/>
      <c r="O647" s="47"/>
      <c r="P647" s="45"/>
      <c r="Q647" s="45"/>
      <c r="R647" s="45"/>
      <c r="T647" s="42"/>
      <c r="V647" s="45"/>
      <c r="Y647" s="45"/>
      <c r="Z647" s="47"/>
      <c r="AA647" s="45"/>
      <c r="AB647" s="45"/>
      <c r="AC647" s="47"/>
      <c r="AD647" s="47"/>
      <c r="AE647" s="45"/>
      <c r="AF647" s="45"/>
      <c r="AH647" s="51"/>
      <c r="AI647" s="45"/>
      <c r="AJ647" s="45"/>
      <c r="AL647" s="45"/>
      <c r="AM647" s="46"/>
      <c r="AN647" s="46"/>
    </row>
    <row r="648" spans="3:40">
      <c r="F648" s="45"/>
      <c r="H648" s="45"/>
      <c r="I648" s="45"/>
      <c r="J648" s="47"/>
      <c r="K648" s="47"/>
      <c r="L648" s="45"/>
      <c r="M648" s="45"/>
      <c r="N648" s="47"/>
      <c r="O648" s="47"/>
      <c r="P648" s="45"/>
      <c r="Q648" s="45"/>
      <c r="R648" s="45"/>
      <c r="V648" s="45"/>
      <c r="Y648" s="45"/>
      <c r="Z648" s="47"/>
      <c r="AA648" s="45"/>
      <c r="AB648" s="45"/>
      <c r="AC648" s="47"/>
      <c r="AD648" s="47"/>
      <c r="AH648" s="51"/>
      <c r="AI648" s="45"/>
      <c r="AJ648" s="45"/>
      <c r="AL648" s="45"/>
      <c r="AM648" s="46"/>
      <c r="AN648" s="46"/>
    </row>
    <row r="649" spans="3:40">
      <c r="C649" s="42"/>
      <c r="D649" s="42"/>
      <c r="E649" s="42"/>
      <c r="F649" s="45"/>
      <c r="H649" s="45"/>
      <c r="I649" s="45"/>
      <c r="J649" s="47"/>
      <c r="K649" s="47"/>
      <c r="L649" s="45"/>
      <c r="M649" s="45"/>
      <c r="N649" s="47"/>
      <c r="O649" s="47"/>
      <c r="P649" s="45"/>
      <c r="Q649" s="45"/>
      <c r="R649" s="45"/>
      <c r="T649" s="42"/>
      <c r="U649" s="42"/>
      <c r="V649" s="45"/>
      <c r="Y649" s="45"/>
      <c r="Z649" s="47"/>
      <c r="AA649" s="45"/>
      <c r="AB649" s="45"/>
      <c r="AC649" s="47"/>
      <c r="AD649" s="47"/>
      <c r="AE649" s="45"/>
      <c r="AF649" s="45"/>
      <c r="AH649" s="51"/>
      <c r="AI649" s="45"/>
      <c r="AJ649" s="45"/>
      <c r="AL649" s="45"/>
      <c r="AM649" s="46"/>
      <c r="AN649" s="46"/>
    </row>
    <row r="650" spans="3:40">
      <c r="C650" s="42"/>
      <c r="D650" s="42"/>
      <c r="E650" s="42"/>
      <c r="F650" s="45"/>
      <c r="G650" s="45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U650" s="42"/>
      <c r="V650" s="45"/>
      <c r="W650" s="45"/>
      <c r="X650" s="45"/>
      <c r="Y650" s="45"/>
      <c r="Z650" s="47"/>
      <c r="AA650" s="45"/>
      <c r="AB650" s="45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3:40">
      <c r="C651" s="42"/>
      <c r="D651" s="42"/>
      <c r="E651" s="42"/>
      <c r="F651" s="45"/>
      <c r="G651" s="45"/>
      <c r="H651" s="45"/>
      <c r="I651" s="45"/>
      <c r="J651" s="47"/>
      <c r="K651" s="47"/>
      <c r="L651" s="45"/>
      <c r="M651" s="45"/>
      <c r="N651" s="47"/>
      <c r="O651" s="47"/>
      <c r="P651" s="45"/>
      <c r="Q651" s="45"/>
      <c r="R651" s="45"/>
      <c r="T651" s="42"/>
      <c r="U651" s="42"/>
      <c r="V651" s="45"/>
      <c r="W651" s="45"/>
      <c r="X651" s="45"/>
      <c r="Y651" s="45"/>
      <c r="Z651" s="47"/>
      <c r="AA651" s="45"/>
      <c r="AB651" s="45"/>
      <c r="AC651" s="47"/>
      <c r="AD651" s="47"/>
      <c r="AE651" s="45"/>
      <c r="AF651" s="45"/>
      <c r="AH651" s="51"/>
      <c r="AI651" s="45"/>
      <c r="AJ651" s="45"/>
      <c r="AL651" s="45"/>
      <c r="AM651" s="46"/>
      <c r="AN651" s="46"/>
    </row>
    <row r="652" spans="3:40">
      <c r="C652" s="42"/>
      <c r="D652" s="42"/>
      <c r="E652" s="42"/>
      <c r="F652" s="45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U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3:40">
      <c r="C653" s="42"/>
      <c r="D653" s="42"/>
      <c r="E653" s="42"/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T653" s="42"/>
      <c r="U653" s="42"/>
      <c r="V653" s="45"/>
      <c r="Y653" s="45"/>
      <c r="Z653" s="47"/>
      <c r="AA653" s="45"/>
      <c r="AB653" s="45"/>
      <c r="AC653" s="47"/>
      <c r="AD653" s="47"/>
      <c r="AE653" s="45"/>
      <c r="AF653" s="45"/>
      <c r="AH653" s="51"/>
      <c r="AI653" s="45"/>
      <c r="AJ653" s="45"/>
      <c r="AL653" s="45"/>
      <c r="AM653" s="46"/>
      <c r="AN653" s="46"/>
    </row>
    <row r="654" spans="3:40">
      <c r="C654" s="42"/>
      <c r="D654" s="42"/>
      <c r="E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U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3:40">
      <c r="C655" s="42"/>
      <c r="D655" s="42"/>
      <c r="E655" s="42"/>
      <c r="F655" s="45"/>
      <c r="H655" s="45"/>
      <c r="I655" s="45"/>
      <c r="J655" s="47"/>
      <c r="K655" s="47"/>
      <c r="L655" s="45"/>
      <c r="M655" s="45"/>
      <c r="N655" s="47"/>
      <c r="O655" s="47"/>
      <c r="P655" s="45"/>
      <c r="Q655" s="45"/>
      <c r="R655" s="45"/>
      <c r="T655" s="42"/>
      <c r="U655" s="42"/>
      <c r="V655" s="45"/>
      <c r="Y655" s="45"/>
      <c r="Z655" s="47"/>
      <c r="AA655" s="45"/>
      <c r="AB655" s="45"/>
      <c r="AC655" s="47"/>
      <c r="AD655" s="47"/>
      <c r="AE655" s="45"/>
      <c r="AF655" s="45"/>
      <c r="AH655" s="51"/>
      <c r="AI655" s="45"/>
      <c r="AJ655" s="45"/>
      <c r="AL655" s="45"/>
      <c r="AM655" s="46"/>
      <c r="AN655" s="46"/>
    </row>
    <row r="656" spans="3:40">
      <c r="F656" s="45"/>
      <c r="H656" s="50"/>
      <c r="I656" s="50"/>
      <c r="J656" s="326"/>
      <c r="K656" s="326"/>
      <c r="L656" s="50"/>
      <c r="M656" s="50"/>
      <c r="N656" s="50"/>
      <c r="O656" s="50"/>
      <c r="P656" s="50"/>
      <c r="Q656" s="50"/>
      <c r="R656" s="50"/>
      <c r="V656" s="50"/>
      <c r="Y656" s="50"/>
      <c r="Z656" s="326"/>
      <c r="AA656" s="50"/>
      <c r="AB656" s="50"/>
      <c r="AC656" s="50"/>
      <c r="AD656" s="50"/>
      <c r="AE656" s="50"/>
      <c r="AF656" s="50"/>
      <c r="AI656" s="50"/>
      <c r="AJ656" s="50"/>
      <c r="AK656" s="111"/>
      <c r="AL656" s="50"/>
      <c r="AM656" s="46"/>
      <c r="AN656" s="46"/>
    </row>
    <row r="657" spans="3:40">
      <c r="C657" s="42"/>
      <c r="F657" s="50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T657" s="42"/>
      <c r="V657" s="45"/>
      <c r="Y657" s="45"/>
      <c r="Z657" s="47"/>
      <c r="AA657" s="45"/>
      <c r="AB657" s="45"/>
      <c r="AC657" s="47"/>
      <c r="AD657" s="47"/>
      <c r="AE657" s="45"/>
      <c r="AF657" s="45"/>
      <c r="AH657" s="51"/>
      <c r="AI657" s="45"/>
      <c r="AJ657" s="45"/>
      <c r="AL657" s="45"/>
      <c r="AM657" s="46"/>
      <c r="AN657" s="46"/>
    </row>
    <row r="658" spans="3:40">
      <c r="F658" s="45"/>
      <c r="V658" s="45"/>
      <c r="Y658" s="45"/>
      <c r="Z658" s="326"/>
      <c r="AA658" s="45"/>
      <c r="AB658" s="45"/>
      <c r="AC658" s="45"/>
      <c r="AD658" s="45"/>
      <c r="AE658" s="45"/>
      <c r="AF658" s="45"/>
      <c r="AI658" s="45"/>
      <c r="AJ658" s="45"/>
      <c r="AL658" s="45"/>
      <c r="AM658" s="46"/>
      <c r="AN658" s="46"/>
    </row>
    <row r="659" spans="3:40">
      <c r="C659" s="42"/>
      <c r="D659" s="42"/>
      <c r="E659" s="42"/>
      <c r="L659" s="45"/>
      <c r="M659" s="45"/>
      <c r="N659" s="47"/>
      <c r="O659" s="47"/>
      <c r="R659" s="45"/>
      <c r="T659" s="42"/>
      <c r="U659" s="42"/>
      <c r="AA659" s="45"/>
      <c r="AB659" s="45"/>
      <c r="AC659" s="47"/>
      <c r="AD659" s="47"/>
      <c r="AE659" s="45"/>
      <c r="AF659" s="45"/>
      <c r="AH659" s="51"/>
      <c r="AL659" s="45"/>
      <c r="AM659" s="46"/>
      <c r="AN659" s="46"/>
    </row>
    <row r="660" spans="3:40">
      <c r="D660" s="42"/>
      <c r="E660" s="42"/>
      <c r="H660" s="164"/>
      <c r="I660" s="164"/>
      <c r="J660" s="47"/>
      <c r="K660" s="47"/>
      <c r="L660" s="45"/>
      <c r="M660" s="45"/>
      <c r="N660" s="47"/>
      <c r="O660" s="47"/>
      <c r="P660" s="164"/>
      <c r="Q660" s="164"/>
      <c r="R660" s="45"/>
      <c r="U660" s="42"/>
      <c r="V660" s="45"/>
      <c r="Y660" s="45"/>
      <c r="Z660" s="47"/>
      <c r="AA660" s="45"/>
      <c r="AB660" s="45"/>
      <c r="AC660" s="47"/>
      <c r="AD660" s="47"/>
      <c r="AE660" s="45"/>
      <c r="AF660" s="45"/>
      <c r="AH660" s="51"/>
      <c r="AI660" s="45"/>
      <c r="AJ660" s="45"/>
      <c r="AL660" s="45"/>
      <c r="AM660" s="46"/>
      <c r="AN660" s="46"/>
    </row>
    <row r="661" spans="3:40">
      <c r="F661" s="164"/>
      <c r="H661" s="50"/>
      <c r="I661" s="50"/>
      <c r="J661" s="326"/>
      <c r="K661" s="326"/>
      <c r="L661" s="50"/>
      <c r="M661" s="50"/>
      <c r="N661" s="50"/>
      <c r="O661" s="50"/>
      <c r="P661" s="50"/>
      <c r="Q661" s="50"/>
      <c r="R661" s="50"/>
      <c r="V661" s="50"/>
      <c r="Y661" s="50"/>
      <c r="Z661" s="326"/>
      <c r="AA661" s="50"/>
      <c r="AB661" s="50"/>
      <c r="AC661" s="50"/>
      <c r="AD661" s="50"/>
      <c r="AE661" s="50"/>
      <c r="AF661" s="50"/>
      <c r="AI661" s="50"/>
      <c r="AJ661" s="50"/>
      <c r="AK661" s="111"/>
      <c r="AL661" s="50"/>
      <c r="AM661" s="46"/>
      <c r="AN661" s="46"/>
    </row>
    <row r="662" spans="3:40">
      <c r="C662" s="42"/>
      <c r="F662" s="50"/>
      <c r="H662" s="45"/>
      <c r="I662" s="45"/>
      <c r="J662" s="47"/>
      <c r="K662" s="47"/>
      <c r="L662" s="45"/>
      <c r="M662" s="45"/>
      <c r="N662" s="47"/>
      <c r="O662" s="47"/>
      <c r="P662" s="45"/>
      <c r="Q662" s="45"/>
      <c r="R662" s="45"/>
      <c r="T662" s="42"/>
      <c r="V662" s="45"/>
      <c r="Y662" s="45"/>
      <c r="Z662" s="47"/>
      <c r="AA662" s="45"/>
      <c r="AB662" s="45"/>
      <c r="AC662" s="47"/>
      <c r="AD662" s="47"/>
      <c r="AE662" s="45"/>
      <c r="AF662" s="45"/>
      <c r="AH662" s="51"/>
      <c r="AI662" s="45"/>
      <c r="AJ662" s="45"/>
      <c r="AL662" s="45"/>
      <c r="AM662" s="46"/>
      <c r="AN662" s="46"/>
    </row>
    <row r="663" spans="3:40">
      <c r="F663" s="45"/>
      <c r="H663" s="45"/>
      <c r="I663" s="45"/>
      <c r="J663" s="47"/>
      <c r="K663" s="47"/>
      <c r="L663" s="45"/>
      <c r="M663" s="45"/>
      <c r="N663" s="47"/>
      <c r="O663" s="47"/>
      <c r="P663" s="45"/>
      <c r="Q663" s="45"/>
      <c r="R663" s="45"/>
      <c r="V663" s="45"/>
      <c r="Y663" s="45"/>
      <c r="Z663" s="47"/>
      <c r="AA663" s="45"/>
      <c r="AB663" s="45"/>
      <c r="AC663" s="47"/>
      <c r="AD663" s="47"/>
      <c r="AH663" s="51"/>
      <c r="AI663" s="45"/>
      <c r="AJ663" s="45"/>
      <c r="AL663" s="45"/>
      <c r="AM663" s="46"/>
      <c r="AN663" s="46"/>
    </row>
    <row r="664" spans="3:40">
      <c r="D664" s="42"/>
      <c r="E664" s="42"/>
      <c r="F664" s="45"/>
      <c r="H664" s="45"/>
      <c r="I664" s="45"/>
      <c r="J664" s="47"/>
      <c r="K664" s="47"/>
      <c r="L664" s="164"/>
      <c r="M664" s="164"/>
      <c r="N664" s="47"/>
      <c r="O664" s="47"/>
      <c r="P664" s="45"/>
      <c r="Q664" s="45"/>
      <c r="R664" s="45"/>
      <c r="U664" s="42"/>
      <c r="V664" s="45"/>
      <c r="Y664" s="45"/>
      <c r="Z664" s="47"/>
      <c r="AA664" s="164"/>
      <c r="AB664" s="164"/>
      <c r="AC664" s="47"/>
      <c r="AD664" s="47"/>
      <c r="AE664" s="45"/>
      <c r="AF664" s="45"/>
      <c r="AH664" s="51"/>
      <c r="AI664" s="45"/>
      <c r="AJ664" s="45"/>
      <c r="AL664" s="45"/>
      <c r="AM664" s="46"/>
      <c r="AN664" s="46"/>
    </row>
    <row r="665" spans="3:40">
      <c r="D665" s="42"/>
      <c r="E665" s="42"/>
      <c r="F665" s="45"/>
      <c r="H665" s="45"/>
      <c r="I665" s="45"/>
      <c r="J665" s="47"/>
      <c r="K665" s="47"/>
      <c r="L665" s="164"/>
      <c r="M665" s="164"/>
      <c r="N665" s="47"/>
      <c r="O665" s="47"/>
      <c r="P665" s="45"/>
      <c r="Q665" s="45"/>
      <c r="R665" s="45"/>
      <c r="U665" s="42"/>
      <c r="V665" s="45"/>
      <c r="Y665" s="45"/>
      <c r="Z665" s="47"/>
      <c r="AA665" s="164"/>
      <c r="AB665" s="164"/>
      <c r="AC665" s="47"/>
      <c r="AD665" s="47"/>
      <c r="AE665" s="45"/>
      <c r="AF665" s="45"/>
      <c r="AH665" s="51"/>
      <c r="AI665" s="45"/>
      <c r="AJ665" s="45"/>
      <c r="AL665" s="45"/>
      <c r="AM665" s="46"/>
      <c r="AN665" s="46"/>
    </row>
    <row r="666" spans="3:40">
      <c r="D666" s="42"/>
      <c r="E666" s="42"/>
      <c r="F666" s="45"/>
      <c r="H666" s="45"/>
      <c r="I666" s="45"/>
      <c r="J666" s="47"/>
      <c r="K666" s="47"/>
      <c r="L666" s="164"/>
      <c r="M666" s="164"/>
      <c r="N666" s="47"/>
      <c r="O666" s="47"/>
      <c r="P666" s="45"/>
      <c r="Q666" s="45"/>
      <c r="R666" s="45"/>
      <c r="U666" s="42"/>
      <c r="V666" s="45"/>
      <c r="Y666" s="45"/>
      <c r="Z666" s="47"/>
      <c r="AA666" s="164"/>
      <c r="AB666" s="164"/>
      <c r="AC666" s="47"/>
      <c r="AD666" s="47"/>
      <c r="AE666" s="45"/>
      <c r="AF666" s="45"/>
      <c r="AH666" s="51"/>
      <c r="AI666" s="45"/>
      <c r="AJ666" s="45"/>
      <c r="AL666" s="45"/>
      <c r="AM666" s="46"/>
      <c r="AN666" s="46"/>
    </row>
    <row r="667" spans="3:40">
      <c r="F667" s="45"/>
      <c r="H667" s="50"/>
      <c r="I667" s="50"/>
      <c r="J667" s="326"/>
      <c r="K667" s="326"/>
      <c r="L667" s="50"/>
      <c r="M667" s="50"/>
      <c r="N667" s="50"/>
      <c r="O667" s="50"/>
      <c r="P667" s="50"/>
      <c r="Q667" s="50"/>
      <c r="R667" s="50"/>
      <c r="V667" s="50"/>
      <c r="Y667" s="50"/>
      <c r="Z667" s="326"/>
      <c r="AA667" s="50"/>
      <c r="AB667" s="50"/>
      <c r="AC667" s="50"/>
      <c r="AD667" s="50"/>
      <c r="AE667" s="50"/>
      <c r="AF667" s="50"/>
      <c r="AI667" s="50"/>
      <c r="AJ667" s="50"/>
      <c r="AK667" s="111"/>
      <c r="AL667" s="50"/>
      <c r="AM667" s="46"/>
      <c r="AN667" s="46"/>
    </row>
    <row r="668" spans="3:40">
      <c r="C668" s="42"/>
      <c r="F668" s="50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V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3:40"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V669" s="45"/>
      <c r="Y669" s="45"/>
      <c r="Z669" s="47"/>
      <c r="AA669" s="45"/>
      <c r="AB669" s="45"/>
      <c r="AC669" s="47"/>
      <c r="AD669" s="47"/>
      <c r="AH669" s="51"/>
      <c r="AI669" s="45"/>
      <c r="AJ669" s="45"/>
      <c r="AL669" s="45"/>
      <c r="AM669" s="46"/>
      <c r="AN669" s="46"/>
    </row>
    <row r="670" spans="3:40">
      <c r="C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3:40">
      <c r="F671" s="45"/>
      <c r="H671" s="50"/>
      <c r="I671" s="50"/>
      <c r="J671" s="326"/>
      <c r="K671" s="326"/>
      <c r="L671" s="50"/>
      <c r="M671" s="50"/>
      <c r="N671" s="50"/>
      <c r="O671" s="50"/>
      <c r="P671" s="50"/>
      <c r="Q671" s="50"/>
      <c r="R671" s="50"/>
      <c r="V671" s="50"/>
      <c r="Y671" s="50"/>
      <c r="Z671" s="326"/>
      <c r="AA671" s="50"/>
      <c r="AB671" s="50"/>
      <c r="AC671" s="50"/>
      <c r="AD671" s="50"/>
      <c r="AE671" s="50"/>
      <c r="AF671" s="50"/>
      <c r="AI671" s="50"/>
      <c r="AJ671" s="50"/>
      <c r="AK671" s="111"/>
      <c r="AL671" s="50"/>
    </row>
    <row r="673" spans="1:20">
      <c r="C673" s="42"/>
      <c r="F673" s="50"/>
      <c r="L673" s="45"/>
      <c r="M673" s="45"/>
      <c r="P673" s="45"/>
      <c r="Q673" s="45"/>
      <c r="R673" s="45"/>
      <c r="T673" s="42"/>
    </row>
    <row r="674" spans="1:20">
      <c r="A674" s="42"/>
      <c r="L674" s="45"/>
      <c r="M674" s="45"/>
      <c r="P674" s="45"/>
      <c r="Q674" s="45"/>
      <c r="R674" s="45"/>
    </row>
    <row r="675" spans="1:20">
      <c r="L675" s="45"/>
      <c r="M675" s="45"/>
      <c r="P675" s="45"/>
      <c r="Q675" s="45"/>
      <c r="R675" s="45"/>
    </row>
    <row r="676" spans="1:20">
      <c r="L676" s="45"/>
      <c r="M676" s="45"/>
      <c r="P676" s="45"/>
      <c r="Q676" s="45"/>
      <c r="R676" s="45"/>
    </row>
    <row r="677" spans="1:20">
      <c r="L677" s="45"/>
      <c r="M677" s="45"/>
      <c r="P677" s="45"/>
      <c r="Q677" s="45"/>
      <c r="R677" s="45"/>
    </row>
    <row r="678" spans="1:20">
      <c r="L678" s="45"/>
      <c r="M678" s="45"/>
      <c r="P678" s="45"/>
      <c r="Q678" s="45"/>
      <c r="R678" s="45"/>
    </row>
    <row r="679" spans="1:20">
      <c r="L679" s="45"/>
      <c r="M679" s="45"/>
      <c r="P679" s="45"/>
      <c r="Q679" s="45"/>
      <c r="R679" s="45"/>
    </row>
    <row r="712" spans="49:49">
      <c r="AW712" s="45"/>
    </row>
    <row r="713" spans="49:49">
      <c r="AW713" s="45"/>
    </row>
    <row r="714" spans="49:49">
      <c r="AW714" s="45"/>
    </row>
    <row r="715" spans="49:49">
      <c r="AW715" s="45"/>
    </row>
    <row r="716" spans="49:49">
      <c r="AW716" s="45"/>
    </row>
    <row r="717" spans="49:49">
      <c r="AW717" s="45"/>
    </row>
    <row r="720" spans="49:49">
      <c r="AW720" s="45"/>
    </row>
    <row r="721" spans="49:49">
      <c r="AW721" s="45"/>
    </row>
    <row r="722" spans="49:49">
      <c r="AW722" s="45"/>
    </row>
    <row r="723" spans="49:49">
      <c r="AW723" s="45"/>
    </row>
    <row r="724" spans="49:49">
      <c r="AW724" s="45"/>
    </row>
    <row r="725" spans="49:49">
      <c r="AW725" s="45"/>
    </row>
    <row r="726" spans="49:49">
      <c r="AW726" s="45"/>
    </row>
    <row r="727" spans="49:49">
      <c r="AW727" s="45"/>
    </row>
    <row r="730" spans="49:49">
      <c r="AW730" s="45"/>
    </row>
    <row r="731" spans="49:49">
      <c r="AW731" s="45"/>
    </row>
    <row r="734" spans="49:49">
      <c r="AW734" s="45"/>
    </row>
    <row r="735" spans="49:49">
      <c r="AW735" s="45"/>
    </row>
    <row r="736" spans="49:49">
      <c r="AW736" s="45"/>
    </row>
    <row r="737" spans="45:57">
      <c r="AW737" s="45"/>
    </row>
    <row r="745" spans="45:57">
      <c r="AY745" s="42"/>
    </row>
    <row r="746" spans="45:57">
      <c r="AY746" s="42"/>
    </row>
    <row r="747" spans="45:57">
      <c r="BD747" s="42"/>
    </row>
    <row r="748" spans="45:57">
      <c r="BD748" s="42"/>
    </row>
    <row r="749" spans="45:57">
      <c r="AS749" s="42"/>
      <c r="BD749" s="42"/>
    </row>
    <row r="751" spans="45:57"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</row>
    <row r="752" spans="45:57">
      <c r="AX752" s="42"/>
    </row>
    <row r="753" spans="45:69">
      <c r="AX753" s="49"/>
      <c r="AY753" s="49"/>
      <c r="AZ753" s="49"/>
      <c r="BA753" s="49"/>
      <c r="BC753" s="44"/>
      <c r="BD753" s="44"/>
    </row>
    <row r="754" spans="45:69">
      <c r="AV754" s="44"/>
      <c r="AW754" s="44"/>
      <c r="AZ754" s="44"/>
      <c r="BA754" s="44"/>
      <c r="BC754" s="44"/>
      <c r="BD754" s="44"/>
      <c r="BE754" s="44"/>
      <c r="BG754" s="49"/>
      <c r="BH754" s="42"/>
      <c r="BK754" s="49"/>
      <c r="BM754" s="49"/>
      <c r="BN754" s="42"/>
      <c r="BQ754" s="49"/>
    </row>
    <row r="755" spans="45:69"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H755" s="44"/>
      <c r="BI755" s="44"/>
      <c r="BJ755" s="44"/>
      <c r="BN755" s="44"/>
      <c r="BO755" s="44"/>
      <c r="BP755" s="44"/>
    </row>
    <row r="756" spans="45:69">
      <c r="AS756" s="44"/>
      <c r="AU756" s="42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G756" s="44"/>
      <c r="BH756" s="44"/>
      <c r="BI756" s="44"/>
      <c r="BJ756" s="44"/>
      <c r="BK756" s="44"/>
      <c r="BM756" s="44"/>
      <c r="BN756" s="44"/>
      <c r="BO756" s="44"/>
      <c r="BP756" s="44"/>
      <c r="BQ756" s="44"/>
    </row>
    <row r="757" spans="45:69">
      <c r="AS757" s="44"/>
      <c r="AU757" s="42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G757" s="44"/>
      <c r="BH757" s="44"/>
      <c r="BI757" s="44"/>
      <c r="BJ757" s="44"/>
      <c r="BK757" s="44"/>
      <c r="BM757" s="44"/>
      <c r="BN757" s="44"/>
      <c r="BO757" s="44"/>
      <c r="BP757" s="44"/>
      <c r="BQ757" s="44"/>
    </row>
    <row r="758" spans="45:69"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G758" s="49"/>
      <c r="BH758" s="49"/>
      <c r="BI758" s="49"/>
      <c r="BJ758" s="49"/>
      <c r="BK758" s="49"/>
      <c r="BM758" s="49"/>
      <c r="BN758" s="49"/>
      <c r="BO758" s="49"/>
      <c r="BP758" s="49"/>
      <c r="BQ758" s="49"/>
    </row>
    <row r="759" spans="45:69"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</row>
    <row r="760" spans="45:69">
      <c r="AU760" s="42"/>
      <c r="AV760" s="44"/>
      <c r="AY760" s="47"/>
    </row>
    <row r="761" spans="45:69">
      <c r="AV761" s="44"/>
      <c r="AW761" s="45"/>
      <c r="AX761" s="56"/>
      <c r="AY761" s="56"/>
      <c r="AZ761" s="56"/>
      <c r="BA761" s="46"/>
      <c r="BB761" s="56"/>
      <c r="BC761" s="47"/>
      <c r="BD761" s="47"/>
      <c r="BE761" s="46"/>
      <c r="BG761" s="56"/>
      <c r="BH761" s="56"/>
      <c r="BI761" s="56"/>
      <c r="BJ761" s="56"/>
      <c r="BK761" s="56"/>
      <c r="BM761" s="56"/>
      <c r="BN761" s="56"/>
      <c r="BO761" s="56"/>
      <c r="BP761" s="56"/>
      <c r="BQ761" s="56"/>
    </row>
    <row r="762" spans="45:69">
      <c r="AV762" s="44"/>
      <c r="AW762" s="45"/>
      <c r="AX762" s="56"/>
      <c r="AY762" s="56"/>
      <c r="AZ762" s="56"/>
      <c r="BA762" s="46"/>
      <c r="BB762" s="56"/>
      <c r="BC762" s="47"/>
      <c r="BD762" s="47"/>
      <c r="BE762" s="46"/>
      <c r="BG762" s="56"/>
      <c r="BH762" s="56"/>
      <c r="BI762" s="56"/>
      <c r="BJ762" s="56"/>
      <c r="BK762" s="56"/>
      <c r="BM762" s="56"/>
      <c r="BN762" s="56"/>
      <c r="BO762" s="56"/>
      <c r="BP762" s="56"/>
      <c r="BQ762" s="56"/>
    </row>
    <row r="763" spans="45:69">
      <c r="AV763" s="44"/>
      <c r="AW763" s="45"/>
      <c r="AX763" s="56"/>
      <c r="AY763" s="56"/>
      <c r="AZ763" s="56"/>
      <c r="BA763" s="46"/>
      <c r="BB763" s="56"/>
      <c r="BC763" s="47"/>
      <c r="BD763" s="47"/>
      <c r="BE763" s="46"/>
      <c r="BG763" s="56"/>
      <c r="BH763" s="56"/>
      <c r="BI763" s="56"/>
      <c r="BJ763" s="56"/>
      <c r="BK763" s="56"/>
      <c r="BM763" s="56"/>
      <c r="BN763" s="56"/>
      <c r="BO763" s="56"/>
      <c r="BP763" s="56"/>
      <c r="BQ763" s="56"/>
    </row>
    <row r="764" spans="45:69">
      <c r="AV764" s="44"/>
      <c r="AW764" s="45"/>
      <c r="AX764" s="56"/>
      <c r="AY764" s="56"/>
      <c r="AZ764" s="56"/>
      <c r="BA764" s="46"/>
      <c r="BB764" s="56"/>
      <c r="BC764" s="47"/>
      <c r="BD764" s="47"/>
      <c r="BE764" s="46"/>
      <c r="BG764" s="56"/>
      <c r="BH764" s="56"/>
      <c r="BI764" s="56"/>
      <c r="BJ764" s="56"/>
      <c r="BK764" s="56"/>
      <c r="BM764" s="56"/>
      <c r="BN764" s="56"/>
      <c r="BO764" s="56"/>
      <c r="BP764" s="56"/>
      <c r="BQ764" s="56"/>
    </row>
    <row r="765" spans="45:69">
      <c r="AV765" s="44"/>
      <c r="AW765" s="45"/>
      <c r="AX765" s="56"/>
      <c r="AY765" s="56"/>
      <c r="AZ765" s="56"/>
      <c r="BA765" s="46"/>
      <c r="BB765" s="56"/>
      <c r="BC765" s="47"/>
      <c r="BD765" s="47"/>
      <c r="BE765" s="46"/>
      <c r="BG765" s="56"/>
      <c r="BH765" s="56"/>
      <c r="BI765" s="56"/>
      <c r="BJ765" s="56"/>
      <c r="BK765" s="56"/>
      <c r="BM765" s="56"/>
      <c r="BN765" s="56"/>
      <c r="BO765" s="56"/>
      <c r="BP765" s="56"/>
      <c r="BQ765" s="56"/>
    </row>
    <row r="766" spans="45:69">
      <c r="AV766" s="44"/>
      <c r="AW766" s="45"/>
      <c r="AX766" s="56"/>
      <c r="AY766" s="56"/>
      <c r="AZ766" s="56"/>
      <c r="BA766" s="46"/>
      <c r="BB766" s="56"/>
      <c r="BC766" s="47"/>
      <c r="BD766" s="47"/>
      <c r="BE766" s="46"/>
      <c r="BG766" s="56"/>
      <c r="BH766" s="56"/>
      <c r="BI766" s="56"/>
      <c r="BJ766" s="56"/>
      <c r="BK766" s="56"/>
      <c r="BM766" s="56"/>
      <c r="BN766" s="56"/>
      <c r="BO766" s="56"/>
      <c r="BP766" s="56"/>
      <c r="BQ766" s="56"/>
    </row>
    <row r="767" spans="45:69">
      <c r="AV767" s="44"/>
      <c r="AW767" s="45"/>
      <c r="AX767" s="56"/>
      <c r="AY767" s="56"/>
      <c r="AZ767" s="56"/>
      <c r="BA767" s="46"/>
      <c r="BB767" s="56"/>
      <c r="BC767" s="47"/>
      <c r="BD767" s="47"/>
      <c r="BE767" s="46"/>
      <c r="BG767" s="56"/>
      <c r="BH767" s="56"/>
      <c r="BI767" s="56"/>
      <c r="BJ767" s="56"/>
      <c r="BK767" s="56"/>
      <c r="BM767" s="56"/>
      <c r="BN767" s="56"/>
      <c r="BO767" s="56"/>
      <c r="BP767" s="56"/>
      <c r="BQ767" s="56"/>
    </row>
    <row r="768" spans="45:69">
      <c r="AY768" s="47"/>
      <c r="AZ768" s="56"/>
      <c r="BA768" s="46"/>
      <c r="BB768" s="56"/>
      <c r="BC768" s="47"/>
      <c r="BD768" s="47"/>
      <c r="BE768" s="46"/>
      <c r="BK768" s="56"/>
      <c r="BQ768" s="56"/>
    </row>
    <row r="769" spans="45:69">
      <c r="AV769" s="44"/>
      <c r="AY769" s="47"/>
      <c r="AZ769" s="56"/>
      <c r="BA769" s="46"/>
      <c r="BB769" s="56"/>
      <c r="BC769" s="47"/>
      <c r="BD769" s="47"/>
      <c r="BE769" s="46"/>
      <c r="BK769" s="56"/>
      <c r="BQ769" s="56"/>
    </row>
    <row r="770" spans="45:69">
      <c r="AV770" s="44"/>
      <c r="AW770" s="45"/>
      <c r="AX770" s="56"/>
      <c r="AY770" s="56"/>
      <c r="AZ770" s="56"/>
      <c r="BA770" s="46"/>
      <c r="BB770" s="56"/>
      <c r="BC770" s="47"/>
      <c r="BD770" s="47"/>
      <c r="BE770" s="46"/>
      <c r="BG770" s="56"/>
      <c r="BH770" s="56"/>
      <c r="BI770" s="56"/>
      <c r="BJ770" s="56"/>
      <c r="BK770" s="56"/>
      <c r="BM770" s="56"/>
      <c r="BN770" s="56"/>
      <c r="BO770" s="56"/>
      <c r="BP770" s="56"/>
      <c r="BQ770" s="56"/>
    </row>
    <row r="771" spans="45:69">
      <c r="AV771" s="44"/>
      <c r="AW771" s="45"/>
      <c r="AX771" s="56"/>
      <c r="AY771" s="56"/>
      <c r="AZ771" s="56"/>
      <c r="BA771" s="46"/>
      <c r="BB771" s="56"/>
      <c r="BC771" s="47"/>
      <c r="BD771" s="47"/>
      <c r="BE771" s="46"/>
      <c r="BG771" s="56"/>
      <c r="BH771" s="56"/>
      <c r="BI771" s="56"/>
      <c r="BJ771" s="56"/>
      <c r="BK771" s="56"/>
      <c r="BM771" s="56"/>
      <c r="BN771" s="56"/>
      <c r="BO771" s="56"/>
      <c r="BP771" s="56"/>
      <c r="BQ771" s="56"/>
    </row>
    <row r="772" spans="45:69">
      <c r="AV772" s="44"/>
      <c r="AW772" s="45"/>
      <c r="AX772" s="56"/>
      <c r="AY772" s="56"/>
      <c r="AZ772" s="56"/>
      <c r="BA772" s="46"/>
      <c r="BB772" s="56"/>
      <c r="BC772" s="47"/>
      <c r="BD772" s="47"/>
      <c r="BE772" s="46"/>
      <c r="BG772" s="56"/>
      <c r="BH772" s="56"/>
      <c r="BI772" s="56"/>
      <c r="BJ772" s="56"/>
      <c r="BK772" s="56"/>
      <c r="BM772" s="56"/>
      <c r="BN772" s="56"/>
      <c r="BO772" s="56"/>
      <c r="BP772" s="56"/>
      <c r="BQ772" s="56"/>
    </row>
    <row r="773" spans="45:69">
      <c r="AV773" s="44"/>
      <c r="AW773" s="45"/>
      <c r="AX773" s="56"/>
      <c r="AY773" s="56"/>
      <c r="AZ773" s="56"/>
      <c r="BA773" s="46"/>
      <c r="BB773" s="56"/>
      <c r="BC773" s="47"/>
      <c r="BD773" s="47"/>
      <c r="BE773" s="46"/>
      <c r="BG773" s="56"/>
      <c r="BH773" s="56"/>
      <c r="BI773" s="56"/>
      <c r="BJ773" s="56"/>
      <c r="BK773" s="56"/>
      <c r="BM773" s="56"/>
      <c r="BN773" s="56"/>
      <c r="BO773" s="56"/>
      <c r="BP773" s="56"/>
      <c r="BQ773" s="56"/>
    </row>
    <row r="774" spans="45:69">
      <c r="AV774" s="44"/>
      <c r="AW774" s="45"/>
      <c r="AX774" s="56"/>
      <c r="AY774" s="56"/>
      <c r="AZ774" s="56"/>
      <c r="BA774" s="46"/>
      <c r="BB774" s="56"/>
      <c r="BC774" s="47"/>
      <c r="BD774" s="47"/>
      <c r="BE774" s="46"/>
      <c r="BG774" s="56"/>
      <c r="BH774" s="56"/>
      <c r="BI774" s="56"/>
      <c r="BJ774" s="56"/>
      <c r="BK774" s="56"/>
      <c r="BM774" s="56"/>
      <c r="BN774" s="56"/>
      <c r="BO774" s="56"/>
      <c r="BP774" s="56"/>
      <c r="BQ774" s="56"/>
    </row>
    <row r="775" spans="45:69">
      <c r="AV775" s="44"/>
      <c r="AW775" s="45"/>
      <c r="AX775" s="56"/>
      <c r="AY775" s="56"/>
      <c r="AZ775" s="56"/>
      <c r="BA775" s="46"/>
      <c r="BB775" s="56"/>
      <c r="BC775" s="47"/>
      <c r="BD775" s="47"/>
      <c r="BE775" s="46"/>
      <c r="BG775" s="56"/>
      <c r="BH775" s="56"/>
      <c r="BI775" s="56"/>
      <c r="BJ775" s="56"/>
      <c r="BK775" s="56"/>
      <c r="BM775" s="56"/>
      <c r="BN775" s="56"/>
      <c r="BO775" s="56"/>
      <c r="BP775" s="56"/>
      <c r="BQ775" s="56"/>
    </row>
    <row r="776" spans="45:69">
      <c r="AV776" s="44"/>
      <c r="AW776" s="45"/>
      <c r="AX776" s="56"/>
      <c r="AY776" s="56"/>
      <c r="AZ776" s="56"/>
      <c r="BA776" s="46"/>
      <c r="BB776" s="56"/>
      <c r="BC776" s="47"/>
      <c r="BD776" s="47"/>
      <c r="BE776" s="46"/>
      <c r="BG776" s="56"/>
      <c r="BH776" s="56"/>
      <c r="BI776" s="56"/>
      <c r="BJ776" s="56"/>
      <c r="BK776" s="56"/>
      <c r="BM776" s="56"/>
      <c r="BN776" s="56"/>
      <c r="BO776" s="56"/>
      <c r="BP776" s="56"/>
      <c r="BQ776" s="56"/>
    </row>
    <row r="777" spans="45:69">
      <c r="AV777" s="44"/>
      <c r="AW777" s="45"/>
      <c r="AX777" s="56"/>
      <c r="AY777" s="56"/>
      <c r="AZ777" s="56"/>
      <c r="BA777" s="46"/>
      <c r="BB777" s="56"/>
      <c r="BC777" s="47"/>
      <c r="BD777" s="47"/>
      <c r="BE777" s="46"/>
      <c r="BG777" s="56"/>
      <c r="BH777" s="56"/>
      <c r="BI777" s="56"/>
      <c r="BJ777" s="56"/>
      <c r="BK777" s="56"/>
      <c r="BM777" s="56"/>
      <c r="BN777" s="56"/>
      <c r="BO777" s="56"/>
      <c r="BP777" s="56"/>
      <c r="BQ777" s="56"/>
    </row>
    <row r="778" spans="45:69">
      <c r="AY778" s="47"/>
      <c r="AZ778" s="56"/>
      <c r="BA778" s="46"/>
      <c r="BB778" s="56"/>
      <c r="BC778" s="47"/>
      <c r="BD778" s="47"/>
      <c r="BE778" s="46"/>
      <c r="BK778" s="56"/>
      <c r="BQ778" s="56"/>
    </row>
    <row r="779" spans="45:69">
      <c r="AU779" s="42"/>
      <c r="AZ779" s="56"/>
      <c r="BB779" s="56"/>
      <c r="BG779" s="56"/>
      <c r="BH779" s="56"/>
      <c r="BJ779" s="56"/>
      <c r="BK779" s="56"/>
    </row>
    <row r="780" spans="45:69">
      <c r="AZ780" s="56"/>
      <c r="BB780" s="56"/>
    </row>
    <row r="781" spans="45:69">
      <c r="AS781" s="42"/>
      <c r="AZ781" s="56"/>
      <c r="BB781" s="56"/>
      <c r="BI781" s="56"/>
    </row>
    <row r="782" spans="45:69">
      <c r="AZ782" s="56"/>
      <c r="BB782" s="56"/>
    </row>
    <row r="783" spans="45:69">
      <c r="AY783" s="56"/>
      <c r="BB783" s="56"/>
    </row>
    <row r="784" spans="45:69">
      <c r="AY784" s="42"/>
      <c r="AZ784" s="56"/>
      <c r="BB784" s="56"/>
    </row>
    <row r="785" spans="45:75">
      <c r="AY785" s="42"/>
      <c r="AZ785" s="56"/>
      <c r="BB785" s="56"/>
    </row>
    <row r="786" spans="45:75">
      <c r="AZ786" s="56"/>
      <c r="BB786" s="56"/>
      <c r="BD786" s="42"/>
    </row>
    <row r="787" spans="45:75">
      <c r="AZ787" s="56"/>
      <c r="BB787" s="56"/>
      <c r="BD787" s="42"/>
    </row>
    <row r="788" spans="45:75">
      <c r="AS788" s="42"/>
      <c r="AZ788" s="56"/>
      <c r="BB788" s="56"/>
      <c r="BD788" s="42"/>
    </row>
    <row r="789" spans="45:75">
      <c r="AZ789" s="56"/>
      <c r="BB789" s="56"/>
    </row>
    <row r="790" spans="45:75">
      <c r="AS790" s="49"/>
      <c r="AT790" s="49"/>
      <c r="AU790" s="49"/>
      <c r="AV790" s="49"/>
      <c r="AW790" s="49"/>
      <c r="AX790" s="49"/>
      <c r="AY790" s="49"/>
      <c r="AZ790" s="57"/>
      <c r="BA790" s="49"/>
      <c r="BB790" s="57"/>
      <c r="BC790" s="49"/>
      <c r="BD790" s="49"/>
      <c r="BE790" s="49"/>
    </row>
    <row r="791" spans="45:75">
      <c r="AX791" s="42"/>
      <c r="AZ791" s="56"/>
      <c r="BB791" s="56"/>
    </row>
    <row r="792" spans="45:75">
      <c r="AX792" s="49"/>
      <c r="AY792" s="49"/>
      <c r="AZ792" s="57"/>
      <c r="BA792" s="49"/>
      <c r="BB792" s="56"/>
      <c r="BC792" s="44"/>
      <c r="BD792" s="44"/>
    </row>
    <row r="793" spans="45:75">
      <c r="AV793" s="44"/>
      <c r="AW793" s="44"/>
      <c r="AZ793" s="58"/>
      <c r="BA793" s="44"/>
      <c r="BB793" s="56"/>
      <c r="BC793" s="44"/>
      <c r="BD793" s="44"/>
      <c r="BE793" s="44"/>
      <c r="BG793" s="49"/>
      <c r="BH793" s="49"/>
      <c r="BI793" s="42"/>
      <c r="BM793" s="49"/>
      <c r="BN793" s="49"/>
      <c r="BP793" s="49"/>
      <c r="BQ793" s="49"/>
      <c r="BR793" s="42"/>
      <c r="BV793" s="49"/>
      <c r="BW793" s="49"/>
    </row>
    <row r="794" spans="45:75">
      <c r="AV794" s="44"/>
      <c r="AW794" s="44"/>
      <c r="AX794" s="44"/>
      <c r="AY794" s="44"/>
      <c r="AZ794" s="58"/>
      <c r="BA794" s="44"/>
      <c r="BB794" s="58"/>
      <c r="BC794" s="44"/>
      <c r="BD794" s="44"/>
      <c r="BE794" s="44"/>
      <c r="BH794" s="44"/>
      <c r="BI794" s="44"/>
      <c r="BJ794" s="44"/>
      <c r="BK794" s="44"/>
      <c r="BL794" s="44"/>
      <c r="BM794" s="44"/>
      <c r="BQ794" s="44"/>
      <c r="BR794" s="44"/>
      <c r="BS794" s="44"/>
      <c r="BT794" s="44"/>
      <c r="BU794" s="44"/>
      <c r="BV794" s="44"/>
    </row>
    <row r="795" spans="45:75">
      <c r="AS795" s="44"/>
      <c r="AU795" s="42"/>
      <c r="AV795" s="44"/>
      <c r="AW795" s="44"/>
      <c r="AX795" s="44"/>
      <c r="AY795" s="44"/>
      <c r="AZ795" s="58"/>
      <c r="BA795" s="44"/>
      <c r="BB795" s="58"/>
      <c r="BC795" s="44"/>
      <c r="BD795" s="44"/>
      <c r="BE795" s="44"/>
      <c r="BG795" s="44"/>
      <c r="BH795" s="44"/>
      <c r="BI795" s="44"/>
      <c r="BJ795" s="44"/>
      <c r="BK795" s="44"/>
      <c r="BL795" s="44"/>
      <c r="BM795" s="44"/>
      <c r="BN795" s="44"/>
      <c r="BP795" s="44"/>
      <c r="BQ795" s="44"/>
      <c r="BR795" s="44"/>
      <c r="BS795" s="44"/>
      <c r="BT795" s="44"/>
      <c r="BU795" s="44"/>
      <c r="BV795" s="44"/>
      <c r="BW795" s="44"/>
    </row>
    <row r="796" spans="45:75">
      <c r="AS796" s="44"/>
      <c r="AU796" s="42"/>
      <c r="AV796" s="44"/>
      <c r="AW796" s="44"/>
      <c r="AX796" s="44"/>
      <c r="AY796" s="44"/>
      <c r="AZ796" s="58"/>
      <c r="BA796" s="44"/>
      <c r="BB796" s="58"/>
      <c r="BC796" s="44"/>
      <c r="BD796" s="44"/>
      <c r="BE796" s="44"/>
      <c r="BG796" s="44"/>
      <c r="BH796" s="44"/>
      <c r="BI796" s="44"/>
      <c r="BJ796" s="44"/>
      <c r="BK796" s="44"/>
      <c r="BL796" s="44"/>
      <c r="BM796" s="44"/>
      <c r="BN796" s="44"/>
      <c r="BP796" s="44"/>
      <c r="BQ796" s="44"/>
      <c r="BR796" s="44"/>
      <c r="BS796" s="44"/>
      <c r="BT796" s="44"/>
      <c r="BU796" s="44"/>
      <c r="BV796" s="44"/>
      <c r="BW796" s="44"/>
    </row>
    <row r="797" spans="45:75">
      <c r="AS797" s="49"/>
      <c r="AT797" s="49"/>
      <c r="AU797" s="49"/>
      <c r="AV797" s="49"/>
      <c r="AW797" s="49"/>
      <c r="AX797" s="49"/>
      <c r="AY797" s="49"/>
      <c r="AZ797" s="57"/>
      <c r="BA797" s="49"/>
      <c r="BB797" s="57"/>
      <c r="BC797" s="49"/>
      <c r="BD797" s="49"/>
      <c r="BE797" s="49"/>
      <c r="BG797" s="49"/>
      <c r="BH797" s="49"/>
      <c r="BI797" s="49"/>
      <c r="BJ797" s="49"/>
      <c r="BK797" s="49"/>
      <c r="BL797" s="49"/>
      <c r="BM797" s="49"/>
      <c r="BN797" s="49"/>
      <c r="BP797" s="49"/>
      <c r="BQ797" s="49"/>
      <c r="BR797" s="49"/>
      <c r="BS797" s="49"/>
      <c r="BT797" s="49"/>
      <c r="BU797" s="49"/>
      <c r="BV797" s="49"/>
      <c r="BW797" s="49"/>
    </row>
    <row r="798" spans="45:75">
      <c r="AV798" s="44"/>
      <c r="AW798" s="44"/>
      <c r="AX798" s="44"/>
      <c r="AY798" s="44"/>
      <c r="AZ798" s="58"/>
      <c r="BA798" s="44"/>
      <c r="BB798" s="58"/>
      <c r="BC798" s="44"/>
      <c r="BD798" s="44"/>
      <c r="BE798" s="44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</row>
    <row r="799" spans="45:75">
      <c r="AU799" s="42"/>
      <c r="AW799" s="45"/>
      <c r="AX799" s="56"/>
      <c r="AY799" s="56"/>
      <c r="AZ799" s="56"/>
      <c r="BA799" s="51"/>
      <c r="BB799" s="56"/>
      <c r="BC799" s="56"/>
      <c r="BD799" s="56"/>
      <c r="BE799" s="51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</row>
    <row r="800" spans="45:75">
      <c r="AW800" s="45"/>
      <c r="AX800" s="56"/>
      <c r="AY800" s="56"/>
      <c r="AZ800" s="56"/>
      <c r="BA800" s="51"/>
      <c r="BB800" s="56"/>
      <c r="BC800" s="56"/>
      <c r="BD800" s="56"/>
      <c r="BE800" s="51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</row>
    <row r="801" spans="49:75">
      <c r="AW801" s="45"/>
      <c r="AX801" s="56"/>
      <c r="AY801" s="56"/>
      <c r="AZ801" s="56"/>
      <c r="BA801" s="51"/>
      <c r="BB801" s="56"/>
      <c r="BC801" s="56"/>
      <c r="BD801" s="56"/>
      <c r="BE801" s="51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</row>
    <row r="802" spans="49:75">
      <c r="AW802" s="45"/>
      <c r="AX802" s="56"/>
      <c r="AY802" s="56"/>
      <c r="AZ802" s="56"/>
      <c r="BA802" s="51"/>
      <c r="BB802" s="56"/>
      <c r="BC802" s="56"/>
      <c r="BD802" s="56"/>
      <c r="BE802" s="51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</row>
    <row r="803" spans="49:75">
      <c r="AW803" s="45"/>
      <c r="AX803" s="56"/>
      <c r="AY803" s="56"/>
      <c r="AZ803" s="56"/>
      <c r="BA803" s="51"/>
      <c r="BB803" s="56"/>
      <c r="BC803" s="56"/>
      <c r="BD803" s="56"/>
      <c r="BE803" s="51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</row>
    <row r="804" spans="49:75">
      <c r="AW804" s="45"/>
      <c r="AX804" s="56"/>
      <c r="AY804" s="56"/>
      <c r="AZ804" s="56"/>
      <c r="BA804" s="51"/>
      <c r="BB804" s="56"/>
      <c r="BC804" s="56"/>
      <c r="BD804" s="56"/>
      <c r="BE804" s="51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</row>
    <row r="805" spans="49:75">
      <c r="AW805" s="45"/>
      <c r="AX805" s="56"/>
      <c r="AY805" s="56"/>
      <c r="AZ805" s="56"/>
      <c r="BA805" s="51"/>
      <c r="BB805" s="56"/>
      <c r="BC805" s="56"/>
      <c r="BD805" s="56"/>
      <c r="BE805" s="51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</row>
    <row r="806" spans="49:75">
      <c r="AW806" s="45"/>
      <c r="AX806" s="56"/>
      <c r="AY806" s="56"/>
      <c r="AZ806" s="56"/>
      <c r="BA806" s="51"/>
      <c r="BB806" s="56"/>
      <c r="BC806" s="56"/>
      <c r="BD806" s="56"/>
      <c r="BE806" s="51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</row>
    <row r="807" spans="49:75">
      <c r="AW807" s="45"/>
      <c r="AX807" s="56"/>
      <c r="AY807" s="56"/>
      <c r="AZ807" s="56"/>
      <c r="BA807" s="51"/>
      <c r="BB807" s="56"/>
      <c r="BC807" s="56"/>
      <c r="BD807" s="56"/>
      <c r="BE807" s="51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</row>
    <row r="808" spans="49:75">
      <c r="AW808" s="45"/>
      <c r="AX808" s="56"/>
      <c r="AY808" s="56"/>
      <c r="AZ808" s="56"/>
      <c r="BA808" s="51"/>
      <c r="BB808" s="56"/>
      <c r="BC808" s="56"/>
      <c r="BD808" s="56"/>
      <c r="BE808" s="51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</row>
    <row r="809" spans="49:75">
      <c r="AW809" s="45"/>
      <c r="AX809" s="56"/>
      <c r="AY809" s="56"/>
      <c r="AZ809" s="56"/>
      <c r="BA809" s="51"/>
      <c r="BB809" s="56"/>
      <c r="BC809" s="56"/>
      <c r="BD809" s="56"/>
      <c r="BE809" s="51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</row>
    <row r="810" spans="49:75">
      <c r="AW810" s="45"/>
      <c r="AX810" s="56"/>
      <c r="AY810" s="56"/>
      <c r="AZ810" s="56"/>
      <c r="BA810" s="51"/>
      <c r="BB810" s="56"/>
      <c r="BC810" s="56"/>
      <c r="BD810" s="56"/>
      <c r="BE810" s="51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</row>
    <row r="811" spans="49:75">
      <c r="AW811" s="45"/>
      <c r="AX811" s="56"/>
      <c r="AY811" s="56"/>
      <c r="AZ811" s="56"/>
      <c r="BA811" s="51"/>
      <c r="BB811" s="56"/>
      <c r="BC811" s="56"/>
      <c r="BD811" s="56"/>
      <c r="BE811" s="51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</row>
    <row r="812" spans="49:75">
      <c r="AW812" s="45"/>
      <c r="AX812" s="56"/>
      <c r="AY812" s="56"/>
      <c r="AZ812" s="56"/>
      <c r="BA812" s="51"/>
      <c r="BB812" s="56"/>
      <c r="BC812" s="56"/>
      <c r="BD812" s="56"/>
      <c r="BE812" s="51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</row>
    <row r="813" spans="49:75">
      <c r="AW813" s="45"/>
      <c r="AX813" s="56"/>
      <c r="AY813" s="56"/>
      <c r="AZ813" s="56"/>
      <c r="BA813" s="51"/>
      <c r="BB813" s="56"/>
      <c r="BC813" s="56"/>
      <c r="BD813" s="56"/>
      <c r="BE813" s="51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</row>
    <row r="814" spans="49:75">
      <c r="AW814" s="45"/>
      <c r="AX814" s="56"/>
      <c r="AY814" s="56"/>
      <c r="AZ814" s="56"/>
      <c r="BA814" s="51"/>
      <c r="BB814" s="56"/>
      <c r="BC814" s="56"/>
      <c r="BD814" s="56"/>
      <c r="BE814" s="51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</row>
    <row r="815" spans="49:75">
      <c r="AW815" s="45"/>
      <c r="AX815" s="56"/>
      <c r="AY815" s="56"/>
      <c r="AZ815" s="56"/>
      <c r="BA815" s="51"/>
      <c r="BB815" s="56"/>
      <c r="BC815" s="56"/>
      <c r="BD815" s="56"/>
      <c r="BE815" s="51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</row>
    <row r="816" spans="49:75">
      <c r="AW816" s="45"/>
      <c r="AX816" s="56"/>
      <c r="AY816" s="56"/>
      <c r="AZ816" s="56"/>
      <c r="BA816" s="51"/>
      <c r="BB816" s="56"/>
      <c r="BC816" s="56"/>
      <c r="BD816" s="56"/>
      <c r="BE816" s="51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</row>
    <row r="817" spans="45:75"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</row>
    <row r="818" spans="45:75"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</row>
    <row r="819" spans="45:75"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</row>
    <row r="820" spans="45:75">
      <c r="AW820" s="45"/>
      <c r="AX820" s="56"/>
      <c r="AY820" s="56"/>
      <c r="AZ820" s="56"/>
      <c r="BA820" s="51"/>
      <c r="BB820" s="56"/>
      <c r="BC820" s="56"/>
      <c r="BD820" s="56"/>
      <c r="BE820" s="51"/>
      <c r="BG820" s="49"/>
      <c r="BH820" s="49"/>
      <c r="BI820" s="42"/>
      <c r="BM820" s="49"/>
      <c r="BN820" s="49"/>
      <c r="BO820" s="56"/>
      <c r="BP820" s="49"/>
      <c r="BQ820" s="49"/>
      <c r="BR820" s="42"/>
      <c r="BV820" s="49"/>
      <c r="BW820" s="49"/>
    </row>
    <row r="821" spans="45:75">
      <c r="AU821" s="42"/>
      <c r="AV821" s="44"/>
      <c r="AW821" s="45"/>
      <c r="AX821" s="56"/>
      <c r="AY821" s="56"/>
      <c r="AZ821" s="56"/>
      <c r="BA821" s="51"/>
      <c r="BB821" s="56"/>
      <c r="BC821" s="56"/>
      <c r="BD821" s="56"/>
      <c r="BE821" s="51"/>
      <c r="BG821" s="58"/>
      <c r="BH821" s="56"/>
      <c r="BI821" s="56"/>
      <c r="BJ821" s="56"/>
      <c r="BK821" s="58"/>
      <c r="BL821" s="59"/>
      <c r="BM821" s="56"/>
      <c r="BN821" s="58"/>
      <c r="BO821" s="56"/>
      <c r="BP821" s="58"/>
      <c r="BQ821" s="56"/>
      <c r="BR821" s="56"/>
      <c r="BS821" s="56"/>
      <c r="BT821" s="58"/>
      <c r="BU821" s="59"/>
      <c r="BV821" s="56"/>
      <c r="BW821" s="58"/>
    </row>
    <row r="822" spans="45:75">
      <c r="AV822" s="44"/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9"/>
      <c r="BM822" s="56"/>
      <c r="BN822" s="56"/>
      <c r="BO822" s="56"/>
      <c r="BP822" s="56"/>
      <c r="BQ822" s="56"/>
      <c r="BR822" s="56"/>
      <c r="BS822" s="56"/>
      <c r="BT822" s="56"/>
      <c r="BU822" s="59"/>
      <c r="BV822" s="56"/>
      <c r="BW822" s="56"/>
    </row>
    <row r="823" spans="45:75">
      <c r="AV823" s="44"/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9"/>
      <c r="BM823" s="56"/>
      <c r="BN823" s="56"/>
      <c r="BO823" s="56"/>
      <c r="BP823" s="56"/>
      <c r="BQ823" s="56"/>
      <c r="BR823" s="56"/>
      <c r="BS823" s="56"/>
      <c r="BT823" s="56"/>
      <c r="BU823" s="59"/>
      <c r="BV823" s="56"/>
      <c r="BW823" s="56"/>
    </row>
    <row r="824" spans="45:75">
      <c r="AV824" s="44"/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9"/>
      <c r="BM824" s="56"/>
      <c r="BN824" s="56"/>
      <c r="BO824" s="56"/>
      <c r="BP824" s="56"/>
      <c r="BQ824" s="56"/>
      <c r="BR824" s="56"/>
      <c r="BS824" s="56"/>
      <c r="BT824" s="56"/>
      <c r="BU824" s="59"/>
      <c r="BV824" s="56"/>
      <c r="BW824" s="56"/>
    </row>
    <row r="825" spans="45:75"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</row>
    <row r="826" spans="45:75">
      <c r="AU826" s="42"/>
    </row>
    <row r="827" spans="45:75">
      <c r="AU827" s="42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</row>
    <row r="828" spans="45:75">
      <c r="AS828" s="42"/>
      <c r="AZ828" s="56"/>
      <c r="BB828" s="56"/>
    </row>
    <row r="829" spans="45:75">
      <c r="AZ829" s="56"/>
      <c r="BB829" s="56"/>
      <c r="BO829" s="56"/>
      <c r="BP829" s="56"/>
      <c r="BQ829" s="56"/>
      <c r="BR829" s="56"/>
      <c r="BS829" s="56"/>
      <c r="BT829" s="56"/>
      <c r="BU829" s="56"/>
      <c r="BV829" s="56"/>
    </row>
    <row r="830" spans="45:75">
      <c r="AY830" s="56"/>
      <c r="AZ830" s="56"/>
      <c r="BB830" s="56"/>
      <c r="BO830" s="56"/>
      <c r="BP830" s="56"/>
      <c r="BQ830" s="56"/>
      <c r="BR830" s="56"/>
      <c r="BS830" s="56"/>
      <c r="BT830" s="56"/>
      <c r="BU830" s="56"/>
      <c r="BV830" s="56"/>
    </row>
    <row r="831" spans="45:75">
      <c r="AY831" s="42"/>
      <c r="AZ831" s="56"/>
      <c r="BB831" s="56"/>
      <c r="BO831" s="56"/>
      <c r="BP831" s="56"/>
      <c r="BQ831" s="56"/>
      <c r="BR831" s="56"/>
      <c r="BS831" s="56"/>
      <c r="BT831" s="56"/>
      <c r="BU831" s="56"/>
      <c r="BV831" s="56"/>
    </row>
    <row r="832" spans="45:75">
      <c r="AY832" s="42"/>
      <c r="AZ832" s="56"/>
      <c r="BB832" s="56"/>
      <c r="BO832" s="56"/>
      <c r="BP832" s="56"/>
      <c r="BQ832" s="56"/>
      <c r="BR832" s="56"/>
      <c r="BS832" s="56"/>
      <c r="BT832" s="56"/>
      <c r="BU832" s="56"/>
      <c r="BV832" s="56"/>
    </row>
    <row r="833" spans="45:74">
      <c r="AZ833" s="56"/>
      <c r="BB833" s="56"/>
      <c r="BD833" s="42"/>
      <c r="BO833" s="56"/>
      <c r="BP833" s="56"/>
      <c r="BQ833" s="56"/>
      <c r="BR833" s="56"/>
      <c r="BS833" s="56"/>
      <c r="BT833" s="56"/>
      <c r="BU833" s="56"/>
      <c r="BV833" s="56"/>
    </row>
    <row r="834" spans="45:74">
      <c r="AZ834" s="56"/>
      <c r="BB834" s="56"/>
      <c r="BD834" s="42"/>
      <c r="BO834" s="56"/>
      <c r="BP834" s="56"/>
      <c r="BQ834" s="56"/>
      <c r="BR834" s="56"/>
      <c r="BS834" s="56"/>
      <c r="BT834" s="56"/>
      <c r="BU834" s="56"/>
      <c r="BV834" s="56"/>
    </row>
    <row r="835" spans="45:74">
      <c r="AS835" s="42"/>
      <c r="AZ835" s="56"/>
      <c r="BB835" s="56"/>
      <c r="BD835" s="42"/>
      <c r="BO835" s="56"/>
      <c r="BP835" s="56"/>
      <c r="BQ835" s="56"/>
      <c r="BR835" s="56"/>
      <c r="BS835" s="56"/>
      <c r="BT835" s="56"/>
      <c r="BU835" s="56"/>
      <c r="BV835" s="56"/>
    </row>
    <row r="836" spans="45:74">
      <c r="AZ836" s="56"/>
      <c r="BB836" s="56"/>
      <c r="BO836" s="56"/>
      <c r="BP836" s="56"/>
      <c r="BQ836" s="56"/>
      <c r="BR836" s="56"/>
      <c r="BS836" s="56"/>
      <c r="BT836" s="56"/>
      <c r="BU836" s="56"/>
      <c r="BV836" s="56"/>
    </row>
    <row r="837" spans="45:74">
      <c r="AS837" s="49"/>
      <c r="AT837" s="49"/>
      <c r="AU837" s="49"/>
      <c r="AV837" s="49"/>
      <c r="AW837" s="49"/>
      <c r="AX837" s="49"/>
      <c r="AY837" s="49"/>
      <c r="AZ837" s="57"/>
      <c r="BA837" s="49"/>
      <c r="BB837" s="57"/>
      <c r="BC837" s="49"/>
      <c r="BD837" s="49"/>
      <c r="BE837" s="49"/>
      <c r="BO837" s="56"/>
      <c r="BP837" s="56"/>
      <c r="BQ837" s="56"/>
      <c r="BR837" s="56"/>
      <c r="BS837" s="56"/>
      <c r="BT837" s="56"/>
      <c r="BU837" s="56"/>
      <c r="BV837" s="56"/>
    </row>
    <row r="838" spans="45:74">
      <c r="AX838" s="42"/>
      <c r="AZ838" s="56"/>
      <c r="BB838" s="56"/>
      <c r="BO838" s="56"/>
      <c r="BP838" s="56"/>
      <c r="BQ838" s="56"/>
      <c r="BR838" s="56"/>
      <c r="BS838" s="56"/>
      <c r="BT838" s="56"/>
      <c r="BU838" s="56"/>
      <c r="BV838" s="56"/>
    </row>
    <row r="839" spans="45:74">
      <c r="AX839" s="49"/>
      <c r="AY839" s="49"/>
      <c r="AZ839" s="57"/>
      <c r="BA839" s="49"/>
      <c r="BB839" s="56"/>
      <c r="BC839" s="44"/>
      <c r="BD839" s="44"/>
      <c r="BO839" s="56"/>
      <c r="BP839" s="56"/>
      <c r="BQ839" s="56"/>
      <c r="BR839" s="56"/>
      <c r="BS839" s="56"/>
      <c r="BT839" s="56"/>
      <c r="BU839" s="56"/>
      <c r="BV839" s="56"/>
    </row>
    <row r="840" spans="45:74">
      <c r="AV840" s="44"/>
      <c r="AW840" s="44"/>
      <c r="AZ840" s="58"/>
      <c r="BA840" s="44"/>
      <c r="BB840" s="56"/>
      <c r="BC840" s="44"/>
      <c r="BD840" s="44"/>
      <c r="BE840" s="44"/>
      <c r="BG840" s="49"/>
      <c r="BH840" s="42"/>
      <c r="BK840" s="49"/>
      <c r="BM840" s="49"/>
      <c r="BN840" s="42"/>
      <c r="BQ840" s="49"/>
    </row>
    <row r="841" spans="45:74">
      <c r="AV841" s="44"/>
      <c r="AW841" s="44"/>
      <c r="AX841" s="44"/>
      <c r="AY841" s="44"/>
      <c r="AZ841" s="58"/>
      <c r="BA841" s="44"/>
      <c r="BB841" s="58"/>
      <c r="BC841" s="44"/>
      <c r="BD841" s="44"/>
      <c r="BE841" s="44"/>
      <c r="BH841" s="44"/>
      <c r="BI841" s="44"/>
      <c r="BN841" s="44"/>
      <c r="BO841" s="44"/>
    </row>
    <row r="842" spans="45:74">
      <c r="AS842" s="44"/>
      <c r="AU842" s="42"/>
      <c r="AV842" s="44"/>
      <c r="AW842" s="44"/>
      <c r="AX842" s="44"/>
      <c r="AY842" s="44"/>
      <c r="AZ842" s="58"/>
      <c r="BA842" s="44"/>
      <c r="BB842" s="58"/>
      <c r="BC842" s="44"/>
      <c r="BD842" s="44"/>
      <c r="BE842" s="44"/>
      <c r="BG842" s="44"/>
      <c r="BH842" s="44"/>
      <c r="BI842" s="44"/>
      <c r="BJ842" s="44"/>
      <c r="BK842" s="44"/>
      <c r="BM842" s="44"/>
      <c r="BN842" s="44"/>
      <c r="BO842" s="44"/>
      <c r="BP842" s="44"/>
      <c r="BQ842" s="44"/>
    </row>
    <row r="843" spans="45:74">
      <c r="AS843" s="44"/>
      <c r="AU843" s="42"/>
      <c r="AV843" s="44"/>
      <c r="AW843" s="44"/>
      <c r="AX843" s="44"/>
      <c r="AY843" s="44"/>
      <c r="AZ843" s="58"/>
      <c r="BA843" s="44"/>
      <c r="BB843" s="58"/>
      <c r="BC843" s="44"/>
      <c r="BD843" s="44"/>
      <c r="BE843" s="44"/>
      <c r="BG843" s="44"/>
      <c r="BH843" s="44"/>
      <c r="BI843" s="44"/>
      <c r="BJ843" s="44"/>
      <c r="BK843" s="44"/>
      <c r="BM843" s="44"/>
      <c r="BN843" s="44"/>
      <c r="BO843" s="44"/>
      <c r="BP843" s="44"/>
      <c r="BQ843" s="44"/>
    </row>
    <row r="844" spans="45:74">
      <c r="AS844" s="49"/>
      <c r="AT844" s="49"/>
      <c r="AU844" s="49"/>
      <c r="AV844" s="49"/>
      <c r="AW844" s="49"/>
      <c r="AX844" s="49"/>
      <c r="AY844" s="49"/>
      <c r="AZ844" s="57"/>
      <c r="BA844" s="49"/>
      <c r="BB844" s="57"/>
      <c r="BC844" s="49"/>
      <c r="BD844" s="49"/>
      <c r="BE844" s="49"/>
      <c r="BG844" s="49"/>
      <c r="BH844" s="49"/>
      <c r="BI844" s="49"/>
      <c r="BJ844" s="49"/>
      <c r="BK844" s="49"/>
      <c r="BM844" s="49"/>
      <c r="BN844" s="49"/>
      <c r="BO844" s="49"/>
      <c r="BP844" s="49"/>
      <c r="BQ844" s="49"/>
    </row>
    <row r="845" spans="45:74">
      <c r="AV845" s="44"/>
      <c r="AW845" s="44"/>
      <c r="AX845" s="44"/>
      <c r="AY845" s="44"/>
      <c r="AZ845" s="58"/>
      <c r="BA845" s="44"/>
      <c r="BB845" s="58"/>
      <c r="BC845" s="44"/>
      <c r="BD845" s="44"/>
      <c r="BE845" s="44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</row>
    <row r="846" spans="45:74">
      <c r="AT846" s="42"/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</row>
    <row r="847" spans="45:74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</row>
    <row r="848" spans="45:74">
      <c r="AV848" s="45"/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</row>
    <row r="849" spans="48:71"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</row>
    <row r="850" spans="48:71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</row>
    <row r="851" spans="48:71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</row>
    <row r="852" spans="48:71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</row>
    <row r="853" spans="48:71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</row>
    <row r="854" spans="48:71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</row>
    <row r="855" spans="48:71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</row>
    <row r="856" spans="48:71">
      <c r="AV856" s="45"/>
      <c r="AW856" s="45"/>
      <c r="AX856" s="56"/>
      <c r="AY856" s="56"/>
      <c r="AZ856" s="56"/>
      <c r="BA856" s="51"/>
      <c r="BB856" s="56"/>
      <c r="BC856" s="56"/>
      <c r="BD856" s="56"/>
      <c r="BE856" s="51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</row>
    <row r="857" spans="48:71">
      <c r="AV857" s="45"/>
      <c r="AW857" s="45"/>
      <c r="AX857" s="56"/>
      <c r="AY857" s="56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</row>
    <row r="858" spans="48:71">
      <c r="AV858" s="45"/>
      <c r="AW858" s="45"/>
      <c r="AX858" s="56"/>
      <c r="AY858" s="56"/>
      <c r="AZ858" s="56"/>
      <c r="BA858" s="51"/>
      <c r="BB858" s="56"/>
      <c r="BC858" s="56"/>
      <c r="BD858" s="56"/>
      <c r="BE858" s="51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</row>
    <row r="859" spans="48:71">
      <c r="AV859" s="45"/>
      <c r="AW859" s="45"/>
      <c r="AX859" s="56"/>
      <c r="AY859" s="56"/>
      <c r="AZ859" s="56"/>
      <c r="BA859" s="51"/>
      <c r="BB859" s="56"/>
      <c r="BC859" s="56"/>
      <c r="BD859" s="56"/>
      <c r="BE859" s="51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</row>
    <row r="860" spans="48:71">
      <c r="AV860" s="45"/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</row>
    <row r="861" spans="48:71">
      <c r="AV861" s="45"/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</row>
    <row r="862" spans="48:71"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</row>
    <row r="863" spans="48:71">
      <c r="AV863" s="45"/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</row>
    <row r="864" spans="48:71">
      <c r="AZ864" s="56"/>
      <c r="BB864" s="56"/>
      <c r="BC864" s="56"/>
      <c r="BD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</row>
    <row r="865" spans="46:57">
      <c r="AT865" s="42"/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</row>
    <row r="866" spans="46:57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</row>
    <row r="867" spans="46:57">
      <c r="AV867" s="45"/>
      <c r="AW867" s="45"/>
      <c r="AX867" s="56"/>
      <c r="AY867" s="56"/>
      <c r="AZ867" s="56"/>
      <c r="BA867" s="51"/>
      <c r="BB867" s="56"/>
      <c r="BC867" s="56"/>
      <c r="BD867" s="56"/>
      <c r="BE867" s="51"/>
    </row>
    <row r="868" spans="46:57"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</row>
    <row r="869" spans="46:57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</row>
    <row r="870" spans="46:57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</row>
    <row r="871" spans="46:57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</row>
    <row r="872" spans="46:57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</row>
    <row r="873" spans="46:57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</row>
    <row r="874" spans="46:57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</row>
    <row r="875" spans="46:57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</row>
    <row r="876" spans="46:57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</row>
    <row r="877" spans="46:57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</row>
    <row r="878" spans="46:57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</row>
    <row r="879" spans="46:57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</row>
    <row r="880" spans="46:57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</row>
    <row r="881" spans="45:57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</row>
    <row r="882" spans="45:57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5:57">
      <c r="BB883" s="56"/>
    </row>
    <row r="884" spans="45:57">
      <c r="AU884" s="42"/>
      <c r="BB884" s="56"/>
    </row>
    <row r="885" spans="45:57">
      <c r="AU885" s="42"/>
    </row>
    <row r="886" spans="45:57">
      <c r="AU886" s="42"/>
      <c r="BB886" s="56"/>
    </row>
    <row r="887" spans="45:57">
      <c r="AS887" s="42"/>
      <c r="AZ887" s="56"/>
      <c r="BB887" s="56"/>
    </row>
    <row r="888" spans="45:57">
      <c r="AZ888" s="56"/>
      <c r="BB888" s="56"/>
    </row>
    <row r="889" spans="45:57">
      <c r="AY889" s="56"/>
      <c r="AZ889" s="56"/>
      <c r="BB889" s="56"/>
    </row>
    <row r="890" spans="45:57">
      <c r="AY890" s="42"/>
      <c r="AZ890" s="56"/>
      <c r="BB890" s="56"/>
    </row>
    <row r="891" spans="45:57">
      <c r="AY891" s="42"/>
      <c r="AZ891" s="56"/>
      <c r="BB891" s="56"/>
    </row>
    <row r="892" spans="45:57">
      <c r="AZ892" s="56"/>
      <c r="BB892" s="56"/>
      <c r="BD892" s="42"/>
    </row>
    <row r="893" spans="45:57">
      <c r="AZ893" s="56"/>
      <c r="BB893" s="56"/>
      <c r="BD893" s="42"/>
    </row>
    <row r="894" spans="45:57">
      <c r="AS894" s="42"/>
      <c r="AZ894" s="56"/>
      <c r="BB894" s="56"/>
      <c r="BD894" s="42"/>
    </row>
    <row r="895" spans="45:57">
      <c r="AZ895" s="56"/>
      <c r="BB895" s="56"/>
    </row>
    <row r="896" spans="45:57">
      <c r="AS896" s="49"/>
      <c r="AT896" s="49"/>
      <c r="AU896" s="49"/>
      <c r="AV896" s="49"/>
      <c r="AW896" s="49"/>
      <c r="AX896" s="49"/>
      <c r="AY896" s="49"/>
      <c r="AZ896" s="57"/>
      <c r="BA896" s="49"/>
      <c r="BB896" s="57"/>
      <c r="BC896" s="49"/>
      <c r="BD896" s="49"/>
      <c r="BE896" s="49"/>
    </row>
    <row r="897" spans="45:57">
      <c r="AX897" s="42"/>
      <c r="AZ897" s="56"/>
      <c r="BB897" s="56"/>
    </row>
    <row r="898" spans="45:57">
      <c r="AX898" s="49"/>
      <c r="AY898" s="49"/>
      <c r="AZ898" s="57"/>
      <c r="BA898" s="49"/>
      <c r="BB898" s="56"/>
      <c r="BC898" s="44"/>
      <c r="BD898" s="44"/>
    </row>
    <row r="899" spans="45:57">
      <c r="AV899" s="44"/>
      <c r="AW899" s="44"/>
      <c r="AZ899" s="58"/>
      <c r="BA899" s="44"/>
      <c r="BB899" s="56"/>
      <c r="BC899" s="44"/>
      <c r="BD899" s="44"/>
      <c r="BE899" s="44"/>
    </row>
    <row r="900" spans="45:57">
      <c r="AV900" s="44"/>
      <c r="AW900" s="44"/>
      <c r="AX900" s="44"/>
      <c r="AY900" s="44"/>
      <c r="AZ900" s="58"/>
      <c r="BA900" s="44"/>
      <c r="BB900" s="58"/>
      <c r="BC900" s="44"/>
      <c r="BD900" s="44"/>
      <c r="BE900" s="44"/>
    </row>
    <row r="901" spans="45:57">
      <c r="AS901" s="44"/>
      <c r="AU901" s="42"/>
      <c r="AV901" s="44"/>
      <c r="AW901" s="44"/>
      <c r="AX901" s="44"/>
      <c r="AY901" s="44"/>
      <c r="AZ901" s="58"/>
      <c r="BA901" s="44"/>
      <c r="BB901" s="58"/>
      <c r="BC901" s="44"/>
      <c r="BD901" s="44"/>
      <c r="BE901" s="44"/>
    </row>
    <row r="902" spans="45:57">
      <c r="AS902" s="44"/>
      <c r="AU902" s="42"/>
      <c r="AV902" s="44"/>
      <c r="AW902" s="44"/>
      <c r="AX902" s="44"/>
      <c r="AY902" s="44"/>
      <c r="AZ902" s="58"/>
      <c r="BA902" s="44"/>
      <c r="BB902" s="58"/>
      <c r="BC902" s="44"/>
      <c r="BD902" s="44"/>
      <c r="BE902" s="44"/>
    </row>
    <row r="903" spans="45:57">
      <c r="AS903" s="49"/>
      <c r="AT903" s="49"/>
      <c r="AU903" s="49"/>
      <c r="AV903" s="49"/>
      <c r="AW903" s="49"/>
      <c r="AX903" s="49"/>
      <c r="AY903" s="49"/>
      <c r="AZ903" s="57"/>
      <c r="BA903" s="49"/>
      <c r="BB903" s="57"/>
      <c r="BC903" s="49"/>
      <c r="BD903" s="49"/>
      <c r="BE903" s="49"/>
    </row>
    <row r="904" spans="45:57">
      <c r="AV904" s="44"/>
      <c r="AW904" s="44"/>
      <c r="AX904" s="44"/>
      <c r="AY904" s="44"/>
      <c r="AZ904" s="58"/>
      <c r="BA904" s="44"/>
      <c r="BB904" s="58"/>
      <c r="BC904" s="44"/>
      <c r="BD904" s="44"/>
      <c r="BE904" s="44"/>
    </row>
    <row r="905" spans="45:57">
      <c r="AT905" s="42"/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5:57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5:57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5:57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5:57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0" spans="45:57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</row>
    <row r="911" spans="45:57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</row>
    <row r="912" spans="45:57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</row>
    <row r="913" spans="46:57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</row>
    <row r="914" spans="46:57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</row>
    <row r="915" spans="46:57">
      <c r="AV915" s="45"/>
      <c r="AW915" s="45"/>
      <c r="BB915" s="56"/>
    </row>
    <row r="916" spans="46:57">
      <c r="AT916" s="42"/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</row>
    <row r="917" spans="46:57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</row>
    <row r="918" spans="46:57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</row>
    <row r="919" spans="46:57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</row>
    <row r="920" spans="46:57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</row>
    <row r="921" spans="46:57"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</row>
    <row r="922" spans="46:57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</row>
    <row r="923" spans="46:57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</row>
    <row r="924" spans="46:57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</row>
    <row r="925" spans="46:57">
      <c r="AV925" s="45"/>
      <c r="AW925" s="45"/>
      <c r="AX925" s="56"/>
      <c r="AY925" s="56"/>
      <c r="AZ925" s="56"/>
      <c r="BA925" s="51"/>
      <c r="BB925" s="56"/>
      <c r="BC925" s="56"/>
      <c r="BD925" s="56"/>
      <c r="BE925" s="51"/>
    </row>
    <row r="927" spans="46:57">
      <c r="AU927" s="42"/>
    </row>
    <row r="928" spans="46:57">
      <c r="AU928" s="42"/>
    </row>
    <row r="929" spans="45:47">
      <c r="AU929" s="42"/>
    </row>
    <row r="930" spans="45:47">
      <c r="AS930" s="42"/>
    </row>
    <row r="951" spans="52:71">
      <c r="AZ951" s="56"/>
      <c r="BB951" s="56"/>
      <c r="BC951" s="56"/>
      <c r="BD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</row>
    <row r="952" spans="52:71">
      <c r="AZ952" s="56"/>
      <c r="BB952" s="56"/>
      <c r="BC952" s="56"/>
      <c r="BD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</row>
    <row r="953" spans="52:71">
      <c r="AZ953" s="56"/>
      <c r="BB953" s="56"/>
      <c r="BC953" s="56"/>
      <c r="BD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</row>
    <row r="954" spans="52:71">
      <c r="AZ954" s="56"/>
      <c r="BB954" s="56"/>
      <c r="BC954" s="56"/>
      <c r="BD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</row>
    <row r="955" spans="52:71">
      <c r="AZ955" s="56"/>
      <c r="BB955" s="56"/>
      <c r="BC955" s="56"/>
      <c r="BD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</row>
    <row r="956" spans="52:71">
      <c r="AZ956" s="56"/>
      <c r="BB956" s="56"/>
      <c r="BC956" s="56"/>
      <c r="BD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</row>
    <row r="957" spans="52:71">
      <c r="AZ957" s="56"/>
      <c r="BB957" s="56"/>
      <c r="BC957" s="56"/>
      <c r="BD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</row>
    <row r="958" spans="52:71">
      <c r="AZ958" s="56"/>
      <c r="BB958" s="56"/>
      <c r="BC958" s="56"/>
      <c r="BD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</row>
    <row r="959" spans="52:71">
      <c r="AZ959" s="56"/>
      <c r="BB959" s="56"/>
      <c r="BC959" s="56"/>
      <c r="BD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</row>
    <row r="960" spans="52:71">
      <c r="AZ960" s="56"/>
      <c r="BB960" s="56"/>
      <c r="BC960" s="56"/>
      <c r="BD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</row>
    <row r="961" spans="52:71">
      <c r="AZ961" s="56"/>
      <c r="BB961" s="56"/>
      <c r="BC961" s="56"/>
      <c r="BD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</row>
    <row r="962" spans="52:71">
      <c r="AZ962" s="56"/>
      <c r="BB962" s="56"/>
      <c r="BC962" s="56"/>
      <c r="BD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</row>
    <row r="963" spans="52:71">
      <c r="AZ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</row>
    <row r="964" spans="52:71">
      <c r="AZ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</row>
    <row r="965" spans="52:71">
      <c r="AZ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</row>
    <row r="966" spans="52:71">
      <c r="AZ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</row>
    <row r="967" spans="52:71">
      <c r="AZ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</row>
    <row r="968" spans="52:71">
      <c r="AZ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</row>
    <row r="969" spans="52:71">
      <c r="AZ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</row>
    <row r="970" spans="52:71">
      <c r="AZ970" s="56"/>
    </row>
    <row r="971" spans="52:71">
      <c r="AZ971" s="56"/>
    </row>
    <row r="985" spans="1:28">
      <c r="A985" s="42"/>
    </row>
    <row r="988" spans="1:28">
      <c r="Y988" s="42"/>
    </row>
    <row r="989" spans="1:28">
      <c r="A989" s="42"/>
      <c r="H989" s="42"/>
      <c r="I989" s="42"/>
    </row>
    <row r="990" spans="1:28">
      <c r="A990" s="42"/>
      <c r="V990" s="44"/>
      <c r="AA990" s="44"/>
      <c r="AB990" s="44"/>
    </row>
    <row r="991" spans="1:28">
      <c r="A991" s="42"/>
      <c r="V991" s="49"/>
      <c r="AA991" s="49"/>
      <c r="AB991" s="49"/>
    </row>
    <row r="992" spans="1:28">
      <c r="A992" s="42"/>
      <c r="U992" s="42"/>
      <c r="AA992" s="44"/>
      <c r="AB992" s="44"/>
    </row>
    <row r="993" spans="1:28">
      <c r="A993" s="42"/>
    </row>
    <row r="994" spans="1:28">
      <c r="A994" s="42"/>
      <c r="U994" s="42"/>
      <c r="AA994" s="44"/>
      <c r="AB994" s="44"/>
    </row>
    <row r="995" spans="1:28">
      <c r="A995" s="42"/>
    </row>
    <row r="996" spans="1:28">
      <c r="A996" s="42"/>
      <c r="U996" s="42"/>
      <c r="V996" s="339"/>
      <c r="AA996" s="44"/>
      <c r="AB996" s="44"/>
    </row>
    <row r="997" spans="1:28">
      <c r="A997" s="42"/>
    </row>
    <row r="998" spans="1:28">
      <c r="A998" s="42"/>
      <c r="U998" s="42"/>
      <c r="AA998" s="44"/>
      <c r="AB998" s="44"/>
    </row>
    <row r="999" spans="1:28">
      <c r="A999" s="42"/>
    </row>
    <row r="1000" spans="1:28">
      <c r="A1000" s="42"/>
      <c r="U1000" s="42"/>
      <c r="AA1000" s="44"/>
      <c r="AB1000" s="44"/>
    </row>
    <row r="1001" spans="1:28">
      <c r="A1001" s="42"/>
    </row>
    <row r="1002" spans="1:28">
      <c r="A1002" s="42"/>
    </row>
    <row r="1003" spans="1:28">
      <c r="A1003" s="42"/>
    </row>
    <row r="1004" spans="1:28">
      <c r="A1004" s="42"/>
    </row>
    <row r="1005" spans="1:28">
      <c r="A1005" s="42"/>
    </row>
    <row r="1006" spans="1:28">
      <c r="A1006" s="42"/>
    </row>
    <row r="1007" spans="1:28">
      <c r="A1007" s="42"/>
    </row>
    <row r="1008" spans="1:28">
      <c r="A1008" s="42"/>
    </row>
    <row r="1009" spans="1:9">
      <c r="A1009" s="42"/>
    </row>
    <row r="1010" spans="1:9">
      <c r="A1010" s="42"/>
    </row>
    <row r="1011" spans="1:9">
      <c r="A1011" s="42"/>
      <c r="H1011" s="42"/>
      <c r="I1011" s="42"/>
    </row>
    <row r="1014" spans="1:9">
      <c r="A1014" s="42"/>
    </row>
    <row r="1017" spans="1:9">
      <c r="A1017" s="42"/>
    </row>
    <row r="1020" spans="1:9">
      <c r="A1020" s="42"/>
    </row>
    <row r="1021" spans="1:9">
      <c r="A1021" s="42"/>
    </row>
    <row r="1022" spans="1:9">
      <c r="A1022" s="42"/>
    </row>
    <row r="1023" spans="1:9">
      <c r="A1023" s="42"/>
    </row>
    <row r="1024" spans="1:9">
      <c r="A1024" s="42"/>
    </row>
    <row r="1025" spans="1:1">
      <c r="A1025" s="42"/>
    </row>
    <row r="1026" spans="1:1">
      <c r="A1026" s="42"/>
    </row>
    <row r="1027" spans="1:1">
      <c r="A1027" s="42"/>
    </row>
    <row r="1028" spans="1:1">
      <c r="A1028" s="42"/>
    </row>
    <row r="1029" spans="1:1">
      <c r="A1029" s="42"/>
    </row>
    <row r="1030" spans="1:1">
      <c r="A1030" s="42"/>
    </row>
    <row r="1031" spans="1:1">
      <c r="A1031" s="42"/>
    </row>
    <row r="1032" spans="1:1">
      <c r="A1032" s="42"/>
    </row>
    <row r="1033" spans="1:1">
      <c r="A1033" s="42"/>
    </row>
    <row r="1034" spans="1:1">
      <c r="A1034" s="42"/>
    </row>
    <row r="1035" spans="1:1">
      <c r="A1035" s="42"/>
    </row>
    <row r="1036" spans="1:1">
      <c r="A1036" s="42"/>
    </row>
    <row r="1037" spans="1:1">
      <c r="A1037" s="42"/>
    </row>
    <row r="1038" spans="1:1">
      <c r="A1038" s="42"/>
    </row>
    <row r="1039" spans="1:1">
      <c r="A1039" s="42"/>
    </row>
    <row r="1040" spans="1:1">
      <c r="A1040" s="42"/>
    </row>
    <row r="1041" spans="1:1">
      <c r="A1041" s="42"/>
    </row>
    <row r="1042" spans="1:1">
      <c r="A1042" s="42"/>
    </row>
    <row r="1043" spans="1:1">
      <c r="A1043" s="42"/>
    </row>
    <row r="1044" spans="1:1">
      <c r="A1044" s="42"/>
    </row>
    <row r="1045" spans="1:1">
      <c r="A1045" s="42"/>
    </row>
    <row r="1046" spans="1:1">
      <c r="A1046" s="42"/>
    </row>
    <row r="1047" spans="1:1">
      <c r="A1047" s="42"/>
    </row>
    <row r="1048" spans="1:1">
      <c r="A1048" s="42"/>
    </row>
    <row r="1049" spans="1:1">
      <c r="A1049" s="42"/>
    </row>
    <row r="1050" spans="1:1">
      <c r="A1050" s="42"/>
    </row>
    <row r="1051" spans="1:1">
      <c r="A1051" s="42"/>
    </row>
    <row r="1052" spans="1:1">
      <c r="A1052" s="42"/>
    </row>
    <row r="1053" spans="1:1">
      <c r="A1053" s="42"/>
    </row>
    <row r="1054" spans="1:1">
      <c r="A1054" s="42"/>
    </row>
    <row r="1059" spans="1:1">
      <c r="A1059" s="42"/>
    </row>
    <row r="1060" spans="1:1">
      <c r="A1060" s="42"/>
    </row>
    <row r="1063" spans="1:1">
      <c r="A1063" s="42"/>
    </row>
    <row r="1065" spans="1:1">
      <c r="A1065" s="42"/>
    </row>
    <row r="1067" spans="1:1">
      <c r="A1067" s="42"/>
    </row>
    <row r="1069" spans="1:1">
      <c r="A1069" s="42"/>
    </row>
    <row r="1072" spans="1:1">
      <c r="A1072" s="42"/>
    </row>
    <row r="1073" spans="1:1">
      <c r="A1073" s="42"/>
    </row>
    <row r="1074" spans="1:1">
      <c r="A1074" s="42"/>
    </row>
    <row r="1075" spans="1:1">
      <c r="A1075" s="42"/>
    </row>
    <row r="1076" spans="1:1">
      <c r="A1076" s="42"/>
    </row>
    <row r="1077" spans="1:1">
      <c r="A1077" s="42"/>
    </row>
    <row r="1078" spans="1:1">
      <c r="A1078" s="42"/>
    </row>
    <row r="1079" spans="1:1">
      <c r="A1079" s="42"/>
    </row>
  </sheetData>
  <customSheetViews>
    <customSheetView guid="{F562D92E-120C-4AE9-9663-89E64D41DC53}" scale="75" fitToPage="1" topLeftCell="A20">
      <selection activeCell="P46" sqref="P4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9"/>
      <headerFooter alignWithMargins="0"/>
    </customSheetView>
    <customSheetView guid="{4BC93440-BA85-4935-A8C9-66DC6AE5DE5E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10"/>
      <headerFooter alignWithMargins="0"/>
    </customSheetView>
    <customSheetView guid="{0C49E549-011E-46F4-A82E-2CC8951A9C1E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2" type="noConversion"/>
  <pageMargins left="0.5" right="0.5" top="1" bottom="0" header="0" footer="0"/>
  <pageSetup scale="56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transitionEntry="1" codeName="Sheet16">
    <pageSetUpPr fitToPage="1"/>
  </sheetPr>
  <dimension ref="A1:BY1538"/>
  <sheetViews>
    <sheetView workbookViewId="0"/>
  </sheetViews>
  <sheetFormatPr defaultColWidth="8.8984375" defaultRowHeight="15.75"/>
  <cols>
    <col min="1" max="1" width="5.09765625" style="41" customWidth="1"/>
    <col min="2" max="2" width="0.3984375" style="41" customWidth="1"/>
    <col min="3" max="3" width="9.3984375" style="41" customWidth="1"/>
    <col min="4" max="4" width="57.59765625" style="41" customWidth="1"/>
    <col min="5" max="5" width="0.59765625" style="41" customWidth="1"/>
    <col min="6" max="6" width="11.09765625" style="41" customWidth="1"/>
    <col min="7" max="7" width="0.69921875" style="41" customWidth="1"/>
    <col min="8" max="8" width="14.59765625" style="41" customWidth="1"/>
    <col min="9" max="9" width="0.69921875" style="41" customWidth="1"/>
    <col min="10" max="11" width="11.09765625" style="41" customWidth="1"/>
    <col min="12" max="12" width="14.69921875" style="41" customWidth="1"/>
    <col min="13" max="13" width="0.296875" style="41" customWidth="1"/>
    <col min="14" max="14" width="15" style="41" customWidth="1"/>
    <col min="15" max="15" width="0.59765625" style="41" customWidth="1"/>
    <col min="16" max="16" width="15.69921875" style="41" customWidth="1"/>
    <col min="17" max="17" width="0.59765625" style="41" customWidth="1"/>
    <col min="18" max="18" width="16.3984375" style="41" customWidth="1"/>
    <col min="19" max="19" width="6.69921875" style="41" customWidth="1"/>
    <col min="20" max="20" width="6.09765625" style="41" customWidth="1"/>
    <col min="21" max="21" width="0.59765625" style="41" customWidth="1"/>
    <col min="22" max="22" width="7.09765625" style="41" customWidth="1"/>
    <col min="23" max="23" width="60.09765625" style="41" customWidth="1"/>
    <col min="24" max="24" width="0.59765625" style="41" customWidth="1"/>
    <col min="25" max="25" width="13.09765625" style="41" customWidth="1"/>
    <col min="26" max="26" width="1" style="41" customWidth="1"/>
    <col min="27" max="27" width="14.59765625" style="41" customWidth="1"/>
    <col min="28" max="28" width="0.69921875" style="41" customWidth="1"/>
    <col min="29" max="29" width="13.296875" style="41" customWidth="1"/>
    <col min="30" max="30" width="11.09765625" style="41" customWidth="1"/>
    <col min="31" max="31" width="14.296875" style="41" customWidth="1"/>
    <col min="32" max="32" width="0.8984375" style="41" customWidth="1"/>
    <col min="33" max="33" width="12.8984375" style="99" customWidth="1"/>
    <col min="34" max="34" width="0.69921875" style="41" customWidth="1"/>
    <col min="35" max="35" width="14.69921875" style="41" customWidth="1"/>
    <col min="36" max="36" width="0.69921875" style="41" customWidth="1"/>
    <col min="37" max="37" width="14.296875" style="99" customWidth="1"/>
    <col min="38" max="38" width="0.69921875" style="41" customWidth="1"/>
    <col min="39" max="39" width="12.3984375" style="41" customWidth="1"/>
    <col min="40" max="40" width="0.59765625" style="41" customWidth="1"/>
    <col min="41" max="41" width="12.09765625" style="41" customWidth="1"/>
    <col min="42" max="42" width="0.59765625" style="41" customWidth="1"/>
    <col min="43" max="43" width="13.09765625" style="111" customWidth="1"/>
    <col min="44" max="44" width="0.69921875" style="41" customWidth="1"/>
    <col min="45" max="45" width="11.09765625" style="41" customWidth="1"/>
    <col min="46" max="46" width="14.69921875" style="41" customWidth="1"/>
    <col min="47" max="47" width="4.69921875" style="41" customWidth="1"/>
    <col min="48" max="48" width="5.69921875" style="41" customWidth="1"/>
    <col min="49" max="49" width="10.69921875" style="41" customWidth="1"/>
    <col min="50" max="50" width="11.69921875" style="41" customWidth="1"/>
    <col min="51" max="51" width="12.69921875" style="41" customWidth="1"/>
    <col min="52" max="54" width="15.69921875" style="41" customWidth="1"/>
    <col min="55" max="55" width="12.69921875" style="41" customWidth="1"/>
    <col min="56" max="58" width="15.69921875" style="41" customWidth="1"/>
    <col min="59" max="59" width="12.69921875" style="41" customWidth="1"/>
    <col min="60" max="61" width="8.8984375" style="41"/>
    <col min="62" max="64" width="12.69921875" style="41" customWidth="1"/>
    <col min="65" max="65" width="14.69921875" style="41" customWidth="1"/>
    <col min="66" max="67" width="8.8984375" style="41"/>
    <col min="68" max="70" width="12.69921875" style="41" customWidth="1"/>
    <col min="71" max="71" width="14.69921875" style="41" customWidth="1"/>
    <col min="72" max="78" width="8.8984375" style="41"/>
    <col min="79" max="79" width="1.69921875" style="41" customWidth="1"/>
    <col min="80" max="81" width="8.8984375" style="41"/>
    <col min="82" max="82" width="10.69921875" style="41" customWidth="1"/>
    <col min="83" max="84" width="8.8984375" style="41"/>
    <col min="85" max="85" width="7.69921875" style="41" customWidth="1"/>
    <col min="86" max="16384" width="8.8984375" style="41"/>
  </cols>
  <sheetData>
    <row r="1" spans="1:42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AA1" s="41" t="s">
        <v>643</v>
      </c>
      <c r="AG1" s="386">
        <f>'Proposed Rates'!AT11</f>
        <v>0.14260999999999999</v>
      </c>
    </row>
    <row r="2" spans="1:42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AC2" s="347"/>
      <c r="AE2" s="42"/>
    </row>
    <row r="3" spans="1:42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AC3" s="348"/>
      <c r="AE3" s="42"/>
    </row>
    <row r="4" spans="1:42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AC4" s="348"/>
      <c r="AE4" s="42"/>
    </row>
    <row r="5" spans="1:42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C5" s="348"/>
      <c r="AE5" s="42"/>
      <c r="AM5" s="42"/>
      <c r="AN5" s="42"/>
    </row>
    <row r="6" spans="1:42">
      <c r="A6" s="41" t="str">
        <f>DATA_PERIOD</f>
        <v>DATA: ____ BASE PERIOD   __X__FORECASTED PERIOD</v>
      </c>
      <c r="R6" s="42" t="s">
        <v>156</v>
      </c>
      <c r="AC6" s="348"/>
      <c r="AE6" s="42"/>
      <c r="AM6" s="42"/>
      <c r="AN6" s="42"/>
    </row>
    <row r="7" spans="1:42">
      <c r="A7" s="41" t="str">
        <f>TYPE</f>
        <v>TYPE OF FILING: _X_ ORIGINAL   ___UPDATED  ___ REVISED</v>
      </c>
      <c r="R7" s="48" t="str">
        <f>"PAGE 20 OF "&amp;TEXT(Page_Num_2.3,"00")</f>
        <v>PAGE 20 OF 24</v>
      </c>
      <c r="AC7" s="348"/>
      <c r="AE7" s="42"/>
      <c r="AM7" s="42"/>
      <c r="AN7" s="42"/>
    </row>
    <row r="8" spans="1:42">
      <c r="A8" s="42" t="s">
        <v>170</v>
      </c>
      <c r="R8" s="42" t="s">
        <v>3</v>
      </c>
      <c r="AC8" s="348"/>
      <c r="AE8" s="42"/>
      <c r="AM8" s="42"/>
      <c r="AN8" s="42"/>
    </row>
    <row r="9" spans="1:42">
      <c r="A9" s="130" t="str">
        <f>TIME</f>
        <v>12 Months Projected with Riders</v>
      </c>
      <c r="M9" s="42"/>
      <c r="R9" s="41" t="str">
        <f>WIT</f>
        <v>B. L. Sailers</v>
      </c>
      <c r="AC9" s="348"/>
      <c r="AE9" s="42"/>
    </row>
    <row r="10" spans="1:42" ht="15" customHeight="1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AC10" s="348"/>
      <c r="AE10" s="42"/>
    </row>
    <row r="11" spans="1:42">
      <c r="A11" s="49"/>
      <c r="B11" s="49"/>
      <c r="C11" s="49"/>
      <c r="D11" s="49"/>
      <c r="E11" s="49"/>
      <c r="G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T11" s="49"/>
      <c r="U11" s="49"/>
      <c r="V11" s="49"/>
      <c r="W11" s="49"/>
      <c r="X11" s="49"/>
      <c r="Y11" s="49"/>
      <c r="Z11" s="49"/>
      <c r="AC11" s="348"/>
      <c r="AE11" s="42"/>
      <c r="AJ11" s="49"/>
      <c r="AK11" s="107"/>
      <c r="AL11" s="49"/>
      <c r="AM11" s="49"/>
      <c r="AN11" s="49"/>
      <c r="AO11" s="49"/>
      <c r="AP11" s="49"/>
    </row>
    <row r="12" spans="1:42" ht="18" customHeight="1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AC12" s="348"/>
      <c r="AE12" s="42"/>
      <c r="AJ12" s="44"/>
      <c r="AM12" s="44"/>
      <c r="AN12" s="44"/>
      <c r="AO12" s="44"/>
      <c r="AP12" s="44"/>
    </row>
    <row r="13" spans="1:42">
      <c r="L13" s="44" t="s">
        <v>12</v>
      </c>
      <c r="M13" s="44"/>
      <c r="N13" s="44" t="s">
        <v>13</v>
      </c>
      <c r="O13" s="44"/>
      <c r="R13" s="44" t="s">
        <v>11</v>
      </c>
      <c r="AC13" s="348"/>
      <c r="AE13" s="42"/>
      <c r="AJ13" s="44"/>
      <c r="AM13" s="44"/>
      <c r="AN13" s="44"/>
      <c r="AO13" s="44"/>
      <c r="AP13" s="44"/>
    </row>
    <row r="14" spans="1:42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0" t="s">
        <v>6</v>
      </c>
      <c r="K14" s="40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AC14" s="348"/>
      <c r="AE14" s="42"/>
      <c r="AJ14" s="44"/>
      <c r="AK14" s="102"/>
      <c r="AL14" s="44"/>
      <c r="AM14" s="44"/>
      <c r="AN14" s="44"/>
      <c r="AO14" s="44"/>
      <c r="AP14" s="44"/>
    </row>
    <row r="15" spans="1:42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807</v>
      </c>
      <c r="K15" s="60" t="s">
        <v>808</v>
      </c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4"/>
      <c r="U15" s="44"/>
      <c r="V15" s="44"/>
      <c r="AC15" s="348"/>
      <c r="AE15" s="42"/>
      <c r="AJ15" s="44"/>
      <c r="AK15" s="102"/>
      <c r="AL15" s="44"/>
      <c r="AM15" s="44"/>
      <c r="AN15" s="44"/>
      <c r="AO15" s="44"/>
      <c r="AP15" s="44"/>
    </row>
    <row r="16" spans="1:42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7" t="s">
        <v>809</v>
      </c>
      <c r="K16" s="307" t="s">
        <v>810</v>
      </c>
      <c r="L16" s="307" t="s">
        <v>38</v>
      </c>
      <c r="M16" s="304"/>
      <c r="N16" s="307" t="s">
        <v>39</v>
      </c>
      <c r="O16" s="304"/>
      <c r="P16" s="307" t="s">
        <v>40</v>
      </c>
      <c r="Q16" s="304"/>
      <c r="R16" s="307" t="s">
        <v>41</v>
      </c>
      <c r="T16" s="49"/>
      <c r="U16" s="49"/>
      <c r="V16" s="49"/>
      <c r="W16" s="49"/>
      <c r="X16" s="49"/>
      <c r="Y16" s="49"/>
      <c r="Z16" s="49"/>
      <c r="AC16" s="348"/>
      <c r="AE16" s="42"/>
      <c r="AJ16" s="49"/>
      <c r="AK16" s="107"/>
      <c r="AL16" s="49"/>
      <c r="AM16" s="49"/>
      <c r="AN16" s="49"/>
      <c r="AO16" s="49"/>
      <c r="AP16" s="49"/>
    </row>
    <row r="17" spans="1:45" ht="17.100000000000001" customHeight="1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69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Y17" s="44"/>
      <c r="AC17" s="348"/>
      <c r="AE17" s="42"/>
      <c r="AJ17" s="44"/>
      <c r="AK17" s="102"/>
      <c r="AL17" s="44"/>
      <c r="AM17" s="44"/>
      <c r="AN17" s="44"/>
      <c r="AO17" s="44"/>
      <c r="AP17" s="44"/>
    </row>
    <row r="18" spans="1:45">
      <c r="A18" s="351">
        <v>1</v>
      </c>
      <c r="C18" s="133" t="s">
        <v>795</v>
      </c>
      <c r="D18" s="310" t="s">
        <v>796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2"/>
      <c r="U18" s="42"/>
      <c r="Y18" s="44"/>
      <c r="AC18" s="348"/>
      <c r="AE18" s="42"/>
    </row>
    <row r="19" spans="1:45">
      <c r="A19" s="351">
        <v>2</v>
      </c>
      <c r="C19" s="133" t="s">
        <v>816</v>
      </c>
      <c r="D19" s="130"/>
      <c r="F19" s="68"/>
      <c r="G19" s="1"/>
      <c r="H19" s="68"/>
      <c r="I19" s="68"/>
      <c r="J19" s="314"/>
      <c r="K19" s="314"/>
      <c r="L19" s="3"/>
      <c r="M19" s="3"/>
      <c r="N19" s="4"/>
      <c r="O19" s="4"/>
      <c r="P19" s="3"/>
      <c r="Q19" s="3"/>
      <c r="R19" s="3"/>
      <c r="S19" s="45"/>
      <c r="V19" s="50"/>
      <c r="Y19" s="44"/>
      <c r="AA19" s="41" t="s">
        <v>804</v>
      </c>
      <c r="AC19" s="41" t="s">
        <v>522</v>
      </c>
      <c r="AH19" s="45"/>
      <c r="AL19" s="45"/>
      <c r="AM19" s="45"/>
      <c r="AN19" s="45"/>
    </row>
    <row r="20" spans="1:45">
      <c r="A20" s="351">
        <v>3</v>
      </c>
      <c r="C20" s="48" t="s">
        <v>802</v>
      </c>
      <c r="F20" s="164">
        <v>0</v>
      </c>
      <c r="G20" s="1"/>
      <c r="H20" s="164">
        <f>ROUND(F20*AC19/12,0)</f>
        <v>0</v>
      </c>
      <c r="I20" s="68"/>
      <c r="J20" s="132">
        <f>ROUND(AC371+(AC371*'Rate SL'!$AG$1),6)</f>
        <v>4.7418319999999996</v>
      </c>
      <c r="K20" s="132">
        <f>ROUND(AD371+(AD371*'Rate SL'!$AG$1),6)</f>
        <v>3.3135690000000002</v>
      </c>
      <c r="L20" s="3">
        <f>ROUND((F20*(J20+K20)),0)</f>
        <v>0</v>
      </c>
      <c r="M20" s="3"/>
      <c r="N20" s="4">
        <f t="shared" ref="N20:N61" si="0">ROUND((L20/L$340)*100,1)</f>
        <v>0</v>
      </c>
      <c r="O20" s="4"/>
      <c r="P20" s="3">
        <f t="shared" ref="P20:P61" si="1">ROUND(($P$108/$H$108)*D20,0)</f>
        <v>0</v>
      </c>
      <c r="Q20" s="3"/>
      <c r="R20" s="3">
        <f>L20+P20</f>
        <v>0</v>
      </c>
      <c r="S20" s="45"/>
      <c r="V20" s="50"/>
      <c r="AA20" s="44">
        <v>17</v>
      </c>
      <c r="AC20" s="50">
        <f>AA20*12</f>
        <v>204</v>
      </c>
      <c r="AF20" s="164"/>
      <c r="AG20" s="110"/>
      <c r="AH20" s="50"/>
      <c r="AK20" s="111"/>
      <c r="AL20" s="50"/>
      <c r="AM20" s="50"/>
      <c r="AN20" s="50"/>
      <c r="AO20" s="46"/>
      <c r="AP20" s="46"/>
    </row>
    <row r="21" spans="1:45">
      <c r="A21" s="351">
        <v>4</v>
      </c>
      <c r="C21" s="48" t="s">
        <v>803</v>
      </c>
      <c r="F21" s="164">
        <v>0</v>
      </c>
      <c r="G21" s="1"/>
      <c r="H21" s="164">
        <f t="shared" ref="H21:H46" si="2">ROUND(F21*AC20/12,0)</f>
        <v>0</v>
      </c>
      <c r="I21" s="68"/>
      <c r="J21" s="132">
        <f>ROUND(AC372+(AC372*'Rate SL'!$AG$1),6)</f>
        <v>4.7989620000000004</v>
      </c>
      <c r="K21" s="132">
        <f>ROUND(AD372+(AD372*'Rate SL'!$AG$1),6)</f>
        <v>3.3135690000000002</v>
      </c>
      <c r="L21" s="3">
        <f t="shared" ref="L21:L46" si="3">ROUND((F21*(J21+K21)),0)</f>
        <v>0</v>
      </c>
      <c r="M21" s="3"/>
      <c r="N21" s="4">
        <f t="shared" si="0"/>
        <v>0</v>
      </c>
      <c r="O21" s="4"/>
      <c r="P21" s="3">
        <f t="shared" si="1"/>
        <v>0</v>
      </c>
      <c r="Q21" s="3"/>
      <c r="R21" s="3">
        <f>L21+P21</f>
        <v>0</v>
      </c>
      <c r="S21" s="45"/>
      <c r="V21" s="132"/>
      <c r="Y21" s="387"/>
      <c r="AA21" s="44">
        <v>17</v>
      </c>
      <c r="AB21" s="326"/>
      <c r="AC21" s="50">
        <f t="shared" ref="AC21:AC41" si="4">AA21*12</f>
        <v>204</v>
      </c>
      <c r="AD21" s="50"/>
      <c r="AE21" s="50"/>
      <c r="AF21" s="50"/>
      <c r="AG21" s="111"/>
      <c r="AH21" s="50"/>
      <c r="AK21" s="111"/>
      <c r="AL21" s="50"/>
      <c r="AM21" s="50"/>
      <c r="AN21" s="50"/>
      <c r="AO21" s="352"/>
      <c r="AP21" s="46"/>
    </row>
    <row r="22" spans="1:45">
      <c r="A22" s="351">
        <v>5</v>
      </c>
      <c r="C22" s="48" t="s">
        <v>877</v>
      </c>
      <c r="F22" s="164">
        <v>259</v>
      </c>
      <c r="G22" s="1"/>
      <c r="H22" s="164">
        <f t="shared" si="2"/>
        <v>4403</v>
      </c>
      <c r="I22" s="68"/>
      <c r="J22" s="132">
        <f>ROUND(AC373+(AC373*'Rate SL'!$AG$1),6)</f>
        <v>4.3876220000000004</v>
      </c>
      <c r="K22" s="132">
        <f>ROUND(AD373+(AD373*'Rate SL'!$AG$1),6)</f>
        <v>3.3135690000000002</v>
      </c>
      <c r="L22" s="3">
        <f t="shared" si="3"/>
        <v>1995</v>
      </c>
      <c r="M22" s="3"/>
      <c r="N22" s="4">
        <f t="shared" si="0"/>
        <v>8.8000000000000007</v>
      </c>
      <c r="O22" s="4"/>
      <c r="P22" s="3">
        <f t="shared" si="1"/>
        <v>0</v>
      </c>
      <c r="Q22" s="3"/>
      <c r="R22" s="3">
        <f t="shared" ref="R22:R31" si="5">L22+P22</f>
        <v>1995</v>
      </c>
      <c r="S22" s="45"/>
      <c r="V22" s="132"/>
      <c r="Y22" s="387"/>
      <c r="AA22" s="44">
        <v>17</v>
      </c>
      <c r="AB22" s="326"/>
      <c r="AC22" s="50">
        <f t="shared" si="4"/>
        <v>204</v>
      </c>
      <c r="AD22" s="45"/>
      <c r="AE22" s="46"/>
      <c r="AF22" s="46"/>
      <c r="AH22" s="45"/>
      <c r="AL22" s="45"/>
      <c r="AM22" s="45"/>
      <c r="AN22" s="45"/>
      <c r="AO22" s="352"/>
      <c r="AP22" s="46"/>
    </row>
    <row r="23" spans="1:45">
      <c r="A23" s="351">
        <v>6</v>
      </c>
      <c r="C23" s="48" t="s">
        <v>876</v>
      </c>
      <c r="F23" s="164">
        <v>672</v>
      </c>
      <c r="G23" s="1"/>
      <c r="H23" s="164">
        <f t="shared" si="2"/>
        <v>11424</v>
      </c>
      <c r="I23" s="68"/>
      <c r="J23" s="132">
        <f>ROUND(AC374+(AC374*'Rate SL'!$AG$1),6)</f>
        <v>4.8218139999999998</v>
      </c>
      <c r="K23" s="132">
        <f>ROUND(AD374+(AD374*'Rate SL'!$AG$1),6)</f>
        <v>3.3135690000000002</v>
      </c>
      <c r="L23" s="3">
        <f t="shared" si="3"/>
        <v>5467</v>
      </c>
      <c r="M23" s="3"/>
      <c r="N23" s="4">
        <f t="shared" si="0"/>
        <v>24.1</v>
      </c>
      <c r="O23" s="4"/>
      <c r="P23" s="3">
        <f t="shared" si="1"/>
        <v>0</v>
      </c>
      <c r="Q23" s="3"/>
      <c r="R23" s="3">
        <f>L23+P23</f>
        <v>5467</v>
      </c>
      <c r="S23" s="45"/>
      <c r="V23" s="132"/>
      <c r="Y23" s="387"/>
      <c r="AA23" s="44">
        <v>24</v>
      </c>
      <c r="AB23" s="326"/>
      <c r="AC23" s="50">
        <f t="shared" si="4"/>
        <v>288</v>
      </c>
      <c r="AD23" s="45"/>
      <c r="AE23" s="46"/>
      <c r="AF23" s="46"/>
      <c r="AH23" s="45"/>
      <c r="AL23" s="45"/>
      <c r="AM23" s="45"/>
      <c r="AN23" s="45"/>
      <c r="AO23" s="352"/>
      <c r="AP23" s="46"/>
    </row>
    <row r="24" spans="1:45">
      <c r="A24" s="351">
        <v>7</v>
      </c>
      <c r="C24" s="48" t="s">
        <v>875</v>
      </c>
      <c r="F24" s="164">
        <v>22</v>
      </c>
      <c r="G24" s="1"/>
      <c r="H24" s="164">
        <f t="shared" si="2"/>
        <v>528</v>
      </c>
      <c r="I24" s="68"/>
      <c r="J24" s="132">
        <f>ROUND(AC375+(AC375*'Rate SL'!$AG$1),6)</f>
        <v>5.4502499999999996</v>
      </c>
      <c r="K24" s="132">
        <f>ROUND(AD375+(AD375*'Rate SL'!$AG$1),6)</f>
        <v>3.3135690000000002</v>
      </c>
      <c r="L24" s="3">
        <f t="shared" si="3"/>
        <v>193</v>
      </c>
      <c r="M24" s="3"/>
      <c r="N24" s="4">
        <f t="shared" si="0"/>
        <v>0.8</v>
      </c>
      <c r="O24" s="4"/>
      <c r="P24" s="3">
        <f t="shared" si="1"/>
        <v>0</v>
      </c>
      <c r="Q24" s="3"/>
      <c r="R24" s="3">
        <f t="shared" si="5"/>
        <v>193</v>
      </c>
      <c r="S24" s="45"/>
      <c r="U24" s="40"/>
      <c r="V24" s="132"/>
      <c r="W24" s="40"/>
      <c r="X24" s="40"/>
      <c r="Y24" s="387"/>
      <c r="Z24" s="40"/>
      <c r="AA24" s="44">
        <v>38</v>
      </c>
      <c r="AB24" s="40"/>
      <c r="AC24" s="50">
        <f t="shared" si="4"/>
        <v>456</v>
      </c>
      <c r="AD24" s="40"/>
      <c r="AE24" s="40"/>
      <c r="AF24" s="40"/>
      <c r="AG24" s="100"/>
      <c r="AH24" s="40"/>
      <c r="AI24" s="40"/>
      <c r="AJ24" s="40"/>
      <c r="AK24" s="100"/>
      <c r="AL24" s="40"/>
      <c r="AM24" s="40"/>
      <c r="AN24" s="40"/>
      <c r="AO24" s="352"/>
      <c r="AP24" s="40"/>
      <c r="AR24" s="40"/>
      <c r="AS24" s="40"/>
    </row>
    <row r="25" spans="1:45">
      <c r="A25" s="351">
        <v>8</v>
      </c>
      <c r="C25" s="48" t="s">
        <v>874</v>
      </c>
      <c r="F25" s="164">
        <v>10</v>
      </c>
      <c r="G25" s="1"/>
      <c r="H25" s="164">
        <f t="shared" si="2"/>
        <v>380</v>
      </c>
      <c r="I25" s="68"/>
      <c r="J25" s="132">
        <f>ROUND(AC376+(AC376*'Rate SL'!$AG$1),6)</f>
        <v>5.5188059999999997</v>
      </c>
      <c r="K25" s="132">
        <f>ROUND(AD376+(AD376*'Rate SL'!$AG$1),6)</f>
        <v>3.3135690000000002</v>
      </c>
      <c r="L25" s="3">
        <f t="shared" si="3"/>
        <v>88</v>
      </c>
      <c r="M25" s="3"/>
      <c r="N25" s="4">
        <f t="shared" si="0"/>
        <v>0.4</v>
      </c>
      <c r="O25" s="4"/>
      <c r="P25" s="3">
        <f t="shared" si="1"/>
        <v>0</v>
      </c>
      <c r="Q25" s="3"/>
      <c r="R25" s="3">
        <f>L25+P25</f>
        <v>88</v>
      </c>
      <c r="S25" s="45"/>
      <c r="U25" s="40"/>
      <c r="V25" s="132"/>
      <c r="W25" s="42"/>
      <c r="X25" s="40"/>
      <c r="Y25" s="387"/>
      <c r="Z25" s="40"/>
      <c r="AA25" s="44">
        <v>52</v>
      </c>
      <c r="AB25" s="40"/>
      <c r="AC25" s="50">
        <f t="shared" si="4"/>
        <v>624</v>
      </c>
      <c r="AD25" s="40"/>
      <c r="AE25" s="40"/>
      <c r="AF25" s="40"/>
      <c r="AG25" s="100"/>
      <c r="AH25" s="40"/>
      <c r="AI25" s="40"/>
      <c r="AJ25" s="40"/>
      <c r="AK25" s="100"/>
      <c r="AL25" s="40"/>
      <c r="AM25" s="40"/>
      <c r="AN25" s="40"/>
      <c r="AO25" s="352"/>
      <c r="AP25" s="40"/>
      <c r="AR25" s="40"/>
      <c r="AS25" s="40"/>
    </row>
    <row r="26" spans="1:45">
      <c r="A26" s="351">
        <v>9</v>
      </c>
      <c r="C26" s="48" t="s">
        <v>873</v>
      </c>
      <c r="F26" s="164">
        <v>19</v>
      </c>
      <c r="G26" s="1"/>
      <c r="H26" s="164">
        <f t="shared" si="2"/>
        <v>988</v>
      </c>
      <c r="I26" s="68"/>
      <c r="J26" s="132">
        <f>ROUND(AC377+(AC377*'Rate SL'!$AG$1),6)</f>
        <v>7.2098690000000003</v>
      </c>
      <c r="K26" s="132">
        <f>ROUND(AD377+(AD377*'Rate SL'!$AG$1),6)</f>
        <v>4.0448389999999996</v>
      </c>
      <c r="L26" s="3">
        <f t="shared" si="3"/>
        <v>214</v>
      </c>
      <c r="M26" s="3"/>
      <c r="N26" s="4">
        <f t="shared" si="0"/>
        <v>0.9</v>
      </c>
      <c r="O26" s="4"/>
      <c r="P26" s="3">
        <f t="shared" si="1"/>
        <v>0</v>
      </c>
      <c r="Q26" s="3"/>
      <c r="R26" s="3">
        <f>L26+P26</f>
        <v>214</v>
      </c>
      <c r="S26" s="45"/>
      <c r="U26" s="40"/>
      <c r="V26" s="132"/>
      <c r="W26" s="40"/>
      <c r="X26" s="40"/>
      <c r="Y26" s="387"/>
      <c r="Z26" s="40"/>
      <c r="AA26" s="44">
        <v>76</v>
      </c>
      <c r="AB26" s="40"/>
      <c r="AC26" s="50">
        <f t="shared" si="4"/>
        <v>912</v>
      </c>
      <c r="AD26" s="40"/>
      <c r="AE26" s="40"/>
      <c r="AF26" s="40"/>
      <c r="AG26" s="100"/>
      <c r="AH26" s="40"/>
      <c r="AI26" s="40"/>
      <c r="AJ26" s="40"/>
      <c r="AK26" s="100"/>
      <c r="AL26" s="40"/>
      <c r="AM26" s="40"/>
      <c r="AN26" s="40"/>
      <c r="AO26" s="352"/>
      <c r="AP26" s="40"/>
      <c r="AR26" s="40"/>
      <c r="AS26" s="40"/>
    </row>
    <row r="27" spans="1:45">
      <c r="A27" s="351">
        <v>10</v>
      </c>
      <c r="C27" s="48" t="s">
        <v>872</v>
      </c>
      <c r="F27" s="164">
        <v>4</v>
      </c>
      <c r="G27" s="1"/>
      <c r="H27" s="164">
        <f t="shared" si="2"/>
        <v>304</v>
      </c>
      <c r="I27" s="68"/>
      <c r="J27" s="132">
        <f>ROUND(AC378+(AC378*'Rate SL'!$AG$1),6)</f>
        <v>7.2670000000000003</v>
      </c>
      <c r="K27" s="132">
        <f>ROUND(AD378+(AD378*'Rate SL'!$AG$1),6)</f>
        <v>4.0448389999999996</v>
      </c>
      <c r="L27" s="3">
        <f t="shared" si="3"/>
        <v>45</v>
      </c>
      <c r="M27" s="3"/>
      <c r="N27" s="4">
        <f t="shared" si="0"/>
        <v>0.2</v>
      </c>
      <c r="O27" s="4"/>
      <c r="P27" s="3">
        <f t="shared" si="1"/>
        <v>0</v>
      </c>
      <c r="Q27" s="3"/>
      <c r="R27" s="3">
        <f>L27+P27</f>
        <v>45</v>
      </c>
      <c r="S27" s="45"/>
      <c r="U27" s="40"/>
      <c r="V27" s="132"/>
      <c r="W27" s="42"/>
      <c r="X27" s="40"/>
      <c r="Y27" s="387"/>
      <c r="Z27" s="40"/>
      <c r="AA27" s="44">
        <v>97</v>
      </c>
      <c r="AB27" s="40"/>
      <c r="AC27" s="50">
        <f t="shared" si="4"/>
        <v>1164</v>
      </c>
      <c r="AD27" s="40"/>
      <c r="AE27" s="40"/>
      <c r="AF27" s="40"/>
      <c r="AG27" s="100"/>
      <c r="AH27" s="40"/>
      <c r="AI27" s="40"/>
      <c r="AJ27" s="40"/>
      <c r="AK27" s="100"/>
      <c r="AL27" s="40"/>
      <c r="AM27" s="40"/>
      <c r="AN27" s="40"/>
      <c r="AO27" s="352"/>
      <c r="AP27" s="40"/>
      <c r="AR27" s="40"/>
      <c r="AS27" s="40"/>
    </row>
    <row r="28" spans="1:45">
      <c r="A28" s="351">
        <v>11</v>
      </c>
      <c r="C28" s="48" t="s">
        <v>871</v>
      </c>
      <c r="F28" s="164">
        <v>0</v>
      </c>
      <c r="G28" s="1"/>
      <c r="H28" s="164">
        <f t="shared" si="2"/>
        <v>0</v>
      </c>
      <c r="I28" s="68"/>
      <c r="J28" s="132">
        <f>ROUND(AC379+(AC379*'Rate SL'!$AG$1),6)</f>
        <v>13.379963</v>
      </c>
      <c r="K28" s="132">
        <f>ROUND(AD379+(AD379*'Rate SL'!$AG$1),6)</f>
        <v>3.3135690000000002</v>
      </c>
      <c r="L28" s="3">
        <f t="shared" si="3"/>
        <v>0</v>
      </c>
      <c r="M28" s="3"/>
      <c r="N28" s="4">
        <f t="shared" si="0"/>
        <v>0</v>
      </c>
      <c r="O28" s="4"/>
      <c r="P28" s="3">
        <f t="shared" si="1"/>
        <v>0</v>
      </c>
      <c r="Q28" s="3"/>
      <c r="R28" s="3">
        <f t="shared" si="5"/>
        <v>0</v>
      </c>
      <c r="S28" s="45"/>
      <c r="V28" s="132"/>
      <c r="Y28" s="387"/>
      <c r="AA28" s="44">
        <v>17</v>
      </c>
      <c r="AC28" s="50">
        <f t="shared" si="4"/>
        <v>204</v>
      </c>
      <c r="AD28" s="45"/>
      <c r="AE28" s="45"/>
      <c r="AF28" s="45"/>
      <c r="AL28" s="45"/>
      <c r="AM28" s="45"/>
      <c r="AN28" s="45"/>
      <c r="AO28" s="352"/>
    </row>
    <row r="29" spans="1:45">
      <c r="A29" s="351">
        <v>12</v>
      </c>
      <c r="C29" s="48" t="s">
        <v>870</v>
      </c>
      <c r="F29" s="164">
        <v>0</v>
      </c>
      <c r="G29" s="1"/>
      <c r="H29" s="164">
        <f t="shared" si="2"/>
        <v>0</v>
      </c>
      <c r="I29" s="68"/>
      <c r="J29" s="132">
        <f>ROUND(AC380+(AC380*'Rate SL'!$AG$1),6)</f>
        <v>14.911061</v>
      </c>
      <c r="K29" s="132">
        <f>ROUND(AD380+(AD380*'Rate SL'!$AG$1),6)</f>
        <v>3.3135690000000002</v>
      </c>
      <c r="L29" s="3">
        <f t="shared" si="3"/>
        <v>0</v>
      </c>
      <c r="M29" s="3"/>
      <c r="N29" s="4">
        <f t="shared" si="0"/>
        <v>0</v>
      </c>
      <c r="O29" s="4"/>
      <c r="P29" s="3">
        <f t="shared" si="1"/>
        <v>0</v>
      </c>
      <c r="Q29" s="3"/>
      <c r="R29" s="3">
        <f>L29+P29</f>
        <v>0</v>
      </c>
      <c r="S29" s="45"/>
      <c r="V29" s="132"/>
      <c r="Y29" s="387"/>
      <c r="AA29" s="44">
        <v>17</v>
      </c>
      <c r="AC29" s="50">
        <f t="shared" si="4"/>
        <v>204</v>
      </c>
      <c r="AD29" s="45"/>
      <c r="AE29" s="45"/>
      <c r="AF29" s="45"/>
      <c r="AL29" s="45"/>
      <c r="AM29" s="45"/>
      <c r="AN29" s="45"/>
      <c r="AO29" s="352"/>
    </row>
    <row r="30" spans="1:45" ht="15" customHeight="1">
      <c r="A30" s="351">
        <v>13</v>
      </c>
      <c r="C30" s="48" t="s">
        <v>797</v>
      </c>
      <c r="F30" s="164">
        <v>0</v>
      </c>
      <c r="G30" s="1"/>
      <c r="H30" s="164">
        <f t="shared" si="2"/>
        <v>0</v>
      </c>
      <c r="I30" s="68"/>
      <c r="J30" s="132">
        <f>ROUND(AC381+(AC381*'Rate SL'!$AG$1),6)</f>
        <v>15.356678</v>
      </c>
      <c r="K30" s="132">
        <f>ROUND(AD381+(AD381*'Rate SL'!$AG$1),6)</f>
        <v>3.3135690000000002</v>
      </c>
      <c r="L30" s="3">
        <f t="shared" si="3"/>
        <v>0</v>
      </c>
      <c r="M30" s="3"/>
      <c r="N30" s="4">
        <f t="shared" si="0"/>
        <v>0</v>
      </c>
      <c r="O30" s="4"/>
      <c r="P30" s="3">
        <f t="shared" si="1"/>
        <v>0</v>
      </c>
      <c r="Q30" s="3"/>
      <c r="R30" s="3">
        <f t="shared" si="5"/>
        <v>0</v>
      </c>
      <c r="S30" s="45"/>
      <c r="V30" s="132"/>
      <c r="Y30" s="387"/>
      <c r="AA30" s="44">
        <v>24</v>
      </c>
      <c r="AC30" s="50">
        <f t="shared" si="4"/>
        <v>288</v>
      </c>
      <c r="AO30" s="352"/>
    </row>
    <row r="31" spans="1:45" ht="15.75" customHeight="1">
      <c r="A31" s="351">
        <v>14</v>
      </c>
      <c r="C31" s="48" t="s">
        <v>869</v>
      </c>
      <c r="F31" s="164">
        <v>858</v>
      </c>
      <c r="G31" s="1"/>
      <c r="H31" s="164">
        <f t="shared" si="2"/>
        <v>20592</v>
      </c>
      <c r="I31" s="68"/>
      <c r="J31" s="132">
        <f>ROUND(AC382+(AC382*'Rate SL'!$AG$1),6)</f>
        <v>7.2098690000000003</v>
      </c>
      <c r="K31" s="132">
        <f>ROUND(AD382+(AD382*'Rate SL'!$AG$1),6)</f>
        <v>3.3135690000000002</v>
      </c>
      <c r="L31" s="3">
        <f t="shared" si="3"/>
        <v>9029</v>
      </c>
      <c r="M31" s="3"/>
      <c r="N31" s="4">
        <f t="shared" si="0"/>
        <v>39.700000000000003</v>
      </c>
      <c r="O31" s="4"/>
      <c r="P31" s="3">
        <f t="shared" si="1"/>
        <v>0</v>
      </c>
      <c r="Q31" s="3"/>
      <c r="R31" s="3">
        <f t="shared" si="5"/>
        <v>9029</v>
      </c>
      <c r="S31" s="45"/>
      <c r="U31" s="40"/>
      <c r="V31" s="132"/>
      <c r="W31" s="40"/>
      <c r="X31" s="40"/>
      <c r="Y31" s="387"/>
      <c r="Z31" s="40"/>
      <c r="AA31" s="44">
        <v>17</v>
      </c>
      <c r="AB31" s="40"/>
      <c r="AC31" s="50">
        <f t="shared" si="4"/>
        <v>204</v>
      </c>
      <c r="AD31" s="40"/>
      <c r="AE31" s="40"/>
      <c r="AF31" s="40"/>
      <c r="AG31" s="100"/>
      <c r="AH31" s="40"/>
      <c r="AI31" s="40"/>
      <c r="AJ31" s="40"/>
      <c r="AK31" s="100"/>
      <c r="AL31" s="40"/>
      <c r="AM31" s="40"/>
      <c r="AN31" s="40"/>
      <c r="AO31" s="352"/>
      <c r="AP31" s="40"/>
      <c r="AR31" s="40"/>
      <c r="AS31" s="40"/>
    </row>
    <row r="32" spans="1:45" ht="15.75" customHeight="1">
      <c r="A32" s="351">
        <v>15</v>
      </c>
      <c r="C32" s="48" t="s">
        <v>868</v>
      </c>
      <c r="F32" s="164">
        <v>0</v>
      </c>
      <c r="G32" s="1"/>
      <c r="H32" s="164">
        <f t="shared" si="2"/>
        <v>0</v>
      </c>
      <c r="I32" s="68"/>
      <c r="J32" s="132">
        <f>ROUND(AC383+(AC383*'Rate SL'!$AG$1),6)</f>
        <v>7.4955220000000002</v>
      </c>
      <c r="K32" s="132">
        <f>ROUND(AD383+(AD383*'Rate SL'!$AG$1),6)</f>
        <v>3.3135690000000002</v>
      </c>
      <c r="L32" s="3">
        <f t="shared" si="3"/>
        <v>0</v>
      </c>
      <c r="M32" s="3"/>
      <c r="N32" s="4">
        <f t="shared" si="0"/>
        <v>0</v>
      </c>
      <c r="O32" s="4"/>
      <c r="P32" s="3">
        <f t="shared" si="1"/>
        <v>0</v>
      </c>
      <c r="Q32" s="3"/>
      <c r="R32" s="3">
        <f t="shared" ref="R32:R39" si="6">L32+P32</f>
        <v>0</v>
      </c>
      <c r="S32" s="45"/>
      <c r="U32" s="40"/>
      <c r="V32" s="132"/>
      <c r="W32" s="40"/>
      <c r="X32" s="40"/>
      <c r="Y32" s="387"/>
      <c r="Z32" s="40"/>
      <c r="AA32" s="44">
        <v>17</v>
      </c>
      <c r="AB32" s="40"/>
      <c r="AC32" s="50">
        <f t="shared" si="4"/>
        <v>204</v>
      </c>
      <c r="AD32" s="40"/>
      <c r="AE32" s="40"/>
      <c r="AF32" s="40"/>
      <c r="AG32" s="100"/>
      <c r="AH32" s="40"/>
      <c r="AI32" s="40"/>
      <c r="AJ32" s="40"/>
      <c r="AK32" s="100"/>
      <c r="AL32" s="40"/>
      <c r="AM32" s="40"/>
      <c r="AN32" s="40"/>
      <c r="AO32" s="352"/>
      <c r="AP32" s="40"/>
      <c r="AR32" s="40"/>
      <c r="AS32" s="40"/>
    </row>
    <row r="33" spans="1:45" ht="15.75" customHeight="1">
      <c r="A33" s="351">
        <v>16</v>
      </c>
      <c r="C33" s="48" t="s">
        <v>867</v>
      </c>
      <c r="F33" s="164">
        <v>0</v>
      </c>
      <c r="G33" s="1"/>
      <c r="H33" s="164">
        <f t="shared" si="2"/>
        <v>0</v>
      </c>
      <c r="I33" s="68"/>
      <c r="J33" s="132">
        <f>ROUND(AC384+(AC384*'Rate SL'!$AG$1),6)</f>
        <v>13.722746000000001</v>
      </c>
      <c r="K33" s="132">
        <f>ROUND(AD384+(AD384*'Rate SL'!$AG$1),6)</f>
        <v>3.3135690000000002</v>
      </c>
      <c r="L33" s="3">
        <f t="shared" si="3"/>
        <v>0</v>
      </c>
      <c r="M33" s="3"/>
      <c r="N33" s="4">
        <f t="shared" si="0"/>
        <v>0</v>
      </c>
      <c r="O33" s="4"/>
      <c r="P33" s="3">
        <f t="shared" si="1"/>
        <v>0</v>
      </c>
      <c r="Q33" s="3"/>
      <c r="R33" s="3">
        <f t="shared" si="6"/>
        <v>0</v>
      </c>
      <c r="S33" s="45"/>
      <c r="U33" s="40"/>
      <c r="V33" s="132"/>
      <c r="W33" s="40"/>
      <c r="X33" s="40"/>
      <c r="Y33" s="387"/>
      <c r="Z33" s="40"/>
      <c r="AA33" s="44">
        <v>17</v>
      </c>
      <c r="AB33" s="40"/>
      <c r="AC33" s="50">
        <f t="shared" si="4"/>
        <v>204</v>
      </c>
      <c r="AD33" s="40"/>
      <c r="AE33" s="40"/>
      <c r="AF33" s="40"/>
      <c r="AG33" s="100"/>
      <c r="AH33" s="40"/>
      <c r="AI33" s="40"/>
      <c r="AJ33" s="40"/>
      <c r="AK33" s="100"/>
      <c r="AL33" s="40"/>
      <c r="AM33" s="40"/>
      <c r="AN33" s="40"/>
      <c r="AO33" s="352"/>
      <c r="AP33" s="40"/>
      <c r="AR33" s="40"/>
      <c r="AS33" s="40"/>
    </row>
    <row r="34" spans="1:45" ht="15.75" customHeight="1">
      <c r="A34" s="351">
        <v>17</v>
      </c>
      <c r="B34" s="355"/>
      <c r="C34" s="48" t="s">
        <v>866</v>
      </c>
      <c r="D34" s="355"/>
      <c r="F34" s="164">
        <v>0</v>
      </c>
      <c r="G34" s="1"/>
      <c r="H34" s="164">
        <f t="shared" si="2"/>
        <v>0</v>
      </c>
      <c r="I34" s="68"/>
      <c r="J34" s="132">
        <f>ROUND(AC385+(AC385*'Rate SL'!$AG$1),6)</f>
        <v>13.174293</v>
      </c>
      <c r="K34" s="132">
        <f>ROUND(AD385+(AD385*'Rate SL'!$AG$1),6)</f>
        <v>3.3135690000000002</v>
      </c>
      <c r="L34" s="3">
        <f t="shared" si="3"/>
        <v>0</v>
      </c>
      <c r="M34" s="3"/>
      <c r="N34" s="4">
        <f t="shared" si="0"/>
        <v>0</v>
      </c>
      <c r="O34" s="4"/>
      <c r="P34" s="3">
        <f t="shared" si="1"/>
        <v>0</v>
      </c>
      <c r="Q34" s="3"/>
      <c r="R34" s="3">
        <f t="shared" si="6"/>
        <v>0</v>
      </c>
      <c r="S34" s="45"/>
      <c r="U34" s="40"/>
      <c r="V34" s="132"/>
      <c r="W34" s="40"/>
      <c r="X34" s="40"/>
      <c r="Y34" s="387"/>
      <c r="Z34" s="40"/>
      <c r="AA34" s="44">
        <v>17</v>
      </c>
      <c r="AB34" s="40"/>
      <c r="AC34" s="50">
        <f t="shared" si="4"/>
        <v>204</v>
      </c>
      <c r="AD34" s="40"/>
      <c r="AE34" s="40"/>
      <c r="AF34" s="40"/>
      <c r="AG34" s="100"/>
      <c r="AH34" s="40"/>
      <c r="AI34" s="40"/>
      <c r="AJ34" s="40"/>
      <c r="AK34" s="100"/>
      <c r="AL34" s="40"/>
      <c r="AM34" s="40"/>
      <c r="AN34" s="40"/>
      <c r="AO34" s="352"/>
      <c r="AP34" s="40"/>
      <c r="AR34" s="40"/>
      <c r="AS34" s="40"/>
    </row>
    <row r="35" spans="1:45" ht="15.75" customHeight="1">
      <c r="A35" s="351">
        <v>18</v>
      </c>
      <c r="B35" s="355"/>
      <c r="C35" s="48" t="s">
        <v>865</v>
      </c>
      <c r="D35" s="355"/>
      <c r="F35" s="164">
        <v>0</v>
      </c>
      <c r="G35" s="1"/>
      <c r="H35" s="164">
        <f t="shared" si="2"/>
        <v>0</v>
      </c>
      <c r="I35" s="68"/>
      <c r="J35" s="132">
        <f>ROUND(AC386+(AC386*'Rate SL'!$AG$1),6)</f>
        <v>16.750662999999999</v>
      </c>
      <c r="K35" s="132">
        <f>ROUND(AD386+(AD386*'Rate SL'!$AG$1),6)</f>
        <v>3.3135690000000002</v>
      </c>
      <c r="L35" s="3">
        <f t="shared" si="3"/>
        <v>0</v>
      </c>
      <c r="M35" s="3"/>
      <c r="N35" s="4">
        <f t="shared" si="0"/>
        <v>0</v>
      </c>
      <c r="O35" s="4"/>
      <c r="P35" s="3">
        <f t="shared" si="1"/>
        <v>0</v>
      </c>
      <c r="Q35" s="3"/>
      <c r="R35" s="3">
        <f t="shared" si="6"/>
        <v>0</v>
      </c>
      <c r="S35" s="45"/>
      <c r="U35" s="40"/>
      <c r="V35" s="132"/>
      <c r="W35" s="40"/>
      <c r="X35" s="40"/>
      <c r="Y35" s="387"/>
      <c r="Z35" s="40"/>
      <c r="AA35" s="44">
        <v>24</v>
      </c>
      <c r="AB35" s="40"/>
      <c r="AC35" s="50">
        <f t="shared" si="4"/>
        <v>288</v>
      </c>
      <c r="AD35" s="40"/>
      <c r="AE35" s="40"/>
      <c r="AF35" s="40"/>
      <c r="AG35" s="100"/>
      <c r="AH35" s="40"/>
      <c r="AI35" s="40"/>
      <c r="AJ35" s="40"/>
      <c r="AK35" s="100"/>
      <c r="AL35" s="40"/>
      <c r="AM35" s="40"/>
      <c r="AN35" s="40"/>
      <c r="AO35" s="352"/>
      <c r="AP35" s="40"/>
      <c r="AR35" s="40"/>
      <c r="AS35" s="40"/>
    </row>
    <row r="36" spans="1:45" ht="15.75" customHeight="1">
      <c r="A36" s="351">
        <v>19</v>
      </c>
      <c r="B36" s="355"/>
      <c r="C36" s="48" t="s">
        <v>864</v>
      </c>
      <c r="D36" s="355"/>
      <c r="F36" s="164">
        <v>0</v>
      </c>
      <c r="G36" s="1"/>
      <c r="H36" s="164">
        <f t="shared" si="2"/>
        <v>0</v>
      </c>
      <c r="I36" s="68"/>
      <c r="J36" s="132">
        <f>ROUND(AC387+(AC387*'Rate SL'!$AG$1),6)</f>
        <v>17.459081000000001</v>
      </c>
      <c r="K36" s="132">
        <f>ROUND(AD387+(AD387*'Rate SL'!$AG$1),6)</f>
        <v>3.3135690000000002</v>
      </c>
      <c r="L36" s="3">
        <f t="shared" si="3"/>
        <v>0</v>
      </c>
      <c r="M36" s="3"/>
      <c r="N36" s="4">
        <f t="shared" si="0"/>
        <v>0</v>
      </c>
      <c r="O36" s="4"/>
      <c r="P36" s="3">
        <f t="shared" si="1"/>
        <v>0</v>
      </c>
      <c r="Q36" s="3"/>
      <c r="R36" s="3">
        <f t="shared" si="6"/>
        <v>0</v>
      </c>
      <c r="S36" s="45"/>
      <c r="U36" s="40"/>
      <c r="V36" s="132"/>
      <c r="W36" s="40"/>
      <c r="X36" s="40"/>
      <c r="Y36" s="387"/>
      <c r="Z36" s="40"/>
      <c r="AA36" s="44">
        <v>52</v>
      </c>
      <c r="AB36" s="40"/>
      <c r="AC36" s="50">
        <f t="shared" si="4"/>
        <v>624</v>
      </c>
      <c r="AD36" s="40"/>
      <c r="AE36" s="40"/>
      <c r="AF36" s="40"/>
      <c r="AG36" s="100"/>
      <c r="AH36" s="40"/>
      <c r="AI36" s="40"/>
      <c r="AJ36" s="40"/>
      <c r="AK36" s="100"/>
      <c r="AL36" s="40"/>
      <c r="AM36" s="40"/>
      <c r="AN36" s="40"/>
      <c r="AO36" s="352"/>
      <c r="AP36" s="40"/>
      <c r="AR36" s="40"/>
      <c r="AS36" s="40"/>
    </row>
    <row r="37" spans="1:45" ht="15.75" customHeight="1">
      <c r="A37" s="351">
        <v>20</v>
      </c>
      <c r="C37" s="48" t="s">
        <v>798</v>
      </c>
      <c r="F37" s="164">
        <v>0</v>
      </c>
      <c r="G37" s="1"/>
      <c r="H37" s="164">
        <f t="shared" si="2"/>
        <v>0</v>
      </c>
      <c r="I37" s="68"/>
      <c r="J37" s="132">
        <f>ROUND(AC388+(AC388*'Rate SL'!$AG$1),6)</f>
        <v>20.97832</v>
      </c>
      <c r="K37" s="132">
        <f>ROUND(AD388+(AD388*'Rate SL'!$AG$1),6)</f>
        <v>3.3135690000000002</v>
      </c>
      <c r="L37" s="3">
        <f t="shared" si="3"/>
        <v>0</v>
      </c>
      <c r="M37" s="3"/>
      <c r="N37" s="4">
        <f t="shared" si="0"/>
        <v>0</v>
      </c>
      <c r="O37" s="4"/>
      <c r="P37" s="3">
        <f t="shared" si="1"/>
        <v>0</v>
      </c>
      <c r="Q37" s="3"/>
      <c r="R37" s="3">
        <f t="shared" si="6"/>
        <v>0</v>
      </c>
      <c r="S37" s="45"/>
      <c r="U37" s="40"/>
      <c r="V37" s="132"/>
      <c r="W37" s="40"/>
      <c r="X37" s="40"/>
      <c r="Y37" s="387"/>
      <c r="Z37" s="40"/>
      <c r="AA37" s="44">
        <v>52</v>
      </c>
      <c r="AB37" s="40"/>
      <c r="AC37" s="50">
        <f t="shared" si="4"/>
        <v>624</v>
      </c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352"/>
      <c r="AP37" s="40"/>
      <c r="AR37" s="40"/>
      <c r="AS37" s="40"/>
    </row>
    <row r="38" spans="1:45" ht="15.75" customHeight="1">
      <c r="A38" s="351">
        <v>21</v>
      </c>
      <c r="B38" s="356"/>
      <c r="C38" s="48" t="s">
        <v>799</v>
      </c>
      <c r="F38" s="164">
        <v>0</v>
      </c>
      <c r="G38" s="1"/>
      <c r="H38" s="164">
        <f t="shared" si="2"/>
        <v>0</v>
      </c>
      <c r="I38" s="68"/>
      <c r="J38" s="132">
        <f>ROUND(AC389+(AC389*'Rate SL'!$AG$1),6)</f>
        <v>17.150576000000001</v>
      </c>
      <c r="K38" s="132">
        <f>ROUND(AD389+(AD389*'Rate SL'!$AG$1),6)</f>
        <v>3.3135690000000002</v>
      </c>
      <c r="L38" s="3">
        <f t="shared" si="3"/>
        <v>0</v>
      </c>
      <c r="M38" s="3"/>
      <c r="N38" s="4">
        <f t="shared" si="0"/>
        <v>0</v>
      </c>
      <c r="O38" s="4"/>
      <c r="P38" s="3">
        <f t="shared" si="1"/>
        <v>0</v>
      </c>
      <c r="Q38" s="3"/>
      <c r="R38" s="3">
        <f t="shared" si="6"/>
        <v>0</v>
      </c>
      <c r="S38" s="45"/>
      <c r="U38" s="40"/>
      <c r="V38" s="132"/>
      <c r="W38" s="40"/>
      <c r="X38" s="40"/>
      <c r="Y38" s="387"/>
      <c r="Z38" s="40"/>
      <c r="AA38" s="44">
        <v>17</v>
      </c>
      <c r="AB38" s="40"/>
      <c r="AC38" s="50">
        <f t="shared" si="4"/>
        <v>204</v>
      </c>
      <c r="AD38" s="40"/>
      <c r="AE38" s="40"/>
      <c r="AF38" s="40"/>
      <c r="AG38" s="100"/>
      <c r="AH38" s="40"/>
      <c r="AI38" s="40"/>
      <c r="AJ38" s="40"/>
      <c r="AK38" s="100"/>
      <c r="AL38" s="40"/>
      <c r="AM38" s="40"/>
      <c r="AN38" s="40"/>
      <c r="AO38" s="352"/>
      <c r="AP38" s="40"/>
      <c r="AR38" s="40"/>
      <c r="AS38" s="40"/>
    </row>
    <row r="39" spans="1:45" ht="15.75" customHeight="1">
      <c r="A39" s="351">
        <v>22</v>
      </c>
      <c r="C39" s="48" t="s">
        <v>800</v>
      </c>
      <c r="F39" s="164">
        <v>0</v>
      </c>
      <c r="G39" s="1"/>
      <c r="H39" s="164">
        <f t="shared" si="2"/>
        <v>0</v>
      </c>
      <c r="I39" s="68"/>
      <c r="J39" s="132">
        <f>ROUND(AC390+(AC390*'Rate SL'!$AG$1),6)</f>
        <v>13.014328000000001</v>
      </c>
      <c r="K39" s="132">
        <f>ROUND(AD390+(AD390*'Rate SL'!$AG$1),6)</f>
        <v>4.0448389999999996</v>
      </c>
      <c r="L39" s="3">
        <f t="shared" si="3"/>
        <v>0</v>
      </c>
      <c r="M39" s="3"/>
      <c r="N39" s="4">
        <f t="shared" si="0"/>
        <v>0</v>
      </c>
      <c r="O39" s="4"/>
      <c r="P39" s="3">
        <f t="shared" si="1"/>
        <v>0</v>
      </c>
      <c r="Q39" s="3"/>
      <c r="R39" s="3">
        <f t="shared" si="6"/>
        <v>0</v>
      </c>
      <c r="S39" s="45"/>
      <c r="U39" s="40"/>
      <c r="V39" s="132"/>
      <c r="W39" s="40"/>
      <c r="X39" s="40"/>
      <c r="Y39" s="387"/>
      <c r="Z39" s="40"/>
      <c r="AA39" s="44">
        <v>76</v>
      </c>
      <c r="AB39" s="40"/>
      <c r="AC39" s="50">
        <f t="shared" si="4"/>
        <v>912</v>
      </c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352"/>
      <c r="AP39" s="40"/>
      <c r="AR39" s="40"/>
      <c r="AS39" s="40"/>
    </row>
    <row r="40" spans="1:45">
      <c r="A40" s="351">
        <v>23</v>
      </c>
      <c r="C40" s="48" t="s">
        <v>801</v>
      </c>
      <c r="F40" s="164">
        <v>0</v>
      </c>
      <c r="G40" s="1"/>
      <c r="H40" s="164">
        <f t="shared" si="2"/>
        <v>0</v>
      </c>
      <c r="I40" s="1"/>
      <c r="J40" s="132">
        <f>ROUND(AC391+(AC391*'Rate SL'!$AG$1),6)</f>
        <v>19.332961000000001</v>
      </c>
      <c r="K40" s="132">
        <f>ROUND(AD391+(AD391*'Rate SL'!$AG$1),6)</f>
        <v>4.0448389999999996</v>
      </c>
      <c r="L40" s="3">
        <f t="shared" si="3"/>
        <v>0</v>
      </c>
      <c r="M40" s="1"/>
      <c r="N40" s="4">
        <f t="shared" si="0"/>
        <v>0</v>
      </c>
      <c r="O40" s="1"/>
      <c r="P40" s="3">
        <f t="shared" si="1"/>
        <v>0</v>
      </c>
      <c r="Q40" s="1"/>
      <c r="R40" s="3">
        <f t="shared" ref="R40:R46" si="7">L40+P40</f>
        <v>0</v>
      </c>
      <c r="S40" s="45"/>
      <c r="V40" s="132"/>
      <c r="Y40" s="387"/>
      <c r="AA40" s="44">
        <v>146</v>
      </c>
      <c r="AC40" s="50">
        <f t="shared" si="4"/>
        <v>1752</v>
      </c>
      <c r="AO40" s="352"/>
    </row>
    <row r="41" spans="1:45">
      <c r="A41" s="351">
        <v>24</v>
      </c>
      <c r="C41" s="48" t="s">
        <v>878</v>
      </c>
      <c r="F41" s="164">
        <v>0</v>
      </c>
      <c r="G41" s="1"/>
      <c r="H41" s="164">
        <f t="shared" si="2"/>
        <v>0</v>
      </c>
      <c r="I41" s="68"/>
      <c r="J41" s="132">
        <f>ROUND(AC392+(AC392*'Rate SL'!$AG$1),6)</f>
        <v>22.269469000000001</v>
      </c>
      <c r="K41" s="132">
        <f>ROUND(AD392+(AD392*'Rate SL'!$AG$1),6)</f>
        <v>4.0448389999999996</v>
      </c>
      <c r="L41" s="3">
        <f t="shared" si="3"/>
        <v>0</v>
      </c>
      <c r="M41" s="3"/>
      <c r="N41" s="4">
        <f t="shared" si="0"/>
        <v>0</v>
      </c>
      <c r="O41" s="4"/>
      <c r="P41" s="3">
        <f t="shared" si="1"/>
        <v>0</v>
      </c>
      <c r="Q41" s="3"/>
      <c r="R41" s="3">
        <f t="shared" si="7"/>
        <v>0</v>
      </c>
      <c r="S41" s="45"/>
      <c r="V41" s="132"/>
      <c r="Y41" s="387"/>
      <c r="AA41" s="44">
        <v>184</v>
      </c>
      <c r="AC41" s="50">
        <f t="shared" si="4"/>
        <v>2208</v>
      </c>
      <c r="AO41" s="352"/>
    </row>
    <row r="42" spans="1:45">
      <c r="A42" s="351">
        <v>25</v>
      </c>
      <c r="C42" s="48" t="s">
        <v>863</v>
      </c>
      <c r="F42" s="164">
        <v>0</v>
      </c>
      <c r="G42" s="1"/>
      <c r="H42" s="164">
        <f t="shared" si="2"/>
        <v>0</v>
      </c>
      <c r="I42" s="68"/>
      <c r="J42" s="132">
        <f>ROUND(AC393+(AC393*'Rate SL'!$AG$1),6)</f>
        <v>22.897904</v>
      </c>
      <c r="K42" s="132">
        <f>ROUND(AD393+(AD393*'Rate SL'!$AG$1),6)</f>
        <v>3.3135690000000002</v>
      </c>
      <c r="L42" s="3">
        <f t="shared" si="3"/>
        <v>0</v>
      </c>
      <c r="M42" s="3"/>
      <c r="N42" s="4">
        <f t="shared" si="0"/>
        <v>0</v>
      </c>
      <c r="O42" s="4"/>
      <c r="P42" s="3">
        <f t="shared" si="1"/>
        <v>0</v>
      </c>
      <c r="Q42" s="3"/>
      <c r="R42" s="3">
        <f>L42+P42</f>
        <v>0</v>
      </c>
      <c r="S42" s="45"/>
      <c r="V42" s="132"/>
      <c r="Y42" s="387"/>
      <c r="AA42" s="44">
        <v>52</v>
      </c>
      <c r="AC42" s="50">
        <f t="shared" ref="AC42:AC50" si="8">AA42*12</f>
        <v>624</v>
      </c>
      <c r="AO42" s="352"/>
    </row>
    <row r="43" spans="1:45">
      <c r="A43" s="351">
        <v>26</v>
      </c>
      <c r="C43" s="48" t="s">
        <v>862</v>
      </c>
      <c r="F43" s="164">
        <v>14</v>
      </c>
      <c r="G43" s="1"/>
      <c r="H43" s="164">
        <f t="shared" si="2"/>
        <v>728</v>
      </c>
      <c r="I43" s="68"/>
      <c r="J43" s="132">
        <f>ROUND(AC394+(AC394*'Rate SL'!$AG$1),6)</f>
        <v>8.2267919999999997</v>
      </c>
      <c r="K43" s="132">
        <f>ROUND(AD394+(AD394*'Rate SL'!$AG$1),6)</f>
        <v>3.3135690000000002</v>
      </c>
      <c r="L43" s="3">
        <f t="shared" si="3"/>
        <v>162</v>
      </c>
      <c r="M43" s="3"/>
      <c r="N43" s="4">
        <f t="shared" si="0"/>
        <v>0.7</v>
      </c>
      <c r="O43" s="4"/>
      <c r="P43" s="3">
        <f t="shared" si="1"/>
        <v>0</v>
      </c>
      <c r="Q43" s="3"/>
      <c r="R43" s="3">
        <f t="shared" si="7"/>
        <v>162</v>
      </c>
      <c r="S43" s="45"/>
      <c r="V43" s="132"/>
      <c r="Y43" s="387"/>
      <c r="AA43" s="44">
        <v>45</v>
      </c>
      <c r="AC43" s="50">
        <f t="shared" si="8"/>
        <v>540</v>
      </c>
      <c r="AO43" s="352"/>
      <c r="AR43" s="42"/>
    </row>
    <row r="44" spans="1:45">
      <c r="A44" s="351">
        <v>27</v>
      </c>
      <c r="C44" s="48" t="s">
        <v>861</v>
      </c>
      <c r="F44" s="164">
        <v>58</v>
      </c>
      <c r="G44" s="1"/>
      <c r="H44" s="164">
        <f t="shared" si="2"/>
        <v>2610</v>
      </c>
      <c r="I44" s="68"/>
      <c r="J44" s="132">
        <f>ROUND(AC395+(AC395*'Rate SL'!$AG$1),6)</f>
        <v>12.842936</v>
      </c>
      <c r="K44" s="132">
        <f>ROUND(AD395+(AD395*'Rate SL'!$AG$1),6)</f>
        <v>4.0448389999999996</v>
      </c>
      <c r="L44" s="3">
        <f t="shared" si="3"/>
        <v>979</v>
      </c>
      <c r="M44" s="3"/>
      <c r="N44" s="4">
        <f t="shared" si="0"/>
        <v>4.3</v>
      </c>
      <c r="O44" s="4"/>
      <c r="P44" s="3">
        <f t="shared" si="1"/>
        <v>0</v>
      </c>
      <c r="Q44" s="3"/>
      <c r="R44" s="3">
        <f>L44+P44</f>
        <v>979</v>
      </c>
      <c r="S44" s="45"/>
      <c r="V44" s="132"/>
      <c r="Y44" s="387"/>
      <c r="AA44" s="44">
        <v>90</v>
      </c>
      <c r="AC44" s="50">
        <f t="shared" si="8"/>
        <v>1080</v>
      </c>
      <c r="AO44" s="352"/>
      <c r="AR44" s="42"/>
    </row>
    <row r="45" spans="1:45">
      <c r="A45" s="351">
        <v>28</v>
      </c>
      <c r="C45" s="48" t="s">
        <v>860</v>
      </c>
      <c r="F45" s="164">
        <v>0</v>
      </c>
      <c r="G45" s="1"/>
      <c r="H45" s="164">
        <f t="shared" si="2"/>
        <v>0</v>
      </c>
      <c r="I45" s="68"/>
      <c r="J45" s="132">
        <f>ROUND(AC396+(AC396*'Rate SL'!$AG$1),6)</f>
        <v>15.413809000000001</v>
      </c>
      <c r="K45" s="132">
        <f>ROUND(AD396+(AD396*'Rate SL'!$AG$1),6)</f>
        <v>3.3135690000000002</v>
      </c>
      <c r="L45" s="3">
        <f t="shared" si="3"/>
        <v>0</v>
      </c>
      <c r="M45" s="3"/>
      <c r="N45" s="4">
        <f t="shared" si="0"/>
        <v>0</v>
      </c>
      <c r="O45" s="4"/>
      <c r="P45" s="3">
        <f t="shared" si="1"/>
        <v>0</v>
      </c>
      <c r="Q45" s="3"/>
      <c r="R45" s="3">
        <f>L45+P45</f>
        <v>0</v>
      </c>
      <c r="S45" s="45"/>
      <c r="V45" s="132"/>
      <c r="Y45" s="387"/>
      <c r="AA45" s="44">
        <v>17</v>
      </c>
      <c r="AC45" s="50">
        <f t="shared" si="8"/>
        <v>204</v>
      </c>
      <c r="AO45" s="352"/>
      <c r="AR45" s="42"/>
    </row>
    <row r="46" spans="1:45">
      <c r="A46" s="351">
        <v>29</v>
      </c>
      <c r="C46" s="48" t="s">
        <v>879</v>
      </c>
      <c r="F46" s="164">
        <v>0</v>
      </c>
      <c r="G46" s="1"/>
      <c r="H46" s="164">
        <f t="shared" si="2"/>
        <v>0</v>
      </c>
      <c r="I46" s="68"/>
      <c r="J46" s="132">
        <f>ROUND(AC397+(AC397*'Rate SL'!$AG$1),6)</f>
        <v>14.682539</v>
      </c>
      <c r="K46" s="132">
        <f>ROUND(AD397+(AD397*'Rate SL'!$AG$1),6)</f>
        <v>3.3135690000000002</v>
      </c>
      <c r="L46" s="3">
        <f t="shared" si="3"/>
        <v>0</v>
      </c>
      <c r="M46" s="3"/>
      <c r="N46" s="4">
        <f t="shared" si="0"/>
        <v>0</v>
      </c>
      <c r="O46" s="4"/>
      <c r="P46" s="3">
        <f t="shared" si="1"/>
        <v>0</v>
      </c>
      <c r="Q46" s="3"/>
      <c r="R46" s="3">
        <f t="shared" si="7"/>
        <v>0</v>
      </c>
      <c r="S46" s="45"/>
      <c r="V46" s="132"/>
      <c r="Y46" s="387"/>
      <c r="AA46" s="44">
        <v>17</v>
      </c>
      <c r="AC46" s="50">
        <f t="shared" si="8"/>
        <v>204</v>
      </c>
      <c r="AO46" s="352"/>
    </row>
    <row r="47" spans="1:45">
      <c r="A47" s="351">
        <v>30</v>
      </c>
      <c r="C47" s="48" t="s">
        <v>859</v>
      </c>
      <c r="F47" s="164">
        <v>0</v>
      </c>
      <c r="G47" s="1"/>
      <c r="H47" s="164">
        <f t="shared" ref="H47:H107" si="9">ROUND(F47*AC46/12,0)</f>
        <v>0</v>
      </c>
      <c r="I47" s="68"/>
      <c r="J47" s="132">
        <f>ROUND(AC398+(AC398*'Rate SL'!$AG$1),6)</f>
        <v>16.042244</v>
      </c>
      <c r="K47" s="132">
        <f>ROUND(AD398+(AD398*'Rate SL'!$AG$1),6)</f>
        <v>3.3135690000000002</v>
      </c>
      <c r="L47" s="3">
        <f t="shared" ref="L47:L87" si="10">ROUND((F47*(J47+K47)),0)</f>
        <v>0</v>
      </c>
      <c r="M47" s="3"/>
      <c r="N47" s="4">
        <f t="shared" si="0"/>
        <v>0</v>
      </c>
      <c r="O47" s="4"/>
      <c r="P47" s="3">
        <f t="shared" si="1"/>
        <v>0</v>
      </c>
      <c r="Q47" s="3"/>
      <c r="R47" s="3">
        <f>L47+P47</f>
        <v>0</v>
      </c>
      <c r="S47" s="45"/>
      <c r="V47" s="132"/>
      <c r="Y47" s="387"/>
      <c r="AA47" s="44">
        <v>17</v>
      </c>
      <c r="AC47" s="50">
        <f t="shared" si="8"/>
        <v>204</v>
      </c>
      <c r="AO47" s="352"/>
    </row>
    <row r="48" spans="1:45">
      <c r="A48" s="351">
        <v>31</v>
      </c>
      <c r="B48" s="357"/>
      <c r="C48" s="48" t="s">
        <v>858</v>
      </c>
      <c r="F48" s="164">
        <v>0</v>
      </c>
      <c r="G48" s="1"/>
      <c r="H48" s="164">
        <f t="shared" si="9"/>
        <v>0</v>
      </c>
      <c r="I48" s="68"/>
      <c r="J48" s="132">
        <f>ROUND(AC399+(AC399*'Rate SL'!$AG$1),6)</f>
        <v>14.682539</v>
      </c>
      <c r="K48" s="132">
        <f>ROUND(AD399+(AD399*'Rate SL'!$AG$1),6)</f>
        <v>3.3135690000000002</v>
      </c>
      <c r="L48" s="3">
        <f t="shared" si="10"/>
        <v>0</v>
      </c>
      <c r="M48" s="3"/>
      <c r="N48" s="4">
        <f t="shared" si="0"/>
        <v>0</v>
      </c>
      <c r="O48" s="4"/>
      <c r="P48" s="3">
        <f t="shared" si="1"/>
        <v>0</v>
      </c>
      <c r="Q48" s="3"/>
      <c r="R48" s="3">
        <f>L48+P48</f>
        <v>0</v>
      </c>
      <c r="S48" s="45"/>
      <c r="V48" s="132"/>
      <c r="Y48" s="387"/>
      <c r="AA48" s="44">
        <v>17</v>
      </c>
      <c r="AC48" s="50">
        <f t="shared" si="8"/>
        <v>204</v>
      </c>
      <c r="AO48" s="352"/>
    </row>
    <row r="49" spans="1:41">
      <c r="A49" s="351">
        <v>32</v>
      </c>
      <c r="C49" s="48" t="s">
        <v>857</v>
      </c>
      <c r="D49" s="357"/>
      <c r="F49" s="164">
        <v>0</v>
      </c>
      <c r="G49" s="1"/>
      <c r="H49" s="164">
        <f t="shared" si="9"/>
        <v>0</v>
      </c>
      <c r="I49" s="68"/>
      <c r="J49" s="132">
        <f>ROUND(AC400+(AC400*'Rate SL'!$AG$1),6)</f>
        <v>16.042244</v>
      </c>
      <c r="K49" s="132">
        <f>ROUND(AD400+(AD400*'Rate SL'!$AG$1),6)</f>
        <v>3.3135690000000002</v>
      </c>
      <c r="L49" s="3">
        <f t="shared" si="10"/>
        <v>0</v>
      </c>
      <c r="M49" s="3"/>
      <c r="N49" s="4">
        <f t="shared" si="0"/>
        <v>0</v>
      </c>
      <c r="O49" s="4"/>
      <c r="P49" s="3">
        <f t="shared" si="1"/>
        <v>0</v>
      </c>
      <c r="Q49" s="3"/>
      <c r="R49" s="3">
        <f>L49+P49</f>
        <v>0</v>
      </c>
      <c r="S49" s="45"/>
      <c r="V49" s="132"/>
      <c r="Y49" s="387"/>
      <c r="AA49" s="44">
        <v>17</v>
      </c>
      <c r="AC49" s="50">
        <f t="shared" si="8"/>
        <v>204</v>
      </c>
      <c r="AO49" s="352"/>
    </row>
    <row r="50" spans="1:41">
      <c r="A50" s="351">
        <v>33</v>
      </c>
      <c r="C50" s="48" t="s">
        <v>856</v>
      </c>
      <c r="F50" s="164">
        <v>0</v>
      </c>
      <c r="G50" s="1"/>
      <c r="H50" s="164">
        <f t="shared" si="9"/>
        <v>0</v>
      </c>
      <c r="I50" s="68"/>
      <c r="J50" s="132">
        <f>ROUND(AC401+(AC401*'Rate SL'!$AG$1),6)</f>
        <v>15.356678</v>
      </c>
      <c r="K50" s="132">
        <f>ROUND(AD401+(AD401*'Rate SL'!$AG$1),6)</f>
        <v>3.3135690000000002</v>
      </c>
      <c r="L50" s="3">
        <f t="shared" si="10"/>
        <v>0</v>
      </c>
      <c r="M50" s="3"/>
      <c r="N50" s="4">
        <f t="shared" si="0"/>
        <v>0</v>
      </c>
      <c r="O50" s="4"/>
      <c r="P50" s="3">
        <f t="shared" si="1"/>
        <v>0</v>
      </c>
      <c r="Q50" s="3"/>
      <c r="R50" s="3">
        <f>L50+P50</f>
        <v>0</v>
      </c>
      <c r="S50" s="45"/>
      <c r="V50" s="132"/>
      <c r="Y50" s="387"/>
      <c r="AA50" s="44">
        <v>17</v>
      </c>
      <c r="AC50" s="50">
        <f t="shared" si="8"/>
        <v>204</v>
      </c>
      <c r="AO50" s="352"/>
    </row>
    <row r="51" spans="1:41">
      <c r="A51" s="351">
        <v>34</v>
      </c>
      <c r="C51" s="48" t="s">
        <v>979</v>
      </c>
      <c r="F51" s="164">
        <v>0</v>
      </c>
      <c r="G51" s="1"/>
      <c r="H51" s="164">
        <f t="shared" si="9"/>
        <v>0</v>
      </c>
      <c r="I51" s="68"/>
      <c r="J51" s="132">
        <f>ROUND(AC402+(AC402*'Rate SL'!$AG$1),6)</f>
        <v>11.974553</v>
      </c>
      <c r="K51" s="132">
        <f>ROUND(AD402+(AD402*'Rate SL'!$AG$1),6)</f>
        <v>3.3135690000000002</v>
      </c>
      <c r="L51" s="3">
        <f t="shared" si="10"/>
        <v>0</v>
      </c>
      <c r="M51" s="3"/>
      <c r="N51" s="4">
        <f t="shared" si="0"/>
        <v>0</v>
      </c>
      <c r="O51" s="4"/>
      <c r="P51" s="3">
        <f t="shared" si="1"/>
        <v>0</v>
      </c>
      <c r="Q51" s="3"/>
      <c r="R51" s="3">
        <f t="shared" ref="R51:R87" si="11">L51+P51</f>
        <v>0</v>
      </c>
      <c r="S51" s="45"/>
      <c r="V51" s="132"/>
      <c r="Y51" s="387"/>
      <c r="AA51" s="44">
        <v>52</v>
      </c>
      <c r="AC51" s="50">
        <f t="shared" ref="AC51:AC107" si="12">AA51*12</f>
        <v>624</v>
      </c>
      <c r="AO51" s="352"/>
    </row>
    <row r="52" spans="1:41">
      <c r="A52" s="351">
        <v>35</v>
      </c>
      <c r="C52" s="48" t="s">
        <v>980</v>
      </c>
      <c r="F52" s="164">
        <v>0</v>
      </c>
      <c r="G52" s="1"/>
      <c r="H52" s="164">
        <f t="shared" si="9"/>
        <v>0</v>
      </c>
      <c r="I52" s="68"/>
      <c r="J52" s="132">
        <f>ROUND(AC403+(AC403*'Rate SL'!$AG$1),6)</f>
        <v>15.882279</v>
      </c>
      <c r="K52" s="132">
        <f>ROUND(AD403+(AD403*'Rate SL'!$AG$1),6)</f>
        <v>3.3135690000000002</v>
      </c>
      <c r="L52" s="3">
        <f t="shared" si="10"/>
        <v>0</v>
      </c>
      <c r="M52" s="3"/>
      <c r="N52" s="4">
        <f t="shared" si="0"/>
        <v>0</v>
      </c>
      <c r="O52" s="4"/>
      <c r="P52" s="3">
        <f t="shared" si="1"/>
        <v>0</v>
      </c>
      <c r="Q52" s="3"/>
      <c r="R52" s="3">
        <f t="shared" si="11"/>
        <v>0</v>
      </c>
      <c r="S52" s="45"/>
      <c r="V52" s="132"/>
      <c r="Y52" s="387"/>
      <c r="AA52" s="44">
        <v>17</v>
      </c>
      <c r="AC52" s="50">
        <f t="shared" si="12"/>
        <v>204</v>
      </c>
      <c r="AO52" s="352"/>
    </row>
    <row r="53" spans="1:41">
      <c r="A53" s="351">
        <v>36</v>
      </c>
      <c r="C53" s="48" t="s">
        <v>981</v>
      </c>
      <c r="F53" s="164">
        <v>0</v>
      </c>
      <c r="G53" s="1"/>
      <c r="H53" s="164">
        <f t="shared" si="9"/>
        <v>0</v>
      </c>
      <c r="I53" s="68"/>
      <c r="J53" s="132">
        <f>ROUND(AC404+(AC404*'Rate SL'!$AG$1),6)</f>
        <v>12.797231999999999</v>
      </c>
      <c r="K53" s="132">
        <f>ROUND(AD404+(AD404*'Rate SL'!$AG$1),6)</f>
        <v>3.3135690000000002</v>
      </c>
      <c r="L53" s="3">
        <f t="shared" si="10"/>
        <v>0</v>
      </c>
      <c r="M53" s="3"/>
      <c r="N53" s="4">
        <f t="shared" si="0"/>
        <v>0</v>
      </c>
      <c r="O53" s="4"/>
      <c r="P53" s="3">
        <f t="shared" si="1"/>
        <v>0</v>
      </c>
      <c r="Q53" s="3"/>
      <c r="R53" s="3">
        <f t="shared" si="11"/>
        <v>0</v>
      </c>
      <c r="S53" s="45"/>
      <c r="V53" s="132"/>
      <c r="Y53" s="387"/>
      <c r="AA53" s="44">
        <v>14</v>
      </c>
      <c r="AC53" s="50">
        <f t="shared" si="12"/>
        <v>168</v>
      </c>
      <c r="AO53" s="352"/>
    </row>
    <row r="54" spans="1:41">
      <c r="A54" s="351">
        <v>37</v>
      </c>
      <c r="C54" s="48" t="s">
        <v>982</v>
      </c>
      <c r="F54" s="164">
        <v>0</v>
      </c>
      <c r="G54" s="1"/>
      <c r="H54" s="164">
        <f t="shared" si="9"/>
        <v>0</v>
      </c>
      <c r="I54" s="68"/>
      <c r="J54" s="132">
        <f>ROUND(AC405+(AC405*'Rate SL'!$AG$1),6)</f>
        <v>7.6669130000000001</v>
      </c>
      <c r="K54" s="132">
        <f>ROUND(AD405+(AD405*'Rate SL'!$AG$1),6)</f>
        <v>3.3135690000000002</v>
      </c>
      <c r="L54" s="3">
        <f t="shared" si="10"/>
        <v>0</v>
      </c>
      <c r="M54" s="3"/>
      <c r="N54" s="4">
        <f t="shared" si="0"/>
        <v>0</v>
      </c>
      <c r="O54" s="4"/>
      <c r="P54" s="3">
        <f t="shared" si="1"/>
        <v>0</v>
      </c>
      <c r="Q54" s="3"/>
      <c r="R54" s="3">
        <f t="shared" si="11"/>
        <v>0</v>
      </c>
      <c r="S54" s="45"/>
      <c r="V54" s="132"/>
      <c r="Y54" s="387"/>
      <c r="AA54" s="44">
        <v>17</v>
      </c>
      <c r="AC54" s="50">
        <f t="shared" si="12"/>
        <v>204</v>
      </c>
      <c r="AO54" s="352"/>
    </row>
    <row r="55" spans="1:41">
      <c r="A55" s="351">
        <v>38</v>
      </c>
      <c r="C55" s="48" t="s">
        <v>983</v>
      </c>
      <c r="F55" s="164">
        <v>0</v>
      </c>
      <c r="G55" s="1"/>
      <c r="H55" s="164">
        <f t="shared" si="9"/>
        <v>0</v>
      </c>
      <c r="I55" s="68"/>
      <c r="J55" s="132">
        <f>ROUND(AC406+(AC406*'Rate SL'!$AG$1),6)</f>
        <v>14.648260000000001</v>
      </c>
      <c r="K55" s="132">
        <f>ROUND(AD406+(AD406*'Rate SL'!$AG$1),6)</f>
        <v>3.3135690000000002</v>
      </c>
      <c r="L55" s="3">
        <f t="shared" si="10"/>
        <v>0</v>
      </c>
      <c r="M55" s="3"/>
      <c r="N55" s="4">
        <f t="shared" si="0"/>
        <v>0</v>
      </c>
      <c r="O55" s="4"/>
      <c r="P55" s="3">
        <f t="shared" si="1"/>
        <v>0</v>
      </c>
      <c r="Q55" s="3"/>
      <c r="R55" s="3">
        <f t="shared" si="11"/>
        <v>0</v>
      </c>
      <c r="S55" s="45"/>
      <c r="V55" s="132"/>
      <c r="Y55" s="387"/>
      <c r="AA55" s="44">
        <v>17</v>
      </c>
      <c r="AC55" s="50">
        <f t="shared" si="12"/>
        <v>204</v>
      </c>
      <c r="AO55" s="352"/>
    </row>
    <row r="56" spans="1:41">
      <c r="A56" s="351">
        <v>39</v>
      </c>
      <c r="C56" s="48" t="s">
        <v>984</v>
      </c>
      <c r="F56" s="164">
        <v>0</v>
      </c>
      <c r="G56" s="1"/>
      <c r="H56" s="164">
        <f t="shared" si="9"/>
        <v>0</v>
      </c>
      <c r="I56" s="68"/>
      <c r="J56" s="132">
        <f>ROUND(AC407+(AC407*'Rate SL'!$AG$1),6)</f>
        <v>6.1129639999999998</v>
      </c>
      <c r="K56" s="132">
        <f>ROUND(AD407+(AD407*'Rate SL'!$AG$1),6)</f>
        <v>3.3135690000000002</v>
      </c>
      <c r="L56" s="3">
        <f t="shared" si="10"/>
        <v>0</v>
      </c>
      <c r="M56" s="3"/>
      <c r="N56" s="4">
        <f t="shared" si="0"/>
        <v>0</v>
      </c>
      <c r="O56" s="4"/>
      <c r="P56" s="3">
        <f t="shared" si="1"/>
        <v>0</v>
      </c>
      <c r="Q56" s="3"/>
      <c r="R56" s="3">
        <f t="shared" si="11"/>
        <v>0</v>
      </c>
      <c r="S56" s="45"/>
      <c r="V56" s="132"/>
      <c r="Y56" s="387"/>
      <c r="AA56" s="44">
        <v>10</v>
      </c>
      <c r="AC56" s="50">
        <f t="shared" si="12"/>
        <v>120</v>
      </c>
      <c r="AO56" s="352"/>
    </row>
    <row r="57" spans="1:41">
      <c r="A57" s="351">
        <v>40</v>
      </c>
      <c r="C57" s="48" t="s">
        <v>985</v>
      </c>
      <c r="F57" s="164">
        <v>0</v>
      </c>
      <c r="G57" s="1"/>
      <c r="H57" s="164">
        <f t="shared" si="9"/>
        <v>0</v>
      </c>
      <c r="I57" s="68"/>
      <c r="J57" s="132">
        <f>ROUND(AC408+(AC408*'Rate SL'!$AG$1),6)</f>
        <v>5.8158849999999997</v>
      </c>
      <c r="K57" s="132">
        <f>ROUND(AD408+(AD408*'Rate SL'!$AG$1),6)</f>
        <v>3.3135690000000002</v>
      </c>
      <c r="L57" s="3">
        <f t="shared" si="10"/>
        <v>0</v>
      </c>
      <c r="M57" s="3"/>
      <c r="N57" s="4">
        <f t="shared" si="0"/>
        <v>0</v>
      </c>
      <c r="O57" s="4"/>
      <c r="P57" s="3">
        <f t="shared" si="1"/>
        <v>0</v>
      </c>
      <c r="Q57" s="3"/>
      <c r="R57" s="3">
        <f t="shared" si="11"/>
        <v>0</v>
      </c>
      <c r="S57" s="45"/>
      <c r="V57" s="132"/>
      <c r="Y57" s="387"/>
      <c r="AA57" s="44">
        <v>10</v>
      </c>
      <c r="AC57" s="50">
        <f t="shared" si="12"/>
        <v>120</v>
      </c>
      <c r="AO57" s="352"/>
    </row>
    <row r="58" spans="1:41">
      <c r="A58" s="351">
        <v>41</v>
      </c>
      <c r="C58" s="48" t="s">
        <v>986</v>
      </c>
      <c r="F58" s="164">
        <v>0</v>
      </c>
      <c r="G58" s="1"/>
      <c r="H58" s="164">
        <f t="shared" si="9"/>
        <v>0</v>
      </c>
      <c r="I58" s="68"/>
      <c r="J58" s="132">
        <f>ROUND(AC409+(AC409*'Rate SL'!$AG$1),6)</f>
        <v>13.082884999999999</v>
      </c>
      <c r="K58" s="132">
        <f>ROUND(AD409+(AD409*'Rate SL'!$AG$1),6)</f>
        <v>3.3135690000000002</v>
      </c>
      <c r="L58" s="3">
        <f t="shared" si="10"/>
        <v>0</v>
      </c>
      <c r="M58" s="3"/>
      <c r="N58" s="4">
        <f t="shared" si="0"/>
        <v>0</v>
      </c>
      <c r="O58" s="4"/>
      <c r="P58" s="3">
        <f t="shared" si="1"/>
        <v>0</v>
      </c>
      <c r="Q58" s="3"/>
      <c r="R58" s="3">
        <f t="shared" si="11"/>
        <v>0</v>
      </c>
      <c r="S58" s="45"/>
      <c r="V58" s="132"/>
      <c r="Y58" s="387"/>
      <c r="AA58" s="44">
        <v>52</v>
      </c>
      <c r="AC58" s="50">
        <f t="shared" si="12"/>
        <v>624</v>
      </c>
      <c r="AO58" s="352"/>
    </row>
    <row r="59" spans="1:41">
      <c r="A59" s="351">
        <v>42</v>
      </c>
      <c r="C59" s="48" t="s">
        <v>987</v>
      </c>
      <c r="F59" s="164">
        <v>0</v>
      </c>
      <c r="G59" s="1"/>
      <c r="H59" s="164">
        <f t="shared" si="9"/>
        <v>0</v>
      </c>
      <c r="I59" s="68"/>
      <c r="J59" s="132">
        <f>ROUND(AC410+(AC410*'Rate SL'!$AG$1),6)</f>
        <v>13.459946</v>
      </c>
      <c r="K59" s="132">
        <f>ROUND(AD410+(AD410*'Rate SL'!$AG$1),6)</f>
        <v>4.0448389999999996</v>
      </c>
      <c r="L59" s="3">
        <f t="shared" si="10"/>
        <v>0</v>
      </c>
      <c r="M59" s="3"/>
      <c r="N59" s="4">
        <f t="shared" si="0"/>
        <v>0</v>
      </c>
      <c r="O59" s="4"/>
      <c r="P59" s="3">
        <f t="shared" si="1"/>
        <v>0</v>
      </c>
      <c r="Q59" s="3"/>
      <c r="R59" s="3">
        <f t="shared" si="11"/>
        <v>0</v>
      </c>
      <c r="S59" s="45"/>
      <c r="V59" s="132"/>
      <c r="Y59" s="387"/>
      <c r="AA59" s="44">
        <v>76</v>
      </c>
      <c r="AC59" s="50">
        <f t="shared" si="12"/>
        <v>912</v>
      </c>
      <c r="AO59" s="352"/>
    </row>
    <row r="60" spans="1:41">
      <c r="A60" s="351">
        <v>43</v>
      </c>
      <c r="C60" s="48" t="s">
        <v>988</v>
      </c>
      <c r="F60" s="164">
        <v>0</v>
      </c>
      <c r="G60" s="1"/>
      <c r="H60" s="164">
        <f t="shared" si="9"/>
        <v>0</v>
      </c>
      <c r="I60" s="68"/>
      <c r="J60" s="132">
        <f>ROUND(AC411+(AC411*'Rate SL'!$AG$1),6)</f>
        <v>21.343955000000001</v>
      </c>
      <c r="K60" s="132">
        <f>ROUND(AD411+(AD411*'Rate SL'!$AG$1),6)</f>
        <v>3.3135690000000002</v>
      </c>
      <c r="L60" s="3">
        <f t="shared" si="10"/>
        <v>0</v>
      </c>
      <c r="M60" s="3"/>
      <c r="N60" s="4">
        <f t="shared" si="0"/>
        <v>0</v>
      </c>
      <c r="O60" s="4"/>
      <c r="P60" s="3">
        <f t="shared" si="1"/>
        <v>0</v>
      </c>
      <c r="Q60" s="3"/>
      <c r="R60" s="3">
        <f t="shared" si="11"/>
        <v>0</v>
      </c>
      <c r="S60" s="45"/>
      <c r="V60" s="132"/>
      <c r="Y60" s="387"/>
      <c r="AA60" s="44">
        <v>17</v>
      </c>
      <c r="AC60" s="50">
        <f t="shared" si="12"/>
        <v>204</v>
      </c>
      <c r="AO60" s="352"/>
    </row>
    <row r="61" spans="1:41">
      <c r="A61" s="351">
        <v>44</v>
      </c>
      <c r="C61" s="48" t="s">
        <v>989</v>
      </c>
      <c r="F61" s="164">
        <v>0</v>
      </c>
      <c r="G61" s="1"/>
      <c r="H61" s="164">
        <f t="shared" si="9"/>
        <v>0</v>
      </c>
      <c r="I61" s="68"/>
      <c r="J61" s="132">
        <f>ROUND(AC412+(AC412*'Rate SL'!$AG$1),6)</f>
        <v>24.337592999999998</v>
      </c>
      <c r="K61" s="132">
        <f>ROUND(AD412+(AD412*'Rate SL'!$AG$1),6)</f>
        <v>3.3135690000000002</v>
      </c>
      <c r="L61" s="3">
        <f t="shared" si="10"/>
        <v>0</v>
      </c>
      <c r="M61" s="3"/>
      <c r="N61" s="4">
        <f t="shared" si="0"/>
        <v>0</v>
      </c>
      <c r="O61" s="4"/>
      <c r="P61" s="3">
        <f t="shared" si="1"/>
        <v>0</v>
      </c>
      <c r="Q61" s="3"/>
      <c r="R61" s="3">
        <f t="shared" si="11"/>
        <v>0</v>
      </c>
      <c r="S61" s="45"/>
      <c r="V61" s="132"/>
      <c r="Y61" s="387"/>
      <c r="AA61" s="44">
        <v>10</v>
      </c>
      <c r="AC61" s="50">
        <f t="shared" si="12"/>
        <v>120</v>
      </c>
      <c r="AO61" s="352"/>
    </row>
    <row r="62" spans="1:41">
      <c r="A62" s="351"/>
      <c r="C62" s="48"/>
      <c r="F62" s="164"/>
      <c r="G62" s="1"/>
      <c r="H62" s="164"/>
      <c r="I62" s="68"/>
      <c r="J62" s="132"/>
      <c r="K62" s="132"/>
      <c r="L62" s="3"/>
      <c r="M62" s="3"/>
      <c r="N62" s="4"/>
      <c r="O62" s="4"/>
      <c r="P62" s="3"/>
      <c r="Q62" s="3"/>
      <c r="R62" s="3"/>
      <c r="S62" s="45"/>
      <c r="V62" s="132"/>
      <c r="Y62" s="387"/>
      <c r="AA62" s="44"/>
      <c r="AC62" s="50"/>
      <c r="AO62" s="352"/>
    </row>
    <row r="63" spans="1:41">
      <c r="A63" s="140" t="s">
        <v>76</v>
      </c>
      <c r="C63" s="48"/>
      <c r="F63" s="164"/>
      <c r="G63" s="1"/>
      <c r="H63" s="164"/>
      <c r="I63" s="68"/>
      <c r="J63" s="132"/>
      <c r="K63" s="132"/>
      <c r="L63" s="3"/>
      <c r="M63" s="3"/>
      <c r="N63" s="4"/>
      <c r="O63" s="4"/>
      <c r="P63" s="3"/>
      <c r="Q63" s="3"/>
      <c r="R63" s="3"/>
      <c r="S63" s="45"/>
      <c r="V63" s="132"/>
      <c r="Y63" s="387"/>
      <c r="AA63" s="44"/>
      <c r="AC63" s="50"/>
      <c r="AO63" s="352"/>
    </row>
    <row r="64" spans="1:41">
      <c r="A64" s="140" t="str">
        <f>"(1A) REFLECTS FUEL COST RECOVERY INCLUDED IN BASE RATES OF "&amp;TEXT(CUR_BASE_FUEL,"$0.000000;($0.000000)")&amp;"  PER KWH."</f>
        <v>(1A) REFLECTS FUEL COST RECOVERY INCLUDED IN BASE RATES OF $0.033780  PER KWH.</v>
      </c>
      <c r="C64" s="48"/>
      <c r="F64" s="164"/>
      <c r="G64" s="1"/>
      <c r="H64" s="164"/>
      <c r="I64" s="68"/>
      <c r="J64" s="132"/>
      <c r="K64" s="132"/>
      <c r="L64" s="3"/>
      <c r="M64" s="3"/>
      <c r="N64" s="4"/>
      <c r="O64" s="4"/>
      <c r="P64" s="3"/>
      <c r="Q64" s="3"/>
      <c r="R64" s="3"/>
      <c r="S64" s="45"/>
      <c r="V64" s="132"/>
      <c r="Y64" s="387"/>
      <c r="AA64" s="44"/>
      <c r="AC64" s="50"/>
      <c r="AO64" s="352"/>
    </row>
    <row r="65" spans="1:41">
      <c r="A65" s="140" t="str">
        <f>"(2) REFLECTS FUEL COMPONENT OF "&amp;TEXT(CUR_FAC,"$0.000000;($0.000000)")&amp;"  PER KWH."</f>
        <v>(2) REFLECTS FUEL COMPONENT OF $0.003487  PER KWH.</v>
      </c>
      <c r="C65" s="48"/>
      <c r="F65" s="164"/>
      <c r="G65" s="1"/>
      <c r="H65" s="164"/>
      <c r="I65" s="68"/>
      <c r="J65" s="132"/>
      <c r="K65" s="132"/>
      <c r="L65" s="3"/>
      <c r="M65" s="3"/>
      <c r="N65" s="4"/>
      <c r="O65" s="4"/>
      <c r="P65" s="3"/>
      <c r="Q65" s="3"/>
      <c r="R65" s="3"/>
      <c r="S65" s="45"/>
      <c r="V65" s="132"/>
      <c r="Y65" s="387"/>
      <c r="AA65" s="44"/>
      <c r="AC65" s="50"/>
      <c r="AO65" s="352"/>
    </row>
    <row r="66" spans="1:41">
      <c r="A66" s="140"/>
      <c r="C66" s="48"/>
      <c r="F66" s="164"/>
      <c r="G66" s="1"/>
      <c r="H66" s="164"/>
      <c r="I66" s="68"/>
      <c r="J66" s="132"/>
      <c r="K66" s="132"/>
      <c r="L66" s="3"/>
      <c r="M66" s="3"/>
      <c r="N66" s="4"/>
      <c r="O66" s="4"/>
      <c r="P66" s="3"/>
      <c r="Q66" s="3"/>
      <c r="R66" s="3"/>
      <c r="S66" s="45"/>
      <c r="V66" s="132"/>
      <c r="Y66" s="387"/>
      <c r="AA66" s="44"/>
      <c r="AC66" s="50"/>
      <c r="AO66" s="352"/>
    </row>
    <row r="67" spans="1:41">
      <c r="A67" s="40" t="str">
        <f>NAME</f>
        <v>DUKE ENERGY KENTUCKY, INC.</v>
      </c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5"/>
      <c r="V67" s="132"/>
      <c r="Y67" s="387"/>
      <c r="AA67" s="44"/>
      <c r="AC67" s="50"/>
      <c r="AO67" s="352"/>
    </row>
    <row r="68" spans="1:41">
      <c r="A68" s="40" t="str">
        <f>CASE_NO</f>
        <v>CASE NO.   2024-00354</v>
      </c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5"/>
      <c r="V68" s="132"/>
      <c r="Y68" s="387"/>
      <c r="AA68" s="44"/>
      <c r="AC68" s="50"/>
      <c r="AO68" s="352"/>
    </row>
    <row r="69" spans="1:41">
      <c r="A69" s="40" t="str">
        <f>TITLE</f>
        <v>ANNUALIZED TEST YEAR REVENUES AT PROPOSED VS. MOST CURRENT RATES</v>
      </c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5"/>
      <c r="V69" s="132"/>
      <c r="Y69" s="387"/>
      <c r="AA69" s="44"/>
      <c r="AC69" s="50"/>
      <c r="AO69" s="352"/>
    </row>
    <row r="70" spans="1:41">
      <c r="A70" s="40" t="str">
        <f>DATE</f>
        <v>FOR THE TWELVE MONTHS ENDED June 30, 2026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5"/>
      <c r="V70" s="132"/>
      <c r="Y70" s="387"/>
      <c r="AA70" s="44"/>
      <c r="AC70" s="50"/>
      <c r="AO70" s="352"/>
    </row>
    <row r="71" spans="1:41">
      <c r="A71" s="40" t="str">
        <f>SERVICE</f>
        <v>(ELECTRIC SERVICE)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5"/>
      <c r="V71" s="132"/>
      <c r="Y71" s="387"/>
      <c r="AA71" s="44"/>
      <c r="AC71" s="50"/>
      <c r="AO71" s="352"/>
    </row>
    <row r="72" spans="1:41">
      <c r="A72" s="41" t="str">
        <f>DATA_PERIOD</f>
        <v>DATA: ____ BASE PERIOD   __X__FORECASTED PERIOD</v>
      </c>
      <c r="R72" s="42" t="s">
        <v>156</v>
      </c>
      <c r="S72" s="45"/>
      <c r="V72" s="132"/>
      <c r="Y72" s="387"/>
      <c r="AA72" s="44"/>
      <c r="AC72" s="50"/>
      <c r="AO72" s="352"/>
    </row>
    <row r="73" spans="1:41">
      <c r="A73" s="41" t="str">
        <f>TYPE</f>
        <v>TYPE OF FILING: _X_ ORIGINAL   ___UPDATED  ___ REVISED</v>
      </c>
      <c r="R73" s="48" t="str">
        <f>"PAGE 21 OF "&amp;TEXT(Page_Num_2.3,"00")</f>
        <v>PAGE 21 OF 24</v>
      </c>
      <c r="S73" s="45"/>
      <c r="V73" s="132"/>
      <c r="Y73" s="387"/>
      <c r="AA73" s="44"/>
      <c r="AC73" s="50"/>
      <c r="AO73" s="352"/>
    </row>
    <row r="74" spans="1:41">
      <c r="A74" s="42" t="s">
        <v>170</v>
      </c>
      <c r="R74" s="42" t="s">
        <v>3</v>
      </c>
      <c r="S74" s="45"/>
      <c r="V74" s="132"/>
      <c r="Y74" s="387"/>
      <c r="AA74" s="44"/>
      <c r="AC74" s="50"/>
      <c r="AO74" s="352"/>
    </row>
    <row r="75" spans="1:41">
      <c r="A75" s="130" t="str">
        <f>TIME</f>
        <v>12 Months Projected with Riders</v>
      </c>
      <c r="M75" s="42"/>
      <c r="R75" s="41" t="str">
        <f>WIT</f>
        <v>B. L. Sailers</v>
      </c>
      <c r="S75" s="45"/>
      <c r="V75" s="132"/>
      <c r="Y75" s="387"/>
      <c r="AA75" s="44"/>
      <c r="AC75" s="50"/>
      <c r="AO75" s="352"/>
    </row>
    <row r="76" spans="1:41">
      <c r="A76" s="40" t="s">
        <v>129</v>
      </c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5"/>
      <c r="V76" s="132"/>
      <c r="Y76" s="387"/>
      <c r="AA76" s="44"/>
      <c r="AC76" s="50"/>
      <c r="AO76" s="352"/>
    </row>
    <row r="77" spans="1:41">
      <c r="A77" s="49"/>
      <c r="B77" s="49"/>
      <c r="C77" s="49"/>
      <c r="D77" s="49"/>
      <c r="E77" s="49"/>
      <c r="G77" s="49"/>
      <c r="H77" s="49"/>
      <c r="I77" s="49"/>
      <c r="J77" s="49"/>
      <c r="K77" s="49"/>
      <c r="L77" s="43"/>
      <c r="M77" s="43"/>
      <c r="N77" s="43"/>
      <c r="O77" s="43"/>
      <c r="P77" s="43"/>
      <c r="Q77" s="43"/>
      <c r="R77" s="43"/>
      <c r="S77" s="45"/>
      <c r="V77" s="132"/>
      <c r="Y77" s="387"/>
      <c r="AA77" s="44"/>
      <c r="AC77" s="50"/>
      <c r="AO77" s="352"/>
    </row>
    <row r="78" spans="1:41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44" t="s">
        <v>6</v>
      </c>
      <c r="M78" s="44"/>
      <c r="N78" s="44" t="s">
        <v>7</v>
      </c>
      <c r="O78" s="44"/>
      <c r="R78" s="44" t="s">
        <v>6</v>
      </c>
      <c r="S78" s="45"/>
      <c r="V78" s="132"/>
      <c r="Y78" s="387"/>
      <c r="AA78" s="44"/>
      <c r="AC78" s="50"/>
      <c r="AO78" s="352"/>
    </row>
    <row r="79" spans="1:41">
      <c r="L79" s="44" t="s">
        <v>12</v>
      </c>
      <c r="M79" s="44"/>
      <c r="N79" s="44" t="s">
        <v>13</v>
      </c>
      <c r="O79" s="44"/>
      <c r="R79" s="44" t="s">
        <v>11</v>
      </c>
      <c r="S79" s="45"/>
      <c r="V79" s="132"/>
      <c r="Y79" s="387"/>
      <c r="AA79" s="44"/>
      <c r="AC79" s="50"/>
      <c r="AO79" s="352"/>
    </row>
    <row r="80" spans="1:41">
      <c r="A80" s="44" t="s">
        <v>17</v>
      </c>
      <c r="C80" s="44" t="s">
        <v>18</v>
      </c>
      <c r="D80" s="44" t="s">
        <v>19</v>
      </c>
      <c r="E80" s="44"/>
      <c r="F80" s="44" t="s">
        <v>20</v>
      </c>
      <c r="J80" s="40" t="s">
        <v>6</v>
      </c>
      <c r="K80" s="40"/>
      <c r="L80" s="44" t="s">
        <v>841</v>
      </c>
      <c r="M80" s="44"/>
      <c r="N80" s="44" t="s">
        <v>841</v>
      </c>
      <c r="O80" s="44"/>
      <c r="P80" s="44" t="s">
        <v>841</v>
      </c>
      <c r="Q80" s="44"/>
      <c r="R80" s="44" t="s">
        <v>9</v>
      </c>
      <c r="S80" s="45"/>
      <c r="V80" s="132"/>
      <c r="Y80" s="387"/>
      <c r="AA80" s="44"/>
      <c r="AC80" s="50"/>
      <c r="AO80" s="352"/>
    </row>
    <row r="81" spans="1:41">
      <c r="A81" s="44" t="s">
        <v>22</v>
      </c>
      <c r="C81" s="44" t="s">
        <v>23</v>
      </c>
      <c r="D81" s="44" t="s">
        <v>24</v>
      </c>
      <c r="E81" s="44"/>
      <c r="F81" s="44" t="s">
        <v>25</v>
      </c>
      <c r="H81" s="44" t="s">
        <v>26</v>
      </c>
      <c r="I81" s="44"/>
      <c r="J81" s="60" t="s">
        <v>807</v>
      </c>
      <c r="K81" s="60" t="s">
        <v>808</v>
      </c>
      <c r="L81" s="44" t="s">
        <v>9</v>
      </c>
      <c r="M81" s="44"/>
      <c r="N81" s="44" t="s">
        <v>9</v>
      </c>
      <c r="O81" s="44"/>
      <c r="P81" s="44" t="s">
        <v>323</v>
      </c>
      <c r="Q81" s="44"/>
      <c r="R81" s="304" t="s">
        <v>28</v>
      </c>
      <c r="S81" s="45"/>
      <c r="V81" s="132"/>
      <c r="Y81" s="387"/>
      <c r="AA81" s="44"/>
      <c r="AC81" s="50"/>
      <c r="AO81" s="352"/>
    </row>
    <row r="82" spans="1:41">
      <c r="C82" s="304" t="s">
        <v>33</v>
      </c>
      <c r="D82" s="304" t="s">
        <v>34</v>
      </c>
      <c r="E82" s="304"/>
      <c r="F82" s="304" t="s">
        <v>35</v>
      </c>
      <c r="G82" s="130"/>
      <c r="H82" s="304" t="s">
        <v>36</v>
      </c>
      <c r="I82" s="304"/>
      <c r="J82" s="307" t="s">
        <v>809</v>
      </c>
      <c r="K82" s="307" t="s">
        <v>810</v>
      </c>
      <c r="L82" s="307" t="s">
        <v>38</v>
      </c>
      <c r="M82" s="304"/>
      <c r="N82" s="307" t="s">
        <v>39</v>
      </c>
      <c r="O82" s="304"/>
      <c r="P82" s="307" t="s">
        <v>40</v>
      </c>
      <c r="Q82" s="304"/>
      <c r="R82" s="307" t="s">
        <v>41</v>
      </c>
      <c r="S82" s="45"/>
      <c r="V82" s="132"/>
      <c r="Y82" s="387"/>
      <c r="AA82" s="44"/>
      <c r="AC82" s="50"/>
      <c r="AO82" s="352"/>
    </row>
    <row r="83" spans="1:41">
      <c r="A83" s="62"/>
      <c r="B83" s="62"/>
      <c r="C83" s="62"/>
      <c r="D83" s="62"/>
      <c r="E83" s="62"/>
      <c r="F83" s="62"/>
      <c r="G83" s="62"/>
      <c r="H83" s="345" t="s">
        <v>49</v>
      </c>
      <c r="I83" s="345"/>
      <c r="J83" s="344" t="s">
        <v>69</v>
      </c>
      <c r="K83" s="345"/>
      <c r="L83" s="345" t="s">
        <v>50</v>
      </c>
      <c r="M83" s="345"/>
      <c r="N83" s="345" t="s">
        <v>51</v>
      </c>
      <c r="O83" s="345"/>
      <c r="P83" s="345" t="s">
        <v>50</v>
      </c>
      <c r="Q83" s="345"/>
      <c r="R83" s="345" t="s">
        <v>50</v>
      </c>
      <c r="S83" s="45"/>
      <c r="V83" s="132"/>
      <c r="Y83" s="387"/>
      <c r="AA83" s="44"/>
      <c r="AC83" s="50"/>
      <c r="AO83" s="352"/>
    </row>
    <row r="84" spans="1:41">
      <c r="A84" s="351">
        <v>45</v>
      </c>
      <c r="C84" s="133" t="s">
        <v>795</v>
      </c>
      <c r="D84" s="310" t="s">
        <v>814</v>
      </c>
      <c r="F84" s="164"/>
      <c r="G84" s="1"/>
      <c r="H84" s="164"/>
      <c r="I84" s="68"/>
      <c r="J84" s="132"/>
      <c r="K84" s="132"/>
      <c r="L84" s="3"/>
      <c r="M84" s="3"/>
      <c r="N84" s="4"/>
      <c r="O84" s="4"/>
      <c r="P84" s="3"/>
      <c r="Q84" s="3"/>
      <c r="R84" s="3"/>
      <c r="S84" s="45"/>
      <c r="V84" s="132"/>
      <c r="Y84" s="387"/>
      <c r="AA84" s="44"/>
      <c r="AC84" s="50"/>
      <c r="AO84" s="352"/>
    </row>
    <row r="85" spans="1:41">
      <c r="A85" s="351">
        <v>46</v>
      </c>
      <c r="C85" s="310" t="s">
        <v>1111</v>
      </c>
      <c r="F85" s="164"/>
      <c r="G85" s="1"/>
      <c r="H85" s="164"/>
      <c r="I85" s="68"/>
      <c r="J85" s="132"/>
      <c r="K85" s="132"/>
      <c r="L85" s="3"/>
      <c r="M85" s="3"/>
      <c r="N85" s="4"/>
      <c r="O85" s="4"/>
      <c r="P85" s="3"/>
      <c r="Q85" s="3"/>
      <c r="R85" s="3"/>
      <c r="S85" s="45"/>
      <c r="V85" s="132"/>
      <c r="Y85" s="387"/>
      <c r="AA85" s="44"/>
      <c r="AC85" s="50"/>
      <c r="AO85" s="352"/>
    </row>
    <row r="86" spans="1:41">
      <c r="A86" s="351">
        <v>47</v>
      </c>
      <c r="C86" s="48" t="s">
        <v>990</v>
      </c>
      <c r="F86" s="164">
        <v>0</v>
      </c>
      <c r="G86" s="1"/>
      <c r="H86" s="164">
        <f>ROUND(F86*AC61/12,0)</f>
        <v>0</v>
      </c>
      <c r="I86" s="68"/>
      <c r="J86" s="132">
        <f>ROUND(AC438+(AC438*'Rate SL'!$AG$1),6)</f>
        <v>4.7646839999999999</v>
      </c>
      <c r="K86" s="132">
        <f>ROUND(AD438+(AD438*'Rate SL'!$AG$1),6)</f>
        <v>3.3135690000000002</v>
      </c>
      <c r="L86" s="3">
        <f t="shared" si="10"/>
        <v>0</v>
      </c>
      <c r="M86" s="3"/>
      <c r="N86" s="4">
        <f t="shared" ref="N86:N108" si="13">ROUND((L86/L$340)*100,1)</f>
        <v>0</v>
      </c>
      <c r="O86" s="4"/>
      <c r="P86" s="3">
        <f t="shared" ref="P86:P107" si="14">ROUND(($P$108/$H$108)*D86,0)</f>
        <v>0</v>
      </c>
      <c r="Q86" s="3"/>
      <c r="R86" s="3">
        <f t="shared" si="11"/>
        <v>0</v>
      </c>
      <c r="S86" s="45"/>
      <c r="V86" s="132"/>
      <c r="Y86" s="387"/>
      <c r="AA86" s="44">
        <v>17</v>
      </c>
      <c r="AC86" s="50">
        <f t="shared" si="12"/>
        <v>204</v>
      </c>
      <c r="AO86" s="352"/>
    </row>
    <row r="87" spans="1:41">
      <c r="A87" s="351">
        <v>48</v>
      </c>
      <c r="C87" s="48" t="s">
        <v>991</v>
      </c>
      <c r="F87" s="164">
        <v>12</v>
      </c>
      <c r="G87" s="1"/>
      <c r="H87" s="164">
        <f t="shared" si="9"/>
        <v>204</v>
      </c>
      <c r="I87" s="68"/>
      <c r="J87" s="132">
        <f>ROUND(AC439+(AC439*'Rate SL'!$AG$1),6)</f>
        <v>4.9475009999999999</v>
      </c>
      <c r="K87" s="132">
        <f>ROUND(AD439+(AD439*'Rate SL'!$AG$1),6)</f>
        <v>3.3135690000000002</v>
      </c>
      <c r="L87" s="3">
        <f t="shared" si="10"/>
        <v>99</v>
      </c>
      <c r="M87" s="3"/>
      <c r="N87" s="4">
        <f t="shared" si="13"/>
        <v>0.4</v>
      </c>
      <c r="O87" s="4"/>
      <c r="P87" s="3">
        <f t="shared" si="14"/>
        <v>0</v>
      </c>
      <c r="Q87" s="3"/>
      <c r="R87" s="3">
        <f t="shared" si="11"/>
        <v>99</v>
      </c>
      <c r="S87" s="45"/>
      <c r="V87" s="132"/>
      <c r="Y87" s="387"/>
      <c r="AA87" s="44">
        <v>24</v>
      </c>
      <c r="AC87" s="50">
        <f t="shared" si="12"/>
        <v>288</v>
      </c>
      <c r="AO87" s="352"/>
    </row>
    <row r="88" spans="1:41">
      <c r="A88" s="351">
        <v>49</v>
      </c>
      <c r="C88" s="48" t="s">
        <v>1076</v>
      </c>
      <c r="F88" s="164">
        <v>0</v>
      </c>
      <c r="G88" s="1"/>
      <c r="H88" s="164">
        <f t="shared" si="9"/>
        <v>0</v>
      </c>
      <c r="I88" s="68"/>
      <c r="J88" s="132">
        <v>11.75</v>
      </c>
      <c r="K88" s="132">
        <f>K87</f>
        <v>3.3135690000000002</v>
      </c>
      <c r="L88" s="3">
        <f t="shared" ref="L88:L105" si="15">ROUND((F88*(J88+K88)),0)</f>
        <v>0</v>
      </c>
      <c r="M88" s="3"/>
      <c r="N88" s="4">
        <f t="shared" si="13"/>
        <v>0</v>
      </c>
      <c r="O88" s="4"/>
      <c r="P88" s="3">
        <f t="shared" si="14"/>
        <v>0</v>
      </c>
      <c r="Q88" s="3"/>
      <c r="R88" s="3">
        <f t="shared" ref="R88:R105" si="16">L88+P88</f>
        <v>0</v>
      </c>
      <c r="S88" s="45"/>
      <c r="V88" s="409"/>
      <c r="Y88" s="387"/>
      <c r="AA88" s="410">
        <v>10.4</v>
      </c>
      <c r="AC88" s="50">
        <f t="shared" si="12"/>
        <v>124.80000000000001</v>
      </c>
      <c r="AO88" s="352"/>
    </row>
    <row r="89" spans="1:41">
      <c r="A89" s="351">
        <v>50</v>
      </c>
      <c r="C89" s="48" t="s">
        <v>1077</v>
      </c>
      <c r="F89" s="164">
        <v>0</v>
      </c>
      <c r="G89" s="1"/>
      <c r="H89" s="164">
        <f t="shared" si="9"/>
        <v>0</v>
      </c>
      <c r="I89" s="68"/>
      <c r="J89" s="132">
        <v>15.31</v>
      </c>
      <c r="K89" s="132">
        <f t="shared" ref="K89:K107" si="17">K88</f>
        <v>3.3135690000000002</v>
      </c>
      <c r="L89" s="3">
        <f t="shared" si="15"/>
        <v>0</v>
      </c>
      <c r="M89" s="3"/>
      <c r="N89" s="4">
        <f t="shared" si="13"/>
        <v>0</v>
      </c>
      <c r="O89" s="4"/>
      <c r="P89" s="3">
        <f t="shared" si="14"/>
        <v>0</v>
      </c>
      <c r="Q89" s="3"/>
      <c r="R89" s="3">
        <f t="shared" si="16"/>
        <v>0</v>
      </c>
      <c r="S89" s="45"/>
      <c r="V89" s="409"/>
      <c r="Y89" s="387"/>
      <c r="AA89" s="410">
        <v>10.4</v>
      </c>
      <c r="AC89" s="50">
        <f t="shared" si="12"/>
        <v>124.80000000000001</v>
      </c>
      <c r="AO89" s="352"/>
    </row>
    <row r="90" spans="1:41">
      <c r="A90" s="351">
        <v>51</v>
      </c>
      <c r="C90" s="48" t="s">
        <v>1078</v>
      </c>
      <c r="F90" s="164">
        <v>0</v>
      </c>
      <c r="G90" s="1"/>
      <c r="H90" s="164">
        <f t="shared" si="9"/>
        <v>0</v>
      </c>
      <c r="I90" s="68"/>
      <c r="J90" s="132">
        <v>15.31</v>
      </c>
      <c r="K90" s="132">
        <f t="shared" si="17"/>
        <v>3.3135690000000002</v>
      </c>
      <c r="L90" s="3">
        <f t="shared" si="15"/>
        <v>0</v>
      </c>
      <c r="M90" s="3"/>
      <c r="N90" s="4">
        <f t="shared" si="13"/>
        <v>0</v>
      </c>
      <c r="O90" s="4"/>
      <c r="P90" s="3">
        <f t="shared" si="14"/>
        <v>0</v>
      </c>
      <c r="Q90" s="3"/>
      <c r="R90" s="3">
        <f t="shared" si="16"/>
        <v>0</v>
      </c>
      <c r="S90" s="45"/>
      <c r="V90" s="409"/>
      <c r="Y90" s="387"/>
      <c r="AA90" s="410">
        <v>10.4</v>
      </c>
      <c r="AC90" s="50">
        <f t="shared" si="12"/>
        <v>124.80000000000001</v>
      </c>
      <c r="AO90" s="352"/>
    </row>
    <row r="91" spans="1:41">
      <c r="A91" s="351">
        <v>52</v>
      </c>
      <c r="C91" s="48" t="s">
        <v>1079</v>
      </c>
      <c r="F91" s="164">
        <v>0</v>
      </c>
      <c r="G91" s="1"/>
      <c r="H91" s="164">
        <f t="shared" si="9"/>
        <v>0</v>
      </c>
      <c r="I91" s="68"/>
      <c r="J91" s="132">
        <v>15.31</v>
      </c>
      <c r="K91" s="132">
        <f t="shared" si="17"/>
        <v>3.3135690000000002</v>
      </c>
      <c r="L91" s="3">
        <f t="shared" si="15"/>
        <v>0</v>
      </c>
      <c r="M91" s="3"/>
      <c r="N91" s="4">
        <f t="shared" si="13"/>
        <v>0</v>
      </c>
      <c r="O91" s="4"/>
      <c r="P91" s="3">
        <f t="shared" si="14"/>
        <v>0</v>
      </c>
      <c r="Q91" s="3"/>
      <c r="R91" s="3">
        <f t="shared" si="16"/>
        <v>0</v>
      </c>
      <c r="S91" s="45"/>
      <c r="V91" s="409"/>
      <c r="Y91" s="387"/>
      <c r="AA91" s="410">
        <v>10.4</v>
      </c>
      <c r="AC91" s="50">
        <f t="shared" si="12"/>
        <v>124.80000000000001</v>
      </c>
      <c r="AO91" s="352"/>
    </row>
    <row r="92" spans="1:41">
      <c r="A92" s="351">
        <v>53</v>
      </c>
      <c r="C92" s="48" t="s">
        <v>1080</v>
      </c>
      <c r="F92" s="164">
        <v>0</v>
      </c>
      <c r="G92" s="1"/>
      <c r="H92" s="164">
        <f t="shared" si="9"/>
        <v>0</v>
      </c>
      <c r="I92" s="68"/>
      <c r="J92" s="132">
        <v>15.31</v>
      </c>
      <c r="K92" s="132">
        <f t="shared" si="17"/>
        <v>3.3135690000000002</v>
      </c>
      <c r="L92" s="3">
        <f t="shared" si="15"/>
        <v>0</v>
      </c>
      <c r="M92" s="3"/>
      <c r="N92" s="4">
        <f t="shared" si="13"/>
        <v>0</v>
      </c>
      <c r="O92" s="4"/>
      <c r="P92" s="3">
        <f t="shared" si="14"/>
        <v>0</v>
      </c>
      <c r="Q92" s="3"/>
      <c r="R92" s="3">
        <f t="shared" si="16"/>
        <v>0</v>
      </c>
      <c r="S92" s="45"/>
      <c r="V92" s="409"/>
      <c r="Y92" s="387"/>
      <c r="AA92" s="410">
        <v>10.4</v>
      </c>
      <c r="AC92" s="50">
        <f t="shared" si="12"/>
        <v>124.80000000000001</v>
      </c>
      <c r="AO92" s="352"/>
    </row>
    <row r="93" spans="1:41">
      <c r="A93" s="351">
        <v>54</v>
      </c>
      <c r="C93" s="48" t="s">
        <v>1081</v>
      </c>
      <c r="F93" s="164">
        <v>0</v>
      </c>
      <c r="G93" s="1"/>
      <c r="H93" s="164">
        <f t="shared" si="9"/>
        <v>0</v>
      </c>
      <c r="I93" s="68"/>
      <c r="J93" s="132">
        <v>19.48</v>
      </c>
      <c r="K93" s="132">
        <f t="shared" si="17"/>
        <v>3.3135690000000002</v>
      </c>
      <c r="L93" s="3">
        <f t="shared" si="15"/>
        <v>0</v>
      </c>
      <c r="M93" s="3"/>
      <c r="N93" s="4">
        <f t="shared" si="13"/>
        <v>0</v>
      </c>
      <c r="O93" s="4"/>
      <c r="P93" s="3">
        <f t="shared" si="14"/>
        <v>0</v>
      </c>
      <c r="Q93" s="3"/>
      <c r="R93" s="3">
        <f t="shared" si="16"/>
        <v>0</v>
      </c>
      <c r="S93" s="45"/>
      <c r="V93" s="409"/>
      <c r="Y93" s="387"/>
      <c r="AA93" s="411">
        <v>13.9</v>
      </c>
      <c r="AC93" s="50">
        <f t="shared" si="12"/>
        <v>166.8</v>
      </c>
      <c r="AO93" s="352"/>
    </row>
    <row r="94" spans="1:41">
      <c r="A94" s="351">
        <v>55</v>
      </c>
      <c r="C94" s="48" t="s">
        <v>1082</v>
      </c>
      <c r="F94" s="164">
        <v>0</v>
      </c>
      <c r="G94" s="1"/>
      <c r="H94" s="164">
        <f t="shared" si="9"/>
        <v>0</v>
      </c>
      <c r="I94" s="68"/>
      <c r="J94" s="132">
        <v>19.48</v>
      </c>
      <c r="K94" s="132">
        <f t="shared" si="17"/>
        <v>3.3135690000000002</v>
      </c>
      <c r="L94" s="3">
        <f t="shared" si="15"/>
        <v>0</v>
      </c>
      <c r="M94" s="3"/>
      <c r="N94" s="4">
        <f t="shared" si="13"/>
        <v>0</v>
      </c>
      <c r="O94" s="4"/>
      <c r="P94" s="3">
        <f t="shared" si="14"/>
        <v>0</v>
      </c>
      <c r="Q94" s="3"/>
      <c r="R94" s="3">
        <f t="shared" si="16"/>
        <v>0</v>
      </c>
      <c r="S94" s="45"/>
      <c r="V94" s="409"/>
      <c r="Y94" s="387"/>
      <c r="AA94" s="411">
        <v>13.9</v>
      </c>
      <c r="AC94" s="50">
        <f t="shared" si="12"/>
        <v>166.8</v>
      </c>
      <c r="AO94" s="352"/>
    </row>
    <row r="95" spans="1:41">
      <c r="A95" s="351">
        <v>56</v>
      </c>
      <c r="C95" s="48" t="s">
        <v>1083</v>
      </c>
      <c r="F95" s="164">
        <v>0</v>
      </c>
      <c r="G95" s="1"/>
      <c r="H95" s="164">
        <f t="shared" si="9"/>
        <v>0</v>
      </c>
      <c r="I95" s="68"/>
      <c r="J95" s="132">
        <v>4.21</v>
      </c>
      <c r="K95" s="132">
        <f t="shared" si="17"/>
        <v>3.3135690000000002</v>
      </c>
      <c r="L95" s="3">
        <f t="shared" si="15"/>
        <v>0</v>
      </c>
      <c r="M95" s="3"/>
      <c r="N95" s="4">
        <f t="shared" si="13"/>
        <v>0</v>
      </c>
      <c r="O95" s="4"/>
      <c r="P95" s="3">
        <f t="shared" si="14"/>
        <v>0</v>
      </c>
      <c r="Q95" s="3"/>
      <c r="R95" s="3">
        <f t="shared" si="16"/>
        <v>0</v>
      </c>
      <c r="S95" s="45"/>
      <c r="V95" s="409"/>
      <c r="Y95" s="387"/>
      <c r="AA95" s="412">
        <v>9</v>
      </c>
      <c r="AC95" s="50">
        <f t="shared" si="12"/>
        <v>108</v>
      </c>
      <c r="AO95" s="352"/>
    </row>
    <row r="96" spans="1:41">
      <c r="A96" s="351">
        <v>57</v>
      </c>
      <c r="C96" s="48" t="s">
        <v>1084</v>
      </c>
      <c r="F96" s="164">
        <v>0</v>
      </c>
      <c r="G96" s="1"/>
      <c r="H96" s="164">
        <f t="shared" si="9"/>
        <v>0</v>
      </c>
      <c r="I96" s="68"/>
      <c r="J96" s="132">
        <v>4.96</v>
      </c>
      <c r="K96" s="132">
        <f t="shared" si="17"/>
        <v>3.3135690000000002</v>
      </c>
      <c r="L96" s="3">
        <f t="shared" si="15"/>
        <v>0</v>
      </c>
      <c r="M96" s="3"/>
      <c r="N96" s="4">
        <f t="shared" si="13"/>
        <v>0</v>
      </c>
      <c r="O96" s="4"/>
      <c r="P96" s="3">
        <f t="shared" si="14"/>
        <v>0</v>
      </c>
      <c r="Q96" s="3"/>
      <c r="R96" s="3">
        <f t="shared" si="16"/>
        <v>0</v>
      </c>
      <c r="S96" s="45"/>
      <c r="V96" s="409"/>
      <c r="Y96" s="387"/>
      <c r="AA96" s="412">
        <v>9</v>
      </c>
      <c r="AC96" s="50">
        <f t="shared" si="12"/>
        <v>108</v>
      </c>
      <c r="AO96" s="352"/>
    </row>
    <row r="97" spans="1:45">
      <c r="A97" s="351">
        <v>58</v>
      </c>
      <c r="C97" s="48" t="s">
        <v>1085</v>
      </c>
      <c r="F97" s="164">
        <v>0</v>
      </c>
      <c r="G97" s="1"/>
      <c r="H97" s="164">
        <f t="shared" si="9"/>
        <v>0</v>
      </c>
      <c r="I97" s="68"/>
      <c r="J97" s="132">
        <v>5.85</v>
      </c>
      <c r="K97" s="132">
        <f t="shared" si="17"/>
        <v>3.3135690000000002</v>
      </c>
      <c r="L97" s="3">
        <f t="shared" si="15"/>
        <v>0</v>
      </c>
      <c r="M97" s="3"/>
      <c r="N97" s="4">
        <f t="shared" si="13"/>
        <v>0</v>
      </c>
      <c r="O97" s="4"/>
      <c r="P97" s="3">
        <f t="shared" si="14"/>
        <v>0</v>
      </c>
      <c r="Q97" s="3"/>
      <c r="R97" s="3">
        <f t="shared" si="16"/>
        <v>0</v>
      </c>
      <c r="S97" s="45"/>
      <c r="V97" s="409"/>
      <c r="Y97" s="387"/>
      <c r="AA97" s="412">
        <v>9</v>
      </c>
      <c r="AC97" s="50">
        <f t="shared" si="12"/>
        <v>108</v>
      </c>
      <c r="AO97" s="352"/>
    </row>
    <row r="98" spans="1:45">
      <c r="A98" s="351">
        <v>59</v>
      </c>
      <c r="C98" s="48" t="s">
        <v>1086</v>
      </c>
      <c r="F98" s="164">
        <v>0</v>
      </c>
      <c r="G98" s="1"/>
      <c r="H98" s="164">
        <f t="shared" si="9"/>
        <v>0</v>
      </c>
      <c r="I98" s="68"/>
      <c r="J98" s="132">
        <v>5.32</v>
      </c>
      <c r="K98" s="132">
        <f t="shared" si="17"/>
        <v>3.3135690000000002</v>
      </c>
      <c r="L98" s="3">
        <f t="shared" si="15"/>
        <v>0</v>
      </c>
      <c r="M98" s="3"/>
      <c r="N98" s="4">
        <f t="shared" si="13"/>
        <v>0</v>
      </c>
      <c r="O98" s="4"/>
      <c r="P98" s="3">
        <f t="shared" si="14"/>
        <v>0</v>
      </c>
      <c r="Q98" s="3"/>
      <c r="R98" s="3">
        <f t="shared" si="16"/>
        <v>0</v>
      </c>
      <c r="S98" s="45"/>
      <c r="V98" s="409"/>
      <c r="Y98" s="387"/>
      <c r="AA98" s="412">
        <v>9</v>
      </c>
      <c r="AC98" s="50">
        <f t="shared" si="12"/>
        <v>108</v>
      </c>
      <c r="AO98" s="352"/>
    </row>
    <row r="99" spans="1:45">
      <c r="A99" s="351">
        <v>60</v>
      </c>
      <c r="C99" s="48" t="s">
        <v>1087</v>
      </c>
      <c r="F99" s="164">
        <v>0</v>
      </c>
      <c r="G99" s="1"/>
      <c r="H99" s="164">
        <f t="shared" si="9"/>
        <v>0</v>
      </c>
      <c r="I99" s="68"/>
      <c r="J99" s="132">
        <v>5.91</v>
      </c>
      <c r="K99" s="132">
        <f t="shared" si="17"/>
        <v>3.3135690000000002</v>
      </c>
      <c r="L99" s="3">
        <f t="shared" si="15"/>
        <v>0</v>
      </c>
      <c r="M99" s="3"/>
      <c r="N99" s="4">
        <f t="shared" si="13"/>
        <v>0</v>
      </c>
      <c r="O99" s="4"/>
      <c r="P99" s="3">
        <f t="shared" si="14"/>
        <v>0</v>
      </c>
      <c r="Q99" s="3"/>
      <c r="R99" s="3">
        <f t="shared" si="16"/>
        <v>0</v>
      </c>
      <c r="S99" s="45"/>
      <c r="V99" s="409"/>
      <c r="Y99" s="387"/>
      <c r="AA99" s="412">
        <v>9</v>
      </c>
      <c r="AC99" s="50">
        <f t="shared" si="12"/>
        <v>108</v>
      </c>
      <c r="AO99" s="352"/>
    </row>
    <row r="100" spans="1:45">
      <c r="A100" s="351">
        <v>61</v>
      </c>
      <c r="C100" s="48" t="s">
        <v>1088</v>
      </c>
      <c r="F100" s="164">
        <v>0</v>
      </c>
      <c r="G100" s="1"/>
      <c r="H100" s="164">
        <f t="shared" si="9"/>
        <v>0</v>
      </c>
      <c r="I100" s="68"/>
      <c r="J100" s="132">
        <v>6.94</v>
      </c>
      <c r="K100" s="132">
        <f t="shared" si="17"/>
        <v>3.3135690000000002</v>
      </c>
      <c r="L100" s="3">
        <f t="shared" si="15"/>
        <v>0</v>
      </c>
      <c r="M100" s="3"/>
      <c r="N100" s="4">
        <f t="shared" si="13"/>
        <v>0</v>
      </c>
      <c r="O100" s="4"/>
      <c r="P100" s="3">
        <f t="shared" si="14"/>
        <v>0</v>
      </c>
      <c r="Q100" s="3"/>
      <c r="R100" s="3">
        <f t="shared" si="16"/>
        <v>0</v>
      </c>
      <c r="S100" s="45"/>
      <c r="V100" s="409"/>
      <c r="Y100" s="387"/>
      <c r="AA100" s="412">
        <v>9</v>
      </c>
      <c r="AC100" s="50">
        <f t="shared" si="12"/>
        <v>108</v>
      </c>
      <c r="AO100" s="352"/>
    </row>
    <row r="101" spans="1:45">
      <c r="A101" s="351">
        <v>62</v>
      </c>
      <c r="C101" s="48" t="s">
        <v>1089</v>
      </c>
      <c r="F101" s="164">
        <v>0</v>
      </c>
      <c r="G101" s="1"/>
      <c r="H101" s="164">
        <f t="shared" si="9"/>
        <v>0</v>
      </c>
      <c r="I101" s="68"/>
      <c r="J101" s="132">
        <v>7.53</v>
      </c>
      <c r="K101" s="132">
        <f t="shared" si="17"/>
        <v>3.3135690000000002</v>
      </c>
      <c r="L101" s="3">
        <f t="shared" si="15"/>
        <v>0</v>
      </c>
      <c r="M101" s="3"/>
      <c r="N101" s="4">
        <f t="shared" si="13"/>
        <v>0</v>
      </c>
      <c r="O101" s="4"/>
      <c r="P101" s="3">
        <f t="shared" si="14"/>
        <v>0</v>
      </c>
      <c r="Q101" s="3"/>
      <c r="R101" s="3">
        <f t="shared" si="16"/>
        <v>0</v>
      </c>
      <c r="S101" s="45"/>
      <c r="V101" s="409"/>
      <c r="Y101" s="387"/>
      <c r="AA101" s="412">
        <v>9</v>
      </c>
      <c r="AC101" s="50">
        <f t="shared" si="12"/>
        <v>108</v>
      </c>
      <c r="AO101" s="352"/>
    </row>
    <row r="102" spans="1:45">
      <c r="A102" s="351">
        <v>63</v>
      </c>
      <c r="C102" s="48" t="s">
        <v>1090</v>
      </c>
      <c r="F102" s="164">
        <v>0</v>
      </c>
      <c r="G102" s="1"/>
      <c r="H102" s="164">
        <f t="shared" si="9"/>
        <v>0</v>
      </c>
      <c r="I102" s="68"/>
      <c r="J102" s="132">
        <v>6.94</v>
      </c>
      <c r="K102" s="132">
        <f t="shared" si="17"/>
        <v>3.3135690000000002</v>
      </c>
      <c r="L102" s="3">
        <f t="shared" si="15"/>
        <v>0</v>
      </c>
      <c r="M102" s="3"/>
      <c r="N102" s="4">
        <f t="shared" si="13"/>
        <v>0</v>
      </c>
      <c r="O102" s="4"/>
      <c r="P102" s="3">
        <f t="shared" si="14"/>
        <v>0</v>
      </c>
      <c r="Q102" s="3"/>
      <c r="R102" s="3">
        <f t="shared" si="16"/>
        <v>0</v>
      </c>
      <c r="S102" s="45"/>
      <c r="V102" s="409"/>
      <c r="Y102" s="387"/>
      <c r="AA102" s="412">
        <v>9</v>
      </c>
      <c r="AC102" s="50">
        <f t="shared" si="12"/>
        <v>108</v>
      </c>
      <c r="AO102" s="352"/>
    </row>
    <row r="103" spans="1:45">
      <c r="A103" s="351">
        <v>64</v>
      </c>
      <c r="C103" s="48" t="s">
        <v>1091</v>
      </c>
      <c r="F103" s="164">
        <v>0</v>
      </c>
      <c r="G103" s="1"/>
      <c r="H103" s="164">
        <f t="shared" si="9"/>
        <v>0</v>
      </c>
      <c r="I103" s="68"/>
      <c r="J103" s="132">
        <v>15.68</v>
      </c>
      <c r="K103" s="132">
        <f t="shared" si="17"/>
        <v>3.3135690000000002</v>
      </c>
      <c r="L103" s="3">
        <f t="shared" si="15"/>
        <v>0</v>
      </c>
      <c r="M103" s="3"/>
      <c r="N103" s="4">
        <f t="shared" si="13"/>
        <v>0</v>
      </c>
      <c r="O103" s="4"/>
      <c r="P103" s="3">
        <f t="shared" si="14"/>
        <v>0</v>
      </c>
      <c r="Q103" s="3"/>
      <c r="R103" s="3">
        <f t="shared" si="16"/>
        <v>0</v>
      </c>
      <c r="S103" s="45"/>
      <c r="V103" s="409"/>
      <c r="Y103" s="387"/>
      <c r="AA103" s="413">
        <v>17.3</v>
      </c>
      <c r="AC103" s="50">
        <f t="shared" si="12"/>
        <v>207.60000000000002</v>
      </c>
      <c r="AO103" s="352"/>
    </row>
    <row r="104" spans="1:45">
      <c r="A104" s="351">
        <v>65</v>
      </c>
      <c r="C104" s="48" t="s">
        <v>1092</v>
      </c>
      <c r="F104" s="164">
        <v>0</v>
      </c>
      <c r="G104" s="1"/>
      <c r="H104" s="164">
        <f t="shared" si="9"/>
        <v>0</v>
      </c>
      <c r="I104" s="68"/>
      <c r="J104" s="132">
        <v>17.64</v>
      </c>
      <c r="K104" s="132">
        <f t="shared" si="17"/>
        <v>3.3135690000000002</v>
      </c>
      <c r="L104" s="3">
        <f t="shared" si="15"/>
        <v>0</v>
      </c>
      <c r="M104" s="3"/>
      <c r="N104" s="4">
        <f t="shared" si="13"/>
        <v>0</v>
      </c>
      <c r="O104" s="4"/>
      <c r="P104" s="3">
        <f t="shared" si="14"/>
        <v>0</v>
      </c>
      <c r="Q104" s="3"/>
      <c r="R104" s="3">
        <f t="shared" si="16"/>
        <v>0</v>
      </c>
      <c r="S104" s="45"/>
      <c r="V104" s="409"/>
      <c r="Y104" s="387"/>
      <c r="AA104" s="413">
        <v>17.3</v>
      </c>
      <c r="AC104" s="50">
        <f t="shared" si="12"/>
        <v>207.60000000000002</v>
      </c>
      <c r="AO104" s="352"/>
    </row>
    <row r="105" spans="1:45">
      <c r="A105" s="351">
        <v>66</v>
      </c>
      <c r="C105" s="48" t="s">
        <v>1093</v>
      </c>
      <c r="F105" s="164">
        <v>0</v>
      </c>
      <c r="G105" s="1"/>
      <c r="H105" s="164">
        <f t="shared" si="9"/>
        <v>0</v>
      </c>
      <c r="I105" s="68"/>
      <c r="J105" s="132">
        <v>3.17</v>
      </c>
      <c r="K105" s="132">
        <f t="shared" si="17"/>
        <v>3.3135690000000002</v>
      </c>
      <c r="L105" s="3">
        <f t="shared" si="15"/>
        <v>0</v>
      </c>
      <c r="M105" s="3"/>
      <c r="N105" s="4">
        <f t="shared" si="13"/>
        <v>0</v>
      </c>
      <c r="O105" s="4"/>
      <c r="P105" s="3">
        <f t="shared" si="14"/>
        <v>0</v>
      </c>
      <c r="Q105" s="3"/>
      <c r="R105" s="3">
        <f t="shared" si="16"/>
        <v>0</v>
      </c>
      <c r="S105" s="45"/>
      <c r="V105" s="409"/>
      <c r="Y105" s="387"/>
      <c r="AA105" s="413">
        <v>10.4</v>
      </c>
      <c r="AC105" s="50">
        <f t="shared" si="12"/>
        <v>124.80000000000001</v>
      </c>
      <c r="AO105" s="352"/>
    </row>
    <row r="106" spans="1:45">
      <c r="A106" s="351">
        <v>67</v>
      </c>
      <c r="C106" s="48" t="s">
        <v>1094</v>
      </c>
      <c r="F106" s="164">
        <v>0</v>
      </c>
      <c r="G106" s="1"/>
      <c r="H106" s="164">
        <f t="shared" si="9"/>
        <v>0</v>
      </c>
      <c r="I106" s="68"/>
      <c r="J106" s="132">
        <v>3.18</v>
      </c>
      <c r="K106" s="132">
        <f t="shared" si="17"/>
        <v>3.3135690000000002</v>
      </c>
      <c r="L106" s="3">
        <f>ROUND((F106*(J106+K106)),0)</f>
        <v>0</v>
      </c>
      <c r="M106" s="3"/>
      <c r="N106" s="4">
        <f t="shared" si="13"/>
        <v>0</v>
      </c>
      <c r="O106" s="4"/>
      <c r="P106" s="3">
        <f t="shared" si="14"/>
        <v>0</v>
      </c>
      <c r="Q106" s="3"/>
      <c r="R106" s="3">
        <f>L106+P106</f>
        <v>0</v>
      </c>
      <c r="S106" s="45"/>
      <c r="V106" s="409"/>
      <c r="Y106" s="387"/>
      <c r="AA106" s="413">
        <v>13.9</v>
      </c>
      <c r="AC106" s="50">
        <f t="shared" si="12"/>
        <v>166.8</v>
      </c>
      <c r="AO106" s="352"/>
    </row>
    <row r="107" spans="1:45">
      <c r="A107" s="351">
        <v>68</v>
      </c>
      <c r="C107" s="48" t="s">
        <v>1110</v>
      </c>
      <c r="F107" s="164">
        <v>0</v>
      </c>
      <c r="G107" s="1"/>
      <c r="H107" s="164">
        <f t="shared" si="9"/>
        <v>0</v>
      </c>
      <c r="I107" s="68"/>
      <c r="J107" s="132">
        <v>3.06</v>
      </c>
      <c r="K107" s="132">
        <f t="shared" si="17"/>
        <v>3.3135690000000002</v>
      </c>
      <c r="L107" s="3">
        <f>ROUND((F107*(J107+K107)),0)</f>
        <v>0</v>
      </c>
      <c r="M107" s="3"/>
      <c r="N107" s="4">
        <f t="shared" si="13"/>
        <v>0</v>
      </c>
      <c r="O107" s="4"/>
      <c r="P107" s="3">
        <f t="shared" si="14"/>
        <v>0</v>
      </c>
      <c r="Q107" s="3"/>
      <c r="R107" s="3">
        <f>L107+P107</f>
        <v>0</v>
      </c>
      <c r="S107" s="45"/>
      <c r="V107" s="409"/>
      <c r="Y107" s="387"/>
      <c r="AA107" s="413">
        <v>10.4</v>
      </c>
      <c r="AC107" s="50">
        <f t="shared" si="12"/>
        <v>124.80000000000001</v>
      </c>
      <c r="AO107" s="352"/>
    </row>
    <row r="108" spans="1:45">
      <c r="A108" s="351">
        <v>69</v>
      </c>
      <c r="C108" s="310" t="s">
        <v>805</v>
      </c>
      <c r="F108" s="72">
        <f>SUM(F20:F107)</f>
        <v>1928</v>
      </c>
      <c r="G108" s="1"/>
      <c r="H108" s="72">
        <f>SUM(H20:H107)</f>
        <v>42161</v>
      </c>
      <c r="I108" s="3"/>
      <c r="J108" s="5"/>
      <c r="K108" s="5"/>
      <c r="L108" s="72">
        <f>SUM(L20:L107)</f>
        <v>18271</v>
      </c>
      <c r="M108" s="3"/>
      <c r="N108" s="74">
        <f t="shared" si="13"/>
        <v>80.400000000000006</v>
      </c>
      <c r="O108" s="6"/>
      <c r="P108" s="72">
        <f>ROUND(H108*PRO_FAC,0)</f>
        <v>147</v>
      </c>
      <c r="Q108" s="3"/>
      <c r="R108" s="72">
        <f>SUM(R20:R107)</f>
        <v>18271</v>
      </c>
    </row>
    <row r="109" spans="1:45">
      <c r="B109" s="362"/>
      <c r="C109" s="362"/>
      <c r="D109" s="362"/>
      <c r="E109" s="362"/>
      <c r="F109" s="362"/>
      <c r="G109" s="362"/>
      <c r="H109" s="362"/>
      <c r="I109" s="362"/>
      <c r="J109" s="141"/>
      <c r="K109" s="362"/>
      <c r="L109" s="363"/>
      <c r="M109" s="362"/>
      <c r="N109" s="362"/>
      <c r="O109" s="362"/>
      <c r="P109" s="141"/>
      <c r="Q109" s="130"/>
      <c r="R109" s="130"/>
      <c r="V109" s="42"/>
      <c r="AA109" s="45"/>
      <c r="AC109" s="45"/>
      <c r="AD109" s="45"/>
      <c r="AE109" s="47"/>
      <c r="AF109" s="47"/>
      <c r="AH109" s="45"/>
      <c r="AI109" s="46"/>
      <c r="AJ109" s="46"/>
      <c r="AL109" s="45"/>
      <c r="AM109" s="51"/>
      <c r="AN109" s="51"/>
      <c r="AO109" s="45"/>
      <c r="AP109" s="45"/>
      <c r="AR109" s="45"/>
      <c r="AS109" s="46"/>
    </row>
    <row r="110" spans="1:45">
      <c r="A110" s="41">
        <v>70</v>
      </c>
      <c r="B110" s="362"/>
      <c r="C110" s="310" t="s">
        <v>806</v>
      </c>
      <c r="D110" s="362"/>
      <c r="E110" s="362"/>
      <c r="F110" s="364"/>
      <c r="G110" s="362"/>
      <c r="H110" s="66">
        <f>H108</f>
        <v>42161</v>
      </c>
      <c r="I110" s="362"/>
      <c r="J110" s="134">
        <f>ROUND(AC462+(AC462*AG1),6)</f>
        <v>7.9088000000000006E-2</v>
      </c>
      <c r="K110" s="362"/>
      <c r="L110" s="66">
        <f>H110*J110</f>
        <v>3334.4291680000001</v>
      </c>
      <c r="M110" s="362"/>
      <c r="N110" s="70">
        <f>ROUND((L110/L$340)*100,1)</f>
        <v>14.7</v>
      </c>
      <c r="O110" s="362"/>
      <c r="P110" s="141"/>
      <c r="Q110" s="130"/>
      <c r="R110" s="66">
        <f>L110+P110</f>
        <v>3334.4291680000001</v>
      </c>
      <c r="V110" s="42"/>
      <c r="AA110" s="45"/>
      <c r="AC110" s="45"/>
      <c r="AD110" s="45"/>
      <c r="AE110" s="47"/>
      <c r="AF110" s="47"/>
      <c r="AH110" s="45"/>
      <c r="AI110" s="46"/>
      <c r="AJ110" s="46"/>
      <c r="AL110" s="45"/>
      <c r="AM110" s="51"/>
      <c r="AN110" s="51"/>
      <c r="AO110" s="45"/>
      <c r="AP110" s="45"/>
      <c r="AR110" s="45"/>
      <c r="AS110" s="46"/>
    </row>
    <row r="111" spans="1:45">
      <c r="B111" s="362"/>
      <c r="C111" s="310"/>
      <c r="D111" s="362"/>
      <c r="E111" s="362"/>
      <c r="F111" s="364"/>
      <c r="G111" s="362"/>
      <c r="H111" s="3"/>
      <c r="I111" s="362"/>
      <c r="J111" s="134"/>
      <c r="K111" s="362"/>
      <c r="L111" s="3"/>
      <c r="M111" s="362"/>
      <c r="N111" s="362"/>
      <c r="O111" s="362"/>
      <c r="P111" s="141"/>
      <c r="Q111" s="130"/>
      <c r="R111" s="3"/>
      <c r="V111" s="42"/>
      <c r="AA111" s="45"/>
      <c r="AC111" s="45"/>
      <c r="AD111" s="45"/>
      <c r="AE111" s="47"/>
      <c r="AF111" s="47"/>
      <c r="AH111" s="45"/>
      <c r="AI111" s="46"/>
      <c r="AJ111" s="46"/>
      <c r="AL111" s="45"/>
      <c r="AM111" s="51"/>
      <c r="AN111" s="51"/>
      <c r="AO111" s="45"/>
      <c r="AP111" s="45"/>
      <c r="AR111" s="45"/>
      <c r="AS111" s="46"/>
    </row>
    <row r="112" spans="1:45">
      <c r="A112" s="365">
        <v>71</v>
      </c>
      <c r="C112" s="310" t="s">
        <v>815</v>
      </c>
      <c r="D112" s="48"/>
      <c r="E112" s="4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U112" s="42"/>
    </row>
    <row r="113" spans="1:49">
      <c r="A113" s="365">
        <v>72</v>
      </c>
      <c r="C113" s="48" t="s">
        <v>880</v>
      </c>
      <c r="F113" s="164">
        <v>0</v>
      </c>
      <c r="G113" s="1"/>
      <c r="H113" s="164"/>
      <c r="I113" s="68"/>
      <c r="J113" s="132">
        <f>ROUND(AC465+(AC465*'Rate SL'!$AG$1),6)</f>
        <v>10.671977</v>
      </c>
      <c r="K113" s="342"/>
      <c r="L113" s="3">
        <f t="shared" ref="L113:L120" si="18">ROUND((F113*J113),0)</f>
        <v>0</v>
      </c>
      <c r="M113" s="3"/>
      <c r="N113" s="4">
        <v>0</v>
      </c>
      <c r="O113" s="4"/>
      <c r="P113" s="3"/>
      <c r="Q113" s="3"/>
      <c r="R113" s="3">
        <f t="shared" ref="R113:R120" si="19">L113+P113</f>
        <v>0</v>
      </c>
      <c r="U113" s="42"/>
    </row>
    <row r="114" spans="1:49">
      <c r="A114" s="365">
        <v>73</v>
      </c>
      <c r="C114" s="48" t="s">
        <v>881</v>
      </c>
      <c r="F114" s="164">
        <v>0</v>
      </c>
      <c r="G114" s="1"/>
      <c r="H114" s="164"/>
      <c r="I114" s="68"/>
      <c r="J114" s="132">
        <f>ROUND(AC466+(AC466*'Rate SL'!$AG$1),6)</f>
        <v>9.9292809999999996</v>
      </c>
      <c r="K114" s="342"/>
      <c r="L114" s="3">
        <f t="shared" si="18"/>
        <v>0</v>
      </c>
      <c r="M114" s="3"/>
      <c r="N114" s="4">
        <v>0</v>
      </c>
      <c r="O114" s="4"/>
      <c r="P114" s="3"/>
      <c r="Q114" s="3"/>
      <c r="R114" s="3">
        <f t="shared" si="19"/>
        <v>0</v>
      </c>
      <c r="U114" s="42"/>
    </row>
    <row r="115" spans="1:49">
      <c r="A115" s="365">
        <v>74</v>
      </c>
      <c r="C115" s="48" t="s">
        <v>882</v>
      </c>
      <c r="F115" s="164">
        <v>0</v>
      </c>
      <c r="G115" s="1"/>
      <c r="H115" s="164"/>
      <c r="I115" s="68"/>
      <c r="J115" s="132">
        <f>ROUND(AC467+(AC467*'Rate SL'!$AG$1),6)</f>
        <v>12.374466</v>
      </c>
      <c r="K115" s="342"/>
      <c r="L115" s="3">
        <f t="shared" si="18"/>
        <v>0</v>
      </c>
      <c r="M115" s="3"/>
      <c r="N115" s="4">
        <v>0</v>
      </c>
      <c r="O115" s="4"/>
      <c r="P115" s="3"/>
      <c r="Q115" s="3"/>
      <c r="R115" s="3">
        <f t="shared" si="19"/>
        <v>0</v>
      </c>
      <c r="U115" s="42"/>
    </row>
    <row r="116" spans="1:49">
      <c r="A116" s="365">
        <v>75</v>
      </c>
      <c r="C116" s="48" t="s">
        <v>883</v>
      </c>
      <c r="F116" s="164">
        <v>0</v>
      </c>
      <c r="G116" s="1"/>
      <c r="H116" s="164"/>
      <c r="I116" s="68"/>
      <c r="J116" s="132">
        <f>ROUND(AC468+(AC468*'Rate SL'!$AG$1),6)</f>
        <v>10.169229</v>
      </c>
      <c r="K116" s="342"/>
      <c r="L116" s="3">
        <f t="shared" si="18"/>
        <v>0</v>
      </c>
      <c r="M116" s="3"/>
      <c r="N116" s="4">
        <v>0</v>
      </c>
      <c r="O116" s="4"/>
      <c r="P116" s="3"/>
      <c r="Q116" s="3"/>
      <c r="R116" s="3">
        <f t="shared" si="19"/>
        <v>0</v>
      </c>
      <c r="U116" s="42"/>
    </row>
    <row r="117" spans="1:49">
      <c r="A117" s="365">
        <v>76</v>
      </c>
      <c r="C117" s="48" t="s">
        <v>884</v>
      </c>
      <c r="F117" s="164">
        <v>0</v>
      </c>
      <c r="G117" s="1"/>
      <c r="H117" s="164"/>
      <c r="I117" s="68"/>
      <c r="J117" s="132">
        <f>ROUND(AC469+(AC469*'Rate SL'!$AG$1),6)</f>
        <v>13.197146</v>
      </c>
      <c r="K117" s="342"/>
      <c r="L117" s="3">
        <f t="shared" si="18"/>
        <v>0</v>
      </c>
      <c r="M117" s="3"/>
      <c r="N117" s="4">
        <v>0</v>
      </c>
      <c r="O117" s="4"/>
      <c r="P117" s="3"/>
      <c r="Q117" s="3"/>
      <c r="R117" s="3">
        <f t="shared" si="19"/>
        <v>0</v>
      </c>
      <c r="U117" s="42"/>
    </row>
    <row r="118" spans="1:49">
      <c r="A118" s="365">
        <v>77</v>
      </c>
      <c r="C118" s="48" t="s">
        <v>885</v>
      </c>
      <c r="F118" s="164">
        <v>0</v>
      </c>
      <c r="G118" s="1"/>
      <c r="H118" s="164"/>
      <c r="I118" s="68"/>
      <c r="J118" s="132">
        <f>ROUND(AC470+(AC470*'Rate SL'!$AG$1),6)</f>
        <v>13.425668</v>
      </c>
      <c r="K118" s="342"/>
      <c r="L118" s="3">
        <f t="shared" si="18"/>
        <v>0</v>
      </c>
      <c r="M118" s="3"/>
      <c r="N118" s="4">
        <v>0</v>
      </c>
      <c r="O118" s="4"/>
      <c r="P118" s="3"/>
      <c r="Q118" s="3"/>
      <c r="R118" s="3">
        <f t="shared" si="19"/>
        <v>0</v>
      </c>
      <c r="U118" s="42"/>
    </row>
    <row r="119" spans="1:49">
      <c r="A119" s="365">
        <v>78</v>
      </c>
      <c r="C119" s="48" t="s">
        <v>886</v>
      </c>
      <c r="F119" s="164">
        <v>0</v>
      </c>
      <c r="G119" s="1"/>
      <c r="H119" s="164"/>
      <c r="I119" s="68"/>
      <c r="J119" s="132">
        <f>ROUND(AC471+(AC471*'Rate SL'!$AG$1),6)</f>
        <v>16.647828000000001</v>
      </c>
      <c r="K119" s="342"/>
      <c r="L119" s="3">
        <f t="shared" si="18"/>
        <v>0</v>
      </c>
      <c r="M119" s="3"/>
      <c r="N119" s="4">
        <v>0</v>
      </c>
      <c r="O119" s="4"/>
      <c r="P119" s="3"/>
      <c r="Q119" s="3"/>
      <c r="R119" s="3">
        <f t="shared" si="19"/>
        <v>0</v>
      </c>
      <c r="U119" s="42"/>
    </row>
    <row r="120" spans="1:49">
      <c r="A120" s="365">
        <v>79</v>
      </c>
      <c r="C120" s="48" t="s">
        <v>887</v>
      </c>
      <c r="F120" s="164">
        <v>0</v>
      </c>
      <c r="G120" s="1"/>
      <c r="H120" s="164"/>
      <c r="I120" s="68"/>
      <c r="J120" s="132">
        <f>ROUND(AC472+(AC472*'Rate SL'!$AG$1),6)</f>
        <v>15.253844000000001</v>
      </c>
      <c r="K120" s="342"/>
      <c r="L120" s="3">
        <f t="shared" si="18"/>
        <v>0</v>
      </c>
      <c r="M120" s="3"/>
      <c r="N120" s="4">
        <v>0</v>
      </c>
      <c r="O120" s="4"/>
      <c r="P120" s="3"/>
      <c r="Q120" s="3"/>
      <c r="R120" s="3">
        <f t="shared" si="19"/>
        <v>0</v>
      </c>
      <c r="U120" s="42"/>
    </row>
    <row r="121" spans="1:49" ht="20.100000000000001" customHeight="1">
      <c r="A121" s="365">
        <v>80</v>
      </c>
      <c r="C121" s="48" t="s">
        <v>888</v>
      </c>
      <c r="F121" s="164">
        <v>0</v>
      </c>
      <c r="G121" s="1"/>
      <c r="H121" s="164"/>
      <c r="I121" s="3"/>
      <c r="J121" s="132">
        <f>ROUND(AC473+(AC473*'Rate SL'!$AG$1),6)</f>
        <v>22.258043000000001</v>
      </c>
      <c r="K121" s="5"/>
      <c r="L121" s="3">
        <f t="shared" ref="L121:L227" si="20">ROUND((F121*J121),0)</f>
        <v>0</v>
      </c>
      <c r="M121" s="3"/>
      <c r="N121" s="4">
        <v>0</v>
      </c>
      <c r="O121" s="6"/>
      <c r="P121" s="3"/>
      <c r="Q121" s="3"/>
      <c r="R121" s="3">
        <f t="shared" ref="R121:R227" si="21">L121+P121</f>
        <v>0</v>
      </c>
      <c r="AE121" s="44"/>
      <c r="AF121" s="44"/>
      <c r="AG121" s="102"/>
      <c r="AH121" s="44"/>
      <c r="AI121" s="44"/>
      <c r="AJ121" s="44"/>
      <c r="AK121" s="102"/>
      <c r="AL121" s="44"/>
      <c r="AM121" s="44"/>
      <c r="AN121" s="44"/>
      <c r="AR121" s="44"/>
      <c r="AS121" s="44"/>
    </row>
    <row r="122" spans="1:49">
      <c r="A122" s="365">
        <v>81</v>
      </c>
      <c r="C122" s="48" t="s">
        <v>889</v>
      </c>
      <c r="D122" s="48"/>
      <c r="E122" s="42"/>
      <c r="F122" s="164">
        <v>0</v>
      </c>
      <c r="G122" s="1"/>
      <c r="H122" s="164"/>
      <c r="I122" s="1"/>
      <c r="J122" s="132">
        <f>ROUND(AC474+(AC474*'Rate SL'!$AG$1),6)</f>
        <v>17.699028999999999</v>
      </c>
      <c r="K122" s="1"/>
      <c r="L122" s="3">
        <f t="shared" si="20"/>
        <v>0</v>
      </c>
      <c r="M122" s="1"/>
      <c r="N122" s="4">
        <v>0</v>
      </c>
      <c r="O122" s="1"/>
      <c r="P122" s="3"/>
      <c r="Q122" s="1"/>
      <c r="R122" s="3">
        <f t="shared" si="21"/>
        <v>0</v>
      </c>
      <c r="U122" s="42"/>
    </row>
    <row r="123" spans="1:49">
      <c r="A123" s="365">
        <v>82</v>
      </c>
      <c r="C123" s="48" t="s">
        <v>890</v>
      </c>
      <c r="F123" s="164">
        <v>0</v>
      </c>
      <c r="G123" s="1"/>
      <c r="H123" s="164"/>
      <c r="I123" s="1"/>
      <c r="J123" s="132">
        <f>ROUND(AC475+(AC475*'Rate SL'!$AG$1),6)</f>
        <v>22.840774</v>
      </c>
      <c r="K123" s="5"/>
      <c r="L123" s="3">
        <f t="shared" si="20"/>
        <v>0</v>
      </c>
      <c r="M123" s="1"/>
      <c r="N123" s="4">
        <v>0</v>
      </c>
      <c r="O123" s="1"/>
      <c r="P123" s="3"/>
      <c r="Q123" s="1"/>
      <c r="R123" s="3">
        <f t="shared" si="21"/>
        <v>0</v>
      </c>
      <c r="V123" s="44"/>
      <c r="X123" s="44"/>
      <c r="Y123" s="44"/>
      <c r="Z123" s="44"/>
      <c r="AD123" s="44"/>
      <c r="AE123" s="44"/>
      <c r="AF123" s="44"/>
      <c r="AG123" s="102"/>
      <c r="AH123" s="44"/>
      <c r="AI123" s="44"/>
      <c r="AJ123" s="44"/>
      <c r="AK123" s="102"/>
      <c r="AL123" s="44"/>
      <c r="AM123" s="44"/>
      <c r="AN123" s="44"/>
      <c r="AO123" s="44"/>
      <c r="AP123" s="44"/>
      <c r="AR123" s="44"/>
      <c r="AS123" s="44"/>
      <c r="AU123" s="45"/>
      <c r="AV123" s="45"/>
      <c r="AW123" s="46"/>
    </row>
    <row r="124" spans="1:49">
      <c r="A124" s="365">
        <v>83</v>
      </c>
      <c r="C124" s="48" t="s">
        <v>891</v>
      </c>
      <c r="F124" s="164">
        <v>0</v>
      </c>
      <c r="G124" s="1"/>
      <c r="H124" s="164"/>
      <c r="I124" s="1"/>
      <c r="J124" s="132">
        <f>ROUND(AC476+(AC476*'Rate SL'!$AG$1),6)</f>
        <v>21.686737999999998</v>
      </c>
      <c r="K124" s="5"/>
      <c r="L124" s="3">
        <f t="shared" si="20"/>
        <v>0</v>
      </c>
      <c r="M124" s="1"/>
      <c r="N124" s="4">
        <v>0</v>
      </c>
      <c r="O124" s="1"/>
      <c r="P124" s="3"/>
      <c r="Q124" s="1"/>
      <c r="R124" s="3">
        <f t="shared" si="21"/>
        <v>0</v>
      </c>
      <c r="AD124" s="44"/>
      <c r="AE124" s="44"/>
      <c r="AF124" s="44"/>
      <c r="AG124" s="102"/>
      <c r="AH124" s="44"/>
      <c r="AI124" s="44"/>
      <c r="AJ124" s="44"/>
      <c r="AK124" s="102"/>
      <c r="AL124" s="44"/>
      <c r="AM124" s="44"/>
      <c r="AN124" s="44"/>
      <c r="AO124" s="44"/>
      <c r="AP124" s="44"/>
      <c r="AR124" s="44"/>
      <c r="AS124" s="44"/>
      <c r="AU124" s="45"/>
      <c r="AV124" s="45"/>
      <c r="AW124" s="335"/>
    </row>
    <row r="125" spans="1:49">
      <c r="A125" s="365">
        <v>84</v>
      </c>
      <c r="C125" s="48" t="s">
        <v>892</v>
      </c>
      <c r="F125" s="164">
        <v>0</v>
      </c>
      <c r="G125" s="1"/>
      <c r="H125" s="164"/>
      <c r="I125" s="68"/>
      <c r="J125" s="132">
        <f>ROUND(AC477+(AC477*'Rate SL'!$AG$1),6)</f>
        <v>12.123092</v>
      </c>
      <c r="K125" s="342"/>
      <c r="L125" s="3">
        <f t="shared" si="20"/>
        <v>0</v>
      </c>
      <c r="M125" s="3"/>
      <c r="N125" s="4">
        <v>0</v>
      </c>
      <c r="O125" s="4"/>
      <c r="P125" s="3"/>
      <c r="Q125" s="3"/>
      <c r="R125" s="3">
        <f t="shared" si="21"/>
        <v>0</v>
      </c>
      <c r="S125" s="1"/>
      <c r="V125" s="132"/>
      <c r="X125" s="42"/>
      <c r="Y125" s="387"/>
      <c r="Z125" s="42"/>
      <c r="AU125" s="45"/>
      <c r="AV125" s="45"/>
      <c r="AW125" s="46"/>
    </row>
    <row r="126" spans="1:49">
      <c r="A126" s="365">
        <v>85</v>
      </c>
      <c r="C126" s="48" t="s">
        <v>893</v>
      </c>
      <c r="F126" s="164">
        <v>0</v>
      </c>
      <c r="G126" s="1"/>
      <c r="H126" s="164"/>
      <c r="I126" s="68"/>
      <c r="J126" s="132">
        <f>ROUND(AC478+(AC478*'Rate SL'!$AG$1),6)</f>
        <v>14.751094999999999</v>
      </c>
      <c r="K126" s="342"/>
      <c r="L126" s="3">
        <f t="shared" si="20"/>
        <v>0</v>
      </c>
      <c r="M126" s="3"/>
      <c r="N126" s="4">
        <v>0</v>
      </c>
      <c r="O126" s="4"/>
      <c r="P126" s="3"/>
      <c r="Q126" s="3"/>
      <c r="R126" s="3">
        <f t="shared" si="21"/>
        <v>0</v>
      </c>
      <c r="S126" s="1"/>
      <c r="V126" s="132"/>
      <c r="X126" s="42"/>
      <c r="Y126" s="387"/>
      <c r="Z126" s="42"/>
      <c r="AU126" s="45"/>
      <c r="AV126" s="45"/>
      <c r="AW126" s="46"/>
    </row>
    <row r="127" spans="1:49">
      <c r="A127" s="365">
        <v>86</v>
      </c>
      <c r="C127" s="48" t="s">
        <v>894</v>
      </c>
      <c r="F127" s="164">
        <v>0</v>
      </c>
      <c r="G127" s="1"/>
      <c r="H127" s="164"/>
      <c r="I127" s="68"/>
      <c r="J127" s="132">
        <f>ROUND(AC479+(AC479*'Rate SL'!$AG$1),6)</f>
        <v>17.870419999999999</v>
      </c>
      <c r="K127" s="342"/>
      <c r="L127" s="3">
        <f t="shared" si="20"/>
        <v>0</v>
      </c>
      <c r="M127" s="3"/>
      <c r="N127" s="4">
        <v>0</v>
      </c>
      <c r="O127" s="4"/>
      <c r="P127" s="3"/>
      <c r="Q127" s="3"/>
      <c r="R127" s="3">
        <f t="shared" si="21"/>
        <v>0</v>
      </c>
      <c r="S127" s="1"/>
      <c r="V127" s="132"/>
      <c r="X127" s="42"/>
      <c r="Y127" s="387"/>
      <c r="Z127" s="42"/>
      <c r="AU127" s="45"/>
      <c r="AV127" s="45"/>
      <c r="AW127" s="46"/>
    </row>
    <row r="128" spans="1:49">
      <c r="A128" s="365">
        <v>87</v>
      </c>
      <c r="C128" s="48" t="s">
        <v>895</v>
      </c>
      <c r="F128" s="164">
        <v>0</v>
      </c>
      <c r="G128" s="1"/>
      <c r="H128" s="164"/>
      <c r="I128" s="68"/>
      <c r="J128" s="132">
        <f>ROUND(AC480+(AC480*'Rate SL'!$AG$1),6)</f>
        <v>16.853497999999998</v>
      </c>
      <c r="K128" s="342"/>
      <c r="L128" s="3">
        <f t="shared" si="20"/>
        <v>0</v>
      </c>
      <c r="M128" s="3"/>
      <c r="N128" s="4">
        <v>0</v>
      </c>
      <c r="O128" s="4"/>
      <c r="P128" s="3"/>
      <c r="Q128" s="3"/>
      <c r="R128" s="3">
        <f t="shared" si="21"/>
        <v>0</v>
      </c>
      <c r="S128" s="1"/>
      <c r="V128" s="132"/>
      <c r="Y128" s="387"/>
      <c r="AE128" s="53"/>
      <c r="AF128" s="53"/>
      <c r="AH128" s="45"/>
      <c r="AR128" s="45"/>
      <c r="AU128" s="45"/>
      <c r="AV128" s="45"/>
      <c r="AW128" s="46"/>
    </row>
    <row r="129" spans="1:49">
      <c r="A129" s="365">
        <v>88</v>
      </c>
      <c r="C129" s="48" t="s">
        <v>896</v>
      </c>
      <c r="F129" s="164">
        <v>0</v>
      </c>
      <c r="G129" s="1"/>
      <c r="H129" s="164"/>
      <c r="I129" s="68"/>
      <c r="J129" s="132">
        <f>ROUND(AC481+(AC481*'Rate SL'!$AG$1),6)</f>
        <v>37.660426000000001</v>
      </c>
      <c r="K129" s="342"/>
      <c r="L129" s="3">
        <f t="shared" si="20"/>
        <v>0</v>
      </c>
      <c r="M129" s="3"/>
      <c r="N129" s="4">
        <v>0</v>
      </c>
      <c r="O129" s="4"/>
      <c r="P129" s="3"/>
      <c r="Q129" s="3"/>
      <c r="R129" s="3">
        <f t="shared" si="21"/>
        <v>0</v>
      </c>
      <c r="S129" s="1"/>
      <c r="V129" s="132"/>
      <c r="Y129" s="387"/>
      <c r="AD129" s="45"/>
      <c r="AE129" s="316"/>
      <c r="AF129" s="316"/>
      <c r="AH129" s="45"/>
      <c r="AI129" s="46"/>
      <c r="AJ129" s="46"/>
      <c r="AL129" s="45"/>
      <c r="AM129" s="51"/>
      <c r="AN129" s="51"/>
      <c r="AO129" s="45"/>
      <c r="AP129" s="45"/>
      <c r="AR129" s="45"/>
      <c r="AS129" s="46"/>
      <c r="AT129" s="45"/>
      <c r="AU129" s="45"/>
      <c r="AV129" s="45"/>
      <c r="AW129" s="46"/>
    </row>
    <row r="130" spans="1:49">
      <c r="A130" s="365">
        <v>89</v>
      </c>
      <c r="C130" s="48" t="s">
        <v>897</v>
      </c>
      <c r="F130" s="164">
        <v>0</v>
      </c>
      <c r="G130" s="1"/>
      <c r="H130" s="164"/>
      <c r="I130" s="68"/>
      <c r="J130" s="132">
        <f>ROUND(AC482+(AC482*'Rate SL'!$AG$1),6)</f>
        <v>43.727685000000001</v>
      </c>
      <c r="K130" s="342"/>
      <c r="L130" s="3">
        <f t="shared" si="20"/>
        <v>0</v>
      </c>
      <c r="M130" s="3"/>
      <c r="N130" s="4">
        <v>0</v>
      </c>
      <c r="O130" s="4"/>
      <c r="P130" s="3"/>
      <c r="Q130" s="3"/>
      <c r="R130" s="3">
        <f t="shared" si="21"/>
        <v>0</v>
      </c>
      <c r="S130" s="1"/>
      <c r="V130" s="132"/>
      <c r="X130" s="42"/>
      <c r="Y130" s="387"/>
      <c r="Z130" s="42"/>
      <c r="AU130" s="45"/>
      <c r="AV130" s="45"/>
      <c r="AW130" s="46"/>
    </row>
    <row r="131" spans="1:49">
      <c r="A131" s="365">
        <v>90</v>
      </c>
      <c r="C131" s="48" t="s">
        <v>898</v>
      </c>
      <c r="F131" s="164">
        <v>0</v>
      </c>
      <c r="G131" s="1"/>
      <c r="H131" s="164"/>
      <c r="I131" s="68"/>
      <c r="J131" s="132">
        <f>ROUND(AC483+(AC483*'Rate SL'!$AG$1),6)</f>
        <v>14.076955</v>
      </c>
      <c r="K131" s="342"/>
      <c r="L131" s="3">
        <f t="shared" si="20"/>
        <v>0</v>
      </c>
      <c r="M131" s="3"/>
      <c r="N131" s="4">
        <v>0</v>
      </c>
      <c r="O131" s="4"/>
      <c r="P131" s="3"/>
      <c r="Q131" s="3"/>
      <c r="R131" s="3">
        <f t="shared" si="21"/>
        <v>0</v>
      </c>
      <c r="S131" s="1"/>
      <c r="V131" s="132"/>
      <c r="Y131" s="387"/>
      <c r="AR131" s="45"/>
      <c r="AU131" s="45"/>
      <c r="AV131" s="45"/>
      <c r="AW131" s="46"/>
    </row>
    <row r="132" spans="1:49">
      <c r="A132" s="365"/>
      <c r="C132" s="48"/>
      <c r="F132" s="164"/>
      <c r="G132" s="1"/>
      <c r="H132" s="164"/>
      <c r="I132" s="68"/>
      <c r="J132" s="132"/>
      <c r="K132" s="342"/>
      <c r="L132" s="3"/>
      <c r="M132" s="3"/>
      <c r="N132" s="4"/>
      <c r="O132" s="4"/>
      <c r="P132" s="3"/>
      <c r="Q132" s="3"/>
      <c r="R132" s="3"/>
      <c r="S132" s="1"/>
      <c r="V132" s="132"/>
      <c r="Y132" s="387"/>
      <c r="AR132" s="45"/>
      <c r="AU132" s="45"/>
      <c r="AV132" s="45"/>
      <c r="AW132" s="46"/>
    </row>
    <row r="133" spans="1:49">
      <c r="A133" s="140" t="s">
        <v>76</v>
      </c>
      <c r="C133" s="48"/>
      <c r="F133" s="164"/>
      <c r="G133" s="1"/>
      <c r="H133" s="164"/>
      <c r="I133" s="68"/>
      <c r="J133" s="132"/>
      <c r="K133" s="342"/>
      <c r="L133" s="3"/>
      <c r="M133" s="3"/>
      <c r="N133" s="4"/>
      <c r="O133" s="4"/>
      <c r="P133" s="3"/>
      <c r="Q133" s="3"/>
      <c r="R133" s="3"/>
      <c r="S133" s="1"/>
      <c r="V133" s="132"/>
      <c r="Y133" s="387"/>
      <c r="AR133" s="45"/>
      <c r="AU133" s="45"/>
      <c r="AV133" s="45"/>
      <c r="AW133" s="46"/>
    </row>
    <row r="134" spans="1:49">
      <c r="A134" s="140" t="str">
        <f>"(1A) REFLECTS FUEL COST RECOVERY INCLUDED IN BASE RATES OF "&amp;TEXT(CUR_BASE_FUEL,"$0.000000;($0.000000)")&amp;"  PER KWH."</f>
        <v>(1A) REFLECTS FUEL COST RECOVERY INCLUDED IN BASE RATES OF $0.033780  PER KWH.</v>
      </c>
      <c r="C134" s="48"/>
      <c r="F134" s="164"/>
      <c r="G134" s="1"/>
      <c r="H134" s="164"/>
      <c r="I134" s="68"/>
      <c r="J134" s="132"/>
      <c r="K134" s="342"/>
      <c r="L134" s="3"/>
      <c r="M134" s="3"/>
      <c r="N134" s="4"/>
      <c r="O134" s="4"/>
      <c r="P134" s="3"/>
      <c r="Q134" s="3"/>
      <c r="R134" s="3"/>
      <c r="S134" s="1"/>
      <c r="V134" s="132"/>
      <c r="Y134" s="387"/>
      <c r="AR134" s="45"/>
      <c r="AU134" s="45"/>
      <c r="AV134" s="45"/>
      <c r="AW134" s="46"/>
    </row>
    <row r="135" spans="1:49">
      <c r="A135" s="140" t="str">
        <f>"(2) REFLECTS FUEL COMPONENT OF "&amp;TEXT(CUR_FAC,"$0.000000;($0.000000)")&amp;"  PER KWH."</f>
        <v>(2) REFLECTS FUEL COMPONENT OF $0.003487  PER KWH.</v>
      </c>
      <c r="C135" s="48"/>
      <c r="F135" s="164"/>
      <c r="G135" s="1"/>
      <c r="H135" s="164"/>
      <c r="I135" s="68"/>
      <c r="J135" s="132"/>
      <c r="K135" s="342"/>
      <c r="L135" s="3"/>
      <c r="M135" s="3"/>
      <c r="N135" s="4"/>
      <c r="O135" s="4"/>
      <c r="P135" s="3"/>
      <c r="Q135" s="3"/>
      <c r="R135" s="3"/>
      <c r="S135" s="1"/>
      <c r="V135" s="132"/>
      <c r="Y135" s="387"/>
      <c r="AR135" s="45"/>
      <c r="AU135" s="45"/>
      <c r="AV135" s="45"/>
      <c r="AW135" s="46"/>
    </row>
    <row r="136" spans="1:49">
      <c r="A136" s="365"/>
      <c r="C136" s="48"/>
      <c r="F136" s="164"/>
      <c r="G136" s="1"/>
      <c r="H136" s="164"/>
      <c r="I136" s="68"/>
      <c r="J136" s="132"/>
      <c r="K136" s="342"/>
      <c r="L136" s="3"/>
      <c r="M136" s="3"/>
      <c r="N136" s="4"/>
      <c r="O136" s="4"/>
      <c r="P136" s="3"/>
      <c r="Q136" s="3"/>
      <c r="R136" s="3"/>
      <c r="S136" s="1"/>
      <c r="V136" s="132"/>
      <c r="Y136" s="387"/>
      <c r="AR136" s="45"/>
      <c r="AU136" s="45"/>
      <c r="AV136" s="45"/>
      <c r="AW136" s="46"/>
    </row>
    <row r="137" spans="1:49">
      <c r="A137" s="40" t="str">
        <f>NAME</f>
        <v>DUKE ENERGY KENTUCKY, INC.</v>
      </c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1"/>
      <c r="V137" s="132"/>
      <c r="Y137" s="387"/>
      <c r="AR137" s="45"/>
      <c r="AU137" s="45"/>
      <c r="AV137" s="45"/>
      <c r="AW137" s="46"/>
    </row>
    <row r="138" spans="1:49">
      <c r="A138" s="40" t="str">
        <f>CASE_NO</f>
        <v>CASE NO.   2024-00354</v>
      </c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1"/>
      <c r="V138" s="132"/>
      <c r="Y138" s="387"/>
      <c r="AR138" s="45"/>
      <c r="AU138" s="45"/>
      <c r="AV138" s="45"/>
      <c r="AW138" s="46"/>
    </row>
    <row r="139" spans="1:49">
      <c r="A139" s="40" t="str">
        <f>TITLE</f>
        <v>ANNUALIZED TEST YEAR REVENUES AT PROPOSED VS. MOST CURRENT RATES</v>
      </c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1"/>
      <c r="V139" s="132"/>
      <c r="Y139" s="387"/>
      <c r="AR139" s="45"/>
      <c r="AU139" s="45"/>
      <c r="AV139" s="45"/>
      <c r="AW139" s="46"/>
    </row>
    <row r="140" spans="1:49">
      <c r="A140" s="40" t="str">
        <f>DATE</f>
        <v>FOR THE TWELVE MONTHS ENDED June 30, 2026</v>
      </c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1"/>
      <c r="V140" s="132"/>
      <c r="Y140" s="387"/>
      <c r="AR140" s="45"/>
      <c r="AU140" s="45"/>
      <c r="AV140" s="45"/>
      <c r="AW140" s="46"/>
    </row>
    <row r="141" spans="1:49">
      <c r="A141" s="40" t="str">
        <f>SERVICE</f>
        <v>(ELECTRIC SERVICE)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1"/>
      <c r="V141" s="132"/>
      <c r="Y141" s="387"/>
      <c r="AR141" s="45"/>
      <c r="AU141" s="45"/>
      <c r="AV141" s="45"/>
      <c r="AW141" s="46"/>
    </row>
    <row r="142" spans="1:49">
      <c r="A142" s="41" t="str">
        <f>DATA_PERIOD</f>
        <v>DATA: ____ BASE PERIOD   __X__FORECASTED PERIOD</v>
      </c>
      <c r="R142" s="42" t="s">
        <v>156</v>
      </c>
      <c r="S142" s="1"/>
      <c r="V142" s="132"/>
      <c r="Y142" s="387"/>
      <c r="AR142" s="45"/>
      <c r="AU142" s="45"/>
      <c r="AV142" s="45"/>
      <c r="AW142" s="46"/>
    </row>
    <row r="143" spans="1:49">
      <c r="A143" s="41" t="str">
        <f>TYPE</f>
        <v>TYPE OF FILING: _X_ ORIGINAL   ___UPDATED  ___ REVISED</v>
      </c>
      <c r="R143" s="48" t="str">
        <f>"PAGE 22 OF "&amp;TEXT(Page_Num_2.3,"00")</f>
        <v>PAGE 22 OF 24</v>
      </c>
      <c r="S143" s="1"/>
      <c r="V143" s="132"/>
      <c r="Y143" s="387"/>
      <c r="AR143" s="45"/>
      <c r="AU143" s="45"/>
      <c r="AV143" s="45"/>
      <c r="AW143" s="46"/>
    </row>
    <row r="144" spans="1:49">
      <c r="A144" s="42" t="s">
        <v>170</v>
      </c>
      <c r="R144" s="42" t="s">
        <v>3</v>
      </c>
      <c r="S144" s="1"/>
      <c r="V144" s="132"/>
      <c r="Y144" s="387"/>
      <c r="AR144" s="45"/>
      <c r="AU144" s="45"/>
      <c r="AV144" s="45"/>
      <c r="AW144" s="46"/>
    </row>
    <row r="145" spans="1:49">
      <c r="A145" s="130" t="str">
        <f>TIME</f>
        <v>12 Months Projected with Riders</v>
      </c>
      <c r="M145" s="42"/>
      <c r="R145" s="41" t="str">
        <f>WIT</f>
        <v>B. L. Sailers</v>
      </c>
      <c r="S145" s="1"/>
      <c r="V145" s="132"/>
      <c r="Y145" s="387"/>
      <c r="AR145" s="45"/>
      <c r="AU145" s="45"/>
      <c r="AV145" s="45"/>
      <c r="AW145" s="46"/>
    </row>
    <row r="146" spans="1:49">
      <c r="A146" s="40" t="s">
        <v>129</v>
      </c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"/>
      <c r="V146" s="132"/>
      <c r="Y146" s="387"/>
      <c r="AR146" s="45"/>
      <c r="AU146" s="45"/>
      <c r="AV146" s="45"/>
      <c r="AW146" s="46"/>
    </row>
    <row r="147" spans="1:49">
      <c r="A147" s="49"/>
      <c r="B147" s="49"/>
      <c r="C147" s="49"/>
      <c r="D147" s="49"/>
      <c r="E147" s="49"/>
      <c r="G147" s="49"/>
      <c r="H147" s="49"/>
      <c r="I147" s="49"/>
      <c r="J147" s="49"/>
      <c r="K147" s="49"/>
      <c r="L147" s="43"/>
      <c r="M147" s="43"/>
      <c r="N147" s="43"/>
      <c r="O147" s="43"/>
      <c r="P147" s="43"/>
      <c r="Q147" s="43"/>
      <c r="R147" s="43"/>
      <c r="S147" s="1"/>
      <c r="V147" s="132"/>
      <c r="Y147" s="387"/>
      <c r="AR147" s="45"/>
      <c r="AU147" s="45"/>
      <c r="AV147" s="45"/>
      <c r="AW147" s="46"/>
    </row>
    <row r="148" spans="1:49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44" t="s">
        <v>6</v>
      </c>
      <c r="M148" s="44"/>
      <c r="N148" s="44" t="s">
        <v>7</v>
      </c>
      <c r="O148" s="44"/>
      <c r="R148" s="44" t="s">
        <v>6</v>
      </c>
      <c r="S148" s="1"/>
      <c r="V148" s="132"/>
      <c r="Y148" s="387"/>
      <c r="AR148" s="45"/>
      <c r="AU148" s="45"/>
      <c r="AV148" s="45"/>
      <c r="AW148" s="46"/>
    </row>
    <row r="149" spans="1:49">
      <c r="L149" s="44" t="s">
        <v>12</v>
      </c>
      <c r="M149" s="44"/>
      <c r="N149" s="44" t="s">
        <v>13</v>
      </c>
      <c r="O149" s="44"/>
      <c r="R149" s="44" t="s">
        <v>11</v>
      </c>
      <c r="S149" s="1"/>
      <c r="V149" s="132"/>
      <c r="Y149" s="387"/>
      <c r="AR149" s="45"/>
      <c r="AU149" s="45"/>
      <c r="AV149" s="45"/>
      <c r="AW149" s="46"/>
    </row>
    <row r="150" spans="1:49">
      <c r="A150" s="44" t="s">
        <v>17</v>
      </c>
      <c r="C150" s="44" t="s">
        <v>18</v>
      </c>
      <c r="D150" s="44" t="s">
        <v>19</v>
      </c>
      <c r="E150" s="44"/>
      <c r="F150" s="44" t="s">
        <v>20</v>
      </c>
      <c r="J150" s="40" t="s">
        <v>6</v>
      </c>
      <c r="K150" s="40"/>
      <c r="L150" s="44" t="s">
        <v>841</v>
      </c>
      <c r="M150" s="44"/>
      <c r="N150" s="44" t="s">
        <v>841</v>
      </c>
      <c r="O150" s="44"/>
      <c r="P150" s="44" t="s">
        <v>841</v>
      </c>
      <c r="Q150" s="44"/>
      <c r="R150" s="44" t="s">
        <v>9</v>
      </c>
      <c r="S150" s="1"/>
      <c r="V150" s="132"/>
      <c r="Y150" s="387"/>
      <c r="AR150" s="45"/>
      <c r="AU150" s="45"/>
      <c r="AV150" s="45"/>
      <c r="AW150" s="46"/>
    </row>
    <row r="151" spans="1:49">
      <c r="A151" s="44" t="s">
        <v>22</v>
      </c>
      <c r="C151" s="44" t="s">
        <v>23</v>
      </c>
      <c r="D151" s="44" t="s">
        <v>24</v>
      </c>
      <c r="E151" s="44"/>
      <c r="F151" s="44" t="s">
        <v>25</v>
      </c>
      <c r="H151" s="44" t="s">
        <v>26</v>
      </c>
      <c r="I151" s="44"/>
      <c r="J151" s="60" t="s">
        <v>807</v>
      </c>
      <c r="K151" s="60" t="s">
        <v>808</v>
      </c>
      <c r="L151" s="44" t="s">
        <v>9</v>
      </c>
      <c r="M151" s="44"/>
      <c r="N151" s="44" t="s">
        <v>9</v>
      </c>
      <c r="O151" s="44"/>
      <c r="P151" s="44" t="s">
        <v>323</v>
      </c>
      <c r="Q151" s="44"/>
      <c r="R151" s="304" t="s">
        <v>28</v>
      </c>
      <c r="S151" s="1"/>
      <c r="V151" s="132"/>
      <c r="Y151" s="387"/>
      <c r="AR151" s="45"/>
      <c r="AU151" s="45"/>
      <c r="AV151" s="45"/>
      <c r="AW151" s="46"/>
    </row>
    <row r="152" spans="1:49">
      <c r="C152" s="304" t="s">
        <v>33</v>
      </c>
      <c r="D152" s="304" t="s">
        <v>34</v>
      </c>
      <c r="E152" s="304"/>
      <c r="F152" s="304" t="s">
        <v>35</v>
      </c>
      <c r="G152" s="130"/>
      <c r="H152" s="304" t="s">
        <v>36</v>
      </c>
      <c r="I152" s="304"/>
      <c r="J152" s="307" t="s">
        <v>809</v>
      </c>
      <c r="K152" s="307" t="s">
        <v>810</v>
      </c>
      <c r="L152" s="307" t="s">
        <v>38</v>
      </c>
      <c r="M152" s="304"/>
      <c r="N152" s="307" t="s">
        <v>39</v>
      </c>
      <c r="O152" s="304"/>
      <c r="P152" s="307" t="s">
        <v>40</v>
      </c>
      <c r="Q152" s="304"/>
      <c r="R152" s="307" t="s">
        <v>41</v>
      </c>
      <c r="S152" s="1"/>
      <c r="V152" s="132"/>
      <c r="Y152" s="387"/>
      <c r="AR152" s="45"/>
      <c r="AU152" s="45"/>
      <c r="AV152" s="45"/>
      <c r="AW152" s="46"/>
    </row>
    <row r="153" spans="1:49">
      <c r="A153" s="62"/>
      <c r="B153" s="62"/>
      <c r="C153" s="62"/>
      <c r="D153" s="62"/>
      <c r="E153" s="62"/>
      <c r="F153" s="62"/>
      <c r="G153" s="62"/>
      <c r="H153" s="345" t="s">
        <v>49</v>
      </c>
      <c r="I153" s="345"/>
      <c r="J153" s="344" t="s">
        <v>69</v>
      </c>
      <c r="K153" s="345"/>
      <c r="L153" s="345" t="s">
        <v>50</v>
      </c>
      <c r="M153" s="345"/>
      <c r="N153" s="345" t="s">
        <v>51</v>
      </c>
      <c r="O153" s="345"/>
      <c r="P153" s="345" t="s">
        <v>50</v>
      </c>
      <c r="Q153" s="345"/>
      <c r="R153" s="345" t="s">
        <v>50</v>
      </c>
      <c r="S153" s="1"/>
      <c r="V153" s="132"/>
      <c r="Y153" s="387"/>
      <c r="AR153" s="45"/>
      <c r="AU153" s="45"/>
      <c r="AV153" s="45"/>
      <c r="AW153" s="46"/>
    </row>
    <row r="154" spans="1:49">
      <c r="A154" s="351">
        <v>91</v>
      </c>
      <c r="C154" s="133" t="s">
        <v>795</v>
      </c>
      <c r="D154" s="310" t="s">
        <v>814</v>
      </c>
      <c r="F154" s="164"/>
      <c r="G154" s="1"/>
      <c r="H154" s="164"/>
      <c r="I154" s="68"/>
      <c r="J154" s="132"/>
      <c r="K154" s="132"/>
      <c r="L154" s="3"/>
      <c r="M154" s="3"/>
      <c r="N154" s="4"/>
      <c r="O154" s="4"/>
      <c r="P154" s="3"/>
      <c r="Q154" s="3"/>
      <c r="R154" s="3"/>
      <c r="S154" s="1"/>
      <c r="V154" s="132"/>
      <c r="Y154" s="387"/>
      <c r="AR154" s="45"/>
      <c r="AU154" s="45"/>
      <c r="AV154" s="45"/>
      <c r="AW154" s="46"/>
    </row>
    <row r="155" spans="1:49">
      <c r="A155" s="351">
        <v>92</v>
      </c>
      <c r="C155" s="310" t="s">
        <v>1112</v>
      </c>
      <c r="F155" s="164"/>
      <c r="G155" s="1"/>
      <c r="H155" s="164"/>
      <c r="I155" s="68"/>
      <c r="J155" s="132"/>
      <c r="K155" s="132"/>
      <c r="L155" s="3"/>
      <c r="M155" s="3"/>
      <c r="N155" s="4"/>
      <c r="O155" s="4"/>
      <c r="P155" s="3"/>
      <c r="Q155" s="3"/>
      <c r="R155" s="3"/>
      <c r="S155" s="1"/>
      <c r="V155" s="132"/>
      <c r="Y155" s="387"/>
      <c r="AR155" s="45"/>
      <c r="AU155" s="45"/>
      <c r="AV155" s="45"/>
      <c r="AW155" s="46"/>
    </row>
    <row r="156" spans="1:49">
      <c r="A156" s="351">
        <v>93</v>
      </c>
      <c r="C156" s="48" t="s">
        <v>899</v>
      </c>
      <c r="F156" s="164">
        <v>0</v>
      </c>
      <c r="G156" s="1"/>
      <c r="H156" s="164"/>
      <c r="I156" s="68"/>
      <c r="J156" s="132">
        <f>ROUND(AC508+(AC508*'Rate SL'!$AG$1),6)</f>
        <v>14.751094999999999</v>
      </c>
      <c r="K156" s="342"/>
      <c r="L156" s="3">
        <f t="shared" si="20"/>
        <v>0</v>
      </c>
      <c r="M156" s="3"/>
      <c r="N156" s="4">
        <v>0</v>
      </c>
      <c r="O156" s="4"/>
      <c r="P156" s="3"/>
      <c r="Q156" s="3"/>
      <c r="R156" s="3">
        <f t="shared" si="21"/>
        <v>0</v>
      </c>
      <c r="S156" s="1"/>
      <c r="U156" s="40"/>
      <c r="V156" s="132"/>
      <c r="X156" s="40"/>
      <c r="Y156" s="387"/>
      <c r="Z156" s="40"/>
      <c r="AD156" s="40"/>
      <c r="AE156" s="40"/>
      <c r="AF156" s="40"/>
      <c r="AG156" s="100"/>
      <c r="AH156" s="40"/>
      <c r="AI156" s="40"/>
      <c r="AJ156" s="40"/>
      <c r="AK156" s="100"/>
      <c r="AL156" s="40"/>
      <c r="AM156" s="40"/>
      <c r="AT156" s="45"/>
      <c r="AU156" s="45"/>
      <c r="AV156" s="45"/>
      <c r="AW156" s="46"/>
    </row>
    <row r="157" spans="1:49">
      <c r="A157" s="351">
        <v>94</v>
      </c>
      <c r="C157" s="48" t="s">
        <v>900</v>
      </c>
      <c r="F157" s="164">
        <v>0</v>
      </c>
      <c r="G157" s="1"/>
      <c r="H157" s="164"/>
      <c r="I157" s="68"/>
      <c r="J157" s="132">
        <f>ROUND(AC509+(AC509*'Rate SL'!$AG$1),6)</f>
        <v>17.984680999999998</v>
      </c>
      <c r="K157" s="342"/>
      <c r="L157" s="3">
        <f t="shared" si="20"/>
        <v>0</v>
      </c>
      <c r="M157" s="3"/>
      <c r="N157" s="4">
        <v>0</v>
      </c>
      <c r="O157" s="4"/>
      <c r="P157" s="3"/>
      <c r="Q157" s="3"/>
      <c r="R157" s="3">
        <f t="shared" si="21"/>
        <v>0</v>
      </c>
      <c r="S157" s="1"/>
      <c r="V157" s="132"/>
      <c r="Y157" s="387"/>
      <c r="AU157" s="45"/>
      <c r="AV157" s="45"/>
      <c r="AW157" s="46"/>
    </row>
    <row r="158" spans="1:49">
      <c r="A158" s="351">
        <v>95</v>
      </c>
      <c r="C158" s="48" t="s">
        <v>901</v>
      </c>
      <c r="F158" s="164">
        <v>0</v>
      </c>
      <c r="G158" s="1"/>
      <c r="H158" s="164"/>
      <c r="I158" s="68"/>
      <c r="J158" s="132">
        <f>ROUND(AC510+(AC510*'Rate SL'!$AG$1),6)</f>
        <v>23.903400999999999</v>
      </c>
      <c r="K158" s="342"/>
      <c r="L158" s="3">
        <f t="shared" si="20"/>
        <v>0</v>
      </c>
      <c r="M158" s="3"/>
      <c r="N158" s="4">
        <v>0</v>
      </c>
      <c r="O158" s="4"/>
      <c r="P158" s="3"/>
      <c r="Q158" s="3"/>
      <c r="R158" s="3">
        <f t="shared" si="21"/>
        <v>0</v>
      </c>
      <c r="S158" s="1"/>
      <c r="V158" s="132"/>
      <c r="Y158" s="387"/>
      <c r="AU158" s="45"/>
      <c r="AV158" s="45"/>
      <c r="AW158" s="46"/>
    </row>
    <row r="159" spans="1:49">
      <c r="A159" s="351">
        <v>96</v>
      </c>
      <c r="C159" s="48" t="s">
        <v>902</v>
      </c>
      <c r="F159" s="164">
        <v>0</v>
      </c>
      <c r="G159" s="1"/>
      <c r="H159" s="164"/>
      <c r="I159" s="68"/>
      <c r="J159" s="132">
        <f>ROUND(AC511+(AC511*'Rate SL'!$AG$1),6)</f>
        <v>23.366375000000001</v>
      </c>
      <c r="K159" s="342"/>
      <c r="L159" s="3">
        <f t="shared" si="20"/>
        <v>0</v>
      </c>
      <c r="M159" s="3"/>
      <c r="N159" s="4">
        <v>0</v>
      </c>
      <c r="O159" s="4"/>
      <c r="P159" s="3"/>
      <c r="Q159" s="3"/>
      <c r="R159" s="3">
        <f t="shared" si="21"/>
        <v>0</v>
      </c>
      <c r="V159" s="369"/>
      <c r="Y159" s="387"/>
      <c r="AU159" s="45"/>
      <c r="AV159" s="45"/>
      <c r="AW159" s="46"/>
    </row>
    <row r="160" spans="1:49">
      <c r="A160" s="351">
        <v>97</v>
      </c>
      <c r="C160" s="48" t="s">
        <v>903</v>
      </c>
      <c r="F160" s="164">
        <v>0</v>
      </c>
      <c r="G160" s="1"/>
      <c r="H160" s="164"/>
      <c r="I160" s="68"/>
      <c r="J160" s="132">
        <f>ROUND(AC512+(AC512*'Rate SL'!$AG$1),6)</f>
        <v>24.429002000000001</v>
      </c>
      <c r="K160" s="342"/>
      <c r="L160" s="3">
        <f t="shared" si="20"/>
        <v>0</v>
      </c>
      <c r="M160" s="3"/>
      <c r="N160" s="4">
        <v>0</v>
      </c>
      <c r="O160" s="4"/>
      <c r="P160" s="3"/>
      <c r="Q160" s="3"/>
      <c r="R160" s="3">
        <f t="shared" si="21"/>
        <v>0</v>
      </c>
      <c r="S160" s="1"/>
      <c r="V160" s="132"/>
      <c r="Y160" s="387"/>
      <c r="AU160" s="45"/>
      <c r="AV160" s="45"/>
      <c r="AW160" s="46"/>
    </row>
    <row r="161" spans="1:49">
      <c r="A161" s="351">
        <v>98</v>
      </c>
      <c r="C161" s="48" t="s">
        <v>904</v>
      </c>
      <c r="F161" s="164">
        <v>0</v>
      </c>
      <c r="G161" s="1"/>
      <c r="H161" s="164"/>
      <c r="I161" s="68"/>
      <c r="J161" s="132">
        <f>ROUND(AC513+(AC513*'Rate SL'!$AG$1),6)</f>
        <v>26.977022000000002</v>
      </c>
      <c r="K161" s="342"/>
      <c r="L161" s="3">
        <f t="shared" si="20"/>
        <v>0</v>
      </c>
      <c r="M161" s="3"/>
      <c r="N161" s="4">
        <v>0</v>
      </c>
      <c r="O161" s="4"/>
      <c r="P161" s="3"/>
      <c r="Q161" s="3"/>
      <c r="R161" s="3">
        <f t="shared" si="21"/>
        <v>0</v>
      </c>
      <c r="S161" s="1"/>
      <c r="V161" s="132"/>
      <c r="Y161" s="387"/>
      <c r="AU161" s="45"/>
      <c r="AV161" s="45"/>
      <c r="AW161" s="46"/>
    </row>
    <row r="162" spans="1:49">
      <c r="A162" s="351">
        <v>99</v>
      </c>
      <c r="C162" s="48" t="s">
        <v>817</v>
      </c>
      <c r="F162" s="164">
        <v>0</v>
      </c>
      <c r="G162" s="1"/>
      <c r="H162" s="164"/>
      <c r="I162" s="68"/>
      <c r="J162" s="132">
        <f>ROUND(AC514+(AC514*'Rate SL'!$AG$1),6)</f>
        <v>7.4041129999999997</v>
      </c>
      <c r="K162" s="342"/>
      <c r="L162" s="3">
        <f t="shared" si="20"/>
        <v>0</v>
      </c>
      <c r="M162" s="3"/>
      <c r="N162" s="4">
        <v>0</v>
      </c>
      <c r="O162" s="4"/>
      <c r="P162" s="3"/>
      <c r="Q162" s="3"/>
      <c r="R162" s="3">
        <f t="shared" si="21"/>
        <v>0</v>
      </c>
      <c r="S162" s="1"/>
      <c r="V162" s="132"/>
      <c r="Y162" s="387"/>
      <c r="AU162" s="45"/>
      <c r="AV162" s="45"/>
      <c r="AW162" s="46"/>
    </row>
    <row r="163" spans="1:49">
      <c r="A163" s="351">
        <v>100</v>
      </c>
      <c r="C163" s="48" t="s">
        <v>818</v>
      </c>
      <c r="F163" s="164">
        <v>9</v>
      </c>
      <c r="G163" s="1"/>
      <c r="H163" s="164"/>
      <c r="I163" s="1"/>
      <c r="J163" s="132">
        <f>ROUND(AC515+(AC515*'Rate SL'!$AG$1),6)</f>
        <v>8.2724960000000003</v>
      </c>
      <c r="K163" s="5"/>
      <c r="L163" s="3">
        <f t="shared" si="20"/>
        <v>74</v>
      </c>
      <c r="M163" s="1"/>
      <c r="N163" s="4">
        <v>0</v>
      </c>
      <c r="O163" s="1"/>
      <c r="P163" s="3"/>
      <c r="Q163" s="1"/>
      <c r="R163" s="3">
        <f t="shared" si="21"/>
        <v>74</v>
      </c>
      <c r="V163" s="369"/>
      <c r="Y163" s="387"/>
    </row>
    <row r="164" spans="1:49">
      <c r="A164" s="351">
        <v>101</v>
      </c>
      <c r="C164" s="48" t="s">
        <v>819</v>
      </c>
      <c r="F164" s="164">
        <v>0</v>
      </c>
      <c r="G164" s="1"/>
      <c r="H164" s="164"/>
      <c r="I164" s="68"/>
      <c r="J164" s="132">
        <f>ROUND(AC516+(AC516*'Rate SL'!$AG$1),6)</f>
        <v>9.3808279999999993</v>
      </c>
      <c r="K164" s="342"/>
      <c r="L164" s="3">
        <f t="shared" si="20"/>
        <v>0</v>
      </c>
      <c r="M164" s="3"/>
      <c r="N164" s="4">
        <v>0</v>
      </c>
      <c r="O164" s="4"/>
      <c r="P164" s="3"/>
      <c r="Q164" s="3"/>
      <c r="R164" s="3">
        <f t="shared" si="21"/>
        <v>0</v>
      </c>
      <c r="S164" s="1"/>
      <c r="V164" s="132"/>
      <c r="Y164" s="387"/>
    </row>
    <row r="165" spans="1:49">
      <c r="A165" s="351">
        <v>102</v>
      </c>
      <c r="B165" s="359"/>
      <c r="C165" s="48" t="s">
        <v>820</v>
      </c>
      <c r="D165" s="359"/>
      <c r="F165" s="164">
        <v>0</v>
      </c>
      <c r="G165" s="1"/>
      <c r="H165" s="164"/>
      <c r="I165" s="68"/>
      <c r="J165" s="132">
        <f>ROUND(AC517+(AC517*'Rate SL'!$AG$1),6)</f>
        <v>9.7693159999999999</v>
      </c>
      <c r="K165" s="342"/>
      <c r="L165" s="3">
        <f t="shared" si="20"/>
        <v>0</v>
      </c>
      <c r="M165" s="3"/>
      <c r="N165" s="4">
        <v>0</v>
      </c>
      <c r="O165" s="4"/>
      <c r="P165" s="3"/>
      <c r="Q165" s="3"/>
      <c r="R165" s="3">
        <f t="shared" si="21"/>
        <v>0</v>
      </c>
      <c r="S165" s="1"/>
      <c r="V165" s="132"/>
      <c r="Y165" s="387"/>
    </row>
    <row r="166" spans="1:49">
      <c r="A166" s="351">
        <v>103</v>
      </c>
      <c r="B166" s="359"/>
      <c r="C166" s="48" t="s">
        <v>905</v>
      </c>
      <c r="D166" s="359"/>
      <c r="F166" s="164">
        <v>0</v>
      </c>
      <c r="G166" s="1"/>
      <c r="H166" s="164"/>
      <c r="I166" s="68"/>
      <c r="J166" s="132">
        <f>ROUND(AC518+(AC518*'Rate SL'!$AG$1),6)</f>
        <v>11.483231</v>
      </c>
      <c r="K166" s="342"/>
      <c r="L166" s="3">
        <f t="shared" si="20"/>
        <v>0</v>
      </c>
      <c r="M166" s="3"/>
      <c r="N166" s="4">
        <v>0</v>
      </c>
      <c r="O166" s="4"/>
      <c r="P166" s="3"/>
      <c r="Q166" s="3"/>
      <c r="R166" s="3">
        <f t="shared" si="21"/>
        <v>0</v>
      </c>
      <c r="S166" s="1"/>
      <c r="V166" s="132"/>
      <c r="Y166" s="387"/>
    </row>
    <row r="167" spans="1:49">
      <c r="A167" s="351">
        <v>104</v>
      </c>
      <c r="B167" s="359"/>
      <c r="C167" s="48" t="s">
        <v>906</v>
      </c>
      <c r="D167" s="359"/>
      <c r="F167" s="164">
        <v>0</v>
      </c>
      <c r="G167" s="1"/>
      <c r="H167" s="164"/>
      <c r="I167" s="68"/>
      <c r="J167" s="132">
        <f>ROUND(AC519+(AC519*'Rate SL'!$AG$1),6)</f>
        <v>12.043108999999999</v>
      </c>
      <c r="K167" s="342"/>
      <c r="L167" s="3">
        <f t="shared" si="20"/>
        <v>0</v>
      </c>
      <c r="M167" s="3"/>
      <c r="N167" s="4">
        <v>0</v>
      </c>
      <c r="O167" s="4"/>
      <c r="P167" s="3"/>
      <c r="Q167" s="3"/>
      <c r="R167" s="3">
        <f t="shared" si="21"/>
        <v>0</v>
      </c>
      <c r="S167" s="1"/>
      <c r="V167" s="132"/>
      <c r="Y167" s="387"/>
    </row>
    <row r="168" spans="1:49">
      <c r="A168" s="351">
        <v>105</v>
      </c>
      <c r="B168" s="359"/>
      <c r="C168" s="48" t="s">
        <v>907</v>
      </c>
      <c r="D168" s="359"/>
      <c r="F168" s="164">
        <v>8</v>
      </c>
      <c r="G168" s="1"/>
      <c r="H168" s="164"/>
      <c r="I168" s="68"/>
      <c r="J168" s="132">
        <f>ROUND(AC520+(AC520*'Rate SL'!$AG$1),6)</f>
        <v>9.9292809999999996</v>
      </c>
      <c r="K168" s="342"/>
      <c r="L168" s="3">
        <f t="shared" si="20"/>
        <v>79</v>
      </c>
      <c r="M168" s="3"/>
      <c r="N168" s="4">
        <v>0</v>
      </c>
      <c r="O168" s="4"/>
      <c r="P168" s="3"/>
      <c r="Q168" s="3"/>
      <c r="R168" s="3">
        <f t="shared" si="21"/>
        <v>79</v>
      </c>
      <c r="S168" s="1"/>
      <c r="V168" s="132"/>
      <c r="Y168" s="387"/>
    </row>
    <row r="169" spans="1:49">
      <c r="A169" s="351">
        <v>106</v>
      </c>
      <c r="B169" s="359"/>
      <c r="C169" s="48" t="s">
        <v>908</v>
      </c>
      <c r="D169" s="359"/>
      <c r="F169" s="164">
        <v>0</v>
      </c>
      <c r="G169" s="1"/>
      <c r="H169" s="164"/>
      <c r="I169" s="68"/>
      <c r="J169" s="132">
        <f>ROUND(AC521+(AC521*'Rate SL'!$AG$1),6)</f>
        <v>11.723179</v>
      </c>
      <c r="K169" s="342"/>
      <c r="L169" s="3">
        <f t="shared" si="20"/>
        <v>0</v>
      </c>
      <c r="M169" s="3"/>
      <c r="N169" s="4">
        <v>0</v>
      </c>
      <c r="O169" s="4"/>
      <c r="P169" s="3"/>
      <c r="Q169" s="3"/>
      <c r="R169" s="3">
        <f t="shared" si="21"/>
        <v>0</v>
      </c>
      <c r="S169" s="1"/>
      <c r="V169" s="132"/>
      <c r="Y169" s="387"/>
    </row>
    <row r="170" spans="1:49">
      <c r="A170" s="351">
        <v>107</v>
      </c>
      <c r="B170" s="359"/>
      <c r="C170" s="48" t="s">
        <v>993</v>
      </c>
      <c r="D170" s="359"/>
      <c r="F170" s="164">
        <v>0</v>
      </c>
      <c r="G170" s="1"/>
      <c r="H170" s="164"/>
      <c r="I170" s="68"/>
      <c r="J170" s="132">
        <f>ROUND(AC522+(AC522*'Rate SL'!$AG$1),6)</f>
        <v>16.419305999999999</v>
      </c>
      <c r="K170" s="342"/>
      <c r="L170" s="3">
        <f t="shared" ref="L170:L186" si="22">ROUND((F170*J170),0)</f>
        <v>0</v>
      </c>
      <c r="M170" s="3"/>
      <c r="N170" s="4">
        <v>0</v>
      </c>
      <c r="O170" s="4"/>
      <c r="P170" s="3"/>
      <c r="Q170" s="3"/>
      <c r="R170" s="3">
        <f t="shared" ref="R170:R186" si="23">L170+P170</f>
        <v>0</v>
      </c>
      <c r="S170" s="1"/>
      <c r="V170" s="132"/>
      <c r="Y170" s="387"/>
    </row>
    <row r="171" spans="1:49">
      <c r="A171" s="351">
        <v>108</v>
      </c>
      <c r="B171" s="359"/>
      <c r="C171" s="48" t="s">
        <v>994</v>
      </c>
      <c r="D171" s="359"/>
      <c r="F171" s="164">
        <v>0</v>
      </c>
      <c r="G171" s="1"/>
      <c r="H171" s="164"/>
      <c r="I171" s="68"/>
      <c r="J171" s="132">
        <f>ROUND(AC523+(AC523*'Rate SL'!$AG$1),6)</f>
        <v>24.886046</v>
      </c>
      <c r="K171" s="342"/>
      <c r="L171" s="3">
        <f t="shared" si="22"/>
        <v>0</v>
      </c>
      <c r="M171" s="3"/>
      <c r="N171" s="4">
        <v>0</v>
      </c>
      <c r="O171" s="4"/>
      <c r="P171" s="3"/>
      <c r="Q171" s="3"/>
      <c r="R171" s="3">
        <f t="shared" si="23"/>
        <v>0</v>
      </c>
      <c r="S171" s="1"/>
      <c r="V171" s="132"/>
      <c r="Y171" s="387"/>
    </row>
    <row r="172" spans="1:49">
      <c r="A172" s="351">
        <v>109</v>
      </c>
      <c r="B172" s="359"/>
      <c r="C172" s="48" t="s">
        <v>995</v>
      </c>
      <c r="D172" s="359"/>
      <c r="F172" s="164">
        <v>0</v>
      </c>
      <c r="G172" s="1"/>
      <c r="H172" s="164"/>
      <c r="I172" s="68"/>
      <c r="J172" s="132">
        <f>ROUND(AC524+(AC524*'Rate SL'!$AG$1),6)</f>
        <v>28.028223000000001</v>
      </c>
      <c r="K172" s="342"/>
      <c r="L172" s="3">
        <f t="shared" si="22"/>
        <v>0</v>
      </c>
      <c r="M172" s="3"/>
      <c r="N172" s="4">
        <v>0</v>
      </c>
      <c r="O172" s="4"/>
      <c r="P172" s="3"/>
      <c r="Q172" s="3"/>
      <c r="R172" s="3">
        <f t="shared" si="23"/>
        <v>0</v>
      </c>
      <c r="S172" s="1"/>
      <c r="V172" s="132"/>
      <c r="Y172" s="387"/>
    </row>
    <row r="173" spans="1:49">
      <c r="A173" s="351">
        <v>110</v>
      </c>
      <c r="B173" s="359"/>
      <c r="C173" s="48" t="s">
        <v>996</v>
      </c>
      <c r="D173" s="359"/>
      <c r="F173" s="164">
        <v>0</v>
      </c>
      <c r="G173" s="1"/>
      <c r="H173" s="164"/>
      <c r="I173" s="68"/>
      <c r="J173" s="132">
        <f>ROUND(AC525+(AC525*'Rate SL'!$AG$1),6)</f>
        <v>22.338025999999999</v>
      </c>
      <c r="K173" s="342"/>
      <c r="L173" s="3">
        <f t="shared" si="22"/>
        <v>0</v>
      </c>
      <c r="M173" s="3"/>
      <c r="N173" s="4">
        <v>0</v>
      </c>
      <c r="O173" s="4"/>
      <c r="P173" s="3"/>
      <c r="Q173" s="3"/>
      <c r="R173" s="3">
        <f t="shared" si="23"/>
        <v>0</v>
      </c>
      <c r="S173" s="1"/>
      <c r="V173" s="132"/>
      <c r="Y173" s="387"/>
    </row>
    <row r="174" spans="1:49">
      <c r="A174" s="351">
        <v>111</v>
      </c>
      <c r="B174" s="359"/>
      <c r="C174" s="48" t="s">
        <v>997</v>
      </c>
      <c r="D174" s="359"/>
      <c r="F174" s="164">
        <v>0</v>
      </c>
      <c r="G174" s="1"/>
      <c r="H174" s="164"/>
      <c r="I174" s="68"/>
      <c r="J174" s="132">
        <f>ROUND(AC526+(AC526*'Rate SL'!$AG$1),6)</f>
        <v>23.640601</v>
      </c>
      <c r="K174" s="342"/>
      <c r="L174" s="3">
        <f t="shared" si="22"/>
        <v>0</v>
      </c>
      <c r="M174" s="3"/>
      <c r="N174" s="4">
        <v>0</v>
      </c>
      <c r="O174" s="4"/>
      <c r="P174" s="3"/>
      <c r="Q174" s="3"/>
      <c r="R174" s="3">
        <f t="shared" si="23"/>
        <v>0</v>
      </c>
      <c r="S174" s="1"/>
      <c r="V174" s="132"/>
      <c r="Y174" s="387"/>
    </row>
    <row r="175" spans="1:49">
      <c r="A175" s="351">
        <v>112</v>
      </c>
      <c r="B175" s="359"/>
      <c r="C175" s="48" t="s">
        <v>998</v>
      </c>
      <c r="D175" s="359"/>
      <c r="F175" s="164">
        <v>0</v>
      </c>
      <c r="G175" s="1"/>
      <c r="H175" s="164"/>
      <c r="I175" s="68"/>
      <c r="J175" s="132">
        <f>ROUND(AC527+(AC527*'Rate SL'!$AG$1),6)</f>
        <v>22.612252000000002</v>
      </c>
      <c r="K175" s="342"/>
      <c r="L175" s="3">
        <f t="shared" si="22"/>
        <v>0</v>
      </c>
      <c r="M175" s="3"/>
      <c r="N175" s="4">
        <v>0</v>
      </c>
      <c r="O175" s="4"/>
      <c r="P175" s="3"/>
      <c r="Q175" s="3"/>
      <c r="R175" s="3">
        <f t="shared" si="23"/>
        <v>0</v>
      </c>
      <c r="S175" s="1"/>
      <c r="V175" s="132"/>
      <c r="Y175" s="387"/>
    </row>
    <row r="176" spans="1:49">
      <c r="A176" s="351">
        <v>113</v>
      </c>
      <c r="B176" s="359"/>
      <c r="C176" s="48" t="s">
        <v>999</v>
      </c>
      <c r="D176" s="359"/>
      <c r="F176" s="164">
        <v>0</v>
      </c>
      <c r="G176" s="1"/>
      <c r="H176" s="164"/>
      <c r="I176" s="68"/>
      <c r="J176" s="132">
        <f>ROUND(AC528+(AC528*'Rate SL'!$AG$1),6)</f>
        <v>23.149279</v>
      </c>
      <c r="K176" s="342"/>
      <c r="L176" s="3">
        <f t="shared" si="22"/>
        <v>0</v>
      </c>
      <c r="M176" s="3"/>
      <c r="N176" s="4">
        <v>0</v>
      </c>
      <c r="O176" s="4"/>
      <c r="P176" s="3"/>
      <c r="Q176" s="3"/>
      <c r="R176" s="3">
        <f t="shared" si="23"/>
        <v>0</v>
      </c>
      <c r="S176" s="1"/>
      <c r="V176" s="132"/>
      <c r="Y176" s="387"/>
    </row>
    <row r="177" spans="1:25">
      <c r="A177" s="351">
        <v>114</v>
      </c>
      <c r="B177" s="359"/>
      <c r="C177" s="48" t="s">
        <v>1000</v>
      </c>
      <c r="D177" s="359"/>
      <c r="F177" s="164">
        <v>0</v>
      </c>
      <c r="G177" s="1"/>
      <c r="H177" s="164"/>
      <c r="I177" s="68"/>
      <c r="J177" s="132">
        <f>ROUND(AC529+(AC529*'Rate SL'!$AG$1),6)</f>
        <v>24.634671999999998</v>
      </c>
      <c r="K177" s="342"/>
      <c r="L177" s="3">
        <f t="shared" si="22"/>
        <v>0</v>
      </c>
      <c r="M177" s="3"/>
      <c r="N177" s="4">
        <v>0</v>
      </c>
      <c r="O177" s="4"/>
      <c r="P177" s="3"/>
      <c r="Q177" s="3"/>
      <c r="R177" s="3">
        <f t="shared" si="23"/>
        <v>0</v>
      </c>
      <c r="S177" s="1"/>
      <c r="V177" s="132"/>
      <c r="Y177" s="387"/>
    </row>
    <row r="178" spans="1:25">
      <c r="A178" s="351">
        <v>115</v>
      </c>
      <c r="B178" s="359"/>
      <c r="C178" s="48" t="s">
        <v>1001</v>
      </c>
      <c r="D178" s="359"/>
      <c r="F178" s="164">
        <v>0</v>
      </c>
      <c r="G178" s="1"/>
      <c r="H178" s="164"/>
      <c r="I178" s="68"/>
      <c r="J178" s="132">
        <f>ROUND(AC530+(AC530*'Rate SL'!$AG$1),6)</f>
        <v>25.468776999999999</v>
      </c>
      <c r="K178" s="342"/>
      <c r="L178" s="3">
        <f t="shared" si="22"/>
        <v>0</v>
      </c>
      <c r="M178" s="3"/>
      <c r="N178" s="4">
        <v>0</v>
      </c>
      <c r="O178" s="4"/>
      <c r="P178" s="3"/>
      <c r="Q178" s="3"/>
      <c r="R178" s="3">
        <f t="shared" si="23"/>
        <v>0</v>
      </c>
      <c r="S178" s="1"/>
      <c r="V178" s="132"/>
      <c r="Y178" s="387"/>
    </row>
    <row r="179" spans="1:25">
      <c r="A179" s="351">
        <v>116</v>
      </c>
      <c r="B179" s="359"/>
      <c r="C179" s="48" t="s">
        <v>1002</v>
      </c>
      <c r="D179" s="359"/>
      <c r="F179" s="164">
        <v>0</v>
      </c>
      <c r="G179" s="1"/>
      <c r="H179" s="164"/>
      <c r="I179" s="68"/>
      <c r="J179" s="132">
        <f>ROUND(AC531+(AC531*'Rate SL'!$AG$1),6)</f>
        <v>17.184854000000001</v>
      </c>
      <c r="K179" s="342"/>
      <c r="L179" s="3">
        <f t="shared" si="22"/>
        <v>0</v>
      </c>
      <c r="M179" s="3"/>
      <c r="N179" s="4">
        <v>0</v>
      </c>
      <c r="O179" s="4"/>
      <c r="P179" s="3"/>
      <c r="Q179" s="3"/>
      <c r="R179" s="3">
        <f t="shared" si="23"/>
        <v>0</v>
      </c>
      <c r="S179" s="1"/>
      <c r="V179" s="132"/>
      <c r="Y179" s="387"/>
    </row>
    <row r="180" spans="1:25">
      <c r="A180" s="351">
        <v>117</v>
      </c>
      <c r="B180" s="359"/>
      <c r="C180" s="48" t="s">
        <v>1003</v>
      </c>
      <c r="D180" s="359"/>
      <c r="F180" s="164">
        <v>0</v>
      </c>
      <c r="G180" s="1"/>
      <c r="H180" s="164"/>
      <c r="I180" s="68"/>
      <c r="J180" s="132">
        <f>ROUND(AC532+(AC532*'Rate SL'!$AG$1),6)</f>
        <v>18.533134</v>
      </c>
      <c r="K180" s="342"/>
      <c r="L180" s="3">
        <f t="shared" si="22"/>
        <v>0</v>
      </c>
      <c r="M180" s="3"/>
      <c r="N180" s="4">
        <v>0</v>
      </c>
      <c r="O180" s="4"/>
      <c r="P180" s="3"/>
      <c r="Q180" s="3"/>
      <c r="R180" s="3">
        <f t="shared" si="23"/>
        <v>0</v>
      </c>
      <c r="S180" s="1"/>
      <c r="V180" s="132"/>
      <c r="Y180" s="387"/>
    </row>
    <row r="181" spans="1:25">
      <c r="A181" s="351">
        <v>118</v>
      </c>
      <c r="B181" s="359"/>
      <c r="C181" s="48" t="s">
        <v>1004</v>
      </c>
      <c r="D181" s="359"/>
      <c r="F181" s="164">
        <v>0</v>
      </c>
      <c r="G181" s="1"/>
      <c r="H181" s="164"/>
      <c r="I181" s="68"/>
      <c r="J181" s="132">
        <f>ROUND(AC533+(AC533*'Rate SL'!$AG$1),6)</f>
        <v>29.307946999999999</v>
      </c>
      <c r="K181" s="342"/>
      <c r="L181" s="3">
        <f t="shared" si="22"/>
        <v>0</v>
      </c>
      <c r="M181" s="3"/>
      <c r="N181" s="4">
        <v>0</v>
      </c>
      <c r="O181" s="4"/>
      <c r="P181" s="3"/>
      <c r="Q181" s="3"/>
      <c r="R181" s="3">
        <f t="shared" si="23"/>
        <v>0</v>
      </c>
      <c r="S181" s="1"/>
      <c r="V181" s="132"/>
      <c r="Y181" s="387"/>
    </row>
    <row r="182" spans="1:25">
      <c r="A182" s="351">
        <v>119</v>
      </c>
      <c r="B182" s="359"/>
      <c r="C182" s="48" t="s">
        <v>1005</v>
      </c>
      <c r="D182" s="359"/>
      <c r="F182" s="164">
        <v>0</v>
      </c>
      <c r="G182" s="1"/>
      <c r="H182" s="164"/>
      <c r="I182" s="68"/>
      <c r="J182" s="132">
        <f>ROUND(AC534+(AC534*'Rate SL'!$AG$1),6)</f>
        <v>28.588101999999999</v>
      </c>
      <c r="K182" s="342"/>
      <c r="L182" s="3">
        <f t="shared" si="22"/>
        <v>0</v>
      </c>
      <c r="M182" s="3"/>
      <c r="N182" s="4">
        <v>0</v>
      </c>
      <c r="O182" s="4"/>
      <c r="P182" s="3"/>
      <c r="Q182" s="3"/>
      <c r="R182" s="3">
        <f t="shared" si="23"/>
        <v>0</v>
      </c>
      <c r="S182" s="1"/>
      <c r="V182" s="132"/>
      <c r="Y182" s="387"/>
    </row>
    <row r="183" spans="1:25">
      <c r="A183" s="351">
        <v>120</v>
      </c>
      <c r="B183" s="359"/>
      <c r="C183" s="48" t="s">
        <v>1006</v>
      </c>
      <c r="D183" s="359"/>
      <c r="F183" s="164">
        <v>0</v>
      </c>
      <c r="G183" s="1"/>
      <c r="H183" s="164"/>
      <c r="I183" s="68"/>
      <c r="J183" s="132">
        <f>ROUND(AC535+(AC535*'Rate SL'!$AG$1),6)</f>
        <v>33.329934000000002</v>
      </c>
      <c r="K183" s="342"/>
      <c r="L183" s="3">
        <f t="shared" si="22"/>
        <v>0</v>
      </c>
      <c r="M183" s="3"/>
      <c r="N183" s="4">
        <v>0</v>
      </c>
      <c r="O183" s="4"/>
      <c r="P183" s="3"/>
      <c r="Q183" s="3"/>
      <c r="R183" s="3">
        <f t="shared" si="23"/>
        <v>0</v>
      </c>
      <c r="S183" s="1"/>
      <c r="V183" s="132"/>
      <c r="Y183" s="387"/>
    </row>
    <row r="184" spans="1:25">
      <c r="A184" s="351">
        <v>121</v>
      </c>
      <c r="B184" s="359"/>
      <c r="C184" s="48" t="s">
        <v>1007</v>
      </c>
      <c r="D184" s="359"/>
      <c r="F184" s="164">
        <v>0</v>
      </c>
      <c r="G184" s="1"/>
      <c r="H184" s="164"/>
      <c r="I184" s="68"/>
      <c r="J184" s="132">
        <f>ROUND(AC536+(AC536*'Rate SL'!$AG$1),6)</f>
        <v>12.15737</v>
      </c>
      <c r="K184" s="342"/>
      <c r="L184" s="3">
        <f t="shared" si="22"/>
        <v>0</v>
      </c>
      <c r="M184" s="3"/>
      <c r="N184" s="4">
        <v>0</v>
      </c>
      <c r="O184" s="4"/>
      <c r="P184" s="3"/>
      <c r="Q184" s="3"/>
      <c r="R184" s="3">
        <f t="shared" si="23"/>
        <v>0</v>
      </c>
      <c r="S184" s="1"/>
      <c r="V184" s="132"/>
      <c r="Y184" s="387"/>
    </row>
    <row r="185" spans="1:25">
      <c r="A185" s="351">
        <v>122</v>
      </c>
      <c r="B185" s="359"/>
      <c r="C185" s="48" t="s">
        <v>1008</v>
      </c>
      <c r="D185" s="359"/>
      <c r="F185" s="164">
        <v>0</v>
      </c>
      <c r="G185" s="1"/>
      <c r="H185" s="164"/>
      <c r="I185" s="68"/>
      <c r="J185" s="132">
        <f>ROUND(AC537+(AC537*'Rate SL'!$AG$1),6)</f>
        <v>12.808657999999999</v>
      </c>
      <c r="K185" s="342"/>
      <c r="L185" s="3">
        <f t="shared" si="22"/>
        <v>0</v>
      </c>
      <c r="M185" s="3"/>
      <c r="N185" s="4">
        <v>0</v>
      </c>
      <c r="O185" s="4"/>
      <c r="P185" s="3"/>
      <c r="Q185" s="3"/>
      <c r="R185" s="3">
        <f t="shared" si="23"/>
        <v>0</v>
      </c>
      <c r="S185" s="1"/>
      <c r="V185" s="132"/>
      <c r="Y185" s="387"/>
    </row>
    <row r="186" spans="1:25">
      <c r="A186" s="351">
        <v>123</v>
      </c>
      <c r="B186" s="359"/>
      <c r="C186" s="48" t="s">
        <v>1009</v>
      </c>
      <c r="D186" s="359"/>
      <c r="F186" s="164">
        <v>0</v>
      </c>
      <c r="G186" s="1"/>
      <c r="H186" s="164"/>
      <c r="I186" s="68"/>
      <c r="J186" s="132">
        <f>ROUND(AC538+(AC538*'Rate SL'!$AG$1),6)</f>
        <v>25.34309</v>
      </c>
      <c r="K186" s="342"/>
      <c r="L186" s="3">
        <f t="shared" si="22"/>
        <v>0</v>
      </c>
      <c r="M186" s="3"/>
      <c r="N186" s="4">
        <v>0</v>
      </c>
      <c r="O186" s="4"/>
      <c r="P186" s="3"/>
      <c r="Q186" s="3"/>
      <c r="R186" s="3">
        <f t="shared" si="23"/>
        <v>0</v>
      </c>
      <c r="S186" s="1"/>
      <c r="V186" s="132"/>
      <c r="Y186" s="387"/>
    </row>
    <row r="187" spans="1:25">
      <c r="A187" s="351">
        <v>124</v>
      </c>
      <c r="B187" s="359"/>
      <c r="C187" s="48" t="s">
        <v>1099</v>
      </c>
      <c r="D187" s="359"/>
      <c r="F187" s="164">
        <v>0</v>
      </c>
      <c r="G187" s="1"/>
      <c r="H187" s="164"/>
      <c r="I187" s="68"/>
      <c r="J187" s="132">
        <f>ROUND(AC539+(AC539*'Rate SL'!$AG$1),6)</f>
        <v>7.1413130000000002</v>
      </c>
      <c r="K187" s="342"/>
      <c r="L187" s="3">
        <f t="shared" ref="L187:L197" si="24">ROUND((F187*J187),0)</f>
        <v>0</v>
      </c>
      <c r="M187" s="3"/>
      <c r="N187" s="4">
        <v>0</v>
      </c>
      <c r="O187" s="4"/>
      <c r="P187" s="3"/>
      <c r="Q187" s="3"/>
      <c r="R187" s="3">
        <f t="shared" ref="R187:R197" si="25">L187+P187</f>
        <v>0</v>
      </c>
      <c r="S187" s="1"/>
      <c r="V187" s="132"/>
      <c r="Y187" s="387"/>
    </row>
    <row r="188" spans="1:25">
      <c r="A188" s="351">
        <v>125</v>
      </c>
      <c r="B188" s="359"/>
      <c r="C188" s="48" t="s">
        <v>1100</v>
      </c>
      <c r="D188" s="359"/>
      <c r="F188" s="164">
        <v>0</v>
      </c>
      <c r="G188" s="1"/>
      <c r="H188" s="164"/>
      <c r="I188" s="68"/>
      <c r="J188" s="132">
        <f>ROUND(AC540+(AC540*'Rate SL'!$AG$1),6)</f>
        <v>19.401517999999999</v>
      </c>
      <c r="K188" s="342"/>
      <c r="L188" s="3">
        <f t="shared" si="24"/>
        <v>0</v>
      </c>
      <c r="M188" s="3"/>
      <c r="N188" s="4">
        <v>0</v>
      </c>
      <c r="O188" s="4"/>
      <c r="P188" s="3"/>
      <c r="Q188" s="3"/>
      <c r="R188" s="3">
        <f t="shared" si="25"/>
        <v>0</v>
      </c>
      <c r="S188" s="1"/>
      <c r="V188" s="132"/>
      <c r="Y188" s="387"/>
    </row>
    <row r="189" spans="1:25">
      <c r="A189" s="351">
        <v>126</v>
      </c>
      <c r="B189" s="359"/>
      <c r="C189" s="48" t="s">
        <v>1101</v>
      </c>
      <c r="D189" s="359"/>
      <c r="F189" s="164">
        <v>0</v>
      </c>
      <c r="G189" s="1"/>
      <c r="H189" s="164"/>
      <c r="I189" s="68"/>
      <c r="J189" s="132">
        <f>ROUND(AC541+(AC541*'Rate SL'!$AG$1),6)</f>
        <v>11.243282000000001</v>
      </c>
      <c r="K189" s="342"/>
      <c r="L189" s="3">
        <f t="shared" si="24"/>
        <v>0</v>
      </c>
      <c r="M189" s="3"/>
      <c r="N189" s="4">
        <v>0</v>
      </c>
      <c r="O189" s="4"/>
      <c r="P189" s="3"/>
      <c r="Q189" s="3"/>
      <c r="R189" s="3">
        <f t="shared" si="25"/>
        <v>0</v>
      </c>
      <c r="S189" s="1"/>
      <c r="V189" s="132"/>
      <c r="Y189" s="387"/>
    </row>
    <row r="190" spans="1:25">
      <c r="A190" s="351">
        <v>127</v>
      </c>
      <c r="B190" s="359"/>
      <c r="C190" s="48" t="s">
        <v>1102</v>
      </c>
      <c r="D190" s="359"/>
      <c r="F190" s="164">
        <v>0</v>
      </c>
      <c r="G190" s="1"/>
      <c r="H190" s="164"/>
      <c r="I190" s="68"/>
      <c r="J190" s="132">
        <f>ROUND(AC542+(AC542*'Rate SL'!$AG$1),6)</f>
        <v>11.368969999999999</v>
      </c>
      <c r="K190" s="342"/>
      <c r="L190" s="3">
        <f t="shared" si="24"/>
        <v>0</v>
      </c>
      <c r="M190" s="3"/>
      <c r="N190" s="4">
        <v>0</v>
      </c>
      <c r="O190" s="4"/>
      <c r="P190" s="3"/>
      <c r="Q190" s="3"/>
      <c r="R190" s="3">
        <f t="shared" si="25"/>
        <v>0</v>
      </c>
      <c r="S190" s="1"/>
      <c r="V190" s="132"/>
      <c r="Y190" s="387"/>
    </row>
    <row r="191" spans="1:25">
      <c r="A191" s="351">
        <v>128</v>
      </c>
      <c r="B191" s="359"/>
      <c r="C191" s="48" t="s">
        <v>1103</v>
      </c>
      <c r="D191" s="359"/>
      <c r="F191" s="164">
        <v>0</v>
      </c>
      <c r="G191" s="1"/>
      <c r="H191" s="164"/>
      <c r="I191" s="68"/>
      <c r="J191" s="132">
        <f>ROUND(AC543+(AC543*'Rate SL'!$AG$1),6)</f>
        <v>22.463712999999998</v>
      </c>
      <c r="K191" s="342"/>
      <c r="L191" s="3">
        <f t="shared" si="24"/>
        <v>0</v>
      </c>
      <c r="M191" s="3"/>
      <c r="N191" s="4">
        <v>0</v>
      </c>
      <c r="O191" s="4"/>
      <c r="P191" s="3"/>
      <c r="Q191" s="3"/>
      <c r="R191" s="3">
        <f t="shared" si="25"/>
        <v>0</v>
      </c>
      <c r="S191" s="1"/>
      <c r="V191" s="132"/>
      <c r="Y191" s="387"/>
    </row>
    <row r="192" spans="1:25">
      <c r="A192" s="351">
        <v>129</v>
      </c>
      <c r="B192" s="359"/>
      <c r="C192" s="48" t="s">
        <v>1104</v>
      </c>
      <c r="D192" s="359"/>
      <c r="F192" s="164">
        <v>0</v>
      </c>
      <c r="G192" s="1"/>
      <c r="H192" s="164"/>
      <c r="I192" s="68"/>
      <c r="J192" s="132">
        <f>ROUND(AC544+(AC544*'Rate SL'!$AG$1),6)</f>
        <v>7.1413130000000002</v>
      </c>
      <c r="K192" s="342"/>
      <c r="L192" s="3">
        <f t="shared" si="24"/>
        <v>0</v>
      </c>
      <c r="M192" s="3"/>
      <c r="N192" s="4">
        <v>0</v>
      </c>
      <c r="O192" s="4"/>
      <c r="P192" s="3"/>
      <c r="Q192" s="3"/>
      <c r="R192" s="3">
        <f t="shared" si="25"/>
        <v>0</v>
      </c>
      <c r="S192" s="1"/>
      <c r="V192" s="132"/>
      <c r="Y192" s="387"/>
    </row>
    <row r="193" spans="1:25">
      <c r="A193" s="351">
        <v>130</v>
      </c>
      <c r="B193" s="359"/>
      <c r="C193" s="48" t="s">
        <v>1105</v>
      </c>
      <c r="D193" s="359"/>
      <c r="F193" s="164">
        <v>0</v>
      </c>
      <c r="G193" s="1"/>
      <c r="H193" s="164"/>
      <c r="I193" s="68"/>
      <c r="J193" s="132">
        <f>ROUND(AC545+(AC545*'Rate SL'!$AG$1),6)</f>
        <v>20.864059000000001</v>
      </c>
      <c r="K193" s="342"/>
      <c r="L193" s="3">
        <f t="shared" si="24"/>
        <v>0</v>
      </c>
      <c r="M193" s="3"/>
      <c r="N193" s="4">
        <v>0</v>
      </c>
      <c r="O193" s="4"/>
      <c r="P193" s="3"/>
      <c r="Q193" s="3"/>
      <c r="R193" s="3">
        <f t="shared" si="25"/>
        <v>0</v>
      </c>
      <c r="S193" s="1"/>
      <c r="V193" s="132"/>
      <c r="Y193" s="387"/>
    </row>
    <row r="194" spans="1:25">
      <c r="A194" s="351">
        <v>131</v>
      </c>
      <c r="B194" s="359"/>
      <c r="C194" s="48" t="s">
        <v>1106</v>
      </c>
      <c r="D194" s="359"/>
      <c r="F194" s="164">
        <v>0</v>
      </c>
      <c r="G194" s="1"/>
      <c r="H194" s="164"/>
      <c r="I194" s="68"/>
      <c r="J194" s="132">
        <f>ROUND(AC546+(AC546*'Rate SL'!$AG$1),6)</f>
        <v>13.574206999999999</v>
      </c>
      <c r="K194" s="342"/>
      <c r="L194" s="3">
        <f t="shared" si="24"/>
        <v>0</v>
      </c>
      <c r="M194" s="3"/>
      <c r="N194" s="4">
        <v>0</v>
      </c>
      <c r="O194" s="4"/>
      <c r="P194" s="3"/>
      <c r="Q194" s="3"/>
      <c r="R194" s="3">
        <f t="shared" si="25"/>
        <v>0</v>
      </c>
      <c r="S194" s="1"/>
      <c r="V194" s="132"/>
      <c r="Y194" s="387"/>
    </row>
    <row r="195" spans="1:25">
      <c r="A195" s="351">
        <v>132</v>
      </c>
      <c r="B195" s="359"/>
      <c r="C195" s="48" t="s">
        <v>1107</v>
      </c>
      <c r="D195" s="359"/>
      <c r="F195" s="164">
        <v>0</v>
      </c>
      <c r="G195" s="1"/>
      <c r="H195" s="164"/>
      <c r="I195" s="68"/>
      <c r="J195" s="132">
        <f>ROUND(AC547+(AC547*'Rate SL'!$AG$1),6)</f>
        <v>13.951268000000001</v>
      </c>
      <c r="K195" s="342"/>
      <c r="L195" s="3">
        <f t="shared" si="24"/>
        <v>0</v>
      </c>
      <c r="M195" s="3"/>
      <c r="N195" s="4">
        <v>0</v>
      </c>
      <c r="O195" s="4"/>
      <c r="P195" s="3"/>
      <c r="Q195" s="3"/>
      <c r="R195" s="3">
        <f t="shared" si="25"/>
        <v>0</v>
      </c>
      <c r="S195" s="1"/>
      <c r="V195" s="132"/>
      <c r="Y195" s="387"/>
    </row>
    <row r="196" spans="1:25">
      <c r="A196" s="351">
        <v>133</v>
      </c>
      <c r="B196" s="359"/>
      <c r="C196" s="48" t="s">
        <v>1108</v>
      </c>
      <c r="D196" s="359"/>
      <c r="F196" s="164">
        <v>0</v>
      </c>
      <c r="G196" s="1"/>
      <c r="H196" s="164"/>
      <c r="I196" s="68"/>
      <c r="J196" s="132">
        <f>ROUND(AC548+(AC548*'Rate SL'!$AG$1),6)</f>
        <v>18.338891</v>
      </c>
      <c r="K196" s="342"/>
      <c r="L196" s="3">
        <f t="shared" si="24"/>
        <v>0</v>
      </c>
      <c r="M196" s="3"/>
      <c r="N196" s="4">
        <v>0</v>
      </c>
      <c r="O196" s="4"/>
      <c r="P196" s="3"/>
      <c r="Q196" s="3"/>
      <c r="R196" s="3">
        <f t="shared" si="25"/>
        <v>0</v>
      </c>
      <c r="S196" s="1"/>
      <c r="V196" s="132"/>
      <c r="Y196" s="387"/>
    </row>
    <row r="197" spans="1:25">
      <c r="A197" s="351">
        <v>134</v>
      </c>
      <c r="B197" s="359"/>
      <c r="C197" s="48" t="s">
        <v>1109</v>
      </c>
      <c r="D197" s="359"/>
      <c r="F197" s="164">
        <v>0</v>
      </c>
      <c r="G197" s="1"/>
      <c r="H197" s="164"/>
      <c r="I197" s="68"/>
      <c r="J197" s="132">
        <f>ROUND(AC549+(AC549*'Rate SL'!$AG$1),6)</f>
        <v>27.068431</v>
      </c>
      <c r="K197" s="342"/>
      <c r="L197" s="3">
        <f t="shared" si="24"/>
        <v>0</v>
      </c>
      <c r="M197" s="3"/>
      <c r="N197" s="4">
        <v>0</v>
      </c>
      <c r="O197" s="4"/>
      <c r="P197" s="3"/>
      <c r="Q197" s="3"/>
      <c r="R197" s="3">
        <f t="shared" si="25"/>
        <v>0</v>
      </c>
      <c r="S197" s="1"/>
      <c r="V197" s="132"/>
      <c r="Y197" s="387"/>
    </row>
    <row r="198" spans="1:25">
      <c r="A198" s="351"/>
      <c r="B198" s="359"/>
      <c r="C198" s="48"/>
      <c r="D198" s="359"/>
      <c r="F198" s="164"/>
      <c r="G198" s="1"/>
      <c r="H198" s="164"/>
      <c r="I198" s="68"/>
      <c r="J198" s="132"/>
      <c r="K198" s="342"/>
      <c r="L198" s="3"/>
      <c r="M198" s="3"/>
      <c r="N198" s="4"/>
      <c r="O198" s="4"/>
      <c r="P198" s="3"/>
      <c r="Q198" s="3"/>
      <c r="R198" s="3"/>
      <c r="S198" s="1"/>
      <c r="V198" s="132"/>
      <c r="Y198" s="387"/>
    </row>
    <row r="199" spans="1:25">
      <c r="A199" s="140" t="s">
        <v>76</v>
      </c>
      <c r="C199" s="48"/>
      <c r="F199" s="164"/>
      <c r="G199" s="1"/>
      <c r="H199" s="164"/>
      <c r="I199" s="68"/>
      <c r="J199" s="132"/>
      <c r="K199" s="342"/>
      <c r="L199" s="3"/>
      <c r="M199" s="3"/>
      <c r="N199" s="4"/>
      <c r="O199" s="4"/>
      <c r="P199" s="3"/>
      <c r="Q199" s="3"/>
      <c r="R199" s="3"/>
      <c r="S199" s="1"/>
      <c r="V199" s="132"/>
      <c r="Y199" s="387"/>
    </row>
    <row r="200" spans="1:25">
      <c r="A200" s="140" t="str">
        <f>"(1A) REFLECTS FUEL COST RECOVERY INCLUDED IN BASE RATES OF "&amp;TEXT(CUR_BASE_FUEL,"$0.000000;($0.000000)")&amp;"  PER KWH."</f>
        <v>(1A) REFLECTS FUEL COST RECOVERY INCLUDED IN BASE RATES OF $0.033780  PER KWH.</v>
      </c>
      <c r="C200" s="48"/>
      <c r="F200" s="164"/>
      <c r="G200" s="1"/>
      <c r="H200" s="164"/>
      <c r="I200" s="68"/>
      <c r="J200" s="132"/>
      <c r="K200" s="342"/>
      <c r="L200" s="3"/>
      <c r="M200" s="3"/>
      <c r="N200" s="4"/>
      <c r="O200" s="4"/>
      <c r="P200" s="3"/>
      <c r="Q200" s="3"/>
      <c r="R200" s="3"/>
      <c r="S200" s="1"/>
      <c r="V200" s="132"/>
      <c r="Y200" s="387"/>
    </row>
    <row r="201" spans="1:25">
      <c r="A201" s="140" t="str">
        <f>"(2) REFLECTS FUEL COMPONENT OF "&amp;TEXT(CUR_FAC,"$0.000000;($0.000000)")&amp;"  PER KWH."</f>
        <v>(2) REFLECTS FUEL COMPONENT OF $0.003487  PER KWH.</v>
      </c>
      <c r="C201" s="48"/>
      <c r="F201" s="164"/>
      <c r="G201" s="1"/>
      <c r="H201" s="164"/>
      <c r="I201" s="68"/>
      <c r="J201" s="132"/>
      <c r="K201" s="342"/>
      <c r="L201" s="3"/>
      <c r="M201" s="3"/>
      <c r="N201" s="4"/>
      <c r="O201" s="4"/>
      <c r="P201" s="3"/>
      <c r="Q201" s="3"/>
      <c r="R201" s="3"/>
      <c r="S201" s="1"/>
      <c r="V201" s="132"/>
      <c r="Y201" s="387"/>
    </row>
    <row r="202" spans="1:25">
      <c r="A202" s="365"/>
      <c r="C202" s="48"/>
      <c r="F202" s="164"/>
      <c r="G202" s="1"/>
      <c r="H202" s="164"/>
      <c r="I202" s="68"/>
      <c r="J202" s="132"/>
      <c r="K202" s="342"/>
      <c r="L202" s="3"/>
      <c r="M202" s="3"/>
      <c r="N202" s="4"/>
      <c r="O202" s="4"/>
      <c r="P202" s="3"/>
      <c r="Q202" s="3"/>
      <c r="R202" s="3"/>
      <c r="S202" s="1"/>
      <c r="V202" s="132"/>
      <c r="Y202" s="387"/>
    </row>
    <row r="203" spans="1:25">
      <c r="A203" s="40" t="str">
        <f>NAME</f>
        <v>DUKE ENERGY KENTUCKY, INC.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1"/>
      <c r="V203" s="132"/>
      <c r="Y203" s="387"/>
    </row>
    <row r="204" spans="1:25">
      <c r="A204" s="40" t="str">
        <f>CASE_NO</f>
        <v>CASE NO.   2024-00354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1"/>
      <c r="V204" s="132"/>
      <c r="Y204" s="387"/>
    </row>
    <row r="205" spans="1:25">
      <c r="A205" s="40" t="str">
        <f>TITLE</f>
        <v>ANNUALIZED TEST YEAR REVENUES AT PROPOSED VS. MOST CURRENT RATES</v>
      </c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1"/>
      <c r="V205" s="132"/>
      <c r="Y205" s="387"/>
    </row>
    <row r="206" spans="1:25">
      <c r="A206" s="40" t="str">
        <f>DATE</f>
        <v>FOR THE TWELVE MONTHS ENDED June 30, 2026</v>
      </c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1"/>
      <c r="V206" s="132"/>
      <c r="Y206" s="387"/>
    </row>
    <row r="207" spans="1:25">
      <c r="A207" s="40" t="str">
        <f>SERVICE</f>
        <v>(ELECTRIC SERVICE)</v>
      </c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1"/>
      <c r="V207" s="132"/>
      <c r="Y207" s="387"/>
    </row>
    <row r="208" spans="1:25">
      <c r="A208" s="41" t="str">
        <f>DATA_PERIOD</f>
        <v>DATA: ____ BASE PERIOD   __X__FORECASTED PERIOD</v>
      </c>
      <c r="R208" s="42" t="s">
        <v>156</v>
      </c>
      <c r="S208" s="1"/>
      <c r="V208" s="132"/>
      <c r="Y208" s="387"/>
    </row>
    <row r="209" spans="1:25">
      <c r="A209" s="41" t="str">
        <f>TYPE</f>
        <v>TYPE OF FILING: _X_ ORIGINAL   ___UPDATED  ___ REVISED</v>
      </c>
      <c r="R209" s="48" t="str">
        <f>"PAGE 23 OF "&amp;TEXT(Page_Num_2.3,"00")</f>
        <v>PAGE 23 OF 24</v>
      </c>
      <c r="S209" s="1"/>
      <c r="V209" s="132"/>
      <c r="Y209" s="387"/>
    </row>
    <row r="210" spans="1:25">
      <c r="A210" s="42" t="s">
        <v>170</v>
      </c>
      <c r="R210" s="42" t="s">
        <v>3</v>
      </c>
      <c r="S210" s="1"/>
      <c r="V210" s="132"/>
      <c r="Y210" s="387"/>
    </row>
    <row r="211" spans="1:25">
      <c r="A211" s="130" t="str">
        <f>TIME</f>
        <v>12 Months Projected with Riders</v>
      </c>
      <c r="M211" s="42"/>
      <c r="R211" s="41" t="str">
        <f>WIT</f>
        <v>B. L. Sailers</v>
      </c>
      <c r="S211" s="1"/>
      <c r="V211" s="132"/>
      <c r="Y211" s="387"/>
    </row>
    <row r="212" spans="1:25">
      <c r="A212" s="40" t="s">
        <v>129</v>
      </c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1"/>
      <c r="V212" s="132"/>
      <c r="Y212" s="387"/>
    </row>
    <row r="213" spans="1:25">
      <c r="A213" s="49"/>
      <c r="B213" s="49"/>
      <c r="C213" s="49"/>
      <c r="D213" s="49"/>
      <c r="E213" s="49"/>
      <c r="G213" s="49"/>
      <c r="H213" s="49"/>
      <c r="I213" s="49"/>
      <c r="J213" s="49"/>
      <c r="K213" s="49"/>
      <c r="L213" s="43"/>
      <c r="M213" s="43"/>
      <c r="N213" s="43"/>
      <c r="O213" s="43"/>
      <c r="P213" s="43"/>
      <c r="Q213" s="43"/>
      <c r="R213" s="43"/>
      <c r="S213" s="1"/>
      <c r="V213" s="132"/>
      <c r="Y213" s="387"/>
    </row>
    <row r="214" spans="1:25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44" t="s">
        <v>6</v>
      </c>
      <c r="M214" s="44"/>
      <c r="N214" s="44" t="s">
        <v>7</v>
      </c>
      <c r="O214" s="44"/>
      <c r="R214" s="44" t="s">
        <v>6</v>
      </c>
      <c r="S214" s="1"/>
      <c r="V214" s="132"/>
      <c r="Y214" s="387"/>
    </row>
    <row r="215" spans="1:25">
      <c r="L215" s="44" t="s">
        <v>12</v>
      </c>
      <c r="M215" s="44"/>
      <c r="N215" s="44" t="s">
        <v>13</v>
      </c>
      <c r="O215" s="44"/>
      <c r="R215" s="44" t="s">
        <v>11</v>
      </c>
      <c r="S215" s="1"/>
      <c r="V215" s="132"/>
      <c r="Y215" s="387"/>
    </row>
    <row r="216" spans="1:25">
      <c r="A216" s="44" t="s">
        <v>17</v>
      </c>
      <c r="C216" s="44" t="s">
        <v>18</v>
      </c>
      <c r="D216" s="44" t="s">
        <v>19</v>
      </c>
      <c r="E216" s="44"/>
      <c r="F216" s="44" t="s">
        <v>20</v>
      </c>
      <c r="J216" s="40" t="s">
        <v>6</v>
      </c>
      <c r="K216" s="40"/>
      <c r="L216" s="44" t="s">
        <v>841</v>
      </c>
      <c r="M216" s="44"/>
      <c r="N216" s="44" t="s">
        <v>841</v>
      </c>
      <c r="O216" s="44"/>
      <c r="P216" s="44" t="s">
        <v>841</v>
      </c>
      <c r="Q216" s="44"/>
      <c r="R216" s="44" t="s">
        <v>9</v>
      </c>
      <c r="S216" s="1"/>
      <c r="V216" s="132"/>
      <c r="Y216" s="387"/>
    </row>
    <row r="217" spans="1:25">
      <c r="A217" s="44" t="s">
        <v>22</v>
      </c>
      <c r="C217" s="44" t="s">
        <v>23</v>
      </c>
      <c r="D217" s="44" t="s">
        <v>24</v>
      </c>
      <c r="E217" s="44"/>
      <c r="F217" s="44" t="s">
        <v>25</v>
      </c>
      <c r="H217" s="44" t="s">
        <v>26</v>
      </c>
      <c r="I217" s="44"/>
      <c r="J217" s="60" t="s">
        <v>807</v>
      </c>
      <c r="K217" s="60" t="s">
        <v>808</v>
      </c>
      <c r="L217" s="44" t="s">
        <v>9</v>
      </c>
      <c r="M217" s="44"/>
      <c r="N217" s="44" t="s">
        <v>9</v>
      </c>
      <c r="O217" s="44"/>
      <c r="P217" s="44" t="s">
        <v>323</v>
      </c>
      <c r="Q217" s="44"/>
      <c r="R217" s="304" t="s">
        <v>28</v>
      </c>
      <c r="S217" s="1"/>
      <c r="V217" s="132"/>
      <c r="Y217" s="387"/>
    </row>
    <row r="218" spans="1:25">
      <c r="C218" s="304" t="s">
        <v>33</v>
      </c>
      <c r="D218" s="304" t="s">
        <v>34</v>
      </c>
      <c r="E218" s="304"/>
      <c r="F218" s="304" t="s">
        <v>35</v>
      </c>
      <c r="G218" s="130"/>
      <c r="H218" s="304" t="s">
        <v>36</v>
      </c>
      <c r="I218" s="304"/>
      <c r="J218" s="307" t="s">
        <v>809</v>
      </c>
      <c r="K218" s="307" t="s">
        <v>810</v>
      </c>
      <c r="L218" s="307" t="s">
        <v>38</v>
      </c>
      <c r="M218" s="304"/>
      <c r="N218" s="307" t="s">
        <v>39</v>
      </c>
      <c r="O218" s="304"/>
      <c r="P218" s="307" t="s">
        <v>40</v>
      </c>
      <c r="Q218" s="304"/>
      <c r="R218" s="307" t="s">
        <v>41</v>
      </c>
      <c r="S218" s="1"/>
      <c r="V218" s="132"/>
      <c r="Y218" s="387"/>
    </row>
    <row r="219" spans="1:25">
      <c r="A219" s="62"/>
      <c r="B219" s="62"/>
      <c r="C219" s="62"/>
      <c r="D219" s="62"/>
      <c r="E219" s="62"/>
      <c r="F219" s="62"/>
      <c r="G219" s="62"/>
      <c r="H219" s="345" t="s">
        <v>49</v>
      </c>
      <c r="I219" s="345"/>
      <c r="J219" s="344" t="s">
        <v>69</v>
      </c>
      <c r="K219" s="345"/>
      <c r="L219" s="345" t="s">
        <v>50</v>
      </c>
      <c r="M219" s="345"/>
      <c r="N219" s="345" t="s">
        <v>51</v>
      </c>
      <c r="O219" s="345"/>
      <c r="P219" s="345" t="s">
        <v>50</v>
      </c>
      <c r="Q219" s="345"/>
      <c r="R219" s="345" t="s">
        <v>50</v>
      </c>
      <c r="S219" s="1"/>
      <c r="V219" s="132"/>
      <c r="Y219" s="387"/>
    </row>
    <row r="220" spans="1:25">
      <c r="A220" s="351">
        <v>135</v>
      </c>
      <c r="C220" s="133" t="s">
        <v>795</v>
      </c>
      <c r="D220" s="310" t="s">
        <v>814</v>
      </c>
      <c r="F220" s="164"/>
      <c r="G220" s="1"/>
      <c r="H220" s="164"/>
      <c r="I220" s="68"/>
      <c r="J220" s="132"/>
      <c r="K220" s="132"/>
      <c r="L220" s="3"/>
      <c r="M220" s="3"/>
      <c r="N220" s="4"/>
      <c r="O220" s="4"/>
      <c r="P220" s="3"/>
      <c r="Q220" s="3"/>
      <c r="R220" s="3"/>
      <c r="S220" s="1"/>
      <c r="V220" s="132"/>
      <c r="Y220" s="387"/>
    </row>
    <row r="221" spans="1:25">
      <c r="A221" s="351">
        <v>136</v>
      </c>
      <c r="C221" s="310" t="s">
        <v>1112</v>
      </c>
      <c r="F221" s="164"/>
      <c r="G221" s="1"/>
      <c r="H221" s="164"/>
      <c r="I221" s="68"/>
      <c r="J221" s="132"/>
      <c r="K221" s="132"/>
      <c r="L221" s="3"/>
      <c r="M221" s="3"/>
      <c r="N221" s="4"/>
      <c r="O221" s="4"/>
      <c r="P221" s="3"/>
      <c r="Q221" s="3"/>
      <c r="R221" s="3"/>
      <c r="S221" s="1"/>
      <c r="V221" s="132"/>
      <c r="Y221" s="387"/>
    </row>
    <row r="222" spans="1:25">
      <c r="A222" s="351">
        <v>137</v>
      </c>
      <c r="B222" s="359"/>
      <c r="C222" s="48"/>
      <c r="D222" s="359"/>
      <c r="F222" s="164"/>
      <c r="G222" s="1"/>
      <c r="H222" s="164"/>
      <c r="I222" s="68"/>
      <c r="J222" s="132"/>
      <c r="K222" s="342"/>
      <c r="L222" s="3"/>
      <c r="M222" s="3"/>
      <c r="N222" s="4"/>
      <c r="O222" s="4"/>
      <c r="P222" s="3"/>
      <c r="Q222" s="3"/>
      <c r="R222" s="3"/>
      <c r="S222" s="1"/>
      <c r="V222" s="132"/>
      <c r="Y222" s="387"/>
    </row>
    <row r="223" spans="1:25">
      <c r="A223" s="351">
        <v>138</v>
      </c>
      <c r="B223" s="359"/>
      <c r="C223" s="48"/>
      <c r="D223" s="359"/>
      <c r="F223" s="164"/>
      <c r="G223" s="1"/>
      <c r="H223" s="164"/>
      <c r="I223" s="68"/>
      <c r="J223" s="132"/>
      <c r="K223" s="342"/>
      <c r="L223" s="3"/>
      <c r="M223" s="3"/>
      <c r="N223" s="4"/>
      <c r="O223" s="4"/>
      <c r="P223" s="3"/>
      <c r="Q223" s="3"/>
      <c r="R223" s="3"/>
      <c r="S223" s="1"/>
      <c r="V223" s="132"/>
      <c r="Y223" s="387"/>
    </row>
    <row r="224" spans="1:25">
      <c r="A224" s="351">
        <v>139</v>
      </c>
      <c r="B224" s="359"/>
      <c r="C224" s="48" t="s">
        <v>909</v>
      </c>
      <c r="D224" s="359"/>
      <c r="F224" s="164">
        <v>0</v>
      </c>
      <c r="G224" s="1"/>
      <c r="H224" s="164"/>
      <c r="I224" s="68"/>
      <c r="J224" s="132">
        <f>ROUND(AC576+(AC576*'Rate SL'!$AG$1),6)</f>
        <v>3.096473</v>
      </c>
      <c r="K224" s="342"/>
      <c r="L224" s="3">
        <f t="shared" si="20"/>
        <v>0</v>
      </c>
      <c r="M224" s="3"/>
      <c r="N224" s="4">
        <v>0</v>
      </c>
      <c r="O224" s="4"/>
      <c r="P224" s="3"/>
      <c r="Q224" s="3"/>
      <c r="R224" s="3">
        <f t="shared" si="21"/>
        <v>0</v>
      </c>
      <c r="S224" s="1"/>
      <c r="V224" s="132"/>
      <c r="Y224" s="387"/>
    </row>
    <row r="225" spans="1:46">
      <c r="A225" s="351">
        <v>140</v>
      </c>
      <c r="B225" s="359"/>
      <c r="C225" s="48" t="s">
        <v>910</v>
      </c>
      <c r="D225" s="359"/>
      <c r="F225" s="164">
        <v>0</v>
      </c>
      <c r="G225" s="1"/>
      <c r="H225" s="164"/>
      <c r="I225" s="68"/>
      <c r="J225" s="132">
        <f>ROUND(AC577+(AC577*'Rate SL'!$AG$1),6)</f>
        <v>7.3584079999999998</v>
      </c>
      <c r="K225" s="342"/>
      <c r="L225" s="3">
        <f t="shared" si="20"/>
        <v>0</v>
      </c>
      <c r="M225" s="3"/>
      <c r="N225" s="4">
        <v>0</v>
      </c>
      <c r="O225" s="4"/>
      <c r="P225" s="3"/>
      <c r="Q225" s="3"/>
      <c r="R225" s="3">
        <f t="shared" si="21"/>
        <v>0</v>
      </c>
      <c r="S225" s="1"/>
      <c r="V225" s="132"/>
      <c r="Y225" s="387"/>
    </row>
    <row r="226" spans="1:46">
      <c r="A226" s="351">
        <v>141</v>
      </c>
      <c r="C226" s="48" t="s">
        <v>911</v>
      </c>
      <c r="F226" s="164">
        <v>0</v>
      </c>
      <c r="G226" s="1"/>
      <c r="H226" s="164"/>
      <c r="I226" s="68"/>
      <c r="J226" s="132">
        <f>ROUND(AC578+(AC578*'Rate SL'!$AG$1),6)</f>
        <v>9.1980109999999993</v>
      </c>
      <c r="K226" s="342"/>
      <c r="L226" s="3">
        <f t="shared" si="20"/>
        <v>0</v>
      </c>
      <c r="M226" s="3"/>
      <c r="N226" s="4">
        <v>0</v>
      </c>
      <c r="O226" s="4"/>
      <c r="P226" s="3"/>
      <c r="Q226" s="3"/>
      <c r="R226" s="3">
        <f t="shared" si="21"/>
        <v>0</v>
      </c>
      <c r="S226" s="1"/>
      <c r="V226" s="132"/>
      <c r="Y226" s="387"/>
    </row>
    <row r="227" spans="1:46">
      <c r="A227" s="351">
        <v>142</v>
      </c>
      <c r="C227" s="48" t="s">
        <v>912</v>
      </c>
      <c r="F227" s="164">
        <v>0</v>
      </c>
      <c r="G227" s="1"/>
      <c r="H227" s="164"/>
      <c r="I227" s="68"/>
      <c r="J227" s="132">
        <f>ROUND(AC579+(AC579*'Rate SL'!$AG$1),6)</f>
        <v>11.346117</v>
      </c>
      <c r="K227" s="342"/>
      <c r="L227" s="3">
        <f t="shared" si="20"/>
        <v>0</v>
      </c>
      <c r="M227" s="3"/>
      <c r="N227" s="4">
        <v>0</v>
      </c>
      <c r="O227" s="4"/>
      <c r="P227" s="3"/>
      <c r="Q227" s="3"/>
      <c r="R227" s="3">
        <f t="shared" si="21"/>
        <v>0</v>
      </c>
      <c r="S227" s="1"/>
      <c r="V227" s="132"/>
      <c r="Y227" s="387"/>
    </row>
    <row r="228" spans="1:46">
      <c r="A228" s="351">
        <v>143</v>
      </c>
      <c r="C228" s="48" t="s">
        <v>1022</v>
      </c>
      <c r="F228" s="164">
        <v>0</v>
      </c>
      <c r="G228" s="1"/>
      <c r="H228" s="164"/>
      <c r="I228" s="68"/>
      <c r="J228" s="132">
        <f>ROUND(AC580+(AC580*'Rate SL'!$AG$1),6)</f>
        <v>9.6207759999999993</v>
      </c>
      <c r="K228" s="342"/>
      <c r="L228" s="3">
        <f>ROUND((F228*J228),0)</f>
        <v>0</v>
      </c>
      <c r="M228" s="3"/>
      <c r="N228" s="4">
        <v>0</v>
      </c>
      <c r="O228" s="4"/>
      <c r="P228" s="3"/>
      <c r="Q228" s="3"/>
      <c r="R228" s="3">
        <f>L228+P228</f>
        <v>0</v>
      </c>
      <c r="S228" s="1"/>
      <c r="V228" s="132"/>
      <c r="Y228" s="387"/>
    </row>
    <row r="229" spans="1:46">
      <c r="A229" s="351">
        <v>144</v>
      </c>
      <c r="C229" s="48" t="s">
        <v>1023</v>
      </c>
      <c r="F229" s="164">
        <v>0</v>
      </c>
      <c r="G229" s="1"/>
      <c r="H229" s="164"/>
      <c r="I229" s="68"/>
      <c r="J229" s="132">
        <f>ROUND(AC581+(AC581*'Rate SL'!$AG$1),6)</f>
        <v>11.300413000000001</v>
      </c>
      <c r="K229" s="342"/>
      <c r="L229" s="3">
        <f>ROUND((F229*J229),0)</f>
        <v>0</v>
      </c>
      <c r="M229" s="3"/>
      <c r="N229" s="4">
        <v>0</v>
      </c>
      <c r="O229" s="4"/>
      <c r="P229" s="3"/>
      <c r="Q229" s="3"/>
      <c r="R229" s="3">
        <f>L229+P229</f>
        <v>0</v>
      </c>
      <c r="S229" s="1"/>
      <c r="V229" s="132"/>
      <c r="Y229" s="387"/>
    </row>
    <row r="230" spans="1:46">
      <c r="A230" s="351">
        <v>145</v>
      </c>
      <c r="C230" s="48" t="s">
        <v>1024</v>
      </c>
      <c r="F230" s="164">
        <v>0</v>
      </c>
      <c r="G230" s="1"/>
      <c r="H230" s="164"/>
      <c r="I230" s="68"/>
      <c r="J230" s="132">
        <f>ROUND(AC582+(AC582*'Rate SL'!$AG$1),6)</f>
        <v>13.779877000000001</v>
      </c>
      <c r="K230" s="342"/>
      <c r="L230" s="3">
        <f>ROUND((F230*J230),0)</f>
        <v>0</v>
      </c>
      <c r="M230" s="3"/>
      <c r="N230" s="4">
        <v>0</v>
      </c>
      <c r="O230" s="4"/>
      <c r="P230" s="3"/>
      <c r="Q230" s="3"/>
      <c r="R230" s="3">
        <f>L230+P230</f>
        <v>0</v>
      </c>
      <c r="S230" s="1"/>
      <c r="V230" s="132"/>
      <c r="Y230" s="387"/>
    </row>
    <row r="231" spans="1:46">
      <c r="A231" s="351">
        <v>146</v>
      </c>
      <c r="C231" s="48" t="s">
        <v>1026</v>
      </c>
      <c r="F231" s="164">
        <v>0</v>
      </c>
      <c r="G231" s="1"/>
      <c r="H231" s="164"/>
      <c r="I231" s="68"/>
      <c r="J231" s="132">
        <f>ROUND(AC583+(AC583*'Rate SL'!$AG$1),6)</f>
        <v>5.3816930000000003</v>
      </c>
      <c r="K231" s="342"/>
      <c r="L231" s="3">
        <f>ROUND((F231*J231),0)</f>
        <v>0</v>
      </c>
      <c r="M231" s="3"/>
      <c r="N231" s="4">
        <v>0</v>
      </c>
      <c r="O231" s="4"/>
      <c r="P231" s="3"/>
      <c r="Q231" s="3"/>
      <c r="R231" s="3">
        <f>L231+P231</f>
        <v>0</v>
      </c>
      <c r="S231" s="1"/>
      <c r="V231" s="132"/>
      <c r="Y231" s="387"/>
    </row>
    <row r="232" spans="1:46">
      <c r="A232" s="351">
        <v>147</v>
      </c>
      <c r="C232" s="48" t="s">
        <v>1025</v>
      </c>
      <c r="F232" s="164">
        <v>0</v>
      </c>
      <c r="G232" s="1"/>
      <c r="H232" s="164"/>
      <c r="I232" s="68"/>
      <c r="J232" s="132">
        <f>ROUND(AC584+(AC584*'Rate SL'!$AG$1),6)</f>
        <v>5.8501630000000002</v>
      </c>
      <c r="K232" s="342"/>
      <c r="L232" s="3">
        <f>ROUND((F232*J232),0)</f>
        <v>0</v>
      </c>
      <c r="M232" s="3"/>
      <c r="N232" s="4">
        <v>0</v>
      </c>
      <c r="O232" s="4"/>
      <c r="P232" s="3"/>
      <c r="Q232" s="3"/>
      <c r="R232" s="3">
        <f>L232+P232</f>
        <v>0</v>
      </c>
      <c r="S232" s="1"/>
      <c r="V232" s="132"/>
      <c r="Y232" s="387"/>
    </row>
    <row r="233" spans="1:46">
      <c r="A233" s="351">
        <v>148</v>
      </c>
      <c r="C233" s="310" t="s">
        <v>821</v>
      </c>
      <c r="F233" s="72">
        <f>SUM(F113:F232)</f>
        <v>17</v>
      </c>
      <c r="G233" s="1"/>
      <c r="H233" s="164"/>
      <c r="I233" s="68"/>
      <c r="J233" s="132"/>
      <c r="K233" s="342"/>
      <c r="L233" s="72">
        <f>SUM(L113:L232)</f>
        <v>153</v>
      </c>
      <c r="M233" s="3"/>
      <c r="N233" s="74">
        <f>ROUND((L233/L$340)*100,1)</f>
        <v>0.7</v>
      </c>
      <c r="O233" s="4"/>
      <c r="P233" s="3"/>
      <c r="Q233" s="3"/>
      <c r="R233" s="72">
        <f>SUM(R113:R232)</f>
        <v>153</v>
      </c>
      <c r="S233" s="1"/>
      <c r="V233" s="132"/>
      <c r="Y233" s="387"/>
    </row>
    <row r="234" spans="1:46">
      <c r="A234" s="365"/>
      <c r="B234" s="361"/>
      <c r="C234" s="48"/>
      <c r="D234" s="361"/>
      <c r="F234" s="164"/>
      <c r="G234" s="1"/>
      <c r="H234" s="164"/>
      <c r="I234" s="68"/>
      <c r="J234" s="132"/>
      <c r="K234" s="342"/>
      <c r="L234" s="3"/>
      <c r="M234" s="3"/>
      <c r="N234" s="4"/>
      <c r="O234" s="4"/>
      <c r="P234" s="3"/>
      <c r="Q234" s="3"/>
      <c r="R234" s="3"/>
      <c r="S234" s="1"/>
      <c r="V234" s="132"/>
      <c r="Y234" s="387"/>
    </row>
    <row r="235" spans="1:46">
      <c r="A235" s="365">
        <f>A233+1</f>
        <v>149</v>
      </c>
      <c r="B235" s="361"/>
      <c r="C235" s="133" t="s">
        <v>913</v>
      </c>
      <c r="D235" s="361"/>
      <c r="F235" s="164"/>
      <c r="G235" s="1"/>
      <c r="H235" s="164"/>
      <c r="I235" s="68"/>
      <c r="J235" s="132"/>
      <c r="K235" s="342"/>
      <c r="L235" s="3"/>
      <c r="M235" s="3"/>
      <c r="N235" s="4"/>
      <c r="O235" s="4"/>
      <c r="P235" s="3"/>
      <c r="Q235" s="3"/>
      <c r="R235" s="3"/>
      <c r="S235" s="1"/>
      <c r="V235" s="132"/>
      <c r="Y235" s="387"/>
    </row>
    <row r="236" spans="1:46">
      <c r="A236" s="365">
        <f>A235+1</f>
        <v>150</v>
      </c>
      <c r="C236" s="48" t="s">
        <v>915</v>
      </c>
      <c r="F236" s="164">
        <v>0</v>
      </c>
      <c r="G236" s="1"/>
      <c r="H236" s="164"/>
      <c r="I236" s="68"/>
      <c r="J236" s="132">
        <f>ROUND(AC588+(AC588*'Rate SL'!$AG$1),6)</f>
        <v>15.196713000000001</v>
      </c>
      <c r="K236" s="342"/>
      <c r="L236" s="3">
        <f>ROUND((F236*J236),0)</f>
        <v>0</v>
      </c>
      <c r="M236" s="3"/>
      <c r="N236" s="4">
        <v>0</v>
      </c>
      <c r="O236" s="4"/>
      <c r="P236" s="3"/>
      <c r="Q236" s="3"/>
      <c r="R236" s="3">
        <f t="shared" ref="R236:R248" si="26">L236+P236</f>
        <v>0</v>
      </c>
      <c r="S236" s="1"/>
      <c r="V236" s="132"/>
      <c r="Y236" s="387"/>
    </row>
    <row r="237" spans="1:46">
      <c r="A237" s="365">
        <f t="shared" ref="A237:A249" si="27">A236+1</f>
        <v>151</v>
      </c>
      <c r="C237" s="48" t="s">
        <v>916</v>
      </c>
      <c r="F237" s="164">
        <v>0</v>
      </c>
      <c r="G237" s="1"/>
      <c r="H237" s="164"/>
      <c r="I237" s="68"/>
      <c r="J237" s="132">
        <f>ROUND(AC589+(AC589*'Rate SL'!$AG$1),6)</f>
        <v>14.031250999999999</v>
      </c>
      <c r="K237" s="342"/>
      <c r="L237" s="3">
        <f t="shared" ref="L237:L248" si="28">ROUND((F237*J237),0)</f>
        <v>0</v>
      </c>
      <c r="M237" s="3"/>
      <c r="N237" s="4">
        <v>0</v>
      </c>
      <c r="O237" s="4"/>
      <c r="P237" s="3"/>
      <c r="Q237" s="3"/>
      <c r="R237" s="3">
        <f t="shared" si="26"/>
        <v>0</v>
      </c>
      <c r="S237" s="1"/>
      <c r="V237" s="132"/>
      <c r="Y237" s="387"/>
    </row>
    <row r="238" spans="1:46">
      <c r="A238" s="365">
        <f t="shared" si="27"/>
        <v>152</v>
      </c>
      <c r="C238" s="48" t="s">
        <v>917</v>
      </c>
      <c r="F238" s="164">
        <v>0</v>
      </c>
      <c r="G238" s="1"/>
      <c r="H238" s="164"/>
      <c r="I238" s="68"/>
      <c r="J238" s="132">
        <f>ROUND(AC590+(AC590*'Rate SL'!$AG$1),6)</f>
        <v>15.048173999999999</v>
      </c>
      <c r="K238" s="342"/>
      <c r="L238" s="3">
        <f t="shared" si="28"/>
        <v>0</v>
      </c>
      <c r="M238" s="3"/>
      <c r="N238" s="4">
        <v>0</v>
      </c>
      <c r="O238" s="4"/>
      <c r="P238" s="3"/>
      <c r="Q238" s="3"/>
      <c r="R238" s="3">
        <f t="shared" si="26"/>
        <v>0</v>
      </c>
      <c r="S238" s="1"/>
      <c r="V238" s="132"/>
      <c r="Y238" s="387"/>
    </row>
    <row r="239" spans="1:46">
      <c r="A239" s="365">
        <f t="shared" si="27"/>
        <v>153</v>
      </c>
      <c r="C239" s="48" t="s">
        <v>918</v>
      </c>
      <c r="F239" s="164">
        <v>0</v>
      </c>
      <c r="G239" s="1"/>
      <c r="H239" s="164"/>
      <c r="I239" s="1"/>
      <c r="J239" s="132">
        <f>ROUND(AC591+(AC591*'Rate SL'!$AG$1),6)</f>
        <v>14.031250999999999</v>
      </c>
      <c r="K239" s="5"/>
      <c r="L239" s="3">
        <f t="shared" si="28"/>
        <v>0</v>
      </c>
      <c r="M239" s="1"/>
      <c r="N239" s="4">
        <v>0</v>
      </c>
      <c r="O239" s="1"/>
      <c r="P239" s="3"/>
      <c r="Q239" s="1"/>
      <c r="R239" s="3">
        <f t="shared" si="26"/>
        <v>0</v>
      </c>
      <c r="U239" s="40"/>
      <c r="V239" s="369"/>
      <c r="X239" s="40"/>
      <c r="Y239" s="387"/>
      <c r="Z239" s="40"/>
      <c r="AD239" s="40"/>
      <c r="AE239" s="40"/>
      <c r="AF239" s="40"/>
      <c r="AG239" s="100"/>
      <c r="AH239" s="40"/>
      <c r="AI239" s="40"/>
      <c r="AJ239" s="40"/>
      <c r="AK239" s="100"/>
      <c r="AL239" s="40"/>
      <c r="AM239" s="40"/>
      <c r="AT239" s="45"/>
    </row>
    <row r="240" spans="1:46">
      <c r="A240" s="365">
        <f t="shared" si="27"/>
        <v>154</v>
      </c>
      <c r="C240" s="48" t="s">
        <v>919</v>
      </c>
      <c r="F240" s="164">
        <v>0</v>
      </c>
      <c r="G240" s="1"/>
      <c r="H240" s="164"/>
      <c r="I240" s="68"/>
      <c r="J240" s="132">
        <f>ROUND(AC592+(AC592*'Rate SL'!$AG$1),6)</f>
        <v>14.031250999999999</v>
      </c>
      <c r="K240" s="342"/>
      <c r="L240" s="3">
        <f t="shared" si="28"/>
        <v>0</v>
      </c>
      <c r="M240" s="3"/>
      <c r="N240" s="4">
        <v>0</v>
      </c>
      <c r="O240" s="4"/>
      <c r="P240" s="3"/>
      <c r="Q240" s="3"/>
      <c r="R240" s="3">
        <f t="shared" si="26"/>
        <v>0</v>
      </c>
      <c r="S240" s="1"/>
      <c r="U240" s="40"/>
      <c r="V240" s="132"/>
      <c r="X240" s="40"/>
      <c r="Y240" s="387"/>
      <c r="Z240" s="40"/>
      <c r="AD240" s="40"/>
      <c r="AE240" s="40"/>
      <c r="AF240" s="40"/>
      <c r="AG240" s="100"/>
      <c r="AH240" s="40"/>
      <c r="AI240" s="40"/>
      <c r="AJ240" s="40"/>
      <c r="AK240" s="100"/>
      <c r="AL240" s="40"/>
      <c r="AM240" s="40"/>
      <c r="AT240" s="164"/>
    </row>
    <row r="241" spans="1:46">
      <c r="A241" s="365">
        <f t="shared" si="27"/>
        <v>155</v>
      </c>
      <c r="C241" s="48" t="s">
        <v>920</v>
      </c>
      <c r="F241" s="164">
        <v>0</v>
      </c>
      <c r="G241" s="1"/>
      <c r="H241" s="164"/>
      <c r="I241" s="68"/>
      <c r="J241" s="132">
        <f>ROUND(AC593+(AC593*'Rate SL'!$AG$1),6)</f>
        <v>14.031250999999999</v>
      </c>
      <c r="K241" s="342"/>
      <c r="L241" s="3">
        <f t="shared" si="28"/>
        <v>0</v>
      </c>
      <c r="M241" s="3"/>
      <c r="N241" s="4">
        <v>0</v>
      </c>
      <c r="O241" s="4"/>
      <c r="P241" s="3"/>
      <c r="Q241" s="3"/>
      <c r="R241" s="3">
        <f t="shared" si="26"/>
        <v>0</v>
      </c>
      <c r="S241" s="1"/>
      <c r="U241" s="40"/>
      <c r="V241" s="132"/>
      <c r="X241" s="40"/>
      <c r="Y241" s="387"/>
      <c r="Z241" s="40"/>
      <c r="AD241" s="40"/>
      <c r="AE241" s="40"/>
      <c r="AF241" s="40"/>
      <c r="AG241" s="100"/>
      <c r="AH241" s="40"/>
      <c r="AI241" s="40"/>
      <c r="AJ241" s="40"/>
      <c r="AK241" s="100"/>
      <c r="AL241" s="40"/>
      <c r="AM241" s="40"/>
      <c r="AT241" s="164"/>
    </row>
    <row r="242" spans="1:46">
      <c r="A242" s="365">
        <f t="shared" si="27"/>
        <v>156</v>
      </c>
      <c r="C242" s="48" t="s">
        <v>921</v>
      </c>
      <c r="F242" s="164">
        <v>0</v>
      </c>
      <c r="G242" s="1"/>
      <c r="H242" s="164"/>
      <c r="I242" s="68"/>
      <c r="J242" s="132">
        <f>ROUND(AC594+(AC594*'Rate SL'!$AG$1),6)</f>
        <v>21.401084999999998</v>
      </c>
      <c r="K242" s="342"/>
      <c r="L242" s="3">
        <f t="shared" si="28"/>
        <v>0</v>
      </c>
      <c r="M242" s="3"/>
      <c r="N242" s="4">
        <v>0</v>
      </c>
      <c r="O242" s="4"/>
      <c r="P242" s="3"/>
      <c r="Q242" s="3"/>
      <c r="R242" s="3">
        <f t="shared" si="26"/>
        <v>0</v>
      </c>
      <c r="S242" s="1"/>
      <c r="U242" s="40"/>
      <c r="V242" s="132"/>
      <c r="W242" s="40"/>
      <c r="X242" s="40"/>
      <c r="Y242" s="387"/>
      <c r="Z242" s="40"/>
      <c r="AD242" s="40"/>
      <c r="AE242" s="40"/>
      <c r="AF242" s="40"/>
      <c r="AG242" s="100"/>
      <c r="AH242" s="40"/>
      <c r="AI242" s="40"/>
      <c r="AJ242" s="40"/>
      <c r="AK242" s="100"/>
      <c r="AL242" s="40"/>
      <c r="AM242" s="40"/>
      <c r="AT242" s="164"/>
    </row>
    <row r="243" spans="1:46">
      <c r="A243" s="365">
        <f t="shared" si="27"/>
        <v>157</v>
      </c>
      <c r="C243" s="48" t="s">
        <v>922</v>
      </c>
      <c r="F243" s="164">
        <v>0</v>
      </c>
      <c r="G243" s="1"/>
      <c r="H243" s="164"/>
      <c r="I243" s="68"/>
      <c r="J243" s="132">
        <f>ROUND(AC595+(AC595*'Rate SL'!$AG$1),6)</f>
        <v>17.024889000000002</v>
      </c>
      <c r="K243" s="342"/>
      <c r="L243" s="3">
        <f t="shared" si="28"/>
        <v>0</v>
      </c>
      <c r="M243" s="3"/>
      <c r="N243" s="4">
        <v>0</v>
      </c>
      <c r="O243" s="4"/>
      <c r="P243" s="3"/>
      <c r="Q243" s="3"/>
      <c r="R243" s="3">
        <f t="shared" si="26"/>
        <v>0</v>
      </c>
      <c r="S243" s="1"/>
      <c r="U243" s="40"/>
      <c r="V243" s="132"/>
      <c r="W243" s="40"/>
      <c r="X243" s="40"/>
      <c r="Y243" s="387"/>
      <c r="Z243" s="40"/>
      <c r="AA243" s="164"/>
      <c r="AB243" s="40"/>
      <c r="AD243" s="40"/>
      <c r="AE243" s="40"/>
      <c r="AF243" s="40"/>
      <c r="AG243" s="100"/>
      <c r="AH243" s="40"/>
      <c r="AI243" s="40"/>
      <c r="AJ243" s="40"/>
      <c r="AK243" s="100"/>
      <c r="AL243" s="40"/>
      <c r="AM243" s="40"/>
      <c r="AT243" s="164"/>
    </row>
    <row r="244" spans="1:46">
      <c r="A244" s="365">
        <f t="shared" si="27"/>
        <v>158</v>
      </c>
      <c r="C244" s="42" t="s">
        <v>923</v>
      </c>
      <c r="F244" s="164">
        <v>0</v>
      </c>
      <c r="G244" s="1"/>
      <c r="H244" s="3"/>
      <c r="I244" s="3"/>
      <c r="J244" s="132">
        <f>ROUND(AC596+(AC596*'Rate SL'!$AG$1),6)</f>
        <v>17.664750999999999</v>
      </c>
      <c r="K244" s="1"/>
      <c r="L244" s="3">
        <f t="shared" si="28"/>
        <v>0</v>
      </c>
      <c r="M244" s="3"/>
      <c r="N244" s="4">
        <v>0</v>
      </c>
      <c r="O244" s="6"/>
      <c r="P244" s="45"/>
      <c r="Q244" s="3"/>
      <c r="R244" s="3">
        <f t="shared" si="26"/>
        <v>0</v>
      </c>
      <c r="V244" s="44"/>
      <c r="W244" s="44"/>
      <c r="X244" s="44"/>
      <c r="Y244" s="44"/>
      <c r="Z244" s="44"/>
      <c r="AA244" s="3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  <c r="AO244" s="44"/>
      <c r="AP244" s="44"/>
      <c r="AR244" s="44"/>
      <c r="AS244" s="44"/>
    </row>
    <row r="245" spans="1:46">
      <c r="A245" s="365">
        <f t="shared" si="27"/>
        <v>159</v>
      </c>
      <c r="C245" s="41" t="s">
        <v>924</v>
      </c>
      <c r="F245" s="164">
        <v>0</v>
      </c>
      <c r="G245" s="1"/>
      <c r="H245" s="3"/>
      <c r="I245" s="3"/>
      <c r="J245" s="132">
        <f>ROUND(AC597+(AC597*'Rate SL'!$AG$1),6)</f>
        <v>17.664750999999999</v>
      </c>
      <c r="K245" s="1"/>
      <c r="L245" s="3">
        <f t="shared" si="28"/>
        <v>0</v>
      </c>
      <c r="M245" s="3"/>
      <c r="N245" s="4">
        <v>0</v>
      </c>
      <c r="O245" s="6"/>
      <c r="P245" s="45"/>
      <c r="Q245" s="3"/>
      <c r="R245" s="3">
        <f t="shared" si="26"/>
        <v>0</v>
      </c>
      <c r="V245" s="44"/>
      <c r="W245" s="44"/>
      <c r="X245" s="44"/>
      <c r="Y245" s="44"/>
      <c r="Z245" s="44"/>
      <c r="AA245" s="3"/>
      <c r="AC245" s="44"/>
      <c r="AD245" s="44"/>
      <c r="AE245" s="44"/>
      <c r="AF245" s="44"/>
      <c r="AG245" s="102"/>
      <c r="AH245" s="44"/>
      <c r="AI245" s="44"/>
      <c r="AJ245" s="44"/>
      <c r="AK245" s="102"/>
      <c r="AL245" s="44"/>
      <c r="AM245" s="44"/>
      <c r="AN245" s="44"/>
      <c r="AO245" s="44"/>
      <c r="AP245" s="44"/>
      <c r="AR245" s="44"/>
      <c r="AS245" s="44"/>
    </row>
    <row r="246" spans="1:46">
      <c r="A246" s="365">
        <f t="shared" si="27"/>
        <v>160</v>
      </c>
      <c r="C246" s="41" t="s">
        <v>925</v>
      </c>
      <c r="F246" s="164">
        <v>0</v>
      </c>
      <c r="G246" s="1"/>
      <c r="H246" s="3"/>
      <c r="I246" s="3"/>
      <c r="J246" s="132">
        <f>ROUND(AC598+(AC598*'Rate SL'!$AG$1),6)</f>
        <v>17.664750999999999</v>
      </c>
      <c r="K246" s="1"/>
      <c r="L246" s="3">
        <f t="shared" si="28"/>
        <v>0</v>
      </c>
      <c r="M246" s="3"/>
      <c r="N246" s="4">
        <v>0</v>
      </c>
      <c r="O246" s="6"/>
      <c r="P246" s="3"/>
      <c r="Q246" s="3"/>
      <c r="R246" s="3">
        <f t="shared" si="26"/>
        <v>0</v>
      </c>
      <c r="V246" s="44"/>
      <c r="W246" s="44"/>
      <c r="X246" s="44"/>
      <c r="Y246" s="44"/>
      <c r="Z246" s="44"/>
      <c r="AA246" s="3"/>
      <c r="AC246" s="44"/>
      <c r="AD246" s="44"/>
      <c r="AE246" s="44"/>
      <c r="AF246" s="44"/>
      <c r="AG246" s="102"/>
      <c r="AH246" s="44"/>
      <c r="AI246" s="44"/>
      <c r="AJ246" s="44"/>
      <c r="AK246" s="102"/>
      <c r="AL246" s="44"/>
      <c r="AM246" s="44"/>
      <c r="AN246" s="44"/>
      <c r="AO246" s="44"/>
      <c r="AP246" s="44"/>
      <c r="AR246" s="44"/>
      <c r="AS246" s="44"/>
    </row>
    <row r="247" spans="1:46">
      <c r="A247" s="365">
        <f t="shared" si="27"/>
        <v>161</v>
      </c>
      <c r="C247" s="41" t="s">
        <v>926</v>
      </c>
      <c r="F247" s="164">
        <v>0</v>
      </c>
      <c r="G247" s="1"/>
      <c r="H247" s="3"/>
      <c r="I247" s="3"/>
      <c r="J247" s="132">
        <f>ROUND(AC599+(AC599*'Rate SL'!$AG$1),6)</f>
        <v>17.664750999999999</v>
      </c>
      <c r="K247" s="1"/>
      <c r="L247" s="3">
        <f t="shared" si="28"/>
        <v>0</v>
      </c>
      <c r="M247" s="3"/>
      <c r="N247" s="4">
        <v>0</v>
      </c>
      <c r="O247" s="6"/>
      <c r="P247" s="45"/>
      <c r="Q247" s="3"/>
      <c r="R247" s="3">
        <f t="shared" si="26"/>
        <v>0</v>
      </c>
      <c r="V247" s="44"/>
      <c r="W247" s="44"/>
      <c r="X247" s="44"/>
      <c r="Y247" s="44"/>
      <c r="Z247" s="44"/>
      <c r="AA247" s="3"/>
      <c r="AC247" s="44"/>
      <c r="AD247" s="44"/>
      <c r="AE247" s="44"/>
      <c r="AF247" s="44"/>
      <c r="AG247" s="102"/>
      <c r="AH247" s="44"/>
      <c r="AI247" s="44"/>
      <c r="AJ247" s="44"/>
      <c r="AK247" s="102"/>
      <c r="AL247" s="44"/>
      <c r="AM247" s="44"/>
      <c r="AN247" s="44"/>
      <c r="AO247" s="44"/>
      <c r="AP247" s="44"/>
      <c r="AR247" s="44"/>
      <c r="AS247" s="44"/>
    </row>
    <row r="248" spans="1:46">
      <c r="A248" s="365">
        <f t="shared" si="27"/>
        <v>162</v>
      </c>
      <c r="C248" s="42" t="s">
        <v>927</v>
      </c>
      <c r="F248" s="164">
        <v>0</v>
      </c>
      <c r="G248" s="1"/>
      <c r="H248" s="3"/>
      <c r="I248" s="3"/>
      <c r="J248" s="132">
        <f>ROUND(AC600+(AC600*'Rate SL'!$AG$1),6)</f>
        <v>9.0951760000000004</v>
      </c>
      <c r="K248" s="1"/>
      <c r="L248" s="3">
        <f t="shared" si="28"/>
        <v>0</v>
      </c>
      <c r="M248" s="3"/>
      <c r="N248" s="4">
        <v>0</v>
      </c>
      <c r="O248" s="6"/>
      <c r="P248" s="45"/>
      <c r="Q248" s="3"/>
      <c r="R248" s="3">
        <f t="shared" si="26"/>
        <v>0</v>
      </c>
      <c r="V248" s="44"/>
      <c r="W248" s="44"/>
      <c r="X248" s="44"/>
      <c r="Y248" s="44"/>
      <c r="Z248" s="44"/>
      <c r="AA248" s="3"/>
      <c r="AC248" s="44"/>
      <c r="AD248" s="44"/>
      <c r="AE248" s="44"/>
      <c r="AF248" s="44"/>
      <c r="AG248" s="102"/>
      <c r="AH248" s="44"/>
      <c r="AI248" s="44"/>
      <c r="AJ248" s="44"/>
      <c r="AK248" s="102"/>
      <c r="AL248" s="44"/>
      <c r="AM248" s="44"/>
      <c r="AN248" s="44"/>
      <c r="AO248" s="44"/>
      <c r="AP248" s="44"/>
      <c r="AR248" s="44"/>
      <c r="AS248" s="44"/>
    </row>
    <row r="249" spans="1:46" ht="15.75" customHeight="1">
      <c r="A249" s="365">
        <f t="shared" si="27"/>
        <v>163</v>
      </c>
      <c r="C249" s="310" t="s">
        <v>914</v>
      </c>
      <c r="F249" s="72">
        <f>SUM(F236:F248)</f>
        <v>0</v>
      </c>
      <c r="G249" s="1"/>
      <c r="H249" s="164"/>
      <c r="I249" s="68"/>
      <c r="J249" s="132"/>
      <c r="K249" s="342"/>
      <c r="L249" s="72">
        <f>SUM(L236:L248)</f>
        <v>0</v>
      </c>
      <c r="M249" s="3"/>
      <c r="N249" s="74">
        <f>ROUND((L249/L$340)*100,1)</f>
        <v>0</v>
      </c>
      <c r="O249" s="4"/>
      <c r="P249" s="3"/>
      <c r="Q249" s="3"/>
      <c r="R249" s="72">
        <f>SUM(R236:R248)</f>
        <v>0</v>
      </c>
      <c r="V249" s="42"/>
      <c r="Y249" s="348"/>
      <c r="AA249" s="3"/>
      <c r="AC249" s="45"/>
      <c r="AD249" s="45"/>
      <c r="AE249" s="316"/>
      <c r="AF249" s="316"/>
      <c r="AH249" s="45"/>
      <c r="AI249" s="46"/>
      <c r="AJ249" s="46"/>
      <c r="AL249" s="45"/>
      <c r="AM249" s="51"/>
      <c r="AN249" s="51"/>
      <c r="AO249" s="45"/>
      <c r="AP249" s="45"/>
      <c r="AR249" s="45"/>
      <c r="AS249" s="46"/>
    </row>
    <row r="250" spans="1:46">
      <c r="C250" s="42"/>
      <c r="F250" s="3"/>
      <c r="G250" s="1"/>
      <c r="H250" s="3"/>
      <c r="I250" s="3"/>
      <c r="J250" s="1"/>
      <c r="K250" s="1"/>
      <c r="L250" s="3"/>
      <c r="M250" s="3"/>
      <c r="N250" s="4"/>
      <c r="O250" s="4"/>
      <c r="P250" s="3"/>
      <c r="Q250" s="3"/>
      <c r="R250" s="3"/>
      <c r="V250" s="42"/>
      <c r="AA250" s="3"/>
      <c r="AC250" s="45"/>
      <c r="AD250" s="45"/>
      <c r="AE250" s="316"/>
      <c r="AF250" s="316"/>
      <c r="AH250" s="45"/>
      <c r="AI250" s="46"/>
      <c r="AJ250" s="46"/>
      <c r="AL250" s="45"/>
      <c r="AM250" s="51"/>
      <c r="AN250" s="51"/>
      <c r="AO250" s="45"/>
      <c r="AP250" s="45"/>
      <c r="AR250" s="45"/>
      <c r="AS250" s="46"/>
    </row>
    <row r="251" spans="1:46">
      <c r="A251" s="41">
        <v>164</v>
      </c>
      <c r="C251" s="133" t="s">
        <v>928</v>
      </c>
      <c r="AA251" s="3"/>
      <c r="AC251" s="45"/>
      <c r="AD251" s="45"/>
      <c r="AE251" s="47"/>
      <c r="AF251" s="47"/>
      <c r="AH251" s="45"/>
      <c r="AI251" s="46"/>
      <c r="AJ251" s="46"/>
      <c r="AL251" s="45"/>
      <c r="AM251" s="51"/>
      <c r="AN251" s="51"/>
      <c r="AO251" s="45"/>
      <c r="AP251" s="45"/>
      <c r="AR251" s="45"/>
      <c r="AS251" s="46"/>
    </row>
    <row r="252" spans="1:46">
      <c r="A252" s="365">
        <v>165</v>
      </c>
      <c r="C252" s="48" t="s">
        <v>930</v>
      </c>
      <c r="F252" s="164">
        <v>0</v>
      </c>
      <c r="G252" s="1"/>
      <c r="H252" s="164"/>
      <c r="I252" s="68"/>
      <c r="J252" s="132">
        <f>ROUND(AC604+(AC604*'Rate SL'!$AG$1),6)</f>
        <v>2.2052369999999999</v>
      </c>
      <c r="K252" s="342"/>
      <c r="L252" s="3">
        <f>ROUND((F252*J252),0)</f>
        <v>0</v>
      </c>
      <c r="M252" s="3"/>
      <c r="N252" s="4">
        <v>0</v>
      </c>
      <c r="O252" s="4"/>
      <c r="P252" s="3"/>
      <c r="Q252" s="3"/>
      <c r="R252" s="3">
        <f>L252+P252</f>
        <v>0</v>
      </c>
      <c r="AA252" s="45"/>
      <c r="AC252" s="45"/>
      <c r="AD252" s="45"/>
      <c r="AE252" s="325"/>
      <c r="AF252" s="325"/>
      <c r="AH252" s="45"/>
      <c r="AI252" s="46"/>
      <c r="AJ252" s="46"/>
      <c r="AL252" s="45"/>
      <c r="AM252" s="51"/>
      <c r="AN252" s="51"/>
      <c r="AO252" s="45"/>
      <c r="AP252" s="45"/>
      <c r="AR252" s="45"/>
      <c r="AS252" s="46"/>
    </row>
    <row r="253" spans="1:46">
      <c r="A253" s="365">
        <f t="shared" ref="A253:A264" si="29">A252+1</f>
        <v>166</v>
      </c>
      <c r="C253" s="48" t="s">
        <v>931</v>
      </c>
      <c r="F253" s="164">
        <v>8</v>
      </c>
      <c r="G253" s="1"/>
      <c r="H253" s="164"/>
      <c r="I253" s="68"/>
      <c r="J253" s="132">
        <f>ROUND(AC605+(AC605*'Rate SL'!$AG$1),6)</f>
        <v>2.468038</v>
      </c>
      <c r="K253" s="342"/>
      <c r="L253" s="3">
        <f t="shared" ref="L253:L313" si="30">ROUND((F253*J253),0)</f>
        <v>20</v>
      </c>
      <c r="M253" s="3"/>
      <c r="N253" s="4">
        <v>0</v>
      </c>
      <c r="O253" s="4"/>
      <c r="P253" s="3"/>
      <c r="Q253" s="3"/>
      <c r="R253" s="3">
        <f t="shared" ref="R253:R313" si="31">L253+P253</f>
        <v>20</v>
      </c>
      <c r="AA253" s="45"/>
      <c r="AC253" s="45"/>
      <c r="AD253" s="45"/>
      <c r="AE253" s="325"/>
      <c r="AF253" s="325"/>
      <c r="AH253" s="45"/>
      <c r="AI253" s="46"/>
      <c r="AJ253" s="46"/>
      <c r="AL253" s="45"/>
      <c r="AM253" s="51"/>
      <c r="AN253" s="51"/>
      <c r="AO253" s="45"/>
      <c r="AP253" s="45"/>
      <c r="AR253" s="45"/>
      <c r="AS253" s="46"/>
    </row>
    <row r="254" spans="1:46">
      <c r="A254" s="365">
        <f t="shared" si="29"/>
        <v>167</v>
      </c>
      <c r="C254" s="48" t="s">
        <v>932</v>
      </c>
      <c r="F254" s="164">
        <v>0</v>
      </c>
      <c r="G254" s="1"/>
      <c r="H254" s="164"/>
      <c r="I254" s="68"/>
      <c r="J254" s="132">
        <f>ROUND(AC606+(AC606*'Rate SL'!$AG$1),6)</f>
        <v>2.4337589999999998</v>
      </c>
      <c r="K254" s="342"/>
      <c r="L254" s="3">
        <f t="shared" si="30"/>
        <v>0</v>
      </c>
      <c r="M254" s="3"/>
      <c r="N254" s="4">
        <v>0</v>
      </c>
      <c r="O254" s="4"/>
      <c r="P254" s="3"/>
      <c r="Q254" s="3"/>
      <c r="R254" s="3">
        <f t="shared" si="31"/>
        <v>0</v>
      </c>
      <c r="AA254" s="45"/>
      <c r="AC254" s="45"/>
      <c r="AD254" s="45"/>
      <c r="AE254" s="325"/>
      <c r="AF254" s="325"/>
      <c r="AH254" s="45"/>
      <c r="AI254" s="46"/>
      <c r="AJ254" s="46"/>
      <c r="AL254" s="45"/>
      <c r="AM254" s="51"/>
      <c r="AN254" s="51"/>
      <c r="AO254" s="45"/>
      <c r="AP254" s="45"/>
      <c r="AR254" s="45"/>
      <c r="AS254" s="46"/>
    </row>
    <row r="255" spans="1:46">
      <c r="A255" s="365">
        <f t="shared" si="29"/>
        <v>168</v>
      </c>
      <c r="C255" s="48" t="s">
        <v>933</v>
      </c>
      <c r="F255" s="164">
        <v>5</v>
      </c>
      <c r="G255" s="1"/>
      <c r="H255" s="164"/>
      <c r="I255" s="68"/>
      <c r="J255" s="132">
        <f>ROUND(AC607+(AC607*'Rate SL'!$AG$1),6)</f>
        <v>3.3021430000000001</v>
      </c>
      <c r="K255" s="342"/>
      <c r="L255" s="3">
        <f t="shared" si="30"/>
        <v>17</v>
      </c>
      <c r="M255" s="3"/>
      <c r="N255" s="4">
        <v>0</v>
      </c>
      <c r="O255" s="4"/>
      <c r="P255" s="3"/>
      <c r="Q255" s="3"/>
      <c r="R255" s="3">
        <f t="shared" si="31"/>
        <v>17</v>
      </c>
      <c r="AA255" s="45"/>
      <c r="AC255" s="45"/>
      <c r="AD255" s="45"/>
      <c r="AE255" s="325"/>
      <c r="AF255" s="325"/>
      <c r="AH255" s="45"/>
      <c r="AI255" s="46"/>
      <c r="AJ255" s="46"/>
      <c r="AL255" s="45"/>
      <c r="AM255" s="51"/>
      <c r="AN255" s="51"/>
      <c r="AO255" s="45"/>
      <c r="AP255" s="45"/>
      <c r="AR255" s="45"/>
      <c r="AS255" s="46"/>
    </row>
    <row r="256" spans="1:46">
      <c r="A256" s="365">
        <f t="shared" si="29"/>
        <v>169</v>
      </c>
      <c r="C256" s="48" t="s">
        <v>934</v>
      </c>
      <c r="F256" s="164">
        <v>0</v>
      </c>
      <c r="G256" s="1"/>
      <c r="H256" s="164"/>
      <c r="I256" s="68"/>
      <c r="J256" s="132">
        <f>ROUND(AC608+(AC608*'Rate SL'!$AG$1),6)</f>
        <v>5.4502499999999996</v>
      </c>
      <c r="K256" s="342"/>
      <c r="L256" s="3">
        <f t="shared" si="30"/>
        <v>0</v>
      </c>
      <c r="M256" s="3"/>
      <c r="N256" s="4">
        <v>0</v>
      </c>
      <c r="O256" s="4"/>
      <c r="P256" s="3"/>
      <c r="Q256" s="3"/>
      <c r="R256" s="3">
        <f t="shared" si="31"/>
        <v>0</v>
      </c>
      <c r="AA256" s="45"/>
      <c r="AC256" s="45"/>
      <c r="AD256" s="45"/>
      <c r="AE256" s="325"/>
      <c r="AF256" s="325"/>
      <c r="AH256" s="45"/>
      <c r="AI256" s="46"/>
      <c r="AJ256" s="46"/>
      <c r="AL256" s="45"/>
      <c r="AM256" s="51"/>
      <c r="AN256" s="51"/>
      <c r="AO256" s="45"/>
      <c r="AP256" s="45"/>
      <c r="AR256" s="45"/>
      <c r="AS256" s="46"/>
    </row>
    <row r="257" spans="1:45">
      <c r="A257" s="365">
        <f t="shared" si="29"/>
        <v>170</v>
      </c>
      <c r="C257" s="48" t="s">
        <v>935</v>
      </c>
      <c r="F257" s="164">
        <v>0</v>
      </c>
      <c r="G257" s="1"/>
      <c r="H257" s="164"/>
      <c r="I257" s="68"/>
      <c r="J257" s="132">
        <f>ROUND(AC609+(AC609*'Rate SL'!$AG$1),6)</f>
        <v>4.9589270000000001</v>
      </c>
      <c r="K257" s="342"/>
      <c r="L257" s="3">
        <f t="shared" si="30"/>
        <v>0</v>
      </c>
      <c r="M257" s="3"/>
      <c r="N257" s="4">
        <v>0</v>
      </c>
      <c r="O257" s="4"/>
      <c r="P257" s="3"/>
      <c r="Q257" s="3"/>
      <c r="R257" s="3">
        <f t="shared" si="31"/>
        <v>0</v>
      </c>
      <c r="AA257" s="45"/>
      <c r="AC257" s="45"/>
      <c r="AD257" s="45"/>
      <c r="AE257" s="325"/>
      <c r="AF257" s="325"/>
      <c r="AH257" s="45"/>
      <c r="AI257" s="46"/>
      <c r="AJ257" s="46"/>
      <c r="AL257" s="45"/>
      <c r="AM257" s="51"/>
      <c r="AN257" s="51"/>
      <c r="AO257" s="45"/>
      <c r="AP257" s="45"/>
      <c r="AR257" s="45"/>
      <c r="AS257" s="46"/>
    </row>
    <row r="258" spans="1:45">
      <c r="A258" s="365">
        <f t="shared" si="29"/>
        <v>171</v>
      </c>
      <c r="C258" s="48" t="s">
        <v>936</v>
      </c>
      <c r="F258" s="164">
        <v>5</v>
      </c>
      <c r="G258" s="1"/>
      <c r="H258" s="164"/>
      <c r="I258" s="68"/>
      <c r="J258" s="132">
        <f>ROUND(AC610+(AC610*'Rate SL'!$AG$1),6)</f>
        <v>5.7930330000000003</v>
      </c>
      <c r="K258" s="342"/>
      <c r="L258" s="3">
        <f t="shared" si="30"/>
        <v>29</v>
      </c>
      <c r="M258" s="3"/>
      <c r="N258" s="4">
        <v>0</v>
      </c>
      <c r="O258" s="4"/>
      <c r="P258" s="3"/>
      <c r="Q258" s="3"/>
      <c r="R258" s="3">
        <f t="shared" si="31"/>
        <v>29</v>
      </c>
      <c r="AA258" s="45"/>
      <c r="AC258" s="45"/>
      <c r="AD258" s="45"/>
      <c r="AE258" s="325"/>
      <c r="AF258" s="325"/>
      <c r="AH258" s="45"/>
      <c r="AI258" s="46"/>
      <c r="AJ258" s="46"/>
      <c r="AL258" s="45"/>
      <c r="AM258" s="51"/>
      <c r="AN258" s="51"/>
      <c r="AO258" s="45"/>
      <c r="AP258" s="45"/>
      <c r="AR258" s="45"/>
      <c r="AS258" s="46"/>
    </row>
    <row r="259" spans="1:45">
      <c r="A259" s="365">
        <f t="shared" si="29"/>
        <v>172</v>
      </c>
      <c r="C259" s="48" t="s">
        <v>937</v>
      </c>
      <c r="F259" s="164">
        <v>0</v>
      </c>
      <c r="G259" s="1"/>
      <c r="H259" s="164"/>
      <c r="I259" s="68"/>
      <c r="J259" s="132">
        <f>ROUND(AC611+(AC611*'Rate SL'!$AG$1),6)</f>
        <v>5.8730149999999997</v>
      </c>
      <c r="K259" s="342"/>
      <c r="L259" s="3">
        <f t="shared" si="30"/>
        <v>0</v>
      </c>
      <c r="M259" s="3"/>
      <c r="N259" s="4">
        <v>0</v>
      </c>
      <c r="O259" s="4"/>
      <c r="P259" s="3"/>
      <c r="Q259" s="3"/>
      <c r="R259" s="3">
        <f t="shared" si="31"/>
        <v>0</v>
      </c>
      <c r="AA259" s="45"/>
      <c r="AC259" s="45"/>
      <c r="AD259" s="45"/>
      <c r="AE259" s="325"/>
      <c r="AF259" s="325"/>
      <c r="AH259" s="45"/>
      <c r="AI259" s="46"/>
      <c r="AJ259" s="46"/>
      <c r="AL259" s="45"/>
      <c r="AM259" s="51"/>
      <c r="AN259" s="51"/>
      <c r="AO259" s="45"/>
      <c r="AP259" s="45"/>
      <c r="AR259" s="45"/>
      <c r="AS259" s="46"/>
    </row>
    <row r="260" spans="1:45">
      <c r="A260" s="365">
        <f t="shared" si="29"/>
        <v>173</v>
      </c>
      <c r="C260" s="48" t="s">
        <v>938</v>
      </c>
      <c r="F260" s="164">
        <v>0</v>
      </c>
      <c r="G260" s="1"/>
      <c r="H260" s="164"/>
      <c r="I260" s="3"/>
      <c r="J260" s="132">
        <f>ROUND(AC612+(AC612*'Rate SL'!$AG$1),6)</f>
        <v>5.952998</v>
      </c>
      <c r="K260" s="342"/>
      <c r="L260" s="3">
        <f t="shared" si="30"/>
        <v>0</v>
      </c>
      <c r="M260" s="3"/>
      <c r="N260" s="4">
        <v>0</v>
      </c>
      <c r="O260" s="4"/>
      <c r="P260" s="3"/>
      <c r="Q260" s="3"/>
      <c r="R260" s="3">
        <f t="shared" si="31"/>
        <v>0</v>
      </c>
      <c r="AA260" s="45"/>
      <c r="AC260" s="45"/>
      <c r="AD260" s="45"/>
      <c r="AE260" s="325"/>
      <c r="AF260" s="325"/>
      <c r="AH260" s="45"/>
      <c r="AI260" s="46"/>
      <c r="AJ260" s="46"/>
      <c r="AL260" s="45"/>
      <c r="AM260" s="51"/>
      <c r="AN260" s="51"/>
      <c r="AO260" s="45"/>
      <c r="AP260" s="45"/>
      <c r="AR260" s="45"/>
      <c r="AS260" s="46"/>
    </row>
    <row r="261" spans="1:45">
      <c r="A261" s="365">
        <f t="shared" si="29"/>
        <v>174</v>
      </c>
      <c r="C261" s="48" t="s">
        <v>939</v>
      </c>
      <c r="D261" s="48"/>
      <c r="E261" s="42"/>
      <c r="F261" s="164">
        <v>0</v>
      </c>
      <c r="G261" s="1"/>
      <c r="H261" s="164"/>
      <c r="I261" s="1"/>
      <c r="J261" s="132">
        <f>ROUND(AC613+(AC613*'Rate SL'!$AG$1),6)</f>
        <v>7.3926869999999996</v>
      </c>
      <c r="K261" s="342"/>
      <c r="L261" s="3">
        <f t="shared" si="30"/>
        <v>0</v>
      </c>
      <c r="M261" s="3"/>
      <c r="N261" s="4">
        <v>0</v>
      </c>
      <c r="O261" s="4"/>
      <c r="P261" s="3"/>
      <c r="Q261" s="3"/>
      <c r="R261" s="3">
        <f t="shared" si="31"/>
        <v>0</v>
      </c>
      <c r="AA261" s="45"/>
      <c r="AC261" s="45"/>
      <c r="AD261" s="45"/>
      <c r="AE261" s="325"/>
      <c r="AF261" s="325"/>
      <c r="AH261" s="45"/>
      <c r="AI261" s="46"/>
      <c r="AJ261" s="46"/>
      <c r="AL261" s="45"/>
      <c r="AM261" s="51"/>
      <c r="AN261" s="51"/>
      <c r="AO261" s="45"/>
      <c r="AP261" s="45"/>
      <c r="AR261" s="45"/>
      <c r="AS261" s="46"/>
    </row>
    <row r="262" spans="1:45">
      <c r="A262" s="365">
        <f t="shared" si="29"/>
        <v>175</v>
      </c>
      <c r="C262" s="48" t="s">
        <v>940</v>
      </c>
      <c r="F262" s="164">
        <v>0</v>
      </c>
      <c r="G262" s="1"/>
      <c r="H262" s="164"/>
      <c r="I262" s="1"/>
      <c r="J262" s="132">
        <f>ROUND(AC614+(AC614*'Rate SL'!$AG$1),6)</f>
        <v>7.7926000000000002</v>
      </c>
      <c r="K262" s="342"/>
      <c r="L262" s="3">
        <f t="shared" si="30"/>
        <v>0</v>
      </c>
      <c r="M262" s="3"/>
      <c r="N262" s="4">
        <v>0</v>
      </c>
      <c r="O262" s="4"/>
      <c r="P262" s="3"/>
      <c r="Q262" s="3"/>
      <c r="R262" s="3">
        <f t="shared" si="31"/>
        <v>0</v>
      </c>
      <c r="AA262" s="45"/>
      <c r="AC262" s="45"/>
      <c r="AD262" s="45"/>
      <c r="AE262" s="325"/>
      <c r="AF262" s="325"/>
      <c r="AH262" s="45"/>
      <c r="AI262" s="46"/>
      <c r="AJ262" s="46"/>
      <c r="AL262" s="45"/>
      <c r="AM262" s="51"/>
      <c r="AN262" s="51"/>
      <c r="AO262" s="45"/>
      <c r="AP262" s="45"/>
      <c r="AR262" s="45"/>
      <c r="AS262" s="46"/>
    </row>
    <row r="263" spans="1:45">
      <c r="A263" s="365">
        <f t="shared" si="29"/>
        <v>176</v>
      </c>
      <c r="C263" s="48" t="s">
        <v>941</v>
      </c>
      <c r="F263" s="164">
        <v>0</v>
      </c>
      <c r="G263" s="1"/>
      <c r="H263" s="164"/>
      <c r="I263" s="1"/>
      <c r="J263" s="132">
        <f>ROUND(AC615+(AC615*'Rate SL'!$AG$1),6)</f>
        <v>7.1184599999999998</v>
      </c>
      <c r="K263" s="342"/>
      <c r="L263" s="3">
        <f t="shared" si="30"/>
        <v>0</v>
      </c>
      <c r="M263" s="3"/>
      <c r="N263" s="4">
        <v>0</v>
      </c>
      <c r="O263" s="4"/>
      <c r="P263" s="3"/>
      <c r="Q263" s="3"/>
      <c r="R263" s="3">
        <f t="shared" si="31"/>
        <v>0</v>
      </c>
      <c r="AA263" s="45"/>
      <c r="AC263" s="45"/>
      <c r="AD263" s="45"/>
      <c r="AE263" s="325"/>
      <c r="AF263" s="325"/>
      <c r="AH263" s="45"/>
      <c r="AI263" s="46"/>
      <c r="AJ263" s="46"/>
      <c r="AL263" s="45"/>
      <c r="AM263" s="51"/>
      <c r="AN263" s="51"/>
      <c r="AO263" s="45"/>
      <c r="AP263" s="45"/>
      <c r="AR263" s="45"/>
      <c r="AS263" s="46"/>
    </row>
    <row r="264" spans="1:45">
      <c r="A264" s="365">
        <f t="shared" si="29"/>
        <v>177</v>
      </c>
      <c r="C264" s="48" t="s">
        <v>942</v>
      </c>
      <c r="F264" s="164">
        <v>0</v>
      </c>
      <c r="G264" s="1"/>
      <c r="H264" s="164"/>
      <c r="I264" s="68"/>
      <c r="J264" s="132">
        <f>ROUND(AC616+(AC616*'Rate SL'!$AG$1),6)</f>
        <v>8.5010180000000002</v>
      </c>
      <c r="K264" s="342"/>
      <c r="L264" s="3">
        <f t="shared" si="30"/>
        <v>0</v>
      </c>
      <c r="M264" s="3"/>
      <c r="N264" s="4">
        <v>0</v>
      </c>
      <c r="O264" s="4"/>
      <c r="P264" s="3"/>
      <c r="Q264" s="3"/>
      <c r="R264" s="3">
        <f t="shared" si="31"/>
        <v>0</v>
      </c>
      <c r="AA264" s="45"/>
      <c r="AC264" s="45"/>
      <c r="AD264" s="45"/>
      <c r="AE264" s="325"/>
      <c r="AF264" s="325"/>
      <c r="AH264" s="45"/>
      <c r="AI264" s="46"/>
      <c r="AJ264" s="46"/>
      <c r="AL264" s="45"/>
      <c r="AM264" s="51"/>
      <c r="AN264" s="51"/>
      <c r="AO264" s="45"/>
      <c r="AP264" s="45"/>
      <c r="AR264" s="45"/>
      <c r="AS264" s="46"/>
    </row>
    <row r="265" spans="1:45">
      <c r="A265" s="365"/>
      <c r="C265" s="48"/>
      <c r="F265" s="164"/>
      <c r="G265" s="1"/>
      <c r="H265" s="164"/>
      <c r="I265" s="68"/>
      <c r="J265" s="132"/>
      <c r="K265" s="342"/>
      <c r="L265" s="3"/>
      <c r="M265" s="3"/>
      <c r="N265" s="4"/>
      <c r="O265" s="4"/>
      <c r="P265" s="3"/>
      <c r="Q265" s="3"/>
      <c r="R265" s="3"/>
      <c r="AA265" s="45"/>
      <c r="AC265" s="45"/>
      <c r="AD265" s="45"/>
      <c r="AE265" s="325"/>
      <c r="AF265" s="325"/>
      <c r="AH265" s="45"/>
      <c r="AI265" s="46"/>
      <c r="AJ265" s="46"/>
      <c r="AL265" s="45"/>
      <c r="AM265" s="51"/>
      <c r="AN265" s="51"/>
      <c r="AO265" s="45"/>
      <c r="AP265" s="45"/>
      <c r="AR265" s="45"/>
      <c r="AS265" s="46"/>
    </row>
    <row r="266" spans="1:45">
      <c r="A266" s="140" t="s">
        <v>76</v>
      </c>
      <c r="B266" s="362"/>
      <c r="C266" s="362"/>
      <c r="D266" s="362"/>
      <c r="E266" s="362"/>
      <c r="F266" s="362"/>
      <c r="G266" s="362"/>
      <c r="H266" s="362"/>
      <c r="I266" s="362"/>
      <c r="J266" s="141"/>
      <c r="K266" s="362"/>
      <c r="L266" s="363"/>
      <c r="M266" s="362"/>
      <c r="N266" s="362"/>
      <c r="O266" s="362"/>
      <c r="P266" s="141"/>
      <c r="Q266" s="130"/>
      <c r="R266" s="130"/>
      <c r="AA266" s="45"/>
      <c r="AC266" s="45"/>
      <c r="AD266" s="45"/>
      <c r="AE266" s="325"/>
      <c r="AF266" s="325"/>
      <c r="AH266" s="45"/>
      <c r="AI266" s="46"/>
      <c r="AJ266" s="46"/>
      <c r="AL266" s="45"/>
      <c r="AM266" s="51"/>
      <c r="AN266" s="51"/>
      <c r="AO266" s="45"/>
      <c r="AP266" s="45"/>
      <c r="AR266" s="45"/>
      <c r="AS266" s="46"/>
    </row>
    <row r="267" spans="1:45">
      <c r="A267" s="140" t="str">
        <f>"(1A) REFLECTS FUEL COST RECOVERY INCLUDED IN BASE RATES OF "&amp;TEXT(CUR_BASE_FUEL,"$0.000000;($0.000000)")&amp;"  PER KWH."</f>
        <v>(1A) REFLECTS FUEL COST RECOVERY INCLUDED IN BASE RATES OF $0.033780  PER KWH.</v>
      </c>
      <c r="B267" s="362"/>
      <c r="C267" s="362"/>
      <c r="D267" s="362"/>
      <c r="E267" s="362"/>
      <c r="F267" s="364"/>
      <c r="G267" s="362"/>
      <c r="H267" s="362"/>
      <c r="I267" s="362"/>
      <c r="J267" s="141"/>
      <c r="K267" s="362"/>
      <c r="L267" s="363"/>
      <c r="M267" s="362"/>
      <c r="N267" s="362"/>
      <c r="O267" s="362"/>
      <c r="P267" s="141"/>
      <c r="Q267" s="130"/>
      <c r="R267" s="130"/>
      <c r="AA267" s="45"/>
      <c r="AC267" s="45"/>
      <c r="AD267" s="45"/>
      <c r="AE267" s="325"/>
      <c r="AF267" s="325"/>
      <c r="AH267" s="45"/>
      <c r="AI267" s="46"/>
      <c r="AJ267" s="46"/>
      <c r="AL267" s="45"/>
      <c r="AM267" s="51"/>
      <c r="AN267" s="51"/>
      <c r="AO267" s="45"/>
      <c r="AP267" s="45"/>
      <c r="AR267" s="45"/>
      <c r="AS267" s="46"/>
    </row>
    <row r="268" spans="1:45">
      <c r="A268" s="140" t="str">
        <f>"(2) REFLECTS FUEL COMPONENT OF "&amp;TEXT(CUR_FAC,"$0.000000;($0.000000)")&amp;"  PER KWH."</f>
        <v>(2) REFLECTS FUEL COMPONENT OF $0.003487  PER KWH.</v>
      </c>
      <c r="B268" s="362"/>
      <c r="C268" s="362"/>
      <c r="D268" s="362"/>
      <c r="E268" s="362"/>
      <c r="F268" s="364"/>
      <c r="G268" s="362"/>
      <c r="H268" s="362"/>
      <c r="I268" s="362"/>
      <c r="J268" s="141"/>
      <c r="K268" s="362"/>
      <c r="L268" s="363"/>
      <c r="M268" s="362"/>
      <c r="N268" s="362"/>
      <c r="O268" s="362"/>
      <c r="P268" s="141"/>
      <c r="Q268" s="130"/>
      <c r="R268" s="130"/>
      <c r="AA268" s="45"/>
      <c r="AC268" s="45"/>
      <c r="AD268" s="45"/>
      <c r="AE268" s="325"/>
      <c r="AF268" s="325"/>
      <c r="AH268" s="45"/>
      <c r="AI268" s="46"/>
      <c r="AJ268" s="46"/>
      <c r="AL268" s="45"/>
      <c r="AM268" s="51"/>
      <c r="AN268" s="51"/>
      <c r="AO268" s="45"/>
      <c r="AP268" s="45"/>
      <c r="AR268" s="45"/>
      <c r="AS268" s="46"/>
    </row>
    <row r="269" spans="1:45">
      <c r="A269" s="141"/>
      <c r="B269" s="362"/>
      <c r="C269" s="362"/>
      <c r="D269" s="362"/>
      <c r="E269" s="362"/>
      <c r="F269" s="364"/>
      <c r="G269" s="362"/>
      <c r="H269" s="362"/>
      <c r="I269" s="362"/>
      <c r="J269" s="141"/>
      <c r="K269" s="362"/>
      <c r="L269" s="363"/>
      <c r="M269" s="362"/>
      <c r="N269" s="362"/>
      <c r="O269" s="362"/>
      <c r="P269" s="141"/>
      <c r="Q269" s="130"/>
      <c r="R269" s="130"/>
      <c r="AA269" s="45"/>
      <c r="AC269" s="45"/>
      <c r="AD269" s="45"/>
      <c r="AE269" s="325"/>
      <c r="AF269" s="325"/>
      <c r="AH269" s="45"/>
      <c r="AI269" s="46"/>
      <c r="AJ269" s="46"/>
      <c r="AL269" s="45"/>
      <c r="AM269" s="51"/>
      <c r="AN269" s="51"/>
      <c r="AO269" s="45"/>
      <c r="AP269" s="45"/>
      <c r="AR269" s="45"/>
      <c r="AS269" s="46"/>
    </row>
    <row r="270" spans="1:45">
      <c r="A270" s="40" t="str">
        <f>NAME</f>
        <v>DUKE ENERGY KENTUCKY, INC.</v>
      </c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AA270" s="45"/>
      <c r="AC270" s="45"/>
      <c r="AD270" s="45"/>
      <c r="AE270" s="325"/>
      <c r="AF270" s="325"/>
      <c r="AH270" s="45"/>
      <c r="AI270" s="46"/>
      <c r="AJ270" s="46"/>
      <c r="AL270" s="45"/>
      <c r="AM270" s="51"/>
      <c r="AN270" s="51"/>
      <c r="AO270" s="45"/>
      <c r="AP270" s="45"/>
      <c r="AR270" s="45"/>
      <c r="AS270" s="46"/>
    </row>
    <row r="271" spans="1:45">
      <c r="A271" s="40" t="str">
        <f>CASE_NO</f>
        <v>CASE NO.   2024-00354</v>
      </c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AA271" s="45"/>
      <c r="AC271" s="45"/>
      <c r="AD271" s="45"/>
      <c r="AE271" s="325"/>
      <c r="AF271" s="325"/>
      <c r="AH271" s="45"/>
      <c r="AI271" s="46"/>
      <c r="AJ271" s="46"/>
      <c r="AL271" s="45"/>
      <c r="AM271" s="51"/>
      <c r="AN271" s="51"/>
      <c r="AO271" s="45"/>
      <c r="AP271" s="45"/>
      <c r="AR271" s="45"/>
      <c r="AS271" s="46"/>
    </row>
    <row r="272" spans="1:45">
      <c r="A272" s="40" t="str">
        <f>TITLE</f>
        <v>ANNUALIZED TEST YEAR REVENUES AT PROPOSED VS. MOST CURRENT RATES</v>
      </c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AA272" s="45"/>
      <c r="AC272" s="45"/>
      <c r="AD272" s="45"/>
      <c r="AE272" s="325"/>
      <c r="AF272" s="325"/>
      <c r="AH272" s="45"/>
      <c r="AI272" s="46"/>
      <c r="AJ272" s="46"/>
      <c r="AL272" s="45"/>
      <c r="AM272" s="51"/>
      <c r="AN272" s="51"/>
      <c r="AO272" s="45"/>
      <c r="AP272" s="45"/>
      <c r="AR272" s="45"/>
      <c r="AS272" s="46"/>
    </row>
    <row r="273" spans="1:45">
      <c r="A273" s="40" t="str">
        <f>DATE</f>
        <v>FOR THE TWELVE MONTHS ENDED June 30, 2026</v>
      </c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AA273" s="45"/>
      <c r="AC273" s="45"/>
      <c r="AD273" s="45"/>
      <c r="AE273" s="325"/>
      <c r="AF273" s="325"/>
      <c r="AH273" s="45"/>
      <c r="AI273" s="46"/>
      <c r="AJ273" s="46"/>
      <c r="AL273" s="45"/>
      <c r="AM273" s="51"/>
      <c r="AN273" s="51"/>
      <c r="AO273" s="45"/>
      <c r="AP273" s="45"/>
      <c r="AR273" s="45"/>
      <c r="AS273" s="46"/>
    </row>
    <row r="274" spans="1:45">
      <c r="A274" s="40" t="str">
        <f>SERVICE</f>
        <v>(ELECTRIC SERVICE)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AA274" s="45"/>
      <c r="AC274" s="45"/>
      <c r="AD274" s="45"/>
      <c r="AE274" s="325"/>
      <c r="AF274" s="325"/>
      <c r="AH274" s="45"/>
      <c r="AI274" s="46"/>
      <c r="AJ274" s="46"/>
      <c r="AL274" s="45"/>
      <c r="AM274" s="51"/>
      <c r="AN274" s="51"/>
      <c r="AO274" s="45"/>
      <c r="AP274" s="45"/>
      <c r="AR274" s="45"/>
      <c r="AS274" s="46"/>
    </row>
    <row r="275" spans="1:45">
      <c r="A275" s="41" t="str">
        <f>DATA_PERIOD</f>
        <v>DATA: ____ BASE PERIOD   __X__FORECASTED PERIOD</v>
      </c>
      <c r="R275" s="42" t="s">
        <v>156</v>
      </c>
      <c r="AA275" s="45"/>
      <c r="AC275" s="45"/>
      <c r="AD275" s="45"/>
      <c r="AE275" s="325"/>
      <c r="AF275" s="325"/>
      <c r="AH275" s="45"/>
      <c r="AI275" s="46"/>
      <c r="AJ275" s="46"/>
      <c r="AL275" s="45"/>
      <c r="AM275" s="51"/>
      <c r="AN275" s="51"/>
      <c r="AO275" s="45"/>
      <c r="AP275" s="45"/>
      <c r="AR275" s="45"/>
      <c r="AS275" s="46"/>
    </row>
    <row r="276" spans="1:45">
      <c r="A276" s="41" t="str">
        <f>TYPE</f>
        <v>TYPE OF FILING: _X_ ORIGINAL   ___UPDATED  ___ REVISED</v>
      </c>
      <c r="R276" s="48" t="str">
        <f>"PAGE 24 OF "&amp;TEXT(Page_Num_2.3,"00")</f>
        <v>PAGE 24 OF 24</v>
      </c>
      <c r="AA276" s="45"/>
      <c r="AC276" s="45"/>
      <c r="AD276" s="45"/>
      <c r="AE276" s="325"/>
      <c r="AF276" s="325"/>
      <c r="AH276" s="45"/>
      <c r="AI276" s="46"/>
      <c r="AJ276" s="46"/>
      <c r="AL276" s="45"/>
      <c r="AM276" s="51"/>
      <c r="AN276" s="51"/>
      <c r="AO276" s="45"/>
      <c r="AP276" s="45"/>
      <c r="AR276" s="45"/>
      <c r="AS276" s="46"/>
    </row>
    <row r="277" spans="1:45">
      <c r="A277" s="42" t="s">
        <v>170</v>
      </c>
      <c r="R277" s="42" t="s">
        <v>3</v>
      </c>
      <c r="AA277" s="45"/>
      <c r="AC277" s="45"/>
      <c r="AD277" s="45"/>
      <c r="AE277" s="325"/>
      <c r="AF277" s="325"/>
      <c r="AH277" s="45"/>
      <c r="AI277" s="46"/>
      <c r="AJ277" s="46"/>
      <c r="AL277" s="45"/>
      <c r="AM277" s="51"/>
      <c r="AN277" s="51"/>
      <c r="AO277" s="45"/>
      <c r="AP277" s="45"/>
      <c r="AR277" s="45"/>
      <c r="AS277" s="46"/>
    </row>
    <row r="278" spans="1:45">
      <c r="A278" s="130" t="str">
        <f>TIME</f>
        <v>12 Months Projected with Riders</v>
      </c>
      <c r="M278" s="42"/>
      <c r="R278" s="41" t="str">
        <f>WIT</f>
        <v>B. L. Sailers</v>
      </c>
      <c r="AA278" s="45"/>
      <c r="AC278" s="45"/>
      <c r="AD278" s="45"/>
      <c r="AE278" s="325"/>
      <c r="AF278" s="325"/>
      <c r="AH278" s="45"/>
      <c r="AI278" s="46"/>
      <c r="AJ278" s="46"/>
      <c r="AL278" s="45"/>
      <c r="AM278" s="51"/>
      <c r="AN278" s="51"/>
      <c r="AO278" s="45"/>
      <c r="AP278" s="45"/>
      <c r="AR278" s="45"/>
      <c r="AS278" s="46"/>
    </row>
    <row r="279" spans="1:45">
      <c r="A279" s="40" t="s">
        <v>129</v>
      </c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AA279" s="45"/>
      <c r="AC279" s="45"/>
      <c r="AD279" s="45"/>
      <c r="AE279" s="325"/>
      <c r="AF279" s="325"/>
      <c r="AH279" s="45"/>
      <c r="AI279" s="46"/>
      <c r="AJ279" s="46"/>
      <c r="AL279" s="45"/>
      <c r="AM279" s="51"/>
      <c r="AN279" s="51"/>
      <c r="AO279" s="45"/>
      <c r="AP279" s="45"/>
      <c r="AR279" s="45"/>
      <c r="AS279" s="46"/>
    </row>
    <row r="280" spans="1:45">
      <c r="A280" s="49"/>
      <c r="B280" s="49"/>
      <c r="C280" s="49"/>
      <c r="D280" s="49"/>
      <c r="E280" s="49"/>
      <c r="G280" s="49"/>
      <c r="H280" s="49"/>
      <c r="I280" s="49"/>
      <c r="J280" s="49"/>
      <c r="K280" s="49"/>
      <c r="L280" s="43"/>
      <c r="M280" s="43"/>
      <c r="N280" s="43"/>
      <c r="O280" s="43"/>
      <c r="P280" s="43"/>
      <c r="Q280" s="43"/>
      <c r="R280" s="43"/>
      <c r="AA280" s="45"/>
      <c r="AC280" s="45"/>
      <c r="AD280" s="45"/>
      <c r="AE280" s="325"/>
      <c r="AF280" s="325"/>
      <c r="AH280" s="45"/>
      <c r="AI280" s="46"/>
      <c r="AJ280" s="46"/>
      <c r="AL280" s="45"/>
      <c r="AM280" s="51"/>
      <c r="AN280" s="51"/>
      <c r="AO280" s="45"/>
      <c r="AP280" s="45"/>
      <c r="AR280" s="45"/>
      <c r="AS280" s="46"/>
    </row>
    <row r="281" spans="1:45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44" t="s">
        <v>6</v>
      </c>
      <c r="M281" s="44"/>
      <c r="N281" s="44" t="s">
        <v>7</v>
      </c>
      <c r="O281" s="44"/>
      <c r="R281" s="44" t="s">
        <v>6</v>
      </c>
      <c r="AA281" s="45"/>
      <c r="AC281" s="45"/>
      <c r="AD281" s="45"/>
      <c r="AE281" s="325"/>
      <c r="AF281" s="325"/>
      <c r="AH281" s="45"/>
      <c r="AI281" s="46"/>
      <c r="AJ281" s="46"/>
      <c r="AL281" s="45"/>
      <c r="AM281" s="51"/>
      <c r="AN281" s="51"/>
      <c r="AO281" s="45"/>
      <c r="AP281" s="45"/>
      <c r="AR281" s="45"/>
      <c r="AS281" s="46"/>
    </row>
    <row r="282" spans="1:45">
      <c r="L282" s="44" t="s">
        <v>12</v>
      </c>
      <c r="M282" s="44"/>
      <c r="N282" s="44" t="s">
        <v>13</v>
      </c>
      <c r="O282" s="44"/>
      <c r="R282" s="44" t="s">
        <v>11</v>
      </c>
      <c r="AA282" s="45"/>
      <c r="AC282" s="45"/>
      <c r="AD282" s="45"/>
      <c r="AE282" s="325"/>
      <c r="AF282" s="325"/>
      <c r="AH282" s="45"/>
      <c r="AI282" s="46"/>
      <c r="AJ282" s="46"/>
      <c r="AL282" s="45"/>
      <c r="AM282" s="51"/>
      <c r="AN282" s="51"/>
      <c r="AO282" s="45"/>
      <c r="AP282" s="45"/>
      <c r="AR282" s="45"/>
      <c r="AS282" s="46"/>
    </row>
    <row r="283" spans="1:45">
      <c r="A283" s="44" t="s">
        <v>17</v>
      </c>
      <c r="C283" s="44" t="s">
        <v>18</v>
      </c>
      <c r="D283" s="44" t="s">
        <v>19</v>
      </c>
      <c r="E283" s="44"/>
      <c r="F283" s="44" t="s">
        <v>20</v>
      </c>
      <c r="J283" s="44" t="s">
        <v>6</v>
      </c>
      <c r="K283" s="44"/>
      <c r="L283" s="44" t="s">
        <v>841</v>
      </c>
      <c r="M283" s="44"/>
      <c r="N283" s="44" t="s">
        <v>841</v>
      </c>
      <c r="O283" s="44"/>
      <c r="P283" s="44" t="s">
        <v>841</v>
      </c>
      <c r="Q283" s="44"/>
      <c r="R283" s="44" t="s">
        <v>9</v>
      </c>
      <c r="AA283" s="45"/>
      <c r="AC283" s="45"/>
      <c r="AD283" s="45"/>
      <c r="AE283" s="325"/>
      <c r="AF283" s="325"/>
      <c r="AH283" s="45"/>
      <c r="AI283" s="46"/>
      <c r="AJ283" s="46"/>
      <c r="AL283" s="45"/>
      <c r="AM283" s="51"/>
      <c r="AN283" s="51"/>
      <c r="AO283" s="45"/>
      <c r="AP283" s="45"/>
      <c r="AR283" s="45"/>
      <c r="AS283" s="46"/>
    </row>
    <row r="284" spans="1:45">
      <c r="A284" s="44" t="s">
        <v>22</v>
      </c>
      <c r="C284" s="44" t="s">
        <v>23</v>
      </c>
      <c r="D284" s="44" t="s">
        <v>24</v>
      </c>
      <c r="E284" s="44"/>
      <c r="F284" s="44" t="s">
        <v>25</v>
      </c>
      <c r="H284" s="44" t="s">
        <v>26</v>
      </c>
      <c r="I284" s="44"/>
      <c r="J284" s="60" t="s">
        <v>325</v>
      </c>
      <c r="K284" s="44"/>
      <c r="L284" s="44" t="s">
        <v>9</v>
      </c>
      <c r="M284" s="44"/>
      <c r="N284" s="44" t="s">
        <v>9</v>
      </c>
      <c r="O284" s="44"/>
      <c r="P284" s="44" t="s">
        <v>323</v>
      </c>
      <c r="Q284" s="44"/>
      <c r="R284" s="304" t="s">
        <v>28</v>
      </c>
      <c r="AA284" s="45"/>
      <c r="AC284" s="45"/>
      <c r="AD284" s="45"/>
      <c r="AE284" s="325"/>
      <c r="AF284" s="325"/>
      <c r="AH284" s="45"/>
      <c r="AI284" s="46"/>
      <c r="AJ284" s="46"/>
      <c r="AL284" s="45"/>
      <c r="AM284" s="51"/>
      <c r="AN284" s="51"/>
      <c r="AO284" s="45"/>
      <c r="AP284" s="45"/>
      <c r="AR284" s="45"/>
      <c r="AS284" s="46"/>
    </row>
    <row r="285" spans="1:45">
      <c r="C285" s="304" t="s">
        <v>33</v>
      </c>
      <c r="D285" s="304" t="s">
        <v>34</v>
      </c>
      <c r="E285" s="304"/>
      <c r="F285" s="304" t="s">
        <v>35</v>
      </c>
      <c r="G285" s="130"/>
      <c r="H285" s="304" t="s">
        <v>36</v>
      </c>
      <c r="I285" s="304"/>
      <c r="J285" s="304" t="s">
        <v>37</v>
      </c>
      <c r="K285" s="304"/>
      <c r="L285" s="304" t="s">
        <v>38</v>
      </c>
      <c r="M285" s="304"/>
      <c r="N285" s="304" t="s">
        <v>39</v>
      </c>
      <c r="O285" s="304"/>
      <c r="P285" s="304" t="s">
        <v>40</v>
      </c>
      <c r="Q285" s="304"/>
      <c r="R285" s="304" t="s">
        <v>41</v>
      </c>
      <c r="AA285" s="45"/>
      <c r="AC285" s="45"/>
      <c r="AD285" s="45"/>
      <c r="AE285" s="325"/>
      <c r="AF285" s="325"/>
      <c r="AH285" s="45"/>
      <c r="AI285" s="46"/>
      <c r="AJ285" s="46"/>
      <c r="AL285" s="45"/>
      <c r="AM285" s="51"/>
      <c r="AN285" s="51"/>
      <c r="AO285" s="45"/>
      <c r="AP285" s="45"/>
      <c r="AR285" s="45"/>
      <c r="AS285" s="46"/>
    </row>
    <row r="286" spans="1:45">
      <c r="A286" s="62"/>
      <c r="B286" s="62"/>
      <c r="C286" s="62"/>
      <c r="D286" s="62"/>
      <c r="E286" s="62"/>
      <c r="F286" s="62"/>
      <c r="G286" s="62"/>
      <c r="H286" s="345" t="s">
        <v>49</v>
      </c>
      <c r="I286" s="345"/>
      <c r="J286" s="344" t="s">
        <v>69</v>
      </c>
      <c r="K286" s="345"/>
      <c r="L286" s="345" t="s">
        <v>50</v>
      </c>
      <c r="M286" s="345"/>
      <c r="N286" s="345" t="s">
        <v>51</v>
      </c>
      <c r="O286" s="345"/>
      <c r="P286" s="345" t="s">
        <v>50</v>
      </c>
      <c r="Q286" s="345"/>
      <c r="R286" s="345" t="s">
        <v>50</v>
      </c>
      <c r="AA286" s="45"/>
      <c r="AC286" s="45"/>
      <c r="AD286" s="45"/>
      <c r="AE286" s="325"/>
      <c r="AF286" s="325"/>
      <c r="AH286" s="45"/>
      <c r="AI286" s="46"/>
      <c r="AJ286" s="46"/>
      <c r="AL286" s="45"/>
      <c r="AM286" s="51"/>
      <c r="AN286" s="51"/>
      <c r="AO286" s="45"/>
      <c r="AP286" s="45"/>
      <c r="AR286" s="45"/>
      <c r="AS286" s="46"/>
    </row>
    <row r="287" spans="1:45">
      <c r="A287" s="365">
        <v>178</v>
      </c>
      <c r="C287" s="133" t="s">
        <v>795</v>
      </c>
      <c r="D287" s="310" t="s">
        <v>814</v>
      </c>
      <c r="E287" s="4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AA287" s="45"/>
      <c r="AC287" s="45"/>
      <c r="AD287" s="45"/>
      <c r="AE287" s="325"/>
      <c r="AF287" s="325"/>
      <c r="AH287" s="45"/>
      <c r="AI287" s="46"/>
      <c r="AJ287" s="46"/>
      <c r="AL287" s="45"/>
      <c r="AM287" s="51"/>
      <c r="AN287" s="51"/>
      <c r="AO287" s="45"/>
      <c r="AP287" s="45"/>
      <c r="AR287" s="45"/>
      <c r="AS287" s="46"/>
    </row>
    <row r="288" spans="1:45">
      <c r="A288" s="365">
        <f>A287+1</f>
        <v>179</v>
      </c>
      <c r="C288" s="310" t="s">
        <v>1113</v>
      </c>
      <c r="D288" s="48"/>
      <c r="E288" s="4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AA288" s="45"/>
      <c r="AC288" s="45"/>
      <c r="AD288" s="45"/>
      <c r="AE288" s="325"/>
      <c r="AF288" s="325"/>
      <c r="AH288" s="45"/>
      <c r="AI288" s="46"/>
      <c r="AJ288" s="46"/>
      <c r="AL288" s="45"/>
      <c r="AM288" s="51"/>
      <c r="AN288" s="51"/>
      <c r="AO288" s="45"/>
      <c r="AP288" s="45"/>
      <c r="AR288" s="45"/>
      <c r="AS288" s="46"/>
    </row>
    <row r="289" spans="1:45">
      <c r="A289" s="365">
        <f t="shared" ref="A289:A314" si="32">A288+1</f>
        <v>180</v>
      </c>
      <c r="C289" s="48" t="s">
        <v>943</v>
      </c>
      <c r="F289" s="164">
        <v>0</v>
      </c>
      <c r="G289" s="1"/>
      <c r="H289" s="164"/>
      <c r="I289" s="68"/>
      <c r="J289" s="132">
        <f>ROUND(AC641+(AC641*'Rate SL'!$AG$1),6)</f>
        <v>2.3652030000000002</v>
      </c>
      <c r="K289" s="342"/>
      <c r="L289" s="3">
        <f t="shared" si="30"/>
        <v>0</v>
      </c>
      <c r="M289" s="3"/>
      <c r="N289" s="4">
        <v>0</v>
      </c>
      <c r="O289" s="4"/>
      <c r="P289" s="3"/>
      <c r="Q289" s="3"/>
      <c r="R289" s="3">
        <f t="shared" si="31"/>
        <v>0</v>
      </c>
      <c r="AA289" s="45"/>
      <c r="AC289" s="45"/>
      <c r="AD289" s="45"/>
      <c r="AE289" s="325"/>
      <c r="AF289" s="325"/>
      <c r="AH289" s="45"/>
      <c r="AI289" s="46"/>
      <c r="AJ289" s="46"/>
      <c r="AL289" s="45"/>
      <c r="AM289" s="51"/>
      <c r="AN289" s="51"/>
      <c r="AO289" s="45"/>
      <c r="AP289" s="45"/>
      <c r="AR289" s="45"/>
      <c r="AS289" s="46"/>
    </row>
    <row r="290" spans="1:45">
      <c r="A290" s="365">
        <f t="shared" si="32"/>
        <v>181</v>
      </c>
      <c r="C290" s="48" t="s">
        <v>944</v>
      </c>
      <c r="F290" s="164">
        <v>0</v>
      </c>
      <c r="G290" s="1"/>
      <c r="H290" s="164"/>
      <c r="I290" s="68"/>
      <c r="J290" s="132">
        <f>ROUND(AC642+(AC642*'Rate SL'!$AG$1),6)</f>
        <v>2.502316</v>
      </c>
      <c r="K290" s="342"/>
      <c r="L290" s="3">
        <f t="shared" si="30"/>
        <v>0</v>
      </c>
      <c r="M290" s="3"/>
      <c r="N290" s="4">
        <v>0</v>
      </c>
      <c r="O290" s="4"/>
      <c r="P290" s="3"/>
      <c r="Q290" s="3"/>
      <c r="R290" s="3">
        <f t="shared" si="31"/>
        <v>0</v>
      </c>
      <c r="AA290" s="45"/>
      <c r="AC290" s="45"/>
      <c r="AD290" s="45"/>
      <c r="AE290" s="325"/>
      <c r="AF290" s="325"/>
      <c r="AH290" s="45"/>
      <c r="AI290" s="46"/>
      <c r="AJ290" s="46"/>
      <c r="AL290" s="45"/>
      <c r="AM290" s="51"/>
      <c r="AN290" s="51"/>
      <c r="AO290" s="45"/>
      <c r="AP290" s="45"/>
      <c r="AR290" s="45"/>
      <c r="AS290" s="46"/>
    </row>
    <row r="291" spans="1:45">
      <c r="A291" s="365">
        <f t="shared" si="32"/>
        <v>182</v>
      </c>
      <c r="C291" s="48" t="s">
        <v>945</v>
      </c>
      <c r="F291" s="164">
        <v>0</v>
      </c>
      <c r="G291" s="1"/>
      <c r="H291" s="164"/>
      <c r="I291" s="68"/>
      <c r="J291" s="132">
        <f>ROUND(AC643+(AC643*'Rate SL'!$AG$1),6)</f>
        <v>2.707986</v>
      </c>
      <c r="K291" s="342"/>
      <c r="L291" s="3">
        <f t="shared" si="30"/>
        <v>0</v>
      </c>
      <c r="M291" s="3"/>
      <c r="N291" s="4">
        <v>0</v>
      </c>
      <c r="O291" s="4"/>
      <c r="P291" s="3"/>
      <c r="Q291" s="3"/>
      <c r="R291" s="3">
        <f t="shared" si="31"/>
        <v>0</v>
      </c>
      <c r="AA291" s="45"/>
      <c r="AC291" s="45"/>
      <c r="AD291" s="45"/>
      <c r="AE291" s="325"/>
      <c r="AF291" s="325"/>
      <c r="AH291" s="45"/>
      <c r="AI291" s="46"/>
      <c r="AJ291" s="46"/>
      <c r="AL291" s="45"/>
      <c r="AM291" s="51"/>
      <c r="AN291" s="51"/>
      <c r="AO291" s="45"/>
      <c r="AP291" s="45"/>
      <c r="AR291" s="45"/>
      <c r="AS291" s="46"/>
    </row>
    <row r="292" spans="1:45">
      <c r="A292" s="365">
        <f t="shared" si="32"/>
        <v>183</v>
      </c>
      <c r="C292" s="48" t="s">
        <v>946</v>
      </c>
      <c r="F292" s="164">
        <v>0</v>
      </c>
      <c r="G292" s="1"/>
      <c r="H292" s="164"/>
      <c r="I292" s="68"/>
      <c r="J292" s="132">
        <f>ROUND(AC644+(AC644*'Rate SL'!$AG$1),6)</f>
        <v>2.8793769999999999</v>
      </c>
      <c r="K292" s="342"/>
      <c r="L292" s="3">
        <f t="shared" si="30"/>
        <v>0</v>
      </c>
      <c r="M292" s="3"/>
      <c r="N292" s="4">
        <v>0</v>
      </c>
      <c r="O292" s="4"/>
      <c r="P292" s="3"/>
      <c r="Q292" s="3"/>
      <c r="R292" s="3">
        <f t="shared" si="31"/>
        <v>0</v>
      </c>
      <c r="AA292" s="45"/>
      <c r="AC292" s="45"/>
      <c r="AD292" s="45"/>
      <c r="AE292" s="325"/>
      <c r="AF292" s="325"/>
      <c r="AH292" s="45"/>
      <c r="AI292" s="46"/>
      <c r="AJ292" s="46"/>
      <c r="AL292" s="45"/>
      <c r="AM292" s="51"/>
      <c r="AN292" s="51"/>
      <c r="AO292" s="45"/>
      <c r="AP292" s="45"/>
      <c r="AR292" s="45"/>
      <c r="AS292" s="46"/>
    </row>
    <row r="293" spans="1:45">
      <c r="A293" s="365">
        <f t="shared" si="32"/>
        <v>184</v>
      </c>
      <c r="C293" s="48" t="s">
        <v>947</v>
      </c>
      <c r="F293" s="164">
        <v>0</v>
      </c>
      <c r="G293" s="1"/>
      <c r="H293" s="164"/>
      <c r="I293" s="68"/>
      <c r="J293" s="132">
        <f>ROUND(AC645+(AC645*'Rate SL'!$AG$1),6)</f>
        <v>3.005064</v>
      </c>
      <c r="K293" s="342"/>
      <c r="L293" s="3">
        <f t="shared" si="30"/>
        <v>0</v>
      </c>
      <c r="M293" s="3"/>
      <c r="N293" s="4">
        <v>0</v>
      </c>
      <c r="O293" s="4"/>
      <c r="P293" s="3"/>
      <c r="Q293" s="3"/>
      <c r="R293" s="3">
        <f t="shared" si="31"/>
        <v>0</v>
      </c>
      <c r="AA293" s="45"/>
      <c r="AC293" s="45"/>
      <c r="AD293" s="45"/>
      <c r="AE293" s="325"/>
      <c r="AF293" s="325"/>
      <c r="AH293" s="45"/>
      <c r="AI293" s="46"/>
      <c r="AJ293" s="46"/>
      <c r="AL293" s="45"/>
      <c r="AM293" s="51"/>
      <c r="AN293" s="51"/>
      <c r="AO293" s="45"/>
      <c r="AP293" s="45"/>
      <c r="AR293" s="45"/>
      <c r="AS293" s="46"/>
    </row>
    <row r="294" spans="1:45">
      <c r="A294" s="365">
        <f t="shared" si="32"/>
        <v>185</v>
      </c>
      <c r="C294" s="48" t="s">
        <v>948</v>
      </c>
      <c r="F294" s="164">
        <v>0</v>
      </c>
      <c r="G294" s="1"/>
      <c r="H294" s="164"/>
      <c r="I294" s="68"/>
      <c r="J294" s="132">
        <f>ROUND(AC646+(AC646*'Rate SL'!$AG$1),6)</f>
        <v>5.5645110000000004</v>
      </c>
      <c r="K294" s="342"/>
      <c r="L294" s="3">
        <f t="shared" si="30"/>
        <v>0</v>
      </c>
      <c r="M294" s="3"/>
      <c r="N294" s="4">
        <v>0</v>
      </c>
      <c r="O294" s="4"/>
      <c r="P294" s="3"/>
      <c r="Q294" s="3"/>
      <c r="R294" s="3">
        <f t="shared" si="31"/>
        <v>0</v>
      </c>
      <c r="AA294" s="45"/>
      <c r="AC294" s="45"/>
      <c r="AD294" s="45"/>
      <c r="AE294" s="325"/>
      <c r="AF294" s="325"/>
      <c r="AH294" s="45"/>
      <c r="AI294" s="46"/>
      <c r="AJ294" s="46"/>
      <c r="AL294" s="45"/>
      <c r="AM294" s="51"/>
      <c r="AN294" s="51"/>
      <c r="AO294" s="45"/>
      <c r="AP294" s="45"/>
      <c r="AR294" s="45"/>
      <c r="AS294" s="46"/>
    </row>
    <row r="295" spans="1:45">
      <c r="A295" s="365">
        <f t="shared" si="32"/>
        <v>186</v>
      </c>
      <c r="C295" s="48" t="s">
        <v>949</v>
      </c>
      <c r="F295" s="164">
        <v>0</v>
      </c>
      <c r="G295" s="1"/>
      <c r="H295" s="164"/>
      <c r="I295" s="68"/>
      <c r="J295" s="132">
        <f>ROUND(AC647+(AC647*'Rate SL'!$AG$1),6)</f>
        <v>7.0499039999999997</v>
      </c>
      <c r="K295" s="342"/>
      <c r="L295" s="3">
        <f t="shared" si="30"/>
        <v>0</v>
      </c>
      <c r="M295" s="3"/>
      <c r="N295" s="4">
        <v>0</v>
      </c>
      <c r="O295" s="4"/>
      <c r="P295" s="3"/>
      <c r="Q295" s="3"/>
      <c r="R295" s="3">
        <f t="shared" si="31"/>
        <v>0</v>
      </c>
      <c r="AA295" s="45"/>
      <c r="AC295" s="45"/>
      <c r="AD295" s="45"/>
      <c r="AE295" s="325"/>
      <c r="AF295" s="325"/>
      <c r="AH295" s="45"/>
      <c r="AI295" s="46"/>
      <c r="AJ295" s="46"/>
      <c r="AL295" s="45"/>
      <c r="AM295" s="51"/>
      <c r="AN295" s="51"/>
      <c r="AO295" s="45"/>
      <c r="AP295" s="45"/>
      <c r="AR295" s="45"/>
      <c r="AS295" s="46"/>
    </row>
    <row r="296" spans="1:45">
      <c r="A296" s="365">
        <f t="shared" si="32"/>
        <v>187</v>
      </c>
      <c r="C296" s="48" t="s">
        <v>950</v>
      </c>
      <c r="F296" s="164">
        <v>0</v>
      </c>
      <c r="G296" s="1"/>
      <c r="H296" s="164"/>
      <c r="I296" s="68"/>
      <c r="J296" s="132">
        <f>ROUND(AC648+(AC648*'Rate SL'!$AG$1),6)</f>
        <v>8.066827</v>
      </c>
      <c r="K296" s="342"/>
      <c r="L296" s="3">
        <f t="shared" si="30"/>
        <v>0</v>
      </c>
      <c r="M296" s="3"/>
      <c r="N296" s="4">
        <v>0</v>
      </c>
      <c r="O296" s="4"/>
      <c r="P296" s="3"/>
      <c r="Q296" s="3"/>
      <c r="R296" s="3">
        <f t="shared" si="31"/>
        <v>0</v>
      </c>
      <c r="AA296" s="45"/>
      <c r="AC296" s="45"/>
      <c r="AD296" s="45"/>
      <c r="AE296" s="325"/>
      <c r="AF296" s="325"/>
      <c r="AH296" s="45"/>
      <c r="AI296" s="46"/>
      <c r="AJ296" s="46"/>
      <c r="AL296" s="45"/>
      <c r="AM296" s="51"/>
      <c r="AN296" s="51"/>
      <c r="AO296" s="45"/>
      <c r="AP296" s="45"/>
      <c r="AR296" s="45"/>
      <c r="AS296" s="46"/>
    </row>
    <row r="297" spans="1:45">
      <c r="A297" s="365">
        <f t="shared" si="32"/>
        <v>188</v>
      </c>
      <c r="C297" s="48" t="s">
        <v>951</v>
      </c>
      <c r="F297" s="164">
        <v>0</v>
      </c>
      <c r="G297" s="1"/>
      <c r="H297" s="164"/>
      <c r="I297" s="68"/>
      <c r="J297" s="132">
        <f>ROUND(AC649+(AC649*'Rate SL'!$AG$1),6)</f>
        <v>8.489592</v>
      </c>
      <c r="K297" s="342"/>
      <c r="L297" s="3">
        <f t="shared" si="30"/>
        <v>0</v>
      </c>
      <c r="M297" s="3"/>
      <c r="N297" s="4">
        <v>0</v>
      </c>
      <c r="O297" s="4"/>
      <c r="P297" s="3"/>
      <c r="Q297" s="3"/>
      <c r="R297" s="3">
        <f t="shared" si="31"/>
        <v>0</v>
      </c>
      <c r="AA297" s="45"/>
      <c r="AC297" s="45"/>
      <c r="AD297" s="45"/>
      <c r="AE297" s="325"/>
      <c r="AF297" s="325"/>
      <c r="AH297" s="45"/>
      <c r="AI297" s="46"/>
      <c r="AJ297" s="46"/>
      <c r="AL297" s="45"/>
      <c r="AM297" s="51"/>
      <c r="AN297" s="51"/>
      <c r="AO297" s="45"/>
      <c r="AP297" s="45"/>
      <c r="AR297" s="45"/>
      <c r="AS297" s="46"/>
    </row>
    <row r="298" spans="1:45">
      <c r="A298" s="365">
        <f t="shared" si="32"/>
        <v>189</v>
      </c>
      <c r="C298" s="48" t="s">
        <v>952</v>
      </c>
      <c r="F298" s="164">
        <v>0</v>
      </c>
      <c r="G298" s="1"/>
      <c r="H298" s="164"/>
      <c r="I298" s="68"/>
      <c r="J298" s="132">
        <f>ROUND(AC650+(AC650*'Rate SL'!$AG$1),6)</f>
        <v>14.522573</v>
      </c>
      <c r="K298" s="342"/>
      <c r="L298" s="3">
        <f t="shared" si="30"/>
        <v>0</v>
      </c>
      <c r="M298" s="3"/>
      <c r="N298" s="4">
        <v>0</v>
      </c>
      <c r="O298" s="4"/>
      <c r="P298" s="3"/>
      <c r="Q298" s="3"/>
      <c r="R298" s="3">
        <f t="shared" si="31"/>
        <v>0</v>
      </c>
      <c r="AA298" s="45"/>
      <c r="AC298" s="45"/>
      <c r="AD298" s="45"/>
      <c r="AE298" s="325"/>
      <c r="AF298" s="325"/>
      <c r="AH298" s="45"/>
      <c r="AI298" s="46"/>
      <c r="AJ298" s="46"/>
      <c r="AL298" s="45"/>
      <c r="AM298" s="51"/>
      <c r="AN298" s="51"/>
      <c r="AO298" s="45"/>
      <c r="AP298" s="45"/>
      <c r="AR298" s="45"/>
      <c r="AS298" s="46"/>
    </row>
    <row r="299" spans="1:45">
      <c r="A299" s="365">
        <f t="shared" si="32"/>
        <v>190</v>
      </c>
      <c r="C299" s="48" t="s">
        <v>953</v>
      </c>
      <c r="F299" s="164">
        <v>0</v>
      </c>
      <c r="G299" s="1"/>
      <c r="H299" s="164"/>
      <c r="I299" s="68"/>
      <c r="J299" s="132">
        <f>ROUND(AC651+(AC651*'Rate SL'!$AG$1),6)</f>
        <v>7.3584079999999998</v>
      </c>
      <c r="K299" s="342"/>
      <c r="L299" s="3">
        <f t="shared" si="30"/>
        <v>0</v>
      </c>
      <c r="M299" s="3"/>
      <c r="N299" s="4">
        <v>0</v>
      </c>
      <c r="O299" s="4"/>
      <c r="P299" s="3"/>
      <c r="Q299" s="3"/>
      <c r="R299" s="3">
        <f t="shared" si="31"/>
        <v>0</v>
      </c>
      <c r="AA299" s="45"/>
      <c r="AC299" s="45"/>
      <c r="AD299" s="45"/>
      <c r="AE299" s="325"/>
      <c r="AF299" s="325"/>
      <c r="AH299" s="45"/>
      <c r="AI299" s="46"/>
      <c r="AJ299" s="46"/>
      <c r="AL299" s="45"/>
      <c r="AM299" s="51"/>
      <c r="AN299" s="51"/>
      <c r="AO299" s="45"/>
      <c r="AP299" s="45"/>
      <c r="AR299" s="45"/>
      <c r="AS299" s="46"/>
    </row>
    <row r="300" spans="1:45">
      <c r="A300" s="365">
        <f t="shared" si="32"/>
        <v>191</v>
      </c>
      <c r="C300" s="48" t="s">
        <v>954</v>
      </c>
      <c r="F300" s="164">
        <v>287</v>
      </c>
      <c r="G300" s="1"/>
      <c r="H300" s="164"/>
      <c r="I300" s="68"/>
      <c r="J300" s="132">
        <f>ROUND(AC652+(AC652*'Rate SL'!$AG$1),6)</f>
        <v>2.0795499999999998</v>
      </c>
      <c r="K300" s="342"/>
      <c r="L300" s="3">
        <f t="shared" si="30"/>
        <v>597</v>
      </c>
      <c r="M300" s="3"/>
      <c r="N300" s="4">
        <v>0</v>
      </c>
      <c r="O300" s="4"/>
      <c r="P300" s="3"/>
      <c r="Q300" s="3"/>
      <c r="R300" s="3">
        <f t="shared" si="31"/>
        <v>597</v>
      </c>
      <c r="AA300" s="45"/>
      <c r="AC300" s="45"/>
      <c r="AD300" s="45"/>
      <c r="AE300" s="325"/>
      <c r="AF300" s="325"/>
      <c r="AH300" s="45"/>
      <c r="AI300" s="46"/>
      <c r="AJ300" s="46"/>
      <c r="AL300" s="45"/>
      <c r="AM300" s="51"/>
      <c r="AN300" s="51"/>
      <c r="AO300" s="45"/>
      <c r="AP300" s="45"/>
      <c r="AR300" s="45"/>
      <c r="AS300" s="46"/>
    </row>
    <row r="301" spans="1:45">
      <c r="A301" s="365">
        <f t="shared" si="32"/>
        <v>192</v>
      </c>
      <c r="C301" s="48" t="s">
        <v>955</v>
      </c>
      <c r="F301" s="164">
        <v>18</v>
      </c>
      <c r="G301" s="1"/>
      <c r="H301" s="164"/>
      <c r="I301" s="68"/>
      <c r="J301" s="132">
        <f>ROUND(AC653+(AC653*'Rate SL'!$AG$1),6)</f>
        <v>2.296646</v>
      </c>
      <c r="K301" s="342"/>
      <c r="L301" s="3">
        <f t="shared" si="30"/>
        <v>41</v>
      </c>
      <c r="M301" s="3"/>
      <c r="N301" s="4">
        <v>0</v>
      </c>
      <c r="O301" s="4"/>
      <c r="P301" s="3"/>
      <c r="Q301" s="3"/>
      <c r="R301" s="3">
        <f t="shared" si="31"/>
        <v>41</v>
      </c>
      <c r="AA301" s="45"/>
      <c r="AC301" s="45"/>
      <c r="AD301" s="45"/>
      <c r="AE301" s="325"/>
      <c r="AF301" s="325"/>
      <c r="AH301" s="45"/>
      <c r="AI301" s="46"/>
      <c r="AJ301" s="46"/>
      <c r="AL301" s="45"/>
      <c r="AM301" s="51"/>
      <c r="AN301" s="51"/>
      <c r="AO301" s="45"/>
      <c r="AP301" s="45"/>
      <c r="AR301" s="45"/>
      <c r="AS301" s="46"/>
    </row>
    <row r="302" spans="1:45">
      <c r="A302" s="365">
        <f t="shared" si="32"/>
        <v>193</v>
      </c>
      <c r="C302" s="48" t="s">
        <v>1010</v>
      </c>
      <c r="F302" s="164">
        <v>0</v>
      </c>
      <c r="G302" s="1"/>
      <c r="H302" s="164"/>
      <c r="I302" s="68"/>
      <c r="J302" s="132">
        <f>ROUND(AC654+(AC654*'Rate SL'!$AG$1),6)</f>
        <v>2.8336730000000001</v>
      </c>
      <c r="K302" s="342"/>
      <c r="L302" s="3">
        <f t="shared" si="30"/>
        <v>0</v>
      </c>
      <c r="M302" s="3"/>
      <c r="N302" s="4">
        <v>0</v>
      </c>
      <c r="O302" s="4"/>
      <c r="P302" s="3"/>
      <c r="Q302" s="3"/>
      <c r="R302" s="3">
        <f t="shared" si="31"/>
        <v>0</v>
      </c>
      <c r="AA302" s="45"/>
      <c r="AC302" s="45"/>
      <c r="AD302" s="45"/>
      <c r="AE302" s="325"/>
      <c r="AF302" s="325"/>
      <c r="AH302" s="45"/>
      <c r="AI302" s="46"/>
      <c r="AJ302" s="46"/>
      <c r="AL302" s="45"/>
      <c r="AM302" s="51"/>
      <c r="AN302" s="51"/>
      <c r="AO302" s="45"/>
      <c r="AP302" s="45"/>
      <c r="AR302" s="45"/>
      <c r="AS302" s="46"/>
    </row>
    <row r="303" spans="1:45">
      <c r="A303" s="365">
        <f t="shared" si="32"/>
        <v>194</v>
      </c>
      <c r="C303" s="48" t="s">
        <v>1011</v>
      </c>
      <c r="F303" s="164">
        <v>0</v>
      </c>
      <c r="G303" s="1"/>
      <c r="H303" s="164"/>
      <c r="I303" s="68"/>
      <c r="J303" s="132">
        <f>ROUND(AC655+(AC655*'Rate SL'!$AG$1),6)</f>
        <v>10.420603</v>
      </c>
      <c r="K303" s="342"/>
      <c r="L303" s="3">
        <f t="shared" si="30"/>
        <v>0</v>
      </c>
      <c r="M303" s="3"/>
      <c r="N303" s="4">
        <v>0</v>
      </c>
      <c r="O303" s="4"/>
      <c r="P303" s="3"/>
      <c r="Q303" s="3"/>
      <c r="R303" s="3">
        <f t="shared" si="31"/>
        <v>0</v>
      </c>
      <c r="AA303" s="45"/>
      <c r="AC303" s="45"/>
      <c r="AD303" s="45"/>
      <c r="AE303" s="325"/>
      <c r="AF303" s="325"/>
      <c r="AH303" s="45"/>
      <c r="AI303" s="46"/>
      <c r="AJ303" s="46"/>
      <c r="AL303" s="45"/>
      <c r="AM303" s="51"/>
      <c r="AN303" s="51"/>
      <c r="AO303" s="45"/>
      <c r="AP303" s="45"/>
      <c r="AR303" s="45"/>
      <c r="AS303" s="46"/>
    </row>
    <row r="304" spans="1:45">
      <c r="A304" s="365">
        <f t="shared" si="32"/>
        <v>195</v>
      </c>
      <c r="C304" s="48" t="s">
        <v>1012</v>
      </c>
      <c r="F304" s="164">
        <v>0</v>
      </c>
      <c r="G304" s="1"/>
      <c r="H304" s="164"/>
      <c r="I304" s="68"/>
      <c r="J304" s="132">
        <f>ROUND(AC656+(AC656*'Rate SL'!$AG$1),6)</f>
        <v>12.008831000000001</v>
      </c>
      <c r="K304" s="342"/>
      <c r="L304" s="3">
        <f t="shared" si="30"/>
        <v>0</v>
      </c>
      <c r="M304" s="3"/>
      <c r="N304" s="4">
        <v>0</v>
      </c>
      <c r="O304" s="4"/>
      <c r="P304" s="3"/>
      <c r="Q304" s="3"/>
      <c r="R304" s="3">
        <f t="shared" si="31"/>
        <v>0</v>
      </c>
      <c r="AA304" s="45"/>
      <c r="AC304" s="45"/>
      <c r="AD304" s="45"/>
      <c r="AE304" s="325"/>
      <c r="AF304" s="325"/>
      <c r="AH304" s="45"/>
      <c r="AI304" s="46"/>
      <c r="AJ304" s="46"/>
      <c r="AL304" s="45"/>
      <c r="AM304" s="51"/>
      <c r="AN304" s="51"/>
      <c r="AO304" s="45"/>
      <c r="AP304" s="45"/>
      <c r="AR304" s="45"/>
      <c r="AS304" s="46"/>
    </row>
    <row r="305" spans="1:45">
      <c r="A305" s="365">
        <f t="shared" si="32"/>
        <v>196</v>
      </c>
      <c r="C305" s="48" t="s">
        <v>1013</v>
      </c>
      <c r="F305" s="164">
        <v>0</v>
      </c>
      <c r="G305" s="1"/>
      <c r="H305" s="164"/>
      <c r="I305" s="68"/>
      <c r="J305" s="132">
        <f>ROUND(AC657+(AC657*'Rate SL'!$AG$1),6)</f>
        <v>13.208572</v>
      </c>
      <c r="K305" s="342"/>
      <c r="L305" s="3">
        <f t="shared" si="30"/>
        <v>0</v>
      </c>
      <c r="M305" s="3"/>
      <c r="N305" s="4">
        <v>0</v>
      </c>
      <c r="O305" s="4"/>
      <c r="P305" s="3"/>
      <c r="Q305" s="3"/>
      <c r="R305" s="3">
        <f t="shared" si="31"/>
        <v>0</v>
      </c>
      <c r="AA305" s="45"/>
      <c r="AC305" s="45"/>
      <c r="AD305" s="45"/>
      <c r="AE305" s="325"/>
      <c r="AF305" s="325"/>
      <c r="AH305" s="45"/>
      <c r="AI305" s="46"/>
      <c r="AJ305" s="46"/>
      <c r="AL305" s="45"/>
      <c r="AM305" s="51"/>
      <c r="AN305" s="51"/>
      <c r="AO305" s="45"/>
      <c r="AP305" s="45"/>
      <c r="AR305" s="45"/>
      <c r="AS305" s="46"/>
    </row>
    <row r="306" spans="1:45">
      <c r="A306" s="365">
        <f t="shared" si="32"/>
        <v>197</v>
      </c>
      <c r="C306" s="48" t="s">
        <v>1014</v>
      </c>
      <c r="F306" s="164">
        <v>0</v>
      </c>
      <c r="G306" s="1"/>
      <c r="H306" s="164"/>
      <c r="I306" s="68"/>
      <c r="J306" s="132">
        <f>ROUND(AC658+(AC658*'Rate SL'!$AG$1),6)</f>
        <v>5.5530850000000003</v>
      </c>
      <c r="K306" s="342"/>
      <c r="L306" s="3">
        <f t="shared" si="30"/>
        <v>0</v>
      </c>
      <c r="M306" s="3"/>
      <c r="N306" s="4">
        <v>0</v>
      </c>
      <c r="O306" s="4"/>
      <c r="P306" s="3"/>
      <c r="Q306" s="3"/>
      <c r="R306" s="3">
        <f t="shared" si="31"/>
        <v>0</v>
      </c>
      <c r="AA306" s="45"/>
      <c r="AC306" s="45"/>
      <c r="AD306" s="45"/>
      <c r="AE306" s="325"/>
      <c r="AF306" s="325"/>
      <c r="AH306" s="45"/>
      <c r="AI306" s="46"/>
      <c r="AJ306" s="46"/>
      <c r="AL306" s="45"/>
      <c r="AM306" s="51"/>
      <c r="AN306" s="51"/>
      <c r="AO306" s="45"/>
      <c r="AP306" s="45"/>
      <c r="AR306" s="45"/>
      <c r="AS306" s="46"/>
    </row>
    <row r="307" spans="1:45">
      <c r="A307" s="365">
        <f t="shared" si="32"/>
        <v>198</v>
      </c>
      <c r="C307" s="48" t="s">
        <v>1015</v>
      </c>
      <c r="F307" s="164">
        <v>0</v>
      </c>
      <c r="G307" s="1"/>
      <c r="H307" s="164"/>
      <c r="I307" s="68"/>
      <c r="J307" s="132">
        <f>ROUND(AC659+(AC659*'Rate SL'!$AG$1),6)</f>
        <v>5.2674320000000003</v>
      </c>
      <c r="K307" s="342"/>
      <c r="L307" s="3">
        <f t="shared" si="30"/>
        <v>0</v>
      </c>
      <c r="M307" s="3"/>
      <c r="N307" s="4">
        <v>0</v>
      </c>
      <c r="O307" s="4"/>
      <c r="P307" s="3"/>
      <c r="Q307" s="3"/>
      <c r="R307" s="3">
        <f t="shared" si="31"/>
        <v>0</v>
      </c>
      <c r="AA307" s="45"/>
      <c r="AC307" s="45"/>
      <c r="AD307" s="45"/>
      <c r="AE307" s="325"/>
      <c r="AF307" s="325"/>
      <c r="AH307" s="45"/>
      <c r="AI307" s="46"/>
      <c r="AJ307" s="46"/>
      <c r="AL307" s="45"/>
      <c r="AM307" s="51"/>
      <c r="AN307" s="51"/>
      <c r="AO307" s="45"/>
      <c r="AP307" s="45"/>
      <c r="AR307" s="45"/>
      <c r="AS307" s="46"/>
    </row>
    <row r="308" spans="1:45">
      <c r="A308" s="365">
        <f t="shared" si="32"/>
        <v>199</v>
      </c>
      <c r="C308" s="48" t="s">
        <v>1016</v>
      </c>
      <c r="F308" s="164">
        <v>0</v>
      </c>
      <c r="G308" s="1"/>
      <c r="H308" s="164"/>
      <c r="I308" s="68"/>
      <c r="J308" s="132">
        <f>ROUND(AC660+(AC660*'Rate SL'!$AG$1),6)</f>
        <v>5.8387370000000001</v>
      </c>
      <c r="K308" s="342"/>
      <c r="L308" s="3">
        <f t="shared" si="30"/>
        <v>0</v>
      </c>
      <c r="M308" s="3"/>
      <c r="N308" s="4">
        <v>0</v>
      </c>
      <c r="O308" s="4"/>
      <c r="P308" s="3"/>
      <c r="Q308" s="3"/>
      <c r="R308" s="3">
        <f t="shared" si="31"/>
        <v>0</v>
      </c>
      <c r="AA308" s="45"/>
      <c r="AC308" s="45"/>
      <c r="AD308" s="45"/>
      <c r="AE308" s="325"/>
      <c r="AF308" s="325"/>
      <c r="AH308" s="45"/>
      <c r="AI308" s="46"/>
      <c r="AJ308" s="46"/>
      <c r="AL308" s="45"/>
      <c r="AM308" s="51"/>
      <c r="AN308" s="51"/>
      <c r="AO308" s="45"/>
      <c r="AP308" s="45"/>
      <c r="AR308" s="45"/>
      <c r="AS308" s="46"/>
    </row>
    <row r="309" spans="1:45">
      <c r="A309" s="365">
        <f t="shared" si="32"/>
        <v>200</v>
      </c>
      <c r="C309" s="48" t="s">
        <v>1017</v>
      </c>
      <c r="F309" s="164">
        <v>0</v>
      </c>
      <c r="G309" s="1"/>
      <c r="H309" s="164"/>
      <c r="I309" s="68"/>
      <c r="J309" s="132">
        <f>ROUND(AC661+(AC661*'Rate SL'!$AG$1),6)</f>
        <v>7.4498170000000004</v>
      </c>
      <c r="K309" s="342"/>
      <c r="L309" s="3">
        <f t="shared" si="30"/>
        <v>0</v>
      </c>
      <c r="M309" s="3"/>
      <c r="N309" s="4">
        <v>0</v>
      </c>
      <c r="O309" s="4"/>
      <c r="P309" s="3"/>
      <c r="Q309" s="3"/>
      <c r="R309" s="3">
        <f t="shared" si="31"/>
        <v>0</v>
      </c>
      <c r="AA309" s="45"/>
      <c r="AC309" s="45"/>
      <c r="AD309" s="45"/>
      <c r="AE309" s="325"/>
      <c r="AF309" s="325"/>
      <c r="AH309" s="45"/>
      <c r="AI309" s="46"/>
      <c r="AJ309" s="46"/>
      <c r="AL309" s="45"/>
      <c r="AM309" s="51"/>
      <c r="AN309" s="51"/>
      <c r="AO309" s="45"/>
      <c r="AP309" s="45"/>
      <c r="AR309" s="45"/>
      <c r="AS309" s="46"/>
    </row>
    <row r="310" spans="1:45">
      <c r="A310" s="365">
        <f t="shared" si="32"/>
        <v>201</v>
      </c>
      <c r="C310" s="48" t="s">
        <v>1018</v>
      </c>
      <c r="F310" s="164">
        <v>0</v>
      </c>
      <c r="G310" s="1"/>
      <c r="H310" s="164"/>
      <c r="I310" s="68"/>
      <c r="J310" s="132">
        <f>ROUND(AC662+(AC662*'Rate SL'!$AG$1),6)</f>
        <v>8.3753309999999992</v>
      </c>
      <c r="K310" s="342"/>
      <c r="L310" s="3">
        <f t="shared" si="30"/>
        <v>0</v>
      </c>
      <c r="M310" s="3"/>
      <c r="N310" s="4">
        <v>0</v>
      </c>
      <c r="O310" s="4"/>
      <c r="P310" s="3"/>
      <c r="Q310" s="3"/>
      <c r="R310" s="3">
        <f t="shared" si="31"/>
        <v>0</v>
      </c>
      <c r="AA310" s="45"/>
      <c r="AC310" s="45"/>
      <c r="AD310" s="45"/>
      <c r="AE310" s="325"/>
      <c r="AF310" s="325"/>
      <c r="AH310" s="45"/>
      <c r="AI310" s="46"/>
      <c r="AJ310" s="46"/>
      <c r="AL310" s="45"/>
      <c r="AM310" s="51"/>
      <c r="AN310" s="51"/>
      <c r="AO310" s="45"/>
      <c r="AP310" s="45"/>
      <c r="AR310" s="45"/>
      <c r="AS310" s="46"/>
    </row>
    <row r="311" spans="1:45">
      <c r="A311" s="365">
        <f t="shared" si="32"/>
        <v>202</v>
      </c>
      <c r="C311" s="48" t="s">
        <v>1019</v>
      </c>
      <c r="F311" s="164">
        <v>0</v>
      </c>
      <c r="G311" s="1"/>
      <c r="H311" s="164"/>
      <c r="I311" s="68"/>
      <c r="J311" s="132">
        <f>ROUND(AC663+(AC663*'Rate SL'!$AG$1),6)</f>
        <v>6.1129639999999998</v>
      </c>
      <c r="K311" s="342"/>
      <c r="L311" s="3">
        <f t="shared" si="30"/>
        <v>0</v>
      </c>
      <c r="M311" s="3"/>
      <c r="N311" s="4">
        <v>0</v>
      </c>
      <c r="O311" s="4"/>
      <c r="P311" s="3"/>
      <c r="Q311" s="3"/>
      <c r="R311" s="3">
        <f t="shared" si="31"/>
        <v>0</v>
      </c>
      <c r="AA311" s="45"/>
      <c r="AC311" s="45"/>
      <c r="AD311" s="45"/>
      <c r="AE311" s="325"/>
      <c r="AF311" s="325"/>
      <c r="AH311" s="45"/>
      <c r="AI311" s="46"/>
      <c r="AJ311" s="46"/>
      <c r="AL311" s="45"/>
      <c r="AM311" s="51"/>
      <c r="AN311" s="51"/>
      <c r="AO311" s="45"/>
      <c r="AP311" s="45"/>
      <c r="AR311" s="45"/>
      <c r="AS311" s="46"/>
    </row>
    <row r="312" spans="1:45">
      <c r="A312" s="365">
        <f t="shared" si="32"/>
        <v>203</v>
      </c>
      <c r="C312" s="48" t="s">
        <v>1020</v>
      </c>
      <c r="F312" s="164">
        <v>0</v>
      </c>
      <c r="G312" s="1"/>
      <c r="H312" s="164"/>
      <c r="I312" s="68"/>
      <c r="J312" s="132">
        <f>ROUND(AC664+(AC664*'Rate SL'!$AG$1),6)</f>
        <v>7.2898519999999998</v>
      </c>
      <c r="K312" s="342"/>
      <c r="L312" s="3">
        <f t="shared" si="30"/>
        <v>0</v>
      </c>
      <c r="M312" s="3"/>
      <c r="N312" s="4">
        <v>0</v>
      </c>
      <c r="O312" s="4"/>
      <c r="P312" s="3"/>
      <c r="Q312" s="3"/>
      <c r="R312" s="3">
        <f t="shared" si="31"/>
        <v>0</v>
      </c>
      <c r="AA312" s="45"/>
      <c r="AC312" s="45"/>
      <c r="AD312" s="45"/>
      <c r="AE312" s="325"/>
      <c r="AF312" s="325"/>
      <c r="AH312" s="45"/>
      <c r="AI312" s="46"/>
      <c r="AJ312" s="46"/>
      <c r="AL312" s="45"/>
      <c r="AM312" s="51"/>
      <c r="AN312" s="51"/>
      <c r="AO312" s="45"/>
      <c r="AP312" s="45"/>
      <c r="AR312" s="45"/>
      <c r="AS312" s="46"/>
    </row>
    <row r="313" spans="1:45">
      <c r="A313" s="365">
        <f t="shared" si="32"/>
        <v>204</v>
      </c>
      <c r="C313" s="48" t="s">
        <v>1021</v>
      </c>
      <c r="F313" s="164">
        <v>0</v>
      </c>
      <c r="G313" s="1"/>
      <c r="H313" s="164"/>
      <c r="I313" s="68"/>
      <c r="J313" s="132">
        <f>ROUND(AC665+(AC665*'Rate SL'!$AG$1),6)</f>
        <v>5.8158849999999997</v>
      </c>
      <c r="K313" s="342"/>
      <c r="L313" s="3">
        <f t="shared" si="30"/>
        <v>0</v>
      </c>
      <c r="M313" s="3"/>
      <c r="N313" s="4">
        <v>0</v>
      </c>
      <c r="O313" s="4"/>
      <c r="P313" s="3"/>
      <c r="Q313" s="3"/>
      <c r="R313" s="3">
        <f t="shared" si="31"/>
        <v>0</v>
      </c>
      <c r="AA313" s="45"/>
      <c r="AC313" s="45"/>
      <c r="AD313" s="45"/>
      <c r="AE313" s="325"/>
      <c r="AF313" s="325"/>
      <c r="AH313" s="45"/>
      <c r="AI313" s="46"/>
      <c r="AJ313" s="46"/>
      <c r="AL313" s="45"/>
      <c r="AM313" s="51"/>
      <c r="AN313" s="51"/>
      <c r="AO313" s="45"/>
      <c r="AP313" s="45"/>
      <c r="AR313" s="45"/>
      <c r="AS313" s="46"/>
    </row>
    <row r="314" spans="1:45">
      <c r="A314" s="365">
        <f t="shared" si="32"/>
        <v>205</v>
      </c>
      <c r="C314" s="310" t="s">
        <v>929</v>
      </c>
      <c r="F314" s="72">
        <f>SUM(F252:F313)</f>
        <v>323</v>
      </c>
      <c r="G314" s="1"/>
      <c r="H314" s="164"/>
      <c r="I314" s="68"/>
      <c r="J314" s="132"/>
      <c r="K314" s="342"/>
      <c r="L314" s="72">
        <f>SUM(L252:L313)</f>
        <v>704</v>
      </c>
      <c r="M314" s="3"/>
      <c r="N314" s="74">
        <f>ROUND((L314/L$340)*100,1)</f>
        <v>3.1</v>
      </c>
      <c r="O314" s="4"/>
      <c r="P314" s="3"/>
      <c r="Q314" s="3"/>
      <c r="R314" s="72">
        <f>SUM(R252:R313)</f>
        <v>704</v>
      </c>
      <c r="AA314" s="45"/>
      <c r="AC314" s="45"/>
      <c r="AD314" s="45"/>
      <c r="AE314" s="325"/>
      <c r="AF314" s="325"/>
      <c r="AH314" s="45"/>
      <c r="AI314" s="46"/>
      <c r="AJ314" s="46"/>
      <c r="AL314" s="45"/>
      <c r="AM314" s="51"/>
      <c r="AN314" s="51"/>
      <c r="AO314" s="45"/>
      <c r="AP314" s="45"/>
      <c r="AR314" s="45"/>
      <c r="AS314" s="46"/>
    </row>
    <row r="315" spans="1:45">
      <c r="A315" s="365"/>
      <c r="B315" s="359"/>
      <c r="C315" s="48"/>
      <c r="D315" s="359"/>
      <c r="F315" s="164"/>
      <c r="G315" s="1"/>
      <c r="H315" s="164"/>
      <c r="I315" s="68"/>
      <c r="J315" s="132"/>
      <c r="K315" s="342"/>
      <c r="L315" s="3"/>
      <c r="M315" s="3"/>
      <c r="N315" s="4"/>
      <c r="O315" s="4"/>
      <c r="P315" s="3"/>
      <c r="Q315" s="3"/>
      <c r="R315" s="3"/>
      <c r="AA315" s="45"/>
      <c r="AC315" s="45"/>
      <c r="AD315" s="45"/>
      <c r="AE315" s="325"/>
      <c r="AF315" s="325"/>
      <c r="AH315" s="45"/>
      <c r="AI315" s="46"/>
      <c r="AJ315" s="46"/>
      <c r="AL315" s="45"/>
      <c r="AM315" s="51"/>
      <c r="AN315" s="51"/>
      <c r="AO315" s="45"/>
      <c r="AP315" s="45"/>
      <c r="AR315" s="45"/>
      <c r="AS315" s="46"/>
    </row>
    <row r="316" spans="1:45">
      <c r="A316" s="365">
        <f>A314+1</f>
        <v>206</v>
      </c>
      <c r="B316" s="359"/>
      <c r="C316" s="133" t="s">
        <v>956</v>
      </c>
      <c r="D316" s="359"/>
      <c r="F316" s="164"/>
      <c r="G316" s="1"/>
      <c r="H316" s="164"/>
      <c r="I316" s="68"/>
      <c r="J316" s="132"/>
      <c r="K316" s="342"/>
      <c r="L316" s="3"/>
      <c r="M316" s="3"/>
      <c r="N316" s="4"/>
      <c r="O316" s="4"/>
      <c r="P316" s="3"/>
      <c r="Q316" s="3"/>
      <c r="R316" s="3"/>
      <c r="AA316" s="45"/>
      <c r="AC316" s="45"/>
      <c r="AD316" s="45"/>
      <c r="AE316" s="325"/>
      <c r="AF316" s="325"/>
      <c r="AH316" s="45"/>
      <c r="AI316" s="46"/>
      <c r="AJ316" s="46"/>
      <c r="AL316" s="45"/>
      <c r="AM316" s="51"/>
      <c r="AN316" s="51"/>
      <c r="AO316" s="45"/>
      <c r="AP316" s="45"/>
      <c r="AR316" s="45"/>
      <c r="AS316" s="46"/>
    </row>
    <row r="317" spans="1:45">
      <c r="A317" s="365">
        <f>A316+1</f>
        <v>207</v>
      </c>
      <c r="B317" s="359"/>
      <c r="C317" s="48" t="s">
        <v>958</v>
      </c>
      <c r="D317" s="359"/>
      <c r="F317" s="164">
        <v>0</v>
      </c>
      <c r="G317" s="1"/>
      <c r="H317" s="164"/>
      <c r="I317" s="68"/>
      <c r="J317" s="132">
        <f>ROUND(AC669+(AC669*'Rate SL'!$AG$1),6)</f>
        <v>2.822247</v>
      </c>
      <c r="K317" s="342"/>
      <c r="L317" s="3">
        <f t="shared" ref="L317:L324" si="33">ROUND((F317*J317),0)</f>
        <v>0</v>
      </c>
      <c r="M317" s="3"/>
      <c r="N317" s="4">
        <v>0</v>
      </c>
      <c r="O317" s="4"/>
      <c r="P317" s="3"/>
      <c r="Q317" s="3"/>
      <c r="R317" s="3">
        <f t="shared" ref="R317:R324" si="34">L317+P317</f>
        <v>0</v>
      </c>
      <c r="AA317" s="45"/>
      <c r="AC317" s="45"/>
      <c r="AD317" s="45"/>
      <c r="AE317" s="325"/>
      <c r="AF317" s="325"/>
      <c r="AH317" s="45"/>
      <c r="AI317" s="46"/>
      <c r="AJ317" s="46"/>
      <c r="AL317" s="45"/>
      <c r="AM317" s="51"/>
      <c r="AN317" s="51"/>
      <c r="AO317" s="45"/>
      <c r="AP317" s="45"/>
      <c r="AR317" s="45"/>
      <c r="AS317" s="46"/>
    </row>
    <row r="318" spans="1:45">
      <c r="A318" s="365">
        <f t="shared" ref="A318:A325" si="35">A317+1</f>
        <v>208</v>
      </c>
      <c r="B318" s="359"/>
      <c r="C318" s="48" t="s">
        <v>959</v>
      </c>
      <c r="D318" s="359"/>
      <c r="F318" s="164">
        <v>0</v>
      </c>
      <c r="G318" s="1"/>
      <c r="H318" s="164"/>
      <c r="I318" s="68"/>
      <c r="J318" s="132">
        <f>ROUND(AC670+(AC670*'Rate SL'!$AG$1),6)</f>
        <v>4.0448389999999996</v>
      </c>
      <c r="K318" s="342"/>
      <c r="L318" s="3">
        <f t="shared" si="33"/>
        <v>0</v>
      </c>
      <c r="M318" s="3"/>
      <c r="N318" s="4">
        <v>0</v>
      </c>
      <c r="O318" s="4"/>
      <c r="P318" s="3"/>
      <c r="Q318" s="3"/>
      <c r="R318" s="3">
        <f t="shared" si="34"/>
        <v>0</v>
      </c>
      <c r="AA318" s="45"/>
      <c r="AC318" s="45"/>
      <c r="AD318" s="45"/>
      <c r="AE318" s="325"/>
      <c r="AF318" s="325"/>
      <c r="AH318" s="45"/>
      <c r="AI318" s="46"/>
      <c r="AJ318" s="46"/>
      <c r="AL318" s="45"/>
      <c r="AM318" s="51"/>
      <c r="AN318" s="51"/>
      <c r="AO318" s="45"/>
      <c r="AP318" s="45"/>
      <c r="AR318" s="45"/>
      <c r="AS318" s="46"/>
    </row>
    <row r="319" spans="1:45">
      <c r="A319" s="365">
        <f t="shared" si="35"/>
        <v>209</v>
      </c>
      <c r="B319" s="359"/>
      <c r="C319" s="48" t="s">
        <v>1027</v>
      </c>
      <c r="D319" s="359"/>
      <c r="F319" s="164">
        <v>0</v>
      </c>
      <c r="G319" s="1"/>
      <c r="H319" s="164"/>
      <c r="I319" s="68"/>
      <c r="J319" s="132">
        <f>ROUND(AC671+(AC671*'Rate SL'!$AG$1),6)</f>
        <v>10.260638</v>
      </c>
      <c r="K319" s="342"/>
      <c r="L319" s="3">
        <f t="shared" si="33"/>
        <v>0</v>
      </c>
      <c r="M319" s="3"/>
      <c r="N319" s="4">
        <v>0</v>
      </c>
      <c r="O319" s="4"/>
      <c r="P319" s="3"/>
      <c r="Q319" s="3"/>
      <c r="R319" s="3">
        <f t="shared" si="34"/>
        <v>0</v>
      </c>
      <c r="AA319" s="45"/>
      <c r="AC319" s="45"/>
      <c r="AD319" s="45"/>
      <c r="AE319" s="325"/>
      <c r="AF319" s="325"/>
      <c r="AH319" s="45"/>
      <c r="AI319" s="46"/>
      <c r="AJ319" s="46"/>
      <c r="AL319" s="45"/>
      <c r="AM319" s="51"/>
      <c r="AN319" s="51"/>
      <c r="AO319" s="45"/>
      <c r="AP319" s="45"/>
      <c r="AR319" s="45"/>
      <c r="AS319" s="46"/>
    </row>
    <row r="320" spans="1:45">
      <c r="A320" s="365">
        <f t="shared" si="35"/>
        <v>210</v>
      </c>
      <c r="B320" s="359"/>
      <c r="C320" s="48" t="s">
        <v>1028</v>
      </c>
      <c r="D320" s="359"/>
      <c r="F320" s="164">
        <v>0</v>
      </c>
      <c r="G320" s="1"/>
      <c r="H320" s="164"/>
      <c r="I320" s="68"/>
      <c r="J320" s="132">
        <f>ROUND(AC672+(AC672*'Rate SL'!$AG$1),6)</f>
        <v>1.2797229999999999</v>
      </c>
      <c r="K320" s="342"/>
      <c r="L320" s="3">
        <f t="shared" si="33"/>
        <v>0</v>
      </c>
      <c r="M320" s="3"/>
      <c r="N320" s="4">
        <v>0</v>
      </c>
      <c r="O320" s="4"/>
      <c r="P320" s="3"/>
      <c r="Q320" s="3"/>
      <c r="R320" s="3">
        <f t="shared" si="34"/>
        <v>0</v>
      </c>
      <c r="AA320" s="45"/>
      <c r="AC320" s="45"/>
      <c r="AD320" s="45"/>
      <c r="AE320" s="325"/>
      <c r="AF320" s="325"/>
      <c r="AH320" s="45"/>
      <c r="AI320" s="46"/>
      <c r="AJ320" s="46"/>
      <c r="AL320" s="45"/>
      <c r="AM320" s="51"/>
      <c r="AN320" s="51"/>
      <c r="AO320" s="45"/>
      <c r="AP320" s="45"/>
      <c r="AR320" s="45"/>
      <c r="AS320" s="46"/>
    </row>
    <row r="321" spans="1:45">
      <c r="A321" s="365">
        <f t="shared" si="35"/>
        <v>211</v>
      </c>
      <c r="B321" s="359"/>
      <c r="C321" s="48" t="s">
        <v>1029</v>
      </c>
      <c r="D321" s="359"/>
      <c r="F321" s="164">
        <v>0</v>
      </c>
      <c r="G321" s="1"/>
      <c r="H321" s="164"/>
      <c r="I321" s="68"/>
      <c r="J321" s="132">
        <f>ROUND(AC673+(AC673*'Rate SL'!$AG$1),6)</f>
        <v>1.485393</v>
      </c>
      <c r="K321" s="342"/>
      <c r="L321" s="3">
        <f t="shared" si="33"/>
        <v>0</v>
      </c>
      <c r="M321" s="3"/>
      <c r="N321" s="4">
        <v>0</v>
      </c>
      <c r="O321" s="4"/>
      <c r="P321" s="3"/>
      <c r="Q321" s="3"/>
      <c r="R321" s="3">
        <f t="shared" si="34"/>
        <v>0</v>
      </c>
      <c r="AA321" s="45"/>
      <c r="AC321" s="45"/>
      <c r="AD321" s="45"/>
      <c r="AE321" s="325"/>
      <c r="AF321" s="325"/>
      <c r="AH321" s="45"/>
      <c r="AI321" s="46"/>
      <c r="AJ321" s="46"/>
      <c r="AL321" s="45"/>
      <c r="AM321" s="51"/>
      <c r="AN321" s="51"/>
      <c r="AO321" s="45"/>
      <c r="AP321" s="45"/>
      <c r="AR321" s="45"/>
      <c r="AS321" s="46"/>
    </row>
    <row r="322" spans="1:45">
      <c r="A322" s="365">
        <f t="shared" si="35"/>
        <v>212</v>
      </c>
      <c r="B322" s="359"/>
      <c r="C322" s="48" t="s">
        <v>1030</v>
      </c>
      <c r="D322" s="359"/>
      <c r="F322" s="164">
        <v>0</v>
      </c>
      <c r="G322" s="1"/>
      <c r="H322" s="164"/>
      <c r="I322" s="68"/>
      <c r="J322" s="132">
        <f>ROUND(AC674+(AC674*'Rate SL'!$AG$1),6)</f>
        <v>0.93694</v>
      </c>
      <c r="K322" s="342"/>
      <c r="L322" s="3">
        <f t="shared" si="33"/>
        <v>0</v>
      </c>
      <c r="M322" s="3"/>
      <c r="N322" s="4">
        <v>0</v>
      </c>
      <c r="O322" s="4"/>
      <c r="P322" s="3"/>
      <c r="Q322" s="3"/>
      <c r="R322" s="3">
        <f t="shared" si="34"/>
        <v>0</v>
      </c>
      <c r="AA322" s="45"/>
      <c r="AC322" s="45"/>
      <c r="AD322" s="45"/>
      <c r="AE322" s="325"/>
      <c r="AF322" s="325"/>
      <c r="AH322" s="45"/>
      <c r="AI322" s="46"/>
      <c r="AJ322" s="46"/>
      <c r="AL322" s="45"/>
      <c r="AM322" s="51"/>
      <c r="AN322" s="51"/>
      <c r="AO322" s="45"/>
      <c r="AP322" s="45"/>
      <c r="AR322" s="45"/>
      <c r="AS322" s="46"/>
    </row>
    <row r="323" spans="1:45">
      <c r="A323" s="365">
        <f t="shared" si="35"/>
        <v>213</v>
      </c>
      <c r="C323" s="48" t="s">
        <v>1031</v>
      </c>
      <c r="F323" s="164">
        <v>0</v>
      </c>
      <c r="G323" s="1"/>
      <c r="H323" s="164"/>
      <c r="I323" s="68"/>
      <c r="J323" s="132">
        <f>ROUND(AC675+(AC675*'Rate SL'!$AG$1),6)</f>
        <v>3.1878820000000001</v>
      </c>
      <c r="K323" s="342"/>
      <c r="L323" s="3">
        <f t="shared" si="33"/>
        <v>0</v>
      </c>
      <c r="M323" s="3"/>
      <c r="N323" s="4">
        <v>0</v>
      </c>
      <c r="O323" s="4"/>
      <c r="P323" s="3"/>
      <c r="Q323" s="3"/>
      <c r="R323" s="3">
        <f t="shared" si="34"/>
        <v>0</v>
      </c>
      <c r="AA323" s="45"/>
      <c r="AC323" s="45"/>
      <c r="AD323" s="45"/>
      <c r="AE323" s="325"/>
      <c r="AF323" s="325"/>
      <c r="AH323" s="45"/>
      <c r="AI323" s="46"/>
      <c r="AJ323" s="46"/>
      <c r="AL323" s="45"/>
      <c r="AM323" s="51"/>
      <c r="AN323" s="51"/>
      <c r="AO323" s="45"/>
      <c r="AP323" s="45"/>
      <c r="AR323" s="45"/>
      <c r="AS323" s="46"/>
    </row>
    <row r="324" spans="1:45">
      <c r="A324" s="365">
        <f t="shared" si="35"/>
        <v>214</v>
      </c>
      <c r="C324" s="48" t="s">
        <v>1121</v>
      </c>
      <c r="F324" s="164">
        <v>15</v>
      </c>
      <c r="G324" s="1"/>
      <c r="H324" s="164"/>
      <c r="I324" s="68"/>
      <c r="J324" s="132">
        <f>ROUND(AC676+(AC676*'Rate SL'!$AG$1),6)</f>
        <v>2.9936379999999998</v>
      </c>
      <c r="K324" s="342"/>
      <c r="L324" s="3">
        <f t="shared" si="33"/>
        <v>45</v>
      </c>
      <c r="M324" s="3"/>
      <c r="N324" s="4">
        <v>0</v>
      </c>
      <c r="O324" s="4"/>
      <c r="P324" s="3"/>
      <c r="Q324" s="3"/>
      <c r="R324" s="3">
        <f t="shared" si="34"/>
        <v>45</v>
      </c>
      <c r="AA324" s="45"/>
      <c r="AC324" s="45"/>
      <c r="AD324" s="45"/>
      <c r="AE324" s="325"/>
      <c r="AF324" s="325"/>
      <c r="AH324" s="45"/>
      <c r="AI324" s="46"/>
      <c r="AJ324" s="46"/>
      <c r="AL324" s="45"/>
      <c r="AM324" s="51"/>
      <c r="AN324" s="51"/>
      <c r="AO324" s="45"/>
      <c r="AP324" s="45"/>
      <c r="AR324" s="45"/>
      <c r="AS324" s="46"/>
    </row>
    <row r="325" spans="1:45">
      <c r="A325" s="365">
        <f t="shared" si="35"/>
        <v>215</v>
      </c>
      <c r="C325" s="310" t="s">
        <v>957</v>
      </c>
      <c r="F325" s="72">
        <f>SUM(F317:F324)</f>
        <v>15</v>
      </c>
      <c r="G325" s="1"/>
      <c r="H325" s="164"/>
      <c r="I325" s="68"/>
      <c r="J325" s="132"/>
      <c r="K325" s="342"/>
      <c r="L325" s="72">
        <f>SUM(L317:L324)</f>
        <v>45</v>
      </c>
      <c r="M325" s="3"/>
      <c r="N325" s="74">
        <f>ROUND((L325/L$340)*100,1)</f>
        <v>0.2</v>
      </c>
      <c r="O325" s="4"/>
      <c r="P325" s="3"/>
      <c r="Q325" s="3"/>
      <c r="R325" s="72">
        <f>SUM(R317:R324)</f>
        <v>45</v>
      </c>
      <c r="AA325" s="45"/>
      <c r="AC325" s="45"/>
      <c r="AD325" s="45"/>
      <c r="AE325" s="325"/>
      <c r="AF325" s="325"/>
      <c r="AH325" s="45"/>
      <c r="AI325" s="46"/>
      <c r="AJ325" s="46"/>
      <c r="AL325" s="45"/>
      <c r="AM325" s="51"/>
      <c r="AN325" s="51"/>
      <c r="AO325" s="45"/>
      <c r="AP325" s="45"/>
      <c r="AR325" s="45"/>
      <c r="AS325" s="46"/>
    </row>
    <row r="326" spans="1:45">
      <c r="A326" s="365"/>
      <c r="C326" s="48"/>
      <c r="F326" s="164"/>
      <c r="G326" s="1"/>
      <c r="H326" s="164"/>
      <c r="I326" s="68"/>
      <c r="J326" s="132"/>
      <c r="K326" s="342"/>
      <c r="L326" s="3"/>
      <c r="M326" s="3"/>
      <c r="N326" s="4"/>
      <c r="O326" s="4"/>
      <c r="P326" s="3"/>
      <c r="Q326" s="3"/>
      <c r="R326" s="3"/>
      <c r="AA326" s="45"/>
      <c r="AC326" s="45"/>
      <c r="AD326" s="45"/>
      <c r="AE326" s="325"/>
      <c r="AF326" s="325"/>
      <c r="AH326" s="45"/>
      <c r="AI326" s="46"/>
      <c r="AJ326" s="46"/>
      <c r="AL326" s="45"/>
      <c r="AM326" s="51"/>
      <c r="AN326" s="51"/>
      <c r="AO326" s="45"/>
      <c r="AP326" s="45"/>
      <c r="AR326" s="45"/>
      <c r="AS326" s="46"/>
    </row>
    <row r="327" spans="1:45">
      <c r="A327" s="365">
        <f>A325+1</f>
        <v>216</v>
      </c>
      <c r="B327" s="359"/>
      <c r="C327" s="133" t="s">
        <v>1095</v>
      </c>
      <c r="F327" s="164"/>
      <c r="G327" s="1"/>
      <c r="H327" s="164"/>
      <c r="I327" s="68"/>
      <c r="J327" s="132"/>
      <c r="K327" s="342"/>
      <c r="L327" s="3"/>
      <c r="M327" s="3"/>
      <c r="N327" s="4"/>
      <c r="O327" s="4"/>
      <c r="P327" s="3"/>
      <c r="Q327" s="3"/>
      <c r="R327" s="3"/>
      <c r="AA327" s="45"/>
      <c r="AC327" s="45"/>
      <c r="AD327" s="45"/>
      <c r="AE327" s="325"/>
      <c r="AF327" s="325"/>
      <c r="AH327" s="45"/>
      <c r="AI327" s="46"/>
      <c r="AJ327" s="46"/>
      <c r="AL327" s="45"/>
      <c r="AM327" s="51"/>
      <c r="AN327" s="51"/>
      <c r="AO327" s="45"/>
      <c r="AP327" s="45"/>
      <c r="AR327" s="45"/>
      <c r="AS327" s="46"/>
    </row>
    <row r="328" spans="1:45">
      <c r="A328" s="365">
        <f>A327+1</f>
        <v>217</v>
      </c>
      <c r="B328" s="359"/>
      <c r="C328" s="48" t="s">
        <v>1097</v>
      </c>
      <c r="F328" s="164">
        <v>0</v>
      </c>
      <c r="G328" s="1"/>
      <c r="H328" s="164"/>
      <c r="I328" s="68"/>
      <c r="J328" s="132">
        <v>1.83</v>
      </c>
      <c r="K328" s="342"/>
      <c r="L328" s="3">
        <f>ROUND((F328*J328),0)</f>
        <v>0</v>
      </c>
      <c r="M328" s="3"/>
      <c r="N328" s="4">
        <v>0</v>
      </c>
      <c r="O328" s="4"/>
      <c r="P328" s="3"/>
      <c r="Q328" s="3"/>
      <c r="R328" s="3">
        <f>L328+P328</f>
        <v>0</v>
      </c>
      <c r="AA328" s="45"/>
      <c r="AC328" s="45"/>
      <c r="AD328" s="45"/>
      <c r="AE328" s="325"/>
      <c r="AF328" s="325"/>
      <c r="AH328" s="45"/>
      <c r="AI328" s="46"/>
      <c r="AJ328" s="46"/>
      <c r="AL328" s="45"/>
      <c r="AM328" s="51"/>
      <c r="AN328" s="51"/>
      <c r="AO328" s="45"/>
      <c r="AP328" s="45"/>
      <c r="AR328" s="45"/>
      <c r="AS328" s="46"/>
    </row>
    <row r="329" spans="1:45">
      <c r="A329" s="365">
        <f>A328+1</f>
        <v>218</v>
      </c>
      <c r="B329" s="359"/>
      <c r="C329" s="48" t="s">
        <v>1098</v>
      </c>
      <c r="F329" s="164">
        <v>0</v>
      </c>
      <c r="G329" s="1"/>
      <c r="H329" s="164"/>
      <c r="I329" s="68"/>
      <c r="J329" s="132">
        <v>1.71</v>
      </c>
      <c r="K329" s="342"/>
      <c r="L329" s="3">
        <f>ROUND((F329*J329),0)</f>
        <v>0</v>
      </c>
      <c r="M329" s="3"/>
      <c r="N329" s="4">
        <v>0</v>
      </c>
      <c r="O329" s="4"/>
      <c r="P329" s="3"/>
      <c r="Q329" s="3"/>
      <c r="R329" s="3">
        <f>L329+P329</f>
        <v>0</v>
      </c>
      <c r="AA329" s="45"/>
      <c r="AC329" s="45"/>
      <c r="AD329" s="45"/>
      <c r="AE329" s="325"/>
      <c r="AF329" s="325"/>
      <c r="AH329" s="45"/>
      <c r="AI329" s="46"/>
      <c r="AJ329" s="46"/>
      <c r="AL329" s="45"/>
      <c r="AM329" s="51"/>
      <c r="AN329" s="51"/>
      <c r="AO329" s="45"/>
      <c r="AP329" s="45"/>
      <c r="AR329" s="45"/>
      <c r="AS329" s="46"/>
    </row>
    <row r="330" spans="1:45">
      <c r="A330" s="365">
        <f>A329+1</f>
        <v>219</v>
      </c>
      <c r="C330" s="310" t="s">
        <v>1096</v>
      </c>
      <c r="F330" s="72">
        <f>SUM(F328:F329)</f>
        <v>0</v>
      </c>
      <c r="G330" s="1"/>
      <c r="H330" s="164"/>
      <c r="I330" s="68"/>
      <c r="J330" s="132"/>
      <c r="K330" s="342"/>
      <c r="L330" s="72">
        <f>SUM(L328:L329)</f>
        <v>0</v>
      </c>
      <c r="M330" s="3"/>
      <c r="N330" s="74">
        <f>ROUND((L330/L$340)*100,1)</f>
        <v>0</v>
      </c>
      <c r="O330" s="4"/>
      <c r="P330" s="3"/>
      <c r="Q330" s="3"/>
      <c r="R330" s="72">
        <f>SUM(R328:R329)</f>
        <v>0</v>
      </c>
      <c r="AA330" s="45"/>
      <c r="AC330" s="45"/>
      <c r="AD330" s="45"/>
      <c r="AE330" s="325"/>
      <c r="AF330" s="325"/>
      <c r="AH330" s="45"/>
      <c r="AI330" s="46"/>
      <c r="AJ330" s="46"/>
      <c r="AL330" s="45"/>
      <c r="AM330" s="51"/>
      <c r="AN330" s="51"/>
      <c r="AO330" s="45"/>
      <c r="AP330" s="45"/>
      <c r="AR330" s="45"/>
      <c r="AS330" s="46"/>
    </row>
    <row r="331" spans="1:45">
      <c r="A331" s="365"/>
      <c r="C331" s="48"/>
      <c r="F331" s="164"/>
      <c r="G331" s="1"/>
      <c r="H331" s="164"/>
      <c r="I331" s="68"/>
      <c r="J331" s="132"/>
      <c r="K331" s="342"/>
      <c r="L331" s="3"/>
      <c r="M331" s="3"/>
      <c r="N331" s="4"/>
      <c r="O331" s="4"/>
      <c r="P331" s="3"/>
      <c r="Q331" s="3"/>
      <c r="R331" s="3"/>
      <c r="AA331" s="45"/>
      <c r="AC331" s="45"/>
      <c r="AD331" s="45"/>
      <c r="AE331" s="325"/>
      <c r="AF331" s="325"/>
      <c r="AH331" s="45"/>
      <c r="AI331" s="46"/>
      <c r="AJ331" s="46"/>
      <c r="AL331" s="45"/>
      <c r="AM331" s="51"/>
      <c r="AN331" s="51"/>
      <c r="AO331" s="45"/>
      <c r="AP331" s="45"/>
      <c r="AR331" s="45"/>
      <c r="AS331" s="46"/>
    </row>
    <row r="332" spans="1:45">
      <c r="A332" s="41">
        <f>A325+1</f>
        <v>216</v>
      </c>
      <c r="C332" s="310" t="s">
        <v>971</v>
      </c>
      <c r="F332" s="72">
        <f>F325+F314+F249+F233+F108+F330</f>
        <v>2283</v>
      </c>
      <c r="G332" s="1"/>
      <c r="H332" s="72">
        <f>H108</f>
        <v>42161</v>
      </c>
      <c r="I332" s="68"/>
      <c r="J332" s="132"/>
      <c r="K332" s="342"/>
      <c r="L332" s="72">
        <f>L325+L314+L249+L233+L108+L110+L330</f>
        <v>22507.429167999999</v>
      </c>
      <c r="M332" s="3"/>
      <c r="N332" s="74">
        <f>ROUND((L332/L$340)*100,1)</f>
        <v>99</v>
      </c>
      <c r="O332" s="4"/>
      <c r="P332" s="3"/>
      <c r="Q332" s="3"/>
      <c r="R332" s="72">
        <f>R325+R314+R249+R233+R108+R110+R330</f>
        <v>22507.429167999999</v>
      </c>
      <c r="AA332" s="45"/>
      <c r="AC332" s="45"/>
      <c r="AD332" s="45"/>
      <c r="AE332" s="325"/>
      <c r="AF332" s="325"/>
      <c r="AH332" s="45"/>
      <c r="AI332" s="46"/>
      <c r="AJ332" s="46"/>
      <c r="AL332" s="45"/>
      <c r="AM332" s="51"/>
      <c r="AN332" s="51"/>
      <c r="AO332" s="45"/>
      <c r="AP332" s="45"/>
      <c r="AR332" s="45"/>
      <c r="AS332" s="46"/>
    </row>
    <row r="333" spans="1:45">
      <c r="A333" s="365"/>
      <c r="C333" s="48"/>
      <c r="F333" s="164"/>
      <c r="G333" s="1"/>
      <c r="H333" s="164"/>
      <c r="I333" s="68"/>
      <c r="J333" s="132"/>
      <c r="K333" s="342"/>
      <c r="L333" s="3"/>
      <c r="M333" s="3"/>
      <c r="N333" s="4"/>
      <c r="O333" s="4"/>
      <c r="P333" s="3"/>
      <c r="Q333" s="3"/>
      <c r="R333" s="3"/>
      <c r="AA333" s="45"/>
      <c r="AC333" s="45"/>
      <c r="AD333" s="45"/>
      <c r="AE333" s="325"/>
      <c r="AF333" s="325"/>
      <c r="AH333" s="45"/>
      <c r="AI333" s="46"/>
      <c r="AJ333" s="46"/>
      <c r="AL333" s="45"/>
      <c r="AM333" s="51"/>
      <c r="AN333" s="51"/>
      <c r="AO333" s="45"/>
      <c r="AP333" s="45"/>
      <c r="AR333" s="45"/>
      <c r="AS333" s="46"/>
    </row>
    <row r="334" spans="1:45">
      <c r="A334" s="414">
        <f>A332+1</f>
        <v>217</v>
      </c>
      <c r="C334" s="133" t="s">
        <v>1133</v>
      </c>
      <c r="F334" s="3"/>
      <c r="G334" s="1"/>
      <c r="H334" s="3"/>
      <c r="I334" s="3"/>
      <c r="J334" s="1"/>
      <c r="K334" s="1"/>
      <c r="L334" s="3"/>
      <c r="M334" s="3"/>
      <c r="N334" s="4"/>
      <c r="O334" s="6"/>
      <c r="P334" s="45"/>
      <c r="Q334" s="3"/>
      <c r="R334" s="3"/>
      <c r="AA334" s="45"/>
      <c r="AC334" s="45"/>
      <c r="AD334" s="45"/>
      <c r="AE334" s="325"/>
      <c r="AF334" s="325"/>
      <c r="AH334" s="45"/>
      <c r="AI334" s="46"/>
      <c r="AJ334" s="46"/>
      <c r="AL334" s="45"/>
      <c r="AM334" s="51"/>
      <c r="AN334" s="51"/>
      <c r="AO334" s="45"/>
      <c r="AP334" s="45"/>
      <c r="AR334" s="45"/>
      <c r="AS334" s="46"/>
    </row>
    <row r="335" spans="1:45">
      <c r="A335" s="414">
        <f>A334+1</f>
        <v>218</v>
      </c>
      <c r="C335" s="128" t="str">
        <f>ESM_Name</f>
        <v>ENVIRONMENTAL SURCHARGE MECHANISM RIDER (ESM)</v>
      </c>
      <c r="F335" s="3"/>
      <c r="G335" s="1"/>
      <c r="H335" s="3"/>
      <c r="I335" s="3"/>
      <c r="J335" s="420">
        <f>PRO_ESM_NONRES</f>
        <v>5.4606095773317587E-3</v>
      </c>
      <c r="K335" s="1"/>
      <c r="L335" s="3">
        <f>ROUND((R332-(PRO_BASE_FUEL*H332)+R337)*J335,0)</f>
        <v>116</v>
      </c>
      <c r="M335" s="3"/>
      <c r="N335" s="4">
        <v>0</v>
      </c>
      <c r="O335" s="6"/>
      <c r="P335" s="45"/>
      <c r="Q335" s="3"/>
      <c r="R335" s="3">
        <f>L335+P335</f>
        <v>116</v>
      </c>
      <c r="AA335" s="45"/>
      <c r="AC335" s="45"/>
      <c r="AD335" s="45"/>
      <c r="AE335" s="325"/>
      <c r="AF335" s="325"/>
      <c r="AH335" s="45"/>
      <c r="AI335" s="46"/>
      <c r="AJ335" s="46"/>
      <c r="AL335" s="45"/>
      <c r="AM335" s="51"/>
      <c r="AN335" s="51"/>
      <c r="AO335" s="45"/>
      <c r="AP335" s="45"/>
      <c r="AR335" s="45"/>
      <c r="AS335" s="46"/>
    </row>
    <row r="336" spans="1:45">
      <c r="A336" s="414">
        <f>A335+1</f>
        <v>219</v>
      </c>
      <c r="C336" s="128" t="str">
        <f>FAC_Name</f>
        <v>FUEL ADJUSTMENT CLAUSE (FAC)</v>
      </c>
      <c r="F336" s="3"/>
      <c r="G336" s="1"/>
      <c r="H336" s="3"/>
      <c r="I336" s="3"/>
      <c r="J336" s="390">
        <f>PRO_FAC</f>
        <v>3.4872127999999998E-3</v>
      </c>
      <c r="K336" s="1"/>
      <c r="L336" s="3"/>
      <c r="M336" s="3"/>
      <c r="N336" s="4">
        <v>0</v>
      </c>
      <c r="O336" s="6"/>
      <c r="P336" s="3">
        <f>ROUND($J336*$H110,0)</f>
        <v>147</v>
      </c>
      <c r="Q336" s="3"/>
      <c r="R336" s="3">
        <f>L336+P336</f>
        <v>147</v>
      </c>
      <c r="AA336" s="45"/>
      <c r="AC336" s="45"/>
      <c r="AD336" s="45"/>
      <c r="AE336" s="325"/>
      <c r="AF336" s="325"/>
      <c r="AH336" s="45"/>
      <c r="AI336" s="46"/>
      <c r="AJ336" s="46"/>
      <c r="AL336" s="45"/>
      <c r="AM336" s="51"/>
      <c r="AN336" s="51"/>
      <c r="AO336" s="45"/>
      <c r="AP336" s="45"/>
      <c r="AR336" s="45"/>
      <c r="AS336" s="46"/>
    </row>
    <row r="337" spans="1:53">
      <c r="A337" s="414">
        <f>A336+1</f>
        <v>220</v>
      </c>
      <c r="C337" s="128" t="str">
        <f>PSM_Name</f>
        <v>PROFIT SHARING MECHANISM (PSM)</v>
      </c>
      <c r="F337" s="3"/>
      <c r="G337" s="1"/>
      <c r="H337" s="3"/>
      <c r="I337" s="3"/>
      <c r="J337" s="390">
        <f>PRO_PSM</f>
        <v>2.4750000000000002E-3</v>
      </c>
      <c r="K337" s="1"/>
      <c r="L337" s="66">
        <f>ROUND((+$H$110)*J337,0)</f>
        <v>104</v>
      </c>
      <c r="M337" s="3"/>
      <c r="N337" s="104">
        <v>0</v>
      </c>
      <c r="O337" s="6"/>
      <c r="P337" s="343"/>
      <c r="Q337" s="3"/>
      <c r="R337" s="66">
        <f>L337+P337</f>
        <v>104</v>
      </c>
      <c r="AA337" s="45"/>
      <c r="AC337" s="45"/>
      <c r="AD337" s="45"/>
      <c r="AE337" s="325"/>
      <c r="AF337" s="325"/>
      <c r="AH337" s="45"/>
      <c r="AI337" s="46"/>
      <c r="AJ337" s="46"/>
      <c r="AL337" s="45"/>
      <c r="AM337" s="51"/>
      <c r="AN337" s="51"/>
      <c r="AO337" s="45"/>
      <c r="AP337" s="45"/>
      <c r="AR337" s="45"/>
      <c r="AS337" s="46"/>
    </row>
    <row r="338" spans="1:53">
      <c r="A338" s="414">
        <f>A337+1</f>
        <v>221</v>
      </c>
      <c r="C338" s="133" t="s">
        <v>463</v>
      </c>
      <c r="F338" s="3"/>
      <c r="G338" s="1"/>
      <c r="H338" s="3"/>
      <c r="I338" s="3"/>
      <c r="J338" s="1"/>
      <c r="K338" s="1"/>
      <c r="L338" s="72">
        <f>SUM(L335:L337)</f>
        <v>220</v>
      </c>
      <c r="M338" s="3"/>
      <c r="N338" s="74">
        <f>ROUND((L338/L$340)*100,1)</f>
        <v>1</v>
      </c>
      <c r="O338" s="6"/>
      <c r="P338" s="279"/>
      <c r="Q338" s="3"/>
      <c r="R338" s="72">
        <f>SUM(R335:R337)</f>
        <v>367</v>
      </c>
      <c r="AA338" s="45"/>
      <c r="AC338" s="45"/>
      <c r="AD338" s="45"/>
      <c r="AE338" s="325"/>
      <c r="AF338" s="325"/>
      <c r="AH338" s="45"/>
      <c r="AI338" s="46"/>
      <c r="AJ338" s="46"/>
      <c r="AL338" s="45"/>
      <c r="AM338" s="51"/>
      <c r="AN338" s="51"/>
      <c r="AO338" s="45"/>
      <c r="AP338" s="45"/>
      <c r="AR338" s="45"/>
      <c r="AS338" s="46"/>
    </row>
    <row r="339" spans="1:53">
      <c r="A339" s="414"/>
      <c r="C339" s="133"/>
      <c r="F339" s="3"/>
      <c r="G339" s="1"/>
      <c r="H339" s="3"/>
      <c r="I339" s="3"/>
      <c r="J339" s="1"/>
      <c r="K339" s="1"/>
      <c r="L339" s="3"/>
      <c r="M339" s="3"/>
      <c r="N339" s="4"/>
      <c r="O339" s="6"/>
      <c r="P339" s="45"/>
      <c r="Q339" s="3"/>
      <c r="R339" s="3"/>
      <c r="AA339" s="45"/>
      <c r="AC339" s="45"/>
      <c r="AD339" s="45"/>
      <c r="AE339" s="325"/>
      <c r="AF339" s="325"/>
      <c r="AH339" s="45"/>
      <c r="AI339" s="46"/>
      <c r="AJ339" s="46"/>
      <c r="AL339" s="45"/>
      <c r="AM339" s="51"/>
      <c r="AN339" s="51"/>
      <c r="AO339" s="45"/>
      <c r="AP339" s="45"/>
      <c r="AR339" s="45"/>
      <c r="AS339" s="46"/>
    </row>
    <row r="340" spans="1:53" ht="16.5" thickBot="1">
      <c r="A340" s="41">
        <f>A338+1</f>
        <v>222</v>
      </c>
      <c r="C340" s="310" t="s">
        <v>822</v>
      </c>
      <c r="F340" s="83">
        <f>F325+F314+F249+F233+F108</f>
        <v>2283</v>
      </c>
      <c r="G340" s="1"/>
      <c r="H340" s="83">
        <f>H108</f>
        <v>42161</v>
      </c>
      <c r="I340" s="3"/>
      <c r="J340" s="1"/>
      <c r="K340" s="1"/>
      <c r="L340" s="83">
        <f>L325+L314+L249+L233+L108+L110+L338+L330</f>
        <v>22727.429167999999</v>
      </c>
      <c r="M340" s="3"/>
      <c r="N340" s="74">
        <f>ROUND((L340/L$340)*100,1)</f>
        <v>100</v>
      </c>
      <c r="O340" s="4"/>
      <c r="P340" s="67">
        <f>ROUND(H340*CUR_FAC,0)</f>
        <v>147</v>
      </c>
      <c r="Q340" s="3"/>
      <c r="R340" s="83">
        <f>R325+R314+R249+R233+R108+R110+R338+R330</f>
        <v>22874.429167999999</v>
      </c>
      <c r="AA340" s="45"/>
      <c r="AC340" s="45"/>
      <c r="AD340" s="45"/>
      <c r="AE340" s="325"/>
      <c r="AF340" s="325"/>
      <c r="AH340" s="45"/>
      <c r="AI340" s="46"/>
      <c r="AJ340" s="46"/>
      <c r="AL340" s="45"/>
      <c r="AM340" s="51"/>
      <c r="AN340" s="51"/>
      <c r="AO340" s="45"/>
      <c r="AP340" s="45"/>
      <c r="AR340" s="45"/>
      <c r="AS340" s="46"/>
    </row>
    <row r="341" spans="1:53" ht="16.5" thickTop="1">
      <c r="C341" s="42"/>
      <c r="F341" s="3"/>
      <c r="G341" s="1"/>
      <c r="H341" s="3"/>
      <c r="I341" s="3"/>
      <c r="J341" s="1"/>
      <c r="K341" s="1"/>
      <c r="L341" s="3"/>
      <c r="M341" s="3"/>
      <c r="N341" s="4"/>
      <c r="O341" s="4"/>
      <c r="P341" s="3"/>
      <c r="Q341" s="3"/>
      <c r="R341" s="3"/>
      <c r="AA341" s="45"/>
      <c r="AC341" s="45"/>
      <c r="AD341" s="45"/>
      <c r="AE341" s="325"/>
      <c r="AF341" s="325"/>
      <c r="AH341" s="45"/>
      <c r="AI341" s="46"/>
      <c r="AJ341" s="46"/>
      <c r="AL341" s="45"/>
      <c r="AM341" s="51"/>
      <c r="AN341" s="51"/>
      <c r="AO341" s="45"/>
      <c r="AP341" s="45"/>
      <c r="AR341" s="45"/>
      <c r="AS341" s="46"/>
    </row>
    <row r="342" spans="1:53">
      <c r="A342" s="140" t="s">
        <v>76</v>
      </c>
      <c r="B342" s="362"/>
      <c r="C342" s="362"/>
      <c r="D342" s="362"/>
      <c r="E342" s="362"/>
      <c r="F342" s="362"/>
      <c r="G342" s="362"/>
      <c r="H342" s="362"/>
      <c r="I342" s="362"/>
      <c r="J342" s="141"/>
      <c r="K342" s="362"/>
      <c r="L342" s="363"/>
      <c r="M342" s="362"/>
      <c r="N342" s="362"/>
      <c r="O342" s="362"/>
      <c r="P342" s="141"/>
      <c r="Q342" s="130"/>
      <c r="R342" s="130"/>
      <c r="AA342" s="45"/>
      <c r="AC342" s="45"/>
      <c r="AD342" s="45"/>
      <c r="AE342" s="325"/>
      <c r="AF342" s="325"/>
      <c r="AH342" s="45"/>
      <c r="AI342" s="46"/>
      <c r="AJ342" s="46"/>
      <c r="AL342" s="45"/>
      <c r="AM342" s="51"/>
      <c r="AN342" s="51"/>
      <c r="AO342" s="45"/>
      <c r="AP342" s="45"/>
      <c r="AR342" s="45"/>
      <c r="AS342" s="46"/>
    </row>
    <row r="343" spans="1:53">
      <c r="A343" s="140" t="str">
        <f>"(1A) REFLECTS FUEL COST RECOVERY INCLUDED IN BASE RATES OF "&amp;TEXT(CUR_BASE_FUEL,"$0.000000;($0.000000)")&amp;"  PER KWH."</f>
        <v>(1A) REFLECTS FUEL COST RECOVERY INCLUDED IN BASE RATES OF $0.033780  PER KWH.</v>
      </c>
      <c r="B343" s="362"/>
      <c r="C343" s="362"/>
      <c r="D343" s="362"/>
      <c r="E343" s="362"/>
      <c r="F343" s="364"/>
      <c r="G343" s="362"/>
      <c r="H343" s="362"/>
      <c r="I343" s="362"/>
      <c r="J343" s="141"/>
      <c r="K343" s="362"/>
      <c r="L343" s="363"/>
      <c r="M343" s="362"/>
      <c r="N343" s="362"/>
      <c r="O343" s="362"/>
      <c r="P343" s="141"/>
      <c r="Q343" s="130"/>
      <c r="R343" s="130"/>
      <c r="AA343" s="45"/>
      <c r="AC343" s="45"/>
      <c r="AD343" s="45"/>
      <c r="AE343" s="325"/>
      <c r="AF343" s="325"/>
      <c r="AH343" s="45"/>
      <c r="AI343" s="46"/>
      <c r="AJ343" s="46"/>
      <c r="AL343" s="45"/>
      <c r="AM343" s="51"/>
      <c r="AN343" s="51"/>
      <c r="AO343" s="45"/>
      <c r="AP343" s="45"/>
      <c r="AR343" s="45"/>
      <c r="AS343" s="46"/>
    </row>
    <row r="344" spans="1:53">
      <c r="A344" s="140" t="str">
        <f>"(2) REFLECTS FUEL COMPONENT OF "&amp;TEXT(CUR_FAC,"$0.000000;($0.000000)")&amp;"  PER KWH."</f>
        <v>(2) REFLECTS FUEL COMPONENT OF $0.003487  PER KWH.</v>
      </c>
      <c r="B344" s="362"/>
      <c r="C344" s="362"/>
      <c r="D344" s="362"/>
      <c r="E344" s="362"/>
      <c r="F344" s="364"/>
      <c r="G344" s="362"/>
      <c r="H344" s="362"/>
      <c r="I344" s="362"/>
      <c r="J344" s="141"/>
      <c r="K344" s="362"/>
      <c r="L344" s="363"/>
      <c r="M344" s="362"/>
      <c r="N344" s="362"/>
      <c r="O344" s="362"/>
      <c r="P344" s="141"/>
      <c r="Q344" s="130"/>
      <c r="R344" s="130"/>
      <c r="AA344" s="45"/>
      <c r="AC344" s="45"/>
      <c r="AD344" s="45"/>
      <c r="AE344" s="325"/>
      <c r="AF344" s="325"/>
      <c r="AH344" s="45"/>
      <c r="AI344" s="46"/>
      <c r="AJ344" s="46"/>
      <c r="AL344" s="45"/>
      <c r="AM344" s="51"/>
      <c r="AN344" s="51"/>
      <c r="AO344" s="45"/>
      <c r="AP344" s="45"/>
      <c r="AR344" s="45"/>
      <c r="AS344" s="46"/>
    </row>
    <row r="345" spans="1:53">
      <c r="A345" s="141"/>
      <c r="B345" s="362"/>
      <c r="C345" s="362"/>
      <c r="D345" s="362"/>
      <c r="E345" s="362"/>
      <c r="F345" s="364"/>
      <c r="G345" s="362"/>
      <c r="H345" s="362"/>
      <c r="I345" s="362"/>
      <c r="J345" s="141"/>
      <c r="K345" s="362"/>
      <c r="L345" s="363"/>
      <c r="M345" s="362"/>
      <c r="N345" s="362"/>
      <c r="O345" s="362"/>
      <c r="P345" s="141"/>
      <c r="Q345" s="130"/>
      <c r="R345" s="130"/>
      <c r="AA345" s="45"/>
      <c r="AC345" s="45"/>
      <c r="AD345" s="45"/>
      <c r="AE345" s="325"/>
      <c r="AF345" s="325"/>
      <c r="AH345" s="45"/>
      <c r="AI345" s="46"/>
      <c r="AJ345" s="46"/>
      <c r="AL345" s="45"/>
      <c r="AM345" s="51"/>
      <c r="AN345" s="51"/>
      <c r="AO345" s="45"/>
      <c r="AP345" s="45"/>
      <c r="AR345" s="45"/>
      <c r="AS345" s="46"/>
    </row>
    <row r="346" spans="1:53">
      <c r="A346" s="141"/>
      <c r="B346" s="362"/>
      <c r="C346" s="362"/>
      <c r="D346" s="362"/>
      <c r="E346" s="362"/>
      <c r="F346" s="364"/>
      <c r="G346" s="362"/>
      <c r="H346" s="362"/>
      <c r="I346" s="362"/>
      <c r="J346" s="141"/>
      <c r="K346" s="362"/>
      <c r="L346" s="363"/>
      <c r="M346" s="362"/>
      <c r="N346" s="362"/>
      <c r="O346" s="362"/>
      <c r="P346" s="141"/>
      <c r="Q346" s="130"/>
      <c r="R346" s="130"/>
    </row>
    <row r="347" spans="1:53" ht="18" customHeight="1">
      <c r="A347" s="48"/>
      <c r="F347" s="56"/>
      <c r="J347" s="48"/>
      <c r="V347" s="42"/>
      <c r="AA347" s="45"/>
      <c r="AC347" s="45"/>
      <c r="AD347" s="45"/>
      <c r="AE347" s="326"/>
      <c r="AF347" s="326"/>
      <c r="AH347" s="45"/>
      <c r="AI347" s="46"/>
      <c r="AJ347" s="46"/>
      <c r="AL347" s="45"/>
      <c r="AM347" s="46"/>
      <c r="AN347" s="46"/>
      <c r="AO347" s="45"/>
      <c r="AP347" s="45"/>
      <c r="AR347" s="45"/>
      <c r="AS347" s="46"/>
    </row>
    <row r="348" spans="1:53" ht="15" customHeight="1">
      <c r="A348" s="48"/>
      <c r="F348" s="45"/>
      <c r="H348" s="45"/>
      <c r="J348" s="48"/>
      <c r="N348" s="56"/>
      <c r="P348" s="48"/>
      <c r="V348" s="42"/>
      <c r="AA348" s="164"/>
      <c r="AC348" s="164"/>
      <c r="AD348" s="164"/>
      <c r="AE348" s="326"/>
      <c r="AF348" s="326"/>
      <c r="AH348" s="45"/>
      <c r="AI348" s="46"/>
      <c r="AJ348" s="46"/>
      <c r="AL348" s="45"/>
      <c r="AO348" s="45"/>
      <c r="AP348" s="45"/>
      <c r="AR348" s="45"/>
      <c r="AS348" s="46"/>
    </row>
    <row r="350" spans="1:53">
      <c r="V350" s="42"/>
      <c r="AA350" s="45"/>
      <c r="AC350" s="164"/>
      <c r="AD350" s="164"/>
      <c r="AE350" s="316"/>
      <c r="AF350" s="316"/>
      <c r="AH350" s="45"/>
      <c r="AI350" s="46"/>
      <c r="AJ350" s="46"/>
      <c r="AL350" s="45"/>
      <c r="AM350" s="51"/>
      <c r="AN350" s="51"/>
      <c r="AR350" s="45"/>
      <c r="AS350" s="46"/>
    </row>
    <row r="351" spans="1:53">
      <c r="C351" s="42"/>
      <c r="F351" s="3"/>
      <c r="G351" s="1"/>
      <c r="H351" s="45"/>
      <c r="I351" s="3"/>
      <c r="J351" s="1"/>
      <c r="K351" s="1"/>
      <c r="L351" s="1"/>
      <c r="M351" s="1"/>
      <c r="N351" s="1"/>
      <c r="O351" s="1"/>
      <c r="P351" s="3"/>
      <c r="Q351" s="3"/>
      <c r="R351" s="4"/>
      <c r="S351" s="6"/>
      <c r="T351" s="3"/>
      <c r="U351" s="3"/>
      <c r="V351" s="3"/>
      <c r="Z351" s="44"/>
      <c r="AA351" s="44"/>
      <c r="AB351" s="44"/>
      <c r="AC351" s="44"/>
      <c r="AD351" s="44"/>
      <c r="AE351" s="44"/>
      <c r="AG351" s="102"/>
      <c r="AH351" s="44"/>
      <c r="AI351" s="44"/>
      <c r="AJ351" s="44"/>
      <c r="AK351" s="102"/>
      <c r="AL351" s="44"/>
      <c r="AM351" s="44"/>
      <c r="AN351" s="44"/>
      <c r="AO351" s="44"/>
      <c r="AP351" s="44"/>
      <c r="AQ351" s="102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</row>
    <row r="352" spans="1:53">
      <c r="C352" s="4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4"/>
      <c r="T352" s="760" t="str">
        <f>NAME</f>
        <v>DUKE ENERGY KENTUCKY, INC.</v>
      </c>
      <c r="U352" s="760"/>
      <c r="V352" s="760"/>
      <c r="W352" s="760"/>
      <c r="X352" s="760"/>
      <c r="Y352" s="760"/>
      <c r="Z352" s="760"/>
      <c r="AA352" s="760"/>
      <c r="AB352" s="760"/>
      <c r="AC352" s="760"/>
      <c r="AD352" s="760"/>
      <c r="AE352" s="760"/>
      <c r="AF352" s="760"/>
      <c r="AG352" s="760"/>
      <c r="AH352" s="760"/>
      <c r="AI352" s="760"/>
      <c r="AJ352" s="760"/>
      <c r="AK352" s="760"/>
      <c r="AL352" s="760"/>
      <c r="AM352" s="760"/>
      <c r="AN352" s="760"/>
      <c r="AO352" s="760"/>
      <c r="AP352" s="760"/>
      <c r="AQ352" s="760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</row>
    <row r="353" spans="3:53">
      <c r="C353" s="42"/>
      <c r="F353" s="68"/>
      <c r="G353" s="3"/>
      <c r="H353" s="68"/>
      <c r="I353" s="68"/>
      <c r="J353" s="68"/>
      <c r="K353" s="68"/>
      <c r="L353" s="342"/>
      <c r="M353" s="68"/>
      <c r="N353" s="68"/>
      <c r="O353" s="68"/>
      <c r="P353" s="3"/>
      <c r="Q353" s="3"/>
      <c r="R353" s="3"/>
      <c r="S353" s="4"/>
      <c r="T353" s="40" t="str">
        <f>CASE_NO</f>
        <v>CASE NO.   2024-00354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</row>
    <row r="354" spans="3:53">
      <c r="C354" s="42"/>
      <c r="F354" s="68"/>
      <c r="G354" s="3"/>
      <c r="H354" s="68"/>
      <c r="I354" s="68"/>
      <c r="J354" s="68"/>
      <c r="K354" s="68"/>
      <c r="L354" s="68"/>
      <c r="M354" s="68"/>
      <c r="N354" s="68"/>
      <c r="O354" s="68"/>
      <c r="P354" s="68"/>
      <c r="Q354" s="3"/>
      <c r="R354" s="68"/>
      <c r="S354" s="4"/>
      <c r="T354" s="40" t="str">
        <f>TITLE</f>
        <v>ANNUALIZED TEST YEAR REVENUES AT PROPOSED VS. MOST CURRENT RATES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</row>
    <row r="355" spans="3:53">
      <c r="C355" s="42"/>
      <c r="F355" s="164"/>
      <c r="G355" s="45"/>
      <c r="H355" s="164"/>
      <c r="I355" s="164"/>
      <c r="J355" s="164"/>
      <c r="K355" s="164"/>
      <c r="L355" s="45"/>
      <c r="M355" s="45"/>
      <c r="N355" s="45"/>
      <c r="O355" s="45"/>
      <c r="P355" s="45"/>
      <c r="Q355" s="45"/>
      <c r="R355" s="45"/>
      <c r="T355" s="40" t="str">
        <f>DATE</f>
        <v>FOR THE TWELVE MONTHS ENDED June 30, 2026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5"/>
      <c r="AS355" s="46"/>
    </row>
    <row r="356" spans="3:53">
      <c r="F356" s="50"/>
      <c r="H356" s="45"/>
      <c r="I356" s="45"/>
      <c r="J356" s="326"/>
      <c r="K356" s="326"/>
      <c r="L356" s="50"/>
      <c r="M356" s="50"/>
      <c r="N356" s="50"/>
      <c r="O356" s="50"/>
      <c r="P356" s="50"/>
      <c r="Q356" s="50"/>
      <c r="R356" s="50"/>
      <c r="T356" s="40" t="str">
        <f>SERVICE</f>
        <v>(ELECTRIC SERVICE)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5"/>
      <c r="AS356" s="46"/>
    </row>
    <row r="357" spans="3:53">
      <c r="F357" s="50"/>
      <c r="H357" s="45"/>
      <c r="I357" s="45"/>
      <c r="J357" s="326"/>
      <c r="K357" s="326"/>
      <c r="L357" s="50"/>
      <c r="M357" s="50"/>
      <c r="N357" s="50"/>
      <c r="O357" s="50"/>
      <c r="P357" s="50"/>
      <c r="Q357" s="50"/>
      <c r="R357" s="50"/>
      <c r="T357" s="41" t="str">
        <f>DATA_PERIOD</f>
        <v>DATA: ____ BASE PERIOD   __X__FORECASTED PERIOD</v>
      </c>
      <c r="AG357" s="41"/>
      <c r="AK357" s="41"/>
      <c r="AO357" s="42" t="s">
        <v>157</v>
      </c>
      <c r="AQ357" s="41"/>
    </row>
    <row r="358" spans="3:53">
      <c r="C358" s="42"/>
      <c r="F358" s="164"/>
      <c r="H358" s="164"/>
      <c r="I358" s="164"/>
      <c r="J358" s="336"/>
      <c r="K358" s="336"/>
      <c r="L358" s="45"/>
      <c r="M358" s="45"/>
      <c r="N358" s="46"/>
      <c r="O358" s="46"/>
      <c r="P358" s="45"/>
      <c r="Q358" s="45"/>
      <c r="R358" s="45"/>
      <c r="S358" s="45"/>
      <c r="T358" s="41" t="str">
        <f>TYPE</f>
        <v>TYPE OF FILING: _X_ ORIGINAL   ___UPDATED  ___ REVISED</v>
      </c>
      <c r="AG358" s="41"/>
      <c r="AK358" s="41"/>
      <c r="AO358" s="48" t="str">
        <f>"PAGE 20 OF "&amp;TEXT(Page_Num_2.2,"00")</f>
        <v>PAGE 20 OF 24</v>
      </c>
      <c r="AQ358" s="41"/>
      <c r="AR358" s="45"/>
      <c r="AS358" s="46"/>
    </row>
    <row r="359" spans="3:53">
      <c r="C359" s="42"/>
      <c r="F359" s="164"/>
      <c r="H359" s="164"/>
      <c r="I359" s="164"/>
      <c r="J359" s="316"/>
      <c r="K359" s="316"/>
      <c r="L359" s="45"/>
      <c r="M359" s="45"/>
      <c r="N359" s="46"/>
      <c r="O359" s="46"/>
      <c r="P359" s="45"/>
      <c r="Q359" s="45"/>
      <c r="R359" s="45"/>
      <c r="T359" s="42" t="s">
        <v>170</v>
      </c>
      <c r="AO359" s="42" t="s">
        <v>4</v>
      </c>
      <c r="AP359" s="42"/>
    </row>
    <row r="360" spans="3:53">
      <c r="F360" s="45"/>
      <c r="H360" s="50"/>
      <c r="I360" s="50"/>
      <c r="J360" s="326"/>
      <c r="K360" s="326"/>
      <c r="L360" s="50"/>
      <c r="M360" s="50"/>
      <c r="N360" s="50"/>
      <c r="O360" s="50"/>
      <c r="P360" s="50"/>
      <c r="Q360" s="50"/>
      <c r="R360" s="50"/>
      <c r="T360" s="130" t="str">
        <f>TIME</f>
        <v>12 Months Projected with Riders</v>
      </c>
      <c r="AF360" s="42"/>
      <c r="AO360" s="45" t="str">
        <f>WIT</f>
        <v>B. L. Sailers</v>
      </c>
      <c r="AR360" s="45"/>
      <c r="AS360" s="46"/>
    </row>
    <row r="361" spans="3:53">
      <c r="F361" s="45"/>
      <c r="H361" s="50"/>
      <c r="I361" s="50"/>
      <c r="J361" s="326"/>
      <c r="K361" s="326"/>
      <c r="L361" s="50"/>
      <c r="M361" s="50"/>
      <c r="N361" s="50"/>
      <c r="O361" s="50"/>
      <c r="P361" s="50"/>
      <c r="Q361" s="50"/>
      <c r="R361" s="50"/>
      <c r="T361" s="40" t="s">
        <v>130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100"/>
      <c r="AH361" s="40"/>
      <c r="AI361" s="40"/>
      <c r="AJ361" s="40"/>
      <c r="AK361" s="100"/>
      <c r="AL361" s="40"/>
      <c r="AM361" s="40"/>
      <c r="AN361" s="40"/>
      <c r="AO361" s="40"/>
      <c r="AP361" s="40"/>
      <c r="AR361" s="45"/>
      <c r="AS361" s="46"/>
    </row>
    <row r="362" spans="3:53">
      <c r="F362" s="45"/>
      <c r="H362" s="50"/>
      <c r="I362" s="50"/>
      <c r="J362" s="326"/>
      <c r="K362" s="326"/>
      <c r="L362" s="50"/>
      <c r="M362" s="50"/>
      <c r="N362" s="50"/>
      <c r="O362" s="50"/>
      <c r="P362" s="50"/>
      <c r="Q362" s="50"/>
      <c r="R362" s="50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3"/>
      <c r="AF362" s="43"/>
      <c r="AG362" s="101"/>
      <c r="AH362" s="43"/>
      <c r="AI362" s="43"/>
      <c r="AJ362" s="43"/>
      <c r="AK362" s="101"/>
      <c r="AL362" s="43"/>
      <c r="AM362" s="43"/>
      <c r="AN362" s="49"/>
      <c r="AO362" s="49"/>
      <c r="AP362" s="49"/>
    </row>
    <row r="363" spans="3:53" ht="18" customHeight="1">
      <c r="C363" s="42"/>
      <c r="F363" s="45"/>
      <c r="H363" s="45"/>
      <c r="I363" s="45"/>
      <c r="J363" s="326"/>
      <c r="K363" s="326"/>
      <c r="L363" s="45"/>
      <c r="M363" s="45"/>
      <c r="N363" s="45"/>
      <c r="O363" s="45"/>
      <c r="P363" s="45"/>
      <c r="Q363" s="45"/>
      <c r="R363" s="45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44" t="s">
        <v>8</v>
      </c>
      <c r="AF363" s="44"/>
      <c r="AG363" s="102" t="s">
        <v>7</v>
      </c>
      <c r="AH363" s="44"/>
      <c r="AI363" s="44" t="s">
        <v>9</v>
      </c>
      <c r="AJ363" s="44"/>
      <c r="AK363" s="102" t="s">
        <v>10</v>
      </c>
      <c r="AL363" s="44"/>
      <c r="AN363" s="62"/>
      <c r="AO363" s="63" t="s">
        <v>8</v>
      </c>
      <c r="AP363" s="63"/>
      <c r="AQ363" s="109" t="s">
        <v>11</v>
      </c>
      <c r="AR363" s="45"/>
      <c r="AW363" s="164"/>
    </row>
    <row r="364" spans="3:53">
      <c r="C364" s="42"/>
      <c r="F364" s="45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AC364" s="415" t="s">
        <v>811</v>
      </c>
      <c r="AD364" s="40"/>
      <c r="AE364" s="44" t="s">
        <v>12</v>
      </c>
      <c r="AF364" s="44"/>
      <c r="AG364" s="102" t="s">
        <v>13</v>
      </c>
      <c r="AH364" s="44"/>
      <c r="AI364" s="44" t="s">
        <v>15</v>
      </c>
      <c r="AJ364" s="44"/>
      <c r="AK364" s="102" t="s">
        <v>16</v>
      </c>
      <c r="AL364" s="44"/>
      <c r="AO364" s="44" t="s">
        <v>11</v>
      </c>
      <c r="AP364" s="44"/>
      <c r="AQ364" s="102" t="s">
        <v>9</v>
      </c>
      <c r="AW364" s="164"/>
    </row>
    <row r="365" spans="3:53">
      <c r="C365" s="42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4" t="s">
        <v>17</v>
      </c>
      <c r="V365" s="44" t="s">
        <v>18</v>
      </c>
      <c r="W365" s="44" t="s">
        <v>19</v>
      </c>
      <c r="X365" s="44"/>
      <c r="Y365" s="44" t="s">
        <v>20</v>
      </c>
      <c r="AC365" s="44" t="s">
        <v>807</v>
      </c>
      <c r="AD365" s="44" t="s">
        <v>808</v>
      </c>
      <c r="AE365" s="44" t="s">
        <v>841</v>
      </c>
      <c r="AF365" s="44"/>
      <c r="AG365" s="102" t="s">
        <v>841</v>
      </c>
      <c r="AH365" s="44"/>
      <c r="AI365" s="60" t="s">
        <v>964</v>
      </c>
      <c r="AJ365" s="44"/>
      <c r="AK365" s="277" t="s">
        <v>964</v>
      </c>
      <c r="AL365" s="44"/>
      <c r="AM365" s="44" t="s">
        <v>841</v>
      </c>
      <c r="AN365" s="44"/>
      <c r="AO365" s="44" t="s">
        <v>9</v>
      </c>
      <c r="AP365" s="44"/>
      <c r="AQ365" s="102" t="s">
        <v>21</v>
      </c>
      <c r="AW365" s="164"/>
    </row>
    <row r="366" spans="3:53">
      <c r="F366" s="45"/>
      <c r="H366" s="45"/>
      <c r="I366" s="45"/>
      <c r="J366" s="326"/>
      <c r="K366" s="326"/>
      <c r="L366" s="50"/>
      <c r="M366" s="50"/>
      <c r="N366" s="50"/>
      <c r="O366" s="50"/>
      <c r="P366" s="50"/>
      <c r="Q366" s="50"/>
      <c r="R366" s="50"/>
      <c r="T366" s="44" t="s">
        <v>22</v>
      </c>
      <c r="V366" s="44" t="s">
        <v>23</v>
      </c>
      <c r="W366" s="44" t="s">
        <v>24</v>
      </c>
      <c r="X366" s="44"/>
      <c r="Y366" s="44" t="s">
        <v>25</v>
      </c>
      <c r="AA366" s="44" t="s">
        <v>26</v>
      </c>
      <c r="AB366" s="44"/>
      <c r="AC366" s="60" t="s">
        <v>27</v>
      </c>
      <c r="AD366" s="60" t="s">
        <v>27</v>
      </c>
      <c r="AE366" s="44" t="s">
        <v>9</v>
      </c>
      <c r="AF366" s="44"/>
      <c r="AG366" s="102" t="s">
        <v>9</v>
      </c>
      <c r="AH366" s="44"/>
      <c r="AI366" s="304" t="s">
        <v>29</v>
      </c>
      <c r="AJ366" s="304"/>
      <c r="AK366" s="311" t="s">
        <v>30</v>
      </c>
      <c r="AL366" s="44"/>
      <c r="AM366" s="44" t="s">
        <v>323</v>
      </c>
      <c r="AN366" s="44"/>
      <c r="AO366" s="304" t="s">
        <v>31</v>
      </c>
      <c r="AP366" s="304"/>
      <c r="AQ366" s="311" t="s">
        <v>32</v>
      </c>
      <c r="AW366" s="164"/>
    </row>
    <row r="367" spans="3:53">
      <c r="C367" s="42"/>
      <c r="F367" s="45"/>
      <c r="H367" s="45"/>
      <c r="I367" s="45"/>
      <c r="J367" s="47"/>
      <c r="K367" s="47"/>
      <c r="L367" s="45"/>
      <c r="M367" s="45"/>
      <c r="N367" s="46"/>
      <c r="O367" s="46"/>
      <c r="P367" s="45"/>
      <c r="Q367" s="45"/>
      <c r="R367" s="45"/>
      <c r="V367" s="304" t="s">
        <v>33</v>
      </c>
      <c r="W367" s="304" t="s">
        <v>34</v>
      </c>
      <c r="X367" s="304"/>
      <c r="Y367" s="304" t="s">
        <v>35</v>
      </c>
      <c r="Z367" s="130"/>
      <c r="AA367" s="304" t="s">
        <v>36</v>
      </c>
      <c r="AB367" s="304"/>
      <c r="AC367" s="307" t="s">
        <v>813</v>
      </c>
      <c r="AD367" s="307" t="s">
        <v>812</v>
      </c>
      <c r="AE367" s="304" t="s">
        <v>43</v>
      </c>
      <c r="AF367" s="304"/>
      <c r="AG367" s="311" t="s">
        <v>44</v>
      </c>
      <c r="AH367" s="304"/>
      <c r="AI367" s="304" t="s">
        <v>45</v>
      </c>
      <c r="AJ367" s="304"/>
      <c r="AK367" s="311" t="s">
        <v>46</v>
      </c>
      <c r="AL367" s="304"/>
      <c r="AM367" s="304" t="s">
        <v>40</v>
      </c>
      <c r="AN367" s="304"/>
      <c r="AO367" s="304" t="s">
        <v>47</v>
      </c>
      <c r="AP367" s="304"/>
      <c r="AQ367" s="311" t="s">
        <v>48</v>
      </c>
      <c r="AW367" s="164"/>
    </row>
    <row r="368" spans="3:53" ht="17.100000000000001" customHeight="1">
      <c r="F368" s="45"/>
      <c r="H368" s="45"/>
      <c r="I368" s="45"/>
      <c r="J368" s="326"/>
      <c r="K368" s="326"/>
      <c r="L368" s="50"/>
      <c r="M368" s="50"/>
      <c r="N368" s="50"/>
      <c r="O368" s="50"/>
      <c r="P368" s="50"/>
      <c r="Q368" s="50"/>
      <c r="R368" s="50"/>
      <c r="T368" s="62"/>
      <c r="U368" s="62"/>
      <c r="V368" s="62"/>
      <c r="W368" s="62"/>
      <c r="X368" s="62"/>
      <c r="Y368" s="62"/>
      <c r="Z368" s="62"/>
      <c r="AA368" s="345" t="s">
        <v>49</v>
      </c>
      <c r="AB368" s="345"/>
      <c r="AC368" s="344" t="s">
        <v>69</v>
      </c>
      <c r="AD368" s="345"/>
      <c r="AE368" s="345" t="s">
        <v>50</v>
      </c>
      <c r="AF368" s="345"/>
      <c r="AG368" s="346" t="s">
        <v>51</v>
      </c>
      <c r="AH368" s="345"/>
      <c r="AI368" s="345" t="s">
        <v>50</v>
      </c>
      <c r="AJ368" s="345"/>
      <c r="AK368" s="346" t="s">
        <v>51</v>
      </c>
      <c r="AL368" s="345"/>
      <c r="AM368" s="345" t="s">
        <v>50</v>
      </c>
      <c r="AN368" s="345"/>
      <c r="AO368" s="345" t="s">
        <v>50</v>
      </c>
      <c r="AP368" s="345"/>
      <c r="AQ368" s="346" t="s">
        <v>51</v>
      </c>
      <c r="AW368" s="164"/>
    </row>
    <row r="369" spans="1:49">
      <c r="C369" s="42"/>
      <c r="F369" s="164"/>
      <c r="H369" s="164"/>
      <c r="I369" s="164"/>
      <c r="J369" s="331"/>
      <c r="K369" s="331"/>
      <c r="L369" s="45"/>
      <c r="M369" s="45"/>
      <c r="N369" s="46"/>
      <c r="O369" s="46"/>
      <c r="P369" s="45"/>
      <c r="Q369" s="45"/>
      <c r="R369" s="45"/>
      <c r="T369" s="350">
        <f t="shared" ref="T369:T412" si="36">A18</f>
        <v>1</v>
      </c>
      <c r="V369" s="48" t="str">
        <f>C18</f>
        <v>LED</v>
      </c>
      <c r="W369" s="48" t="str">
        <f>D18</f>
        <v>STREET LIGHTING -- LED</v>
      </c>
      <c r="X369" s="42"/>
      <c r="Y369" s="1"/>
      <c r="Z369" s="1"/>
      <c r="AA369" s="1"/>
      <c r="AB369" s="1"/>
      <c r="AC369" s="1"/>
      <c r="AD369" s="1"/>
      <c r="AE369" s="1"/>
      <c r="AF369" s="1"/>
      <c r="AG369" s="103"/>
      <c r="AH369" s="1"/>
      <c r="AI369" s="1"/>
      <c r="AJ369" s="1"/>
      <c r="AK369" s="103"/>
      <c r="AL369" s="1"/>
      <c r="AM369" s="1"/>
      <c r="AN369" s="1"/>
      <c r="AO369" s="1"/>
      <c r="AP369" s="1"/>
      <c r="AQ369" s="113"/>
      <c r="AW369" s="164"/>
    </row>
    <row r="370" spans="1:49">
      <c r="C370" s="42"/>
      <c r="F370" s="45"/>
      <c r="H370" s="45"/>
      <c r="I370" s="45"/>
      <c r="J370" s="326"/>
      <c r="K370" s="326"/>
      <c r="L370" s="45"/>
      <c r="M370" s="45"/>
      <c r="N370" s="46"/>
      <c r="O370" s="46"/>
      <c r="P370" s="45"/>
      <c r="Q370" s="45"/>
      <c r="R370" s="45"/>
      <c r="S370" s="45"/>
      <c r="T370" s="350">
        <f t="shared" si="36"/>
        <v>2</v>
      </c>
      <c r="V370" s="48" t="str">
        <f t="shared" ref="V370:V412" si="37">C19</f>
        <v>FIXTURES</v>
      </c>
      <c r="W370" s="130"/>
      <c r="Y370" s="68"/>
      <c r="Z370" s="1"/>
      <c r="AA370" s="68"/>
      <c r="AB370" s="1"/>
      <c r="AC370" s="1"/>
      <c r="AD370" s="1"/>
      <c r="AE370" s="1"/>
      <c r="AF370" s="1"/>
      <c r="AG370" s="103"/>
      <c r="AH370" s="1"/>
      <c r="AI370" s="1"/>
      <c r="AJ370" s="1"/>
      <c r="AK370" s="103"/>
      <c r="AL370" s="1"/>
      <c r="AM370" s="1"/>
      <c r="AN370" s="1"/>
      <c r="AO370" s="1"/>
      <c r="AP370" s="1"/>
      <c r="AQ370" s="113"/>
      <c r="AW370" s="164"/>
    </row>
    <row r="371" spans="1:49">
      <c r="F371" s="50"/>
      <c r="H371" s="50"/>
      <c r="I371" s="50"/>
      <c r="J371" s="326"/>
      <c r="K371" s="326"/>
      <c r="L371" s="50"/>
      <c r="M371" s="50"/>
      <c r="N371" s="50"/>
      <c r="O371" s="50"/>
      <c r="P371" s="50"/>
      <c r="Q371" s="50"/>
      <c r="R371" s="50"/>
      <c r="S371" s="45"/>
      <c r="T371" s="350">
        <f t="shared" si="36"/>
        <v>3</v>
      </c>
      <c r="V371" s="48" t="str">
        <f t="shared" si="37"/>
        <v xml:space="preserve">   50W Neighborhood</v>
      </c>
      <c r="W371" s="130"/>
      <c r="Y371" s="68">
        <f t="shared" ref="Y371:Y412" si="38">F20</f>
        <v>0</v>
      </c>
      <c r="Z371" s="1"/>
      <c r="AA371" s="68">
        <f t="shared" ref="AA371:AA412" si="39">H20</f>
        <v>0</v>
      </c>
      <c r="AB371" s="68"/>
      <c r="AC371" s="132">
        <v>4.1500000000000004</v>
      </c>
      <c r="AD371" s="132">
        <v>2.9</v>
      </c>
      <c r="AE371" s="3">
        <f>ROUND((Y371*(AC371+AD371)),0)</f>
        <v>0</v>
      </c>
      <c r="AF371" s="3"/>
      <c r="AG371" s="103">
        <f t="shared" ref="AG371:AG412" si="40">ROUND((AE371/AE$692)*100,1)</f>
        <v>0</v>
      </c>
      <c r="AH371" s="4"/>
      <c r="AI371" s="3">
        <f t="shared" ref="AI371:AI412" si="41">L20-AE371</f>
        <v>0</v>
      </c>
      <c r="AJ371" s="3"/>
      <c r="AK371" s="113" t="str">
        <f t="shared" ref="AK371:AK401" si="42">IF(AE371=0,"0.0 ",ROUND((AI371/AE371)*100,1))</f>
        <v xml:space="preserve">0.0 </v>
      </c>
      <c r="AL371" s="6"/>
      <c r="AM371" s="3"/>
      <c r="AN371" s="3"/>
      <c r="AO371" s="3">
        <f>AM371+AE371</f>
        <v>0</v>
      </c>
      <c r="AP371" s="3"/>
      <c r="AQ371" s="113" t="str">
        <f t="shared" ref="AQ371:AQ401" si="43">IF(AO371=0,"0.0 ",ROUND((AI371/AO371)*100,1))</f>
        <v xml:space="preserve">0.0 </v>
      </c>
      <c r="AW371" s="164"/>
    </row>
    <row r="372" spans="1:49">
      <c r="F372" s="50"/>
      <c r="H372" s="50"/>
      <c r="I372" s="50"/>
      <c r="J372" s="326"/>
      <c r="K372" s="326"/>
      <c r="L372" s="50"/>
      <c r="M372" s="50"/>
      <c r="N372" s="50"/>
      <c r="O372" s="50"/>
      <c r="P372" s="50"/>
      <c r="Q372" s="50"/>
      <c r="R372" s="50"/>
      <c r="T372" s="350">
        <f t="shared" si="36"/>
        <v>4</v>
      </c>
      <c r="V372" s="48" t="str">
        <f t="shared" si="37"/>
        <v xml:space="preserve">   50W Neighborhood with Lens</v>
      </c>
      <c r="Y372" s="68">
        <f t="shared" si="38"/>
        <v>0</v>
      </c>
      <c r="Z372" s="1"/>
      <c r="AA372" s="68">
        <f t="shared" si="39"/>
        <v>0</v>
      </c>
      <c r="AB372" s="68"/>
      <c r="AC372" s="132">
        <v>4.2</v>
      </c>
      <c r="AD372" s="132">
        <v>2.9</v>
      </c>
      <c r="AE372" s="3">
        <f t="shared" ref="AE372:AE401" si="44">ROUND((Y372*(AC372+AD372)),0)</f>
        <v>0</v>
      </c>
      <c r="AF372" s="3"/>
      <c r="AG372" s="103">
        <f t="shared" si="40"/>
        <v>0</v>
      </c>
      <c r="AH372" s="4"/>
      <c r="AI372" s="3">
        <f t="shared" si="41"/>
        <v>0</v>
      </c>
      <c r="AJ372" s="3"/>
      <c r="AK372" s="113" t="str">
        <f t="shared" si="42"/>
        <v xml:space="preserve">0.0 </v>
      </c>
      <c r="AL372" s="6"/>
      <c r="AM372" s="3"/>
      <c r="AN372" s="3"/>
      <c r="AO372" s="3">
        <f t="shared" ref="AO372:AO401" si="45">AM372+AE372</f>
        <v>0</v>
      </c>
      <c r="AP372" s="3"/>
      <c r="AQ372" s="113" t="str">
        <f t="shared" si="43"/>
        <v xml:space="preserve">0.0 </v>
      </c>
      <c r="AS372" s="45"/>
      <c r="AW372" s="164"/>
    </row>
    <row r="373" spans="1:49">
      <c r="C373" s="42"/>
      <c r="T373" s="350">
        <f t="shared" si="36"/>
        <v>5</v>
      </c>
      <c r="V373" s="48" t="str">
        <f t="shared" si="37"/>
        <v xml:space="preserve">   50W Standard LED</v>
      </c>
      <c r="Y373" s="68">
        <f t="shared" si="38"/>
        <v>259</v>
      </c>
      <c r="Z373" s="1"/>
      <c r="AA373" s="68">
        <f t="shared" si="39"/>
        <v>4403</v>
      </c>
      <c r="AB373" s="68"/>
      <c r="AC373" s="132">
        <v>3.84</v>
      </c>
      <c r="AD373" s="132">
        <v>2.9</v>
      </c>
      <c r="AE373" s="3">
        <f t="shared" si="44"/>
        <v>1746</v>
      </c>
      <c r="AF373" s="3"/>
      <c r="AG373" s="103">
        <f t="shared" si="40"/>
        <v>8.8000000000000007</v>
      </c>
      <c r="AH373" s="4"/>
      <c r="AI373" s="3">
        <f t="shared" si="41"/>
        <v>249</v>
      </c>
      <c r="AJ373" s="3"/>
      <c r="AK373" s="113">
        <f t="shared" si="42"/>
        <v>14.3</v>
      </c>
      <c r="AL373" s="6"/>
      <c r="AM373" s="3"/>
      <c r="AN373" s="3"/>
      <c r="AO373" s="3">
        <f t="shared" si="45"/>
        <v>1746</v>
      </c>
      <c r="AP373" s="3"/>
      <c r="AQ373" s="113">
        <f t="shared" si="43"/>
        <v>14.3</v>
      </c>
      <c r="AS373" s="45"/>
      <c r="AW373" s="164"/>
    </row>
    <row r="374" spans="1:49">
      <c r="C374" s="42"/>
      <c r="F374" s="45"/>
      <c r="H374" s="45"/>
      <c r="I374" s="45"/>
      <c r="L374" s="45"/>
      <c r="M374" s="45"/>
      <c r="N374" s="46"/>
      <c r="O374" s="46"/>
      <c r="P374" s="164"/>
      <c r="Q374" s="164"/>
      <c r="R374" s="45"/>
      <c r="T374" s="350">
        <f t="shared" si="36"/>
        <v>6</v>
      </c>
      <c r="V374" s="48" t="str">
        <f t="shared" si="37"/>
        <v xml:space="preserve">   70W Standard LED</v>
      </c>
      <c r="Y374" s="68">
        <f t="shared" si="38"/>
        <v>672</v>
      </c>
      <c r="Z374" s="1"/>
      <c r="AA374" s="68">
        <f t="shared" si="39"/>
        <v>11424</v>
      </c>
      <c r="AB374" s="68"/>
      <c r="AC374" s="132">
        <v>4.22</v>
      </c>
      <c r="AD374" s="132">
        <v>2.9</v>
      </c>
      <c r="AE374" s="3">
        <f t="shared" si="44"/>
        <v>4785</v>
      </c>
      <c r="AF374" s="3"/>
      <c r="AG374" s="103">
        <f t="shared" si="40"/>
        <v>24</v>
      </c>
      <c r="AH374" s="4"/>
      <c r="AI374" s="3">
        <f t="shared" si="41"/>
        <v>682</v>
      </c>
      <c r="AJ374" s="3"/>
      <c r="AK374" s="113">
        <f t="shared" si="42"/>
        <v>14.3</v>
      </c>
      <c r="AL374" s="6"/>
      <c r="AM374" s="3"/>
      <c r="AN374" s="3"/>
      <c r="AO374" s="3">
        <f t="shared" si="45"/>
        <v>4785</v>
      </c>
      <c r="AP374" s="3"/>
      <c r="AQ374" s="113">
        <f t="shared" si="43"/>
        <v>14.3</v>
      </c>
      <c r="AS374" s="45"/>
      <c r="AW374" s="164"/>
    </row>
    <row r="375" spans="1:49">
      <c r="F375" s="50"/>
      <c r="H375" s="50"/>
      <c r="I375" s="50"/>
      <c r="J375" s="326"/>
      <c r="K375" s="326"/>
      <c r="L375" s="50"/>
      <c r="M375" s="50"/>
      <c r="N375" s="50"/>
      <c r="O375" s="50"/>
      <c r="P375" s="50"/>
      <c r="Q375" s="50"/>
      <c r="R375" s="50"/>
      <c r="T375" s="350">
        <f t="shared" si="36"/>
        <v>7</v>
      </c>
      <c r="V375" s="48" t="str">
        <f t="shared" si="37"/>
        <v xml:space="preserve">   110W Standard LED</v>
      </c>
      <c r="Y375" s="68">
        <f t="shared" si="38"/>
        <v>22</v>
      </c>
      <c r="Z375" s="1"/>
      <c r="AA375" s="68">
        <f t="shared" si="39"/>
        <v>528</v>
      </c>
      <c r="AB375" s="68"/>
      <c r="AC375" s="132">
        <v>4.7699999999999996</v>
      </c>
      <c r="AD375" s="132">
        <v>2.9</v>
      </c>
      <c r="AE375" s="3">
        <f t="shared" si="44"/>
        <v>169</v>
      </c>
      <c r="AF375" s="3"/>
      <c r="AG375" s="103">
        <f t="shared" si="40"/>
        <v>0.8</v>
      </c>
      <c r="AH375" s="4"/>
      <c r="AI375" s="3">
        <f t="shared" si="41"/>
        <v>24</v>
      </c>
      <c r="AJ375" s="3"/>
      <c r="AK375" s="113">
        <f t="shared" si="42"/>
        <v>14.2</v>
      </c>
      <c r="AL375" s="6"/>
      <c r="AM375" s="3"/>
      <c r="AN375" s="3"/>
      <c r="AO375" s="3">
        <f t="shared" si="45"/>
        <v>169</v>
      </c>
      <c r="AP375" s="3"/>
      <c r="AQ375" s="113">
        <f t="shared" si="43"/>
        <v>14.2</v>
      </c>
      <c r="AS375" s="45"/>
      <c r="AW375" s="164"/>
    </row>
    <row r="376" spans="1:49">
      <c r="T376" s="350">
        <f t="shared" si="36"/>
        <v>8</v>
      </c>
      <c r="V376" s="48" t="str">
        <f t="shared" si="37"/>
        <v xml:space="preserve">   150W Standard LED</v>
      </c>
      <c r="Y376" s="68">
        <f t="shared" si="38"/>
        <v>10</v>
      </c>
      <c r="Z376" s="1"/>
      <c r="AA376" s="68">
        <f t="shared" si="39"/>
        <v>380</v>
      </c>
      <c r="AB376" s="68"/>
      <c r="AC376" s="132">
        <v>4.83</v>
      </c>
      <c r="AD376" s="132">
        <v>2.9</v>
      </c>
      <c r="AE376" s="3">
        <f t="shared" si="44"/>
        <v>77</v>
      </c>
      <c r="AF376" s="3"/>
      <c r="AG376" s="103">
        <f t="shared" si="40"/>
        <v>0.4</v>
      </c>
      <c r="AH376" s="4"/>
      <c r="AI376" s="3">
        <f t="shared" si="41"/>
        <v>11</v>
      </c>
      <c r="AJ376" s="3"/>
      <c r="AK376" s="113">
        <f t="shared" si="42"/>
        <v>14.3</v>
      </c>
      <c r="AL376" s="6"/>
      <c r="AM376" s="3"/>
      <c r="AN376" s="3"/>
      <c r="AO376" s="3">
        <f t="shared" si="45"/>
        <v>77</v>
      </c>
      <c r="AP376" s="3"/>
      <c r="AQ376" s="113">
        <f t="shared" si="43"/>
        <v>14.3</v>
      </c>
      <c r="AS376" s="45"/>
      <c r="AW376" s="164"/>
    </row>
    <row r="377" spans="1:49">
      <c r="C377" s="42"/>
      <c r="L377" s="45"/>
      <c r="M377" s="45"/>
      <c r="N377" s="45"/>
      <c r="O377" s="45"/>
      <c r="P377" s="45"/>
      <c r="Q377" s="45"/>
      <c r="R377" s="45"/>
      <c r="S377" s="45"/>
      <c r="T377" s="350">
        <f t="shared" si="36"/>
        <v>9</v>
      </c>
      <c r="V377" s="48" t="str">
        <f t="shared" si="37"/>
        <v xml:space="preserve">   220W Standard LED</v>
      </c>
      <c r="Y377" s="68">
        <f t="shared" si="38"/>
        <v>19</v>
      </c>
      <c r="Z377" s="1"/>
      <c r="AA377" s="68">
        <f t="shared" si="39"/>
        <v>988</v>
      </c>
      <c r="AB377" s="68"/>
      <c r="AC377" s="132">
        <v>6.31</v>
      </c>
      <c r="AD377" s="132">
        <v>3.54</v>
      </c>
      <c r="AE377" s="3">
        <f t="shared" si="44"/>
        <v>187</v>
      </c>
      <c r="AF377" s="3"/>
      <c r="AG377" s="103">
        <f t="shared" si="40"/>
        <v>0.9</v>
      </c>
      <c r="AH377" s="4"/>
      <c r="AI377" s="3">
        <f t="shared" si="41"/>
        <v>27</v>
      </c>
      <c r="AJ377" s="3"/>
      <c r="AK377" s="113">
        <f t="shared" si="42"/>
        <v>14.4</v>
      </c>
      <c r="AL377" s="6"/>
      <c r="AM377" s="3"/>
      <c r="AN377" s="3"/>
      <c r="AO377" s="3">
        <f t="shared" si="45"/>
        <v>187</v>
      </c>
      <c r="AP377" s="3"/>
      <c r="AQ377" s="113">
        <f t="shared" si="43"/>
        <v>14.4</v>
      </c>
      <c r="AS377" s="45"/>
      <c r="AW377" s="164"/>
    </row>
    <row r="378" spans="1:49">
      <c r="C378" s="42"/>
      <c r="L378" s="45"/>
      <c r="M378" s="45"/>
      <c r="N378" s="45"/>
      <c r="O378" s="45"/>
      <c r="P378" s="45"/>
      <c r="Q378" s="45"/>
      <c r="R378" s="45"/>
      <c r="S378" s="45"/>
      <c r="T378" s="350">
        <f t="shared" si="36"/>
        <v>10</v>
      </c>
      <c r="V378" s="48" t="str">
        <f t="shared" si="37"/>
        <v xml:space="preserve">   280W Standard LED</v>
      </c>
      <c r="Y378" s="68">
        <f t="shared" si="38"/>
        <v>4</v>
      </c>
      <c r="Z378" s="1"/>
      <c r="AA378" s="68">
        <f t="shared" si="39"/>
        <v>304</v>
      </c>
      <c r="AB378" s="68"/>
      <c r="AC378" s="132">
        <v>6.36</v>
      </c>
      <c r="AD378" s="132">
        <v>3.54</v>
      </c>
      <c r="AE378" s="3">
        <f t="shared" si="44"/>
        <v>40</v>
      </c>
      <c r="AF378" s="3"/>
      <c r="AG378" s="103">
        <f t="shared" si="40"/>
        <v>0.2</v>
      </c>
      <c r="AH378" s="4"/>
      <c r="AI378" s="3">
        <f t="shared" si="41"/>
        <v>5</v>
      </c>
      <c r="AJ378" s="3"/>
      <c r="AK378" s="113">
        <f t="shared" si="42"/>
        <v>12.5</v>
      </c>
      <c r="AL378" s="6"/>
      <c r="AM378" s="3"/>
      <c r="AN378" s="3"/>
      <c r="AO378" s="3">
        <f t="shared" si="45"/>
        <v>40</v>
      </c>
      <c r="AP378" s="3"/>
      <c r="AQ378" s="113">
        <f t="shared" si="43"/>
        <v>12.5</v>
      </c>
      <c r="AS378" s="45"/>
      <c r="AW378" s="164"/>
    </row>
    <row r="379" spans="1:49">
      <c r="C379" s="42"/>
      <c r="L379" s="45"/>
      <c r="M379" s="45"/>
      <c r="N379" s="45"/>
      <c r="O379" s="45"/>
      <c r="P379" s="45"/>
      <c r="Q379" s="45"/>
      <c r="R379" s="45"/>
      <c r="S379" s="45"/>
      <c r="T379" s="350">
        <f t="shared" si="36"/>
        <v>11</v>
      </c>
      <c r="V379" s="48" t="str">
        <f t="shared" si="37"/>
        <v xml:space="preserve">   50W Acorn LED</v>
      </c>
      <c r="Y379" s="68">
        <f t="shared" si="38"/>
        <v>0</v>
      </c>
      <c r="Z379" s="1"/>
      <c r="AA379" s="68">
        <f t="shared" si="39"/>
        <v>0</v>
      </c>
      <c r="AB379" s="68"/>
      <c r="AC379" s="132">
        <v>11.71</v>
      </c>
      <c r="AD379" s="132">
        <v>2.9</v>
      </c>
      <c r="AE379" s="3">
        <f t="shared" si="44"/>
        <v>0</v>
      </c>
      <c r="AF379" s="3"/>
      <c r="AG379" s="103">
        <f t="shared" si="40"/>
        <v>0</v>
      </c>
      <c r="AH379" s="4"/>
      <c r="AI379" s="3">
        <f t="shared" si="41"/>
        <v>0</v>
      </c>
      <c r="AJ379" s="3"/>
      <c r="AK379" s="113" t="str">
        <f t="shared" si="42"/>
        <v xml:space="preserve">0.0 </v>
      </c>
      <c r="AL379" s="6"/>
      <c r="AM379" s="3"/>
      <c r="AN379" s="3"/>
      <c r="AO379" s="3">
        <f t="shared" si="45"/>
        <v>0</v>
      </c>
      <c r="AP379" s="3"/>
      <c r="AQ379" s="113" t="str">
        <f t="shared" si="43"/>
        <v xml:space="preserve">0.0 </v>
      </c>
      <c r="AS379" s="45"/>
      <c r="AW379" s="164"/>
    </row>
    <row r="380" spans="1:49">
      <c r="C380" s="42"/>
      <c r="L380" s="45"/>
      <c r="M380" s="45"/>
      <c r="N380" s="45"/>
      <c r="O380" s="45"/>
      <c r="P380" s="45"/>
      <c r="Q380" s="45"/>
      <c r="R380" s="45"/>
      <c r="S380" s="45"/>
      <c r="T380" s="350">
        <f t="shared" si="36"/>
        <v>12</v>
      </c>
      <c r="V380" s="48" t="str">
        <f t="shared" si="37"/>
        <v xml:space="preserve">   50W Deluxe Acorn LED</v>
      </c>
      <c r="Y380" s="68">
        <f t="shared" si="38"/>
        <v>0</v>
      </c>
      <c r="Z380" s="1"/>
      <c r="AA380" s="68">
        <f t="shared" si="39"/>
        <v>0</v>
      </c>
      <c r="AB380" s="68"/>
      <c r="AC380" s="132">
        <v>13.05</v>
      </c>
      <c r="AD380" s="132">
        <v>2.9</v>
      </c>
      <c r="AE380" s="3">
        <f t="shared" si="44"/>
        <v>0</v>
      </c>
      <c r="AF380" s="3"/>
      <c r="AG380" s="103">
        <f t="shared" si="40"/>
        <v>0</v>
      </c>
      <c r="AH380" s="4"/>
      <c r="AI380" s="3">
        <f t="shared" si="41"/>
        <v>0</v>
      </c>
      <c r="AJ380" s="3"/>
      <c r="AK380" s="113" t="str">
        <f t="shared" si="42"/>
        <v xml:space="preserve">0.0 </v>
      </c>
      <c r="AL380" s="6"/>
      <c r="AM380" s="3"/>
      <c r="AN380" s="3"/>
      <c r="AO380" s="3">
        <f t="shared" si="45"/>
        <v>0</v>
      </c>
      <c r="AP380" s="3"/>
      <c r="AQ380" s="113" t="str">
        <f t="shared" si="43"/>
        <v xml:space="preserve">0.0 </v>
      </c>
      <c r="AS380" s="45"/>
      <c r="AW380" s="164"/>
    </row>
    <row r="381" spans="1:49">
      <c r="A381" s="42"/>
      <c r="T381" s="350">
        <f t="shared" si="36"/>
        <v>13</v>
      </c>
      <c r="V381" s="48" t="str">
        <f t="shared" si="37"/>
        <v xml:space="preserve">   70W LED Open Deluxe Acorn</v>
      </c>
      <c r="Y381" s="68">
        <f t="shared" si="38"/>
        <v>0</v>
      </c>
      <c r="Z381" s="1"/>
      <c r="AA381" s="68">
        <f t="shared" si="39"/>
        <v>0</v>
      </c>
      <c r="AB381" s="68"/>
      <c r="AC381" s="132">
        <v>13.44</v>
      </c>
      <c r="AD381" s="132">
        <v>2.9</v>
      </c>
      <c r="AE381" s="3">
        <f t="shared" si="44"/>
        <v>0</v>
      </c>
      <c r="AF381" s="3"/>
      <c r="AG381" s="103">
        <f t="shared" si="40"/>
        <v>0</v>
      </c>
      <c r="AH381" s="4"/>
      <c r="AI381" s="3">
        <f t="shared" si="41"/>
        <v>0</v>
      </c>
      <c r="AJ381" s="3"/>
      <c r="AK381" s="113" t="str">
        <f t="shared" si="42"/>
        <v xml:space="preserve">0.0 </v>
      </c>
      <c r="AL381" s="6"/>
      <c r="AM381" s="3"/>
      <c r="AN381" s="3"/>
      <c r="AO381" s="3">
        <f t="shared" si="45"/>
        <v>0</v>
      </c>
      <c r="AP381" s="3"/>
      <c r="AQ381" s="113" t="str">
        <f t="shared" si="43"/>
        <v xml:space="preserve">0.0 </v>
      </c>
      <c r="AS381" s="45"/>
      <c r="AW381" s="164"/>
    </row>
    <row r="382" spans="1:49">
      <c r="A382" s="42"/>
      <c r="T382" s="350">
        <f t="shared" si="36"/>
        <v>14</v>
      </c>
      <c r="V382" s="48" t="str">
        <f t="shared" si="37"/>
        <v xml:space="preserve">   50W Traditional LED</v>
      </c>
      <c r="Y382" s="68">
        <f t="shared" si="38"/>
        <v>858</v>
      </c>
      <c r="Z382" s="1"/>
      <c r="AA382" s="68">
        <f t="shared" si="39"/>
        <v>20592</v>
      </c>
      <c r="AB382" s="68"/>
      <c r="AC382" s="132">
        <v>6.31</v>
      </c>
      <c r="AD382" s="132">
        <v>2.9</v>
      </c>
      <c r="AE382" s="3">
        <f t="shared" si="44"/>
        <v>7902</v>
      </c>
      <c r="AF382" s="3"/>
      <c r="AG382" s="103">
        <f t="shared" si="40"/>
        <v>39.700000000000003</v>
      </c>
      <c r="AH382" s="4"/>
      <c r="AI382" s="3">
        <f t="shared" si="41"/>
        <v>1127</v>
      </c>
      <c r="AJ382" s="3"/>
      <c r="AK382" s="113">
        <f t="shared" si="42"/>
        <v>14.3</v>
      </c>
      <c r="AL382" s="6"/>
      <c r="AM382" s="3"/>
      <c r="AN382" s="3"/>
      <c r="AO382" s="3">
        <f t="shared" si="45"/>
        <v>7902</v>
      </c>
      <c r="AP382" s="3"/>
      <c r="AQ382" s="113">
        <f t="shared" si="43"/>
        <v>14.3</v>
      </c>
      <c r="AS382" s="45"/>
      <c r="AW382" s="164"/>
    </row>
    <row r="383" spans="1:49">
      <c r="A383" s="42"/>
      <c r="T383" s="350">
        <f t="shared" si="36"/>
        <v>15</v>
      </c>
      <c r="V383" s="48" t="str">
        <f t="shared" si="37"/>
        <v xml:space="preserve">   50W Open Traditional LED</v>
      </c>
      <c r="Y383" s="68">
        <f t="shared" si="38"/>
        <v>0</v>
      </c>
      <c r="Z383" s="1"/>
      <c r="AA383" s="68">
        <f t="shared" si="39"/>
        <v>0</v>
      </c>
      <c r="AB383" s="68"/>
      <c r="AC383" s="132">
        <v>6.56</v>
      </c>
      <c r="AD383" s="132">
        <v>2.9</v>
      </c>
      <c r="AE383" s="3">
        <f t="shared" si="44"/>
        <v>0</v>
      </c>
      <c r="AF383" s="3"/>
      <c r="AG383" s="103">
        <f t="shared" si="40"/>
        <v>0</v>
      </c>
      <c r="AH383" s="4"/>
      <c r="AI383" s="3">
        <f t="shared" si="41"/>
        <v>0</v>
      </c>
      <c r="AJ383" s="3"/>
      <c r="AK383" s="113" t="str">
        <f t="shared" si="42"/>
        <v xml:space="preserve">0.0 </v>
      </c>
      <c r="AL383" s="6"/>
      <c r="AM383" s="3"/>
      <c r="AN383" s="3"/>
      <c r="AO383" s="3">
        <f t="shared" si="45"/>
        <v>0</v>
      </c>
      <c r="AP383" s="3"/>
      <c r="AQ383" s="113" t="str">
        <f t="shared" si="43"/>
        <v xml:space="preserve">0.0 </v>
      </c>
      <c r="AS383" s="45"/>
      <c r="AW383" s="164"/>
    </row>
    <row r="384" spans="1:49">
      <c r="A384" s="42"/>
      <c r="T384" s="350">
        <f t="shared" si="36"/>
        <v>16</v>
      </c>
      <c r="V384" s="48" t="str">
        <f t="shared" si="37"/>
        <v xml:space="preserve">   50W Mini Bell LED</v>
      </c>
      <c r="Y384" s="68">
        <f t="shared" si="38"/>
        <v>0</v>
      </c>
      <c r="Z384" s="1"/>
      <c r="AA384" s="68">
        <f t="shared" si="39"/>
        <v>0</v>
      </c>
      <c r="AB384" s="68"/>
      <c r="AC384" s="132">
        <v>12.01</v>
      </c>
      <c r="AD384" s="132">
        <v>2.9</v>
      </c>
      <c r="AE384" s="3">
        <f t="shared" si="44"/>
        <v>0</v>
      </c>
      <c r="AF384" s="3"/>
      <c r="AG384" s="103">
        <f t="shared" si="40"/>
        <v>0</v>
      </c>
      <c r="AH384" s="4"/>
      <c r="AI384" s="3">
        <f t="shared" si="41"/>
        <v>0</v>
      </c>
      <c r="AJ384" s="3"/>
      <c r="AK384" s="113" t="str">
        <f t="shared" si="42"/>
        <v xml:space="preserve">0.0 </v>
      </c>
      <c r="AL384" s="6"/>
      <c r="AM384" s="3"/>
      <c r="AN384" s="3"/>
      <c r="AO384" s="3">
        <f t="shared" si="45"/>
        <v>0</v>
      </c>
      <c r="AP384" s="3"/>
      <c r="AQ384" s="113" t="str">
        <f t="shared" si="43"/>
        <v xml:space="preserve">0.0 </v>
      </c>
      <c r="AS384" s="45"/>
      <c r="AW384" s="164"/>
    </row>
    <row r="385" spans="1:49">
      <c r="A385" s="42"/>
      <c r="T385" s="350">
        <f t="shared" si="36"/>
        <v>17</v>
      </c>
      <c r="U385" s="372"/>
      <c r="V385" s="48" t="str">
        <f t="shared" si="37"/>
        <v xml:space="preserve">   50W Enterprise LED</v>
      </c>
      <c r="W385" s="372"/>
      <c r="Y385" s="68">
        <f t="shared" si="38"/>
        <v>0</v>
      </c>
      <c r="Z385" s="1"/>
      <c r="AA385" s="68">
        <f t="shared" si="39"/>
        <v>0</v>
      </c>
      <c r="AB385" s="68"/>
      <c r="AC385" s="132">
        <v>11.53</v>
      </c>
      <c r="AD385" s="132">
        <v>2.9</v>
      </c>
      <c r="AE385" s="3">
        <f t="shared" si="44"/>
        <v>0</v>
      </c>
      <c r="AF385" s="3"/>
      <c r="AG385" s="103">
        <f t="shared" si="40"/>
        <v>0</v>
      </c>
      <c r="AH385" s="4"/>
      <c r="AI385" s="3">
        <f t="shared" si="41"/>
        <v>0</v>
      </c>
      <c r="AJ385" s="3"/>
      <c r="AK385" s="113" t="str">
        <f t="shared" si="42"/>
        <v xml:space="preserve">0.0 </v>
      </c>
      <c r="AL385" s="6"/>
      <c r="AM385" s="3"/>
      <c r="AN385" s="3"/>
      <c r="AO385" s="3">
        <f t="shared" si="45"/>
        <v>0</v>
      </c>
      <c r="AP385" s="3"/>
      <c r="AQ385" s="113" t="str">
        <f t="shared" si="43"/>
        <v xml:space="preserve">0.0 </v>
      </c>
      <c r="AS385" s="45"/>
      <c r="AW385" s="164"/>
    </row>
    <row r="386" spans="1:49">
      <c r="A386" s="42"/>
      <c r="T386" s="350">
        <f t="shared" si="36"/>
        <v>18</v>
      </c>
      <c r="U386" s="372"/>
      <c r="V386" s="48" t="str">
        <f t="shared" si="37"/>
        <v xml:space="preserve">   70W Sanibel LED</v>
      </c>
      <c r="W386" s="372"/>
      <c r="Y386" s="68">
        <f t="shared" si="38"/>
        <v>0</v>
      </c>
      <c r="Z386" s="1"/>
      <c r="AA386" s="68">
        <f t="shared" si="39"/>
        <v>0</v>
      </c>
      <c r="AB386" s="68"/>
      <c r="AC386" s="132">
        <v>14.66</v>
      </c>
      <c r="AD386" s="132">
        <v>2.9</v>
      </c>
      <c r="AE386" s="3">
        <f t="shared" si="44"/>
        <v>0</v>
      </c>
      <c r="AF386" s="3"/>
      <c r="AG386" s="103">
        <f t="shared" si="40"/>
        <v>0</v>
      </c>
      <c r="AH386" s="4"/>
      <c r="AI386" s="3">
        <f t="shared" si="41"/>
        <v>0</v>
      </c>
      <c r="AJ386" s="3"/>
      <c r="AK386" s="113" t="str">
        <f t="shared" si="42"/>
        <v xml:space="preserve">0.0 </v>
      </c>
      <c r="AL386" s="6"/>
      <c r="AM386" s="3"/>
      <c r="AN386" s="3"/>
      <c r="AO386" s="3">
        <f t="shared" si="45"/>
        <v>0</v>
      </c>
      <c r="AP386" s="3"/>
      <c r="AQ386" s="113" t="str">
        <f t="shared" si="43"/>
        <v xml:space="preserve">0.0 </v>
      </c>
      <c r="AS386" s="45"/>
      <c r="AW386" s="164"/>
    </row>
    <row r="387" spans="1:49">
      <c r="A387" s="42"/>
      <c r="T387" s="350">
        <f t="shared" si="36"/>
        <v>19</v>
      </c>
      <c r="U387" s="372"/>
      <c r="V387" s="48" t="str">
        <f t="shared" si="37"/>
        <v xml:space="preserve">   150W Sanibel LED</v>
      </c>
      <c r="W387" s="372"/>
      <c r="Y387" s="68">
        <f t="shared" si="38"/>
        <v>0</v>
      </c>
      <c r="Z387" s="1"/>
      <c r="AA387" s="68">
        <f t="shared" si="39"/>
        <v>0</v>
      </c>
      <c r="AB387" s="68"/>
      <c r="AC387" s="132">
        <v>15.28</v>
      </c>
      <c r="AD387" s="132">
        <v>2.9</v>
      </c>
      <c r="AE387" s="3">
        <f t="shared" si="44"/>
        <v>0</v>
      </c>
      <c r="AF387" s="3"/>
      <c r="AG387" s="103">
        <f t="shared" si="40"/>
        <v>0</v>
      </c>
      <c r="AH387" s="4"/>
      <c r="AI387" s="3">
        <f t="shared" si="41"/>
        <v>0</v>
      </c>
      <c r="AJ387" s="3"/>
      <c r="AK387" s="113" t="str">
        <f t="shared" si="42"/>
        <v xml:space="preserve">0.0 </v>
      </c>
      <c r="AL387" s="6"/>
      <c r="AM387" s="3"/>
      <c r="AN387" s="3"/>
      <c r="AO387" s="3">
        <f t="shared" si="45"/>
        <v>0</v>
      </c>
      <c r="AP387" s="3"/>
      <c r="AQ387" s="113" t="str">
        <f t="shared" si="43"/>
        <v xml:space="preserve">0.0 </v>
      </c>
      <c r="AS387" s="45"/>
      <c r="AW387" s="164"/>
    </row>
    <row r="388" spans="1:49">
      <c r="A388" s="42"/>
      <c r="T388" s="350">
        <f t="shared" si="36"/>
        <v>20</v>
      </c>
      <c r="V388" s="48" t="str">
        <f t="shared" si="37"/>
        <v xml:space="preserve">   150W LED Teardrop</v>
      </c>
      <c r="Y388" s="68">
        <f t="shared" si="38"/>
        <v>0</v>
      </c>
      <c r="Z388" s="1"/>
      <c r="AA388" s="68">
        <f t="shared" si="39"/>
        <v>0</v>
      </c>
      <c r="AB388" s="68"/>
      <c r="AC388" s="132">
        <v>18.36</v>
      </c>
      <c r="AD388" s="132">
        <v>2.9</v>
      </c>
      <c r="AE388" s="3">
        <f t="shared" si="44"/>
        <v>0</v>
      </c>
      <c r="AF388" s="3"/>
      <c r="AG388" s="103">
        <f t="shared" si="40"/>
        <v>0</v>
      </c>
      <c r="AH388" s="4"/>
      <c r="AI388" s="3">
        <f t="shared" si="41"/>
        <v>0</v>
      </c>
      <c r="AJ388" s="3"/>
      <c r="AK388" s="113" t="str">
        <f t="shared" si="42"/>
        <v xml:space="preserve">0.0 </v>
      </c>
      <c r="AL388" s="6"/>
      <c r="AM388" s="3"/>
      <c r="AN388" s="3"/>
      <c r="AO388" s="3">
        <f t="shared" si="45"/>
        <v>0</v>
      </c>
      <c r="AP388" s="3"/>
      <c r="AQ388" s="113" t="str">
        <f t="shared" si="43"/>
        <v xml:space="preserve">0.0 </v>
      </c>
      <c r="AS388" s="45"/>
      <c r="AW388" s="164"/>
    </row>
    <row r="389" spans="1:49">
      <c r="A389" s="42"/>
      <c r="T389" s="350">
        <f t="shared" si="36"/>
        <v>21</v>
      </c>
      <c r="U389" s="373"/>
      <c r="V389" s="48" t="str">
        <f t="shared" si="37"/>
        <v xml:space="preserve">   50W LED Teardrop Pedestrian</v>
      </c>
      <c r="W389" s="373"/>
      <c r="Y389" s="68">
        <f t="shared" si="38"/>
        <v>0</v>
      </c>
      <c r="Z389" s="1"/>
      <c r="AA389" s="68">
        <f t="shared" si="39"/>
        <v>0</v>
      </c>
      <c r="AB389" s="68"/>
      <c r="AC389" s="132">
        <v>15.01</v>
      </c>
      <c r="AD389" s="132">
        <v>2.9</v>
      </c>
      <c r="AE389" s="3">
        <f t="shared" si="44"/>
        <v>0</v>
      </c>
      <c r="AF389" s="3"/>
      <c r="AG389" s="103">
        <f t="shared" si="40"/>
        <v>0</v>
      </c>
      <c r="AH389" s="4"/>
      <c r="AI389" s="3">
        <f t="shared" si="41"/>
        <v>0</v>
      </c>
      <c r="AJ389" s="3"/>
      <c r="AK389" s="113" t="str">
        <f t="shared" si="42"/>
        <v xml:space="preserve">0.0 </v>
      </c>
      <c r="AL389" s="6"/>
      <c r="AM389" s="3"/>
      <c r="AN389" s="3"/>
      <c r="AO389" s="3">
        <f t="shared" si="45"/>
        <v>0</v>
      </c>
      <c r="AP389" s="3"/>
      <c r="AQ389" s="113" t="str">
        <f t="shared" si="43"/>
        <v xml:space="preserve">0.0 </v>
      </c>
      <c r="AS389" s="45"/>
      <c r="AW389" s="164"/>
    </row>
    <row r="390" spans="1:49">
      <c r="A390" s="42"/>
      <c r="T390" s="350">
        <f t="shared" si="36"/>
        <v>22</v>
      </c>
      <c r="V390" s="48" t="str">
        <f t="shared" si="37"/>
        <v xml:space="preserve">   220W LED Shoebox</v>
      </c>
      <c r="Y390" s="68">
        <f t="shared" si="38"/>
        <v>0</v>
      </c>
      <c r="Z390" s="1"/>
      <c r="AA390" s="68">
        <f t="shared" si="39"/>
        <v>0</v>
      </c>
      <c r="AB390" s="68"/>
      <c r="AC390" s="132">
        <v>11.39</v>
      </c>
      <c r="AD390" s="132">
        <v>3.54</v>
      </c>
      <c r="AE390" s="3">
        <f t="shared" si="44"/>
        <v>0</v>
      </c>
      <c r="AF390" s="3"/>
      <c r="AG390" s="103">
        <f t="shared" si="40"/>
        <v>0</v>
      </c>
      <c r="AH390" s="4"/>
      <c r="AI390" s="3">
        <f t="shared" si="41"/>
        <v>0</v>
      </c>
      <c r="AJ390" s="3"/>
      <c r="AK390" s="113" t="str">
        <f t="shared" si="42"/>
        <v xml:space="preserve">0.0 </v>
      </c>
      <c r="AL390" s="6"/>
      <c r="AM390" s="3"/>
      <c r="AN390" s="3"/>
      <c r="AO390" s="3">
        <f t="shared" si="45"/>
        <v>0</v>
      </c>
      <c r="AP390" s="3"/>
      <c r="AQ390" s="113" t="str">
        <f t="shared" si="43"/>
        <v xml:space="preserve">0.0 </v>
      </c>
      <c r="AS390" s="45"/>
      <c r="AW390" s="164"/>
    </row>
    <row r="391" spans="1:49">
      <c r="T391" s="350">
        <f t="shared" si="36"/>
        <v>23</v>
      </c>
      <c r="V391" s="48" t="str">
        <f t="shared" si="37"/>
        <v xml:space="preserve">   420W LED Shoebox</v>
      </c>
      <c r="Y391" s="68">
        <f t="shared" si="38"/>
        <v>0</v>
      </c>
      <c r="Z391" s="1"/>
      <c r="AA391" s="68">
        <f t="shared" si="39"/>
        <v>0</v>
      </c>
      <c r="AB391" s="1"/>
      <c r="AC391" s="132">
        <v>16.920000000000002</v>
      </c>
      <c r="AD391" s="132">
        <v>3.54</v>
      </c>
      <c r="AE391" s="3">
        <f t="shared" si="44"/>
        <v>0</v>
      </c>
      <c r="AF391" s="3"/>
      <c r="AG391" s="103">
        <f t="shared" si="40"/>
        <v>0</v>
      </c>
      <c r="AH391" s="4"/>
      <c r="AI391" s="3">
        <f t="shared" si="41"/>
        <v>0</v>
      </c>
      <c r="AJ391" s="3"/>
      <c r="AK391" s="113" t="str">
        <f t="shared" si="42"/>
        <v xml:space="preserve">0.0 </v>
      </c>
      <c r="AL391" s="6"/>
      <c r="AM391" s="3"/>
      <c r="AN391" s="3"/>
      <c r="AO391" s="3">
        <f t="shared" si="45"/>
        <v>0</v>
      </c>
      <c r="AP391" s="3"/>
      <c r="AQ391" s="113" t="str">
        <f t="shared" si="43"/>
        <v xml:space="preserve">0.0 </v>
      </c>
      <c r="AS391" s="45"/>
      <c r="AW391" s="164"/>
    </row>
    <row r="392" spans="1:49">
      <c r="T392" s="350">
        <f t="shared" si="36"/>
        <v>24</v>
      </c>
      <c r="V392" s="48" t="str">
        <f t="shared" si="37"/>
        <v xml:space="preserve">   530W LED Shoebox</v>
      </c>
      <c r="Y392" s="68">
        <f t="shared" si="38"/>
        <v>0</v>
      </c>
      <c r="Z392" s="1"/>
      <c r="AA392" s="68">
        <f t="shared" si="39"/>
        <v>0</v>
      </c>
      <c r="AB392" s="68"/>
      <c r="AC392" s="132">
        <v>19.489999999999998</v>
      </c>
      <c r="AD392" s="132">
        <v>3.54</v>
      </c>
      <c r="AE392" s="3">
        <f t="shared" si="44"/>
        <v>0</v>
      </c>
      <c r="AF392" s="3"/>
      <c r="AG392" s="103">
        <f t="shared" si="40"/>
        <v>0</v>
      </c>
      <c r="AH392" s="4"/>
      <c r="AI392" s="3">
        <f t="shared" si="41"/>
        <v>0</v>
      </c>
      <c r="AJ392" s="3"/>
      <c r="AK392" s="113" t="str">
        <f t="shared" si="42"/>
        <v xml:space="preserve">0.0 </v>
      </c>
      <c r="AL392" s="6"/>
      <c r="AM392" s="3"/>
      <c r="AN392" s="3"/>
      <c r="AO392" s="3">
        <f t="shared" si="45"/>
        <v>0</v>
      </c>
      <c r="AP392" s="3"/>
      <c r="AQ392" s="113" t="str">
        <f t="shared" si="43"/>
        <v xml:space="preserve">0.0 </v>
      </c>
      <c r="AS392" s="45"/>
      <c r="AW392" s="164"/>
    </row>
    <row r="393" spans="1:49">
      <c r="T393" s="350">
        <f t="shared" si="36"/>
        <v>25</v>
      </c>
      <c r="V393" s="48" t="str">
        <f t="shared" si="37"/>
        <v xml:space="preserve">   150W Clermont LED</v>
      </c>
      <c r="Y393" s="68">
        <f t="shared" si="38"/>
        <v>0</v>
      </c>
      <c r="Z393" s="1"/>
      <c r="AA393" s="68">
        <f t="shared" si="39"/>
        <v>0</v>
      </c>
      <c r="AB393" s="68"/>
      <c r="AC393" s="132">
        <v>20.04</v>
      </c>
      <c r="AD393" s="132">
        <v>2.9</v>
      </c>
      <c r="AE393" s="3">
        <f t="shared" si="44"/>
        <v>0</v>
      </c>
      <c r="AF393" s="3"/>
      <c r="AG393" s="103">
        <f t="shared" si="40"/>
        <v>0</v>
      </c>
      <c r="AH393" s="4"/>
      <c r="AI393" s="3">
        <f t="shared" si="41"/>
        <v>0</v>
      </c>
      <c r="AJ393" s="3"/>
      <c r="AK393" s="113" t="str">
        <f t="shared" si="42"/>
        <v xml:space="preserve">0.0 </v>
      </c>
      <c r="AL393" s="6"/>
      <c r="AM393" s="3"/>
      <c r="AN393" s="3"/>
      <c r="AO393" s="3">
        <f t="shared" si="45"/>
        <v>0</v>
      </c>
      <c r="AP393" s="3"/>
      <c r="AQ393" s="113" t="str">
        <f t="shared" si="43"/>
        <v xml:space="preserve">0.0 </v>
      </c>
      <c r="AS393" s="45"/>
      <c r="AW393" s="164"/>
    </row>
    <row r="394" spans="1:49">
      <c r="H394" s="42"/>
      <c r="I394" s="42"/>
      <c r="T394" s="350">
        <f t="shared" si="36"/>
        <v>26</v>
      </c>
      <c r="V394" s="48" t="str">
        <f t="shared" si="37"/>
        <v xml:space="preserve">   130W Flood LED</v>
      </c>
      <c r="Y394" s="68">
        <f t="shared" si="38"/>
        <v>14</v>
      </c>
      <c r="Z394" s="1"/>
      <c r="AA394" s="68">
        <f t="shared" si="39"/>
        <v>728</v>
      </c>
      <c r="AB394" s="68"/>
      <c r="AC394" s="132">
        <v>7.2</v>
      </c>
      <c r="AD394" s="132">
        <v>2.9</v>
      </c>
      <c r="AE394" s="3">
        <f t="shared" si="44"/>
        <v>141</v>
      </c>
      <c r="AF394" s="3"/>
      <c r="AG394" s="103">
        <f t="shared" si="40"/>
        <v>0.7</v>
      </c>
      <c r="AH394" s="4"/>
      <c r="AI394" s="3">
        <f t="shared" si="41"/>
        <v>21</v>
      </c>
      <c r="AJ394" s="3"/>
      <c r="AK394" s="113">
        <f t="shared" si="42"/>
        <v>14.9</v>
      </c>
      <c r="AL394" s="6"/>
      <c r="AM394" s="3"/>
      <c r="AN394" s="3"/>
      <c r="AO394" s="3">
        <f t="shared" si="45"/>
        <v>141</v>
      </c>
      <c r="AP394" s="3"/>
      <c r="AQ394" s="113">
        <f t="shared" si="43"/>
        <v>14.9</v>
      </c>
      <c r="AS394" s="45"/>
      <c r="AW394" s="164"/>
    </row>
    <row r="395" spans="1:49">
      <c r="H395" s="42"/>
      <c r="I395" s="42"/>
      <c r="T395" s="350">
        <f t="shared" si="36"/>
        <v>27</v>
      </c>
      <c r="V395" s="48" t="str">
        <f t="shared" si="37"/>
        <v xml:space="preserve">   260W Flood LED</v>
      </c>
      <c r="Y395" s="68">
        <f t="shared" si="38"/>
        <v>58</v>
      </c>
      <c r="Z395" s="1"/>
      <c r="AA395" s="68">
        <f t="shared" si="39"/>
        <v>2610</v>
      </c>
      <c r="AB395" s="68"/>
      <c r="AC395" s="132">
        <v>11.24</v>
      </c>
      <c r="AD395" s="132">
        <v>3.54</v>
      </c>
      <c r="AE395" s="3">
        <f t="shared" si="44"/>
        <v>857</v>
      </c>
      <c r="AF395" s="3"/>
      <c r="AG395" s="103">
        <f t="shared" si="40"/>
        <v>4.3</v>
      </c>
      <c r="AH395" s="4"/>
      <c r="AI395" s="3">
        <f t="shared" si="41"/>
        <v>122</v>
      </c>
      <c r="AJ395" s="3"/>
      <c r="AK395" s="113">
        <f t="shared" si="42"/>
        <v>14.2</v>
      </c>
      <c r="AL395" s="6"/>
      <c r="AM395" s="3"/>
      <c r="AN395" s="3"/>
      <c r="AO395" s="3">
        <f t="shared" si="45"/>
        <v>857</v>
      </c>
      <c r="AP395" s="3"/>
      <c r="AQ395" s="113">
        <f t="shared" si="43"/>
        <v>14.2</v>
      </c>
      <c r="AS395" s="45"/>
      <c r="AW395" s="164"/>
    </row>
    <row r="396" spans="1:49">
      <c r="T396" s="350">
        <f t="shared" si="36"/>
        <v>28</v>
      </c>
      <c r="V396" s="48" t="str">
        <f t="shared" si="37"/>
        <v xml:space="preserve">   50W Monticello LED</v>
      </c>
      <c r="Y396" s="68">
        <f t="shared" si="38"/>
        <v>0</v>
      </c>
      <c r="Z396" s="1"/>
      <c r="AA396" s="68">
        <f t="shared" si="39"/>
        <v>0</v>
      </c>
      <c r="AB396" s="68"/>
      <c r="AC396" s="132">
        <v>13.49</v>
      </c>
      <c r="AD396" s="132">
        <v>2.9</v>
      </c>
      <c r="AE396" s="3">
        <f t="shared" si="44"/>
        <v>0</v>
      </c>
      <c r="AF396" s="3"/>
      <c r="AG396" s="103">
        <f t="shared" si="40"/>
        <v>0</v>
      </c>
      <c r="AH396" s="4"/>
      <c r="AI396" s="3">
        <f t="shared" si="41"/>
        <v>0</v>
      </c>
      <c r="AJ396" s="3"/>
      <c r="AK396" s="113" t="str">
        <f t="shared" si="42"/>
        <v xml:space="preserve">0.0 </v>
      </c>
      <c r="AL396" s="6"/>
      <c r="AM396" s="3"/>
      <c r="AN396" s="3"/>
      <c r="AO396" s="3">
        <f t="shared" si="45"/>
        <v>0</v>
      </c>
      <c r="AP396" s="3"/>
      <c r="AQ396" s="113" t="str">
        <f t="shared" si="43"/>
        <v xml:space="preserve">0.0 </v>
      </c>
      <c r="AS396" s="45"/>
      <c r="AW396" s="164"/>
    </row>
    <row r="397" spans="1:49">
      <c r="T397" s="350">
        <f t="shared" si="36"/>
        <v>29</v>
      </c>
      <c r="V397" s="48" t="str">
        <f t="shared" si="37"/>
        <v xml:space="preserve">   50W Mitchell Finial</v>
      </c>
      <c r="Y397" s="68">
        <f t="shared" si="38"/>
        <v>0</v>
      </c>
      <c r="Z397" s="1"/>
      <c r="AA397" s="68">
        <f t="shared" si="39"/>
        <v>0</v>
      </c>
      <c r="AB397" s="68"/>
      <c r="AC397" s="132">
        <v>12.85</v>
      </c>
      <c r="AD397" s="132">
        <v>2.9</v>
      </c>
      <c r="AE397" s="3">
        <f t="shared" si="44"/>
        <v>0</v>
      </c>
      <c r="AF397" s="3"/>
      <c r="AG397" s="103">
        <f t="shared" si="40"/>
        <v>0</v>
      </c>
      <c r="AH397" s="4"/>
      <c r="AI397" s="3">
        <f t="shared" si="41"/>
        <v>0</v>
      </c>
      <c r="AJ397" s="3"/>
      <c r="AK397" s="113" t="str">
        <f t="shared" si="42"/>
        <v xml:space="preserve">0.0 </v>
      </c>
      <c r="AL397" s="6"/>
      <c r="AM397" s="3"/>
      <c r="AN397" s="3"/>
      <c r="AO397" s="3">
        <f t="shared" si="45"/>
        <v>0</v>
      </c>
      <c r="AP397" s="3"/>
      <c r="AQ397" s="113" t="str">
        <f t="shared" si="43"/>
        <v xml:space="preserve">0.0 </v>
      </c>
      <c r="AS397" s="45"/>
      <c r="AW397" s="164"/>
    </row>
    <row r="398" spans="1:49">
      <c r="T398" s="350">
        <f t="shared" si="36"/>
        <v>30</v>
      </c>
      <c r="V398" s="48" t="str">
        <f t="shared" si="37"/>
        <v xml:space="preserve">   50W Mitchell Ribs, Bands, and Medallions LED</v>
      </c>
      <c r="Y398" s="68">
        <f t="shared" si="38"/>
        <v>0</v>
      </c>
      <c r="Z398" s="1"/>
      <c r="AA398" s="68">
        <f t="shared" si="39"/>
        <v>0</v>
      </c>
      <c r="AB398" s="68"/>
      <c r="AC398" s="132">
        <v>14.04</v>
      </c>
      <c r="AD398" s="132">
        <v>2.9</v>
      </c>
      <c r="AE398" s="3">
        <f t="shared" si="44"/>
        <v>0</v>
      </c>
      <c r="AF398" s="3"/>
      <c r="AG398" s="103">
        <f t="shared" si="40"/>
        <v>0</v>
      </c>
      <c r="AH398" s="4"/>
      <c r="AI398" s="3">
        <f t="shared" si="41"/>
        <v>0</v>
      </c>
      <c r="AJ398" s="3"/>
      <c r="AK398" s="113" t="str">
        <f t="shared" si="42"/>
        <v xml:space="preserve">0.0 </v>
      </c>
      <c r="AL398" s="6"/>
      <c r="AM398" s="3"/>
      <c r="AN398" s="3"/>
      <c r="AO398" s="3">
        <f t="shared" si="45"/>
        <v>0</v>
      </c>
      <c r="AP398" s="3"/>
      <c r="AQ398" s="113" t="str">
        <f t="shared" si="43"/>
        <v xml:space="preserve">0.0 </v>
      </c>
      <c r="AS398" s="45"/>
      <c r="AW398" s="164"/>
    </row>
    <row r="399" spans="1:49">
      <c r="T399" s="350">
        <f t="shared" si="36"/>
        <v>31</v>
      </c>
      <c r="U399" s="374"/>
      <c r="V399" s="48" t="str">
        <f t="shared" si="37"/>
        <v xml:space="preserve">   50W Mitchell Top Hat LED</v>
      </c>
      <c r="W399" s="374"/>
      <c r="Y399" s="68">
        <f t="shared" si="38"/>
        <v>0</v>
      </c>
      <c r="Z399" s="1"/>
      <c r="AA399" s="68">
        <f t="shared" si="39"/>
        <v>0</v>
      </c>
      <c r="AB399" s="68"/>
      <c r="AC399" s="132">
        <v>12.85</v>
      </c>
      <c r="AD399" s="132">
        <v>2.9</v>
      </c>
      <c r="AE399" s="3">
        <f t="shared" si="44"/>
        <v>0</v>
      </c>
      <c r="AF399" s="3"/>
      <c r="AG399" s="103">
        <f t="shared" si="40"/>
        <v>0</v>
      </c>
      <c r="AH399" s="4"/>
      <c r="AI399" s="3">
        <f t="shared" si="41"/>
        <v>0</v>
      </c>
      <c r="AJ399" s="3"/>
      <c r="AK399" s="113" t="str">
        <f t="shared" si="42"/>
        <v xml:space="preserve">0.0 </v>
      </c>
      <c r="AL399" s="6"/>
      <c r="AM399" s="3"/>
      <c r="AN399" s="3"/>
      <c r="AO399" s="3">
        <f t="shared" si="45"/>
        <v>0</v>
      </c>
      <c r="AP399" s="3"/>
      <c r="AQ399" s="113" t="str">
        <f t="shared" si="43"/>
        <v xml:space="preserve">0.0 </v>
      </c>
      <c r="AS399" s="45"/>
      <c r="AW399" s="164"/>
    </row>
    <row r="400" spans="1:49">
      <c r="L400" s="42"/>
      <c r="M400" s="42"/>
      <c r="T400" s="350">
        <f t="shared" si="36"/>
        <v>32</v>
      </c>
      <c r="V400" s="48" t="str">
        <f t="shared" si="37"/>
        <v xml:space="preserve">   50W Mitchell Top Hat with Ribs, Bands, and Medallions LED</v>
      </c>
      <c r="Y400" s="68">
        <f t="shared" si="38"/>
        <v>0</v>
      </c>
      <c r="Z400" s="1"/>
      <c r="AA400" s="68">
        <f t="shared" si="39"/>
        <v>0</v>
      </c>
      <c r="AB400" s="68"/>
      <c r="AC400" s="132">
        <v>14.04</v>
      </c>
      <c r="AD400" s="132">
        <v>2.9</v>
      </c>
      <c r="AE400" s="3">
        <f t="shared" si="44"/>
        <v>0</v>
      </c>
      <c r="AF400" s="3"/>
      <c r="AG400" s="103">
        <f t="shared" si="40"/>
        <v>0</v>
      </c>
      <c r="AH400" s="4"/>
      <c r="AI400" s="3">
        <f t="shared" si="41"/>
        <v>0</v>
      </c>
      <c r="AJ400" s="3"/>
      <c r="AK400" s="113" t="str">
        <f t="shared" si="42"/>
        <v xml:space="preserve">0.0 </v>
      </c>
      <c r="AL400" s="6"/>
      <c r="AM400" s="3"/>
      <c r="AN400" s="3"/>
      <c r="AO400" s="3">
        <f t="shared" si="45"/>
        <v>0</v>
      </c>
      <c r="AP400" s="3"/>
      <c r="AQ400" s="113" t="str">
        <f t="shared" si="43"/>
        <v xml:space="preserve">0.0 </v>
      </c>
      <c r="AS400" s="45"/>
      <c r="AW400" s="164"/>
    </row>
    <row r="401" spans="12:49">
      <c r="L401" s="42"/>
      <c r="M401" s="42"/>
      <c r="T401" s="350">
        <f t="shared" si="36"/>
        <v>33</v>
      </c>
      <c r="V401" s="48" t="str">
        <f t="shared" si="37"/>
        <v xml:space="preserve">   50W Open Monticello LED</v>
      </c>
      <c r="Y401" s="68">
        <f t="shared" si="38"/>
        <v>0</v>
      </c>
      <c r="Z401" s="1"/>
      <c r="AA401" s="68">
        <f t="shared" si="39"/>
        <v>0</v>
      </c>
      <c r="AB401" s="68"/>
      <c r="AC401" s="132">
        <v>13.44</v>
      </c>
      <c r="AD401" s="132">
        <v>2.9</v>
      </c>
      <c r="AE401" s="3">
        <f t="shared" si="44"/>
        <v>0</v>
      </c>
      <c r="AF401" s="3"/>
      <c r="AG401" s="103">
        <f t="shared" si="40"/>
        <v>0</v>
      </c>
      <c r="AH401" s="4"/>
      <c r="AI401" s="3">
        <f t="shared" si="41"/>
        <v>0</v>
      </c>
      <c r="AJ401" s="3"/>
      <c r="AK401" s="113" t="str">
        <f t="shared" si="42"/>
        <v xml:space="preserve">0.0 </v>
      </c>
      <c r="AL401" s="6"/>
      <c r="AM401" s="3"/>
      <c r="AN401" s="3"/>
      <c r="AO401" s="3">
        <f t="shared" si="45"/>
        <v>0</v>
      </c>
      <c r="AP401" s="3"/>
      <c r="AQ401" s="113" t="str">
        <f t="shared" si="43"/>
        <v xml:space="preserve">0.0 </v>
      </c>
      <c r="AS401" s="45"/>
      <c r="AW401" s="164"/>
    </row>
    <row r="402" spans="12:49">
      <c r="L402" s="42"/>
      <c r="M402" s="42"/>
      <c r="T402" s="350">
        <f t="shared" si="36"/>
        <v>34</v>
      </c>
      <c r="V402" s="48" t="str">
        <f t="shared" si="37"/>
        <v xml:space="preserve">   150W LED Shoebox</v>
      </c>
      <c r="Y402" s="68">
        <f t="shared" si="38"/>
        <v>0</v>
      </c>
      <c r="Z402" s="1"/>
      <c r="AA402" s="68">
        <f t="shared" si="39"/>
        <v>0</v>
      </c>
      <c r="AB402" s="68"/>
      <c r="AC402" s="132">
        <v>10.48</v>
      </c>
      <c r="AD402" s="132">
        <v>2.9</v>
      </c>
      <c r="AE402" s="3">
        <f t="shared" ref="AE402:AE458" si="46">ROUND((Y402*(AC402+AD402)),0)</f>
        <v>0</v>
      </c>
      <c r="AF402" s="3"/>
      <c r="AG402" s="103">
        <f t="shared" si="40"/>
        <v>0</v>
      </c>
      <c r="AH402" s="4"/>
      <c r="AI402" s="3">
        <f t="shared" si="41"/>
        <v>0</v>
      </c>
      <c r="AJ402" s="3"/>
      <c r="AK402" s="113" t="str">
        <f t="shared" ref="AK402:AK458" si="47">IF(AE402=0,"0.0 ",ROUND((AI402/AE402)*100,1))</f>
        <v xml:space="preserve">0.0 </v>
      </c>
      <c r="AL402" s="6"/>
      <c r="AM402" s="3"/>
      <c r="AN402" s="3"/>
      <c r="AO402" s="3">
        <f t="shared" ref="AO402:AO458" si="48">AM402+AE402</f>
        <v>0</v>
      </c>
      <c r="AP402" s="3"/>
      <c r="AQ402" s="113" t="str">
        <f t="shared" ref="AQ402:AQ458" si="49">IF(AO402=0,"0.0 ",ROUND((AI402/AO402)*100,1))</f>
        <v xml:space="preserve">0.0 </v>
      </c>
      <c r="AS402" s="45"/>
      <c r="AW402" s="164"/>
    </row>
    <row r="403" spans="12:49">
      <c r="L403" s="42"/>
      <c r="M403" s="42"/>
      <c r="T403" s="350">
        <f t="shared" si="36"/>
        <v>35</v>
      </c>
      <c r="V403" s="48" t="str">
        <f t="shared" si="37"/>
        <v xml:space="preserve">   50W Sanibel LED</v>
      </c>
      <c r="Y403" s="68">
        <f t="shared" si="38"/>
        <v>0</v>
      </c>
      <c r="Z403" s="1"/>
      <c r="AA403" s="68">
        <f t="shared" si="39"/>
        <v>0</v>
      </c>
      <c r="AB403" s="68"/>
      <c r="AC403" s="132">
        <v>13.9</v>
      </c>
      <c r="AD403" s="132">
        <v>2.9</v>
      </c>
      <c r="AE403" s="3">
        <f t="shared" si="46"/>
        <v>0</v>
      </c>
      <c r="AF403" s="3"/>
      <c r="AG403" s="103">
        <f t="shared" si="40"/>
        <v>0</v>
      </c>
      <c r="AH403" s="4"/>
      <c r="AI403" s="3">
        <f t="shared" si="41"/>
        <v>0</v>
      </c>
      <c r="AJ403" s="3"/>
      <c r="AK403" s="113" t="str">
        <f t="shared" si="47"/>
        <v xml:space="preserve">0.0 </v>
      </c>
      <c r="AL403" s="6"/>
      <c r="AM403" s="3"/>
      <c r="AN403" s="3"/>
      <c r="AO403" s="3">
        <f t="shared" si="48"/>
        <v>0</v>
      </c>
      <c r="AP403" s="3"/>
      <c r="AQ403" s="113" t="str">
        <f t="shared" si="49"/>
        <v xml:space="preserve">0.0 </v>
      </c>
      <c r="AS403" s="45"/>
      <c r="AW403" s="164"/>
    </row>
    <row r="404" spans="12:49">
      <c r="L404" s="42"/>
      <c r="M404" s="42"/>
      <c r="T404" s="350">
        <f t="shared" si="36"/>
        <v>36</v>
      </c>
      <c r="V404" s="48" t="str">
        <f t="shared" si="37"/>
        <v xml:space="preserve">   40W Acorn No Finial LED</v>
      </c>
      <c r="Y404" s="68">
        <f t="shared" si="38"/>
        <v>0</v>
      </c>
      <c r="Z404" s="1"/>
      <c r="AA404" s="68">
        <f t="shared" si="39"/>
        <v>0</v>
      </c>
      <c r="AB404" s="68"/>
      <c r="AC404" s="132">
        <v>11.2</v>
      </c>
      <c r="AD404" s="132">
        <v>2.9</v>
      </c>
      <c r="AE404" s="3">
        <f t="shared" si="46"/>
        <v>0</v>
      </c>
      <c r="AF404" s="3"/>
      <c r="AG404" s="103">
        <f t="shared" si="40"/>
        <v>0</v>
      </c>
      <c r="AH404" s="4"/>
      <c r="AI404" s="3">
        <f t="shared" si="41"/>
        <v>0</v>
      </c>
      <c r="AJ404" s="3"/>
      <c r="AK404" s="113" t="str">
        <f t="shared" si="47"/>
        <v xml:space="preserve">0.0 </v>
      </c>
      <c r="AL404" s="6"/>
      <c r="AM404" s="3"/>
      <c r="AN404" s="3"/>
      <c r="AO404" s="3">
        <f t="shared" si="48"/>
        <v>0</v>
      </c>
      <c r="AP404" s="3"/>
      <c r="AQ404" s="113" t="str">
        <f t="shared" si="49"/>
        <v xml:space="preserve">0.0 </v>
      </c>
      <c r="AS404" s="45"/>
      <c r="AW404" s="164"/>
    </row>
    <row r="405" spans="12:49">
      <c r="L405" s="42"/>
      <c r="M405" s="42"/>
      <c r="T405" s="350">
        <f t="shared" si="36"/>
        <v>37</v>
      </c>
      <c r="V405" s="48" t="str">
        <f t="shared" si="37"/>
        <v xml:space="preserve">   50W Ocala Acorn LED</v>
      </c>
      <c r="Y405" s="68">
        <f t="shared" si="38"/>
        <v>0</v>
      </c>
      <c r="Z405" s="1"/>
      <c r="AA405" s="68">
        <f t="shared" si="39"/>
        <v>0</v>
      </c>
      <c r="AB405" s="68"/>
      <c r="AC405" s="132">
        <v>6.71</v>
      </c>
      <c r="AD405" s="132">
        <v>2.9</v>
      </c>
      <c r="AE405" s="3">
        <f t="shared" si="46"/>
        <v>0</v>
      </c>
      <c r="AF405" s="3"/>
      <c r="AG405" s="103">
        <f t="shared" si="40"/>
        <v>0</v>
      </c>
      <c r="AH405" s="4"/>
      <c r="AI405" s="3">
        <f t="shared" si="41"/>
        <v>0</v>
      </c>
      <c r="AJ405" s="3"/>
      <c r="AK405" s="113" t="str">
        <f t="shared" si="47"/>
        <v xml:space="preserve">0.0 </v>
      </c>
      <c r="AL405" s="6"/>
      <c r="AM405" s="3"/>
      <c r="AN405" s="3"/>
      <c r="AO405" s="3">
        <f t="shared" si="48"/>
        <v>0</v>
      </c>
      <c r="AP405" s="3"/>
      <c r="AQ405" s="113" t="str">
        <f t="shared" si="49"/>
        <v xml:space="preserve">0.0 </v>
      </c>
      <c r="AS405" s="45"/>
      <c r="AW405" s="164"/>
    </row>
    <row r="406" spans="12:49">
      <c r="L406" s="42"/>
      <c r="M406" s="42"/>
      <c r="T406" s="350">
        <f t="shared" si="36"/>
        <v>38</v>
      </c>
      <c r="V406" s="48" t="str">
        <f t="shared" si="37"/>
        <v xml:space="preserve">   50W Deluxe Traditional LED</v>
      </c>
      <c r="Y406" s="68">
        <f t="shared" si="38"/>
        <v>0</v>
      </c>
      <c r="Z406" s="1"/>
      <c r="AA406" s="68">
        <f t="shared" si="39"/>
        <v>0</v>
      </c>
      <c r="AB406" s="68"/>
      <c r="AC406" s="132">
        <v>12.82</v>
      </c>
      <c r="AD406" s="132">
        <v>2.9</v>
      </c>
      <c r="AE406" s="3">
        <f t="shared" si="46"/>
        <v>0</v>
      </c>
      <c r="AF406" s="3"/>
      <c r="AG406" s="103">
        <f t="shared" si="40"/>
        <v>0</v>
      </c>
      <c r="AH406" s="4"/>
      <c r="AI406" s="3">
        <f t="shared" si="41"/>
        <v>0</v>
      </c>
      <c r="AJ406" s="3"/>
      <c r="AK406" s="113" t="str">
        <f t="shared" si="47"/>
        <v xml:space="preserve">0.0 </v>
      </c>
      <c r="AL406" s="6"/>
      <c r="AM406" s="3"/>
      <c r="AN406" s="3"/>
      <c r="AO406" s="3">
        <f t="shared" si="48"/>
        <v>0</v>
      </c>
      <c r="AP406" s="3"/>
      <c r="AQ406" s="113" t="str">
        <f t="shared" si="49"/>
        <v xml:space="preserve">0.0 </v>
      </c>
      <c r="AS406" s="45"/>
      <c r="AW406" s="164"/>
    </row>
    <row r="407" spans="12:49">
      <c r="L407" s="42"/>
      <c r="M407" s="42"/>
      <c r="T407" s="350">
        <f t="shared" si="36"/>
        <v>39</v>
      </c>
      <c r="V407" s="48" t="str">
        <f t="shared" si="37"/>
        <v xml:space="preserve">   30W Town &amp; Country LED</v>
      </c>
      <c r="Y407" s="68">
        <f t="shared" si="38"/>
        <v>0</v>
      </c>
      <c r="Z407" s="1"/>
      <c r="AA407" s="68">
        <f t="shared" si="39"/>
        <v>0</v>
      </c>
      <c r="AB407" s="68"/>
      <c r="AC407" s="132">
        <v>5.35</v>
      </c>
      <c r="AD407" s="132">
        <v>2.9</v>
      </c>
      <c r="AE407" s="3">
        <f t="shared" si="46"/>
        <v>0</v>
      </c>
      <c r="AF407" s="3"/>
      <c r="AG407" s="103">
        <f t="shared" si="40"/>
        <v>0</v>
      </c>
      <c r="AH407" s="4"/>
      <c r="AI407" s="3">
        <f t="shared" si="41"/>
        <v>0</v>
      </c>
      <c r="AJ407" s="3"/>
      <c r="AK407" s="113" t="str">
        <f t="shared" si="47"/>
        <v xml:space="preserve">0.0 </v>
      </c>
      <c r="AL407" s="6"/>
      <c r="AM407" s="3"/>
      <c r="AN407" s="3"/>
      <c r="AO407" s="3">
        <f t="shared" si="48"/>
        <v>0</v>
      </c>
      <c r="AP407" s="3"/>
      <c r="AQ407" s="113" t="str">
        <f t="shared" si="49"/>
        <v xml:space="preserve">0.0 </v>
      </c>
      <c r="AS407" s="45"/>
      <c r="AW407" s="164"/>
    </row>
    <row r="408" spans="12:49">
      <c r="L408" s="42"/>
      <c r="M408" s="42"/>
      <c r="T408" s="350">
        <f t="shared" si="36"/>
        <v>40</v>
      </c>
      <c r="V408" s="48" t="str">
        <f t="shared" si="37"/>
        <v xml:space="preserve">   30W Open Town &amp; Country LED</v>
      </c>
      <c r="Y408" s="68">
        <f t="shared" si="38"/>
        <v>0</v>
      </c>
      <c r="Z408" s="1"/>
      <c r="AA408" s="68">
        <f t="shared" si="39"/>
        <v>0</v>
      </c>
      <c r="AB408" s="68"/>
      <c r="AC408" s="132">
        <v>5.09</v>
      </c>
      <c r="AD408" s="132">
        <v>2.9</v>
      </c>
      <c r="AE408" s="3">
        <f t="shared" si="46"/>
        <v>0</v>
      </c>
      <c r="AF408" s="3"/>
      <c r="AG408" s="103">
        <f t="shared" si="40"/>
        <v>0</v>
      </c>
      <c r="AH408" s="4"/>
      <c r="AI408" s="3">
        <f t="shared" si="41"/>
        <v>0</v>
      </c>
      <c r="AJ408" s="3"/>
      <c r="AK408" s="113" t="str">
        <f t="shared" si="47"/>
        <v xml:space="preserve">0.0 </v>
      </c>
      <c r="AL408" s="6"/>
      <c r="AM408" s="3"/>
      <c r="AN408" s="3"/>
      <c r="AO408" s="3">
        <f t="shared" si="48"/>
        <v>0</v>
      </c>
      <c r="AP408" s="3"/>
      <c r="AQ408" s="113" t="str">
        <f t="shared" si="49"/>
        <v xml:space="preserve">0.0 </v>
      </c>
      <c r="AS408" s="45"/>
      <c r="AW408" s="164"/>
    </row>
    <row r="409" spans="12:49">
      <c r="L409" s="42"/>
      <c r="M409" s="42"/>
      <c r="T409" s="350">
        <f t="shared" si="36"/>
        <v>41</v>
      </c>
      <c r="V409" s="48" t="str">
        <f t="shared" si="37"/>
        <v xml:space="preserve">   150W Enterprise LED</v>
      </c>
      <c r="Y409" s="68">
        <f t="shared" si="38"/>
        <v>0</v>
      </c>
      <c r="Z409" s="1"/>
      <c r="AA409" s="68">
        <f t="shared" si="39"/>
        <v>0</v>
      </c>
      <c r="AB409" s="68"/>
      <c r="AC409" s="132">
        <v>11.45</v>
      </c>
      <c r="AD409" s="132">
        <v>2.9</v>
      </c>
      <c r="AE409" s="3">
        <f t="shared" si="46"/>
        <v>0</v>
      </c>
      <c r="AF409" s="3"/>
      <c r="AG409" s="103">
        <f t="shared" si="40"/>
        <v>0</v>
      </c>
      <c r="AH409" s="4"/>
      <c r="AI409" s="3">
        <f t="shared" si="41"/>
        <v>0</v>
      </c>
      <c r="AJ409" s="3"/>
      <c r="AK409" s="113" t="str">
        <f t="shared" si="47"/>
        <v xml:space="preserve">0.0 </v>
      </c>
      <c r="AL409" s="6"/>
      <c r="AM409" s="3"/>
      <c r="AN409" s="3"/>
      <c r="AO409" s="3">
        <f t="shared" si="48"/>
        <v>0</v>
      </c>
      <c r="AP409" s="3"/>
      <c r="AQ409" s="113" t="str">
        <f t="shared" si="49"/>
        <v xml:space="preserve">0.0 </v>
      </c>
      <c r="AS409" s="45"/>
      <c r="AW409" s="164"/>
    </row>
    <row r="410" spans="12:49">
      <c r="L410" s="42"/>
      <c r="M410" s="42"/>
      <c r="T410" s="350">
        <f t="shared" si="36"/>
        <v>42</v>
      </c>
      <c r="V410" s="48" t="str">
        <f t="shared" si="37"/>
        <v xml:space="preserve">   220W Enterprise LED</v>
      </c>
      <c r="Y410" s="68">
        <f t="shared" si="38"/>
        <v>0</v>
      </c>
      <c r="Z410" s="1"/>
      <c r="AA410" s="68">
        <f t="shared" si="39"/>
        <v>0</v>
      </c>
      <c r="AB410" s="68"/>
      <c r="AC410" s="132">
        <v>11.78</v>
      </c>
      <c r="AD410" s="132">
        <v>3.54</v>
      </c>
      <c r="AE410" s="3">
        <f t="shared" si="46"/>
        <v>0</v>
      </c>
      <c r="AF410" s="3"/>
      <c r="AG410" s="103">
        <f t="shared" si="40"/>
        <v>0</v>
      </c>
      <c r="AH410" s="4"/>
      <c r="AI410" s="3">
        <f t="shared" si="41"/>
        <v>0</v>
      </c>
      <c r="AJ410" s="3"/>
      <c r="AK410" s="113" t="str">
        <f t="shared" si="47"/>
        <v xml:space="preserve">0.0 </v>
      </c>
      <c r="AL410" s="6"/>
      <c r="AM410" s="3"/>
      <c r="AN410" s="3"/>
      <c r="AO410" s="3">
        <f t="shared" si="48"/>
        <v>0</v>
      </c>
      <c r="AP410" s="3"/>
      <c r="AQ410" s="113" t="str">
        <f t="shared" si="49"/>
        <v xml:space="preserve">0.0 </v>
      </c>
      <c r="AS410" s="45"/>
      <c r="AW410" s="164"/>
    </row>
    <row r="411" spans="12:49">
      <c r="L411" s="42"/>
      <c r="M411" s="42"/>
      <c r="T411" s="350">
        <f t="shared" si="36"/>
        <v>43</v>
      </c>
      <c r="V411" s="48" t="str">
        <f t="shared" si="37"/>
        <v xml:space="preserve">   50W Clermont LED</v>
      </c>
      <c r="Y411" s="68">
        <f t="shared" si="38"/>
        <v>0</v>
      </c>
      <c r="Z411" s="1"/>
      <c r="AA411" s="68">
        <f t="shared" si="39"/>
        <v>0</v>
      </c>
      <c r="AB411" s="68"/>
      <c r="AC411" s="132">
        <v>18.68</v>
      </c>
      <c r="AD411" s="132">
        <v>2.9</v>
      </c>
      <c r="AE411" s="3">
        <f t="shared" si="46"/>
        <v>0</v>
      </c>
      <c r="AF411" s="3"/>
      <c r="AG411" s="103">
        <f t="shared" si="40"/>
        <v>0</v>
      </c>
      <c r="AH411" s="4"/>
      <c r="AI411" s="3">
        <f t="shared" si="41"/>
        <v>0</v>
      </c>
      <c r="AJ411" s="3"/>
      <c r="AK411" s="113" t="str">
        <f t="shared" si="47"/>
        <v xml:space="preserve">0.0 </v>
      </c>
      <c r="AL411" s="6"/>
      <c r="AM411" s="3"/>
      <c r="AN411" s="3"/>
      <c r="AO411" s="3">
        <f t="shared" si="48"/>
        <v>0</v>
      </c>
      <c r="AP411" s="3"/>
      <c r="AQ411" s="113" t="str">
        <f t="shared" si="49"/>
        <v xml:space="preserve">0.0 </v>
      </c>
      <c r="AS411" s="45"/>
      <c r="AW411" s="164"/>
    </row>
    <row r="412" spans="12:49">
      <c r="L412" s="42"/>
      <c r="M412" s="42"/>
      <c r="T412" s="350">
        <f t="shared" si="36"/>
        <v>44</v>
      </c>
      <c r="V412" s="48" t="str">
        <f t="shared" si="37"/>
        <v xml:space="preserve">   30W Gaslight Replica LED</v>
      </c>
      <c r="Y412" s="68">
        <f t="shared" si="38"/>
        <v>0</v>
      </c>
      <c r="Z412" s="1"/>
      <c r="AA412" s="68">
        <f t="shared" si="39"/>
        <v>0</v>
      </c>
      <c r="AB412" s="68"/>
      <c r="AC412" s="132">
        <v>21.3</v>
      </c>
      <c r="AD412" s="132">
        <v>2.9</v>
      </c>
      <c r="AE412" s="3">
        <f t="shared" si="46"/>
        <v>0</v>
      </c>
      <c r="AF412" s="3"/>
      <c r="AG412" s="103">
        <f t="shared" si="40"/>
        <v>0</v>
      </c>
      <c r="AH412" s="4"/>
      <c r="AI412" s="3">
        <f t="shared" si="41"/>
        <v>0</v>
      </c>
      <c r="AJ412" s="3"/>
      <c r="AK412" s="113" t="str">
        <f t="shared" si="47"/>
        <v xml:space="preserve">0.0 </v>
      </c>
      <c r="AL412" s="6"/>
      <c r="AM412" s="3"/>
      <c r="AN412" s="3"/>
      <c r="AO412" s="3">
        <f t="shared" si="48"/>
        <v>0</v>
      </c>
      <c r="AP412" s="3"/>
      <c r="AQ412" s="113" t="str">
        <f t="shared" si="49"/>
        <v xml:space="preserve">0.0 </v>
      </c>
      <c r="AS412" s="45"/>
      <c r="AW412" s="164"/>
    </row>
    <row r="413" spans="12:49">
      <c r="L413" s="42"/>
      <c r="M413" s="42"/>
      <c r="T413" s="350"/>
      <c r="V413" s="48"/>
      <c r="Y413" s="68"/>
      <c r="Z413" s="1"/>
      <c r="AA413" s="68"/>
      <c r="AB413" s="68"/>
      <c r="AC413" s="132"/>
      <c r="AD413" s="132"/>
      <c r="AE413" s="3"/>
      <c r="AF413" s="3"/>
      <c r="AG413" s="103"/>
      <c r="AH413" s="4"/>
      <c r="AI413" s="3"/>
      <c r="AJ413" s="3"/>
      <c r="AK413" s="113"/>
      <c r="AL413" s="6"/>
      <c r="AM413" s="3"/>
      <c r="AN413" s="3"/>
      <c r="AO413" s="3"/>
      <c r="AP413" s="3"/>
      <c r="AQ413" s="113"/>
      <c r="AS413" s="45"/>
      <c r="AW413" s="164"/>
    </row>
    <row r="414" spans="12:49">
      <c r="L414" s="42"/>
      <c r="M414" s="42"/>
      <c r="T414" s="140" t="s">
        <v>76</v>
      </c>
      <c r="V414" s="48"/>
      <c r="Y414" s="68"/>
      <c r="Z414" s="1"/>
      <c r="AA414" s="68"/>
      <c r="AB414" s="68"/>
      <c r="AC414" s="132"/>
      <c r="AD414" s="132"/>
      <c r="AE414" s="3"/>
      <c r="AF414" s="3"/>
      <c r="AG414" s="103"/>
      <c r="AH414" s="4"/>
      <c r="AI414" s="3"/>
      <c r="AJ414" s="3"/>
      <c r="AK414" s="113"/>
      <c r="AL414" s="6"/>
      <c r="AM414" s="3"/>
      <c r="AN414" s="3"/>
      <c r="AO414" s="3"/>
      <c r="AP414" s="3"/>
      <c r="AQ414" s="113"/>
      <c r="AS414" s="45"/>
      <c r="AW414" s="164"/>
    </row>
    <row r="415" spans="12:49">
      <c r="L415" s="42"/>
      <c r="M415" s="42"/>
      <c r="T415" s="140" t="str">
        <f>"(1A) REFLECTS FUEL COST RECOVERY INCLUDED IN BASE RATES OF "&amp;TEXT(CUR_BASE_FUEL,"$0.000000;($0.000000)")&amp;"  PER KWH."</f>
        <v>(1A) REFLECTS FUEL COST RECOVERY INCLUDED IN BASE RATES OF $0.033780  PER KWH.</v>
      </c>
      <c r="V415" s="48"/>
      <c r="Y415" s="68"/>
      <c r="Z415" s="1"/>
      <c r="AA415" s="68"/>
      <c r="AB415" s="68"/>
      <c r="AC415" s="132"/>
      <c r="AD415" s="132"/>
      <c r="AE415" s="3"/>
      <c r="AF415" s="3"/>
      <c r="AG415" s="103"/>
      <c r="AH415" s="4"/>
      <c r="AI415" s="3"/>
      <c r="AJ415" s="3"/>
      <c r="AK415" s="113"/>
      <c r="AL415" s="6"/>
      <c r="AM415" s="3"/>
      <c r="AN415" s="3"/>
      <c r="AO415" s="3"/>
      <c r="AP415" s="3"/>
      <c r="AQ415" s="113"/>
      <c r="AS415" s="45"/>
      <c r="AW415" s="164"/>
    </row>
    <row r="416" spans="12:49">
      <c r="L416" s="42"/>
      <c r="M416" s="42"/>
      <c r="T416" s="140" t="str">
        <f>"(2) REFLECTS FUEL COMPONENT OF "&amp;TEXT(CUR_FAC,"$0.000000;($0.000000)")&amp;"  PER KWH."</f>
        <v>(2) REFLECTS FUEL COMPONENT OF $0.003487  PER KWH.</v>
      </c>
      <c r="V416" s="48"/>
      <c r="Y416" s="68"/>
      <c r="Z416" s="1"/>
      <c r="AA416" s="68"/>
      <c r="AB416" s="68"/>
      <c r="AC416" s="132"/>
      <c r="AD416" s="132"/>
      <c r="AE416" s="3"/>
      <c r="AF416" s="3"/>
      <c r="AG416" s="103"/>
      <c r="AH416" s="4"/>
      <c r="AI416" s="3"/>
      <c r="AJ416" s="3"/>
      <c r="AK416" s="113"/>
      <c r="AL416" s="6"/>
      <c r="AM416" s="3"/>
      <c r="AN416" s="3"/>
      <c r="AO416" s="3"/>
      <c r="AP416" s="3"/>
      <c r="AQ416" s="113"/>
      <c r="AS416" s="45"/>
      <c r="AW416" s="164"/>
    </row>
    <row r="417" spans="12:49">
      <c r="L417" s="42"/>
      <c r="M417" s="42"/>
      <c r="T417" s="350"/>
      <c r="V417" s="48"/>
      <c r="Y417" s="68"/>
      <c r="Z417" s="1"/>
      <c r="AA417" s="68"/>
      <c r="AB417" s="68"/>
      <c r="AC417" s="132"/>
      <c r="AD417" s="132"/>
      <c r="AE417" s="3"/>
      <c r="AF417" s="3"/>
      <c r="AG417" s="103"/>
      <c r="AH417" s="4"/>
      <c r="AI417" s="3"/>
      <c r="AJ417" s="3"/>
      <c r="AK417" s="113"/>
      <c r="AL417" s="6"/>
      <c r="AM417" s="3"/>
      <c r="AN417" s="3"/>
      <c r="AO417" s="3"/>
      <c r="AP417" s="3"/>
      <c r="AQ417" s="113"/>
      <c r="AS417" s="45"/>
      <c r="AW417" s="164"/>
    </row>
    <row r="418" spans="12:49">
      <c r="L418" s="42"/>
      <c r="M418" s="42"/>
      <c r="T418" s="760" t="str">
        <f>NAME</f>
        <v>DUKE ENERGY KENTUCKY, INC.</v>
      </c>
      <c r="U418" s="760"/>
      <c r="V418" s="760"/>
      <c r="W418" s="760"/>
      <c r="X418" s="760"/>
      <c r="Y418" s="760"/>
      <c r="Z418" s="760"/>
      <c r="AA418" s="760"/>
      <c r="AB418" s="760"/>
      <c r="AC418" s="760"/>
      <c r="AD418" s="760"/>
      <c r="AE418" s="760"/>
      <c r="AF418" s="760"/>
      <c r="AG418" s="760"/>
      <c r="AH418" s="760"/>
      <c r="AI418" s="760"/>
      <c r="AJ418" s="760"/>
      <c r="AK418" s="760"/>
      <c r="AL418" s="760"/>
      <c r="AM418" s="760"/>
      <c r="AN418" s="760"/>
      <c r="AO418" s="760"/>
      <c r="AP418" s="760"/>
      <c r="AQ418" s="760"/>
      <c r="AS418" s="45"/>
      <c r="AW418" s="164"/>
    </row>
    <row r="419" spans="12:49">
      <c r="L419" s="42"/>
      <c r="M419" s="42"/>
      <c r="T419" s="40" t="str">
        <f>CASE_NO</f>
        <v>CASE NO.   2024-00354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S419" s="45"/>
      <c r="AW419" s="164"/>
    </row>
    <row r="420" spans="12:49">
      <c r="L420" s="42"/>
      <c r="M420" s="42"/>
      <c r="T420" s="40" t="str">
        <f>TITLE</f>
        <v>ANNUALIZED TEST YEAR REVENUES AT PROPOSED VS. MOST CURRENT RATES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S420" s="45"/>
      <c r="AW420" s="164"/>
    </row>
    <row r="421" spans="12:49">
      <c r="L421" s="42"/>
      <c r="M421" s="42"/>
      <c r="T421" s="40" t="str">
        <f>DATE</f>
        <v>FOR THE TWELVE MONTHS ENDED June 30, 2026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S421" s="45"/>
      <c r="AW421" s="164"/>
    </row>
    <row r="422" spans="12:49">
      <c r="L422" s="42"/>
      <c r="M422" s="42"/>
      <c r="T422" s="40" t="str">
        <f>SERVICE</f>
        <v>(ELECTRIC SERVICE)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S422" s="45"/>
      <c r="AW422" s="164"/>
    </row>
    <row r="423" spans="12:49">
      <c r="L423" s="42"/>
      <c r="M423" s="42"/>
      <c r="T423" s="41" t="str">
        <f>DATA_PERIOD</f>
        <v>DATA: ____ BASE PERIOD   __X__FORECASTED PERIOD</v>
      </c>
      <c r="AG423" s="41"/>
      <c r="AK423" s="41"/>
      <c r="AO423" s="42" t="s">
        <v>157</v>
      </c>
      <c r="AQ423" s="41"/>
      <c r="AS423" s="45"/>
      <c r="AW423" s="164"/>
    </row>
    <row r="424" spans="12:49">
      <c r="L424" s="42"/>
      <c r="M424" s="42"/>
      <c r="T424" s="41" t="str">
        <f>TYPE</f>
        <v>TYPE OF FILING: _X_ ORIGINAL   ___UPDATED  ___ REVISED</v>
      </c>
      <c r="AG424" s="41"/>
      <c r="AK424" s="41"/>
      <c r="AO424" s="48" t="str">
        <f>"PAGE 21 OF "&amp;TEXT(Page_Num_2.2,"00")</f>
        <v>PAGE 21 OF 24</v>
      </c>
      <c r="AQ424" s="41"/>
      <c r="AS424" s="45"/>
      <c r="AW424" s="164"/>
    </row>
    <row r="425" spans="12:49">
      <c r="L425" s="42"/>
      <c r="M425" s="42"/>
      <c r="T425" s="42" t="s">
        <v>170</v>
      </c>
      <c r="AO425" s="42" t="s">
        <v>4</v>
      </c>
      <c r="AP425" s="42"/>
      <c r="AS425" s="45"/>
      <c r="AW425" s="164"/>
    </row>
    <row r="426" spans="12:49">
      <c r="L426" s="42"/>
      <c r="M426" s="42"/>
      <c r="T426" s="130" t="str">
        <f>TIME</f>
        <v>12 Months Projected with Riders</v>
      </c>
      <c r="AF426" s="42"/>
      <c r="AO426" s="45" t="str">
        <f>WIT</f>
        <v>B. L. Sailers</v>
      </c>
      <c r="AS426" s="45"/>
      <c r="AW426" s="164"/>
    </row>
    <row r="427" spans="12:49">
      <c r="L427" s="42"/>
      <c r="M427" s="42"/>
      <c r="T427" s="40" t="s">
        <v>130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100"/>
      <c r="AH427" s="40"/>
      <c r="AI427" s="40"/>
      <c r="AJ427" s="40"/>
      <c r="AK427" s="100"/>
      <c r="AL427" s="40"/>
      <c r="AM427" s="40"/>
      <c r="AN427" s="40"/>
      <c r="AO427" s="40"/>
      <c r="AP427" s="40"/>
      <c r="AS427" s="45"/>
      <c r="AW427" s="164"/>
    </row>
    <row r="428" spans="12:49">
      <c r="L428" s="42"/>
      <c r="M428" s="42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3"/>
      <c r="AF428" s="43"/>
      <c r="AG428" s="101"/>
      <c r="AH428" s="43"/>
      <c r="AI428" s="43"/>
      <c r="AJ428" s="43"/>
      <c r="AK428" s="101"/>
      <c r="AL428" s="43"/>
      <c r="AM428" s="43"/>
      <c r="AN428" s="49"/>
      <c r="AO428" s="49"/>
      <c r="AP428" s="49"/>
      <c r="AS428" s="45"/>
      <c r="AW428" s="164"/>
    </row>
    <row r="429" spans="12:49">
      <c r="L429" s="42"/>
      <c r="M429" s="4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44" t="s">
        <v>8</v>
      </c>
      <c r="AF429" s="44"/>
      <c r="AG429" s="102" t="s">
        <v>7</v>
      </c>
      <c r="AH429" s="44"/>
      <c r="AI429" s="44" t="s">
        <v>9</v>
      </c>
      <c r="AJ429" s="44"/>
      <c r="AK429" s="102" t="s">
        <v>10</v>
      </c>
      <c r="AL429" s="44"/>
      <c r="AN429" s="62"/>
      <c r="AO429" s="63" t="s">
        <v>8</v>
      </c>
      <c r="AP429" s="63"/>
      <c r="AQ429" s="109" t="s">
        <v>11</v>
      </c>
      <c r="AS429" s="45"/>
      <c r="AW429" s="164"/>
    </row>
    <row r="430" spans="12:49">
      <c r="L430" s="42"/>
      <c r="M430" s="42"/>
      <c r="AC430" s="415" t="s">
        <v>811</v>
      </c>
      <c r="AD430" s="40"/>
      <c r="AE430" s="44" t="s">
        <v>12</v>
      </c>
      <c r="AF430" s="44"/>
      <c r="AG430" s="102" t="s">
        <v>13</v>
      </c>
      <c r="AH430" s="44"/>
      <c r="AI430" s="44" t="s">
        <v>15</v>
      </c>
      <c r="AJ430" s="44"/>
      <c r="AK430" s="102" t="s">
        <v>16</v>
      </c>
      <c r="AL430" s="44"/>
      <c r="AO430" s="44" t="s">
        <v>11</v>
      </c>
      <c r="AP430" s="44"/>
      <c r="AQ430" s="102" t="s">
        <v>9</v>
      </c>
      <c r="AS430" s="45"/>
      <c r="AW430" s="164"/>
    </row>
    <row r="431" spans="12:49">
      <c r="L431" s="42"/>
      <c r="M431" s="42"/>
      <c r="T431" s="44" t="s">
        <v>17</v>
      </c>
      <c r="V431" s="44" t="s">
        <v>18</v>
      </c>
      <c r="W431" s="44" t="s">
        <v>19</v>
      </c>
      <c r="X431" s="44"/>
      <c r="Y431" s="44" t="s">
        <v>20</v>
      </c>
      <c r="AC431" s="44" t="s">
        <v>807</v>
      </c>
      <c r="AD431" s="44" t="s">
        <v>808</v>
      </c>
      <c r="AE431" s="44" t="s">
        <v>841</v>
      </c>
      <c r="AF431" s="44"/>
      <c r="AG431" s="102" t="s">
        <v>841</v>
      </c>
      <c r="AH431" s="44"/>
      <c r="AI431" s="60" t="s">
        <v>964</v>
      </c>
      <c r="AJ431" s="44"/>
      <c r="AK431" s="277" t="s">
        <v>964</v>
      </c>
      <c r="AL431" s="44"/>
      <c r="AM431" s="44" t="s">
        <v>841</v>
      </c>
      <c r="AN431" s="44"/>
      <c r="AO431" s="44" t="s">
        <v>9</v>
      </c>
      <c r="AP431" s="44"/>
      <c r="AQ431" s="102" t="s">
        <v>21</v>
      </c>
      <c r="AS431" s="45"/>
      <c r="AW431" s="164"/>
    </row>
    <row r="432" spans="12:49">
      <c r="L432" s="42"/>
      <c r="M432" s="42"/>
      <c r="T432" s="44" t="s">
        <v>22</v>
      </c>
      <c r="V432" s="44" t="s">
        <v>23</v>
      </c>
      <c r="W432" s="44" t="s">
        <v>24</v>
      </c>
      <c r="X432" s="44"/>
      <c r="Y432" s="44" t="s">
        <v>25</v>
      </c>
      <c r="AA432" s="44" t="s">
        <v>26</v>
      </c>
      <c r="AB432" s="44"/>
      <c r="AC432" s="60" t="s">
        <v>27</v>
      </c>
      <c r="AD432" s="60" t="s">
        <v>27</v>
      </c>
      <c r="AE432" s="44" t="s">
        <v>9</v>
      </c>
      <c r="AF432" s="44"/>
      <c r="AG432" s="102" t="s">
        <v>9</v>
      </c>
      <c r="AH432" s="44"/>
      <c r="AI432" s="304" t="s">
        <v>29</v>
      </c>
      <c r="AJ432" s="304"/>
      <c r="AK432" s="311" t="s">
        <v>30</v>
      </c>
      <c r="AL432" s="44"/>
      <c r="AM432" s="44" t="s">
        <v>323</v>
      </c>
      <c r="AN432" s="44"/>
      <c r="AO432" s="304" t="s">
        <v>31</v>
      </c>
      <c r="AP432" s="304"/>
      <c r="AQ432" s="311" t="s">
        <v>32</v>
      </c>
      <c r="AS432" s="45"/>
      <c r="AW432" s="164"/>
    </row>
    <row r="433" spans="12:49">
      <c r="L433" s="42"/>
      <c r="M433" s="42"/>
      <c r="V433" s="304" t="s">
        <v>33</v>
      </c>
      <c r="W433" s="304" t="s">
        <v>34</v>
      </c>
      <c r="X433" s="304"/>
      <c r="Y433" s="304" t="s">
        <v>35</v>
      </c>
      <c r="Z433" s="130"/>
      <c r="AA433" s="304" t="s">
        <v>36</v>
      </c>
      <c r="AB433" s="304"/>
      <c r="AC433" s="307" t="s">
        <v>813</v>
      </c>
      <c r="AD433" s="307" t="s">
        <v>812</v>
      </c>
      <c r="AE433" s="304" t="s">
        <v>43</v>
      </c>
      <c r="AF433" s="304"/>
      <c r="AG433" s="311" t="s">
        <v>44</v>
      </c>
      <c r="AH433" s="304"/>
      <c r="AI433" s="304" t="s">
        <v>45</v>
      </c>
      <c r="AJ433" s="304"/>
      <c r="AK433" s="311" t="s">
        <v>46</v>
      </c>
      <c r="AL433" s="304"/>
      <c r="AM433" s="304" t="s">
        <v>40</v>
      </c>
      <c r="AN433" s="304"/>
      <c r="AO433" s="304" t="s">
        <v>47</v>
      </c>
      <c r="AP433" s="304"/>
      <c r="AQ433" s="311" t="s">
        <v>48</v>
      </c>
      <c r="AS433" s="45"/>
      <c r="AW433" s="164"/>
    </row>
    <row r="434" spans="12:49">
      <c r="L434" s="42"/>
      <c r="M434" s="42"/>
      <c r="T434" s="62"/>
      <c r="U434" s="62"/>
      <c r="V434" s="62"/>
      <c r="W434" s="62"/>
      <c r="X434" s="62"/>
      <c r="Y434" s="62"/>
      <c r="Z434" s="62"/>
      <c r="AA434" s="345" t="s">
        <v>49</v>
      </c>
      <c r="AB434" s="345"/>
      <c r="AC434" s="344" t="s">
        <v>69</v>
      </c>
      <c r="AD434" s="345"/>
      <c r="AE434" s="345" t="s">
        <v>50</v>
      </c>
      <c r="AF434" s="345"/>
      <c r="AG434" s="346" t="s">
        <v>51</v>
      </c>
      <c r="AH434" s="345"/>
      <c r="AI434" s="345" t="s">
        <v>50</v>
      </c>
      <c r="AJ434" s="345"/>
      <c r="AK434" s="346" t="s">
        <v>51</v>
      </c>
      <c r="AL434" s="345"/>
      <c r="AM434" s="345" t="s">
        <v>50</v>
      </c>
      <c r="AN434" s="345"/>
      <c r="AO434" s="345" t="s">
        <v>50</v>
      </c>
      <c r="AP434" s="345"/>
      <c r="AQ434" s="346" t="s">
        <v>51</v>
      </c>
      <c r="AS434" s="45"/>
      <c r="AW434" s="164"/>
    </row>
    <row r="435" spans="12:49">
      <c r="L435" s="42"/>
      <c r="M435" s="42"/>
      <c r="T435" s="350"/>
      <c r="V435" s="48"/>
      <c r="Y435" s="68"/>
      <c r="Z435" s="1"/>
      <c r="AA435" s="68"/>
      <c r="AB435" s="68"/>
      <c r="AC435" s="132"/>
      <c r="AD435" s="132"/>
      <c r="AE435" s="3"/>
      <c r="AF435" s="3"/>
      <c r="AG435" s="103"/>
      <c r="AH435" s="4"/>
      <c r="AI435" s="3"/>
      <c r="AJ435" s="3"/>
      <c r="AK435" s="113"/>
      <c r="AL435" s="6"/>
      <c r="AM435" s="3"/>
      <c r="AN435" s="3"/>
      <c r="AO435" s="3"/>
      <c r="AP435" s="3"/>
      <c r="AQ435" s="113"/>
      <c r="AS435" s="45"/>
      <c r="AW435" s="164"/>
    </row>
    <row r="436" spans="12:49">
      <c r="L436" s="42"/>
      <c r="M436" s="42"/>
      <c r="T436" s="350">
        <f t="shared" ref="T436:T437" si="50">A84</f>
        <v>45</v>
      </c>
      <c r="V436" s="48" t="str">
        <f t="shared" ref="V436:W437" si="51">C84</f>
        <v>LED</v>
      </c>
      <c r="W436" s="48" t="str">
        <f t="shared" si="51"/>
        <v>STREET LIGHTING -- LED (CONT'D)</v>
      </c>
      <c r="Y436" s="68"/>
      <c r="Z436" s="1"/>
      <c r="AA436" s="68"/>
      <c r="AB436" s="68"/>
      <c r="AC436" s="132"/>
      <c r="AD436" s="132"/>
      <c r="AE436" s="3"/>
      <c r="AF436" s="3"/>
      <c r="AG436" s="103"/>
      <c r="AH436" s="4"/>
      <c r="AI436" s="3"/>
      <c r="AJ436" s="3"/>
      <c r="AK436" s="113"/>
      <c r="AL436" s="6"/>
      <c r="AM436" s="3"/>
      <c r="AN436" s="3"/>
      <c r="AO436" s="3"/>
      <c r="AP436" s="3"/>
      <c r="AQ436" s="113"/>
      <c r="AS436" s="45"/>
      <c r="AW436" s="164"/>
    </row>
    <row r="437" spans="12:49">
      <c r="L437" s="42"/>
      <c r="M437" s="42"/>
      <c r="T437" s="350">
        <f t="shared" si="50"/>
        <v>46</v>
      </c>
      <c r="V437" s="48" t="str">
        <f t="shared" si="51"/>
        <v>FIXTURES (CONT'D)</v>
      </c>
      <c r="Y437" s="68"/>
      <c r="Z437" s="1"/>
      <c r="AA437" s="68"/>
      <c r="AB437" s="68"/>
      <c r="AC437" s="132"/>
      <c r="AD437" s="132"/>
      <c r="AE437" s="3"/>
      <c r="AF437" s="3"/>
      <c r="AG437" s="103"/>
      <c r="AH437" s="4"/>
      <c r="AI437" s="3"/>
      <c r="AJ437" s="3"/>
      <c r="AK437" s="113"/>
      <c r="AL437" s="6"/>
      <c r="AM437" s="3"/>
      <c r="AN437" s="3"/>
      <c r="AO437" s="3"/>
      <c r="AP437" s="3"/>
      <c r="AQ437" s="113"/>
      <c r="AS437" s="45"/>
      <c r="AW437" s="164"/>
    </row>
    <row r="438" spans="12:49">
      <c r="L438" s="42"/>
      <c r="M438" s="42"/>
      <c r="T438" s="350">
        <f t="shared" ref="T438:T460" si="52">A86</f>
        <v>47</v>
      </c>
      <c r="V438" s="48" t="str">
        <f t="shared" ref="V438:V460" si="53">C86</f>
        <v xml:space="preserve">   50W Cobra LED</v>
      </c>
      <c r="Y438" s="68">
        <f t="shared" ref="Y438:Y459" si="54">F86</f>
        <v>0</v>
      </c>
      <c r="Z438" s="1"/>
      <c r="AA438" s="68">
        <f t="shared" ref="AA438:AA459" si="55">H86</f>
        <v>0</v>
      </c>
      <c r="AB438" s="68"/>
      <c r="AC438" s="132">
        <v>4.17</v>
      </c>
      <c r="AD438" s="132">
        <v>2.9</v>
      </c>
      <c r="AE438" s="3">
        <f t="shared" si="46"/>
        <v>0</v>
      </c>
      <c r="AF438" s="3"/>
      <c r="AG438" s="103">
        <f t="shared" ref="AG438:AG459" si="56">ROUND((AE438/AE$692)*100,1)</f>
        <v>0</v>
      </c>
      <c r="AH438" s="4"/>
      <c r="AI438" s="3">
        <f t="shared" ref="AI438:AI459" si="57">L86-AE438</f>
        <v>0</v>
      </c>
      <c r="AJ438" s="3"/>
      <c r="AK438" s="113" t="str">
        <f t="shared" si="47"/>
        <v xml:space="preserve">0.0 </v>
      </c>
      <c r="AL438" s="6"/>
      <c r="AM438" s="3"/>
      <c r="AN438" s="3"/>
      <c r="AO438" s="3">
        <f t="shared" si="48"/>
        <v>0</v>
      </c>
      <c r="AP438" s="3"/>
      <c r="AQ438" s="113" t="str">
        <f t="shared" si="49"/>
        <v xml:space="preserve">0.0 </v>
      </c>
      <c r="AS438" s="45"/>
      <c r="AW438" s="164"/>
    </row>
    <row r="439" spans="12:49">
      <c r="L439" s="42"/>
      <c r="M439" s="42"/>
      <c r="T439" s="350">
        <f t="shared" si="52"/>
        <v>48</v>
      </c>
      <c r="V439" s="48" t="str">
        <f t="shared" si="53"/>
        <v xml:space="preserve">   70W Cobra LED</v>
      </c>
      <c r="Y439" s="68">
        <f t="shared" si="54"/>
        <v>12</v>
      </c>
      <c r="Z439" s="1"/>
      <c r="AA439" s="68">
        <f t="shared" si="55"/>
        <v>204</v>
      </c>
      <c r="AB439" s="68"/>
      <c r="AC439" s="132">
        <v>4.33</v>
      </c>
      <c r="AD439" s="132">
        <v>2.9</v>
      </c>
      <c r="AE439" s="3">
        <f t="shared" si="46"/>
        <v>87</v>
      </c>
      <c r="AF439" s="3"/>
      <c r="AG439" s="103">
        <f t="shared" si="56"/>
        <v>0.4</v>
      </c>
      <c r="AH439" s="4"/>
      <c r="AI439" s="3">
        <f t="shared" si="57"/>
        <v>12</v>
      </c>
      <c r="AJ439" s="3"/>
      <c r="AK439" s="113">
        <f t="shared" si="47"/>
        <v>13.8</v>
      </c>
      <c r="AL439" s="6"/>
      <c r="AM439" s="3"/>
      <c r="AN439" s="3"/>
      <c r="AO439" s="3">
        <f t="shared" si="48"/>
        <v>87</v>
      </c>
      <c r="AP439" s="3"/>
      <c r="AQ439" s="113">
        <f t="shared" si="49"/>
        <v>13.8</v>
      </c>
      <c r="AS439" s="45"/>
      <c r="AW439" s="164"/>
    </row>
    <row r="440" spans="12:49">
      <c r="L440" s="42"/>
      <c r="M440" s="42"/>
      <c r="T440" s="350">
        <f t="shared" si="52"/>
        <v>49</v>
      </c>
      <c r="V440" s="48" t="str">
        <f t="shared" si="53"/>
        <v xml:space="preserve">   30W Granville Acorn LED</v>
      </c>
      <c r="Y440" s="68">
        <f t="shared" si="54"/>
        <v>0</v>
      </c>
      <c r="Z440" s="1"/>
      <c r="AA440" s="68">
        <f t="shared" si="55"/>
        <v>0</v>
      </c>
      <c r="AB440" s="68"/>
      <c r="AC440" s="132"/>
      <c r="AD440" s="132"/>
      <c r="AE440" s="3">
        <f t="shared" si="46"/>
        <v>0</v>
      </c>
      <c r="AF440" s="3"/>
      <c r="AG440" s="103">
        <f t="shared" si="56"/>
        <v>0</v>
      </c>
      <c r="AH440" s="4"/>
      <c r="AI440" s="3">
        <f t="shared" si="57"/>
        <v>0</v>
      </c>
      <c r="AJ440" s="3"/>
      <c r="AK440" s="113" t="str">
        <f t="shared" si="47"/>
        <v xml:space="preserve">0.0 </v>
      </c>
      <c r="AL440" s="6"/>
      <c r="AM440" s="3"/>
      <c r="AN440" s="3"/>
      <c r="AO440" s="3">
        <f t="shared" si="48"/>
        <v>0</v>
      </c>
      <c r="AP440" s="3"/>
      <c r="AQ440" s="113" t="str">
        <f t="shared" si="49"/>
        <v xml:space="preserve">0.0 </v>
      </c>
      <c r="AS440" s="45"/>
      <c r="AW440" s="164"/>
    </row>
    <row r="441" spans="12:49">
      <c r="L441" s="42"/>
      <c r="M441" s="42"/>
      <c r="T441" s="350">
        <f t="shared" si="52"/>
        <v>50</v>
      </c>
      <c r="V441" s="48" t="str">
        <f t="shared" si="53"/>
        <v xml:space="preserve">   30W Style B Bollard LED</v>
      </c>
      <c r="Y441" s="68">
        <f t="shared" si="54"/>
        <v>0</v>
      </c>
      <c r="Z441" s="1"/>
      <c r="AA441" s="68">
        <f t="shared" si="55"/>
        <v>0</v>
      </c>
      <c r="AB441" s="68"/>
      <c r="AC441" s="132"/>
      <c r="AD441" s="132"/>
      <c r="AE441" s="3">
        <f t="shared" si="46"/>
        <v>0</v>
      </c>
      <c r="AF441" s="3"/>
      <c r="AG441" s="103">
        <f t="shared" si="56"/>
        <v>0</v>
      </c>
      <c r="AH441" s="4"/>
      <c r="AI441" s="3">
        <f t="shared" si="57"/>
        <v>0</v>
      </c>
      <c r="AJ441" s="3"/>
      <c r="AK441" s="113" t="str">
        <f t="shared" si="47"/>
        <v xml:space="preserve">0.0 </v>
      </c>
      <c r="AL441" s="6"/>
      <c r="AM441" s="3"/>
      <c r="AN441" s="3"/>
      <c r="AO441" s="3">
        <f t="shared" si="48"/>
        <v>0</v>
      </c>
      <c r="AP441" s="3"/>
      <c r="AQ441" s="113" t="str">
        <f t="shared" si="49"/>
        <v xml:space="preserve">0.0 </v>
      </c>
      <c r="AS441" s="45"/>
      <c r="AW441" s="164"/>
    </row>
    <row r="442" spans="12:49">
      <c r="L442" s="42"/>
      <c r="M442" s="42"/>
      <c r="T442" s="350">
        <f t="shared" si="52"/>
        <v>51</v>
      </c>
      <c r="V442" s="48" t="str">
        <f t="shared" si="53"/>
        <v xml:space="preserve">   30W Style C Bollard LED</v>
      </c>
      <c r="Y442" s="68">
        <f t="shared" si="54"/>
        <v>0</v>
      </c>
      <c r="Z442" s="1"/>
      <c r="AA442" s="68">
        <f t="shared" si="55"/>
        <v>0</v>
      </c>
      <c r="AB442" s="68"/>
      <c r="AC442" s="132"/>
      <c r="AD442" s="132"/>
      <c r="AE442" s="3">
        <f t="shared" si="46"/>
        <v>0</v>
      </c>
      <c r="AF442" s="3"/>
      <c r="AG442" s="103">
        <f t="shared" si="56"/>
        <v>0</v>
      </c>
      <c r="AH442" s="4"/>
      <c r="AI442" s="3">
        <f t="shared" si="57"/>
        <v>0</v>
      </c>
      <c r="AJ442" s="3"/>
      <c r="AK442" s="113" t="str">
        <f t="shared" si="47"/>
        <v xml:space="preserve">0.0 </v>
      </c>
      <c r="AL442" s="6"/>
      <c r="AM442" s="3"/>
      <c r="AN442" s="3"/>
      <c r="AO442" s="3">
        <f t="shared" si="48"/>
        <v>0</v>
      </c>
      <c r="AP442" s="3"/>
      <c r="AQ442" s="113" t="str">
        <f t="shared" si="49"/>
        <v xml:space="preserve">0.0 </v>
      </c>
      <c r="AS442" s="45"/>
      <c r="AW442" s="164"/>
    </row>
    <row r="443" spans="12:49">
      <c r="L443" s="42"/>
      <c r="M443" s="42"/>
      <c r="T443" s="350">
        <f t="shared" si="52"/>
        <v>52</v>
      </c>
      <c r="V443" s="48" t="str">
        <f t="shared" si="53"/>
        <v xml:space="preserve">   30W Style D Bollard LED</v>
      </c>
      <c r="Y443" s="68">
        <f t="shared" si="54"/>
        <v>0</v>
      </c>
      <c r="Z443" s="1"/>
      <c r="AA443" s="68">
        <f t="shared" si="55"/>
        <v>0</v>
      </c>
      <c r="AB443" s="68"/>
      <c r="AC443" s="132"/>
      <c r="AD443" s="132"/>
      <c r="AE443" s="3">
        <f t="shared" si="46"/>
        <v>0</v>
      </c>
      <c r="AF443" s="3"/>
      <c r="AG443" s="103">
        <f t="shared" si="56"/>
        <v>0</v>
      </c>
      <c r="AH443" s="4"/>
      <c r="AI443" s="3">
        <f t="shared" si="57"/>
        <v>0</v>
      </c>
      <c r="AJ443" s="3"/>
      <c r="AK443" s="113" t="str">
        <f t="shared" si="47"/>
        <v xml:space="preserve">0.0 </v>
      </c>
      <c r="AL443" s="6"/>
      <c r="AM443" s="3"/>
      <c r="AN443" s="3"/>
      <c r="AO443" s="3">
        <f t="shared" si="48"/>
        <v>0</v>
      </c>
      <c r="AP443" s="3"/>
      <c r="AQ443" s="113" t="str">
        <f t="shared" si="49"/>
        <v xml:space="preserve">0.0 </v>
      </c>
      <c r="AS443" s="45"/>
      <c r="AW443" s="164"/>
    </row>
    <row r="444" spans="12:49">
      <c r="L444" s="42"/>
      <c r="M444" s="42"/>
      <c r="T444" s="350">
        <f t="shared" si="52"/>
        <v>53</v>
      </c>
      <c r="V444" s="48" t="str">
        <f t="shared" si="53"/>
        <v xml:space="preserve">   30W Style E Bollard LED</v>
      </c>
      <c r="Y444" s="68">
        <f t="shared" si="54"/>
        <v>0</v>
      </c>
      <c r="Z444" s="1"/>
      <c r="AA444" s="68">
        <f t="shared" si="55"/>
        <v>0</v>
      </c>
      <c r="AB444" s="68"/>
      <c r="AC444" s="132"/>
      <c r="AD444" s="132"/>
      <c r="AE444" s="3">
        <f t="shared" si="46"/>
        <v>0</v>
      </c>
      <c r="AF444" s="3"/>
      <c r="AG444" s="103">
        <f t="shared" si="56"/>
        <v>0</v>
      </c>
      <c r="AH444" s="4"/>
      <c r="AI444" s="3">
        <f t="shared" si="57"/>
        <v>0</v>
      </c>
      <c r="AJ444" s="3"/>
      <c r="AK444" s="113" t="str">
        <f t="shared" si="47"/>
        <v xml:space="preserve">0.0 </v>
      </c>
      <c r="AL444" s="6"/>
      <c r="AM444" s="3"/>
      <c r="AN444" s="3"/>
      <c r="AO444" s="3">
        <f t="shared" si="48"/>
        <v>0</v>
      </c>
      <c r="AP444" s="3"/>
      <c r="AQ444" s="113" t="str">
        <f t="shared" si="49"/>
        <v xml:space="preserve">0.0 </v>
      </c>
      <c r="AS444" s="45"/>
      <c r="AW444" s="164"/>
    </row>
    <row r="445" spans="12:49">
      <c r="L445" s="42"/>
      <c r="M445" s="42"/>
      <c r="T445" s="350">
        <f t="shared" si="52"/>
        <v>54</v>
      </c>
      <c r="V445" s="48" t="str">
        <f t="shared" si="53"/>
        <v xml:space="preserve">   40W Colonial Bollard LED</v>
      </c>
      <c r="Y445" s="68">
        <f t="shared" si="54"/>
        <v>0</v>
      </c>
      <c r="Z445" s="1"/>
      <c r="AA445" s="68">
        <f t="shared" si="55"/>
        <v>0</v>
      </c>
      <c r="AB445" s="68"/>
      <c r="AC445" s="132"/>
      <c r="AD445" s="132"/>
      <c r="AE445" s="3">
        <f t="shared" si="46"/>
        <v>0</v>
      </c>
      <c r="AF445" s="3"/>
      <c r="AG445" s="103">
        <f t="shared" si="56"/>
        <v>0</v>
      </c>
      <c r="AH445" s="4"/>
      <c r="AI445" s="3">
        <f t="shared" si="57"/>
        <v>0</v>
      </c>
      <c r="AJ445" s="3"/>
      <c r="AK445" s="113" t="str">
        <f t="shared" si="47"/>
        <v xml:space="preserve">0.0 </v>
      </c>
      <c r="AL445" s="6"/>
      <c r="AM445" s="3"/>
      <c r="AN445" s="3"/>
      <c r="AO445" s="3">
        <f t="shared" si="48"/>
        <v>0</v>
      </c>
      <c r="AP445" s="3"/>
      <c r="AQ445" s="113" t="str">
        <f t="shared" si="49"/>
        <v xml:space="preserve">0.0 </v>
      </c>
      <c r="AS445" s="45"/>
      <c r="AW445" s="164"/>
    </row>
    <row r="446" spans="12:49">
      <c r="L446" s="42"/>
      <c r="M446" s="42"/>
      <c r="T446" s="350">
        <f t="shared" si="52"/>
        <v>55</v>
      </c>
      <c r="V446" s="48" t="str">
        <f t="shared" si="53"/>
        <v xml:space="preserve">   40W Washington Bollard LED</v>
      </c>
      <c r="Y446" s="68">
        <f t="shared" si="54"/>
        <v>0</v>
      </c>
      <c r="Z446" s="1"/>
      <c r="AA446" s="68">
        <f t="shared" si="55"/>
        <v>0</v>
      </c>
      <c r="AB446" s="68"/>
      <c r="AC446" s="132"/>
      <c r="AD446" s="132"/>
      <c r="AE446" s="3">
        <f t="shared" si="46"/>
        <v>0</v>
      </c>
      <c r="AF446" s="3"/>
      <c r="AG446" s="103">
        <f t="shared" si="56"/>
        <v>0</v>
      </c>
      <c r="AH446" s="4"/>
      <c r="AI446" s="3">
        <f t="shared" si="57"/>
        <v>0</v>
      </c>
      <c r="AJ446" s="3"/>
      <c r="AK446" s="113" t="str">
        <f t="shared" si="47"/>
        <v xml:space="preserve">0.0 </v>
      </c>
      <c r="AL446" s="6"/>
      <c r="AM446" s="3"/>
      <c r="AN446" s="3"/>
      <c r="AO446" s="3">
        <f t="shared" si="48"/>
        <v>0</v>
      </c>
      <c r="AP446" s="3"/>
      <c r="AQ446" s="113" t="str">
        <f t="shared" si="49"/>
        <v xml:space="preserve">0.0 </v>
      </c>
      <c r="AS446" s="45"/>
      <c r="AW446" s="164"/>
    </row>
    <row r="447" spans="12:49">
      <c r="L447" s="42"/>
      <c r="M447" s="42"/>
      <c r="T447" s="350">
        <f t="shared" si="52"/>
        <v>56</v>
      </c>
      <c r="V447" s="48" t="str">
        <f t="shared" si="53"/>
        <v xml:space="preserve">   26W Holiday Riser Receptacle LED</v>
      </c>
      <c r="Y447" s="68">
        <f t="shared" si="54"/>
        <v>0</v>
      </c>
      <c r="Z447" s="1"/>
      <c r="AA447" s="68">
        <f t="shared" si="55"/>
        <v>0</v>
      </c>
      <c r="AB447" s="68"/>
      <c r="AC447" s="132"/>
      <c r="AD447" s="132"/>
      <c r="AE447" s="3">
        <f t="shared" si="46"/>
        <v>0</v>
      </c>
      <c r="AF447" s="3"/>
      <c r="AG447" s="103">
        <f t="shared" si="56"/>
        <v>0</v>
      </c>
      <c r="AH447" s="4"/>
      <c r="AI447" s="3">
        <f t="shared" si="57"/>
        <v>0</v>
      </c>
      <c r="AJ447" s="3"/>
      <c r="AK447" s="113" t="str">
        <f t="shared" si="47"/>
        <v xml:space="preserve">0.0 </v>
      </c>
      <c r="AL447" s="6"/>
      <c r="AM447" s="3"/>
      <c r="AN447" s="3"/>
      <c r="AO447" s="3">
        <f t="shared" si="48"/>
        <v>0</v>
      </c>
      <c r="AP447" s="3"/>
      <c r="AQ447" s="113" t="str">
        <f t="shared" si="49"/>
        <v xml:space="preserve">0.0 </v>
      </c>
      <c r="AS447" s="45"/>
      <c r="AW447" s="164"/>
    </row>
    <row r="448" spans="12:49">
      <c r="L448" s="42"/>
      <c r="M448" s="42"/>
      <c r="T448" s="350">
        <f t="shared" si="52"/>
        <v>57</v>
      </c>
      <c r="V448" s="48" t="str">
        <f t="shared" si="53"/>
        <v xml:space="preserve">   26W Holiday Bracket Top Receptacle LED</v>
      </c>
      <c r="Y448" s="68">
        <f t="shared" si="54"/>
        <v>0</v>
      </c>
      <c r="Z448" s="1"/>
      <c r="AA448" s="68">
        <f t="shared" si="55"/>
        <v>0</v>
      </c>
      <c r="AB448" s="68"/>
      <c r="AC448" s="132"/>
      <c r="AD448" s="132"/>
      <c r="AE448" s="3">
        <f t="shared" si="46"/>
        <v>0</v>
      </c>
      <c r="AF448" s="3"/>
      <c r="AG448" s="103">
        <f t="shared" si="56"/>
        <v>0</v>
      </c>
      <c r="AH448" s="4"/>
      <c r="AI448" s="3">
        <f t="shared" si="57"/>
        <v>0</v>
      </c>
      <c r="AJ448" s="3"/>
      <c r="AK448" s="113" t="str">
        <f t="shared" si="47"/>
        <v xml:space="preserve">0.0 </v>
      </c>
      <c r="AL448" s="6"/>
      <c r="AM448" s="3"/>
      <c r="AN448" s="3"/>
      <c r="AO448" s="3">
        <f t="shared" si="48"/>
        <v>0</v>
      </c>
      <c r="AP448" s="3"/>
      <c r="AQ448" s="113" t="str">
        <f t="shared" si="49"/>
        <v xml:space="preserve">0.0 </v>
      </c>
      <c r="AS448" s="45"/>
      <c r="AW448" s="164"/>
    </row>
    <row r="449" spans="3:49">
      <c r="L449" s="42"/>
      <c r="M449" s="42"/>
      <c r="T449" s="350">
        <f t="shared" si="52"/>
        <v>58</v>
      </c>
      <c r="V449" s="48" t="str">
        <f t="shared" si="53"/>
        <v xml:space="preserve">   26W Holiday Festoon Receptacle LED</v>
      </c>
      <c r="Y449" s="68">
        <f t="shared" si="54"/>
        <v>0</v>
      </c>
      <c r="Z449" s="1"/>
      <c r="AA449" s="68">
        <f t="shared" si="55"/>
        <v>0</v>
      </c>
      <c r="AB449" s="68"/>
      <c r="AC449" s="132"/>
      <c r="AD449" s="132"/>
      <c r="AE449" s="3">
        <f t="shared" si="46"/>
        <v>0</v>
      </c>
      <c r="AF449" s="3"/>
      <c r="AG449" s="103">
        <f t="shared" si="56"/>
        <v>0</v>
      </c>
      <c r="AH449" s="4"/>
      <c r="AI449" s="3">
        <f t="shared" si="57"/>
        <v>0</v>
      </c>
      <c r="AJ449" s="3"/>
      <c r="AK449" s="113" t="str">
        <f t="shared" si="47"/>
        <v xml:space="preserve">0.0 </v>
      </c>
      <c r="AL449" s="6"/>
      <c r="AM449" s="3"/>
      <c r="AN449" s="3"/>
      <c r="AO449" s="3">
        <f t="shared" si="48"/>
        <v>0</v>
      </c>
      <c r="AP449" s="3"/>
      <c r="AQ449" s="113" t="str">
        <f t="shared" si="49"/>
        <v xml:space="preserve">0.0 </v>
      </c>
      <c r="AS449" s="45"/>
      <c r="AW449" s="164"/>
    </row>
    <row r="450" spans="3:49">
      <c r="L450" s="42"/>
      <c r="M450" s="42"/>
      <c r="T450" s="350">
        <f t="shared" si="52"/>
        <v>59</v>
      </c>
      <c r="V450" s="48" t="str">
        <f t="shared" si="53"/>
        <v xml:space="preserve">   26W Holiday Post Top Receptacle LED</v>
      </c>
      <c r="Y450" s="68">
        <f t="shared" si="54"/>
        <v>0</v>
      </c>
      <c r="Z450" s="1"/>
      <c r="AA450" s="68">
        <f t="shared" si="55"/>
        <v>0</v>
      </c>
      <c r="AB450" s="68"/>
      <c r="AC450" s="132"/>
      <c r="AD450" s="132"/>
      <c r="AE450" s="3">
        <f t="shared" si="46"/>
        <v>0</v>
      </c>
      <c r="AF450" s="3"/>
      <c r="AG450" s="103">
        <f t="shared" si="56"/>
        <v>0</v>
      </c>
      <c r="AH450" s="4"/>
      <c r="AI450" s="3">
        <f t="shared" si="57"/>
        <v>0</v>
      </c>
      <c r="AJ450" s="3"/>
      <c r="AK450" s="113" t="str">
        <f t="shared" si="47"/>
        <v xml:space="preserve">0.0 </v>
      </c>
      <c r="AL450" s="6"/>
      <c r="AM450" s="3"/>
      <c r="AN450" s="3"/>
      <c r="AO450" s="3">
        <f t="shared" si="48"/>
        <v>0</v>
      </c>
      <c r="AP450" s="3"/>
      <c r="AQ450" s="113" t="str">
        <f t="shared" si="49"/>
        <v xml:space="preserve">0.0 </v>
      </c>
      <c r="AS450" s="45"/>
      <c r="AW450" s="164"/>
    </row>
    <row r="451" spans="3:49">
      <c r="L451" s="42"/>
      <c r="M451" s="42"/>
      <c r="T451" s="350">
        <f t="shared" si="52"/>
        <v>60</v>
      </c>
      <c r="V451" s="48" t="str">
        <f t="shared" si="53"/>
        <v xml:space="preserve">   26W Holiday Post Top with Adapter Receptacle LED</v>
      </c>
      <c r="Y451" s="68">
        <f t="shared" si="54"/>
        <v>0</v>
      </c>
      <c r="Z451" s="1"/>
      <c r="AA451" s="68">
        <f t="shared" si="55"/>
        <v>0</v>
      </c>
      <c r="AB451" s="68"/>
      <c r="AC451" s="132"/>
      <c r="AD451" s="132"/>
      <c r="AE451" s="3">
        <f t="shared" si="46"/>
        <v>0</v>
      </c>
      <c r="AF451" s="3"/>
      <c r="AG451" s="103">
        <f t="shared" si="56"/>
        <v>0</v>
      </c>
      <c r="AH451" s="4"/>
      <c r="AI451" s="3">
        <f t="shared" si="57"/>
        <v>0</v>
      </c>
      <c r="AJ451" s="3"/>
      <c r="AK451" s="113" t="str">
        <f t="shared" si="47"/>
        <v xml:space="preserve">0.0 </v>
      </c>
      <c r="AL451" s="6"/>
      <c r="AM451" s="3"/>
      <c r="AN451" s="3"/>
      <c r="AO451" s="3">
        <f t="shared" si="48"/>
        <v>0</v>
      </c>
      <c r="AP451" s="3"/>
      <c r="AQ451" s="113" t="str">
        <f t="shared" si="49"/>
        <v xml:space="preserve">0.0 </v>
      </c>
      <c r="AS451" s="45"/>
      <c r="AW451" s="164"/>
    </row>
    <row r="452" spans="3:49">
      <c r="L452" s="42"/>
      <c r="M452" s="42"/>
      <c r="T452" s="350">
        <f t="shared" si="52"/>
        <v>61</v>
      </c>
      <c r="V452" s="48" t="str">
        <f t="shared" si="53"/>
        <v xml:space="preserve">   26W Dual Post Top Receptacle LED</v>
      </c>
      <c r="Y452" s="68">
        <f t="shared" si="54"/>
        <v>0</v>
      </c>
      <c r="Z452" s="1"/>
      <c r="AA452" s="68">
        <f t="shared" si="55"/>
        <v>0</v>
      </c>
      <c r="AB452" s="68"/>
      <c r="AC452" s="132"/>
      <c r="AD452" s="132"/>
      <c r="AE452" s="3">
        <f t="shared" si="46"/>
        <v>0</v>
      </c>
      <c r="AF452" s="3"/>
      <c r="AG452" s="103">
        <f t="shared" si="56"/>
        <v>0</v>
      </c>
      <c r="AH452" s="4"/>
      <c r="AI452" s="3">
        <f t="shared" si="57"/>
        <v>0</v>
      </c>
      <c r="AJ452" s="3"/>
      <c r="AK452" s="113" t="str">
        <f t="shared" si="47"/>
        <v xml:space="preserve">0.0 </v>
      </c>
      <c r="AL452" s="6"/>
      <c r="AM452" s="3"/>
      <c r="AN452" s="3"/>
      <c r="AO452" s="3">
        <f t="shared" si="48"/>
        <v>0</v>
      </c>
      <c r="AP452" s="3"/>
      <c r="AQ452" s="113" t="str">
        <f t="shared" si="49"/>
        <v xml:space="preserve">0.0 </v>
      </c>
      <c r="AS452" s="45"/>
      <c r="AW452" s="164"/>
    </row>
    <row r="453" spans="3:49">
      <c r="L453" s="42"/>
      <c r="M453" s="42"/>
      <c r="T453" s="350">
        <f t="shared" si="52"/>
        <v>62</v>
      </c>
      <c r="V453" s="48" t="str">
        <f t="shared" si="53"/>
        <v xml:space="preserve">   26W Dual Post Top with Adapter Receptacle LED</v>
      </c>
      <c r="Y453" s="68">
        <f t="shared" si="54"/>
        <v>0</v>
      </c>
      <c r="Z453" s="1"/>
      <c r="AA453" s="68">
        <f t="shared" si="55"/>
        <v>0</v>
      </c>
      <c r="AB453" s="68"/>
      <c r="AC453" s="132"/>
      <c r="AD453" s="132"/>
      <c r="AE453" s="3">
        <f t="shared" si="46"/>
        <v>0</v>
      </c>
      <c r="AF453" s="3"/>
      <c r="AG453" s="103">
        <f t="shared" si="56"/>
        <v>0</v>
      </c>
      <c r="AH453" s="4"/>
      <c r="AI453" s="3">
        <f t="shared" si="57"/>
        <v>0</v>
      </c>
      <c r="AJ453" s="3"/>
      <c r="AK453" s="113" t="str">
        <f t="shared" si="47"/>
        <v xml:space="preserve">0.0 </v>
      </c>
      <c r="AL453" s="6"/>
      <c r="AM453" s="3"/>
      <c r="AN453" s="3"/>
      <c r="AO453" s="3">
        <f t="shared" si="48"/>
        <v>0</v>
      </c>
      <c r="AP453" s="3"/>
      <c r="AQ453" s="113" t="str">
        <f t="shared" si="49"/>
        <v xml:space="preserve">0.0 </v>
      </c>
      <c r="AS453" s="45"/>
      <c r="AW453" s="164"/>
    </row>
    <row r="454" spans="3:49">
      <c r="L454" s="42"/>
      <c r="M454" s="42"/>
      <c r="T454" s="350">
        <f t="shared" si="52"/>
        <v>63</v>
      </c>
      <c r="V454" s="48" t="str">
        <f t="shared" si="53"/>
        <v xml:space="preserve">   26W Dual Bracket Top Receptacle LED</v>
      </c>
      <c r="Y454" s="68">
        <f t="shared" si="54"/>
        <v>0</v>
      </c>
      <c r="Z454" s="1"/>
      <c r="AA454" s="68">
        <f t="shared" si="55"/>
        <v>0</v>
      </c>
      <c r="AB454" s="68"/>
      <c r="AC454" s="132"/>
      <c r="AD454" s="132"/>
      <c r="AE454" s="3">
        <f t="shared" si="46"/>
        <v>0</v>
      </c>
      <c r="AF454" s="3"/>
      <c r="AG454" s="103">
        <f t="shared" si="56"/>
        <v>0</v>
      </c>
      <c r="AH454" s="4"/>
      <c r="AI454" s="3">
        <f t="shared" si="57"/>
        <v>0</v>
      </c>
      <c r="AJ454" s="3"/>
      <c r="AK454" s="113" t="str">
        <f t="shared" si="47"/>
        <v xml:space="preserve">0.0 </v>
      </c>
      <c r="AL454" s="6"/>
      <c r="AM454" s="3"/>
      <c r="AN454" s="3"/>
      <c r="AO454" s="3">
        <f t="shared" si="48"/>
        <v>0</v>
      </c>
      <c r="AP454" s="3"/>
      <c r="AQ454" s="113" t="str">
        <f t="shared" si="49"/>
        <v xml:space="preserve">0.0 </v>
      </c>
      <c r="AS454" s="45"/>
      <c r="AW454" s="164"/>
    </row>
    <row r="455" spans="3:49">
      <c r="L455" s="42"/>
      <c r="M455" s="42"/>
      <c r="T455" s="350">
        <f t="shared" si="52"/>
        <v>64</v>
      </c>
      <c r="V455" s="48" t="str">
        <f t="shared" si="53"/>
        <v xml:space="preserve">   50W Senoia LED</v>
      </c>
      <c r="Y455" s="68">
        <f t="shared" si="54"/>
        <v>0</v>
      </c>
      <c r="Z455" s="1"/>
      <c r="AA455" s="68">
        <f t="shared" si="55"/>
        <v>0</v>
      </c>
      <c r="AB455" s="68"/>
      <c r="AC455" s="132"/>
      <c r="AD455" s="132"/>
      <c r="AE455" s="3">
        <f t="shared" si="46"/>
        <v>0</v>
      </c>
      <c r="AF455" s="3"/>
      <c r="AG455" s="103">
        <f t="shared" si="56"/>
        <v>0</v>
      </c>
      <c r="AH455" s="4"/>
      <c r="AI455" s="3">
        <f t="shared" si="57"/>
        <v>0</v>
      </c>
      <c r="AJ455" s="3"/>
      <c r="AK455" s="113" t="str">
        <f t="shared" si="47"/>
        <v xml:space="preserve">0.0 </v>
      </c>
      <c r="AL455" s="6"/>
      <c r="AM455" s="3"/>
      <c r="AN455" s="3"/>
      <c r="AO455" s="3">
        <f t="shared" si="48"/>
        <v>0</v>
      </c>
      <c r="AP455" s="3"/>
      <c r="AQ455" s="113" t="str">
        <f t="shared" si="49"/>
        <v xml:space="preserve">0.0 </v>
      </c>
      <c r="AS455" s="45"/>
      <c r="AW455" s="164"/>
    </row>
    <row r="456" spans="3:49">
      <c r="L456" s="42"/>
      <c r="M456" s="42"/>
      <c r="T456" s="350">
        <f t="shared" si="52"/>
        <v>65</v>
      </c>
      <c r="V456" s="48" t="str">
        <f t="shared" si="53"/>
        <v xml:space="preserve">   50W Halo LED</v>
      </c>
      <c r="Y456" s="68">
        <f t="shared" si="54"/>
        <v>0</v>
      </c>
      <c r="Z456" s="1"/>
      <c r="AA456" s="68">
        <f t="shared" si="55"/>
        <v>0</v>
      </c>
      <c r="AB456" s="68"/>
      <c r="AC456" s="132"/>
      <c r="AD456" s="132"/>
      <c r="AE456" s="3">
        <f t="shared" si="46"/>
        <v>0</v>
      </c>
      <c r="AF456" s="3"/>
      <c r="AG456" s="103">
        <f t="shared" si="56"/>
        <v>0</v>
      </c>
      <c r="AH456" s="4"/>
      <c r="AI456" s="3">
        <f t="shared" si="57"/>
        <v>0</v>
      </c>
      <c r="AJ456" s="3"/>
      <c r="AK456" s="113" t="str">
        <f t="shared" si="47"/>
        <v xml:space="preserve">0.0 </v>
      </c>
      <c r="AL456" s="6"/>
      <c r="AM456" s="3"/>
      <c r="AN456" s="3"/>
      <c r="AO456" s="3">
        <f t="shared" si="48"/>
        <v>0</v>
      </c>
      <c r="AP456" s="3"/>
      <c r="AQ456" s="113" t="str">
        <f t="shared" si="49"/>
        <v xml:space="preserve">0.0 </v>
      </c>
      <c r="AS456" s="45"/>
      <c r="AW456" s="164"/>
    </row>
    <row r="457" spans="3:49">
      <c r="L457" s="42"/>
      <c r="M457" s="42"/>
      <c r="T457" s="350">
        <f t="shared" si="52"/>
        <v>66</v>
      </c>
      <c r="V457" s="48" t="str">
        <f t="shared" si="53"/>
        <v xml:space="preserve">   30W Standard LED</v>
      </c>
      <c r="Y457" s="68">
        <f t="shared" si="54"/>
        <v>0</v>
      </c>
      <c r="Z457" s="1"/>
      <c r="AA457" s="68">
        <f t="shared" si="55"/>
        <v>0</v>
      </c>
      <c r="AB457" s="68"/>
      <c r="AC457" s="132"/>
      <c r="AD457" s="132"/>
      <c r="AE457" s="3">
        <f t="shared" si="46"/>
        <v>0</v>
      </c>
      <c r="AF457" s="3"/>
      <c r="AG457" s="103">
        <f t="shared" si="56"/>
        <v>0</v>
      </c>
      <c r="AH457" s="4"/>
      <c r="AI457" s="3">
        <f t="shared" si="57"/>
        <v>0</v>
      </c>
      <c r="AJ457" s="3"/>
      <c r="AK457" s="113" t="str">
        <f t="shared" si="47"/>
        <v xml:space="preserve">0.0 </v>
      </c>
      <c r="AL457" s="6"/>
      <c r="AM457" s="3"/>
      <c r="AN457" s="3"/>
      <c r="AO457" s="3">
        <f t="shared" si="48"/>
        <v>0</v>
      </c>
      <c r="AP457" s="3"/>
      <c r="AQ457" s="113" t="str">
        <f t="shared" si="49"/>
        <v xml:space="preserve">0.0 </v>
      </c>
      <c r="AS457" s="45"/>
      <c r="AW457" s="164"/>
    </row>
    <row r="458" spans="3:49">
      <c r="L458" s="42"/>
      <c r="M458" s="42"/>
      <c r="T458" s="350">
        <f t="shared" si="52"/>
        <v>67</v>
      </c>
      <c r="V458" s="48" t="str">
        <f t="shared" si="53"/>
        <v xml:space="preserve">   40W Standard LED</v>
      </c>
      <c r="Y458" s="68">
        <f t="shared" si="54"/>
        <v>0</v>
      </c>
      <c r="Z458" s="1"/>
      <c r="AA458" s="68">
        <f t="shared" si="55"/>
        <v>0</v>
      </c>
      <c r="AB458" s="68"/>
      <c r="AC458" s="132"/>
      <c r="AD458" s="132"/>
      <c r="AE458" s="3">
        <f t="shared" si="46"/>
        <v>0</v>
      </c>
      <c r="AF458" s="3"/>
      <c r="AG458" s="103">
        <f t="shared" si="56"/>
        <v>0</v>
      </c>
      <c r="AH458" s="4"/>
      <c r="AI458" s="3">
        <f t="shared" si="57"/>
        <v>0</v>
      </c>
      <c r="AJ458" s="3"/>
      <c r="AK458" s="113" t="str">
        <f t="shared" si="47"/>
        <v xml:space="preserve">0.0 </v>
      </c>
      <c r="AL458" s="6"/>
      <c r="AM458" s="3"/>
      <c r="AN458" s="3"/>
      <c r="AO458" s="3">
        <f t="shared" si="48"/>
        <v>0</v>
      </c>
      <c r="AP458" s="3"/>
      <c r="AQ458" s="113" t="str">
        <f t="shared" si="49"/>
        <v xml:space="preserve">0.0 </v>
      </c>
      <c r="AS458" s="45"/>
      <c r="AW458" s="164"/>
    </row>
    <row r="459" spans="3:49">
      <c r="L459" s="42"/>
      <c r="M459" s="42"/>
      <c r="T459" s="350">
        <f t="shared" si="52"/>
        <v>68</v>
      </c>
      <c r="V459" s="48" t="str">
        <f t="shared" si="53"/>
        <v xml:space="preserve">   30W Open Bottom LED</v>
      </c>
      <c r="Y459" s="68">
        <f t="shared" si="54"/>
        <v>0</v>
      </c>
      <c r="Z459" s="1"/>
      <c r="AA459" s="68">
        <f t="shared" si="55"/>
        <v>0</v>
      </c>
      <c r="AB459" s="68"/>
      <c r="AC459" s="132"/>
      <c r="AD459" s="132"/>
      <c r="AE459" s="3">
        <f>ROUND((Y459*(AC459+AD459)),0)</f>
        <v>0</v>
      </c>
      <c r="AF459" s="3"/>
      <c r="AG459" s="103">
        <f t="shared" si="56"/>
        <v>0</v>
      </c>
      <c r="AH459" s="4"/>
      <c r="AI459" s="3">
        <f t="shared" si="57"/>
        <v>0</v>
      </c>
      <c r="AJ459" s="3"/>
      <c r="AK459" s="113" t="str">
        <f>IF(AE459=0,"0.0 ",ROUND((AI459/AE459)*100,1))</f>
        <v xml:space="preserve">0.0 </v>
      </c>
      <c r="AL459" s="6"/>
      <c r="AM459" s="3"/>
      <c r="AN459" s="3"/>
      <c r="AO459" s="3">
        <f>AM459+AE459</f>
        <v>0</v>
      </c>
      <c r="AP459" s="3"/>
      <c r="AQ459" s="113" t="str">
        <f>IF(AO459=0,"0.0 ",ROUND((AI459/AO459)*100,1))</f>
        <v xml:space="preserve">0.0 </v>
      </c>
      <c r="AS459" s="45"/>
      <c r="AW459" s="164"/>
    </row>
    <row r="460" spans="3:49">
      <c r="R460" s="42"/>
      <c r="T460" s="350">
        <f t="shared" si="52"/>
        <v>69</v>
      </c>
      <c r="V460" s="48" t="str">
        <f t="shared" si="53"/>
        <v>TOTAL LED FIXTURES</v>
      </c>
      <c r="Y460" s="72">
        <f>SUM(Y371:Y459)</f>
        <v>1928</v>
      </c>
      <c r="Z460" s="1"/>
      <c r="AA460" s="72">
        <f>SUM(AA371:AA459)</f>
        <v>42161</v>
      </c>
      <c r="AB460" s="3"/>
      <c r="AC460" s="5"/>
      <c r="AD460" s="5"/>
      <c r="AE460" s="72">
        <f>SUM(AE371:AE459)</f>
        <v>15991</v>
      </c>
      <c r="AG460" s="416">
        <f>SUM(AG371:AG459)</f>
        <v>80.2</v>
      </c>
      <c r="AI460" s="72">
        <f>SUM(AI371:AI459)</f>
        <v>2280</v>
      </c>
      <c r="AK460" s="113">
        <f>IF(AE460=0,"0.0 ",ROUND((AI460/AE460)*100,1))</f>
        <v>14.3</v>
      </c>
      <c r="AM460" s="72"/>
      <c r="AO460" s="72">
        <f>SUM(AO371:AO459)</f>
        <v>15991</v>
      </c>
      <c r="AQ460" s="114">
        <f>IF(AO460=0,"0.0 ",ROUND((AI460/AO460)*100,1))</f>
        <v>14.3</v>
      </c>
      <c r="AS460" s="45"/>
      <c r="AW460" s="164"/>
    </row>
    <row r="461" spans="3:49">
      <c r="R461" s="42"/>
      <c r="T461" s="350"/>
      <c r="V461" s="48"/>
      <c r="Y461" s="68"/>
      <c r="Z461" s="1"/>
      <c r="AA461" s="68"/>
      <c r="AB461" s="68"/>
      <c r="AC461" s="132"/>
      <c r="AD461" s="132"/>
      <c r="AE461" s="3"/>
      <c r="AF461" s="3"/>
      <c r="AG461" s="103"/>
      <c r="AH461" s="4"/>
      <c r="AI461" s="3"/>
      <c r="AJ461" s="3"/>
      <c r="AK461" s="113"/>
      <c r="AL461" s="6"/>
      <c r="AM461" s="3"/>
      <c r="AN461" s="3"/>
      <c r="AO461" s="3"/>
      <c r="AP461" s="3"/>
      <c r="AQ461" s="113"/>
      <c r="AS461" s="45"/>
      <c r="AW461" s="164"/>
    </row>
    <row r="462" spans="3:49">
      <c r="R462" s="42"/>
      <c r="T462" s="350">
        <f>A110</f>
        <v>70</v>
      </c>
      <c r="V462" s="48" t="str">
        <f>C110</f>
        <v>ENERGY CHARGE (1A)</v>
      </c>
      <c r="Y462" s="68"/>
      <c r="Z462" s="1"/>
      <c r="AA462" s="72">
        <f>AA460</f>
        <v>42161</v>
      </c>
      <c r="AB462" s="362"/>
      <c r="AC462" s="134">
        <v>6.9217000000000001E-2</v>
      </c>
      <c r="AD462" s="362"/>
      <c r="AE462" s="72">
        <f>ROUND(AA462*AC462,0)</f>
        <v>2918</v>
      </c>
      <c r="AF462" s="362"/>
      <c r="AG462" s="105">
        <f>ROUND((AE462/AE$692)*100,1)</f>
        <v>14.6</v>
      </c>
      <c r="AH462" s="362"/>
      <c r="AI462" s="72">
        <f>L110-AE462</f>
        <v>416.42916800000012</v>
      </c>
      <c r="AJ462" s="362"/>
      <c r="AK462" s="113">
        <f>IF(AE462=0,"0.0 ",ROUND((AI462/AE462)*100,1))</f>
        <v>14.3</v>
      </c>
      <c r="AL462" s="362"/>
      <c r="AM462" s="72">
        <f>ROUND(AA462*CUR_FAC,0)</f>
        <v>147</v>
      </c>
      <c r="AN462" s="376"/>
      <c r="AO462" s="72">
        <f>AE462+AM462</f>
        <v>3065</v>
      </c>
      <c r="AP462" s="376"/>
      <c r="AQ462" s="114">
        <f>IF(AO462=0,"0.0 ",ROUND((AI462/AO462)*100,1))</f>
        <v>13.6</v>
      </c>
      <c r="AS462" s="45"/>
      <c r="AW462" s="164"/>
    </row>
    <row r="463" spans="3:49">
      <c r="R463" s="42"/>
      <c r="T463" s="350"/>
      <c r="V463" s="48"/>
      <c r="Y463" s="68"/>
      <c r="Z463" s="1"/>
      <c r="AA463" s="68"/>
      <c r="AB463" s="68"/>
      <c r="AC463" s="132"/>
      <c r="AD463" s="132"/>
      <c r="AE463" s="3"/>
      <c r="AF463" s="3"/>
      <c r="AG463" s="103"/>
      <c r="AH463" s="4"/>
      <c r="AI463" s="3"/>
      <c r="AJ463" s="3"/>
      <c r="AK463" s="113"/>
      <c r="AL463" s="6"/>
      <c r="AM463" s="3"/>
      <c r="AN463" s="3"/>
      <c r="AO463" s="3"/>
      <c r="AP463" s="3"/>
      <c r="AQ463" s="113"/>
      <c r="AS463" s="45"/>
      <c r="AW463" s="164"/>
    </row>
    <row r="464" spans="3:49">
      <c r="C464" s="42"/>
      <c r="D464" s="42"/>
      <c r="E464" s="42"/>
      <c r="T464" s="350">
        <f t="shared" ref="T464:T483" si="58">A112</f>
        <v>71</v>
      </c>
      <c r="V464" s="48" t="str">
        <f t="shared" ref="V464:V483" si="59">C112</f>
        <v>POLES</v>
      </c>
      <c r="W464" s="48"/>
      <c r="X464" s="42"/>
      <c r="Y464" s="1"/>
      <c r="Z464" s="1"/>
      <c r="AA464" s="1"/>
      <c r="AB464" s="1"/>
      <c r="AC464" s="1"/>
      <c r="AD464" s="1"/>
      <c r="AE464" s="1"/>
      <c r="AF464" s="1"/>
      <c r="AG464" s="103"/>
      <c r="AH464" s="1"/>
      <c r="AI464" s="1"/>
      <c r="AJ464" s="1"/>
      <c r="AK464" s="103"/>
      <c r="AL464" s="1"/>
      <c r="AM464" s="1"/>
      <c r="AN464" s="1"/>
      <c r="AO464" s="1"/>
      <c r="AP464" s="1"/>
      <c r="AQ464" s="113"/>
      <c r="AS464" s="45"/>
      <c r="AW464" s="49"/>
    </row>
    <row r="465" spans="1:49">
      <c r="C465" s="42"/>
      <c r="D465" s="42"/>
      <c r="E465" s="42"/>
      <c r="T465" s="350">
        <f t="shared" si="58"/>
        <v>72</v>
      </c>
      <c r="V465" s="48" t="str">
        <f t="shared" si="59"/>
        <v xml:space="preserve">   Style A 12 Ft Long Anchor Base Top Tenon Aluminum</v>
      </c>
      <c r="Y465" s="68">
        <f t="shared" ref="Y465:Y483" si="60">F113</f>
        <v>0</v>
      </c>
      <c r="Z465" s="1"/>
      <c r="AA465" s="68"/>
      <c r="AB465" s="68"/>
      <c r="AC465" s="132">
        <v>9.34</v>
      </c>
      <c r="AD465" s="132"/>
      <c r="AE465" s="3">
        <f t="shared" ref="AE465:AE472" si="61">ROUND((Y465*(AC465+AD465)),0)</f>
        <v>0</v>
      </c>
      <c r="AF465" s="3"/>
      <c r="AG465" s="103">
        <f t="shared" ref="AG465:AG483" si="62">ROUND((AE465/AE$692)*100,1)</f>
        <v>0</v>
      </c>
      <c r="AH465" s="4"/>
      <c r="AI465" s="3">
        <f t="shared" ref="AI465:AI483" si="63">L113-AE465</f>
        <v>0</v>
      </c>
      <c r="AJ465" s="3"/>
      <c r="AK465" s="113" t="str">
        <f t="shared" ref="AK465:AK472" si="64">IF(AE465=0,"0.0 ",ROUND((AI465/AE465)*100,1))</f>
        <v xml:space="preserve">0.0 </v>
      </c>
      <c r="AL465" s="6"/>
      <c r="AM465" s="3"/>
      <c r="AN465" s="3"/>
      <c r="AO465" s="3">
        <f t="shared" ref="AO465:AO472" si="65">AM465+AE465</f>
        <v>0</v>
      </c>
      <c r="AP465" s="3"/>
      <c r="AQ465" s="113" t="str">
        <f t="shared" ref="AQ465:AQ472" si="66">IF(AO465=0,"0.0 ",ROUND((AI465/AO465)*100,1))</f>
        <v xml:space="preserve">0.0 </v>
      </c>
      <c r="AS465" s="45"/>
      <c r="AW465" s="49"/>
    </row>
    <row r="466" spans="1:49">
      <c r="C466" s="42"/>
      <c r="D466" s="42"/>
      <c r="E466" s="42"/>
      <c r="T466" s="350">
        <f t="shared" si="58"/>
        <v>73</v>
      </c>
      <c r="V466" s="48" t="str">
        <f t="shared" si="59"/>
        <v xml:space="preserve">   Style A 15 Ft Long Direct Buried Top Tenon Aluminum</v>
      </c>
      <c r="Y466" s="68">
        <f t="shared" si="60"/>
        <v>0</v>
      </c>
      <c r="Z466" s="1"/>
      <c r="AA466" s="68"/>
      <c r="AB466" s="68"/>
      <c r="AC466" s="132">
        <v>8.69</v>
      </c>
      <c r="AD466" s="132"/>
      <c r="AE466" s="3">
        <f t="shared" si="61"/>
        <v>0</v>
      </c>
      <c r="AF466" s="3"/>
      <c r="AG466" s="103">
        <f t="shared" si="62"/>
        <v>0</v>
      </c>
      <c r="AH466" s="4"/>
      <c r="AI466" s="3">
        <f t="shared" si="63"/>
        <v>0</v>
      </c>
      <c r="AJ466" s="3"/>
      <c r="AK466" s="113" t="str">
        <f t="shared" si="64"/>
        <v xml:space="preserve">0.0 </v>
      </c>
      <c r="AL466" s="6"/>
      <c r="AM466" s="3"/>
      <c r="AN466" s="3"/>
      <c r="AO466" s="3">
        <f t="shared" si="65"/>
        <v>0</v>
      </c>
      <c r="AP466" s="3"/>
      <c r="AQ466" s="113" t="str">
        <f t="shared" si="66"/>
        <v xml:space="preserve">0.0 </v>
      </c>
      <c r="AS466" s="45"/>
      <c r="AW466" s="49"/>
    </row>
    <row r="467" spans="1:49">
      <c r="C467" s="42"/>
      <c r="D467" s="42"/>
      <c r="E467" s="42"/>
      <c r="T467" s="350">
        <f t="shared" si="58"/>
        <v>74</v>
      </c>
      <c r="V467" s="48" t="str">
        <f t="shared" si="59"/>
        <v xml:space="preserve">   Style A 15 Ft Long Anchor Base Top Tenon Aluminum</v>
      </c>
      <c r="Y467" s="68">
        <f t="shared" si="60"/>
        <v>0</v>
      </c>
      <c r="Z467" s="1"/>
      <c r="AA467" s="68"/>
      <c r="AB467" s="68"/>
      <c r="AC467" s="132">
        <v>10.83</v>
      </c>
      <c r="AD467" s="132"/>
      <c r="AE467" s="3">
        <f t="shared" si="61"/>
        <v>0</v>
      </c>
      <c r="AF467" s="1"/>
      <c r="AG467" s="103">
        <f t="shared" si="62"/>
        <v>0</v>
      </c>
      <c r="AH467" s="4"/>
      <c r="AI467" s="3">
        <f t="shared" si="63"/>
        <v>0</v>
      </c>
      <c r="AJ467" s="3"/>
      <c r="AK467" s="113" t="str">
        <f t="shared" si="64"/>
        <v xml:space="preserve">0.0 </v>
      </c>
      <c r="AL467" s="6"/>
      <c r="AM467" s="3"/>
      <c r="AN467" s="3"/>
      <c r="AO467" s="3">
        <f t="shared" si="65"/>
        <v>0</v>
      </c>
      <c r="AP467" s="3"/>
      <c r="AQ467" s="113" t="str">
        <f t="shared" si="66"/>
        <v xml:space="preserve">0.0 </v>
      </c>
      <c r="AS467" s="45"/>
      <c r="AW467" s="49"/>
    </row>
    <row r="468" spans="1:49">
      <c r="C468" s="42"/>
      <c r="D468" s="42"/>
      <c r="E468" s="42"/>
      <c r="T468" s="350">
        <f t="shared" si="58"/>
        <v>75</v>
      </c>
      <c r="V468" s="48" t="str">
        <f t="shared" si="59"/>
        <v xml:space="preserve">   Style A 18 Ft Long Direct Buried Top Tenon Aluminum</v>
      </c>
      <c r="Y468" s="68">
        <f t="shared" si="60"/>
        <v>0</v>
      </c>
      <c r="Z468" s="1"/>
      <c r="AA468" s="68"/>
      <c r="AB468" s="68"/>
      <c r="AC468" s="132">
        <v>8.9</v>
      </c>
      <c r="AD468" s="132"/>
      <c r="AE468" s="3">
        <f t="shared" si="61"/>
        <v>0</v>
      </c>
      <c r="AF468" s="1"/>
      <c r="AG468" s="103">
        <f t="shared" si="62"/>
        <v>0</v>
      </c>
      <c r="AH468" s="4"/>
      <c r="AI468" s="3">
        <f t="shared" si="63"/>
        <v>0</v>
      </c>
      <c r="AJ468" s="3"/>
      <c r="AK468" s="113" t="str">
        <f t="shared" si="64"/>
        <v xml:space="preserve">0.0 </v>
      </c>
      <c r="AL468" s="6"/>
      <c r="AM468" s="3"/>
      <c r="AN468" s="3"/>
      <c r="AO468" s="3">
        <f t="shared" si="65"/>
        <v>0</v>
      </c>
      <c r="AP468" s="3"/>
      <c r="AQ468" s="113" t="str">
        <f t="shared" si="66"/>
        <v xml:space="preserve">0.0 </v>
      </c>
      <c r="AS468" s="45"/>
      <c r="AW468" s="49"/>
    </row>
    <row r="469" spans="1:49">
      <c r="C469" s="42"/>
      <c r="D469" s="42"/>
      <c r="E469" s="42"/>
      <c r="T469" s="350">
        <f t="shared" si="58"/>
        <v>76</v>
      </c>
      <c r="V469" s="48" t="str">
        <f t="shared" si="59"/>
        <v xml:space="preserve">   Style A 17 Ft Long Anchor Base Top Tenon Aluminum</v>
      </c>
      <c r="Y469" s="68">
        <f t="shared" si="60"/>
        <v>0</v>
      </c>
      <c r="Z469" s="1"/>
      <c r="AA469" s="68"/>
      <c r="AB469" s="68"/>
      <c r="AC469" s="132">
        <v>11.55</v>
      </c>
      <c r="AD469" s="132"/>
      <c r="AE469" s="3">
        <f t="shared" si="61"/>
        <v>0</v>
      </c>
      <c r="AF469" s="1"/>
      <c r="AG469" s="103">
        <f t="shared" si="62"/>
        <v>0</v>
      </c>
      <c r="AH469" s="4"/>
      <c r="AI469" s="3">
        <f t="shared" si="63"/>
        <v>0</v>
      </c>
      <c r="AJ469" s="3"/>
      <c r="AK469" s="113" t="str">
        <f t="shared" si="64"/>
        <v xml:space="preserve">0.0 </v>
      </c>
      <c r="AL469" s="6"/>
      <c r="AM469" s="3"/>
      <c r="AN469" s="3"/>
      <c r="AO469" s="3">
        <f t="shared" si="65"/>
        <v>0</v>
      </c>
      <c r="AP469" s="3"/>
      <c r="AQ469" s="113" t="str">
        <f t="shared" si="66"/>
        <v xml:space="preserve">0.0 </v>
      </c>
      <c r="AS469" s="45"/>
      <c r="AW469" s="49"/>
    </row>
    <row r="470" spans="1:49">
      <c r="C470" s="42"/>
      <c r="D470" s="42"/>
      <c r="E470" s="42"/>
      <c r="T470" s="350">
        <f t="shared" si="58"/>
        <v>77</v>
      </c>
      <c r="V470" s="48" t="str">
        <f t="shared" si="59"/>
        <v xml:space="preserve">   Style A 25 Ft Long Direct Buried Top Tenon Aluminum</v>
      </c>
      <c r="Y470" s="68">
        <f t="shared" si="60"/>
        <v>0</v>
      </c>
      <c r="Z470" s="1"/>
      <c r="AA470" s="68"/>
      <c r="AB470" s="68"/>
      <c r="AC470" s="132">
        <v>11.75</v>
      </c>
      <c r="AD470" s="132"/>
      <c r="AE470" s="3">
        <f t="shared" si="61"/>
        <v>0</v>
      </c>
      <c r="AF470" s="1"/>
      <c r="AG470" s="103">
        <f t="shared" si="62"/>
        <v>0</v>
      </c>
      <c r="AH470" s="4"/>
      <c r="AI470" s="3">
        <f t="shared" si="63"/>
        <v>0</v>
      </c>
      <c r="AJ470" s="3"/>
      <c r="AK470" s="113" t="str">
        <f t="shared" si="64"/>
        <v xml:space="preserve">0.0 </v>
      </c>
      <c r="AL470" s="6"/>
      <c r="AM470" s="3"/>
      <c r="AN470" s="3"/>
      <c r="AO470" s="3">
        <f t="shared" si="65"/>
        <v>0</v>
      </c>
      <c r="AP470" s="3"/>
      <c r="AQ470" s="113" t="str">
        <f t="shared" si="66"/>
        <v xml:space="preserve">0.0 </v>
      </c>
      <c r="AS470" s="45"/>
      <c r="AW470" s="49"/>
    </row>
    <row r="471" spans="1:49">
      <c r="C471" s="42"/>
      <c r="D471" s="42"/>
      <c r="E471" s="42"/>
      <c r="T471" s="350">
        <f t="shared" si="58"/>
        <v>78</v>
      </c>
      <c r="V471" s="48" t="str">
        <f t="shared" si="59"/>
        <v xml:space="preserve">   Style A 22 Ft Long Anchor Base Top Tenon Aluminum</v>
      </c>
      <c r="Y471" s="68">
        <f t="shared" si="60"/>
        <v>0</v>
      </c>
      <c r="Z471" s="1"/>
      <c r="AA471" s="68"/>
      <c r="AB471" s="68"/>
      <c r="AC471" s="132">
        <v>14.57</v>
      </c>
      <c r="AD471" s="132"/>
      <c r="AE471" s="3">
        <f t="shared" si="61"/>
        <v>0</v>
      </c>
      <c r="AF471" s="1"/>
      <c r="AG471" s="103">
        <f t="shared" si="62"/>
        <v>0</v>
      </c>
      <c r="AH471" s="4"/>
      <c r="AI471" s="3">
        <f t="shared" si="63"/>
        <v>0</v>
      </c>
      <c r="AJ471" s="3"/>
      <c r="AK471" s="113" t="str">
        <f t="shared" si="64"/>
        <v xml:space="preserve">0.0 </v>
      </c>
      <c r="AL471" s="6"/>
      <c r="AM471" s="3"/>
      <c r="AN471" s="3"/>
      <c r="AO471" s="3">
        <f t="shared" si="65"/>
        <v>0</v>
      </c>
      <c r="AP471" s="3"/>
      <c r="AQ471" s="113" t="str">
        <f t="shared" si="66"/>
        <v xml:space="preserve">0.0 </v>
      </c>
      <c r="AS471" s="45"/>
      <c r="AW471" s="49"/>
    </row>
    <row r="472" spans="1:49">
      <c r="C472" s="42"/>
      <c r="D472" s="42"/>
      <c r="E472" s="42"/>
      <c r="T472" s="350">
        <f t="shared" si="58"/>
        <v>79</v>
      </c>
      <c r="V472" s="48" t="str">
        <f t="shared" si="59"/>
        <v xml:space="preserve">   Style A 30 Ft Long Direct Buried Top Tenon Aluminum</v>
      </c>
      <c r="Y472" s="68">
        <f t="shared" si="60"/>
        <v>0</v>
      </c>
      <c r="Z472" s="1"/>
      <c r="AA472" s="68"/>
      <c r="AB472" s="68"/>
      <c r="AC472" s="132">
        <v>13.35</v>
      </c>
      <c r="AD472" s="132"/>
      <c r="AE472" s="3">
        <f t="shared" si="61"/>
        <v>0</v>
      </c>
      <c r="AF472" s="1"/>
      <c r="AG472" s="103">
        <f t="shared" si="62"/>
        <v>0</v>
      </c>
      <c r="AH472" s="4"/>
      <c r="AI472" s="3">
        <f t="shared" si="63"/>
        <v>0</v>
      </c>
      <c r="AJ472" s="3"/>
      <c r="AK472" s="113" t="str">
        <f t="shared" si="64"/>
        <v xml:space="preserve">0.0 </v>
      </c>
      <c r="AL472" s="6"/>
      <c r="AM472" s="3"/>
      <c r="AN472" s="3"/>
      <c r="AO472" s="3">
        <f t="shared" si="65"/>
        <v>0</v>
      </c>
      <c r="AP472" s="3"/>
      <c r="AQ472" s="113" t="str">
        <f t="shared" si="66"/>
        <v xml:space="preserve">0.0 </v>
      </c>
      <c r="AS472" s="45"/>
      <c r="AW472" s="49"/>
    </row>
    <row r="473" spans="1:49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T473" s="350">
        <f t="shared" si="58"/>
        <v>80</v>
      </c>
      <c r="U473" s="62"/>
      <c r="V473" s="48" t="str">
        <f t="shared" si="59"/>
        <v xml:space="preserve">   Style A 27 Ft Long Anchor Base  Top Tenon Aluminum</v>
      </c>
      <c r="W473" s="48"/>
      <c r="X473" s="42"/>
      <c r="Y473" s="68">
        <f t="shared" si="60"/>
        <v>0</v>
      </c>
      <c r="Z473" s="1"/>
      <c r="AA473" s="1"/>
      <c r="AB473" s="1"/>
      <c r="AC473" s="132">
        <v>19.48</v>
      </c>
      <c r="AD473" s="1"/>
      <c r="AE473" s="3">
        <f t="shared" ref="AE473:AE579" si="67">ROUND((Y473*(AC473+AD473)),0)</f>
        <v>0</v>
      </c>
      <c r="AF473" s="1"/>
      <c r="AG473" s="103">
        <f t="shared" si="62"/>
        <v>0</v>
      </c>
      <c r="AH473" s="4"/>
      <c r="AI473" s="3">
        <f t="shared" si="63"/>
        <v>0</v>
      </c>
      <c r="AJ473" s="3"/>
      <c r="AK473" s="113" t="str">
        <f t="shared" ref="AK473:AK579" si="68">IF(AE473=0,"0.0 ",ROUND((AI473/AE473)*100,1))</f>
        <v xml:space="preserve">0.0 </v>
      </c>
      <c r="AL473" s="6"/>
      <c r="AM473" s="3"/>
      <c r="AN473" s="3"/>
      <c r="AO473" s="3">
        <f t="shared" ref="AO473:AO579" si="69">AM473+AE473</f>
        <v>0</v>
      </c>
      <c r="AP473" s="3"/>
      <c r="AQ473" s="113" t="str">
        <f t="shared" ref="AQ473:AQ521" si="70">IF(AO473=0,"0.0 ",ROUND((AI473/AO473)*100,1))</f>
        <v xml:space="preserve">0.0 </v>
      </c>
      <c r="AS473" s="45"/>
      <c r="AW473" s="49"/>
    </row>
    <row r="474" spans="1:49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T474" s="350">
        <f t="shared" si="58"/>
        <v>81</v>
      </c>
      <c r="V474" s="48" t="str">
        <f t="shared" si="59"/>
        <v xml:space="preserve">   Style A 35 Ft Long Direct Buried Top Tenon Aluminum</v>
      </c>
      <c r="Y474" s="68">
        <f t="shared" si="60"/>
        <v>0</v>
      </c>
      <c r="Z474" s="1"/>
      <c r="AA474" s="68"/>
      <c r="AB474" s="68"/>
      <c r="AC474" s="132">
        <v>15.49</v>
      </c>
      <c r="AD474" s="5"/>
      <c r="AE474" s="3">
        <f t="shared" si="67"/>
        <v>0</v>
      </c>
      <c r="AF474" s="1"/>
      <c r="AG474" s="103">
        <f t="shared" si="62"/>
        <v>0</v>
      </c>
      <c r="AH474" s="4"/>
      <c r="AI474" s="3">
        <f t="shared" si="63"/>
        <v>0</v>
      </c>
      <c r="AJ474" s="3"/>
      <c r="AK474" s="113" t="str">
        <f t="shared" si="68"/>
        <v xml:space="preserve">0.0 </v>
      </c>
      <c r="AL474" s="6"/>
      <c r="AM474" s="3"/>
      <c r="AN474" s="3"/>
      <c r="AO474" s="3">
        <f t="shared" si="69"/>
        <v>0</v>
      </c>
      <c r="AP474" s="3"/>
      <c r="AQ474" s="113" t="str">
        <f t="shared" si="70"/>
        <v xml:space="preserve">0.0 </v>
      </c>
      <c r="AS474" s="45"/>
      <c r="AW474" s="49"/>
    </row>
    <row r="475" spans="1:49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T475" s="350">
        <f t="shared" si="58"/>
        <v>82</v>
      </c>
      <c r="V475" s="48" t="str">
        <f t="shared" si="59"/>
        <v xml:space="preserve">   Style A 32 Ft Long Anchor Base  Top Tenon Aluminum</v>
      </c>
      <c r="Y475" s="68">
        <f t="shared" si="60"/>
        <v>0</v>
      </c>
      <c r="Z475" s="1"/>
      <c r="AA475" s="68"/>
      <c r="AB475" s="68"/>
      <c r="AC475" s="132">
        <v>19.989999999999998</v>
      </c>
      <c r="AD475" s="5"/>
      <c r="AE475" s="3">
        <f t="shared" si="67"/>
        <v>0</v>
      </c>
      <c r="AF475" s="1"/>
      <c r="AG475" s="103">
        <f t="shared" si="62"/>
        <v>0</v>
      </c>
      <c r="AH475" s="4"/>
      <c r="AI475" s="3">
        <f t="shared" si="63"/>
        <v>0</v>
      </c>
      <c r="AJ475" s="3"/>
      <c r="AK475" s="113" t="str">
        <f t="shared" si="68"/>
        <v xml:space="preserve">0.0 </v>
      </c>
      <c r="AL475" s="6"/>
      <c r="AM475" s="3"/>
      <c r="AN475" s="3"/>
      <c r="AO475" s="3">
        <f t="shared" si="69"/>
        <v>0</v>
      </c>
      <c r="AP475" s="3"/>
      <c r="AQ475" s="113" t="str">
        <f t="shared" si="70"/>
        <v xml:space="preserve">0.0 </v>
      </c>
      <c r="AS475" s="45"/>
      <c r="AW475" s="49"/>
    </row>
    <row r="476" spans="1:49"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T476" s="350">
        <f t="shared" si="58"/>
        <v>83</v>
      </c>
      <c r="V476" s="48" t="str">
        <f t="shared" si="59"/>
        <v xml:space="preserve">   Style A 41 Ft Long Direct Buried Top Tenon Aluminum</v>
      </c>
      <c r="Y476" s="68">
        <f t="shared" si="60"/>
        <v>0</v>
      </c>
      <c r="Z476" s="1"/>
      <c r="AA476" s="68"/>
      <c r="AB476" s="68"/>
      <c r="AC476" s="132">
        <v>18.98</v>
      </c>
      <c r="AD476" s="342"/>
      <c r="AE476" s="3">
        <f t="shared" si="67"/>
        <v>0</v>
      </c>
      <c r="AF476" s="1"/>
      <c r="AG476" s="103">
        <f t="shared" si="62"/>
        <v>0</v>
      </c>
      <c r="AH476" s="4"/>
      <c r="AI476" s="3">
        <f t="shared" si="63"/>
        <v>0</v>
      </c>
      <c r="AJ476" s="3"/>
      <c r="AK476" s="113" t="str">
        <f t="shared" si="68"/>
        <v xml:space="preserve">0.0 </v>
      </c>
      <c r="AL476" s="6"/>
      <c r="AM476" s="3"/>
      <c r="AN476" s="3"/>
      <c r="AO476" s="3">
        <f t="shared" si="69"/>
        <v>0</v>
      </c>
      <c r="AP476" s="3"/>
      <c r="AQ476" s="113" t="str">
        <f t="shared" si="70"/>
        <v xml:space="preserve">0.0 </v>
      </c>
      <c r="AS476" s="45"/>
      <c r="AW476" s="49"/>
    </row>
    <row r="477" spans="1:49"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T477" s="350">
        <f t="shared" si="58"/>
        <v>84</v>
      </c>
      <c r="V477" s="48" t="str">
        <f t="shared" si="59"/>
        <v xml:space="preserve">   Style B 12 Ft Long Anchor Base Post Top Aluminum</v>
      </c>
      <c r="Y477" s="68">
        <f t="shared" si="60"/>
        <v>0</v>
      </c>
      <c r="Z477" s="1"/>
      <c r="AA477" s="68"/>
      <c r="AB477" s="68"/>
      <c r="AC477" s="132">
        <v>10.61</v>
      </c>
      <c r="AD477" s="342"/>
      <c r="AE477" s="3">
        <f t="shared" si="67"/>
        <v>0</v>
      </c>
      <c r="AF477" s="1"/>
      <c r="AG477" s="103">
        <f t="shared" si="62"/>
        <v>0</v>
      </c>
      <c r="AH477" s="4"/>
      <c r="AI477" s="3">
        <f t="shared" si="63"/>
        <v>0</v>
      </c>
      <c r="AJ477" s="3"/>
      <c r="AK477" s="113" t="str">
        <f t="shared" si="68"/>
        <v xml:space="preserve">0.0 </v>
      </c>
      <c r="AL477" s="6"/>
      <c r="AM477" s="3"/>
      <c r="AN477" s="3"/>
      <c r="AO477" s="3">
        <f t="shared" si="69"/>
        <v>0</v>
      </c>
      <c r="AP477" s="3"/>
      <c r="AQ477" s="113" t="str">
        <f t="shared" si="70"/>
        <v xml:space="preserve">0.0 </v>
      </c>
      <c r="AS477" s="45"/>
      <c r="AW477" s="49"/>
    </row>
    <row r="478" spans="1:49"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T478" s="350">
        <f t="shared" si="58"/>
        <v>85</v>
      </c>
      <c r="V478" s="48" t="str">
        <f t="shared" si="59"/>
        <v xml:space="preserve">   Style C 12 Ft Long Anchor Base Post Top Aluminum</v>
      </c>
      <c r="Y478" s="68">
        <f t="shared" si="60"/>
        <v>0</v>
      </c>
      <c r="Z478" s="1"/>
      <c r="AA478" s="68"/>
      <c r="AB478" s="68"/>
      <c r="AC478" s="132">
        <v>12.91</v>
      </c>
      <c r="AD478" s="342"/>
      <c r="AE478" s="3">
        <f t="shared" si="67"/>
        <v>0</v>
      </c>
      <c r="AF478" s="1"/>
      <c r="AG478" s="103">
        <f t="shared" si="62"/>
        <v>0</v>
      </c>
      <c r="AH478" s="4"/>
      <c r="AI478" s="3">
        <f t="shared" si="63"/>
        <v>0</v>
      </c>
      <c r="AJ478" s="3"/>
      <c r="AK478" s="113" t="str">
        <f t="shared" si="68"/>
        <v xml:space="preserve">0.0 </v>
      </c>
      <c r="AL478" s="6"/>
      <c r="AM478" s="3"/>
      <c r="AN478" s="3"/>
      <c r="AO478" s="3">
        <f t="shared" si="69"/>
        <v>0</v>
      </c>
      <c r="AP478" s="3"/>
      <c r="AQ478" s="113" t="str">
        <f t="shared" si="70"/>
        <v xml:space="preserve">0.0 </v>
      </c>
      <c r="AS478" s="45"/>
      <c r="AW478" s="49"/>
    </row>
    <row r="479" spans="1:49">
      <c r="C479" s="42"/>
      <c r="D479" s="42"/>
      <c r="E479" s="42"/>
      <c r="T479" s="350">
        <f t="shared" si="58"/>
        <v>86</v>
      </c>
      <c r="V479" s="48" t="str">
        <f t="shared" si="59"/>
        <v xml:space="preserve">   Style C 12 Ft Long Anchor Base Davit Steel</v>
      </c>
      <c r="Y479" s="68">
        <f t="shared" si="60"/>
        <v>0</v>
      </c>
      <c r="Z479" s="1"/>
      <c r="AA479" s="68"/>
      <c r="AB479" s="68"/>
      <c r="AC479" s="132">
        <v>15.64</v>
      </c>
      <c r="AD479" s="342"/>
      <c r="AE479" s="3">
        <f t="shared" si="67"/>
        <v>0</v>
      </c>
      <c r="AF479" s="1"/>
      <c r="AG479" s="103">
        <f t="shared" si="62"/>
        <v>0</v>
      </c>
      <c r="AH479" s="4"/>
      <c r="AI479" s="3">
        <f t="shared" si="63"/>
        <v>0</v>
      </c>
      <c r="AJ479" s="3"/>
      <c r="AK479" s="113" t="str">
        <f t="shared" si="68"/>
        <v xml:space="preserve">0.0 </v>
      </c>
      <c r="AL479" s="6"/>
      <c r="AM479" s="3"/>
      <c r="AN479" s="3"/>
      <c r="AO479" s="3">
        <f t="shared" si="69"/>
        <v>0</v>
      </c>
      <c r="AP479" s="3"/>
      <c r="AQ479" s="113" t="str">
        <f t="shared" si="70"/>
        <v xml:space="preserve">0.0 </v>
      </c>
      <c r="AS479" s="45"/>
      <c r="AW479" s="49"/>
    </row>
    <row r="480" spans="1:49">
      <c r="C480" s="42"/>
      <c r="D480" s="42"/>
      <c r="E480" s="42"/>
      <c r="T480" s="350">
        <f t="shared" si="58"/>
        <v>87</v>
      </c>
      <c r="V480" s="48" t="str">
        <f t="shared" si="59"/>
        <v xml:space="preserve">   Style C 14 Ft Long Anchor Base Top Tenon Steel</v>
      </c>
      <c r="Y480" s="68">
        <f t="shared" si="60"/>
        <v>0</v>
      </c>
      <c r="Z480" s="1"/>
      <c r="AA480" s="68"/>
      <c r="AB480" s="68"/>
      <c r="AC480" s="132">
        <v>14.75</v>
      </c>
      <c r="AD480" s="342"/>
      <c r="AE480" s="3">
        <f t="shared" si="67"/>
        <v>0</v>
      </c>
      <c r="AF480" s="1"/>
      <c r="AG480" s="103">
        <f t="shared" si="62"/>
        <v>0</v>
      </c>
      <c r="AH480" s="4"/>
      <c r="AI480" s="3">
        <f t="shared" si="63"/>
        <v>0</v>
      </c>
      <c r="AJ480" s="3"/>
      <c r="AK480" s="113" t="str">
        <f t="shared" si="68"/>
        <v xml:space="preserve">0.0 </v>
      </c>
      <c r="AL480" s="6"/>
      <c r="AM480" s="3"/>
      <c r="AN480" s="3"/>
      <c r="AO480" s="3">
        <f t="shared" si="69"/>
        <v>0</v>
      </c>
      <c r="AP480" s="3"/>
      <c r="AQ480" s="113" t="str">
        <f t="shared" si="70"/>
        <v xml:space="preserve">0.0 </v>
      </c>
      <c r="AS480" s="45"/>
      <c r="AW480" s="49"/>
    </row>
    <row r="481" spans="3:49" ht="20.100000000000001" customHeight="1">
      <c r="C481" s="42"/>
      <c r="D481" s="42"/>
      <c r="E481" s="42"/>
      <c r="T481" s="350">
        <f t="shared" si="58"/>
        <v>88</v>
      </c>
      <c r="V481" s="48" t="str">
        <f t="shared" si="59"/>
        <v xml:space="preserve">   Style C 21 Ft Long Anchor Base Davit Steel</v>
      </c>
      <c r="Y481" s="68">
        <f t="shared" si="60"/>
        <v>0</v>
      </c>
      <c r="Z481" s="1"/>
      <c r="AA481" s="68"/>
      <c r="AB481" s="68"/>
      <c r="AC481" s="132">
        <v>32.96</v>
      </c>
      <c r="AD481" s="342"/>
      <c r="AE481" s="3">
        <f t="shared" si="67"/>
        <v>0</v>
      </c>
      <c r="AF481" s="1"/>
      <c r="AG481" s="103">
        <f t="shared" si="62"/>
        <v>0</v>
      </c>
      <c r="AH481" s="4"/>
      <c r="AI481" s="3">
        <f t="shared" si="63"/>
        <v>0</v>
      </c>
      <c r="AJ481" s="3"/>
      <c r="AK481" s="113" t="str">
        <f t="shared" si="68"/>
        <v xml:space="preserve">0.0 </v>
      </c>
      <c r="AL481" s="6"/>
      <c r="AM481" s="3"/>
      <c r="AN481" s="3"/>
      <c r="AO481" s="3">
        <f t="shared" si="69"/>
        <v>0</v>
      </c>
      <c r="AP481" s="3"/>
      <c r="AQ481" s="113" t="str">
        <f t="shared" si="70"/>
        <v xml:space="preserve">0.0 </v>
      </c>
      <c r="AS481" s="45"/>
      <c r="AW481" s="49"/>
    </row>
    <row r="482" spans="3:49">
      <c r="C482" s="42"/>
      <c r="D482" s="42"/>
      <c r="E482" s="42"/>
      <c r="T482" s="350">
        <f t="shared" si="58"/>
        <v>89</v>
      </c>
      <c r="V482" s="48" t="str">
        <f t="shared" si="59"/>
        <v xml:space="preserve">   Style C 23 Ft Long Anchor Base Boston Harbor Steel</v>
      </c>
      <c r="Y482" s="68">
        <f t="shared" si="60"/>
        <v>0</v>
      </c>
      <c r="Z482" s="1"/>
      <c r="AA482" s="68"/>
      <c r="AB482" s="3"/>
      <c r="AC482" s="132">
        <v>38.270000000000003</v>
      </c>
      <c r="AD482" s="342"/>
      <c r="AE482" s="3">
        <f t="shared" si="67"/>
        <v>0</v>
      </c>
      <c r="AF482" s="1"/>
      <c r="AG482" s="103">
        <f t="shared" si="62"/>
        <v>0</v>
      </c>
      <c r="AH482" s="4"/>
      <c r="AI482" s="3">
        <f t="shared" si="63"/>
        <v>0</v>
      </c>
      <c r="AJ482" s="3"/>
      <c r="AK482" s="113" t="str">
        <f t="shared" si="68"/>
        <v xml:space="preserve">0.0 </v>
      </c>
      <c r="AL482" s="6"/>
      <c r="AM482" s="3"/>
      <c r="AN482" s="3"/>
      <c r="AO482" s="3">
        <f t="shared" si="69"/>
        <v>0</v>
      </c>
      <c r="AP482" s="3"/>
      <c r="AQ482" s="113" t="str">
        <f t="shared" si="70"/>
        <v xml:space="preserve">0.0 </v>
      </c>
      <c r="AS482" s="45"/>
      <c r="AW482" s="49"/>
    </row>
    <row r="483" spans="3:49">
      <c r="D483" s="42"/>
      <c r="E483" s="42"/>
      <c r="T483" s="350">
        <f t="shared" si="58"/>
        <v>90</v>
      </c>
      <c r="V483" s="48" t="str">
        <f t="shared" si="59"/>
        <v xml:space="preserve">   Style D 12 Ft Long Anchor Base Breakaway Aluminum</v>
      </c>
      <c r="W483" s="310"/>
      <c r="X483" s="42"/>
      <c r="Y483" s="68">
        <f t="shared" si="60"/>
        <v>0</v>
      </c>
      <c r="Z483" s="1"/>
      <c r="AA483" s="68"/>
      <c r="AB483" s="1"/>
      <c r="AC483" s="132">
        <v>12.32</v>
      </c>
      <c r="AD483" s="1"/>
      <c r="AE483" s="3">
        <f t="shared" si="67"/>
        <v>0</v>
      </c>
      <c r="AF483" s="1"/>
      <c r="AG483" s="103">
        <f t="shared" si="62"/>
        <v>0</v>
      </c>
      <c r="AH483" s="4"/>
      <c r="AI483" s="3">
        <f t="shared" si="63"/>
        <v>0</v>
      </c>
      <c r="AJ483" s="3"/>
      <c r="AK483" s="113" t="str">
        <f t="shared" si="68"/>
        <v xml:space="preserve">0.0 </v>
      </c>
      <c r="AL483" s="6"/>
      <c r="AM483" s="3"/>
      <c r="AN483" s="3"/>
      <c r="AO483" s="3">
        <f t="shared" si="69"/>
        <v>0</v>
      </c>
      <c r="AP483" s="3"/>
      <c r="AQ483" s="113" t="str">
        <f t="shared" si="70"/>
        <v xml:space="preserve">0.0 </v>
      </c>
      <c r="AS483" s="45"/>
      <c r="AW483" s="49"/>
    </row>
    <row r="484" spans="3:49">
      <c r="D484" s="42"/>
      <c r="E484" s="42"/>
      <c r="T484" s="350"/>
      <c r="V484" s="48"/>
      <c r="W484" s="310"/>
      <c r="X484" s="42"/>
      <c r="Y484" s="68"/>
      <c r="Z484" s="1"/>
      <c r="AA484" s="68"/>
      <c r="AB484" s="1"/>
      <c r="AC484" s="132"/>
      <c r="AD484" s="1"/>
      <c r="AE484" s="3"/>
      <c r="AF484" s="1"/>
      <c r="AG484" s="103"/>
      <c r="AH484" s="4"/>
      <c r="AI484" s="3"/>
      <c r="AJ484" s="3"/>
      <c r="AK484" s="113"/>
      <c r="AL484" s="6"/>
      <c r="AM484" s="3"/>
      <c r="AN484" s="3"/>
      <c r="AO484" s="3"/>
      <c r="AP484" s="3"/>
      <c r="AQ484" s="113"/>
      <c r="AS484" s="45"/>
      <c r="AW484" s="49"/>
    </row>
    <row r="485" spans="3:49">
      <c r="D485" s="42"/>
      <c r="E485" s="42"/>
      <c r="T485" s="140" t="s">
        <v>76</v>
      </c>
      <c r="V485" s="48"/>
      <c r="Y485" s="68"/>
      <c r="Z485" s="1"/>
      <c r="AA485" s="68"/>
      <c r="AB485" s="68"/>
      <c r="AC485" s="132"/>
      <c r="AD485" s="132"/>
      <c r="AE485" s="3"/>
      <c r="AF485" s="3"/>
      <c r="AG485" s="103"/>
      <c r="AH485" s="4"/>
      <c r="AI485" s="3"/>
      <c r="AJ485" s="3"/>
      <c r="AK485" s="113"/>
      <c r="AL485" s="6"/>
      <c r="AM485" s="3"/>
      <c r="AN485" s="3"/>
      <c r="AO485" s="3"/>
      <c r="AP485" s="3"/>
      <c r="AQ485" s="113"/>
      <c r="AS485" s="45"/>
      <c r="AW485" s="49"/>
    </row>
    <row r="486" spans="3:49">
      <c r="D486" s="42"/>
      <c r="E486" s="42"/>
      <c r="T486" s="140" t="str">
        <f>"(1A) REFLECTS FUEL COST RECOVERY INCLUDED IN BASE RATES OF "&amp;TEXT(CUR_BASE_FUEL,"$0.000000;($0.000000)")&amp;"  PER KWH."</f>
        <v>(1A) REFLECTS FUEL COST RECOVERY INCLUDED IN BASE RATES OF $0.033780  PER KWH.</v>
      </c>
      <c r="V486" s="48"/>
      <c r="Y486" s="68"/>
      <c r="Z486" s="1"/>
      <c r="AA486" s="68"/>
      <c r="AB486" s="68"/>
      <c r="AC486" s="132"/>
      <c r="AD486" s="132"/>
      <c r="AE486" s="3"/>
      <c r="AF486" s="3"/>
      <c r="AG486" s="103"/>
      <c r="AH486" s="4"/>
      <c r="AI486" s="3"/>
      <c r="AJ486" s="3"/>
      <c r="AK486" s="113"/>
      <c r="AL486" s="6"/>
      <c r="AM486" s="3"/>
      <c r="AN486" s="3"/>
      <c r="AO486" s="3"/>
      <c r="AP486" s="3"/>
      <c r="AQ486" s="113"/>
      <c r="AS486" s="45"/>
      <c r="AW486" s="49"/>
    </row>
    <row r="487" spans="3:49">
      <c r="D487" s="42"/>
      <c r="E487" s="42"/>
      <c r="T487" s="140" t="str">
        <f>"(2) REFLECTS FUEL COMPONENT OF "&amp;TEXT(CUR_FAC,"$0.000000;($0.000000)")&amp;"  PER KWH."</f>
        <v>(2) REFLECTS FUEL COMPONENT OF $0.003487  PER KWH.</v>
      </c>
      <c r="V487" s="48"/>
      <c r="Y487" s="68"/>
      <c r="Z487" s="1"/>
      <c r="AA487" s="68"/>
      <c r="AB487" s="68"/>
      <c r="AC487" s="132"/>
      <c r="AD487" s="132"/>
      <c r="AE487" s="3"/>
      <c r="AF487" s="3"/>
      <c r="AG487" s="103"/>
      <c r="AH487" s="4"/>
      <c r="AI487" s="3"/>
      <c r="AJ487" s="3"/>
      <c r="AK487" s="113"/>
      <c r="AL487" s="6"/>
      <c r="AM487" s="3"/>
      <c r="AN487" s="3"/>
      <c r="AO487" s="3"/>
      <c r="AP487" s="3"/>
      <c r="AQ487" s="113"/>
      <c r="AS487" s="45"/>
      <c r="AW487" s="49"/>
    </row>
    <row r="488" spans="3:49">
      <c r="D488" s="42"/>
      <c r="E488" s="42"/>
      <c r="T488" s="350"/>
      <c r="V488" s="48"/>
      <c r="Y488" s="68"/>
      <c r="Z488" s="1"/>
      <c r="AA488" s="68"/>
      <c r="AB488" s="68"/>
      <c r="AC488" s="132"/>
      <c r="AD488" s="132"/>
      <c r="AE488" s="3"/>
      <c r="AF488" s="3"/>
      <c r="AG488" s="103"/>
      <c r="AH488" s="4"/>
      <c r="AI488" s="3"/>
      <c r="AJ488" s="3"/>
      <c r="AK488" s="113"/>
      <c r="AL488" s="6"/>
      <c r="AM488" s="3"/>
      <c r="AN488" s="3"/>
      <c r="AO488" s="3"/>
      <c r="AP488" s="3"/>
      <c r="AQ488" s="113"/>
      <c r="AS488" s="45"/>
      <c r="AW488" s="49"/>
    </row>
    <row r="489" spans="3:49">
      <c r="D489" s="42"/>
      <c r="E489" s="42"/>
      <c r="T489" s="760" t="str">
        <f>NAME</f>
        <v>DUKE ENERGY KENTUCKY, INC.</v>
      </c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L489" s="760"/>
      <c r="AM489" s="760"/>
      <c r="AN489" s="760"/>
      <c r="AO489" s="760"/>
      <c r="AP489" s="760"/>
      <c r="AQ489" s="760"/>
      <c r="AS489" s="45"/>
      <c r="AW489" s="49"/>
    </row>
    <row r="490" spans="3:49">
      <c r="D490" s="42"/>
      <c r="E490" s="42"/>
      <c r="T490" s="40" t="str">
        <f>CASE_NO</f>
        <v>CASE NO.   2024-00354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S490" s="45"/>
      <c r="AW490" s="49"/>
    </row>
    <row r="491" spans="3:49">
      <c r="D491" s="42"/>
      <c r="E491" s="42"/>
      <c r="T491" s="40" t="str">
        <f>TITLE</f>
        <v>ANNUALIZED TEST YEAR REVENUES AT PROPOSED VS. MOST CURRENT RATES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S491" s="45"/>
      <c r="AW491" s="49"/>
    </row>
    <row r="492" spans="3:49">
      <c r="D492" s="42"/>
      <c r="E492" s="42"/>
      <c r="T492" s="40" t="str">
        <f>DATE</f>
        <v>FOR THE TWELVE MONTHS ENDED June 30, 2026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S492" s="45"/>
      <c r="AW492" s="49"/>
    </row>
    <row r="493" spans="3:49">
      <c r="D493" s="42"/>
      <c r="E493" s="42"/>
      <c r="T493" s="40" t="str">
        <f>SERVICE</f>
        <v>(ELECTRIC SERVICE)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S493" s="45"/>
      <c r="AW493" s="49"/>
    </row>
    <row r="494" spans="3:49">
      <c r="D494" s="42"/>
      <c r="E494" s="42"/>
      <c r="T494" s="41" t="str">
        <f>DATA_PERIOD</f>
        <v>DATA: ____ BASE PERIOD   __X__FORECASTED PERIOD</v>
      </c>
      <c r="AG494" s="41"/>
      <c r="AK494" s="41"/>
      <c r="AO494" s="42" t="s">
        <v>157</v>
      </c>
      <c r="AQ494" s="41"/>
      <c r="AS494" s="45"/>
      <c r="AW494" s="49"/>
    </row>
    <row r="495" spans="3:49">
      <c r="D495" s="42"/>
      <c r="E495" s="42"/>
      <c r="T495" s="41" t="str">
        <f>TYPE</f>
        <v>TYPE OF FILING: _X_ ORIGINAL   ___UPDATED  ___ REVISED</v>
      </c>
      <c r="AG495" s="41"/>
      <c r="AK495" s="41"/>
      <c r="AO495" s="48" t="str">
        <f>"PAGE 22 OF "&amp;TEXT(Page_Num_2.2,"00")</f>
        <v>PAGE 22 OF 24</v>
      </c>
      <c r="AQ495" s="41"/>
      <c r="AS495" s="45"/>
      <c r="AW495" s="49"/>
    </row>
    <row r="496" spans="3:49">
      <c r="D496" s="42"/>
      <c r="E496" s="42"/>
      <c r="T496" s="42" t="s">
        <v>170</v>
      </c>
      <c r="AO496" s="42" t="s">
        <v>4</v>
      </c>
      <c r="AP496" s="42"/>
      <c r="AS496" s="45"/>
      <c r="AW496" s="49"/>
    </row>
    <row r="497" spans="3:49">
      <c r="D497" s="42"/>
      <c r="E497" s="42"/>
      <c r="T497" s="130" t="str">
        <f>TIME</f>
        <v>12 Months Projected with Riders</v>
      </c>
      <c r="AF497" s="42"/>
      <c r="AO497" s="45" t="str">
        <f>WIT</f>
        <v>B. L. Sailers</v>
      </c>
      <c r="AS497" s="45"/>
      <c r="AW497" s="49"/>
    </row>
    <row r="498" spans="3:49">
      <c r="D498" s="42"/>
      <c r="E498" s="42"/>
      <c r="T498" s="40" t="s">
        <v>130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100"/>
      <c r="AH498" s="40"/>
      <c r="AI498" s="40"/>
      <c r="AJ498" s="40"/>
      <c r="AK498" s="100"/>
      <c r="AL498" s="40"/>
      <c r="AM498" s="40"/>
      <c r="AN498" s="40"/>
      <c r="AO498" s="40"/>
      <c r="AP498" s="40"/>
      <c r="AS498" s="45"/>
      <c r="AW498" s="49"/>
    </row>
    <row r="499" spans="3:49">
      <c r="D499" s="42"/>
      <c r="E499" s="42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3"/>
      <c r="AF499" s="43"/>
      <c r="AG499" s="101"/>
      <c r="AH499" s="43"/>
      <c r="AI499" s="43"/>
      <c r="AJ499" s="43"/>
      <c r="AK499" s="101"/>
      <c r="AL499" s="43"/>
      <c r="AM499" s="43"/>
      <c r="AN499" s="49"/>
      <c r="AO499" s="49"/>
      <c r="AP499" s="49"/>
      <c r="AS499" s="45"/>
      <c r="AW499" s="49"/>
    </row>
    <row r="500" spans="3:49">
      <c r="D500" s="42"/>
      <c r="E500" s="4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44" t="s">
        <v>8</v>
      </c>
      <c r="AF500" s="44"/>
      <c r="AG500" s="102" t="s">
        <v>7</v>
      </c>
      <c r="AH500" s="44"/>
      <c r="AI500" s="44" t="s">
        <v>9</v>
      </c>
      <c r="AJ500" s="44"/>
      <c r="AK500" s="102" t="s">
        <v>10</v>
      </c>
      <c r="AL500" s="44"/>
      <c r="AN500" s="62"/>
      <c r="AO500" s="63" t="s">
        <v>8</v>
      </c>
      <c r="AP500" s="63"/>
      <c r="AQ500" s="109" t="s">
        <v>11</v>
      </c>
      <c r="AS500" s="45"/>
      <c r="AW500" s="49"/>
    </row>
    <row r="501" spans="3:49">
      <c r="D501" s="42"/>
      <c r="E501" s="42"/>
      <c r="AC501" s="415" t="s">
        <v>811</v>
      </c>
      <c r="AD501" s="40"/>
      <c r="AE501" s="44" t="s">
        <v>12</v>
      </c>
      <c r="AF501" s="44"/>
      <c r="AG501" s="102" t="s">
        <v>13</v>
      </c>
      <c r="AH501" s="44"/>
      <c r="AI501" s="44" t="s">
        <v>15</v>
      </c>
      <c r="AJ501" s="44"/>
      <c r="AK501" s="102" t="s">
        <v>16</v>
      </c>
      <c r="AL501" s="44"/>
      <c r="AO501" s="44" t="s">
        <v>11</v>
      </c>
      <c r="AP501" s="44"/>
      <c r="AQ501" s="102" t="s">
        <v>9</v>
      </c>
      <c r="AS501" s="45"/>
      <c r="AW501" s="49"/>
    </row>
    <row r="502" spans="3:49">
      <c r="D502" s="42"/>
      <c r="E502" s="42"/>
      <c r="T502" s="44" t="s">
        <v>17</v>
      </c>
      <c r="V502" s="44" t="s">
        <v>18</v>
      </c>
      <c r="W502" s="44" t="s">
        <v>19</v>
      </c>
      <c r="X502" s="44"/>
      <c r="Y502" s="44" t="s">
        <v>20</v>
      </c>
      <c r="AC502" s="44" t="s">
        <v>807</v>
      </c>
      <c r="AD502" s="44" t="s">
        <v>808</v>
      </c>
      <c r="AE502" s="44" t="s">
        <v>841</v>
      </c>
      <c r="AF502" s="44"/>
      <c r="AG502" s="102" t="s">
        <v>841</v>
      </c>
      <c r="AH502" s="44"/>
      <c r="AI502" s="60" t="s">
        <v>964</v>
      </c>
      <c r="AJ502" s="44"/>
      <c r="AK502" s="277" t="s">
        <v>964</v>
      </c>
      <c r="AL502" s="44"/>
      <c r="AM502" s="44" t="s">
        <v>841</v>
      </c>
      <c r="AN502" s="44"/>
      <c r="AO502" s="44" t="s">
        <v>9</v>
      </c>
      <c r="AP502" s="44"/>
      <c r="AQ502" s="102" t="s">
        <v>21</v>
      </c>
      <c r="AS502" s="45"/>
      <c r="AW502" s="49"/>
    </row>
    <row r="503" spans="3:49">
      <c r="D503" s="42"/>
      <c r="E503" s="42"/>
      <c r="T503" s="44" t="s">
        <v>22</v>
      </c>
      <c r="V503" s="44" t="s">
        <v>23</v>
      </c>
      <c r="W503" s="44" t="s">
        <v>24</v>
      </c>
      <c r="X503" s="44"/>
      <c r="Y503" s="44" t="s">
        <v>25</v>
      </c>
      <c r="AA503" s="44" t="s">
        <v>26</v>
      </c>
      <c r="AB503" s="44"/>
      <c r="AC503" s="60" t="s">
        <v>27</v>
      </c>
      <c r="AD503" s="60" t="s">
        <v>27</v>
      </c>
      <c r="AE503" s="44" t="s">
        <v>9</v>
      </c>
      <c r="AF503" s="44"/>
      <c r="AG503" s="102" t="s">
        <v>9</v>
      </c>
      <c r="AH503" s="44"/>
      <c r="AI503" s="304" t="s">
        <v>29</v>
      </c>
      <c r="AJ503" s="304"/>
      <c r="AK503" s="311" t="s">
        <v>30</v>
      </c>
      <c r="AL503" s="44"/>
      <c r="AM503" s="44" t="s">
        <v>323</v>
      </c>
      <c r="AN503" s="44"/>
      <c r="AO503" s="304" t="s">
        <v>31</v>
      </c>
      <c r="AP503" s="304"/>
      <c r="AQ503" s="311" t="s">
        <v>32</v>
      </c>
      <c r="AS503" s="45"/>
      <c r="AW503" s="49"/>
    </row>
    <row r="504" spans="3:49">
      <c r="D504" s="42"/>
      <c r="E504" s="42"/>
      <c r="V504" s="304" t="s">
        <v>33</v>
      </c>
      <c r="W504" s="304" t="s">
        <v>34</v>
      </c>
      <c r="X504" s="304"/>
      <c r="Y504" s="304" t="s">
        <v>35</v>
      </c>
      <c r="Z504" s="130"/>
      <c r="AA504" s="304" t="s">
        <v>36</v>
      </c>
      <c r="AB504" s="304"/>
      <c r="AC504" s="307" t="s">
        <v>813</v>
      </c>
      <c r="AD504" s="307" t="s">
        <v>812</v>
      </c>
      <c r="AE504" s="304" t="s">
        <v>43</v>
      </c>
      <c r="AF504" s="304"/>
      <c r="AG504" s="311" t="s">
        <v>44</v>
      </c>
      <c r="AH504" s="304"/>
      <c r="AI504" s="304" t="s">
        <v>45</v>
      </c>
      <c r="AJ504" s="304"/>
      <c r="AK504" s="311" t="s">
        <v>46</v>
      </c>
      <c r="AL504" s="304"/>
      <c r="AM504" s="304" t="s">
        <v>40</v>
      </c>
      <c r="AN504" s="304"/>
      <c r="AO504" s="304" t="s">
        <v>47</v>
      </c>
      <c r="AP504" s="304"/>
      <c r="AQ504" s="311" t="s">
        <v>48</v>
      </c>
      <c r="AS504" s="45"/>
      <c r="AW504" s="49"/>
    </row>
    <row r="505" spans="3:49">
      <c r="D505" s="42"/>
      <c r="E505" s="42"/>
      <c r="T505" s="62"/>
      <c r="U505" s="62"/>
      <c r="V505" s="62"/>
      <c r="W505" s="62"/>
      <c r="X505" s="62"/>
      <c r="Y505" s="62"/>
      <c r="Z505" s="62"/>
      <c r="AA505" s="345" t="s">
        <v>49</v>
      </c>
      <c r="AB505" s="345"/>
      <c r="AC505" s="344" t="s">
        <v>69</v>
      </c>
      <c r="AD505" s="345"/>
      <c r="AE505" s="345" t="s">
        <v>50</v>
      </c>
      <c r="AF505" s="345"/>
      <c r="AG505" s="346" t="s">
        <v>51</v>
      </c>
      <c r="AH505" s="345"/>
      <c r="AI505" s="345" t="s">
        <v>50</v>
      </c>
      <c r="AJ505" s="345"/>
      <c r="AK505" s="346" t="s">
        <v>51</v>
      </c>
      <c r="AL505" s="345"/>
      <c r="AM505" s="345" t="s">
        <v>50</v>
      </c>
      <c r="AN505" s="345"/>
      <c r="AO505" s="345" t="s">
        <v>50</v>
      </c>
      <c r="AP505" s="345"/>
      <c r="AQ505" s="346" t="s">
        <v>51</v>
      </c>
      <c r="AS505" s="45"/>
      <c r="AW505" s="49"/>
    </row>
    <row r="506" spans="3:49">
      <c r="D506" s="42"/>
      <c r="E506" s="42"/>
      <c r="T506" s="350">
        <f t="shared" ref="T506" si="71">A154</f>
        <v>91</v>
      </c>
      <c r="V506" s="48" t="str">
        <f t="shared" ref="V506:W506" si="72">C154</f>
        <v>LED</v>
      </c>
      <c r="W506" s="48" t="str">
        <f t="shared" si="72"/>
        <v>STREET LIGHTING -- LED (CONT'D)</v>
      </c>
      <c r="Y506" s="68"/>
      <c r="Z506" s="1"/>
      <c r="AA506" s="68"/>
      <c r="AB506" s="68"/>
      <c r="AC506" s="132"/>
      <c r="AD506" s="132"/>
      <c r="AE506" s="3"/>
      <c r="AF506" s="3"/>
      <c r="AG506" s="103"/>
      <c r="AH506" s="4"/>
      <c r="AI506" s="3"/>
      <c r="AJ506" s="3"/>
      <c r="AK506" s="113"/>
      <c r="AL506" s="6"/>
      <c r="AM506" s="3"/>
      <c r="AN506" s="3"/>
      <c r="AO506" s="3"/>
      <c r="AP506" s="3"/>
      <c r="AQ506" s="113"/>
      <c r="AS506" s="45"/>
      <c r="AW506" s="49"/>
    </row>
    <row r="507" spans="3:49">
      <c r="D507" s="42"/>
      <c r="E507" s="42"/>
      <c r="T507" s="350">
        <f t="shared" ref="T507" si="73">A155</f>
        <v>92</v>
      </c>
      <c r="V507" s="48" t="str">
        <f t="shared" ref="V507" si="74">C155</f>
        <v>POLES (CONT'D)</v>
      </c>
      <c r="W507" s="48"/>
      <c r="Y507" s="68"/>
      <c r="Z507" s="1"/>
      <c r="AA507" s="68"/>
      <c r="AB507" s="68"/>
      <c r="AC507" s="132"/>
      <c r="AD507" s="132"/>
      <c r="AE507" s="3"/>
      <c r="AF507" s="3"/>
      <c r="AG507" s="103"/>
      <c r="AH507" s="4"/>
      <c r="AI507" s="3"/>
      <c r="AJ507" s="3"/>
      <c r="AK507" s="113"/>
      <c r="AL507" s="6"/>
      <c r="AM507" s="3"/>
      <c r="AN507" s="3"/>
      <c r="AO507" s="3"/>
      <c r="AP507" s="3"/>
      <c r="AQ507" s="113"/>
      <c r="AS507" s="45"/>
      <c r="AW507" s="49"/>
    </row>
    <row r="508" spans="3:49">
      <c r="D508" s="42"/>
      <c r="E508" s="42"/>
      <c r="T508" s="350">
        <f t="shared" ref="T508:T549" si="75">A156</f>
        <v>93</v>
      </c>
      <c r="V508" s="48" t="str">
        <f t="shared" ref="V508:V549" si="76">C156</f>
        <v xml:space="preserve">   Style E 12 Ft Long Anchor Base Post Top Aluminum</v>
      </c>
      <c r="W508" s="130"/>
      <c r="Y508" s="68">
        <f t="shared" ref="Y508:Y549" si="77">F156</f>
        <v>0</v>
      </c>
      <c r="Z508" s="1"/>
      <c r="AA508" s="68"/>
      <c r="AB508" s="1"/>
      <c r="AC508" s="132">
        <v>12.91</v>
      </c>
      <c r="AD508" s="342"/>
      <c r="AE508" s="3">
        <f t="shared" si="67"/>
        <v>0</v>
      </c>
      <c r="AF508" s="1"/>
      <c r="AG508" s="103">
        <f t="shared" ref="AG508:AG549" si="78">ROUND((AE508/AE$692)*100,1)</f>
        <v>0</v>
      </c>
      <c r="AH508" s="4"/>
      <c r="AI508" s="3">
        <f t="shared" ref="AI508:AI549" si="79">L156-AE508</f>
        <v>0</v>
      </c>
      <c r="AJ508" s="3"/>
      <c r="AK508" s="113" t="str">
        <f t="shared" si="68"/>
        <v xml:space="preserve">0.0 </v>
      </c>
      <c r="AL508" s="6"/>
      <c r="AM508" s="3"/>
      <c r="AN508" s="3"/>
      <c r="AO508" s="3">
        <f t="shared" si="69"/>
        <v>0</v>
      </c>
      <c r="AP508" s="3"/>
      <c r="AQ508" s="113" t="str">
        <f t="shared" si="70"/>
        <v xml:space="preserve">0.0 </v>
      </c>
      <c r="AS508" s="45"/>
      <c r="AW508" s="49"/>
    </row>
    <row r="509" spans="3:49">
      <c r="T509" s="350">
        <f t="shared" si="75"/>
        <v>94</v>
      </c>
      <c r="V509" s="48" t="str">
        <f t="shared" si="76"/>
        <v xml:space="preserve">   Style F 12 Ft Long Anchor Base Post Top Aluminum</v>
      </c>
      <c r="W509" s="130"/>
      <c r="Y509" s="68">
        <f t="shared" si="77"/>
        <v>0</v>
      </c>
      <c r="Z509" s="1"/>
      <c r="AA509" s="68"/>
      <c r="AB509" s="1"/>
      <c r="AC509" s="132">
        <v>15.74</v>
      </c>
      <c r="AD509" s="342"/>
      <c r="AE509" s="3">
        <f t="shared" si="67"/>
        <v>0</v>
      </c>
      <c r="AF509" s="1"/>
      <c r="AG509" s="103">
        <f t="shared" si="78"/>
        <v>0</v>
      </c>
      <c r="AH509" s="4"/>
      <c r="AI509" s="3">
        <f t="shared" si="79"/>
        <v>0</v>
      </c>
      <c r="AJ509" s="3"/>
      <c r="AK509" s="113" t="str">
        <f t="shared" si="68"/>
        <v xml:space="preserve">0.0 </v>
      </c>
      <c r="AL509" s="6"/>
      <c r="AM509" s="3"/>
      <c r="AN509" s="3"/>
      <c r="AO509" s="3">
        <f t="shared" si="69"/>
        <v>0</v>
      </c>
      <c r="AP509" s="3"/>
      <c r="AQ509" s="113" t="str">
        <f t="shared" si="70"/>
        <v xml:space="preserve">0.0 </v>
      </c>
      <c r="AS509" s="45"/>
      <c r="AW509" s="49"/>
    </row>
    <row r="510" spans="3:49">
      <c r="T510" s="350">
        <f t="shared" si="75"/>
        <v>95</v>
      </c>
      <c r="V510" s="48" t="str">
        <f t="shared" si="76"/>
        <v xml:space="preserve">   Legacy Style 39 Ft Direct Buried Single or Twin Side Mount Aluminum Satin Finish</v>
      </c>
      <c r="Y510" s="68">
        <f t="shared" si="77"/>
        <v>0</v>
      </c>
      <c r="Z510" s="1"/>
      <c r="AA510" s="68"/>
      <c r="AB510" s="68"/>
      <c r="AC510" s="132">
        <v>20.92</v>
      </c>
      <c r="AD510" s="342"/>
      <c r="AE510" s="3">
        <f t="shared" si="67"/>
        <v>0</v>
      </c>
      <c r="AF510" s="1"/>
      <c r="AG510" s="103">
        <f t="shared" si="78"/>
        <v>0</v>
      </c>
      <c r="AH510" s="4"/>
      <c r="AI510" s="3">
        <f t="shared" si="79"/>
        <v>0</v>
      </c>
      <c r="AJ510" s="3"/>
      <c r="AK510" s="113" t="str">
        <f t="shared" si="68"/>
        <v xml:space="preserve">0.0 </v>
      </c>
      <c r="AL510" s="6"/>
      <c r="AM510" s="3"/>
      <c r="AN510" s="3"/>
      <c r="AO510" s="3">
        <f t="shared" si="69"/>
        <v>0</v>
      </c>
      <c r="AP510" s="3"/>
      <c r="AQ510" s="113" t="str">
        <f t="shared" si="70"/>
        <v xml:space="preserve">0.0 </v>
      </c>
      <c r="AS510" s="45"/>
      <c r="AW510" s="49"/>
    </row>
    <row r="511" spans="3:49">
      <c r="T511" s="350">
        <f t="shared" si="75"/>
        <v>96</v>
      </c>
      <c r="V511" s="48" t="str">
        <f t="shared" si="76"/>
        <v xml:space="preserve">   Legacy Style 27 Ft Long Anchor Base Side Mount Aluminum Pole Satin Finish Breakaway</v>
      </c>
      <c r="Y511" s="68">
        <f t="shared" si="77"/>
        <v>0</v>
      </c>
      <c r="Z511" s="1"/>
      <c r="AA511" s="68"/>
      <c r="AB511" s="68"/>
      <c r="AC511" s="132">
        <v>20.45</v>
      </c>
      <c r="AD511" s="342"/>
      <c r="AE511" s="3">
        <f t="shared" si="67"/>
        <v>0</v>
      </c>
      <c r="AF511" s="1"/>
      <c r="AG511" s="103">
        <f t="shared" si="78"/>
        <v>0</v>
      </c>
      <c r="AH511" s="4"/>
      <c r="AI511" s="3">
        <f t="shared" si="79"/>
        <v>0</v>
      </c>
      <c r="AJ511" s="3"/>
      <c r="AK511" s="113" t="str">
        <f t="shared" si="68"/>
        <v xml:space="preserve">0.0 </v>
      </c>
      <c r="AL511" s="6"/>
      <c r="AM511" s="3"/>
      <c r="AN511" s="3"/>
      <c r="AO511" s="3">
        <f t="shared" si="69"/>
        <v>0</v>
      </c>
      <c r="AP511" s="3"/>
      <c r="AQ511" s="113" t="str">
        <f t="shared" si="70"/>
        <v xml:space="preserve">0.0 </v>
      </c>
      <c r="AS511" s="45"/>
      <c r="AW511" s="49"/>
    </row>
    <row r="512" spans="3:49">
      <c r="C512" s="42"/>
      <c r="F512" s="164"/>
      <c r="H512" s="164"/>
      <c r="I512" s="164"/>
      <c r="J512" s="316"/>
      <c r="K512" s="316"/>
      <c r="L512" s="45"/>
      <c r="M512" s="45"/>
      <c r="N512" s="46"/>
      <c r="O512" s="46"/>
      <c r="R512" s="45"/>
      <c r="T512" s="350">
        <f t="shared" si="75"/>
        <v>97</v>
      </c>
      <c r="V512" s="48" t="str">
        <f t="shared" si="76"/>
        <v xml:space="preserve">   Legacy Style 33 Ft Long Anchor Base Side Mount Aluminum Pole Satin Finish Breakaway</v>
      </c>
      <c r="Y512" s="68">
        <f t="shared" si="77"/>
        <v>0</v>
      </c>
      <c r="Z512" s="1"/>
      <c r="AA512" s="68"/>
      <c r="AB512" s="68"/>
      <c r="AC512" s="132">
        <v>21.38</v>
      </c>
      <c r="AD512" s="342"/>
      <c r="AE512" s="3">
        <f t="shared" si="67"/>
        <v>0</v>
      </c>
      <c r="AF512" s="1"/>
      <c r="AG512" s="103">
        <f t="shared" si="78"/>
        <v>0</v>
      </c>
      <c r="AH512" s="4"/>
      <c r="AI512" s="3">
        <f t="shared" si="79"/>
        <v>0</v>
      </c>
      <c r="AJ512" s="3"/>
      <c r="AK512" s="113" t="str">
        <f t="shared" si="68"/>
        <v xml:space="preserve">0.0 </v>
      </c>
      <c r="AL512" s="6"/>
      <c r="AM512" s="3"/>
      <c r="AN512" s="3"/>
      <c r="AO512" s="3">
        <f t="shared" si="69"/>
        <v>0</v>
      </c>
      <c r="AP512" s="3"/>
      <c r="AQ512" s="113" t="str">
        <f t="shared" si="70"/>
        <v xml:space="preserve">0.0 </v>
      </c>
      <c r="AS512" s="45"/>
      <c r="AW512" s="49"/>
    </row>
    <row r="513" spans="3:49">
      <c r="C513" s="42"/>
      <c r="F513" s="164"/>
      <c r="H513" s="164"/>
      <c r="I513" s="164"/>
      <c r="J513" s="316"/>
      <c r="K513" s="316"/>
      <c r="L513" s="45"/>
      <c r="M513" s="45"/>
      <c r="N513" s="46"/>
      <c r="O513" s="46"/>
      <c r="R513" s="45"/>
      <c r="T513" s="350">
        <f t="shared" si="75"/>
        <v>98</v>
      </c>
      <c r="V513" s="48" t="str">
        <f t="shared" si="76"/>
        <v xml:space="preserve">   Legacy Style 37 Ft Long Anchor Base Side Mount Aluminum Pole Satin Finish</v>
      </c>
      <c r="Y513" s="68">
        <f t="shared" si="77"/>
        <v>0</v>
      </c>
      <c r="Z513" s="1"/>
      <c r="AA513" s="68"/>
      <c r="AB513" s="68"/>
      <c r="AC513" s="132">
        <v>23.61</v>
      </c>
      <c r="AD513" s="342"/>
      <c r="AE513" s="3">
        <f t="shared" si="67"/>
        <v>0</v>
      </c>
      <c r="AF513" s="1"/>
      <c r="AG513" s="103">
        <f t="shared" si="78"/>
        <v>0</v>
      </c>
      <c r="AH513" s="4"/>
      <c r="AI513" s="3">
        <f t="shared" si="79"/>
        <v>0</v>
      </c>
      <c r="AJ513" s="3"/>
      <c r="AK513" s="113" t="str">
        <f t="shared" si="68"/>
        <v xml:space="preserve">0.0 </v>
      </c>
      <c r="AL513" s="6"/>
      <c r="AM513" s="3"/>
      <c r="AN513" s="3"/>
      <c r="AO513" s="3">
        <f t="shared" si="69"/>
        <v>0</v>
      </c>
      <c r="AP513" s="3"/>
      <c r="AQ513" s="113" t="str">
        <f t="shared" si="70"/>
        <v xml:space="preserve">0.0 </v>
      </c>
      <c r="AS513" s="45"/>
      <c r="AW513" s="49"/>
    </row>
    <row r="514" spans="3:49">
      <c r="F514" s="50"/>
      <c r="H514" s="45"/>
      <c r="I514" s="45"/>
      <c r="J514" s="326"/>
      <c r="K514" s="326"/>
      <c r="L514" s="50"/>
      <c r="M514" s="50"/>
      <c r="N514" s="50"/>
      <c r="O514" s="50"/>
      <c r="P514" s="50"/>
      <c r="Q514" s="50"/>
      <c r="R514" s="50"/>
      <c r="T514" s="350">
        <f t="shared" si="75"/>
        <v>99</v>
      </c>
      <c r="V514" s="48" t="str">
        <f t="shared" si="76"/>
        <v xml:space="preserve">   30' Class 7 Wood Pole</v>
      </c>
      <c r="Y514" s="68">
        <f t="shared" si="77"/>
        <v>0</v>
      </c>
      <c r="Z514" s="1"/>
      <c r="AA514" s="68"/>
      <c r="AB514" s="68"/>
      <c r="AC514" s="132">
        <v>6.48</v>
      </c>
      <c r="AD514" s="342"/>
      <c r="AE514" s="3">
        <f t="shared" si="67"/>
        <v>0</v>
      </c>
      <c r="AF514" s="1"/>
      <c r="AG514" s="103">
        <f t="shared" si="78"/>
        <v>0</v>
      </c>
      <c r="AH514" s="4"/>
      <c r="AI514" s="3">
        <f t="shared" si="79"/>
        <v>0</v>
      </c>
      <c r="AJ514" s="3"/>
      <c r="AK514" s="113" t="str">
        <f t="shared" si="68"/>
        <v xml:space="preserve">0.0 </v>
      </c>
      <c r="AL514" s="6"/>
      <c r="AM514" s="3"/>
      <c r="AN514" s="3"/>
      <c r="AO514" s="3">
        <f t="shared" si="69"/>
        <v>0</v>
      </c>
      <c r="AP514" s="3"/>
      <c r="AQ514" s="113" t="str">
        <f t="shared" si="70"/>
        <v xml:space="preserve">0.0 </v>
      </c>
      <c r="AS514" s="45"/>
      <c r="AW514" s="49"/>
    </row>
    <row r="515" spans="3:49">
      <c r="C515" s="42"/>
      <c r="F515" s="45"/>
      <c r="H515" s="45"/>
      <c r="I515" s="45"/>
      <c r="J515" s="326"/>
      <c r="K515" s="326"/>
      <c r="L515" s="45"/>
      <c r="M515" s="45"/>
      <c r="N515" s="46"/>
      <c r="O515" s="46"/>
      <c r="P515" s="45"/>
      <c r="Q515" s="45"/>
      <c r="R515" s="45"/>
      <c r="T515" s="350">
        <f t="shared" si="75"/>
        <v>100</v>
      </c>
      <c r="V515" s="48" t="str">
        <f t="shared" si="76"/>
        <v xml:space="preserve">   35' Class 5 Wood Pole</v>
      </c>
      <c r="Y515" s="68">
        <f t="shared" si="77"/>
        <v>9</v>
      </c>
      <c r="Z515" s="1"/>
      <c r="AA515" s="68"/>
      <c r="AB515" s="68"/>
      <c r="AC515" s="132">
        <v>7.24</v>
      </c>
      <c r="AD515" s="342"/>
      <c r="AE515" s="3">
        <f t="shared" si="67"/>
        <v>65</v>
      </c>
      <c r="AF515" s="1"/>
      <c r="AG515" s="103">
        <f t="shared" si="78"/>
        <v>0.3</v>
      </c>
      <c r="AH515" s="4"/>
      <c r="AI515" s="3">
        <f t="shared" si="79"/>
        <v>9</v>
      </c>
      <c r="AJ515" s="3"/>
      <c r="AK515" s="113">
        <f t="shared" si="68"/>
        <v>13.8</v>
      </c>
      <c r="AL515" s="6"/>
      <c r="AM515" s="3"/>
      <c r="AN515" s="3"/>
      <c r="AO515" s="3">
        <f t="shared" si="69"/>
        <v>65</v>
      </c>
      <c r="AP515" s="3"/>
      <c r="AQ515" s="113">
        <f t="shared" si="70"/>
        <v>13.8</v>
      </c>
      <c r="AS515" s="45"/>
      <c r="AW515" s="49"/>
    </row>
    <row r="516" spans="3:49">
      <c r="F516" s="50"/>
      <c r="H516" s="45"/>
      <c r="I516" s="45"/>
      <c r="J516" s="326"/>
      <c r="K516" s="326"/>
      <c r="L516" s="50"/>
      <c r="M516" s="50"/>
      <c r="N516" s="50"/>
      <c r="O516" s="50"/>
      <c r="P516" s="50"/>
      <c r="Q516" s="50"/>
      <c r="R516" s="50"/>
      <c r="T516" s="350">
        <f t="shared" si="75"/>
        <v>101</v>
      </c>
      <c r="V516" s="48" t="str">
        <f t="shared" si="76"/>
        <v xml:space="preserve">   40' Class 4 Wood Pole</v>
      </c>
      <c r="Y516" s="68">
        <f t="shared" si="77"/>
        <v>0</v>
      </c>
      <c r="Z516" s="1"/>
      <c r="AA516" s="68"/>
      <c r="AB516" s="68"/>
      <c r="AC516" s="132">
        <v>8.2100000000000009</v>
      </c>
      <c r="AD516" s="5"/>
      <c r="AE516" s="3">
        <f t="shared" si="67"/>
        <v>0</v>
      </c>
      <c r="AF516" s="1"/>
      <c r="AG516" s="103">
        <f t="shared" si="78"/>
        <v>0</v>
      </c>
      <c r="AH516" s="4"/>
      <c r="AI516" s="3">
        <f t="shared" si="79"/>
        <v>0</v>
      </c>
      <c r="AJ516" s="3"/>
      <c r="AK516" s="113" t="str">
        <f t="shared" si="68"/>
        <v xml:space="preserve">0.0 </v>
      </c>
      <c r="AL516" s="6"/>
      <c r="AM516" s="3"/>
      <c r="AN516" s="3"/>
      <c r="AO516" s="3">
        <f t="shared" si="69"/>
        <v>0</v>
      </c>
      <c r="AP516" s="3"/>
      <c r="AQ516" s="113" t="str">
        <f t="shared" si="70"/>
        <v xml:space="preserve">0.0 </v>
      </c>
      <c r="AS516" s="45"/>
      <c r="AW516" s="49"/>
    </row>
    <row r="517" spans="3:49">
      <c r="F517" s="45"/>
      <c r="H517" s="45"/>
      <c r="I517" s="45"/>
      <c r="J517" s="326"/>
      <c r="K517" s="326"/>
      <c r="L517" s="45"/>
      <c r="M517" s="45"/>
      <c r="N517" s="46"/>
      <c r="O517" s="46"/>
      <c r="P517" s="45"/>
      <c r="Q517" s="45"/>
      <c r="R517" s="45"/>
      <c r="T517" s="350">
        <f t="shared" si="75"/>
        <v>102</v>
      </c>
      <c r="V517" s="48" t="str">
        <f t="shared" si="76"/>
        <v xml:space="preserve">   45' Class 4 Wood Pole</v>
      </c>
      <c r="Y517" s="68">
        <f t="shared" si="77"/>
        <v>0</v>
      </c>
      <c r="Z517" s="1"/>
      <c r="AA517" s="68"/>
      <c r="AB517" s="68"/>
      <c r="AC517" s="132">
        <v>8.5500000000000007</v>
      </c>
      <c r="AD517" s="342"/>
      <c r="AE517" s="3">
        <f t="shared" si="67"/>
        <v>0</v>
      </c>
      <c r="AF517" s="1"/>
      <c r="AG517" s="103">
        <f t="shared" si="78"/>
        <v>0</v>
      </c>
      <c r="AH517" s="4"/>
      <c r="AI517" s="3">
        <f t="shared" si="79"/>
        <v>0</v>
      </c>
      <c r="AJ517" s="3"/>
      <c r="AK517" s="113" t="str">
        <f t="shared" si="68"/>
        <v xml:space="preserve">0.0 </v>
      </c>
      <c r="AL517" s="6"/>
      <c r="AM517" s="3"/>
      <c r="AN517" s="3"/>
      <c r="AO517" s="3">
        <f t="shared" si="69"/>
        <v>0</v>
      </c>
      <c r="AP517" s="3"/>
      <c r="AQ517" s="113" t="str">
        <f t="shared" si="70"/>
        <v xml:space="preserve">0.0 </v>
      </c>
      <c r="AS517" s="45"/>
      <c r="AW517" s="49"/>
    </row>
    <row r="518" spans="3:49">
      <c r="C518" s="42"/>
      <c r="F518" s="164"/>
      <c r="H518" s="164"/>
      <c r="I518" s="164"/>
      <c r="J518" s="316"/>
      <c r="K518" s="316"/>
      <c r="L518" s="45"/>
      <c r="M518" s="45"/>
      <c r="N518" s="46"/>
      <c r="O518" s="46"/>
      <c r="P518" s="45"/>
      <c r="Q518" s="45"/>
      <c r="R518" s="45"/>
      <c r="T518" s="350">
        <f t="shared" si="75"/>
        <v>103</v>
      </c>
      <c r="V518" s="48" t="str">
        <f t="shared" si="76"/>
        <v xml:space="preserve">   15' Style A - Fluted - for Shroud - Aluminum Direct Buried Pole </v>
      </c>
      <c r="Y518" s="68">
        <f t="shared" si="77"/>
        <v>0</v>
      </c>
      <c r="Z518" s="1"/>
      <c r="AA518" s="68"/>
      <c r="AB518" s="68"/>
      <c r="AC518" s="132">
        <v>10.050000000000001</v>
      </c>
      <c r="AD518" s="342"/>
      <c r="AE518" s="3">
        <f t="shared" si="67"/>
        <v>0</v>
      </c>
      <c r="AF518" s="1"/>
      <c r="AG518" s="103">
        <f t="shared" si="78"/>
        <v>0</v>
      </c>
      <c r="AH518" s="4"/>
      <c r="AI518" s="3">
        <f t="shared" si="79"/>
        <v>0</v>
      </c>
      <c r="AJ518" s="3"/>
      <c r="AK518" s="113" t="str">
        <f t="shared" si="68"/>
        <v xml:space="preserve">0.0 </v>
      </c>
      <c r="AL518" s="6"/>
      <c r="AM518" s="3"/>
      <c r="AN518" s="3"/>
      <c r="AO518" s="3">
        <f t="shared" si="69"/>
        <v>0</v>
      </c>
      <c r="AP518" s="3"/>
      <c r="AQ518" s="113" t="str">
        <f t="shared" si="70"/>
        <v xml:space="preserve">0.0 </v>
      </c>
      <c r="AS518" s="45"/>
      <c r="AW518" s="49"/>
    </row>
    <row r="519" spans="3:49">
      <c r="C519" s="42"/>
      <c r="F519" s="164"/>
      <c r="H519" s="164"/>
      <c r="I519" s="164"/>
      <c r="J519" s="316"/>
      <c r="K519" s="316"/>
      <c r="L519" s="45"/>
      <c r="M519" s="45"/>
      <c r="N519" s="46"/>
      <c r="O519" s="46"/>
      <c r="P519" s="45"/>
      <c r="Q519" s="45"/>
      <c r="R519" s="45"/>
      <c r="T519" s="350">
        <f t="shared" si="75"/>
        <v>104</v>
      </c>
      <c r="V519" s="48" t="str">
        <f t="shared" si="76"/>
        <v xml:space="preserve">   20' Style A - Fluted - for Shroud - Aluminum Direct Buried Pole </v>
      </c>
      <c r="Y519" s="68">
        <f t="shared" si="77"/>
        <v>0</v>
      </c>
      <c r="Z519" s="1"/>
      <c r="AA519" s="68"/>
      <c r="AB519" s="68"/>
      <c r="AC519" s="132">
        <v>10.54</v>
      </c>
      <c r="AD519" s="342"/>
      <c r="AE519" s="3">
        <f t="shared" si="67"/>
        <v>0</v>
      </c>
      <c r="AF519" s="1"/>
      <c r="AG519" s="103">
        <f t="shared" si="78"/>
        <v>0</v>
      </c>
      <c r="AH519" s="4"/>
      <c r="AI519" s="3">
        <f t="shared" si="79"/>
        <v>0</v>
      </c>
      <c r="AJ519" s="3"/>
      <c r="AK519" s="113" t="str">
        <f t="shared" si="68"/>
        <v xml:space="preserve">0.0 </v>
      </c>
      <c r="AL519" s="6"/>
      <c r="AM519" s="3"/>
      <c r="AN519" s="3"/>
      <c r="AO519" s="3">
        <f t="shared" si="69"/>
        <v>0</v>
      </c>
      <c r="AP519" s="3"/>
      <c r="AQ519" s="113" t="str">
        <f t="shared" si="70"/>
        <v xml:space="preserve">0.0 </v>
      </c>
      <c r="AS519" s="45"/>
      <c r="AW519" s="49"/>
    </row>
    <row r="520" spans="3:49">
      <c r="C520" s="42"/>
      <c r="F520" s="164"/>
      <c r="H520" s="164"/>
      <c r="I520" s="164"/>
      <c r="J520" s="316"/>
      <c r="K520" s="316"/>
      <c r="L520" s="45"/>
      <c r="M520" s="45"/>
      <c r="N520" s="46"/>
      <c r="O520" s="46"/>
      <c r="P520" s="45"/>
      <c r="Q520" s="45"/>
      <c r="R520" s="45"/>
      <c r="T520" s="350">
        <f t="shared" si="75"/>
        <v>105</v>
      </c>
      <c r="V520" s="48" t="str">
        <f t="shared" si="76"/>
        <v xml:space="preserve">   15' Style A - Smooth - for Shroud - Aluminum Direct Buried Pole </v>
      </c>
      <c r="Y520" s="68">
        <f t="shared" si="77"/>
        <v>8</v>
      </c>
      <c r="Z520" s="1"/>
      <c r="AA520" s="68"/>
      <c r="AB520" s="68"/>
      <c r="AC520" s="132">
        <v>8.69</v>
      </c>
      <c r="AD520" s="342"/>
      <c r="AE520" s="3">
        <f t="shared" si="67"/>
        <v>70</v>
      </c>
      <c r="AF520" s="1"/>
      <c r="AG520" s="103">
        <f t="shared" si="78"/>
        <v>0.4</v>
      </c>
      <c r="AH520" s="4"/>
      <c r="AI520" s="3">
        <f t="shared" si="79"/>
        <v>9</v>
      </c>
      <c r="AJ520" s="3"/>
      <c r="AK520" s="113">
        <f t="shared" si="68"/>
        <v>12.9</v>
      </c>
      <c r="AL520" s="6"/>
      <c r="AM520" s="3"/>
      <c r="AN520" s="3"/>
      <c r="AO520" s="3">
        <f t="shared" si="69"/>
        <v>70</v>
      </c>
      <c r="AP520" s="3"/>
      <c r="AQ520" s="113">
        <f t="shared" si="70"/>
        <v>12.9</v>
      </c>
      <c r="AS520" s="45"/>
      <c r="AW520" s="49"/>
    </row>
    <row r="521" spans="3:49">
      <c r="C521" s="42"/>
      <c r="F521" s="164"/>
      <c r="H521" s="164"/>
      <c r="I521" s="164"/>
      <c r="J521" s="316"/>
      <c r="K521" s="316"/>
      <c r="L521" s="45"/>
      <c r="M521" s="45"/>
      <c r="N521" s="46"/>
      <c r="O521" s="46"/>
      <c r="P521" s="45"/>
      <c r="Q521" s="45"/>
      <c r="R521" s="45"/>
      <c r="T521" s="350">
        <f t="shared" si="75"/>
        <v>106</v>
      </c>
      <c r="V521" s="48" t="str">
        <f t="shared" si="76"/>
        <v xml:space="preserve">   20' Style A - Smooth - for Shroud - Aluminum Direct Buried Pole </v>
      </c>
      <c r="Y521" s="68">
        <f t="shared" si="77"/>
        <v>0</v>
      </c>
      <c r="Z521" s="1"/>
      <c r="AA521" s="68"/>
      <c r="AB521" s="68"/>
      <c r="AC521" s="132">
        <v>10.26</v>
      </c>
      <c r="AD521" s="342"/>
      <c r="AE521" s="3">
        <f t="shared" si="67"/>
        <v>0</v>
      </c>
      <c r="AF521" s="1"/>
      <c r="AG521" s="103">
        <f t="shared" si="78"/>
        <v>0</v>
      </c>
      <c r="AH521" s="4"/>
      <c r="AI521" s="3">
        <f t="shared" si="79"/>
        <v>0</v>
      </c>
      <c r="AJ521" s="3"/>
      <c r="AK521" s="113" t="str">
        <f t="shared" si="68"/>
        <v xml:space="preserve">0.0 </v>
      </c>
      <c r="AL521" s="6"/>
      <c r="AM521" s="3"/>
      <c r="AN521" s="3"/>
      <c r="AO521" s="3">
        <f t="shared" si="69"/>
        <v>0</v>
      </c>
      <c r="AP521" s="3"/>
      <c r="AQ521" s="113" t="str">
        <f t="shared" si="70"/>
        <v xml:space="preserve">0.0 </v>
      </c>
      <c r="AS521" s="45"/>
      <c r="AW521" s="49"/>
    </row>
    <row r="522" spans="3:49">
      <c r="C522" s="42"/>
      <c r="F522" s="164"/>
      <c r="H522" s="164"/>
      <c r="I522" s="164"/>
      <c r="J522" s="316"/>
      <c r="K522" s="316"/>
      <c r="L522" s="45"/>
      <c r="M522" s="45"/>
      <c r="N522" s="46"/>
      <c r="O522" s="46"/>
      <c r="P522" s="45"/>
      <c r="Q522" s="45"/>
      <c r="R522" s="45"/>
      <c r="T522" s="350">
        <f t="shared" si="75"/>
        <v>107</v>
      </c>
      <c r="V522" s="48" t="str">
        <f t="shared" si="76"/>
        <v xml:space="preserve">   21' Style A - Fluted - Direct Buried</v>
      </c>
      <c r="Y522" s="68">
        <f t="shared" si="77"/>
        <v>0</v>
      </c>
      <c r="Z522" s="1"/>
      <c r="AA522" s="68"/>
      <c r="AB522" s="68"/>
      <c r="AC522" s="132">
        <v>14.37</v>
      </c>
      <c r="AD522" s="342"/>
      <c r="AE522" s="3">
        <f t="shared" ref="AE522:AE538" si="80">ROUND((Y522*(AC522+AD522)),0)</f>
        <v>0</v>
      </c>
      <c r="AF522" s="1"/>
      <c r="AG522" s="103">
        <f t="shared" si="78"/>
        <v>0</v>
      </c>
      <c r="AH522" s="4"/>
      <c r="AI522" s="3">
        <f t="shared" si="79"/>
        <v>0</v>
      </c>
      <c r="AJ522" s="3"/>
      <c r="AK522" s="113" t="str">
        <f t="shared" ref="AK522:AK538" si="81">IF(AE522=0,"0.0 ",ROUND((AI522/AE522)*100,1))</f>
        <v xml:space="preserve">0.0 </v>
      </c>
      <c r="AL522" s="6"/>
      <c r="AM522" s="3"/>
      <c r="AN522" s="3"/>
      <c r="AO522" s="3">
        <f t="shared" ref="AO522:AO538" si="82">AM522+AE522</f>
        <v>0</v>
      </c>
      <c r="AP522" s="3"/>
      <c r="AQ522" s="113" t="str">
        <f t="shared" ref="AQ522:AQ538" si="83">IF(AO522=0,"0.0 ",ROUND((AI522/AO522)*100,1))</f>
        <v xml:space="preserve">0.0 </v>
      </c>
      <c r="AS522" s="45"/>
      <c r="AW522" s="49"/>
    </row>
    <row r="523" spans="3:49">
      <c r="C523" s="42"/>
      <c r="F523" s="164"/>
      <c r="H523" s="164"/>
      <c r="I523" s="164"/>
      <c r="J523" s="316"/>
      <c r="K523" s="316"/>
      <c r="L523" s="45"/>
      <c r="M523" s="45"/>
      <c r="N523" s="46"/>
      <c r="O523" s="46"/>
      <c r="P523" s="45"/>
      <c r="Q523" s="45"/>
      <c r="R523" s="45"/>
      <c r="T523" s="350">
        <f t="shared" si="75"/>
        <v>108</v>
      </c>
      <c r="V523" s="48" t="str">
        <f t="shared" si="76"/>
        <v xml:space="preserve">   30' Style A - Transformer Base - Anchor Base</v>
      </c>
      <c r="Y523" s="68">
        <f t="shared" si="77"/>
        <v>0</v>
      </c>
      <c r="Z523" s="1"/>
      <c r="AA523" s="68"/>
      <c r="AB523" s="68"/>
      <c r="AC523" s="132">
        <v>21.78</v>
      </c>
      <c r="AD523" s="342"/>
      <c r="AE523" s="3">
        <f t="shared" si="80"/>
        <v>0</v>
      </c>
      <c r="AF523" s="1"/>
      <c r="AG523" s="103">
        <f t="shared" si="78"/>
        <v>0</v>
      </c>
      <c r="AH523" s="4"/>
      <c r="AI523" s="3">
        <f t="shared" si="79"/>
        <v>0</v>
      </c>
      <c r="AJ523" s="3"/>
      <c r="AK523" s="113" t="str">
        <f t="shared" si="81"/>
        <v xml:space="preserve">0.0 </v>
      </c>
      <c r="AL523" s="6"/>
      <c r="AM523" s="3"/>
      <c r="AN523" s="3"/>
      <c r="AO523" s="3">
        <f t="shared" si="82"/>
        <v>0</v>
      </c>
      <c r="AP523" s="3"/>
      <c r="AQ523" s="113" t="str">
        <f t="shared" si="83"/>
        <v xml:space="preserve">0.0 </v>
      </c>
      <c r="AS523" s="45"/>
      <c r="AW523" s="49"/>
    </row>
    <row r="524" spans="3:49">
      <c r="C524" s="42"/>
      <c r="F524" s="164"/>
      <c r="H524" s="164"/>
      <c r="I524" s="164"/>
      <c r="J524" s="316"/>
      <c r="K524" s="316"/>
      <c r="L524" s="45"/>
      <c r="M524" s="45"/>
      <c r="N524" s="46"/>
      <c r="O524" s="46"/>
      <c r="P524" s="45"/>
      <c r="Q524" s="45"/>
      <c r="R524" s="45"/>
      <c r="T524" s="350">
        <f t="shared" si="75"/>
        <v>109</v>
      </c>
      <c r="V524" s="48" t="str">
        <f t="shared" si="76"/>
        <v xml:space="preserve">   35' Style A - Transformer Base - Anchor Base</v>
      </c>
      <c r="Y524" s="68">
        <f t="shared" si="77"/>
        <v>0</v>
      </c>
      <c r="Z524" s="1"/>
      <c r="AA524" s="68"/>
      <c r="AB524" s="68"/>
      <c r="AC524" s="132">
        <v>24.53</v>
      </c>
      <c r="AD524" s="342"/>
      <c r="AE524" s="3">
        <f t="shared" si="80"/>
        <v>0</v>
      </c>
      <c r="AF524" s="1"/>
      <c r="AG524" s="103">
        <f t="shared" si="78"/>
        <v>0</v>
      </c>
      <c r="AH524" s="4"/>
      <c r="AI524" s="3">
        <f t="shared" si="79"/>
        <v>0</v>
      </c>
      <c r="AJ524" s="3"/>
      <c r="AK524" s="113" t="str">
        <f t="shared" si="81"/>
        <v xml:space="preserve">0.0 </v>
      </c>
      <c r="AL524" s="6"/>
      <c r="AM524" s="3"/>
      <c r="AN524" s="3"/>
      <c r="AO524" s="3">
        <f t="shared" si="82"/>
        <v>0</v>
      </c>
      <c r="AP524" s="3"/>
      <c r="AQ524" s="113" t="str">
        <f t="shared" si="83"/>
        <v xml:space="preserve">0.0 </v>
      </c>
      <c r="AS524" s="45"/>
      <c r="AW524" s="49"/>
    </row>
    <row r="525" spans="3:49">
      <c r="C525" s="42"/>
      <c r="F525" s="164"/>
      <c r="H525" s="164"/>
      <c r="I525" s="164"/>
      <c r="J525" s="316"/>
      <c r="K525" s="316"/>
      <c r="L525" s="45"/>
      <c r="M525" s="45"/>
      <c r="N525" s="46"/>
      <c r="O525" s="46"/>
      <c r="P525" s="45"/>
      <c r="Q525" s="45"/>
      <c r="R525" s="45"/>
      <c r="T525" s="350">
        <f t="shared" si="75"/>
        <v>110</v>
      </c>
      <c r="V525" s="48" t="str">
        <f t="shared" si="76"/>
        <v xml:space="preserve">   19' Style A - Breakaway - Direct Buried</v>
      </c>
      <c r="Y525" s="68">
        <f t="shared" si="77"/>
        <v>0</v>
      </c>
      <c r="Z525" s="1"/>
      <c r="AA525" s="68"/>
      <c r="AB525" s="68"/>
      <c r="AC525" s="132">
        <v>19.55</v>
      </c>
      <c r="AD525" s="342"/>
      <c r="AE525" s="3">
        <f t="shared" si="80"/>
        <v>0</v>
      </c>
      <c r="AF525" s="1"/>
      <c r="AG525" s="103">
        <f t="shared" si="78"/>
        <v>0</v>
      </c>
      <c r="AH525" s="4"/>
      <c r="AI525" s="3">
        <f t="shared" si="79"/>
        <v>0</v>
      </c>
      <c r="AJ525" s="3"/>
      <c r="AK525" s="113" t="str">
        <f t="shared" si="81"/>
        <v xml:space="preserve">0.0 </v>
      </c>
      <c r="AL525" s="6"/>
      <c r="AM525" s="3"/>
      <c r="AN525" s="3"/>
      <c r="AO525" s="3">
        <f t="shared" si="82"/>
        <v>0</v>
      </c>
      <c r="AP525" s="3"/>
      <c r="AQ525" s="113" t="str">
        <f t="shared" si="83"/>
        <v xml:space="preserve">0.0 </v>
      </c>
      <c r="AS525" s="45"/>
      <c r="AW525" s="49"/>
    </row>
    <row r="526" spans="3:49">
      <c r="C526" s="42"/>
      <c r="F526" s="164"/>
      <c r="H526" s="164"/>
      <c r="I526" s="164"/>
      <c r="J526" s="316"/>
      <c r="K526" s="316"/>
      <c r="L526" s="45"/>
      <c r="M526" s="45"/>
      <c r="N526" s="46"/>
      <c r="O526" s="46"/>
      <c r="P526" s="45"/>
      <c r="Q526" s="45"/>
      <c r="R526" s="45"/>
      <c r="T526" s="350">
        <f t="shared" si="75"/>
        <v>111</v>
      </c>
      <c r="V526" s="48" t="str">
        <f t="shared" si="76"/>
        <v xml:space="preserve">   24' Style A - Breakaway - Direct Buried</v>
      </c>
      <c r="Y526" s="68">
        <f t="shared" si="77"/>
        <v>0</v>
      </c>
      <c r="Z526" s="1"/>
      <c r="AA526" s="68"/>
      <c r="AB526" s="68"/>
      <c r="AC526" s="132">
        <v>20.69</v>
      </c>
      <c r="AD526" s="342"/>
      <c r="AE526" s="3">
        <f t="shared" si="80"/>
        <v>0</v>
      </c>
      <c r="AF526" s="1"/>
      <c r="AG526" s="103">
        <f t="shared" si="78"/>
        <v>0</v>
      </c>
      <c r="AH526" s="4"/>
      <c r="AI526" s="3">
        <f t="shared" si="79"/>
        <v>0</v>
      </c>
      <c r="AJ526" s="3"/>
      <c r="AK526" s="113" t="str">
        <f t="shared" si="81"/>
        <v xml:space="preserve">0.0 </v>
      </c>
      <c r="AL526" s="6"/>
      <c r="AM526" s="3"/>
      <c r="AN526" s="3"/>
      <c r="AO526" s="3">
        <f t="shared" si="82"/>
        <v>0</v>
      </c>
      <c r="AP526" s="3"/>
      <c r="AQ526" s="113" t="str">
        <f t="shared" si="83"/>
        <v xml:space="preserve">0.0 </v>
      </c>
      <c r="AS526" s="45"/>
      <c r="AW526" s="49"/>
    </row>
    <row r="527" spans="3:49">
      <c r="C527" s="42"/>
      <c r="F527" s="164"/>
      <c r="H527" s="164"/>
      <c r="I527" s="164"/>
      <c r="J527" s="316"/>
      <c r="K527" s="316"/>
      <c r="L527" s="45"/>
      <c r="M527" s="45"/>
      <c r="N527" s="46"/>
      <c r="O527" s="46"/>
      <c r="P527" s="45"/>
      <c r="Q527" s="45"/>
      <c r="R527" s="45"/>
      <c r="T527" s="350">
        <f t="shared" si="75"/>
        <v>112</v>
      </c>
      <c r="V527" s="48" t="str">
        <f t="shared" si="76"/>
        <v xml:space="preserve">   27' Style A - Breakaway - Direct Buried</v>
      </c>
      <c r="Y527" s="68">
        <f t="shared" si="77"/>
        <v>0</v>
      </c>
      <c r="Z527" s="1"/>
      <c r="AA527" s="68"/>
      <c r="AB527" s="68"/>
      <c r="AC527" s="132">
        <v>19.79</v>
      </c>
      <c r="AD527" s="342"/>
      <c r="AE527" s="3">
        <f t="shared" si="80"/>
        <v>0</v>
      </c>
      <c r="AF527" s="1"/>
      <c r="AG527" s="103">
        <f t="shared" si="78"/>
        <v>0</v>
      </c>
      <c r="AH527" s="4"/>
      <c r="AI527" s="3">
        <f t="shared" si="79"/>
        <v>0</v>
      </c>
      <c r="AJ527" s="3"/>
      <c r="AK527" s="113" t="str">
        <f t="shared" si="81"/>
        <v xml:space="preserve">0.0 </v>
      </c>
      <c r="AL527" s="6"/>
      <c r="AM527" s="3"/>
      <c r="AN527" s="3"/>
      <c r="AO527" s="3">
        <f t="shared" si="82"/>
        <v>0</v>
      </c>
      <c r="AP527" s="3"/>
      <c r="AQ527" s="113" t="str">
        <f t="shared" si="83"/>
        <v xml:space="preserve">0.0 </v>
      </c>
      <c r="AS527" s="45"/>
      <c r="AW527" s="49"/>
    </row>
    <row r="528" spans="3:49">
      <c r="C528" s="42"/>
      <c r="F528" s="164"/>
      <c r="H528" s="164"/>
      <c r="I528" s="164"/>
      <c r="J528" s="316"/>
      <c r="K528" s="316"/>
      <c r="L528" s="45"/>
      <c r="M528" s="45"/>
      <c r="N528" s="46"/>
      <c r="O528" s="46"/>
      <c r="P528" s="45"/>
      <c r="Q528" s="45"/>
      <c r="R528" s="45"/>
      <c r="T528" s="350">
        <f t="shared" si="75"/>
        <v>113</v>
      </c>
      <c r="V528" s="48" t="str">
        <f t="shared" si="76"/>
        <v xml:space="preserve">   32' Style A - Breakaway - Direct Buried</v>
      </c>
      <c r="Y528" s="68">
        <f t="shared" si="77"/>
        <v>0</v>
      </c>
      <c r="Z528" s="1"/>
      <c r="AA528" s="68"/>
      <c r="AB528" s="68"/>
      <c r="AC528" s="132">
        <v>20.260000000000002</v>
      </c>
      <c r="AD528" s="342"/>
      <c r="AE528" s="3">
        <f t="shared" si="80"/>
        <v>0</v>
      </c>
      <c r="AF528" s="1"/>
      <c r="AG528" s="103">
        <f t="shared" si="78"/>
        <v>0</v>
      </c>
      <c r="AH528" s="4"/>
      <c r="AI528" s="3">
        <f t="shared" si="79"/>
        <v>0</v>
      </c>
      <c r="AJ528" s="3"/>
      <c r="AK528" s="113" t="str">
        <f t="shared" si="81"/>
        <v xml:space="preserve">0.0 </v>
      </c>
      <c r="AL528" s="6"/>
      <c r="AM528" s="3"/>
      <c r="AN528" s="3"/>
      <c r="AO528" s="3">
        <f t="shared" si="82"/>
        <v>0</v>
      </c>
      <c r="AP528" s="3"/>
      <c r="AQ528" s="113" t="str">
        <f t="shared" si="83"/>
        <v xml:space="preserve">0.0 </v>
      </c>
      <c r="AS528" s="45"/>
      <c r="AW528" s="49"/>
    </row>
    <row r="529" spans="3:49">
      <c r="C529" s="42"/>
      <c r="F529" s="164"/>
      <c r="H529" s="164"/>
      <c r="I529" s="164"/>
      <c r="J529" s="316"/>
      <c r="K529" s="316"/>
      <c r="L529" s="45"/>
      <c r="M529" s="45"/>
      <c r="N529" s="46"/>
      <c r="O529" s="46"/>
      <c r="P529" s="45"/>
      <c r="Q529" s="45"/>
      <c r="R529" s="45"/>
      <c r="T529" s="350">
        <f t="shared" si="75"/>
        <v>114</v>
      </c>
      <c r="V529" s="48" t="str">
        <f t="shared" si="76"/>
        <v xml:space="preserve">   37' Style A - Breakaway - Direct Buried</v>
      </c>
      <c r="Y529" s="68">
        <f t="shared" si="77"/>
        <v>0</v>
      </c>
      <c r="Z529" s="1"/>
      <c r="AA529" s="68"/>
      <c r="AB529" s="68"/>
      <c r="AC529" s="132">
        <v>21.56</v>
      </c>
      <c r="AD529" s="342"/>
      <c r="AE529" s="3">
        <f t="shared" si="80"/>
        <v>0</v>
      </c>
      <c r="AF529" s="1"/>
      <c r="AG529" s="103">
        <f t="shared" si="78"/>
        <v>0</v>
      </c>
      <c r="AH529" s="4"/>
      <c r="AI529" s="3">
        <f t="shared" si="79"/>
        <v>0</v>
      </c>
      <c r="AJ529" s="3"/>
      <c r="AK529" s="113" t="str">
        <f t="shared" si="81"/>
        <v xml:space="preserve">0.0 </v>
      </c>
      <c r="AL529" s="6"/>
      <c r="AM529" s="3"/>
      <c r="AN529" s="3"/>
      <c r="AO529" s="3">
        <f t="shared" si="82"/>
        <v>0</v>
      </c>
      <c r="AP529" s="3"/>
      <c r="AQ529" s="113" t="str">
        <f t="shared" si="83"/>
        <v xml:space="preserve">0.0 </v>
      </c>
      <c r="AS529" s="45"/>
      <c r="AW529" s="49"/>
    </row>
    <row r="530" spans="3:49">
      <c r="C530" s="42"/>
      <c r="F530" s="164"/>
      <c r="H530" s="164"/>
      <c r="I530" s="164"/>
      <c r="J530" s="316"/>
      <c r="K530" s="316"/>
      <c r="L530" s="45"/>
      <c r="M530" s="45"/>
      <c r="N530" s="46"/>
      <c r="O530" s="46"/>
      <c r="P530" s="45"/>
      <c r="Q530" s="45"/>
      <c r="R530" s="45"/>
      <c r="T530" s="350">
        <f t="shared" si="75"/>
        <v>115</v>
      </c>
      <c r="V530" s="48" t="str">
        <f t="shared" si="76"/>
        <v xml:space="preserve">   42' Style A - Breakaway - Direct Buried</v>
      </c>
      <c r="Y530" s="68">
        <f t="shared" si="77"/>
        <v>0</v>
      </c>
      <c r="Z530" s="1"/>
      <c r="AA530" s="68"/>
      <c r="AB530" s="68"/>
      <c r="AC530" s="132">
        <v>22.29</v>
      </c>
      <c r="AD530" s="342"/>
      <c r="AE530" s="3">
        <f t="shared" si="80"/>
        <v>0</v>
      </c>
      <c r="AF530" s="1"/>
      <c r="AG530" s="103">
        <f t="shared" si="78"/>
        <v>0</v>
      </c>
      <c r="AH530" s="4"/>
      <c r="AI530" s="3">
        <f t="shared" si="79"/>
        <v>0</v>
      </c>
      <c r="AJ530" s="3"/>
      <c r="AK530" s="113" t="str">
        <f t="shared" si="81"/>
        <v xml:space="preserve">0.0 </v>
      </c>
      <c r="AL530" s="6"/>
      <c r="AM530" s="3"/>
      <c r="AN530" s="3"/>
      <c r="AO530" s="3">
        <f t="shared" si="82"/>
        <v>0</v>
      </c>
      <c r="AP530" s="3"/>
      <c r="AQ530" s="113" t="str">
        <f t="shared" si="83"/>
        <v xml:space="preserve">0.0 </v>
      </c>
      <c r="AS530" s="45"/>
      <c r="AW530" s="49"/>
    </row>
    <row r="531" spans="3:49">
      <c r="C531" s="42"/>
      <c r="F531" s="164"/>
      <c r="H531" s="164"/>
      <c r="I531" s="164"/>
      <c r="J531" s="316"/>
      <c r="K531" s="316"/>
      <c r="L531" s="45"/>
      <c r="M531" s="45"/>
      <c r="N531" s="46"/>
      <c r="O531" s="46"/>
      <c r="P531" s="45"/>
      <c r="Q531" s="45"/>
      <c r="R531" s="45"/>
      <c r="T531" s="350">
        <f t="shared" si="75"/>
        <v>116</v>
      </c>
      <c r="V531" s="48" t="str">
        <f t="shared" si="76"/>
        <v xml:space="preserve">   17' Style B - Anchor Base</v>
      </c>
      <c r="Y531" s="68">
        <f t="shared" si="77"/>
        <v>0</v>
      </c>
      <c r="Z531" s="1"/>
      <c r="AA531" s="68"/>
      <c r="AB531" s="68"/>
      <c r="AC531" s="132">
        <v>15.04</v>
      </c>
      <c r="AD531" s="342"/>
      <c r="AE531" s="3">
        <f t="shared" si="80"/>
        <v>0</v>
      </c>
      <c r="AF531" s="1"/>
      <c r="AG531" s="103">
        <f t="shared" si="78"/>
        <v>0</v>
      </c>
      <c r="AH531" s="4"/>
      <c r="AI531" s="3">
        <f t="shared" si="79"/>
        <v>0</v>
      </c>
      <c r="AJ531" s="3"/>
      <c r="AK531" s="113" t="str">
        <f t="shared" si="81"/>
        <v xml:space="preserve">0.0 </v>
      </c>
      <c r="AL531" s="6"/>
      <c r="AM531" s="3"/>
      <c r="AN531" s="3"/>
      <c r="AO531" s="3">
        <f t="shared" si="82"/>
        <v>0</v>
      </c>
      <c r="AP531" s="3"/>
      <c r="AQ531" s="113" t="str">
        <f t="shared" si="83"/>
        <v xml:space="preserve">0.0 </v>
      </c>
      <c r="AS531" s="45"/>
      <c r="AW531" s="49"/>
    </row>
    <row r="532" spans="3:49">
      <c r="C532" s="42"/>
      <c r="F532" s="164"/>
      <c r="H532" s="164"/>
      <c r="I532" s="164"/>
      <c r="J532" s="316"/>
      <c r="K532" s="316"/>
      <c r="L532" s="45"/>
      <c r="M532" s="45"/>
      <c r="N532" s="46"/>
      <c r="O532" s="46"/>
      <c r="P532" s="45"/>
      <c r="Q532" s="45"/>
      <c r="R532" s="45"/>
      <c r="T532" s="350">
        <f t="shared" si="75"/>
        <v>117</v>
      </c>
      <c r="V532" s="48" t="str">
        <f t="shared" si="76"/>
        <v xml:space="preserve">   17' Style C - Post Top - Anchor Base</v>
      </c>
      <c r="Y532" s="68">
        <f t="shared" si="77"/>
        <v>0</v>
      </c>
      <c r="Z532" s="1"/>
      <c r="AA532" s="68"/>
      <c r="AB532" s="68"/>
      <c r="AC532" s="132">
        <v>16.22</v>
      </c>
      <c r="AD532" s="342"/>
      <c r="AE532" s="3">
        <f t="shared" si="80"/>
        <v>0</v>
      </c>
      <c r="AF532" s="1"/>
      <c r="AG532" s="103">
        <f t="shared" si="78"/>
        <v>0</v>
      </c>
      <c r="AH532" s="4"/>
      <c r="AI532" s="3">
        <f t="shared" si="79"/>
        <v>0</v>
      </c>
      <c r="AJ532" s="3"/>
      <c r="AK532" s="113" t="str">
        <f t="shared" si="81"/>
        <v xml:space="preserve">0.0 </v>
      </c>
      <c r="AL532" s="6"/>
      <c r="AM532" s="3"/>
      <c r="AN532" s="3"/>
      <c r="AO532" s="3">
        <f t="shared" si="82"/>
        <v>0</v>
      </c>
      <c r="AP532" s="3"/>
      <c r="AQ532" s="113" t="str">
        <f t="shared" si="83"/>
        <v xml:space="preserve">0.0 </v>
      </c>
      <c r="AS532" s="45"/>
      <c r="AW532" s="49"/>
    </row>
    <row r="533" spans="3:49">
      <c r="C533" s="42"/>
      <c r="F533" s="164"/>
      <c r="H533" s="164"/>
      <c r="I533" s="164"/>
      <c r="J533" s="316"/>
      <c r="K533" s="316"/>
      <c r="L533" s="45"/>
      <c r="M533" s="45"/>
      <c r="N533" s="46"/>
      <c r="O533" s="46"/>
      <c r="P533" s="45"/>
      <c r="Q533" s="45"/>
      <c r="R533" s="45"/>
      <c r="T533" s="350">
        <f t="shared" si="75"/>
        <v>118</v>
      </c>
      <c r="V533" s="48" t="str">
        <f t="shared" si="76"/>
        <v xml:space="preserve">   17' Style C - Davit - Anchor Base</v>
      </c>
      <c r="Y533" s="68">
        <f t="shared" si="77"/>
        <v>0</v>
      </c>
      <c r="Z533" s="1"/>
      <c r="AA533" s="68"/>
      <c r="AB533" s="68"/>
      <c r="AC533" s="132">
        <v>25.65</v>
      </c>
      <c r="AD533" s="342"/>
      <c r="AE533" s="3">
        <f t="shared" si="80"/>
        <v>0</v>
      </c>
      <c r="AF533" s="1"/>
      <c r="AG533" s="103">
        <f t="shared" si="78"/>
        <v>0</v>
      </c>
      <c r="AH533" s="4"/>
      <c r="AI533" s="3">
        <f t="shared" si="79"/>
        <v>0</v>
      </c>
      <c r="AJ533" s="3"/>
      <c r="AK533" s="113" t="str">
        <f t="shared" si="81"/>
        <v xml:space="preserve">0.0 </v>
      </c>
      <c r="AL533" s="6"/>
      <c r="AM533" s="3"/>
      <c r="AN533" s="3"/>
      <c r="AO533" s="3">
        <f t="shared" si="82"/>
        <v>0</v>
      </c>
      <c r="AP533" s="3"/>
      <c r="AQ533" s="113" t="str">
        <f t="shared" si="83"/>
        <v xml:space="preserve">0.0 </v>
      </c>
      <c r="AS533" s="45"/>
      <c r="AW533" s="49"/>
    </row>
    <row r="534" spans="3:49">
      <c r="C534" s="42"/>
      <c r="F534" s="164"/>
      <c r="H534" s="164"/>
      <c r="I534" s="164"/>
      <c r="J534" s="316"/>
      <c r="K534" s="316"/>
      <c r="L534" s="45"/>
      <c r="M534" s="45"/>
      <c r="N534" s="46"/>
      <c r="O534" s="46"/>
      <c r="P534" s="45"/>
      <c r="Q534" s="45"/>
      <c r="R534" s="45"/>
      <c r="T534" s="350">
        <f t="shared" si="75"/>
        <v>119</v>
      </c>
      <c r="V534" s="48" t="str">
        <f t="shared" si="76"/>
        <v xml:space="preserve">   17' Style C - Boston Harbor - Anchor Base</v>
      </c>
      <c r="Y534" s="68">
        <f t="shared" si="77"/>
        <v>0</v>
      </c>
      <c r="Z534" s="1"/>
      <c r="AA534" s="68"/>
      <c r="AB534" s="68"/>
      <c r="AC534" s="132">
        <v>25.02</v>
      </c>
      <c r="AD534" s="342"/>
      <c r="AE534" s="3">
        <f t="shared" si="80"/>
        <v>0</v>
      </c>
      <c r="AF534" s="1"/>
      <c r="AG534" s="103">
        <f t="shared" si="78"/>
        <v>0</v>
      </c>
      <c r="AH534" s="4"/>
      <c r="AI534" s="3">
        <f t="shared" si="79"/>
        <v>0</v>
      </c>
      <c r="AJ534" s="3"/>
      <c r="AK534" s="113" t="str">
        <f t="shared" si="81"/>
        <v xml:space="preserve">0.0 </v>
      </c>
      <c r="AL534" s="6"/>
      <c r="AM534" s="3"/>
      <c r="AN534" s="3"/>
      <c r="AO534" s="3">
        <f t="shared" si="82"/>
        <v>0</v>
      </c>
      <c r="AP534" s="3"/>
      <c r="AQ534" s="113" t="str">
        <f t="shared" si="83"/>
        <v xml:space="preserve">0.0 </v>
      </c>
      <c r="AS534" s="45"/>
      <c r="AW534" s="49"/>
    </row>
    <row r="535" spans="3:49">
      <c r="C535" s="42"/>
      <c r="F535" s="164"/>
      <c r="H535" s="164"/>
      <c r="I535" s="164"/>
      <c r="J535" s="316"/>
      <c r="K535" s="316"/>
      <c r="L535" s="45"/>
      <c r="M535" s="45"/>
      <c r="N535" s="46"/>
      <c r="O535" s="46"/>
      <c r="P535" s="45"/>
      <c r="Q535" s="45"/>
      <c r="R535" s="45"/>
      <c r="T535" s="350">
        <f t="shared" si="75"/>
        <v>120</v>
      </c>
      <c r="V535" s="48" t="str">
        <f t="shared" si="76"/>
        <v xml:space="preserve">   25' Style D - Boston Harbor - Anchor Base</v>
      </c>
      <c r="Y535" s="68">
        <f t="shared" si="77"/>
        <v>0</v>
      </c>
      <c r="Z535" s="1"/>
      <c r="AA535" s="68"/>
      <c r="AB535" s="68"/>
      <c r="AC535" s="132">
        <v>29.17</v>
      </c>
      <c r="AD535" s="342"/>
      <c r="AE535" s="3">
        <f t="shared" si="80"/>
        <v>0</v>
      </c>
      <c r="AF535" s="1"/>
      <c r="AG535" s="103">
        <f t="shared" si="78"/>
        <v>0</v>
      </c>
      <c r="AH535" s="4"/>
      <c r="AI535" s="3">
        <f t="shared" si="79"/>
        <v>0</v>
      </c>
      <c r="AJ535" s="3"/>
      <c r="AK535" s="113" t="str">
        <f t="shared" si="81"/>
        <v xml:space="preserve">0.0 </v>
      </c>
      <c r="AL535" s="6"/>
      <c r="AM535" s="3"/>
      <c r="AN535" s="3"/>
      <c r="AO535" s="3">
        <f t="shared" si="82"/>
        <v>0</v>
      </c>
      <c r="AP535" s="3"/>
      <c r="AQ535" s="113" t="str">
        <f t="shared" si="83"/>
        <v xml:space="preserve">0.0 </v>
      </c>
      <c r="AS535" s="45"/>
      <c r="AW535" s="49"/>
    </row>
    <row r="536" spans="3:49">
      <c r="C536" s="42"/>
      <c r="F536" s="164"/>
      <c r="H536" s="164"/>
      <c r="I536" s="164"/>
      <c r="J536" s="316"/>
      <c r="K536" s="316"/>
      <c r="L536" s="45"/>
      <c r="M536" s="45"/>
      <c r="N536" s="46"/>
      <c r="O536" s="46"/>
      <c r="P536" s="45"/>
      <c r="Q536" s="45"/>
      <c r="R536" s="45"/>
      <c r="T536" s="350">
        <f t="shared" si="75"/>
        <v>121</v>
      </c>
      <c r="V536" s="48" t="str">
        <f t="shared" si="76"/>
        <v xml:space="preserve">   50' Wood - Direct Buried</v>
      </c>
      <c r="Y536" s="68">
        <f t="shared" si="77"/>
        <v>0</v>
      </c>
      <c r="Z536" s="1"/>
      <c r="AA536" s="68"/>
      <c r="AB536" s="68"/>
      <c r="AC536" s="132">
        <v>10.64</v>
      </c>
      <c r="AD536" s="342"/>
      <c r="AE536" s="3">
        <f t="shared" si="80"/>
        <v>0</v>
      </c>
      <c r="AF536" s="1"/>
      <c r="AG536" s="103">
        <f t="shared" si="78"/>
        <v>0</v>
      </c>
      <c r="AH536" s="4"/>
      <c r="AI536" s="3">
        <f t="shared" si="79"/>
        <v>0</v>
      </c>
      <c r="AJ536" s="3"/>
      <c r="AK536" s="113" t="str">
        <f t="shared" si="81"/>
        <v xml:space="preserve">0.0 </v>
      </c>
      <c r="AL536" s="6"/>
      <c r="AM536" s="3"/>
      <c r="AN536" s="3"/>
      <c r="AO536" s="3">
        <f t="shared" si="82"/>
        <v>0</v>
      </c>
      <c r="AP536" s="3"/>
      <c r="AQ536" s="113" t="str">
        <f t="shared" si="83"/>
        <v xml:space="preserve">0.0 </v>
      </c>
      <c r="AS536" s="45"/>
      <c r="AW536" s="49"/>
    </row>
    <row r="537" spans="3:49">
      <c r="C537" s="42"/>
      <c r="F537" s="164"/>
      <c r="H537" s="164"/>
      <c r="I537" s="164"/>
      <c r="J537" s="316"/>
      <c r="K537" s="316"/>
      <c r="L537" s="45"/>
      <c r="M537" s="45"/>
      <c r="N537" s="46"/>
      <c r="O537" s="46"/>
      <c r="P537" s="45"/>
      <c r="Q537" s="45"/>
      <c r="R537" s="45"/>
      <c r="T537" s="350">
        <f t="shared" si="75"/>
        <v>122</v>
      </c>
      <c r="V537" s="48" t="str">
        <f t="shared" si="76"/>
        <v xml:space="preserve">   55' Wood - Direct Buried</v>
      </c>
      <c r="Y537" s="68">
        <f t="shared" si="77"/>
        <v>0</v>
      </c>
      <c r="Z537" s="1"/>
      <c r="AA537" s="68"/>
      <c r="AB537" s="68"/>
      <c r="AC537" s="132">
        <v>11.21</v>
      </c>
      <c r="AD537" s="342"/>
      <c r="AE537" s="3">
        <f t="shared" si="80"/>
        <v>0</v>
      </c>
      <c r="AF537" s="1"/>
      <c r="AG537" s="103">
        <f t="shared" si="78"/>
        <v>0</v>
      </c>
      <c r="AH537" s="4"/>
      <c r="AI537" s="3">
        <f t="shared" si="79"/>
        <v>0</v>
      </c>
      <c r="AJ537" s="3"/>
      <c r="AK537" s="113" t="str">
        <f t="shared" si="81"/>
        <v xml:space="preserve">0.0 </v>
      </c>
      <c r="AL537" s="6"/>
      <c r="AM537" s="3"/>
      <c r="AN537" s="3"/>
      <c r="AO537" s="3">
        <f t="shared" si="82"/>
        <v>0</v>
      </c>
      <c r="AP537" s="3"/>
      <c r="AQ537" s="113" t="str">
        <f t="shared" si="83"/>
        <v xml:space="preserve">0.0 </v>
      </c>
      <c r="AS537" s="45"/>
      <c r="AW537" s="49"/>
    </row>
    <row r="538" spans="3:49">
      <c r="C538" s="42"/>
      <c r="F538" s="164"/>
      <c r="H538" s="164"/>
      <c r="I538" s="164"/>
      <c r="J538" s="316"/>
      <c r="K538" s="316"/>
      <c r="L538" s="45"/>
      <c r="M538" s="45"/>
      <c r="N538" s="46"/>
      <c r="O538" s="46"/>
      <c r="P538" s="45"/>
      <c r="Q538" s="45"/>
      <c r="R538" s="45"/>
      <c r="T538" s="350">
        <f t="shared" si="75"/>
        <v>123</v>
      </c>
      <c r="V538" s="48" t="str">
        <f t="shared" si="76"/>
        <v xml:space="preserve">   18' Style C - Breakaway - Direct Buried</v>
      </c>
      <c r="Y538" s="68">
        <f t="shared" si="77"/>
        <v>0</v>
      </c>
      <c r="Z538" s="1"/>
      <c r="AA538" s="68"/>
      <c r="AB538" s="68"/>
      <c r="AC538" s="132">
        <v>22.18</v>
      </c>
      <c r="AD538" s="342"/>
      <c r="AE538" s="3">
        <f t="shared" si="80"/>
        <v>0</v>
      </c>
      <c r="AF538" s="1"/>
      <c r="AG538" s="103">
        <f t="shared" si="78"/>
        <v>0</v>
      </c>
      <c r="AH538" s="4"/>
      <c r="AI538" s="3">
        <f t="shared" si="79"/>
        <v>0</v>
      </c>
      <c r="AJ538" s="3"/>
      <c r="AK538" s="113" t="str">
        <f t="shared" si="81"/>
        <v xml:space="preserve">0.0 </v>
      </c>
      <c r="AL538" s="6"/>
      <c r="AM538" s="3"/>
      <c r="AN538" s="3"/>
      <c r="AO538" s="3">
        <f t="shared" si="82"/>
        <v>0</v>
      </c>
      <c r="AP538" s="3"/>
      <c r="AQ538" s="113" t="str">
        <f t="shared" si="83"/>
        <v xml:space="preserve">0.0 </v>
      </c>
      <c r="AS538" s="45"/>
      <c r="AW538" s="49"/>
    </row>
    <row r="539" spans="3:49">
      <c r="C539" s="42"/>
      <c r="F539" s="164"/>
      <c r="H539" s="164"/>
      <c r="I539" s="164"/>
      <c r="J539" s="316"/>
      <c r="K539" s="316"/>
      <c r="L539" s="45"/>
      <c r="M539" s="45"/>
      <c r="N539" s="46"/>
      <c r="O539" s="46"/>
      <c r="P539" s="45"/>
      <c r="Q539" s="45"/>
      <c r="R539" s="45"/>
      <c r="T539" s="350">
        <f t="shared" si="75"/>
        <v>124</v>
      </c>
      <c r="V539" s="48" t="str">
        <f t="shared" si="76"/>
        <v xml:space="preserve">   17' Wood Laminated</v>
      </c>
      <c r="Y539" s="68">
        <f t="shared" si="77"/>
        <v>0</v>
      </c>
      <c r="Z539" s="1"/>
      <c r="AA539" s="68"/>
      <c r="AB539" s="68"/>
      <c r="AC539" s="132">
        <v>6.25</v>
      </c>
      <c r="AD539" s="342"/>
      <c r="AE539" s="3">
        <f t="shared" ref="AE539:AE549" si="84">ROUND((Y539*(AC539+AD539)),0)</f>
        <v>0</v>
      </c>
      <c r="AF539" s="1"/>
      <c r="AG539" s="103">
        <f t="shared" si="78"/>
        <v>0</v>
      </c>
      <c r="AH539" s="4"/>
      <c r="AI539" s="3">
        <f t="shared" si="79"/>
        <v>0</v>
      </c>
      <c r="AJ539" s="3"/>
      <c r="AK539" s="113" t="str">
        <f t="shared" ref="AK539:AK549" si="85">IF(AE539=0,"0.0 ",ROUND((AI539/AE539)*100,1))</f>
        <v xml:space="preserve">0.0 </v>
      </c>
      <c r="AL539" s="6"/>
      <c r="AM539" s="3"/>
      <c r="AN539" s="3"/>
      <c r="AO539" s="3">
        <f t="shared" ref="AO539:AO549" si="86">AM539+AE539</f>
        <v>0</v>
      </c>
      <c r="AP539" s="3"/>
      <c r="AQ539" s="113" t="str">
        <f t="shared" ref="AQ539:AQ549" si="87">IF(AO539=0,"0.0 ",ROUND((AI539/AO539)*100,1))</f>
        <v xml:space="preserve">0.0 </v>
      </c>
      <c r="AS539" s="45"/>
      <c r="AW539" s="49"/>
    </row>
    <row r="540" spans="3:49">
      <c r="C540" s="42"/>
      <c r="F540" s="164"/>
      <c r="H540" s="164"/>
      <c r="I540" s="164"/>
      <c r="J540" s="316"/>
      <c r="K540" s="316"/>
      <c r="L540" s="45"/>
      <c r="M540" s="45"/>
      <c r="N540" s="46"/>
      <c r="O540" s="46"/>
      <c r="P540" s="45"/>
      <c r="Q540" s="45"/>
      <c r="R540" s="45"/>
      <c r="T540" s="350">
        <f t="shared" si="75"/>
        <v>125</v>
      </c>
      <c r="V540" s="48" t="str">
        <f t="shared" si="76"/>
        <v xml:space="preserve">   12' Aluminum (decorative)</v>
      </c>
      <c r="Y540" s="68">
        <f t="shared" si="77"/>
        <v>0</v>
      </c>
      <c r="Z540" s="1"/>
      <c r="AA540" s="68"/>
      <c r="AB540" s="68"/>
      <c r="AC540" s="132">
        <v>16.98</v>
      </c>
      <c r="AD540" s="342"/>
      <c r="AE540" s="3">
        <f t="shared" si="84"/>
        <v>0</v>
      </c>
      <c r="AF540" s="1"/>
      <c r="AG540" s="103">
        <f t="shared" si="78"/>
        <v>0</v>
      </c>
      <c r="AH540" s="4"/>
      <c r="AI540" s="3">
        <f t="shared" si="79"/>
        <v>0</v>
      </c>
      <c r="AJ540" s="3"/>
      <c r="AK540" s="113" t="str">
        <f t="shared" si="85"/>
        <v xml:space="preserve">0.0 </v>
      </c>
      <c r="AL540" s="6"/>
      <c r="AM540" s="3"/>
      <c r="AN540" s="3"/>
      <c r="AO540" s="3">
        <f t="shared" si="86"/>
        <v>0</v>
      </c>
      <c r="AP540" s="3"/>
      <c r="AQ540" s="113" t="str">
        <f t="shared" si="87"/>
        <v xml:space="preserve">0.0 </v>
      </c>
      <c r="AS540" s="45"/>
      <c r="AW540" s="49"/>
    </row>
    <row r="541" spans="3:49">
      <c r="C541" s="42"/>
      <c r="F541" s="164"/>
      <c r="H541" s="164"/>
      <c r="I541" s="164"/>
      <c r="J541" s="316"/>
      <c r="K541" s="316"/>
      <c r="L541" s="45"/>
      <c r="M541" s="45"/>
      <c r="N541" s="46"/>
      <c r="O541" s="46"/>
      <c r="P541" s="45"/>
      <c r="Q541" s="45"/>
      <c r="R541" s="45"/>
      <c r="T541" s="350">
        <f t="shared" si="75"/>
        <v>126</v>
      </c>
      <c r="V541" s="48" t="str">
        <f t="shared" si="76"/>
        <v xml:space="preserve">   28' Aluminum</v>
      </c>
      <c r="Y541" s="68">
        <f t="shared" si="77"/>
        <v>0</v>
      </c>
      <c r="Z541" s="1"/>
      <c r="AA541" s="68"/>
      <c r="AB541" s="68"/>
      <c r="AC541" s="132">
        <v>9.84</v>
      </c>
      <c r="AD541" s="342"/>
      <c r="AE541" s="3">
        <f t="shared" si="84"/>
        <v>0</v>
      </c>
      <c r="AF541" s="1"/>
      <c r="AG541" s="103">
        <f t="shared" si="78"/>
        <v>0</v>
      </c>
      <c r="AH541" s="4"/>
      <c r="AI541" s="3">
        <f t="shared" si="79"/>
        <v>0</v>
      </c>
      <c r="AJ541" s="3"/>
      <c r="AK541" s="113" t="str">
        <f t="shared" si="85"/>
        <v xml:space="preserve">0.0 </v>
      </c>
      <c r="AL541" s="6"/>
      <c r="AM541" s="3"/>
      <c r="AN541" s="3"/>
      <c r="AO541" s="3">
        <f t="shared" si="86"/>
        <v>0</v>
      </c>
      <c r="AP541" s="3"/>
      <c r="AQ541" s="113" t="str">
        <f t="shared" si="87"/>
        <v xml:space="preserve">0.0 </v>
      </c>
      <c r="AS541" s="45"/>
      <c r="AW541" s="49"/>
    </row>
    <row r="542" spans="3:49">
      <c r="C542" s="42"/>
      <c r="F542" s="164"/>
      <c r="H542" s="164"/>
      <c r="I542" s="164"/>
      <c r="J542" s="316"/>
      <c r="K542" s="316"/>
      <c r="L542" s="45"/>
      <c r="M542" s="45"/>
      <c r="N542" s="46"/>
      <c r="O542" s="46"/>
      <c r="P542" s="45"/>
      <c r="Q542" s="45"/>
      <c r="R542" s="45"/>
      <c r="T542" s="350">
        <f t="shared" si="75"/>
        <v>127</v>
      </c>
      <c r="V542" s="48" t="str">
        <f t="shared" si="76"/>
        <v xml:space="preserve">   28' Aluminum - Heavy Duty</v>
      </c>
      <c r="Y542" s="68">
        <f t="shared" si="77"/>
        <v>0</v>
      </c>
      <c r="Z542" s="1"/>
      <c r="AA542" s="68"/>
      <c r="AB542" s="68"/>
      <c r="AC542" s="132">
        <v>9.9499999999999993</v>
      </c>
      <c r="AD542" s="342"/>
      <c r="AE542" s="3">
        <f t="shared" si="84"/>
        <v>0</v>
      </c>
      <c r="AF542" s="1"/>
      <c r="AG542" s="103">
        <f t="shared" si="78"/>
        <v>0</v>
      </c>
      <c r="AH542" s="4"/>
      <c r="AI542" s="3">
        <f t="shared" si="79"/>
        <v>0</v>
      </c>
      <c r="AJ542" s="3"/>
      <c r="AK542" s="113" t="str">
        <f t="shared" si="85"/>
        <v xml:space="preserve">0.0 </v>
      </c>
      <c r="AL542" s="6"/>
      <c r="AM542" s="3"/>
      <c r="AN542" s="3"/>
      <c r="AO542" s="3">
        <f t="shared" si="86"/>
        <v>0</v>
      </c>
      <c r="AP542" s="3"/>
      <c r="AQ542" s="113" t="str">
        <f t="shared" si="87"/>
        <v xml:space="preserve">0.0 </v>
      </c>
      <c r="AS542" s="45"/>
      <c r="AW542" s="49"/>
    </row>
    <row r="543" spans="3:49">
      <c r="C543" s="42"/>
      <c r="F543" s="164"/>
      <c r="H543" s="164"/>
      <c r="I543" s="164"/>
      <c r="J543" s="316"/>
      <c r="K543" s="316"/>
      <c r="L543" s="45"/>
      <c r="M543" s="45"/>
      <c r="N543" s="46"/>
      <c r="O543" s="46"/>
      <c r="P543" s="45"/>
      <c r="Q543" s="45"/>
      <c r="R543" s="45"/>
      <c r="T543" s="350">
        <f t="shared" si="75"/>
        <v>128</v>
      </c>
      <c r="V543" s="48" t="str">
        <f t="shared" si="76"/>
        <v xml:space="preserve">   30' Aluminum - Anchor Base</v>
      </c>
      <c r="Y543" s="68">
        <f t="shared" si="77"/>
        <v>0</v>
      </c>
      <c r="Z543" s="1"/>
      <c r="AA543" s="68"/>
      <c r="AB543" s="68"/>
      <c r="AC543" s="132">
        <v>19.66</v>
      </c>
      <c r="AD543" s="342"/>
      <c r="AE543" s="3">
        <f t="shared" si="84"/>
        <v>0</v>
      </c>
      <c r="AF543" s="1"/>
      <c r="AG543" s="103">
        <f t="shared" si="78"/>
        <v>0</v>
      </c>
      <c r="AH543" s="4"/>
      <c r="AI543" s="3">
        <f t="shared" si="79"/>
        <v>0</v>
      </c>
      <c r="AJ543" s="3"/>
      <c r="AK543" s="113" t="str">
        <f t="shared" si="85"/>
        <v xml:space="preserve">0.0 </v>
      </c>
      <c r="AL543" s="6"/>
      <c r="AM543" s="3"/>
      <c r="AN543" s="3"/>
      <c r="AO543" s="3">
        <f t="shared" si="86"/>
        <v>0</v>
      </c>
      <c r="AP543" s="3"/>
      <c r="AQ543" s="113" t="str">
        <f t="shared" si="87"/>
        <v xml:space="preserve">0.0 </v>
      </c>
      <c r="AS543" s="45"/>
      <c r="AW543" s="49"/>
    </row>
    <row r="544" spans="3:49">
      <c r="C544" s="42"/>
      <c r="F544" s="164"/>
      <c r="H544" s="164"/>
      <c r="I544" s="164"/>
      <c r="J544" s="316"/>
      <c r="K544" s="316"/>
      <c r="L544" s="45"/>
      <c r="M544" s="45"/>
      <c r="N544" s="46"/>
      <c r="O544" s="46"/>
      <c r="P544" s="45"/>
      <c r="Q544" s="45"/>
      <c r="R544" s="45"/>
      <c r="T544" s="350">
        <f t="shared" si="75"/>
        <v>129</v>
      </c>
      <c r="V544" s="48" t="str">
        <f t="shared" si="76"/>
        <v xml:space="preserve">   17' Fiberglass</v>
      </c>
      <c r="Y544" s="68">
        <f t="shared" si="77"/>
        <v>0</v>
      </c>
      <c r="Z544" s="1"/>
      <c r="AA544" s="68"/>
      <c r="AB544" s="68"/>
      <c r="AC544" s="132">
        <v>6.25</v>
      </c>
      <c r="AD544" s="342"/>
      <c r="AE544" s="3">
        <f t="shared" si="84"/>
        <v>0</v>
      </c>
      <c r="AF544" s="1"/>
      <c r="AG544" s="103">
        <f t="shared" si="78"/>
        <v>0</v>
      </c>
      <c r="AH544" s="4"/>
      <c r="AI544" s="3">
        <f t="shared" si="79"/>
        <v>0</v>
      </c>
      <c r="AJ544" s="3"/>
      <c r="AK544" s="113" t="str">
        <f t="shared" si="85"/>
        <v xml:space="preserve">0.0 </v>
      </c>
      <c r="AL544" s="6"/>
      <c r="AM544" s="3"/>
      <c r="AN544" s="3"/>
      <c r="AO544" s="3">
        <f t="shared" si="86"/>
        <v>0</v>
      </c>
      <c r="AP544" s="3"/>
      <c r="AQ544" s="113" t="str">
        <f t="shared" si="87"/>
        <v xml:space="preserve">0.0 </v>
      </c>
      <c r="AS544" s="45"/>
      <c r="AW544" s="49"/>
    </row>
    <row r="545" spans="3:49">
      <c r="C545" s="42"/>
      <c r="F545" s="164"/>
      <c r="H545" s="164"/>
      <c r="I545" s="164"/>
      <c r="J545" s="316"/>
      <c r="K545" s="316"/>
      <c r="L545" s="45"/>
      <c r="M545" s="45"/>
      <c r="N545" s="46"/>
      <c r="O545" s="46"/>
      <c r="P545" s="45"/>
      <c r="Q545" s="45"/>
      <c r="R545" s="45"/>
      <c r="T545" s="350">
        <f t="shared" si="75"/>
        <v>130</v>
      </c>
      <c r="V545" s="48" t="str">
        <f t="shared" si="76"/>
        <v xml:space="preserve">   12' Fiberglass - Decorative</v>
      </c>
      <c r="Y545" s="68">
        <f t="shared" si="77"/>
        <v>0</v>
      </c>
      <c r="Z545" s="1"/>
      <c r="AA545" s="68"/>
      <c r="AB545" s="68"/>
      <c r="AC545" s="132">
        <v>18.260000000000002</v>
      </c>
      <c r="AD545" s="342"/>
      <c r="AE545" s="3">
        <f t="shared" si="84"/>
        <v>0</v>
      </c>
      <c r="AF545" s="1"/>
      <c r="AG545" s="103">
        <f t="shared" si="78"/>
        <v>0</v>
      </c>
      <c r="AH545" s="4"/>
      <c r="AI545" s="3">
        <f t="shared" si="79"/>
        <v>0</v>
      </c>
      <c r="AJ545" s="3"/>
      <c r="AK545" s="113" t="str">
        <f t="shared" si="85"/>
        <v xml:space="preserve">0.0 </v>
      </c>
      <c r="AL545" s="6"/>
      <c r="AM545" s="3"/>
      <c r="AN545" s="3"/>
      <c r="AO545" s="3">
        <f t="shared" si="86"/>
        <v>0</v>
      </c>
      <c r="AP545" s="3"/>
      <c r="AQ545" s="113" t="str">
        <f t="shared" si="87"/>
        <v xml:space="preserve">0.0 </v>
      </c>
      <c r="AS545" s="45"/>
      <c r="AW545" s="49"/>
    </row>
    <row r="546" spans="3:49">
      <c r="C546" s="42"/>
      <c r="F546" s="164"/>
      <c r="H546" s="164"/>
      <c r="I546" s="164"/>
      <c r="J546" s="316"/>
      <c r="K546" s="316"/>
      <c r="L546" s="45"/>
      <c r="M546" s="45"/>
      <c r="N546" s="46"/>
      <c r="O546" s="46"/>
      <c r="P546" s="45"/>
      <c r="Q546" s="45"/>
      <c r="R546" s="45"/>
      <c r="T546" s="350">
        <f t="shared" si="75"/>
        <v>131</v>
      </c>
      <c r="V546" s="48" t="str">
        <f t="shared" si="76"/>
        <v xml:space="preserve">   30'  Fiberglass (Bronze)</v>
      </c>
      <c r="Y546" s="68">
        <f t="shared" si="77"/>
        <v>0</v>
      </c>
      <c r="Z546" s="1"/>
      <c r="AA546" s="68"/>
      <c r="AB546" s="68"/>
      <c r="AC546" s="132">
        <v>11.88</v>
      </c>
      <c r="AD546" s="342"/>
      <c r="AE546" s="3">
        <f t="shared" si="84"/>
        <v>0</v>
      </c>
      <c r="AF546" s="1"/>
      <c r="AG546" s="103">
        <f t="shared" si="78"/>
        <v>0</v>
      </c>
      <c r="AH546" s="4"/>
      <c r="AI546" s="3">
        <f t="shared" si="79"/>
        <v>0</v>
      </c>
      <c r="AJ546" s="3"/>
      <c r="AK546" s="113" t="str">
        <f t="shared" si="85"/>
        <v xml:space="preserve">0.0 </v>
      </c>
      <c r="AL546" s="6"/>
      <c r="AM546" s="3"/>
      <c r="AN546" s="3"/>
      <c r="AO546" s="3">
        <f t="shared" si="86"/>
        <v>0</v>
      </c>
      <c r="AP546" s="3"/>
      <c r="AQ546" s="113" t="str">
        <f t="shared" si="87"/>
        <v xml:space="preserve">0.0 </v>
      </c>
      <c r="AS546" s="45"/>
      <c r="AW546" s="49"/>
    </row>
    <row r="547" spans="3:49">
      <c r="C547" s="42"/>
      <c r="F547" s="164"/>
      <c r="H547" s="164"/>
      <c r="I547" s="164"/>
      <c r="J547" s="316"/>
      <c r="K547" s="316"/>
      <c r="L547" s="45"/>
      <c r="M547" s="45"/>
      <c r="N547" s="46"/>
      <c r="O547" s="46"/>
      <c r="P547" s="45"/>
      <c r="Q547" s="45"/>
      <c r="R547" s="45"/>
      <c r="T547" s="350">
        <f t="shared" si="75"/>
        <v>132</v>
      </c>
      <c r="V547" s="48" t="str">
        <f t="shared" si="76"/>
        <v xml:space="preserve">   35'  Fiberglass (Bronze)</v>
      </c>
      <c r="Y547" s="68">
        <f t="shared" si="77"/>
        <v>0</v>
      </c>
      <c r="Z547" s="1"/>
      <c r="AA547" s="68"/>
      <c r="AB547" s="68"/>
      <c r="AC547" s="132">
        <v>12.21</v>
      </c>
      <c r="AD547" s="342"/>
      <c r="AE547" s="3">
        <f t="shared" si="84"/>
        <v>0</v>
      </c>
      <c r="AF547" s="1"/>
      <c r="AG547" s="103">
        <f t="shared" si="78"/>
        <v>0</v>
      </c>
      <c r="AH547" s="4"/>
      <c r="AI547" s="3">
        <f t="shared" si="79"/>
        <v>0</v>
      </c>
      <c r="AJ547" s="3"/>
      <c r="AK547" s="113" t="str">
        <f t="shared" si="85"/>
        <v xml:space="preserve">0.0 </v>
      </c>
      <c r="AL547" s="6"/>
      <c r="AM547" s="3"/>
      <c r="AN547" s="3"/>
      <c r="AO547" s="3">
        <f t="shared" si="86"/>
        <v>0</v>
      </c>
      <c r="AP547" s="3"/>
      <c r="AQ547" s="113" t="str">
        <f t="shared" si="87"/>
        <v xml:space="preserve">0.0 </v>
      </c>
      <c r="AS547" s="45"/>
      <c r="AW547" s="49"/>
    </row>
    <row r="548" spans="3:49">
      <c r="C548" s="42"/>
      <c r="F548" s="164"/>
      <c r="H548" s="164"/>
      <c r="I548" s="164"/>
      <c r="J548" s="316"/>
      <c r="K548" s="316"/>
      <c r="L548" s="45"/>
      <c r="M548" s="45"/>
      <c r="N548" s="46"/>
      <c r="O548" s="46"/>
      <c r="P548" s="45"/>
      <c r="Q548" s="45"/>
      <c r="R548" s="45"/>
      <c r="T548" s="350">
        <f t="shared" si="75"/>
        <v>133</v>
      </c>
      <c r="V548" s="48" t="str">
        <f t="shared" si="76"/>
        <v xml:space="preserve">   27' Steel (11 gauge)</v>
      </c>
      <c r="Y548" s="68">
        <f t="shared" si="77"/>
        <v>0</v>
      </c>
      <c r="Z548" s="1"/>
      <c r="AA548" s="68"/>
      <c r="AB548" s="68"/>
      <c r="AC548" s="132">
        <v>16.05</v>
      </c>
      <c r="AD548" s="342"/>
      <c r="AE548" s="3">
        <f t="shared" si="84"/>
        <v>0</v>
      </c>
      <c r="AF548" s="1"/>
      <c r="AG548" s="103">
        <f t="shared" si="78"/>
        <v>0</v>
      </c>
      <c r="AH548" s="4"/>
      <c r="AI548" s="3">
        <f t="shared" si="79"/>
        <v>0</v>
      </c>
      <c r="AJ548" s="3"/>
      <c r="AK548" s="113" t="str">
        <f t="shared" si="85"/>
        <v xml:space="preserve">0.0 </v>
      </c>
      <c r="AL548" s="6"/>
      <c r="AM548" s="3"/>
      <c r="AN548" s="3"/>
      <c r="AO548" s="3">
        <f t="shared" si="86"/>
        <v>0</v>
      </c>
      <c r="AP548" s="3"/>
      <c r="AQ548" s="113" t="str">
        <f t="shared" si="87"/>
        <v xml:space="preserve">0.0 </v>
      </c>
      <c r="AS548" s="45"/>
      <c r="AW548" s="49"/>
    </row>
    <row r="549" spans="3:49">
      <c r="C549" s="42"/>
      <c r="F549" s="164"/>
      <c r="H549" s="164"/>
      <c r="I549" s="164"/>
      <c r="J549" s="316"/>
      <c r="K549" s="316"/>
      <c r="L549" s="45"/>
      <c r="M549" s="45"/>
      <c r="N549" s="46"/>
      <c r="O549" s="46"/>
      <c r="P549" s="45"/>
      <c r="Q549" s="45"/>
      <c r="R549" s="45"/>
      <c r="T549" s="350">
        <f t="shared" si="75"/>
        <v>134</v>
      </c>
      <c r="V549" s="48" t="str">
        <f t="shared" si="76"/>
        <v xml:space="preserve">   27' Steel (3 gauge)</v>
      </c>
      <c r="Y549" s="68">
        <f t="shared" si="77"/>
        <v>0</v>
      </c>
      <c r="Z549" s="1"/>
      <c r="AA549" s="68"/>
      <c r="AB549" s="68"/>
      <c r="AC549" s="132">
        <v>23.69</v>
      </c>
      <c r="AD549" s="342"/>
      <c r="AE549" s="3">
        <f t="shared" si="84"/>
        <v>0</v>
      </c>
      <c r="AF549" s="1"/>
      <c r="AG549" s="103">
        <f t="shared" si="78"/>
        <v>0</v>
      </c>
      <c r="AH549" s="4"/>
      <c r="AI549" s="3">
        <f t="shared" si="79"/>
        <v>0</v>
      </c>
      <c r="AJ549" s="3"/>
      <c r="AK549" s="113" t="str">
        <f t="shared" si="85"/>
        <v xml:space="preserve">0.0 </v>
      </c>
      <c r="AL549" s="6"/>
      <c r="AM549" s="3"/>
      <c r="AN549" s="3"/>
      <c r="AO549" s="3">
        <f t="shared" si="86"/>
        <v>0</v>
      </c>
      <c r="AP549" s="3"/>
      <c r="AQ549" s="113" t="str">
        <f t="shared" si="87"/>
        <v xml:space="preserve">0.0 </v>
      </c>
      <c r="AS549" s="45"/>
      <c r="AW549" s="49"/>
    </row>
    <row r="550" spans="3:49">
      <c r="C550" s="42"/>
      <c r="F550" s="164"/>
      <c r="H550" s="164"/>
      <c r="I550" s="164"/>
      <c r="J550" s="316"/>
      <c r="K550" s="316"/>
      <c r="L550" s="45"/>
      <c r="M550" s="45"/>
      <c r="N550" s="46"/>
      <c r="O550" s="46"/>
      <c r="P550" s="45"/>
      <c r="Q550" s="45"/>
      <c r="R550" s="45"/>
      <c r="T550" s="350"/>
      <c r="V550" s="48"/>
      <c r="Y550" s="68"/>
      <c r="Z550" s="1"/>
      <c r="AA550" s="68"/>
      <c r="AB550" s="68"/>
      <c r="AC550" s="132"/>
      <c r="AD550" s="342"/>
      <c r="AE550" s="3"/>
      <c r="AF550" s="1"/>
      <c r="AG550" s="103"/>
      <c r="AH550" s="4"/>
      <c r="AI550" s="3"/>
      <c r="AJ550" s="3"/>
      <c r="AK550" s="113"/>
      <c r="AL550" s="6"/>
      <c r="AM550" s="3"/>
      <c r="AN550" s="3"/>
      <c r="AO550" s="3"/>
      <c r="AP550" s="3"/>
      <c r="AQ550" s="113"/>
      <c r="AS550" s="45"/>
      <c r="AW550" s="49"/>
    </row>
    <row r="551" spans="3:49">
      <c r="C551" s="42"/>
      <c r="F551" s="164"/>
      <c r="H551" s="164"/>
      <c r="I551" s="164"/>
      <c r="J551" s="316"/>
      <c r="K551" s="316"/>
      <c r="L551" s="45"/>
      <c r="M551" s="45"/>
      <c r="N551" s="46"/>
      <c r="O551" s="46"/>
      <c r="P551" s="45"/>
      <c r="Q551" s="45"/>
      <c r="R551" s="45"/>
      <c r="T551" s="140" t="s">
        <v>76</v>
      </c>
      <c r="V551" s="48"/>
      <c r="Y551" s="68"/>
      <c r="Z551" s="1"/>
      <c r="AA551" s="68"/>
      <c r="AB551" s="68"/>
      <c r="AC551" s="132"/>
      <c r="AD551" s="132"/>
      <c r="AE551" s="3"/>
      <c r="AF551" s="3"/>
      <c r="AG551" s="103"/>
      <c r="AH551" s="4"/>
      <c r="AI551" s="3"/>
      <c r="AJ551" s="3"/>
      <c r="AK551" s="113"/>
      <c r="AL551" s="6"/>
      <c r="AM551" s="3"/>
      <c r="AN551" s="3"/>
      <c r="AO551" s="3"/>
      <c r="AP551" s="3"/>
      <c r="AQ551" s="113"/>
      <c r="AS551" s="45"/>
      <c r="AW551" s="49"/>
    </row>
    <row r="552" spans="3:49">
      <c r="C552" s="42"/>
      <c r="F552" s="164"/>
      <c r="H552" s="164"/>
      <c r="I552" s="164"/>
      <c r="J552" s="316"/>
      <c r="K552" s="316"/>
      <c r="L552" s="45"/>
      <c r="M552" s="45"/>
      <c r="N552" s="46"/>
      <c r="O552" s="46"/>
      <c r="P552" s="45"/>
      <c r="Q552" s="45"/>
      <c r="R552" s="45"/>
      <c r="T552" s="140" t="str">
        <f>"(1A) REFLECTS FUEL COST RECOVERY INCLUDED IN BASE RATES OF "&amp;TEXT(CUR_BASE_FUEL,"$0.000000;($0.000000)")&amp;"  PER KWH."</f>
        <v>(1A) REFLECTS FUEL COST RECOVERY INCLUDED IN BASE RATES OF $0.033780  PER KWH.</v>
      </c>
      <c r="V552" s="48"/>
      <c r="Y552" s="68"/>
      <c r="Z552" s="1"/>
      <c r="AA552" s="68"/>
      <c r="AB552" s="68"/>
      <c r="AC552" s="132"/>
      <c r="AD552" s="132"/>
      <c r="AE552" s="3"/>
      <c r="AF552" s="3"/>
      <c r="AG552" s="103"/>
      <c r="AH552" s="4"/>
      <c r="AI552" s="3"/>
      <c r="AJ552" s="3"/>
      <c r="AK552" s="113"/>
      <c r="AL552" s="6"/>
      <c r="AM552" s="3"/>
      <c r="AN552" s="3"/>
      <c r="AO552" s="3"/>
      <c r="AP552" s="3"/>
      <c r="AQ552" s="113"/>
      <c r="AS552" s="45"/>
      <c r="AW552" s="49"/>
    </row>
    <row r="553" spans="3:49">
      <c r="C553" s="42"/>
      <c r="F553" s="164"/>
      <c r="H553" s="164"/>
      <c r="I553" s="164"/>
      <c r="J553" s="316"/>
      <c r="K553" s="316"/>
      <c r="L553" s="45"/>
      <c r="M553" s="45"/>
      <c r="N553" s="46"/>
      <c r="O553" s="46"/>
      <c r="P553" s="45"/>
      <c r="Q553" s="45"/>
      <c r="R553" s="45"/>
      <c r="T553" s="140" t="str">
        <f>"(2) REFLECTS FUEL COMPONENT OF "&amp;TEXT(CUR_FAC,"$0.000000;($0.000000)")&amp;"  PER KWH."</f>
        <v>(2) REFLECTS FUEL COMPONENT OF $0.003487  PER KWH.</v>
      </c>
      <c r="V553" s="48"/>
      <c r="Y553" s="68"/>
      <c r="Z553" s="1"/>
      <c r="AA553" s="68"/>
      <c r="AB553" s="68"/>
      <c r="AC553" s="132"/>
      <c r="AD553" s="132"/>
      <c r="AE553" s="3"/>
      <c r="AF553" s="3"/>
      <c r="AG553" s="103"/>
      <c r="AH553" s="4"/>
      <c r="AI553" s="3"/>
      <c r="AJ553" s="3"/>
      <c r="AK553" s="113"/>
      <c r="AL553" s="6"/>
      <c r="AM553" s="3"/>
      <c r="AN553" s="3"/>
      <c r="AO553" s="3"/>
      <c r="AP553" s="3"/>
      <c r="AQ553" s="113"/>
      <c r="AS553" s="45"/>
      <c r="AW553" s="49"/>
    </row>
    <row r="554" spans="3:49">
      <c r="C554" s="42"/>
      <c r="F554" s="164"/>
      <c r="H554" s="164"/>
      <c r="I554" s="164"/>
      <c r="J554" s="316"/>
      <c r="K554" s="316"/>
      <c r="L554" s="45"/>
      <c r="M554" s="45"/>
      <c r="N554" s="46"/>
      <c r="O554" s="46"/>
      <c r="P554" s="45"/>
      <c r="Q554" s="45"/>
      <c r="R554" s="45"/>
      <c r="T554" s="350"/>
      <c r="V554" s="48"/>
      <c r="Y554" s="68"/>
      <c r="Z554" s="1"/>
      <c r="AA554" s="68"/>
      <c r="AB554" s="68"/>
      <c r="AC554" s="132"/>
      <c r="AD554" s="132"/>
      <c r="AE554" s="3"/>
      <c r="AF554" s="3"/>
      <c r="AG554" s="103"/>
      <c r="AH554" s="4"/>
      <c r="AI554" s="3"/>
      <c r="AJ554" s="3"/>
      <c r="AK554" s="113"/>
      <c r="AL554" s="6"/>
      <c r="AM554" s="3"/>
      <c r="AN554" s="3"/>
      <c r="AO554" s="3"/>
      <c r="AP554" s="3"/>
      <c r="AQ554" s="113"/>
      <c r="AS554" s="45"/>
      <c r="AW554" s="49"/>
    </row>
    <row r="555" spans="3:49">
      <c r="C555" s="42"/>
      <c r="F555" s="164"/>
      <c r="H555" s="164"/>
      <c r="I555" s="164"/>
      <c r="J555" s="316"/>
      <c r="K555" s="316"/>
      <c r="L555" s="45"/>
      <c r="M555" s="45"/>
      <c r="N555" s="46"/>
      <c r="O555" s="46"/>
      <c r="P555" s="45"/>
      <c r="Q555" s="45"/>
      <c r="R555" s="45"/>
      <c r="T555" s="760" t="str">
        <f>NAME</f>
        <v>DUKE ENERGY KENTUCKY, INC.</v>
      </c>
      <c r="U555" s="760"/>
      <c r="V555" s="760"/>
      <c r="W555" s="760"/>
      <c r="X555" s="760"/>
      <c r="Y555" s="760"/>
      <c r="Z555" s="760"/>
      <c r="AA555" s="760"/>
      <c r="AB555" s="760"/>
      <c r="AC555" s="760"/>
      <c r="AD555" s="760"/>
      <c r="AE555" s="760"/>
      <c r="AF555" s="760"/>
      <c r="AG555" s="760"/>
      <c r="AH555" s="760"/>
      <c r="AI555" s="760"/>
      <c r="AJ555" s="760"/>
      <c r="AK555" s="760"/>
      <c r="AL555" s="760"/>
      <c r="AM555" s="760"/>
      <c r="AN555" s="760"/>
      <c r="AO555" s="760"/>
      <c r="AP555" s="760"/>
      <c r="AQ555" s="760"/>
      <c r="AS555" s="45"/>
      <c r="AW555" s="49"/>
    </row>
    <row r="556" spans="3:49">
      <c r="C556" s="42"/>
      <c r="F556" s="164"/>
      <c r="H556" s="164"/>
      <c r="I556" s="164"/>
      <c r="J556" s="316"/>
      <c r="K556" s="316"/>
      <c r="L556" s="45"/>
      <c r="M556" s="45"/>
      <c r="N556" s="46"/>
      <c r="O556" s="46"/>
      <c r="P556" s="45"/>
      <c r="Q556" s="45"/>
      <c r="R556" s="45"/>
      <c r="T556" s="40" t="str">
        <f>CASE_NO</f>
        <v>CASE NO.   2024-00354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S556" s="45"/>
      <c r="AW556" s="49"/>
    </row>
    <row r="557" spans="3:49">
      <c r="C557" s="42"/>
      <c r="F557" s="164"/>
      <c r="H557" s="164"/>
      <c r="I557" s="164"/>
      <c r="J557" s="316"/>
      <c r="K557" s="316"/>
      <c r="L557" s="45"/>
      <c r="M557" s="45"/>
      <c r="N557" s="46"/>
      <c r="O557" s="46"/>
      <c r="P557" s="45"/>
      <c r="Q557" s="45"/>
      <c r="R557" s="45"/>
      <c r="T557" s="40" t="str">
        <f>TITLE</f>
        <v>ANNUALIZED TEST YEAR REVENUES AT PROPOSED VS. MOST CURRENT RATES</v>
      </c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S557" s="45"/>
      <c r="AW557" s="49"/>
    </row>
    <row r="558" spans="3:49">
      <c r="C558" s="42"/>
      <c r="F558" s="164"/>
      <c r="H558" s="164"/>
      <c r="I558" s="164"/>
      <c r="J558" s="316"/>
      <c r="K558" s="316"/>
      <c r="L558" s="45"/>
      <c r="M558" s="45"/>
      <c r="N558" s="46"/>
      <c r="O558" s="46"/>
      <c r="P558" s="45"/>
      <c r="Q558" s="45"/>
      <c r="R558" s="45"/>
      <c r="T558" s="40" t="str">
        <f>DATE</f>
        <v>FOR THE TWELVE MONTHS ENDED June 30, 2026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S558" s="45"/>
      <c r="AW558" s="49"/>
    </row>
    <row r="559" spans="3:49">
      <c r="C559" s="42"/>
      <c r="F559" s="164"/>
      <c r="H559" s="164"/>
      <c r="I559" s="164"/>
      <c r="J559" s="316"/>
      <c r="K559" s="316"/>
      <c r="L559" s="45"/>
      <c r="M559" s="45"/>
      <c r="N559" s="46"/>
      <c r="O559" s="46"/>
      <c r="P559" s="45"/>
      <c r="Q559" s="45"/>
      <c r="R559" s="45"/>
      <c r="T559" s="40" t="str">
        <f>SERVICE</f>
        <v>(ELECTRIC SERVICE)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S559" s="45"/>
      <c r="AW559" s="49"/>
    </row>
    <row r="560" spans="3:49">
      <c r="C560" s="42"/>
      <c r="F560" s="164"/>
      <c r="H560" s="164"/>
      <c r="I560" s="164"/>
      <c r="J560" s="316"/>
      <c r="K560" s="316"/>
      <c r="L560" s="45"/>
      <c r="M560" s="45"/>
      <c r="N560" s="46"/>
      <c r="O560" s="46"/>
      <c r="P560" s="45"/>
      <c r="Q560" s="45"/>
      <c r="R560" s="45"/>
      <c r="T560" s="41" t="str">
        <f>DATA_PERIOD</f>
        <v>DATA: ____ BASE PERIOD   __X__FORECASTED PERIOD</v>
      </c>
      <c r="AG560" s="41"/>
      <c r="AK560" s="41"/>
      <c r="AO560" s="42" t="s">
        <v>157</v>
      </c>
      <c r="AQ560" s="41"/>
      <c r="AS560" s="45"/>
      <c r="AW560" s="49"/>
    </row>
    <row r="561" spans="3:49">
      <c r="C561" s="42"/>
      <c r="F561" s="164"/>
      <c r="H561" s="164"/>
      <c r="I561" s="164"/>
      <c r="J561" s="316"/>
      <c r="K561" s="316"/>
      <c r="L561" s="45"/>
      <c r="M561" s="45"/>
      <c r="N561" s="46"/>
      <c r="O561" s="46"/>
      <c r="P561" s="45"/>
      <c r="Q561" s="45"/>
      <c r="R561" s="45"/>
      <c r="T561" s="41" t="str">
        <f>TYPE</f>
        <v>TYPE OF FILING: _X_ ORIGINAL   ___UPDATED  ___ REVISED</v>
      </c>
      <c r="AG561" s="41"/>
      <c r="AK561" s="41"/>
      <c r="AO561" s="48" t="str">
        <f>"PAGE 23 OF "&amp;TEXT(Page_Num_2.2,"00")</f>
        <v>PAGE 23 OF 24</v>
      </c>
      <c r="AQ561" s="41"/>
      <c r="AS561" s="45"/>
      <c r="AW561" s="49"/>
    </row>
    <row r="562" spans="3:49">
      <c r="C562" s="42"/>
      <c r="F562" s="164"/>
      <c r="H562" s="164"/>
      <c r="I562" s="164"/>
      <c r="J562" s="316"/>
      <c r="K562" s="316"/>
      <c r="L562" s="45"/>
      <c r="M562" s="45"/>
      <c r="N562" s="46"/>
      <c r="O562" s="46"/>
      <c r="P562" s="45"/>
      <c r="Q562" s="45"/>
      <c r="R562" s="45"/>
      <c r="T562" s="42" t="s">
        <v>170</v>
      </c>
      <c r="AO562" s="42" t="s">
        <v>4</v>
      </c>
      <c r="AP562" s="42"/>
      <c r="AS562" s="45"/>
      <c r="AW562" s="49"/>
    </row>
    <row r="563" spans="3:49">
      <c r="C563" s="42"/>
      <c r="F563" s="164"/>
      <c r="H563" s="164"/>
      <c r="I563" s="164"/>
      <c r="J563" s="316"/>
      <c r="K563" s="316"/>
      <c r="L563" s="45"/>
      <c r="M563" s="45"/>
      <c r="N563" s="46"/>
      <c r="O563" s="46"/>
      <c r="P563" s="45"/>
      <c r="Q563" s="45"/>
      <c r="R563" s="45"/>
      <c r="T563" s="130" t="str">
        <f>TIME</f>
        <v>12 Months Projected with Riders</v>
      </c>
      <c r="AF563" s="42"/>
      <c r="AO563" s="45" t="str">
        <f>WIT</f>
        <v>B. L. Sailers</v>
      </c>
      <c r="AS563" s="45"/>
      <c r="AW563" s="49"/>
    </row>
    <row r="564" spans="3:49">
      <c r="C564" s="42"/>
      <c r="F564" s="164"/>
      <c r="H564" s="164"/>
      <c r="I564" s="164"/>
      <c r="J564" s="316"/>
      <c r="K564" s="316"/>
      <c r="L564" s="45"/>
      <c r="M564" s="45"/>
      <c r="N564" s="46"/>
      <c r="O564" s="46"/>
      <c r="P564" s="45"/>
      <c r="Q564" s="45"/>
      <c r="R564" s="45"/>
      <c r="T564" s="40" t="s">
        <v>130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100"/>
      <c r="AH564" s="40"/>
      <c r="AI564" s="40"/>
      <c r="AJ564" s="40"/>
      <c r="AK564" s="100"/>
      <c r="AL564" s="40"/>
      <c r="AM564" s="40"/>
      <c r="AN564" s="40"/>
      <c r="AO564" s="40"/>
      <c r="AP564" s="40"/>
      <c r="AS564" s="45"/>
      <c r="AW564" s="49"/>
    </row>
    <row r="565" spans="3:49">
      <c r="C565" s="42"/>
      <c r="F565" s="164"/>
      <c r="H565" s="164"/>
      <c r="I565" s="164"/>
      <c r="J565" s="316"/>
      <c r="K565" s="316"/>
      <c r="L565" s="45"/>
      <c r="M565" s="45"/>
      <c r="N565" s="46"/>
      <c r="O565" s="46"/>
      <c r="P565" s="45"/>
      <c r="Q565" s="45"/>
      <c r="R565" s="45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3"/>
      <c r="AF565" s="43"/>
      <c r="AG565" s="101"/>
      <c r="AH565" s="43"/>
      <c r="AI565" s="43"/>
      <c r="AJ565" s="43"/>
      <c r="AK565" s="101"/>
      <c r="AL565" s="43"/>
      <c r="AM565" s="43"/>
      <c r="AN565" s="49"/>
      <c r="AO565" s="49"/>
      <c r="AP565" s="49"/>
      <c r="AS565" s="45"/>
      <c r="AW565" s="49"/>
    </row>
    <row r="566" spans="3:49">
      <c r="C566" s="42"/>
      <c r="F566" s="164"/>
      <c r="H566" s="164"/>
      <c r="I566" s="164"/>
      <c r="J566" s="316"/>
      <c r="K566" s="316"/>
      <c r="L566" s="45"/>
      <c r="M566" s="45"/>
      <c r="N566" s="46"/>
      <c r="O566" s="46"/>
      <c r="P566" s="45"/>
      <c r="Q566" s="45"/>
      <c r="R566" s="45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44" t="s">
        <v>8</v>
      </c>
      <c r="AF566" s="44"/>
      <c r="AG566" s="102" t="s">
        <v>7</v>
      </c>
      <c r="AH566" s="44"/>
      <c r="AI566" s="44" t="s">
        <v>9</v>
      </c>
      <c r="AJ566" s="44"/>
      <c r="AK566" s="102" t="s">
        <v>10</v>
      </c>
      <c r="AL566" s="44"/>
      <c r="AN566" s="62"/>
      <c r="AO566" s="63" t="s">
        <v>8</v>
      </c>
      <c r="AP566" s="63"/>
      <c r="AQ566" s="109" t="s">
        <v>11</v>
      </c>
      <c r="AS566" s="45"/>
      <c r="AW566" s="49"/>
    </row>
    <row r="567" spans="3:49">
      <c r="C567" s="42"/>
      <c r="F567" s="164"/>
      <c r="H567" s="164"/>
      <c r="I567" s="164"/>
      <c r="J567" s="316"/>
      <c r="K567" s="316"/>
      <c r="L567" s="45"/>
      <c r="M567" s="45"/>
      <c r="N567" s="46"/>
      <c r="O567" s="46"/>
      <c r="P567" s="45"/>
      <c r="Q567" s="45"/>
      <c r="R567" s="45"/>
      <c r="AC567" s="415" t="s">
        <v>811</v>
      </c>
      <c r="AD567" s="40"/>
      <c r="AE567" s="44" t="s">
        <v>12</v>
      </c>
      <c r="AF567" s="44"/>
      <c r="AG567" s="102" t="s">
        <v>13</v>
      </c>
      <c r="AH567" s="44"/>
      <c r="AI567" s="44" t="s">
        <v>15</v>
      </c>
      <c r="AJ567" s="44"/>
      <c r="AK567" s="102" t="s">
        <v>16</v>
      </c>
      <c r="AL567" s="44"/>
      <c r="AO567" s="44" t="s">
        <v>11</v>
      </c>
      <c r="AP567" s="44"/>
      <c r="AQ567" s="102" t="s">
        <v>9</v>
      </c>
      <c r="AS567" s="45"/>
      <c r="AW567" s="49"/>
    </row>
    <row r="568" spans="3:49">
      <c r="C568" s="42"/>
      <c r="F568" s="164"/>
      <c r="H568" s="164"/>
      <c r="I568" s="164"/>
      <c r="J568" s="316"/>
      <c r="K568" s="316"/>
      <c r="L568" s="45"/>
      <c r="M568" s="45"/>
      <c r="N568" s="46"/>
      <c r="O568" s="46"/>
      <c r="P568" s="45"/>
      <c r="Q568" s="45"/>
      <c r="R568" s="45"/>
      <c r="T568" s="44" t="s">
        <v>17</v>
      </c>
      <c r="V568" s="44" t="s">
        <v>18</v>
      </c>
      <c r="W568" s="44" t="s">
        <v>19</v>
      </c>
      <c r="X568" s="44"/>
      <c r="Y568" s="44" t="s">
        <v>20</v>
      </c>
      <c r="AC568" s="44" t="s">
        <v>807</v>
      </c>
      <c r="AD568" s="44" t="s">
        <v>808</v>
      </c>
      <c r="AE568" s="44" t="s">
        <v>841</v>
      </c>
      <c r="AF568" s="44"/>
      <c r="AG568" s="102" t="s">
        <v>841</v>
      </c>
      <c r="AH568" s="44"/>
      <c r="AI568" s="60" t="s">
        <v>964</v>
      </c>
      <c r="AJ568" s="44"/>
      <c r="AK568" s="277" t="s">
        <v>964</v>
      </c>
      <c r="AL568" s="44"/>
      <c r="AM568" s="44" t="s">
        <v>841</v>
      </c>
      <c r="AN568" s="44"/>
      <c r="AO568" s="44" t="s">
        <v>9</v>
      </c>
      <c r="AP568" s="44"/>
      <c r="AQ568" s="102" t="s">
        <v>21</v>
      </c>
      <c r="AS568" s="45"/>
      <c r="AW568" s="49"/>
    </row>
    <row r="569" spans="3:49">
      <c r="C569" s="42"/>
      <c r="F569" s="164"/>
      <c r="H569" s="164"/>
      <c r="I569" s="164"/>
      <c r="J569" s="316"/>
      <c r="K569" s="316"/>
      <c r="L569" s="45"/>
      <c r="M569" s="45"/>
      <c r="N569" s="46"/>
      <c r="O569" s="46"/>
      <c r="P569" s="45"/>
      <c r="Q569" s="45"/>
      <c r="R569" s="45"/>
      <c r="T569" s="44" t="s">
        <v>22</v>
      </c>
      <c r="V569" s="44" t="s">
        <v>23</v>
      </c>
      <c r="W569" s="44" t="s">
        <v>24</v>
      </c>
      <c r="X569" s="44"/>
      <c r="Y569" s="44" t="s">
        <v>25</v>
      </c>
      <c r="AA569" s="44" t="s">
        <v>26</v>
      </c>
      <c r="AB569" s="44"/>
      <c r="AC569" s="60" t="s">
        <v>27</v>
      </c>
      <c r="AD569" s="60" t="s">
        <v>27</v>
      </c>
      <c r="AE569" s="44" t="s">
        <v>9</v>
      </c>
      <c r="AF569" s="44"/>
      <c r="AG569" s="102" t="s">
        <v>9</v>
      </c>
      <c r="AH569" s="44"/>
      <c r="AI569" s="304" t="s">
        <v>29</v>
      </c>
      <c r="AJ569" s="304"/>
      <c r="AK569" s="311" t="s">
        <v>30</v>
      </c>
      <c r="AL569" s="44"/>
      <c r="AM569" s="44" t="s">
        <v>323</v>
      </c>
      <c r="AN569" s="44"/>
      <c r="AO569" s="304" t="s">
        <v>31</v>
      </c>
      <c r="AP569" s="304"/>
      <c r="AQ569" s="311" t="s">
        <v>32</v>
      </c>
      <c r="AS569" s="45"/>
      <c r="AW569" s="49"/>
    </row>
    <row r="570" spans="3:49">
      <c r="C570" s="42"/>
      <c r="F570" s="164"/>
      <c r="H570" s="164"/>
      <c r="I570" s="164"/>
      <c r="J570" s="316"/>
      <c r="K570" s="316"/>
      <c r="L570" s="45"/>
      <c r="M570" s="45"/>
      <c r="N570" s="46"/>
      <c r="O570" s="46"/>
      <c r="P570" s="45"/>
      <c r="Q570" s="45"/>
      <c r="R570" s="45"/>
      <c r="V570" s="304" t="s">
        <v>33</v>
      </c>
      <c r="W570" s="304" t="s">
        <v>34</v>
      </c>
      <c r="X570" s="304"/>
      <c r="Y570" s="304" t="s">
        <v>35</v>
      </c>
      <c r="Z570" s="130"/>
      <c r="AA570" s="304" t="s">
        <v>36</v>
      </c>
      <c r="AB570" s="304"/>
      <c r="AC570" s="307" t="s">
        <v>813</v>
      </c>
      <c r="AD570" s="307" t="s">
        <v>812</v>
      </c>
      <c r="AE570" s="304" t="s">
        <v>43</v>
      </c>
      <c r="AF570" s="304"/>
      <c r="AG570" s="311" t="s">
        <v>44</v>
      </c>
      <c r="AH570" s="304"/>
      <c r="AI570" s="304" t="s">
        <v>45</v>
      </c>
      <c r="AJ570" s="304"/>
      <c r="AK570" s="311" t="s">
        <v>46</v>
      </c>
      <c r="AL570" s="304"/>
      <c r="AM570" s="304" t="s">
        <v>40</v>
      </c>
      <c r="AN570" s="304"/>
      <c r="AO570" s="304" t="s">
        <v>47</v>
      </c>
      <c r="AP570" s="304"/>
      <c r="AQ570" s="311" t="s">
        <v>48</v>
      </c>
      <c r="AS570" s="45"/>
      <c r="AW570" s="49"/>
    </row>
    <row r="571" spans="3:49">
      <c r="C571" s="42"/>
      <c r="F571" s="164"/>
      <c r="H571" s="164"/>
      <c r="I571" s="164"/>
      <c r="J571" s="316"/>
      <c r="K571" s="316"/>
      <c r="L571" s="45"/>
      <c r="M571" s="45"/>
      <c r="N571" s="46"/>
      <c r="O571" s="46"/>
      <c r="P571" s="45"/>
      <c r="Q571" s="45"/>
      <c r="R571" s="45"/>
      <c r="T571" s="62"/>
      <c r="U571" s="62"/>
      <c r="V571" s="62"/>
      <c r="W571" s="62"/>
      <c r="X571" s="62"/>
      <c r="Y571" s="62"/>
      <c r="Z571" s="62"/>
      <c r="AA571" s="345" t="s">
        <v>49</v>
      </c>
      <c r="AB571" s="345"/>
      <c r="AC571" s="344" t="s">
        <v>69</v>
      </c>
      <c r="AD571" s="345"/>
      <c r="AE571" s="345" t="s">
        <v>50</v>
      </c>
      <c r="AF571" s="345"/>
      <c r="AG571" s="346" t="s">
        <v>51</v>
      </c>
      <c r="AH571" s="345"/>
      <c r="AI571" s="345" t="s">
        <v>50</v>
      </c>
      <c r="AJ571" s="345"/>
      <c r="AK571" s="346" t="s">
        <v>51</v>
      </c>
      <c r="AL571" s="345"/>
      <c r="AM571" s="345" t="s">
        <v>50</v>
      </c>
      <c r="AN571" s="345"/>
      <c r="AO571" s="345" t="s">
        <v>50</v>
      </c>
      <c r="AP571" s="345"/>
      <c r="AQ571" s="346" t="s">
        <v>51</v>
      </c>
      <c r="AS571" s="45"/>
      <c r="AW571" s="49"/>
    </row>
    <row r="572" spans="3:49">
      <c r="C572" s="42"/>
      <c r="F572" s="164"/>
      <c r="H572" s="164"/>
      <c r="I572" s="164"/>
      <c r="J572" s="316"/>
      <c r="K572" s="316"/>
      <c r="L572" s="45"/>
      <c r="M572" s="45"/>
      <c r="N572" s="46"/>
      <c r="O572" s="46"/>
      <c r="P572" s="45"/>
      <c r="Q572" s="45"/>
      <c r="R572" s="45"/>
      <c r="T572" s="350">
        <f t="shared" ref="T572:T573" si="88">A220</f>
        <v>135</v>
      </c>
      <c r="V572" s="48" t="str">
        <f t="shared" ref="V572:V573" si="89">C220</f>
        <v>LED</v>
      </c>
      <c r="W572" s="48" t="str">
        <f t="shared" ref="W572" si="90">D220</f>
        <v>STREET LIGHTING -- LED (CONT'D)</v>
      </c>
      <c r="Y572" s="68"/>
      <c r="Z572" s="1"/>
      <c r="AA572" s="68"/>
      <c r="AB572" s="68"/>
      <c r="AC572" s="132"/>
      <c r="AD572" s="132"/>
      <c r="AE572" s="3"/>
      <c r="AF572" s="3"/>
      <c r="AG572" s="103"/>
      <c r="AH572" s="4"/>
      <c r="AI572" s="3"/>
      <c r="AJ572" s="3"/>
      <c r="AK572" s="113"/>
      <c r="AL572" s="6"/>
      <c r="AM572" s="3"/>
      <c r="AN572" s="3"/>
      <c r="AO572" s="3"/>
      <c r="AP572" s="3"/>
      <c r="AQ572" s="113"/>
      <c r="AS572" s="45"/>
      <c r="AW572" s="49"/>
    </row>
    <row r="573" spans="3:49">
      <c r="C573" s="42"/>
      <c r="F573" s="164"/>
      <c r="H573" s="164"/>
      <c r="I573" s="164"/>
      <c r="J573" s="316"/>
      <c r="K573" s="316"/>
      <c r="L573" s="45"/>
      <c r="M573" s="45"/>
      <c r="N573" s="46"/>
      <c r="O573" s="46"/>
      <c r="P573" s="45"/>
      <c r="Q573" s="45"/>
      <c r="R573" s="45"/>
      <c r="T573" s="350">
        <f t="shared" si="88"/>
        <v>136</v>
      </c>
      <c r="V573" s="48" t="str">
        <f t="shared" si="89"/>
        <v>POLES (CONT'D)</v>
      </c>
      <c r="W573" s="48"/>
      <c r="Y573" s="68"/>
      <c r="Z573" s="1"/>
      <c r="AA573" s="68"/>
      <c r="AB573" s="68"/>
      <c r="AC573" s="132"/>
      <c r="AD573" s="132"/>
      <c r="AE573" s="3"/>
      <c r="AF573" s="3"/>
      <c r="AG573" s="103"/>
      <c r="AH573" s="4"/>
      <c r="AI573" s="3"/>
      <c r="AJ573" s="3"/>
      <c r="AK573" s="113"/>
      <c r="AL573" s="6"/>
      <c r="AM573" s="3"/>
      <c r="AN573" s="3"/>
      <c r="AO573" s="3"/>
      <c r="AP573" s="3"/>
      <c r="AQ573" s="113"/>
      <c r="AS573" s="45"/>
      <c r="AW573" s="49"/>
    </row>
    <row r="574" spans="3:49">
      <c r="C574" s="42"/>
      <c r="F574" s="164"/>
      <c r="H574" s="164"/>
      <c r="I574" s="164"/>
      <c r="J574" s="316"/>
      <c r="K574" s="316"/>
      <c r="L574" s="45"/>
      <c r="M574" s="45"/>
      <c r="N574" s="46"/>
      <c r="O574" s="46"/>
      <c r="P574" s="45"/>
      <c r="Q574" s="45"/>
      <c r="R574" s="45"/>
      <c r="T574" s="350">
        <f t="shared" ref="T574:T585" si="91">A222</f>
        <v>137</v>
      </c>
      <c r="V574" s="48"/>
      <c r="Y574" s="68"/>
      <c r="Z574" s="1"/>
      <c r="AA574" s="68"/>
      <c r="AB574" s="68"/>
      <c r="AC574" s="132"/>
      <c r="AD574" s="342"/>
      <c r="AE574" s="3"/>
      <c r="AF574" s="1"/>
      <c r="AG574" s="103"/>
      <c r="AH574" s="4"/>
      <c r="AI574" s="3"/>
      <c r="AJ574" s="3"/>
      <c r="AK574" s="113"/>
      <c r="AL574" s="6"/>
      <c r="AM574" s="3"/>
      <c r="AN574" s="3"/>
      <c r="AO574" s="3"/>
      <c r="AP574" s="3"/>
      <c r="AQ574" s="113"/>
      <c r="AS574" s="45"/>
      <c r="AW574" s="49"/>
    </row>
    <row r="575" spans="3:49">
      <c r="C575" s="42"/>
      <c r="F575" s="164"/>
      <c r="H575" s="164"/>
      <c r="I575" s="164"/>
      <c r="J575" s="316"/>
      <c r="K575" s="316"/>
      <c r="L575" s="45"/>
      <c r="M575" s="45"/>
      <c r="N575" s="46"/>
      <c r="O575" s="46"/>
      <c r="P575" s="45"/>
      <c r="Q575" s="45"/>
      <c r="R575" s="45"/>
      <c r="T575" s="350">
        <f t="shared" si="91"/>
        <v>138</v>
      </c>
      <c r="V575" s="48"/>
      <c r="Y575" s="68"/>
      <c r="Z575" s="1"/>
      <c r="AA575" s="68"/>
      <c r="AB575" s="68"/>
      <c r="AC575" s="132"/>
      <c r="AD575" s="342"/>
      <c r="AE575" s="3"/>
      <c r="AF575" s="1"/>
      <c r="AG575" s="103"/>
      <c r="AH575" s="4"/>
      <c r="AI575" s="3"/>
      <c r="AJ575" s="3"/>
      <c r="AK575" s="113"/>
      <c r="AL575" s="6"/>
      <c r="AM575" s="3"/>
      <c r="AN575" s="3"/>
      <c r="AO575" s="3"/>
      <c r="AP575" s="3"/>
      <c r="AQ575" s="113"/>
      <c r="AS575" s="45"/>
      <c r="AW575" s="49"/>
    </row>
    <row r="576" spans="3:49">
      <c r="C576" s="42"/>
      <c r="F576" s="164"/>
      <c r="H576" s="164"/>
      <c r="I576" s="164"/>
      <c r="J576" s="316"/>
      <c r="K576" s="316"/>
      <c r="L576" s="45"/>
      <c r="M576" s="45"/>
      <c r="N576" s="46"/>
      <c r="O576" s="46"/>
      <c r="P576" s="45"/>
      <c r="Q576" s="45"/>
      <c r="R576" s="45"/>
      <c r="T576" s="350">
        <f t="shared" si="91"/>
        <v>139</v>
      </c>
      <c r="V576" s="48" t="str">
        <f t="shared" ref="V576:V585" si="92">C224</f>
        <v xml:space="preserve">   Shroud - Standard Style for anchor base poles</v>
      </c>
      <c r="Y576" s="68">
        <f t="shared" ref="Y576:Y584" si="93">F224</f>
        <v>0</v>
      </c>
      <c r="Z576" s="1"/>
      <c r="AA576" s="68"/>
      <c r="AB576" s="68"/>
      <c r="AC576" s="132">
        <v>2.71</v>
      </c>
      <c r="AD576" s="342"/>
      <c r="AE576" s="3">
        <f t="shared" si="67"/>
        <v>0</v>
      </c>
      <c r="AF576" s="1"/>
      <c r="AG576" s="103">
        <f t="shared" ref="AG576:AG584" si="94">ROUND((AE576/AE$692)*100,1)</f>
        <v>0</v>
      </c>
      <c r="AH576" s="4"/>
      <c r="AI576" s="3">
        <f t="shared" ref="AI576:AI584" si="95">L224-AE576</f>
        <v>0</v>
      </c>
      <c r="AJ576" s="3"/>
      <c r="AK576" s="113" t="str">
        <f t="shared" si="68"/>
        <v xml:space="preserve">0.0 </v>
      </c>
      <c r="AL576" s="6"/>
      <c r="AM576" s="3"/>
      <c r="AN576" s="3"/>
      <c r="AO576" s="3">
        <f t="shared" si="69"/>
        <v>0</v>
      </c>
      <c r="AP576" s="3"/>
      <c r="AQ576" s="113" t="str">
        <f t="shared" ref="AQ576:AQ585" si="96">IF(AO576=0,"0.0 ",ROUND((AI576/AO576)*100,1))</f>
        <v xml:space="preserve">0.0 </v>
      </c>
      <c r="AS576" s="45"/>
      <c r="AW576" s="49"/>
    </row>
    <row r="577" spans="3:49">
      <c r="C577" s="42"/>
      <c r="F577" s="164"/>
      <c r="H577" s="164"/>
      <c r="I577" s="164"/>
      <c r="J577" s="316"/>
      <c r="K577" s="316"/>
      <c r="L577" s="45"/>
      <c r="M577" s="45"/>
      <c r="N577" s="46"/>
      <c r="O577" s="46"/>
      <c r="P577" s="45"/>
      <c r="Q577" s="45"/>
      <c r="R577" s="45"/>
      <c r="T577" s="350">
        <f t="shared" si="91"/>
        <v>140</v>
      </c>
      <c r="V577" s="48" t="str">
        <f t="shared" si="92"/>
        <v xml:space="preserve">   Shroud - Style B Pole for smooth and fluted poles</v>
      </c>
      <c r="Y577" s="68">
        <f t="shared" si="93"/>
        <v>0</v>
      </c>
      <c r="Z577" s="1"/>
      <c r="AA577" s="68"/>
      <c r="AB577" s="68"/>
      <c r="AC577" s="132">
        <v>6.44</v>
      </c>
      <c r="AD577" s="342"/>
      <c r="AE577" s="3">
        <f t="shared" si="67"/>
        <v>0</v>
      </c>
      <c r="AF577" s="1"/>
      <c r="AG577" s="103">
        <f t="shared" si="94"/>
        <v>0</v>
      </c>
      <c r="AH577" s="4"/>
      <c r="AI577" s="3">
        <f t="shared" si="95"/>
        <v>0</v>
      </c>
      <c r="AJ577" s="3"/>
      <c r="AK577" s="113" t="str">
        <f t="shared" si="68"/>
        <v xml:space="preserve">0.0 </v>
      </c>
      <c r="AL577" s="6"/>
      <c r="AM577" s="3"/>
      <c r="AN577" s="3"/>
      <c r="AO577" s="3">
        <f t="shared" si="69"/>
        <v>0</v>
      </c>
      <c r="AP577" s="3"/>
      <c r="AQ577" s="113" t="str">
        <f t="shared" si="96"/>
        <v xml:space="preserve">0.0 </v>
      </c>
      <c r="AS577" s="45"/>
      <c r="AW577" s="49"/>
    </row>
    <row r="578" spans="3:49">
      <c r="C578" s="42"/>
      <c r="F578" s="164"/>
      <c r="H578" s="164"/>
      <c r="I578" s="164"/>
      <c r="J578" s="316"/>
      <c r="K578" s="316"/>
      <c r="L578" s="45"/>
      <c r="M578" s="45"/>
      <c r="N578" s="46"/>
      <c r="O578" s="46"/>
      <c r="P578" s="45"/>
      <c r="Q578" s="45"/>
      <c r="R578" s="45"/>
      <c r="T578" s="350">
        <f t="shared" si="91"/>
        <v>141</v>
      </c>
      <c r="V578" s="48" t="str">
        <f t="shared" si="92"/>
        <v xml:space="preserve">   Shroud - Style C Pole for smooth and fluted poles</v>
      </c>
      <c r="Y578" s="68">
        <f t="shared" si="93"/>
        <v>0</v>
      </c>
      <c r="Z578" s="1"/>
      <c r="AA578" s="68"/>
      <c r="AB578" s="1"/>
      <c r="AC578" s="132">
        <v>8.0500000000000007</v>
      </c>
      <c r="AD578" s="342"/>
      <c r="AE578" s="3">
        <f t="shared" si="67"/>
        <v>0</v>
      </c>
      <c r="AF578" s="1"/>
      <c r="AG578" s="103">
        <f t="shared" si="94"/>
        <v>0</v>
      </c>
      <c r="AH578" s="4"/>
      <c r="AI578" s="3">
        <f t="shared" si="95"/>
        <v>0</v>
      </c>
      <c r="AJ578" s="3"/>
      <c r="AK578" s="113" t="str">
        <f t="shared" si="68"/>
        <v xml:space="preserve">0.0 </v>
      </c>
      <c r="AL578" s="6"/>
      <c r="AM578" s="3"/>
      <c r="AN578" s="3"/>
      <c r="AO578" s="3">
        <f t="shared" si="69"/>
        <v>0</v>
      </c>
      <c r="AP578" s="3"/>
      <c r="AQ578" s="113" t="str">
        <f t="shared" si="96"/>
        <v xml:space="preserve">0.0 </v>
      </c>
      <c r="AS578" s="45"/>
      <c r="AW578" s="49"/>
    </row>
    <row r="579" spans="3:49">
      <c r="C579" s="42"/>
      <c r="F579" s="164"/>
      <c r="H579" s="164"/>
      <c r="I579" s="164"/>
      <c r="J579" s="316"/>
      <c r="K579" s="316"/>
      <c r="L579" s="45"/>
      <c r="M579" s="45"/>
      <c r="N579" s="46"/>
      <c r="O579" s="46"/>
      <c r="P579" s="45"/>
      <c r="Q579" s="45"/>
      <c r="R579" s="45"/>
      <c r="T579" s="350">
        <f t="shared" si="91"/>
        <v>142</v>
      </c>
      <c r="V579" s="48" t="str">
        <f t="shared" si="92"/>
        <v xml:space="preserve">   Shroud - Style D Pole for smooth and fluted poles </v>
      </c>
      <c r="Y579" s="68">
        <f t="shared" si="93"/>
        <v>0</v>
      </c>
      <c r="Z579" s="1"/>
      <c r="AA579" s="68"/>
      <c r="AB579" s="68"/>
      <c r="AC579" s="132">
        <v>9.93</v>
      </c>
      <c r="AD579" s="342"/>
      <c r="AE579" s="3">
        <f t="shared" si="67"/>
        <v>0</v>
      </c>
      <c r="AF579" s="1"/>
      <c r="AG579" s="103">
        <f t="shared" si="94"/>
        <v>0</v>
      </c>
      <c r="AH579" s="4"/>
      <c r="AI579" s="3">
        <f t="shared" si="95"/>
        <v>0</v>
      </c>
      <c r="AJ579" s="3"/>
      <c r="AK579" s="113" t="str">
        <f t="shared" si="68"/>
        <v xml:space="preserve">0.0 </v>
      </c>
      <c r="AL579" s="6"/>
      <c r="AM579" s="3"/>
      <c r="AN579" s="3"/>
      <c r="AO579" s="3">
        <f t="shared" si="69"/>
        <v>0</v>
      </c>
      <c r="AP579" s="3"/>
      <c r="AQ579" s="113" t="str">
        <f t="shared" si="96"/>
        <v xml:space="preserve">0.0 </v>
      </c>
      <c r="AS579" s="45"/>
      <c r="AW579" s="49"/>
    </row>
    <row r="580" spans="3:49">
      <c r="C580" s="42"/>
      <c r="F580" s="164"/>
      <c r="H580" s="164"/>
      <c r="I580" s="164"/>
      <c r="J580" s="316"/>
      <c r="K580" s="316"/>
      <c r="L580" s="45"/>
      <c r="M580" s="45"/>
      <c r="N580" s="46"/>
      <c r="O580" s="46"/>
      <c r="P580" s="45"/>
      <c r="Q580" s="45"/>
      <c r="R580" s="45"/>
      <c r="T580" s="350">
        <f t="shared" si="91"/>
        <v>143</v>
      </c>
      <c r="V580" s="48" t="str">
        <f t="shared" si="92"/>
        <v xml:space="preserve">   Shroud - Style B - Assembly</v>
      </c>
      <c r="Y580" s="68">
        <f t="shared" si="93"/>
        <v>0</v>
      </c>
      <c r="Z580" s="1"/>
      <c r="AA580" s="68"/>
      <c r="AB580" s="68"/>
      <c r="AC580" s="132">
        <v>8.42</v>
      </c>
      <c r="AD580" s="342"/>
      <c r="AE580" s="3">
        <f>ROUND((Y580*(AC580+AD580)),0)</f>
        <v>0</v>
      </c>
      <c r="AF580" s="1"/>
      <c r="AG580" s="103">
        <f t="shared" si="94"/>
        <v>0</v>
      </c>
      <c r="AH580" s="4"/>
      <c r="AI580" s="3">
        <f t="shared" si="95"/>
        <v>0</v>
      </c>
      <c r="AJ580" s="3"/>
      <c r="AK580" s="113" t="str">
        <f>IF(AE580=0,"0.0 ",ROUND((AI580/AE580)*100,1))</f>
        <v xml:space="preserve">0.0 </v>
      </c>
      <c r="AL580" s="6"/>
      <c r="AM580" s="3"/>
      <c r="AN580" s="3"/>
      <c r="AO580" s="3">
        <f>AM580+AE580</f>
        <v>0</v>
      </c>
      <c r="AP580" s="3"/>
      <c r="AQ580" s="113" t="str">
        <f t="shared" si="96"/>
        <v xml:space="preserve">0.0 </v>
      </c>
      <c r="AS580" s="45"/>
      <c r="AW580" s="49"/>
    </row>
    <row r="581" spans="3:49">
      <c r="C581" s="42"/>
      <c r="F581" s="164"/>
      <c r="H581" s="164"/>
      <c r="I581" s="164"/>
      <c r="J581" s="316"/>
      <c r="K581" s="316"/>
      <c r="L581" s="45"/>
      <c r="M581" s="45"/>
      <c r="N581" s="46"/>
      <c r="O581" s="46"/>
      <c r="P581" s="45"/>
      <c r="Q581" s="45"/>
      <c r="R581" s="45"/>
      <c r="T581" s="350">
        <f t="shared" si="91"/>
        <v>144</v>
      </c>
      <c r="V581" s="48" t="str">
        <f t="shared" si="92"/>
        <v xml:space="preserve">   Shroud - Style C - Assembly</v>
      </c>
      <c r="Y581" s="68">
        <f t="shared" si="93"/>
        <v>0</v>
      </c>
      <c r="Z581" s="1"/>
      <c r="AA581" s="68"/>
      <c r="AB581" s="68"/>
      <c r="AC581" s="132">
        <v>9.89</v>
      </c>
      <c r="AD581" s="342"/>
      <c r="AE581" s="3">
        <f>ROUND((Y581*(AC581+AD581)),0)</f>
        <v>0</v>
      </c>
      <c r="AF581" s="1"/>
      <c r="AG581" s="103">
        <f t="shared" si="94"/>
        <v>0</v>
      </c>
      <c r="AH581" s="4"/>
      <c r="AI581" s="3">
        <f t="shared" si="95"/>
        <v>0</v>
      </c>
      <c r="AJ581" s="3"/>
      <c r="AK581" s="113" t="str">
        <f>IF(AE581=0,"0.0 ",ROUND((AI581/AE581)*100,1))</f>
        <v xml:space="preserve">0.0 </v>
      </c>
      <c r="AL581" s="6"/>
      <c r="AM581" s="3"/>
      <c r="AN581" s="3"/>
      <c r="AO581" s="3">
        <f>AM581+AE581</f>
        <v>0</v>
      </c>
      <c r="AP581" s="3"/>
      <c r="AQ581" s="113" t="str">
        <f t="shared" si="96"/>
        <v xml:space="preserve">0.0 </v>
      </c>
      <c r="AS581" s="45"/>
      <c r="AW581" s="49"/>
    </row>
    <row r="582" spans="3:49">
      <c r="C582" s="42"/>
      <c r="F582" s="164"/>
      <c r="H582" s="164"/>
      <c r="I582" s="164"/>
      <c r="J582" s="316"/>
      <c r="K582" s="316"/>
      <c r="L582" s="45"/>
      <c r="M582" s="45"/>
      <c r="N582" s="46"/>
      <c r="O582" s="46"/>
      <c r="P582" s="45"/>
      <c r="Q582" s="45"/>
      <c r="R582" s="45"/>
      <c r="T582" s="350">
        <f t="shared" si="91"/>
        <v>145</v>
      </c>
      <c r="V582" s="48" t="str">
        <f t="shared" si="92"/>
        <v xml:space="preserve">   Shroud - Style D - Assembly</v>
      </c>
      <c r="Y582" s="68">
        <f t="shared" si="93"/>
        <v>0</v>
      </c>
      <c r="Z582" s="1"/>
      <c r="AA582" s="68"/>
      <c r="AB582" s="68"/>
      <c r="AC582" s="132">
        <v>12.06</v>
      </c>
      <c r="AD582" s="342"/>
      <c r="AE582" s="3">
        <f>ROUND((Y582*(AC582+AD582)),0)</f>
        <v>0</v>
      </c>
      <c r="AF582" s="1"/>
      <c r="AG582" s="103">
        <f t="shared" si="94"/>
        <v>0</v>
      </c>
      <c r="AH582" s="4"/>
      <c r="AI582" s="3">
        <f t="shared" si="95"/>
        <v>0</v>
      </c>
      <c r="AJ582" s="3"/>
      <c r="AK582" s="113" t="str">
        <f>IF(AE582=0,"0.0 ",ROUND((AI582/AE582)*100,1))</f>
        <v xml:space="preserve">0.0 </v>
      </c>
      <c r="AL582" s="6"/>
      <c r="AM582" s="3"/>
      <c r="AN582" s="3"/>
      <c r="AO582" s="3">
        <f>AM582+AE582</f>
        <v>0</v>
      </c>
      <c r="AP582" s="3"/>
      <c r="AQ582" s="113" t="str">
        <f t="shared" si="96"/>
        <v xml:space="preserve">0.0 </v>
      </c>
      <c r="AS582" s="45"/>
      <c r="AW582" s="49"/>
    </row>
    <row r="583" spans="3:49">
      <c r="C583" s="42"/>
      <c r="F583" s="164"/>
      <c r="H583" s="164"/>
      <c r="I583" s="164"/>
      <c r="J583" s="316"/>
      <c r="K583" s="316"/>
      <c r="L583" s="45"/>
      <c r="M583" s="45"/>
      <c r="N583" s="46"/>
      <c r="O583" s="46"/>
      <c r="P583" s="45"/>
      <c r="Q583" s="45"/>
      <c r="R583" s="45"/>
      <c r="T583" s="350">
        <f t="shared" si="91"/>
        <v>146</v>
      </c>
      <c r="V583" s="48" t="str">
        <f t="shared" si="92"/>
        <v xml:space="preserve">   Shroud - Style Standard - Assembly 6"/15"</v>
      </c>
      <c r="Y583" s="68">
        <f t="shared" si="93"/>
        <v>0</v>
      </c>
      <c r="Z583" s="1"/>
      <c r="AA583" s="68"/>
      <c r="AB583" s="68"/>
      <c r="AC583" s="132">
        <v>4.71</v>
      </c>
      <c r="AD583" s="342"/>
      <c r="AE583" s="3">
        <f>ROUND((Y583*(AC583+AD583)),0)</f>
        <v>0</v>
      </c>
      <c r="AF583" s="1"/>
      <c r="AG583" s="103">
        <f t="shared" si="94"/>
        <v>0</v>
      </c>
      <c r="AH583" s="4"/>
      <c r="AI583" s="3">
        <f t="shared" si="95"/>
        <v>0</v>
      </c>
      <c r="AJ583" s="3"/>
      <c r="AK583" s="113" t="str">
        <f>IF(AE583=0,"0.0 ",ROUND((AI583/AE583)*100,1))</f>
        <v xml:space="preserve">0.0 </v>
      </c>
      <c r="AL583" s="6"/>
      <c r="AM583" s="3"/>
      <c r="AN583" s="3"/>
      <c r="AO583" s="3">
        <f>AM583+AE583</f>
        <v>0</v>
      </c>
      <c r="AP583" s="3"/>
      <c r="AQ583" s="113" t="str">
        <f t="shared" si="96"/>
        <v xml:space="preserve">0.0 </v>
      </c>
      <c r="AS583" s="45"/>
      <c r="AW583" s="49"/>
    </row>
    <row r="584" spans="3:49">
      <c r="C584" s="42"/>
      <c r="F584" s="164"/>
      <c r="H584" s="164"/>
      <c r="I584" s="164"/>
      <c r="J584" s="316"/>
      <c r="K584" s="316"/>
      <c r="L584" s="45"/>
      <c r="M584" s="45"/>
      <c r="N584" s="46"/>
      <c r="O584" s="46"/>
      <c r="P584" s="45"/>
      <c r="Q584" s="45"/>
      <c r="R584" s="45"/>
      <c r="T584" s="350">
        <f t="shared" si="91"/>
        <v>147</v>
      </c>
      <c r="V584" s="48" t="str">
        <f t="shared" si="92"/>
        <v xml:space="preserve">   Shroud - Style Standard - Assembly 6"/18"</v>
      </c>
      <c r="Y584" s="68">
        <f t="shared" si="93"/>
        <v>0</v>
      </c>
      <c r="Z584" s="1"/>
      <c r="AA584" s="68"/>
      <c r="AB584" s="68"/>
      <c r="AC584" s="132">
        <v>5.12</v>
      </c>
      <c r="AD584" s="342"/>
      <c r="AE584" s="3">
        <f>ROUND((Y584*(AC584+AD584)),0)</f>
        <v>0</v>
      </c>
      <c r="AF584" s="1"/>
      <c r="AG584" s="103">
        <f t="shared" si="94"/>
        <v>0</v>
      </c>
      <c r="AH584" s="4"/>
      <c r="AI584" s="3">
        <f t="shared" si="95"/>
        <v>0</v>
      </c>
      <c r="AJ584" s="3"/>
      <c r="AK584" s="113" t="str">
        <f>IF(AE584=0,"0.0 ",ROUND((AI584/AE584)*100,1))</f>
        <v xml:space="preserve">0.0 </v>
      </c>
      <c r="AL584" s="6"/>
      <c r="AM584" s="3"/>
      <c r="AN584" s="3"/>
      <c r="AO584" s="3">
        <f>AM584+AE584</f>
        <v>0</v>
      </c>
      <c r="AP584" s="3"/>
      <c r="AQ584" s="113" t="str">
        <f t="shared" si="96"/>
        <v xml:space="preserve">0.0 </v>
      </c>
      <c r="AS584" s="45"/>
      <c r="AW584" s="49"/>
    </row>
    <row r="585" spans="3:49">
      <c r="C585" s="42"/>
      <c r="F585" s="164"/>
      <c r="H585" s="164"/>
      <c r="I585" s="164"/>
      <c r="J585" s="316"/>
      <c r="K585" s="316"/>
      <c r="L585" s="45"/>
      <c r="M585" s="45"/>
      <c r="N585" s="46"/>
      <c r="O585" s="46"/>
      <c r="P585" s="45"/>
      <c r="Q585" s="45"/>
      <c r="R585" s="45"/>
      <c r="T585" s="350">
        <f t="shared" si="91"/>
        <v>148</v>
      </c>
      <c r="U585" s="380"/>
      <c r="V585" s="48" t="str">
        <f t="shared" si="92"/>
        <v>TOTAL LED POLES</v>
      </c>
      <c r="W585" s="380"/>
      <c r="Y585" s="71">
        <f>SUM(Y465:Y584)</f>
        <v>17</v>
      </c>
      <c r="Z585" s="1"/>
      <c r="AA585" s="68"/>
      <c r="AB585" s="68"/>
      <c r="AC585" s="132"/>
      <c r="AD585" s="342"/>
      <c r="AE585" s="71">
        <f>SUM(AE465:AE584)</f>
        <v>135</v>
      </c>
      <c r="AG585" s="416">
        <f>SUM(AG465:AG584)</f>
        <v>0.7</v>
      </c>
      <c r="AI585" s="71">
        <f>SUM(AI465:AI584)</f>
        <v>18</v>
      </c>
      <c r="AK585" s="416">
        <f>SUM(AK465:AK584)</f>
        <v>26.700000000000003</v>
      </c>
      <c r="AM585" s="71">
        <f>SUM(AM465:AM584)</f>
        <v>0</v>
      </c>
      <c r="AO585" s="71">
        <f>SUM(AO465:AO584)</f>
        <v>135</v>
      </c>
      <c r="AQ585" s="114">
        <f t="shared" si="96"/>
        <v>13.3</v>
      </c>
      <c r="AS585" s="45"/>
      <c r="AW585" s="49"/>
    </row>
    <row r="586" spans="3:49">
      <c r="C586" s="42"/>
      <c r="F586" s="164"/>
      <c r="H586" s="164"/>
      <c r="I586" s="164"/>
      <c r="J586" s="316"/>
      <c r="K586" s="316"/>
      <c r="L586" s="45"/>
      <c r="M586" s="45"/>
      <c r="N586" s="46"/>
      <c r="O586" s="46"/>
      <c r="P586" s="45"/>
      <c r="Q586" s="45"/>
      <c r="R586" s="45"/>
      <c r="T586" s="350"/>
      <c r="V586" s="48"/>
      <c r="Y586" s="68"/>
      <c r="Z586" s="1"/>
      <c r="AA586" s="68"/>
      <c r="AB586" s="68"/>
      <c r="AC586" s="132"/>
      <c r="AD586" s="342"/>
      <c r="AE586" s="3"/>
      <c r="AF586" s="3"/>
      <c r="AG586" s="103"/>
      <c r="AH586" s="4"/>
      <c r="AI586" s="3"/>
      <c r="AJ586" s="3"/>
      <c r="AK586" s="113"/>
      <c r="AL586" s="6"/>
      <c r="AM586" s="1"/>
      <c r="AN586" s="3"/>
      <c r="AO586" s="3"/>
      <c r="AP586" s="3"/>
      <c r="AQ586" s="113"/>
      <c r="AS586" s="45"/>
      <c r="AW586" s="49"/>
    </row>
    <row r="587" spans="3:49">
      <c r="C587" s="42"/>
      <c r="F587" s="164"/>
      <c r="H587" s="164"/>
      <c r="I587" s="164"/>
      <c r="J587" s="316"/>
      <c r="K587" s="316"/>
      <c r="L587" s="45"/>
      <c r="M587" s="45"/>
      <c r="N587" s="46"/>
      <c r="O587" s="46"/>
      <c r="P587" s="45"/>
      <c r="Q587" s="45"/>
      <c r="R587" s="45"/>
      <c r="T587" s="350">
        <f t="shared" ref="T587:T601" si="97">A235</f>
        <v>149</v>
      </c>
      <c r="U587" s="381"/>
      <c r="V587" s="48" t="str">
        <f t="shared" ref="V587:V601" si="98">C235</f>
        <v>POLE FOUNDATIONS</v>
      </c>
      <c r="W587" s="381"/>
      <c r="Y587" s="68"/>
      <c r="Z587" s="1"/>
      <c r="AA587" s="68"/>
      <c r="AB587" s="68"/>
      <c r="AC587" s="132"/>
      <c r="AD587" s="342"/>
      <c r="AE587" s="3"/>
      <c r="AF587" s="3"/>
      <c r="AG587" s="103"/>
      <c r="AH587" s="4"/>
      <c r="AI587" s="3"/>
      <c r="AJ587" s="3"/>
      <c r="AK587" s="113"/>
      <c r="AL587" s="6"/>
      <c r="AM587" s="1"/>
      <c r="AN587" s="3"/>
      <c r="AO587" s="3"/>
      <c r="AP587" s="3"/>
      <c r="AQ587" s="113"/>
      <c r="AS587" s="45"/>
      <c r="AW587" s="49"/>
    </row>
    <row r="588" spans="3:49">
      <c r="C588" s="42"/>
      <c r="F588" s="164"/>
      <c r="H588" s="164"/>
      <c r="I588" s="164"/>
      <c r="J588" s="316"/>
      <c r="K588" s="316"/>
      <c r="L588" s="45"/>
      <c r="M588" s="45"/>
      <c r="N588" s="46"/>
      <c r="O588" s="46"/>
      <c r="P588" s="45"/>
      <c r="Q588" s="45"/>
      <c r="R588" s="45"/>
      <c r="T588" s="350">
        <f t="shared" si="97"/>
        <v>150</v>
      </c>
      <c r="U588" s="381"/>
      <c r="V588" s="48" t="str">
        <f t="shared" si="98"/>
        <v xml:space="preserve">   Flush - Pre-fabricated - Style A Pole</v>
      </c>
      <c r="W588" s="381"/>
      <c r="Y588" s="68">
        <f t="shared" ref="Y588:Y600" si="99">F236</f>
        <v>0</v>
      </c>
      <c r="Z588" s="1"/>
      <c r="AA588" s="68"/>
      <c r="AB588" s="68"/>
      <c r="AC588" s="132">
        <v>13.3</v>
      </c>
      <c r="AD588" s="342"/>
      <c r="AE588" s="3">
        <f t="shared" ref="AE588:AE600" si="100">ROUND((Y588*(AC588+AD588)),0)</f>
        <v>0</v>
      </c>
      <c r="AF588" s="1"/>
      <c r="AG588" s="103">
        <f t="shared" ref="AG588:AG600" si="101">ROUND((AE588/AE$692)*100,1)</f>
        <v>0</v>
      </c>
      <c r="AH588" s="4"/>
      <c r="AI588" s="3">
        <f t="shared" ref="AI588:AI600" si="102">L236-AE588</f>
        <v>0</v>
      </c>
      <c r="AJ588" s="3"/>
      <c r="AK588" s="113" t="str">
        <f t="shared" ref="AK588:AK601" si="103">IF(AE588=0,"0.0 ",ROUND((AI588/AE588)*100,1))</f>
        <v xml:space="preserve">0.0 </v>
      </c>
      <c r="AL588" s="6"/>
      <c r="AM588" s="3"/>
      <c r="AN588" s="3"/>
      <c r="AO588" s="3">
        <f t="shared" ref="AO588:AO600" si="104">AM588+AE588</f>
        <v>0</v>
      </c>
      <c r="AP588" s="3"/>
      <c r="AQ588" s="113" t="str">
        <f t="shared" ref="AQ588:AQ601" si="105">IF(AO588=0,"0.0 ",ROUND((AI588/AO588)*100,1))</f>
        <v xml:space="preserve">0.0 </v>
      </c>
      <c r="AS588" s="45"/>
      <c r="AW588" s="49"/>
    </row>
    <row r="589" spans="3:49">
      <c r="C589" s="42"/>
      <c r="F589" s="164"/>
      <c r="H589" s="164"/>
      <c r="I589" s="164"/>
      <c r="J589" s="316"/>
      <c r="K589" s="316"/>
      <c r="L589" s="45"/>
      <c r="M589" s="45"/>
      <c r="N589" s="46"/>
      <c r="O589" s="46"/>
      <c r="P589" s="45"/>
      <c r="Q589" s="45"/>
      <c r="R589" s="45"/>
      <c r="T589" s="350">
        <f t="shared" si="97"/>
        <v>151</v>
      </c>
      <c r="V589" s="48" t="str">
        <f t="shared" si="98"/>
        <v xml:space="preserve">   Flush - Pre-fabricated - Style B Pole</v>
      </c>
      <c r="Y589" s="68">
        <f t="shared" si="99"/>
        <v>0</v>
      </c>
      <c r="Z589" s="1"/>
      <c r="AA589" s="68"/>
      <c r="AB589" s="68"/>
      <c r="AC589" s="132">
        <v>12.28</v>
      </c>
      <c r="AD589" s="342"/>
      <c r="AE589" s="3">
        <f t="shared" si="100"/>
        <v>0</v>
      </c>
      <c r="AF589" s="1"/>
      <c r="AG589" s="103">
        <f t="shared" si="101"/>
        <v>0</v>
      </c>
      <c r="AH589" s="4"/>
      <c r="AI589" s="3">
        <f t="shared" si="102"/>
        <v>0</v>
      </c>
      <c r="AJ589" s="3"/>
      <c r="AK589" s="113" t="str">
        <f t="shared" si="103"/>
        <v xml:space="preserve">0.0 </v>
      </c>
      <c r="AL589" s="6"/>
      <c r="AM589" s="3"/>
      <c r="AN589" s="3"/>
      <c r="AO589" s="3">
        <f t="shared" si="104"/>
        <v>0</v>
      </c>
      <c r="AP589" s="3"/>
      <c r="AQ589" s="113" t="str">
        <f t="shared" si="105"/>
        <v xml:space="preserve">0.0 </v>
      </c>
      <c r="AS589" s="45"/>
      <c r="AW589" s="49"/>
    </row>
    <row r="590" spans="3:49">
      <c r="C590" s="42"/>
      <c r="F590" s="164"/>
      <c r="H590" s="164"/>
      <c r="I590" s="164"/>
      <c r="J590" s="316"/>
      <c r="K590" s="316"/>
      <c r="L590" s="45"/>
      <c r="M590" s="45"/>
      <c r="N590" s="46"/>
      <c r="O590" s="46"/>
      <c r="P590" s="45"/>
      <c r="Q590" s="45"/>
      <c r="R590" s="45"/>
      <c r="T590" s="350">
        <f t="shared" si="97"/>
        <v>152</v>
      </c>
      <c r="V590" s="48" t="str">
        <f t="shared" si="98"/>
        <v xml:space="preserve">   Flush - Pre-fabricated - Style C Pole</v>
      </c>
      <c r="Y590" s="68">
        <f t="shared" si="99"/>
        <v>0</v>
      </c>
      <c r="Z590" s="1"/>
      <c r="AA590" s="68"/>
      <c r="AB590" s="68"/>
      <c r="AC590" s="132">
        <v>13.17</v>
      </c>
      <c r="AD590" s="342"/>
      <c r="AE590" s="3">
        <f t="shared" si="100"/>
        <v>0</v>
      </c>
      <c r="AF590" s="1"/>
      <c r="AG590" s="103">
        <f t="shared" si="101"/>
        <v>0</v>
      </c>
      <c r="AH590" s="4"/>
      <c r="AI590" s="3">
        <f t="shared" si="102"/>
        <v>0</v>
      </c>
      <c r="AJ590" s="3"/>
      <c r="AK590" s="113" t="str">
        <f t="shared" si="103"/>
        <v xml:space="preserve">0.0 </v>
      </c>
      <c r="AL590" s="6"/>
      <c r="AM590" s="3"/>
      <c r="AN590" s="3"/>
      <c r="AO590" s="3">
        <f t="shared" si="104"/>
        <v>0</v>
      </c>
      <c r="AP590" s="3"/>
      <c r="AQ590" s="113" t="str">
        <f t="shared" si="105"/>
        <v xml:space="preserve">0.0 </v>
      </c>
      <c r="AS590" s="45"/>
      <c r="AW590" s="49"/>
    </row>
    <row r="591" spans="3:49">
      <c r="C591" s="42"/>
      <c r="F591" s="164"/>
      <c r="H591" s="164"/>
      <c r="I591" s="164"/>
      <c r="J591" s="316"/>
      <c r="K591" s="316"/>
      <c r="L591" s="45"/>
      <c r="M591" s="45"/>
      <c r="N591" s="46"/>
      <c r="O591" s="46"/>
      <c r="P591" s="45"/>
      <c r="Q591" s="45"/>
      <c r="R591" s="45"/>
      <c r="T591" s="350">
        <f t="shared" si="97"/>
        <v>153</v>
      </c>
      <c r="U591" s="382"/>
      <c r="V591" s="48" t="str">
        <f t="shared" si="98"/>
        <v xml:space="preserve">   Flush - Pre-fabricated - Style E Pole</v>
      </c>
      <c r="W591" s="382"/>
      <c r="Y591" s="68">
        <f t="shared" si="99"/>
        <v>0</v>
      </c>
      <c r="Z591" s="1"/>
      <c r="AA591" s="68"/>
      <c r="AB591" s="68"/>
      <c r="AC591" s="132">
        <v>12.28</v>
      </c>
      <c r="AD591" s="342"/>
      <c r="AE591" s="3">
        <f t="shared" si="100"/>
        <v>0</v>
      </c>
      <c r="AF591" s="1"/>
      <c r="AG591" s="103">
        <f t="shared" si="101"/>
        <v>0</v>
      </c>
      <c r="AH591" s="4"/>
      <c r="AI591" s="3">
        <f t="shared" si="102"/>
        <v>0</v>
      </c>
      <c r="AJ591" s="3"/>
      <c r="AK591" s="113" t="str">
        <f t="shared" si="103"/>
        <v xml:space="preserve">0.0 </v>
      </c>
      <c r="AL591" s="6"/>
      <c r="AM591" s="3"/>
      <c r="AN591" s="3"/>
      <c r="AO591" s="3">
        <f t="shared" si="104"/>
        <v>0</v>
      </c>
      <c r="AP591" s="3"/>
      <c r="AQ591" s="113" t="str">
        <f t="shared" si="105"/>
        <v xml:space="preserve">0.0 </v>
      </c>
      <c r="AS591" s="45"/>
      <c r="AW591" s="49"/>
    </row>
    <row r="592" spans="3:49">
      <c r="F592" s="45"/>
      <c r="H592" s="50"/>
      <c r="I592" s="50"/>
      <c r="J592" s="326"/>
      <c r="K592" s="326"/>
      <c r="L592" s="50"/>
      <c r="M592" s="50"/>
      <c r="N592" s="50"/>
      <c r="O592" s="50"/>
      <c r="P592" s="50"/>
      <c r="Q592" s="50"/>
      <c r="R592" s="50"/>
      <c r="T592" s="350">
        <f t="shared" si="97"/>
        <v>154</v>
      </c>
      <c r="V592" s="48" t="str">
        <f t="shared" si="98"/>
        <v xml:space="preserve">   Flush - Pre-fabricated - Style F Pole</v>
      </c>
      <c r="Y592" s="68">
        <f t="shared" si="99"/>
        <v>0</v>
      </c>
      <c r="Z592" s="1"/>
      <c r="AA592" s="68"/>
      <c r="AB592" s="68"/>
      <c r="AC592" s="132">
        <v>12.28</v>
      </c>
      <c r="AD592" s="342"/>
      <c r="AE592" s="3">
        <f t="shared" si="100"/>
        <v>0</v>
      </c>
      <c r="AF592" s="1"/>
      <c r="AG592" s="103">
        <f t="shared" si="101"/>
        <v>0</v>
      </c>
      <c r="AH592" s="4"/>
      <c r="AI592" s="3">
        <f t="shared" si="102"/>
        <v>0</v>
      </c>
      <c r="AJ592" s="3"/>
      <c r="AK592" s="113" t="str">
        <f t="shared" si="103"/>
        <v xml:space="preserve">0.0 </v>
      </c>
      <c r="AL592" s="6"/>
      <c r="AM592" s="3"/>
      <c r="AN592" s="3"/>
      <c r="AO592" s="3">
        <f t="shared" si="104"/>
        <v>0</v>
      </c>
      <c r="AP592" s="3"/>
      <c r="AQ592" s="113" t="str">
        <f t="shared" si="105"/>
        <v xml:space="preserve">0.0 </v>
      </c>
      <c r="AS592" s="45"/>
      <c r="AW592" s="49"/>
    </row>
    <row r="593" spans="3:49">
      <c r="F593" s="45"/>
      <c r="H593" s="50"/>
      <c r="I593" s="50"/>
      <c r="J593" s="326"/>
      <c r="K593" s="326"/>
      <c r="L593" s="50"/>
      <c r="M593" s="50"/>
      <c r="N593" s="50"/>
      <c r="O593" s="50"/>
      <c r="P593" s="50"/>
      <c r="Q593" s="50"/>
      <c r="R593" s="50"/>
      <c r="T593" s="350">
        <f t="shared" si="97"/>
        <v>155</v>
      </c>
      <c r="V593" s="48" t="str">
        <f t="shared" si="98"/>
        <v xml:space="preserve">   Flush - Pre-fabricated - Style D Pole</v>
      </c>
      <c r="Y593" s="68">
        <f t="shared" si="99"/>
        <v>0</v>
      </c>
      <c r="Z593" s="1"/>
      <c r="AA593" s="68"/>
      <c r="AB593" s="68"/>
      <c r="AC593" s="132">
        <v>12.28</v>
      </c>
      <c r="AD593" s="5"/>
      <c r="AE593" s="3">
        <f t="shared" si="100"/>
        <v>0</v>
      </c>
      <c r="AF593" s="1"/>
      <c r="AG593" s="103">
        <f t="shared" si="101"/>
        <v>0</v>
      </c>
      <c r="AH593" s="4"/>
      <c r="AI593" s="3">
        <f t="shared" si="102"/>
        <v>0</v>
      </c>
      <c r="AJ593" s="3"/>
      <c r="AK593" s="113" t="str">
        <f t="shared" si="103"/>
        <v xml:space="preserve">0.0 </v>
      </c>
      <c r="AL593" s="6"/>
      <c r="AM593" s="3"/>
      <c r="AN593" s="3"/>
      <c r="AO593" s="3">
        <f t="shared" si="104"/>
        <v>0</v>
      </c>
      <c r="AP593" s="3"/>
      <c r="AQ593" s="113" t="str">
        <f t="shared" si="105"/>
        <v xml:space="preserve">0.0 </v>
      </c>
      <c r="AS593" s="45"/>
      <c r="AW593" s="49"/>
    </row>
    <row r="594" spans="3:49">
      <c r="F594" s="45"/>
      <c r="H594" s="50"/>
      <c r="I594" s="50"/>
      <c r="J594" s="326"/>
      <c r="K594" s="326"/>
      <c r="L594" s="50"/>
      <c r="M594" s="50"/>
      <c r="N594" s="50"/>
      <c r="O594" s="50"/>
      <c r="P594" s="50"/>
      <c r="Q594" s="50"/>
      <c r="R594" s="50"/>
      <c r="T594" s="350">
        <f t="shared" si="97"/>
        <v>156</v>
      </c>
      <c r="V594" s="48" t="str">
        <f t="shared" si="98"/>
        <v xml:space="preserve">   Reveal - Pre-fabricated - Style A Pole</v>
      </c>
      <c r="Y594" s="68">
        <f t="shared" si="99"/>
        <v>0</v>
      </c>
      <c r="Z594" s="1"/>
      <c r="AA594" s="68"/>
      <c r="AB594" s="68"/>
      <c r="AC594" s="132">
        <v>18.73</v>
      </c>
      <c r="AD594" s="5"/>
      <c r="AE594" s="3">
        <f t="shared" si="100"/>
        <v>0</v>
      </c>
      <c r="AF594" s="1"/>
      <c r="AG594" s="103">
        <f t="shared" si="101"/>
        <v>0</v>
      </c>
      <c r="AH594" s="4"/>
      <c r="AI594" s="3">
        <f t="shared" si="102"/>
        <v>0</v>
      </c>
      <c r="AJ594" s="3"/>
      <c r="AK594" s="113" t="str">
        <f t="shared" si="103"/>
        <v xml:space="preserve">0.0 </v>
      </c>
      <c r="AL594" s="6"/>
      <c r="AM594" s="3"/>
      <c r="AN594" s="3"/>
      <c r="AO594" s="3">
        <f t="shared" si="104"/>
        <v>0</v>
      </c>
      <c r="AP594" s="3"/>
      <c r="AQ594" s="113" t="str">
        <f t="shared" si="105"/>
        <v xml:space="preserve">0.0 </v>
      </c>
      <c r="AS594" s="45"/>
      <c r="AW594" s="49"/>
    </row>
    <row r="595" spans="3:49">
      <c r="F595" s="45"/>
      <c r="H595" s="50"/>
      <c r="I595" s="50"/>
      <c r="J595" s="326"/>
      <c r="K595" s="326"/>
      <c r="L595" s="50"/>
      <c r="M595" s="50"/>
      <c r="N595" s="50"/>
      <c r="O595" s="50"/>
      <c r="P595" s="50"/>
      <c r="Q595" s="50"/>
      <c r="R595" s="50"/>
      <c r="T595" s="350">
        <f t="shared" si="97"/>
        <v>157</v>
      </c>
      <c r="V595" s="48" t="str">
        <f t="shared" si="98"/>
        <v xml:space="preserve">   Reveal - Pre-fabricated - Style B Pole</v>
      </c>
      <c r="Y595" s="68">
        <f t="shared" si="99"/>
        <v>0</v>
      </c>
      <c r="Z595" s="1"/>
      <c r="AA595" s="68"/>
      <c r="AB595" s="68"/>
      <c r="AC595" s="132">
        <v>14.9</v>
      </c>
      <c r="AD595" s="5"/>
      <c r="AE595" s="3">
        <f t="shared" si="100"/>
        <v>0</v>
      </c>
      <c r="AF595" s="1"/>
      <c r="AG595" s="103">
        <f t="shared" si="101"/>
        <v>0</v>
      </c>
      <c r="AH595" s="4"/>
      <c r="AI595" s="3">
        <f t="shared" si="102"/>
        <v>0</v>
      </c>
      <c r="AJ595" s="3"/>
      <c r="AK595" s="113" t="str">
        <f t="shared" si="103"/>
        <v xml:space="preserve">0.0 </v>
      </c>
      <c r="AL595" s="6"/>
      <c r="AM595" s="3"/>
      <c r="AN595" s="3"/>
      <c r="AO595" s="3">
        <f t="shared" si="104"/>
        <v>0</v>
      </c>
      <c r="AP595" s="3"/>
      <c r="AQ595" s="113" t="str">
        <f t="shared" si="105"/>
        <v xml:space="preserve">0.0 </v>
      </c>
      <c r="AS595" s="45"/>
      <c r="AW595" s="49"/>
    </row>
    <row r="596" spans="3:49">
      <c r="F596" s="45"/>
      <c r="H596" s="50"/>
      <c r="I596" s="50"/>
      <c r="J596" s="326"/>
      <c r="K596" s="326"/>
      <c r="L596" s="50"/>
      <c r="M596" s="50"/>
      <c r="N596" s="50"/>
      <c r="O596" s="50"/>
      <c r="P596" s="50"/>
      <c r="Q596" s="50"/>
      <c r="R596" s="50"/>
      <c r="T596" s="350">
        <f t="shared" si="97"/>
        <v>158</v>
      </c>
      <c r="U596" s="375"/>
      <c r="V596" s="48" t="str">
        <f t="shared" si="98"/>
        <v xml:space="preserve">   Reveal - Pre-fabricated - Style C Pole</v>
      </c>
      <c r="W596" s="375"/>
      <c r="Y596" s="68">
        <f t="shared" si="99"/>
        <v>0</v>
      </c>
      <c r="Z596" s="1"/>
      <c r="AA596" s="68"/>
      <c r="AB596" s="68"/>
      <c r="AC596" s="132">
        <v>15.46</v>
      </c>
      <c r="AD596" s="5"/>
      <c r="AE596" s="3">
        <f t="shared" si="100"/>
        <v>0</v>
      </c>
      <c r="AF596" s="1"/>
      <c r="AG596" s="103">
        <f t="shared" si="101"/>
        <v>0</v>
      </c>
      <c r="AH596" s="4"/>
      <c r="AI596" s="3">
        <f t="shared" si="102"/>
        <v>0</v>
      </c>
      <c r="AJ596" s="3"/>
      <c r="AK596" s="113" t="str">
        <f t="shared" si="103"/>
        <v xml:space="preserve">0.0 </v>
      </c>
      <c r="AL596" s="6"/>
      <c r="AM596" s="3"/>
      <c r="AN596" s="3"/>
      <c r="AO596" s="3">
        <f t="shared" si="104"/>
        <v>0</v>
      </c>
      <c r="AP596" s="3"/>
      <c r="AQ596" s="113" t="str">
        <f t="shared" si="105"/>
        <v xml:space="preserve">0.0 </v>
      </c>
      <c r="AS596" s="45"/>
      <c r="AW596" s="49"/>
    </row>
    <row r="597" spans="3:49">
      <c r="C597" s="42"/>
      <c r="F597" s="45"/>
      <c r="H597" s="45"/>
      <c r="I597" s="45"/>
      <c r="J597" s="326"/>
      <c r="K597" s="326"/>
      <c r="L597" s="45"/>
      <c r="M597" s="45"/>
      <c r="N597" s="46"/>
      <c r="O597" s="46"/>
      <c r="P597" s="45"/>
      <c r="Q597" s="45"/>
      <c r="R597" s="45"/>
      <c r="T597" s="350">
        <f t="shared" si="97"/>
        <v>159</v>
      </c>
      <c r="U597" s="375"/>
      <c r="V597" s="48" t="str">
        <f t="shared" si="98"/>
        <v xml:space="preserve">   Reveal - Pre-fabricated - Style D Pole</v>
      </c>
      <c r="W597" s="375"/>
      <c r="Y597" s="68">
        <f t="shared" si="99"/>
        <v>0</v>
      </c>
      <c r="Z597" s="1"/>
      <c r="AA597" s="68"/>
      <c r="AB597" s="68"/>
      <c r="AC597" s="132">
        <v>15.46</v>
      </c>
      <c r="AD597" s="5"/>
      <c r="AE597" s="3">
        <f t="shared" si="100"/>
        <v>0</v>
      </c>
      <c r="AF597" s="1"/>
      <c r="AG597" s="103">
        <f t="shared" si="101"/>
        <v>0</v>
      </c>
      <c r="AH597" s="4"/>
      <c r="AI597" s="3">
        <f t="shared" si="102"/>
        <v>0</v>
      </c>
      <c r="AJ597" s="3"/>
      <c r="AK597" s="113" t="str">
        <f t="shared" si="103"/>
        <v xml:space="preserve">0.0 </v>
      </c>
      <c r="AL597" s="6"/>
      <c r="AM597" s="3"/>
      <c r="AN597" s="3"/>
      <c r="AO597" s="3">
        <f t="shared" si="104"/>
        <v>0</v>
      </c>
      <c r="AP597" s="3"/>
      <c r="AQ597" s="113" t="str">
        <f t="shared" si="105"/>
        <v xml:space="preserve">0.0 </v>
      </c>
      <c r="AS597" s="45"/>
      <c r="AW597" s="49"/>
    </row>
    <row r="598" spans="3:49">
      <c r="C598" s="42"/>
      <c r="F598" s="45"/>
      <c r="H598" s="45"/>
      <c r="I598" s="45"/>
      <c r="J598" s="326"/>
      <c r="K598" s="326"/>
      <c r="L598" s="45"/>
      <c r="M598" s="45"/>
      <c r="N598" s="46"/>
      <c r="O598" s="46"/>
      <c r="P598" s="45"/>
      <c r="Q598" s="45"/>
      <c r="R598" s="45"/>
      <c r="T598" s="350">
        <f t="shared" si="97"/>
        <v>160</v>
      </c>
      <c r="V598" s="48" t="str">
        <f t="shared" si="98"/>
        <v xml:space="preserve">   Reveal - Pre-fabricated - Style E Pole</v>
      </c>
      <c r="Y598" s="68">
        <f t="shared" si="99"/>
        <v>0</v>
      </c>
      <c r="Z598" s="1"/>
      <c r="AA598" s="68"/>
      <c r="AB598" s="68"/>
      <c r="AC598" s="132">
        <v>15.46</v>
      </c>
      <c r="AD598" s="342"/>
      <c r="AE598" s="3">
        <f t="shared" si="100"/>
        <v>0</v>
      </c>
      <c r="AF598" s="1"/>
      <c r="AG598" s="103">
        <f t="shared" si="101"/>
        <v>0</v>
      </c>
      <c r="AH598" s="4"/>
      <c r="AI598" s="3">
        <f t="shared" si="102"/>
        <v>0</v>
      </c>
      <c r="AJ598" s="3"/>
      <c r="AK598" s="113" t="str">
        <f t="shared" si="103"/>
        <v xml:space="preserve">0.0 </v>
      </c>
      <c r="AL598" s="6"/>
      <c r="AM598" s="3"/>
      <c r="AN598" s="3"/>
      <c r="AO598" s="3">
        <f t="shared" si="104"/>
        <v>0</v>
      </c>
      <c r="AP598" s="3"/>
      <c r="AQ598" s="113" t="str">
        <f t="shared" si="105"/>
        <v xml:space="preserve">0.0 </v>
      </c>
      <c r="AS598" s="45"/>
      <c r="AW598" s="49"/>
    </row>
    <row r="599" spans="3:49">
      <c r="C599" s="42"/>
      <c r="F599" s="45"/>
      <c r="H599" s="45"/>
      <c r="I599" s="45"/>
      <c r="J599" s="326"/>
      <c r="K599" s="326"/>
      <c r="L599" s="45"/>
      <c r="M599" s="45"/>
      <c r="N599" s="46"/>
      <c r="O599" s="46"/>
      <c r="P599" s="45"/>
      <c r="Q599" s="45"/>
      <c r="R599" s="45"/>
      <c r="T599" s="350">
        <f t="shared" si="97"/>
        <v>161</v>
      </c>
      <c r="V599" s="48" t="str">
        <f t="shared" si="98"/>
        <v xml:space="preserve">   Reveal - Pre-fabricated - Style F Pole</v>
      </c>
      <c r="Y599" s="68">
        <f t="shared" si="99"/>
        <v>0</v>
      </c>
      <c r="Z599" s="1"/>
      <c r="AA599" s="68"/>
      <c r="AB599" s="68"/>
      <c r="AC599" s="132">
        <v>15.46</v>
      </c>
      <c r="AD599" s="342"/>
      <c r="AE599" s="3">
        <f t="shared" si="100"/>
        <v>0</v>
      </c>
      <c r="AF599" s="1"/>
      <c r="AG599" s="103">
        <f t="shared" si="101"/>
        <v>0</v>
      </c>
      <c r="AH599" s="4"/>
      <c r="AI599" s="3">
        <f t="shared" si="102"/>
        <v>0</v>
      </c>
      <c r="AJ599" s="3"/>
      <c r="AK599" s="113" t="str">
        <f t="shared" si="103"/>
        <v xml:space="preserve">0.0 </v>
      </c>
      <c r="AL599" s="6"/>
      <c r="AM599" s="3"/>
      <c r="AN599" s="3"/>
      <c r="AO599" s="3">
        <f t="shared" si="104"/>
        <v>0</v>
      </c>
      <c r="AP599" s="3"/>
      <c r="AQ599" s="113" t="str">
        <f t="shared" si="105"/>
        <v xml:space="preserve">0.0 </v>
      </c>
      <c r="AS599" s="45"/>
      <c r="AW599" s="49"/>
    </row>
    <row r="600" spans="3:49">
      <c r="F600" s="45"/>
      <c r="H600" s="50"/>
      <c r="I600" s="50"/>
      <c r="J600" s="326"/>
      <c r="K600" s="326"/>
      <c r="L600" s="50"/>
      <c r="M600" s="50"/>
      <c r="N600" s="50"/>
      <c r="O600" s="50"/>
      <c r="P600" s="50"/>
      <c r="Q600" s="50"/>
      <c r="R600" s="50"/>
      <c r="T600" s="350">
        <f t="shared" si="97"/>
        <v>162</v>
      </c>
      <c r="V600" s="48" t="str">
        <f t="shared" si="98"/>
        <v xml:space="preserve">   Screw-in Foundation</v>
      </c>
      <c r="Y600" s="68">
        <f t="shared" si="99"/>
        <v>0</v>
      </c>
      <c r="Z600" s="1"/>
      <c r="AA600" s="68"/>
      <c r="AB600" s="68"/>
      <c r="AC600" s="132">
        <v>7.96</v>
      </c>
      <c r="AD600" s="342"/>
      <c r="AE600" s="3">
        <f t="shared" si="100"/>
        <v>0</v>
      </c>
      <c r="AF600" s="1"/>
      <c r="AG600" s="103">
        <f t="shared" si="101"/>
        <v>0</v>
      </c>
      <c r="AH600" s="4"/>
      <c r="AI600" s="3">
        <f t="shared" si="102"/>
        <v>0</v>
      </c>
      <c r="AJ600" s="3"/>
      <c r="AK600" s="113" t="str">
        <f t="shared" si="103"/>
        <v xml:space="preserve">0.0 </v>
      </c>
      <c r="AL600" s="6"/>
      <c r="AM600" s="3"/>
      <c r="AN600" s="3"/>
      <c r="AO600" s="3">
        <f t="shared" si="104"/>
        <v>0</v>
      </c>
      <c r="AP600" s="3"/>
      <c r="AQ600" s="113" t="str">
        <f t="shared" si="105"/>
        <v xml:space="preserve">0.0 </v>
      </c>
      <c r="AS600" s="45"/>
      <c r="AW600" s="49"/>
    </row>
    <row r="601" spans="3:49">
      <c r="F601" s="45"/>
      <c r="H601" s="45"/>
      <c r="I601" s="45"/>
      <c r="J601" s="326"/>
      <c r="K601" s="326"/>
      <c r="L601" s="45"/>
      <c r="M601" s="45"/>
      <c r="N601" s="45"/>
      <c r="O601" s="45"/>
      <c r="P601" s="45"/>
      <c r="Q601" s="45"/>
      <c r="R601" s="45"/>
      <c r="T601" s="350">
        <f t="shared" si="97"/>
        <v>163</v>
      </c>
      <c r="V601" s="48" t="str">
        <f t="shared" si="98"/>
        <v>TOTAL LED POLE FOUNDATIONS</v>
      </c>
      <c r="Y601" s="71">
        <f>SUM(Y588:Y600)</f>
        <v>0</v>
      </c>
      <c r="Z601" s="1"/>
      <c r="AA601" s="68"/>
      <c r="AB601" s="68"/>
      <c r="AC601" s="132"/>
      <c r="AD601" s="342"/>
      <c r="AE601" s="72">
        <f>SUM(AE588:AE600)</f>
        <v>0</v>
      </c>
      <c r="AG601" s="416">
        <f>SUM(AG588:AG600)</f>
        <v>0</v>
      </c>
      <c r="AI601" s="72">
        <f>SUM(AI588:AI600)</f>
        <v>0</v>
      </c>
      <c r="AK601" s="113" t="str">
        <f t="shared" si="103"/>
        <v xml:space="preserve">0.0 </v>
      </c>
      <c r="AM601" s="72">
        <f>SUM(AM588:AM600)</f>
        <v>0</v>
      </c>
      <c r="AO601" s="72">
        <f>SUM(AO588:AO600)</f>
        <v>0</v>
      </c>
      <c r="AQ601" s="114" t="str">
        <f t="shared" si="105"/>
        <v xml:space="preserve">0.0 </v>
      </c>
      <c r="AS601" s="45"/>
      <c r="AW601" s="49"/>
    </row>
    <row r="602" spans="3:49">
      <c r="F602" s="45"/>
      <c r="H602" s="45"/>
      <c r="I602" s="45"/>
      <c r="J602" s="326"/>
      <c r="K602" s="326"/>
      <c r="L602" s="45"/>
      <c r="M602" s="45"/>
      <c r="N602" s="45"/>
      <c r="O602" s="45"/>
      <c r="P602" s="45"/>
      <c r="Q602" s="45"/>
      <c r="R602" s="45"/>
      <c r="T602" s="350"/>
      <c r="V602" s="48"/>
      <c r="Y602" s="68"/>
      <c r="Z602" s="1"/>
      <c r="AA602" s="68"/>
      <c r="AB602" s="68"/>
      <c r="AC602" s="132"/>
      <c r="AD602" s="342"/>
      <c r="AE602" s="3"/>
      <c r="AG602" s="6"/>
      <c r="AI602" s="3"/>
      <c r="AK602" s="113"/>
      <c r="AM602" s="3"/>
      <c r="AO602" s="3"/>
      <c r="AQ602" s="113"/>
      <c r="AS602" s="45"/>
      <c r="AW602" s="49"/>
    </row>
    <row r="603" spans="3:49">
      <c r="C603" s="42"/>
      <c r="F603" s="164"/>
      <c r="H603" s="329"/>
      <c r="I603" s="329"/>
      <c r="J603" s="316"/>
      <c r="K603" s="316"/>
      <c r="L603" s="45"/>
      <c r="M603" s="45"/>
      <c r="R603" s="45"/>
      <c r="T603" s="350">
        <f t="shared" ref="T603:T616" si="106">A251</f>
        <v>164</v>
      </c>
      <c r="V603" s="48" t="str">
        <f t="shared" ref="V603:V616" si="107">C251</f>
        <v>BRACKETS</v>
      </c>
      <c r="AW603" s="49"/>
    </row>
    <row r="604" spans="3:49">
      <c r="C604" s="42"/>
      <c r="F604" s="164"/>
      <c r="H604" s="164"/>
      <c r="I604" s="164"/>
      <c r="J604" s="331"/>
      <c r="K604" s="331"/>
      <c r="L604" s="45"/>
      <c r="M604" s="45"/>
      <c r="N604" s="46"/>
      <c r="O604" s="46"/>
      <c r="P604" s="164"/>
      <c r="Q604" s="164"/>
      <c r="R604" s="45"/>
      <c r="T604" s="350">
        <f t="shared" si="106"/>
        <v>165</v>
      </c>
      <c r="V604" s="48" t="str">
        <f t="shared" si="107"/>
        <v xml:space="preserve">   14 inch bracket - wood pole - side mount</v>
      </c>
      <c r="Y604" s="45">
        <f t="shared" ref="Y604:Y616" si="108">F252</f>
        <v>0</v>
      </c>
      <c r="AB604" s="329"/>
      <c r="AC604" s="132">
        <v>1.93</v>
      </c>
      <c r="AE604" s="3">
        <f t="shared" ref="AE604:AE653" si="109">ROUND((Y604*(AC604+AD604)),0)</f>
        <v>0</v>
      </c>
      <c r="AF604" s="1"/>
      <c r="AG604" s="103">
        <f t="shared" ref="AG604:AG616" si="110">ROUND((AE604/AE$692)*100,1)</f>
        <v>0</v>
      </c>
      <c r="AH604" s="4"/>
      <c r="AI604" s="3">
        <f t="shared" ref="AI604:AI616" si="111">L252-AE604</f>
        <v>0</v>
      </c>
      <c r="AJ604" s="3"/>
      <c r="AK604" s="113" t="str">
        <f t="shared" ref="AK604:AK666" si="112">IF(AE604=0,"0.0 ",ROUND((AI604/AE604)*100,1))</f>
        <v xml:space="preserve">0.0 </v>
      </c>
      <c r="AL604" s="6"/>
      <c r="AM604" s="3"/>
      <c r="AN604" s="3"/>
      <c r="AO604" s="3">
        <f t="shared" ref="AO604:AO653" si="113">AM604+AE604</f>
        <v>0</v>
      </c>
      <c r="AP604" s="3"/>
      <c r="AQ604" s="113" t="str">
        <f t="shared" ref="AQ604:AQ666" si="114">IF(AO604=0,"0.0 ",ROUND((AI604/AO604)*100,1))</f>
        <v xml:space="preserve">0.0 </v>
      </c>
      <c r="AW604" s="49"/>
    </row>
    <row r="605" spans="3:49">
      <c r="F605" s="50"/>
      <c r="H605" s="50"/>
      <c r="I605" s="50"/>
      <c r="J605" s="326"/>
      <c r="K605" s="326"/>
      <c r="L605" s="50"/>
      <c r="M605" s="50"/>
      <c r="N605" s="50"/>
      <c r="O605" s="50"/>
      <c r="P605" s="50"/>
      <c r="Q605" s="50"/>
      <c r="R605" s="50"/>
      <c r="T605" s="350">
        <f t="shared" si="106"/>
        <v>166</v>
      </c>
      <c r="V605" s="48" t="str">
        <f t="shared" si="107"/>
        <v xml:space="preserve">   4 foot bracket - wood pole - side mount</v>
      </c>
      <c r="Y605" s="45">
        <f t="shared" si="108"/>
        <v>8</v>
      </c>
      <c r="AA605" s="45"/>
      <c r="AB605" s="325"/>
      <c r="AC605" s="132">
        <v>2.16</v>
      </c>
      <c r="AD605" s="45"/>
      <c r="AE605" s="3">
        <f t="shared" si="109"/>
        <v>17</v>
      </c>
      <c r="AF605" s="1"/>
      <c r="AG605" s="103">
        <f t="shared" si="110"/>
        <v>0.1</v>
      </c>
      <c r="AH605" s="4"/>
      <c r="AI605" s="3">
        <f t="shared" si="111"/>
        <v>3</v>
      </c>
      <c r="AJ605" s="3"/>
      <c r="AK605" s="113">
        <f t="shared" si="112"/>
        <v>17.600000000000001</v>
      </c>
      <c r="AL605" s="6"/>
      <c r="AM605" s="3"/>
      <c r="AN605" s="3"/>
      <c r="AO605" s="3">
        <f t="shared" si="113"/>
        <v>17</v>
      </c>
      <c r="AP605" s="3"/>
      <c r="AQ605" s="113">
        <f t="shared" si="114"/>
        <v>17.600000000000001</v>
      </c>
      <c r="AW605" s="49"/>
    </row>
    <row r="606" spans="3:49">
      <c r="D606" s="42"/>
      <c r="E606" s="42"/>
      <c r="F606" s="45"/>
      <c r="H606" s="45"/>
      <c r="I606" s="45"/>
      <c r="J606" s="47"/>
      <c r="K606" s="47"/>
      <c r="L606" s="45"/>
      <c r="M606" s="45"/>
      <c r="N606" s="46"/>
      <c r="O606" s="46"/>
      <c r="P606" s="45"/>
      <c r="Q606" s="45"/>
      <c r="R606" s="45"/>
      <c r="T606" s="350">
        <f t="shared" si="106"/>
        <v>167</v>
      </c>
      <c r="V606" s="48" t="str">
        <f t="shared" si="107"/>
        <v xml:space="preserve">   6 foot bracket - wood pole - side mount</v>
      </c>
      <c r="Y606" s="45">
        <f t="shared" si="108"/>
        <v>0</v>
      </c>
      <c r="AA606" s="50"/>
      <c r="AB606" s="326"/>
      <c r="AC606" s="132">
        <v>2.13</v>
      </c>
      <c r="AD606" s="50"/>
      <c r="AE606" s="3">
        <f t="shared" si="109"/>
        <v>0</v>
      </c>
      <c r="AF606" s="1"/>
      <c r="AG606" s="103">
        <f t="shared" si="110"/>
        <v>0</v>
      </c>
      <c r="AH606" s="4"/>
      <c r="AI606" s="3">
        <f t="shared" si="111"/>
        <v>0</v>
      </c>
      <c r="AJ606" s="3"/>
      <c r="AK606" s="113" t="str">
        <f t="shared" si="112"/>
        <v xml:space="preserve">0.0 </v>
      </c>
      <c r="AL606" s="6"/>
      <c r="AM606" s="3"/>
      <c r="AN606" s="3"/>
      <c r="AO606" s="3">
        <f t="shared" si="113"/>
        <v>0</v>
      </c>
      <c r="AP606" s="3"/>
      <c r="AQ606" s="113" t="str">
        <f t="shared" si="114"/>
        <v xml:space="preserve">0.0 </v>
      </c>
      <c r="AW606" s="49"/>
    </row>
    <row r="607" spans="3:49">
      <c r="F607" s="50"/>
      <c r="H607" s="50"/>
      <c r="I607" s="50"/>
      <c r="J607" s="326"/>
      <c r="K607" s="326"/>
      <c r="L607" s="50"/>
      <c r="M607" s="50"/>
      <c r="N607" s="50"/>
      <c r="O607" s="50"/>
      <c r="P607" s="50"/>
      <c r="Q607" s="50"/>
      <c r="R607" s="50"/>
      <c r="T607" s="350">
        <f t="shared" si="106"/>
        <v>168</v>
      </c>
      <c r="V607" s="48" t="str">
        <f t="shared" si="107"/>
        <v xml:space="preserve">   8 foot bracket - wood pole - side mount</v>
      </c>
      <c r="Y607" s="45">
        <f t="shared" si="108"/>
        <v>5</v>
      </c>
      <c r="AA607" s="45"/>
      <c r="AB607" s="47"/>
      <c r="AC607" s="132">
        <v>2.89</v>
      </c>
      <c r="AD607" s="45"/>
      <c r="AE607" s="3">
        <f t="shared" si="109"/>
        <v>14</v>
      </c>
      <c r="AF607" s="1"/>
      <c r="AG607" s="103">
        <f t="shared" si="110"/>
        <v>0.1</v>
      </c>
      <c r="AH607" s="4"/>
      <c r="AI607" s="3">
        <f t="shared" si="111"/>
        <v>3</v>
      </c>
      <c r="AJ607" s="3"/>
      <c r="AK607" s="113">
        <f t="shared" si="112"/>
        <v>21.4</v>
      </c>
      <c r="AL607" s="6"/>
      <c r="AM607" s="3"/>
      <c r="AN607" s="3"/>
      <c r="AO607" s="3">
        <f t="shared" si="113"/>
        <v>14</v>
      </c>
      <c r="AP607" s="3"/>
      <c r="AQ607" s="113">
        <f t="shared" si="114"/>
        <v>21.4</v>
      </c>
      <c r="AW607" s="49"/>
    </row>
    <row r="608" spans="3:49">
      <c r="R608" s="45"/>
      <c r="T608" s="350">
        <f t="shared" si="106"/>
        <v>169</v>
      </c>
      <c r="V608" s="48" t="str">
        <f t="shared" si="107"/>
        <v xml:space="preserve">   10 foot bracket - wood pole - side mount</v>
      </c>
      <c r="Y608" s="45">
        <f t="shared" si="108"/>
        <v>0</v>
      </c>
      <c r="AA608" s="50"/>
      <c r="AB608" s="326"/>
      <c r="AC608" s="132">
        <v>4.7699999999999996</v>
      </c>
      <c r="AD608" s="50"/>
      <c r="AE608" s="3">
        <f t="shared" si="109"/>
        <v>0</v>
      </c>
      <c r="AF608" s="1"/>
      <c r="AG608" s="103">
        <f t="shared" si="110"/>
        <v>0</v>
      </c>
      <c r="AH608" s="4"/>
      <c r="AI608" s="3">
        <f t="shared" si="111"/>
        <v>0</v>
      </c>
      <c r="AJ608" s="3"/>
      <c r="AK608" s="113" t="str">
        <f t="shared" si="112"/>
        <v xml:space="preserve">0.0 </v>
      </c>
      <c r="AL608" s="6"/>
      <c r="AM608" s="3"/>
      <c r="AN608" s="3"/>
      <c r="AO608" s="3">
        <f t="shared" si="113"/>
        <v>0</v>
      </c>
      <c r="AP608" s="3"/>
      <c r="AQ608" s="113" t="str">
        <f t="shared" si="114"/>
        <v xml:space="preserve">0.0 </v>
      </c>
      <c r="AW608" s="49"/>
    </row>
    <row r="609" spans="3:49">
      <c r="R609" s="45"/>
      <c r="T609" s="350">
        <f t="shared" si="106"/>
        <v>170</v>
      </c>
      <c r="V609" s="48" t="str">
        <f t="shared" si="107"/>
        <v xml:space="preserve">   12 foot bracket - wood pole - side mount</v>
      </c>
      <c r="Y609" s="45">
        <f t="shared" si="108"/>
        <v>0</v>
      </c>
      <c r="AC609" s="132">
        <v>4.34</v>
      </c>
      <c r="AE609" s="3">
        <f t="shared" si="109"/>
        <v>0</v>
      </c>
      <c r="AF609" s="1"/>
      <c r="AG609" s="103">
        <f t="shared" si="110"/>
        <v>0</v>
      </c>
      <c r="AH609" s="4"/>
      <c r="AI609" s="3">
        <f t="shared" si="111"/>
        <v>0</v>
      </c>
      <c r="AJ609" s="3"/>
      <c r="AK609" s="113" t="str">
        <f t="shared" si="112"/>
        <v xml:space="preserve">0.0 </v>
      </c>
      <c r="AL609" s="6"/>
      <c r="AM609" s="3"/>
      <c r="AN609" s="3"/>
      <c r="AO609" s="3">
        <f t="shared" si="113"/>
        <v>0</v>
      </c>
      <c r="AP609" s="3"/>
      <c r="AQ609" s="113" t="str">
        <f t="shared" si="114"/>
        <v xml:space="preserve">0.0 </v>
      </c>
      <c r="AW609" s="49"/>
    </row>
    <row r="610" spans="3:49">
      <c r="R610" s="45"/>
      <c r="T610" s="350">
        <f t="shared" si="106"/>
        <v>171</v>
      </c>
      <c r="V610" s="48" t="str">
        <f t="shared" si="107"/>
        <v xml:space="preserve">   15 foot bracket - wood pole - side mount</v>
      </c>
      <c r="Y610" s="45">
        <f t="shared" si="108"/>
        <v>5</v>
      </c>
      <c r="AC610" s="132">
        <v>5.07</v>
      </c>
      <c r="AE610" s="3">
        <f t="shared" si="109"/>
        <v>25</v>
      </c>
      <c r="AF610" s="1"/>
      <c r="AG610" s="103">
        <f t="shared" si="110"/>
        <v>0.1</v>
      </c>
      <c r="AH610" s="4"/>
      <c r="AI610" s="3">
        <f t="shared" si="111"/>
        <v>4</v>
      </c>
      <c r="AJ610" s="3"/>
      <c r="AK610" s="113">
        <f t="shared" si="112"/>
        <v>16</v>
      </c>
      <c r="AL610" s="6"/>
      <c r="AM610" s="3"/>
      <c r="AN610" s="3"/>
      <c r="AO610" s="3">
        <f t="shared" si="113"/>
        <v>25</v>
      </c>
      <c r="AP610" s="3"/>
      <c r="AQ610" s="113">
        <f t="shared" si="114"/>
        <v>16</v>
      </c>
      <c r="AW610" s="49"/>
    </row>
    <row r="611" spans="3:49">
      <c r="C611" s="42"/>
      <c r="D611" s="42"/>
      <c r="E611" s="42"/>
      <c r="H611" s="45"/>
      <c r="I611" s="45"/>
      <c r="J611" s="47"/>
      <c r="K611" s="47"/>
      <c r="L611" s="45"/>
      <c r="M611" s="45"/>
      <c r="N611" s="46"/>
      <c r="O611" s="46"/>
      <c r="P611" s="45"/>
      <c r="Q611" s="45"/>
      <c r="R611" s="45"/>
      <c r="T611" s="350">
        <f t="shared" si="106"/>
        <v>172</v>
      </c>
      <c r="V611" s="48" t="str">
        <f t="shared" si="107"/>
        <v xml:space="preserve">   4 foot bracket - metal pole - side mount</v>
      </c>
      <c r="Y611" s="45">
        <f t="shared" si="108"/>
        <v>0</v>
      </c>
      <c r="AC611" s="132">
        <v>5.14</v>
      </c>
      <c r="AE611" s="3">
        <f t="shared" si="109"/>
        <v>0</v>
      </c>
      <c r="AF611" s="1"/>
      <c r="AG611" s="103">
        <f t="shared" si="110"/>
        <v>0</v>
      </c>
      <c r="AH611" s="4"/>
      <c r="AI611" s="3">
        <f t="shared" si="111"/>
        <v>0</v>
      </c>
      <c r="AJ611" s="3"/>
      <c r="AK611" s="113" t="str">
        <f t="shared" si="112"/>
        <v xml:space="preserve">0.0 </v>
      </c>
      <c r="AL611" s="6"/>
      <c r="AM611" s="3"/>
      <c r="AN611" s="3"/>
      <c r="AO611" s="3">
        <f t="shared" si="113"/>
        <v>0</v>
      </c>
      <c r="AP611" s="3"/>
      <c r="AQ611" s="113" t="str">
        <f t="shared" si="114"/>
        <v xml:space="preserve">0.0 </v>
      </c>
      <c r="AW611" s="49"/>
    </row>
    <row r="612" spans="3:49">
      <c r="H612" s="45"/>
      <c r="I612" s="45"/>
      <c r="J612" s="47"/>
      <c r="K612" s="47"/>
      <c r="L612" s="45"/>
      <c r="M612" s="45"/>
      <c r="N612" s="46"/>
      <c r="O612" s="46"/>
      <c r="P612" s="45"/>
      <c r="Q612" s="45"/>
      <c r="R612" s="45"/>
      <c r="T612" s="350">
        <f t="shared" si="106"/>
        <v>173</v>
      </c>
      <c r="V612" s="48" t="str">
        <f t="shared" si="107"/>
        <v xml:space="preserve">   6 foot bracket - metal pole - side mount</v>
      </c>
      <c r="Y612" s="45">
        <f t="shared" si="108"/>
        <v>0</v>
      </c>
      <c r="AA612" s="45"/>
      <c r="AB612" s="47"/>
      <c r="AC612" s="132">
        <v>5.21</v>
      </c>
      <c r="AD612" s="45"/>
      <c r="AE612" s="3">
        <f t="shared" si="109"/>
        <v>0</v>
      </c>
      <c r="AF612" s="1"/>
      <c r="AG612" s="103">
        <f t="shared" si="110"/>
        <v>0</v>
      </c>
      <c r="AH612" s="4"/>
      <c r="AI612" s="3">
        <f t="shared" si="111"/>
        <v>0</v>
      </c>
      <c r="AJ612" s="3"/>
      <c r="AK612" s="113" t="str">
        <f t="shared" si="112"/>
        <v xml:space="preserve">0.0 </v>
      </c>
      <c r="AL612" s="6"/>
      <c r="AM612" s="3"/>
      <c r="AN612" s="3"/>
      <c r="AO612" s="3">
        <f t="shared" si="113"/>
        <v>0</v>
      </c>
      <c r="AP612" s="3"/>
      <c r="AQ612" s="113" t="str">
        <f t="shared" si="114"/>
        <v xml:space="preserve">0.0 </v>
      </c>
      <c r="AW612" s="49"/>
    </row>
    <row r="613" spans="3:49">
      <c r="C613" s="42"/>
      <c r="F613" s="164"/>
      <c r="H613" s="164"/>
      <c r="I613" s="164"/>
      <c r="J613" s="52"/>
      <c r="K613" s="52"/>
      <c r="L613" s="164"/>
      <c r="M613" s="164"/>
      <c r="N613" s="46"/>
      <c r="O613" s="46"/>
      <c r="P613" s="45"/>
      <c r="Q613" s="45"/>
      <c r="R613" s="45"/>
      <c r="T613" s="350">
        <f t="shared" si="106"/>
        <v>174</v>
      </c>
      <c r="V613" s="48" t="str">
        <f t="shared" si="107"/>
        <v xml:space="preserve">   8 foot bracket - metal pole - side mount</v>
      </c>
      <c r="Y613" s="45">
        <f t="shared" si="108"/>
        <v>0</v>
      </c>
      <c r="AA613" s="45"/>
      <c r="AB613" s="47"/>
      <c r="AC613" s="132">
        <v>6.47</v>
      </c>
      <c r="AD613" s="45"/>
      <c r="AE613" s="3">
        <f t="shared" si="109"/>
        <v>0</v>
      </c>
      <c r="AF613" s="1"/>
      <c r="AG613" s="103">
        <f t="shared" si="110"/>
        <v>0</v>
      </c>
      <c r="AH613" s="4"/>
      <c r="AI613" s="3">
        <f t="shared" si="111"/>
        <v>0</v>
      </c>
      <c r="AJ613" s="3"/>
      <c r="AK613" s="113" t="str">
        <f t="shared" si="112"/>
        <v xml:space="preserve">0.0 </v>
      </c>
      <c r="AL613" s="6"/>
      <c r="AM613" s="3"/>
      <c r="AN613" s="3"/>
      <c r="AO613" s="3">
        <f t="shared" si="113"/>
        <v>0</v>
      </c>
      <c r="AP613" s="3"/>
      <c r="AQ613" s="113" t="str">
        <f t="shared" si="114"/>
        <v xml:space="preserve">0.0 </v>
      </c>
      <c r="AW613" s="49"/>
    </row>
    <row r="614" spans="3:49">
      <c r="F614" s="164"/>
      <c r="H614" s="329"/>
      <c r="I614" s="329"/>
      <c r="J614" s="329"/>
      <c r="K614" s="329"/>
      <c r="R614" s="45"/>
      <c r="T614" s="350">
        <f t="shared" si="106"/>
        <v>175</v>
      </c>
      <c r="V614" s="48" t="str">
        <f t="shared" si="107"/>
        <v xml:space="preserve">   10 foot bracket - metal pole - side mount</v>
      </c>
      <c r="Y614" s="45">
        <f t="shared" si="108"/>
        <v>0</v>
      </c>
      <c r="AA614" s="45"/>
      <c r="AB614" s="52"/>
      <c r="AC614" s="132">
        <v>6.82</v>
      </c>
      <c r="AD614" s="45"/>
      <c r="AE614" s="3">
        <f t="shared" si="109"/>
        <v>0</v>
      </c>
      <c r="AF614" s="1"/>
      <c r="AG614" s="103">
        <f t="shared" si="110"/>
        <v>0</v>
      </c>
      <c r="AH614" s="4"/>
      <c r="AI614" s="3">
        <f t="shared" si="111"/>
        <v>0</v>
      </c>
      <c r="AJ614" s="3"/>
      <c r="AK614" s="113" t="str">
        <f t="shared" si="112"/>
        <v xml:space="preserve">0.0 </v>
      </c>
      <c r="AL614" s="6"/>
      <c r="AM614" s="3"/>
      <c r="AN614" s="3"/>
      <c r="AO614" s="3">
        <f t="shared" si="113"/>
        <v>0</v>
      </c>
      <c r="AP614" s="3"/>
      <c r="AQ614" s="113" t="str">
        <f t="shared" si="114"/>
        <v xml:space="preserve">0.0 </v>
      </c>
      <c r="AW614" s="49"/>
    </row>
    <row r="615" spans="3:49">
      <c r="C615" s="42"/>
      <c r="F615" s="164"/>
      <c r="H615" s="164"/>
      <c r="I615" s="164"/>
      <c r="J615" s="316"/>
      <c r="K615" s="316"/>
      <c r="L615" s="45"/>
      <c r="M615" s="45"/>
      <c r="N615" s="46"/>
      <c r="O615" s="46"/>
      <c r="P615" s="45"/>
      <c r="Q615" s="45"/>
      <c r="R615" s="45"/>
      <c r="T615" s="350">
        <f t="shared" si="106"/>
        <v>176</v>
      </c>
      <c r="V615" s="48" t="str">
        <f t="shared" si="107"/>
        <v xml:space="preserve">   12 foot bracket - metal pole - side mount</v>
      </c>
      <c r="Y615" s="45">
        <f t="shared" si="108"/>
        <v>0</v>
      </c>
      <c r="AB615" s="329"/>
      <c r="AC615" s="132">
        <v>6.23</v>
      </c>
      <c r="AE615" s="3">
        <f t="shared" si="109"/>
        <v>0</v>
      </c>
      <c r="AF615" s="1"/>
      <c r="AG615" s="103">
        <f t="shared" si="110"/>
        <v>0</v>
      </c>
      <c r="AH615" s="4"/>
      <c r="AI615" s="3">
        <f t="shared" si="111"/>
        <v>0</v>
      </c>
      <c r="AJ615" s="3"/>
      <c r="AK615" s="113" t="str">
        <f t="shared" si="112"/>
        <v xml:space="preserve">0.0 </v>
      </c>
      <c r="AL615" s="6"/>
      <c r="AM615" s="3"/>
      <c r="AN615" s="3"/>
      <c r="AO615" s="3">
        <f t="shared" si="113"/>
        <v>0</v>
      </c>
      <c r="AP615" s="3"/>
      <c r="AQ615" s="113" t="str">
        <f t="shared" si="114"/>
        <v xml:space="preserve">0.0 </v>
      </c>
      <c r="AW615" s="49"/>
    </row>
    <row r="616" spans="3:49">
      <c r="F616" s="164"/>
      <c r="H616" s="329"/>
      <c r="I616" s="329"/>
      <c r="J616" s="329"/>
      <c r="K616" s="329"/>
      <c r="R616" s="45"/>
      <c r="T616" s="350">
        <f t="shared" si="106"/>
        <v>177</v>
      </c>
      <c r="V616" s="48" t="str">
        <f t="shared" si="107"/>
        <v xml:space="preserve">   15 foot bracket - metal pole - side mount</v>
      </c>
      <c r="Y616" s="45">
        <f t="shared" si="108"/>
        <v>0</v>
      </c>
      <c r="AA616" s="45"/>
      <c r="AB616" s="316"/>
      <c r="AC616" s="132">
        <v>7.44</v>
      </c>
      <c r="AD616" s="45"/>
      <c r="AE616" s="3">
        <f t="shared" si="109"/>
        <v>0</v>
      </c>
      <c r="AF616" s="1"/>
      <c r="AG616" s="103">
        <f t="shared" si="110"/>
        <v>0</v>
      </c>
      <c r="AH616" s="4"/>
      <c r="AI616" s="3">
        <f t="shared" si="111"/>
        <v>0</v>
      </c>
      <c r="AJ616" s="3"/>
      <c r="AK616" s="113" t="str">
        <f t="shared" si="112"/>
        <v xml:space="preserve">0.0 </v>
      </c>
      <c r="AL616" s="6"/>
      <c r="AM616" s="3"/>
      <c r="AN616" s="3"/>
      <c r="AO616" s="3">
        <f t="shared" si="113"/>
        <v>0</v>
      </c>
      <c r="AP616" s="3"/>
      <c r="AQ616" s="113" t="str">
        <f t="shared" si="114"/>
        <v xml:space="preserve">0.0 </v>
      </c>
      <c r="AW616" s="49"/>
    </row>
    <row r="617" spans="3:49">
      <c r="F617" s="164"/>
      <c r="H617" s="329"/>
      <c r="I617" s="329"/>
      <c r="J617" s="329"/>
      <c r="K617" s="329"/>
      <c r="R617" s="45"/>
      <c r="T617" s="350"/>
      <c r="V617" s="48"/>
      <c r="Y617" s="45"/>
      <c r="AA617" s="45"/>
      <c r="AB617" s="316"/>
      <c r="AD617" s="45"/>
      <c r="AE617" s="3"/>
      <c r="AF617" s="1"/>
      <c r="AG617" s="103"/>
      <c r="AH617" s="4"/>
      <c r="AI617" s="3"/>
      <c r="AJ617" s="3"/>
      <c r="AK617" s="113"/>
      <c r="AL617" s="6"/>
      <c r="AM617" s="3"/>
      <c r="AN617" s="3"/>
      <c r="AO617" s="3"/>
      <c r="AP617" s="3"/>
      <c r="AQ617" s="113"/>
      <c r="AW617" s="49"/>
    </row>
    <row r="618" spans="3:49">
      <c r="F618" s="164"/>
      <c r="H618" s="329"/>
      <c r="I618" s="329"/>
      <c r="J618" s="329"/>
      <c r="K618" s="329"/>
      <c r="R618" s="45"/>
      <c r="T618" s="140" t="s">
        <v>76</v>
      </c>
      <c r="V618" s="48"/>
      <c r="Y618" s="68"/>
      <c r="Z618" s="1"/>
      <c r="AA618" s="68"/>
      <c r="AB618" s="68"/>
      <c r="AC618" s="132"/>
      <c r="AD618" s="132"/>
      <c r="AE618" s="3"/>
      <c r="AF618" s="3"/>
      <c r="AG618" s="103"/>
      <c r="AH618" s="4"/>
      <c r="AI618" s="3"/>
      <c r="AJ618" s="3"/>
      <c r="AK618" s="113"/>
      <c r="AL618" s="6"/>
      <c r="AM618" s="3"/>
      <c r="AN618" s="3"/>
      <c r="AO618" s="3"/>
      <c r="AP618" s="3"/>
      <c r="AQ618" s="113"/>
      <c r="AW618" s="49"/>
    </row>
    <row r="619" spans="3:49">
      <c r="F619" s="164"/>
      <c r="H619" s="329"/>
      <c r="I619" s="329"/>
      <c r="J619" s="329"/>
      <c r="K619" s="329"/>
      <c r="R619" s="45"/>
      <c r="T619" s="140" t="str">
        <f>"(1A) REFLECTS FUEL COST RECOVERY INCLUDED IN BASE RATES OF "&amp;TEXT(CUR_BASE_FUEL,"$0.000000;($0.000000)")&amp;"  PER KWH."</f>
        <v>(1A) REFLECTS FUEL COST RECOVERY INCLUDED IN BASE RATES OF $0.033780  PER KWH.</v>
      </c>
      <c r="V619" s="48"/>
      <c r="Y619" s="68"/>
      <c r="Z619" s="1"/>
      <c r="AA619" s="68"/>
      <c r="AB619" s="68"/>
      <c r="AC619" s="132"/>
      <c r="AD619" s="132"/>
      <c r="AE619" s="3"/>
      <c r="AF619" s="3"/>
      <c r="AG619" s="103"/>
      <c r="AH619" s="4"/>
      <c r="AI619" s="3"/>
      <c r="AJ619" s="3"/>
      <c r="AK619" s="113"/>
      <c r="AL619" s="6"/>
      <c r="AM619" s="3"/>
      <c r="AN619" s="3"/>
      <c r="AO619" s="3"/>
      <c r="AP619" s="3"/>
      <c r="AQ619" s="113"/>
      <c r="AW619" s="49"/>
    </row>
    <row r="620" spans="3:49">
      <c r="F620" s="164"/>
      <c r="H620" s="329"/>
      <c r="I620" s="329"/>
      <c r="J620" s="329"/>
      <c r="K620" s="329"/>
      <c r="R620" s="45"/>
      <c r="T620" s="140" t="str">
        <f>"(2) REFLECTS FUEL COMPONENT OF "&amp;TEXT(CUR_FAC,"$0.000000;($0.000000)")&amp;"  PER KWH."</f>
        <v>(2) REFLECTS FUEL COMPONENT OF $0.003487  PER KWH.</v>
      </c>
      <c r="V620" s="48"/>
      <c r="Y620" s="68"/>
      <c r="Z620" s="1"/>
      <c r="AA620" s="68"/>
      <c r="AB620" s="68"/>
      <c r="AC620" s="132"/>
      <c r="AD620" s="132"/>
      <c r="AE620" s="3"/>
      <c r="AF620" s="3"/>
      <c r="AG620" s="103"/>
      <c r="AH620" s="4"/>
      <c r="AI620" s="3"/>
      <c r="AJ620" s="3"/>
      <c r="AK620" s="113"/>
      <c r="AL620" s="6"/>
      <c r="AM620" s="3"/>
      <c r="AN620" s="3"/>
      <c r="AO620" s="3"/>
      <c r="AP620" s="3"/>
      <c r="AQ620" s="113"/>
      <c r="AW620" s="49"/>
    </row>
    <row r="621" spans="3:49">
      <c r="F621" s="164"/>
      <c r="H621" s="329"/>
      <c r="I621" s="329"/>
      <c r="J621" s="329"/>
      <c r="K621" s="329"/>
      <c r="R621" s="45"/>
      <c r="T621" s="350"/>
      <c r="V621" s="48"/>
      <c r="Y621" s="68"/>
      <c r="Z621" s="1"/>
      <c r="AA621" s="68"/>
      <c r="AB621" s="68"/>
      <c r="AC621" s="132"/>
      <c r="AD621" s="132"/>
      <c r="AE621" s="3"/>
      <c r="AF621" s="3"/>
      <c r="AG621" s="103"/>
      <c r="AH621" s="4"/>
      <c r="AI621" s="3"/>
      <c r="AJ621" s="3"/>
      <c r="AK621" s="113"/>
      <c r="AL621" s="6"/>
      <c r="AM621" s="3"/>
      <c r="AN621" s="3"/>
      <c r="AO621" s="3"/>
      <c r="AP621" s="3"/>
      <c r="AQ621" s="113"/>
      <c r="AW621" s="49"/>
    </row>
    <row r="622" spans="3:49">
      <c r="F622" s="164"/>
      <c r="H622" s="329"/>
      <c r="I622" s="329"/>
      <c r="J622" s="329"/>
      <c r="K622" s="329"/>
      <c r="R622" s="45"/>
      <c r="T622" s="760" t="str">
        <f>NAME</f>
        <v>DUKE ENERGY KENTUCKY, INC.</v>
      </c>
      <c r="U622" s="760"/>
      <c r="V622" s="760"/>
      <c r="W622" s="760"/>
      <c r="X622" s="760"/>
      <c r="Y622" s="760"/>
      <c r="Z622" s="760"/>
      <c r="AA622" s="760"/>
      <c r="AB622" s="760"/>
      <c r="AC622" s="760"/>
      <c r="AD622" s="760"/>
      <c r="AE622" s="760"/>
      <c r="AF622" s="760"/>
      <c r="AG622" s="760"/>
      <c r="AH622" s="760"/>
      <c r="AI622" s="760"/>
      <c r="AJ622" s="760"/>
      <c r="AK622" s="760"/>
      <c r="AL622" s="760"/>
      <c r="AM622" s="760"/>
      <c r="AN622" s="760"/>
      <c r="AO622" s="760"/>
      <c r="AP622" s="760"/>
      <c r="AQ622" s="760"/>
      <c r="AW622" s="49"/>
    </row>
    <row r="623" spans="3:49">
      <c r="F623" s="164"/>
      <c r="H623" s="329"/>
      <c r="I623" s="329"/>
      <c r="J623" s="329"/>
      <c r="K623" s="329"/>
      <c r="R623" s="45"/>
      <c r="T623" s="40" t="str">
        <f>CASE_NO</f>
        <v>CASE NO.   2024-00354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W623" s="49"/>
    </row>
    <row r="624" spans="3:49">
      <c r="F624" s="164"/>
      <c r="H624" s="329"/>
      <c r="I624" s="329"/>
      <c r="J624" s="329"/>
      <c r="K624" s="329"/>
      <c r="R624" s="45"/>
      <c r="T624" s="40" t="str">
        <f>TITLE</f>
        <v>ANNUALIZED TEST YEAR REVENUES AT PROPOSED VS. MOST CURRENT RATES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W624" s="49"/>
    </row>
    <row r="625" spans="6:49">
      <c r="F625" s="164"/>
      <c r="H625" s="329"/>
      <c r="I625" s="329"/>
      <c r="J625" s="329"/>
      <c r="K625" s="329"/>
      <c r="R625" s="45"/>
      <c r="T625" s="40" t="str">
        <f>DATE</f>
        <v>FOR THE TWELVE MONTHS ENDED June 30, 2026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W625" s="49"/>
    </row>
    <row r="626" spans="6:49">
      <c r="F626" s="164"/>
      <c r="H626" s="329"/>
      <c r="I626" s="329"/>
      <c r="J626" s="329"/>
      <c r="K626" s="329"/>
      <c r="R626" s="45"/>
      <c r="T626" s="40" t="str">
        <f>SERVICE</f>
        <v>(ELECTRIC SERVICE)</v>
      </c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W626" s="49"/>
    </row>
    <row r="627" spans="6:49">
      <c r="F627" s="164"/>
      <c r="H627" s="329"/>
      <c r="I627" s="329"/>
      <c r="J627" s="329"/>
      <c r="K627" s="329"/>
      <c r="R627" s="45"/>
      <c r="T627" s="41" t="str">
        <f>DATA_PERIOD</f>
        <v>DATA: ____ BASE PERIOD   __X__FORECASTED PERIOD</v>
      </c>
      <c r="AG627" s="41"/>
      <c r="AK627" s="41"/>
      <c r="AO627" s="42" t="s">
        <v>157</v>
      </c>
      <c r="AQ627" s="41"/>
      <c r="AW627" s="49"/>
    </row>
    <row r="628" spans="6:49">
      <c r="F628" s="164"/>
      <c r="H628" s="329"/>
      <c r="I628" s="329"/>
      <c r="J628" s="329"/>
      <c r="K628" s="329"/>
      <c r="R628" s="45"/>
      <c r="T628" s="41" t="str">
        <f>TYPE</f>
        <v>TYPE OF FILING: _X_ ORIGINAL   ___UPDATED  ___ REVISED</v>
      </c>
      <c r="AG628" s="41"/>
      <c r="AK628" s="41"/>
      <c r="AO628" s="48" t="str">
        <f>"PAGE 24 OF "&amp;TEXT(Page_Num_2.2,"00")</f>
        <v>PAGE 24 OF 24</v>
      </c>
      <c r="AQ628" s="41"/>
      <c r="AW628" s="49"/>
    </row>
    <row r="629" spans="6:49">
      <c r="F629" s="164"/>
      <c r="H629" s="329"/>
      <c r="I629" s="329"/>
      <c r="J629" s="329"/>
      <c r="K629" s="329"/>
      <c r="R629" s="45"/>
      <c r="T629" s="42" t="s">
        <v>170</v>
      </c>
      <c r="AO629" s="42" t="s">
        <v>4</v>
      </c>
      <c r="AP629" s="42"/>
      <c r="AW629" s="49"/>
    </row>
    <row r="630" spans="6:49">
      <c r="F630" s="164"/>
      <c r="H630" s="329"/>
      <c r="I630" s="329"/>
      <c r="J630" s="329"/>
      <c r="K630" s="329"/>
      <c r="R630" s="45"/>
      <c r="T630" s="130" t="str">
        <f>TIME</f>
        <v>12 Months Projected with Riders</v>
      </c>
      <c r="AF630" s="42"/>
      <c r="AO630" s="45" t="str">
        <f>WIT</f>
        <v>B. L. Sailers</v>
      </c>
      <c r="AW630" s="49"/>
    </row>
    <row r="631" spans="6:49">
      <c r="F631" s="164"/>
      <c r="H631" s="329"/>
      <c r="I631" s="329"/>
      <c r="J631" s="329"/>
      <c r="K631" s="329"/>
      <c r="R631" s="45"/>
      <c r="T631" s="40" t="s">
        <v>130</v>
      </c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100"/>
      <c r="AH631" s="40"/>
      <c r="AI631" s="40"/>
      <c r="AJ631" s="40"/>
      <c r="AK631" s="100"/>
      <c r="AL631" s="40"/>
      <c r="AM631" s="40"/>
      <c r="AN631" s="40"/>
      <c r="AO631" s="40"/>
      <c r="AP631" s="40"/>
      <c r="AW631" s="49"/>
    </row>
    <row r="632" spans="6:49">
      <c r="F632" s="164"/>
      <c r="H632" s="329"/>
      <c r="I632" s="329"/>
      <c r="J632" s="329"/>
      <c r="K632" s="329"/>
      <c r="R632" s="45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3"/>
      <c r="AF632" s="43"/>
      <c r="AG632" s="101"/>
      <c r="AH632" s="43"/>
      <c r="AI632" s="43"/>
      <c r="AJ632" s="43"/>
      <c r="AK632" s="101"/>
      <c r="AL632" s="43"/>
      <c r="AM632" s="43"/>
      <c r="AN632" s="49"/>
      <c r="AO632" s="49"/>
      <c r="AP632" s="49"/>
      <c r="AW632" s="49"/>
    </row>
    <row r="633" spans="6:49">
      <c r="F633" s="164"/>
      <c r="H633" s="329"/>
      <c r="I633" s="329"/>
      <c r="J633" s="329"/>
      <c r="K633" s="329"/>
      <c r="R633" s="45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44" t="s">
        <v>8</v>
      </c>
      <c r="AF633" s="44"/>
      <c r="AG633" s="102" t="s">
        <v>7</v>
      </c>
      <c r="AH633" s="44"/>
      <c r="AI633" s="44" t="s">
        <v>9</v>
      </c>
      <c r="AJ633" s="44"/>
      <c r="AK633" s="102" t="s">
        <v>10</v>
      </c>
      <c r="AL633" s="44"/>
      <c r="AN633" s="62"/>
      <c r="AO633" s="63" t="s">
        <v>8</v>
      </c>
      <c r="AP633" s="63"/>
      <c r="AQ633" s="109" t="s">
        <v>11</v>
      </c>
      <c r="AW633" s="49"/>
    </row>
    <row r="634" spans="6:49">
      <c r="F634" s="164"/>
      <c r="H634" s="329"/>
      <c r="I634" s="329"/>
      <c r="J634" s="329"/>
      <c r="K634" s="329"/>
      <c r="R634" s="45"/>
      <c r="AC634" s="415" t="s">
        <v>811</v>
      </c>
      <c r="AD634" s="40"/>
      <c r="AE634" s="44" t="s">
        <v>12</v>
      </c>
      <c r="AF634" s="44"/>
      <c r="AG634" s="102" t="s">
        <v>13</v>
      </c>
      <c r="AH634" s="44"/>
      <c r="AI634" s="44" t="s">
        <v>15</v>
      </c>
      <c r="AJ634" s="44"/>
      <c r="AK634" s="102" t="s">
        <v>16</v>
      </c>
      <c r="AL634" s="44"/>
      <c r="AO634" s="44" t="s">
        <v>11</v>
      </c>
      <c r="AP634" s="44"/>
      <c r="AQ634" s="102" t="s">
        <v>9</v>
      </c>
      <c r="AW634" s="49"/>
    </row>
    <row r="635" spans="6:49">
      <c r="F635" s="164"/>
      <c r="H635" s="329"/>
      <c r="I635" s="329"/>
      <c r="J635" s="329"/>
      <c r="K635" s="329"/>
      <c r="R635" s="45"/>
      <c r="T635" s="44" t="s">
        <v>17</v>
      </c>
      <c r="V635" s="44" t="s">
        <v>18</v>
      </c>
      <c r="W635" s="44" t="s">
        <v>19</v>
      </c>
      <c r="X635" s="44"/>
      <c r="Y635" s="44" t="s">
        <v>20</v>
      </c>
      <c r="AC635" s="44" t="s">
        <v>807</v>
      </c>
      <c r="AD635" s="44" t="s">
        <v>808</v>
      </c>
      <c r="AE635" s="44" t="s">
        <v>841</v>
      </c>
      <c r="AF635" s="44"/>
      <c r="AG635" s="102" t="s">
        <v>841</v>
      </c>
      <c r="AH635" s="44"/>
      <c r="AI635" s="60" t="s">
        <v>964</v>
      </c>
      <c r="AJ635" s="44"/>
      <c r="AK635" s="277" t="s">
        <v>964</v>
      </c>
      <c r="AL635" s="44"/>
      <c r="AM635" s="44" t="s">
        <v>841</v>
      </c>
      <c r="AN635" s="44"/>
      <c r="AO635" s="44" t="s">
        <v>9</v>
      </c>
      <c r="AP635" s="44"/>
      <c r="AQ635" s="102" t="s">
        <v>21</v>
      </c>
      <c r="AW635" s="49"/>
    </row>
    <row r="636" spans="6:49">
      <c r="F636" s="164"/>
      <c r="H636" s="329"/>
      <c r="I636" s="329"/>
      <c r="J636" s="329"/>
      <c r="K636" s="329"/>
      <c r="R636" s="45"/>
      <c r="T636" s="44" t="s">
        <v>22</v>
      </c>
      <c r="V636" s="44" t="s">
        <v>23</v>
      </c>
      <c r="W636" s="44" t="s">
        <v>24</v>
      </c>
      <c r="X636" s="44"/>
      <c r="Y636" s="44" t="s">
        <v>25</v>
      </c>
      <c r="AA636" s="44" t="s">
        <v>26</v>
      </c>
      <c r="AB636" s="44"/>
      <c r="AC636" s="60" t="s">
        <v>27</v>
      </c>
      <c r="AD636" s="60" t="s">
        <v>27</v>
      </c>
      <c r="AE636" s="44" t="s">
        <v>9</v>
      </c>
      <c r="AF636" s="44"/>
      <c r="AG636" s="102" t="s">
        <v>9</v>
      </c>
      <c r="AH636" s="44"/>
      <c r="AI636" s="304" t="s">
        <v>29</v>
      </c>
      <c r="AJ636" s="304"/>
      <c r="AK636" s="311" t="s">
        <v>30</v>
      </c>
      <c r="AL636" s="44"/>
      <c r="AM636" s="44" t="s">
        <v>323</v>
      </c>
      <c r="AN636" s="44"/>
      <c r="AO636" s="304" t="s">
        <v>31</v>
      </c>
      <c r="AP636" s="304"/>
      <c r="AQ636" s="311" t="s">
        <v>32</v>
      </c>
      <c r="AW636" s="49"/>
    </row>
    <row r="637" spans="6:49">
      <c r="F637" s="164"/>
      <c r="H637" s="329"/>
      <c r="I637" s="329"/>
      <c r="J637" s="329"/>
      <c r="K637" s="329"/>
      <c r="R637" s="45"/>
      <c r="V637" s="304" t="s">
        <v>33</v>
      </c>
      <c r="W637" s="304" t="s">
        <v>34</v>
      </c>
      <c r="X637" s="304"/>
      <c r="Y637" s="304" t="s">
        <v>35</v>
      </c>
      <c r="Z637" s="130"/>
      <c r="AA637" s="304" t="s">
        <v>36</v>
      </c>
      <c r="AB637" s="304"/>
      <c r="AC637" s="307" t="s">
        <v>813</v>
      </c>
      <c r="AD637" s="307" t="s">
        <v>812</v>
      </c>
      <c r="AE637" s="304" t="s">
        <v>43</v>
      </c>
      <c r="AF637" s="304"/>
      <c r="AG637" s="311" t="s">
        <v>44</v>
      </c>
      <c r="AH637" s="304"/>
      <c r="AI637" s="304" t="s">
        <v>45</v>
      </c>
      <c r="AJ637" s="304"/>
      <c r="AK637" s="311" t="s">
        <v>46</v>
      </c>
      <c r="AL637" s="304"/>
      <c r="AM637" s="304" t="s">
        <v>40</v>
      </c>
      <c r="AN637" s="304"/>
      <c r="AO637" s="304" t="s">
        <v>47</v>
      </c>
      <c r="AP637" s="304"/>
      <c r="AQ637" s="311" t="s">
        <v>48</v>
      </c>
      <c r="AW637" s="49"/>
    </row>
    <row r="638" spans="6:49">
      <c r="F638" s="164"/>
      <c r="H638" s="329"/>
      <c r="I638" s="329"/>
      <c r="J638" s="329"/>
      <c r="K638" s="329"/>
      <c r="R638" s="45"/>
      <c r="T638" s="62"/>
      <c r="U638" s="62"/>
      <c r="V638" s="62"/>
      <c r="W638" s="62"/>
      <c r="X638" s="62"/>
      <c r="Y638" s="62"/>
      <c r="Z638" s="62"/>
      <c r="AA638" s="345" t="s">
        <v>49</v>
      </c>
      <c r="AB638" s="345"/>
      <c r="AC638" s="344" t="s">
        <v>69</v>
      </c>
      <c r="AD638" s="345"/>
      <c r="AE638" s="345" t="s">
        <v>50</v>
      </c>
      <c r="AF638" s="345"/>
      <c r="AG638" s="346" t="s">
        <v>51</v>
      </c>
      <c r="AH638" s="345"/>
      <c r="AI638" s="345" t="s">
        <v>50</v>
      </c>
      <c r="AJ638" s="345"/>
      <c r="AK638" s="346" t="s">
        <v>51</v>
      </c>
      <c r="AL638" s="345"/>
      <c r="AM638" s="345" t="s">
        <v>50</v>
      </c>
      <c r="AN638" s="345"/>
      <c r="AO638" s="345" t="s">
        <v>50</v>
      </c>
      <c r="AP638" s="345"/>
      <c r="AQ638" s="346" t="s">
        <v>51</v>
      </c>
      <c r="AW638" s="49"/>
    </row>
    <row r="639" spans="6:49">
      <c r="F639" s="164"/>
      <c r="H639" s="329"/>
      <c r="I639" s="329"/>
      <c r="J639" s="329"/>
      <c r="K639" s="329"/>
      <c r="R639" s="45"/>
      <c r="T639" s="350">
        <f t="shared" ref="T639:T640" si="115">A287</f>
        <v>178</v>
      </c>
      <c r="V639" s="48" t="str">
        <f t="shared" ref="V639:V640" si="116">C287</f>
        <v>LED</v>
      </c>
      <c r="W639" s="48" t="str">
        <f t="shared" ref="W639" si="117">D287</f>
        <v>STREET LIGHTING -- LED (CONT'D)</v>
      </c>
      <c r="Y639" s="68"/>
      <c r="Z639" s="1"/>
      <c r="AA639" s="68"/>
      <c r="AB639" s="68"/>
      <c r="AC639" s="132"/>
      <c r="AD639" s="132"/>
      <c r="AE639" s="3"/>
      <c r="AF639" s="3"/>
      <c r="AG639" s="103"/>
      <c r="AH639" s="4"/>
      <c r="AI639" s="3"/>
      <c r="AJ639" s="3"/>
      <c r="AK639" s="113"/>
      <c r="AL639" s="6"/>
      <c r="AM639" s="3"/>
      <c r="AN639" s="3"/>
      <c r="AO639" s="3"/>
      <c r="AP639" s="3"/>
      <c r="AQ639" s="113"/>
      <c r="AW639" s="49"/>
    </row>
    <row r="640" spans="6:49">
      <c r="F640" s="164"/>
      <c r="H640" s="329"/>
      <c r="I640" s="329"/>
      <c r="J640" s="329"/>
      <c r="K640" s="329"/>
      <c r="R640" s="45"/>
      <c r="T640" s="350">
        <f t="shared" si="115"/>
        <v>179</v>
      </c>
      <c r="V640" s="48" t="str">
        <f t="shared" si="116"/>
        <v>BRACKETS (CONT'D)</v>
      </c>
      <c r="W640" s="48"/>
      <c r="Y640" s="68"/>
      <c r="Z640" s="1"/>
      <c r="AA640" s="68"/>
      <c r="AB640" s="68"/>
      <c r="AC640" s="132"/>
      <c r="AD640" s="132"/>
      <c r="AE640" s="3"/>
      <c r="AF640" s="3"/>
      <c r="AG640" s="103"/>
      <c r="AH640" s="4"/>
      <c r="AI640" s="3"/>
      <c r="AJ640" s="3"/>
      <c r="AK640" s="113"/>
      <c r="AL640" s="6"/>
      <c r="AM640" s="3"/>
      <c r="AN640" s="3"/>
      <c r="AO640" s="3"/>
      <c r="AP640" s="3"/>
      <c r="AQ640" s="113"/>
      <c r="AW640" s="49"/>
    </row>
    <row r="641" spans="1:49">
      <c r="C641" s="42"/>
      <c r="F641" s="164"/>
      <c r="H641" s="164"/>
      <c r="I641" s="164"/>
      <c r="J641" s="331"/>
      <c r="K641" s="331"/>
      <c r="L641" s="45"/>
      <c r="M641" s="45"/>
      <c r="N641" s="46"/>
      <c r="O641" s="46"/>
      <c r="P641" s="45"/>
      <c r="Q641" s="45"/>
      <c r="R641" s="45"/>
      <c r="T641" s="350">
        <f t="shared" ref="T641:T666" si="118">A289</f>
        <v>180</v>
      </c>
      <c r="V641" s="48" t="str">
        <f t="shared" ref="V641:V666" si="119">C289</f>
        <v xml:space="preserve">   18 inch bracket - metal pole - double Flood Mount - top mount </v>
      </c>
      <c r="Y641" s="45">
        <f t="shared" ref="Y641:Y665" si="120">F289</f>
        <v>0</v>
      </c>
      <c r="AB641" s="329"/>
      <c r="AC641" s="132">
        <v>2.0699999999999998</v>
      </c>
      <c r="AE641" s="3">
        <f t="shared" si="109"/>
        <v>0</v>
      </c>
      <c r="AF641" s="1"/>
      <c r="AG641" s="103">
        <f t="shared" ref="AG641:AG665" si="121">ROUND((AE641/AE$692)*100,1)</f>
        <v>0</v>
      </c>
      <c r="AH641" s="4"/>
      <c r="AI641" s="3">
        <f t="shared" ref="AI641:AI665" si="122">L289-AE641</f>
        <v>0</v>
      </c>
      <c r="AJ641" s="3"/>
      <c r="AK641" s="113" t="str">
        <f t="shared" si="112"/>
        <v xml:space="preserve">0.0 </v>
      </c>
      <c r="AL641" s="6"/>
      <c r="AM641" s="3"/>
      <c r="AN641" s="3"/>
      <c r="AO641" s="3">
        <f t="shared" si="113"/>
        <v>0</v>
      </c>
      <c r="AP641" s="3"/>
      <c r="AQ641" s="113" t="str">
        <f t="shared" si="114"/>
        <v xml:space="preserve">0.0 </v>
      </c>
      <c r="AW641" s="49"/>
    </row>
    <row r="642" spans="1:49">
      <c r="F642" s="50"/>
      <c r="H642" s="50"/>
      <c r="I642" s="50"/>
      <c r="J642" s="326"/>
      <c r="K642" s="326"/>
      <c r="L642" s="50"/>
      <c r="M642" s="50"/>
      <c r="N642" s="50"/>
      <c r="O642" s="50"/>
      <c r="P642" s="50"/>
      <c r="Q642" s="50"/>
      <c r="R642" s="50"/>
      <c r="S642" s="45"/>
      <c r="T642" s="350">
        <f t="shared" si="118"/>
        <v>181</v>
      </c>
      <c r="V642" s="48" t="str">
        <f t="shared" si="119"/>
        <v xml:space="preserve">   14 inch bracket - metal pole - single mount - top tenon</v>
      </c>
      <c r="Y642" s="45">
        <f t="shared" si="120"/>
        <v>0</v>
      </c>
      <c r="AA642" s="45"/>
      <c r="AB642" s="325"/>
      <c r="AC642" s="132">
        <v>2.19</v>
      </c>
      <c r="AD642" s="45"/>
      <c r="AE642" s="3">
        <f t="shared" si="109"/>
        <v>0</v>
      </c>
      <c r="AF642" s="1"/>
      <c r="AG642" s="103">
        <f t="shared" si="121"/>
        <v>0</v>
      </c>
      <c r="AH642" s="4"/>
      <c r="AI642" s="3">
        <f t="shared" si="122"/>
        <v>0</v>
      </c>
      <c r="AJ642" s="3"/>
      <c r="AK642" s="113" t="str">
        <f t="shared" si="112"/>
        <v xml:space="preserve">0.0 </v>
      </c>
      <c r="AL642" s="6"/>
      <c r="AM642" s="3"/>
      <c r="AN642" s="3"/>
      <c r="AO642" s="3">
        <f t="shared" si="113"/>
        <v>0</v>
      </c>
      <c r="AP642" s="3"/>
      <c r="AQ642" s="113" t="str">
        <f t="shared" si="114"/>
        <v xml:space="preserve">0.0 </v>
      </c>
      <c r="AW642" s="49"/>
    </row>
    <row r="643" spans="1:49">
      <c r="D643" s="42"/>
      <c r="E643" s="42"/>
      <c r="F643" s="45"/>
      <c r="H643" s="45"/>
      <c r="I643" s="45"/>
      <c r="J643" s="47"/>
      <c r="K643" s="47"/>
      <c r="L643" s="45"/>
      <c r="M643" s="45"/>
      <c r="N643" s="46"/>
      <c r="O643" s="46"/>
      <c r="P643" s="164"/>
      <c r="Q643" s="164"/>
      <c r="R643" s="45"/>
      <c r="S643" s="45"/>
      <c r="T643" s="350">
        <f t="shared" si="118"/>
        <v>182</v>
      </c>
      <c r="V643" s="48" t="str">
        <f t="shared" si="119"/>
        <v xml:space="preserve">   14 inch bracket - metal pole - double mount - top tenon</v>
      </c>
      <c r="Y643" s="45">
        <f t="shared" si="120"/>
        <v>0</v>
      </c>
      <c r="AA643" s="50"/>
      <c r="AB643" s="326"/>
      <c r="AC643" s="132">
        <v>2.37</v>
      </c>
      <c r="AD643" s="50"/>
      <c r="AE643" s="3">
        <f t="shared" si="109"/>
        <v>0</v>
      </c>
      <c r="AF643" s="1"/>
      <c r="AG643" s="103">
        <f t="shared" si="121"/>
        <v>0</v>
      </c>
      <c r="AH643" s="4"/>
      <c r="AI643" s="3">
        <f t="shared" si="122"/>
        <v>0</v>
      </c>
      <c r="AJ643" s="3"/>
      <c r="AK643" s="113" t="str">
        <f t="shared" si="112"/>
        <v xml:space="preserve">0.0 </v>
      </c>
      <c r="AL643" s="6"/>
      <c r="AM643" s="3"/>
      <c r="AN643" s="3"/>
      <c r="AO643" s="3">
        <f t="shared" si="113"/>
        <v>0</v>
      </c>
      <c r="AP643" s="3"/>
      <c r="AQ643" s="113" t="str">
        <f t="shared" si="114"/>
        <v xml:space="preserve">0.0 </v>
      </c>
      <c r="AW643" s="49"/>
    </row>
    <row r="644" spans="1:49">
      <c r="F644" s="50"/>
      <c r="H644" s="50"/>
      <c r="I644" s="50"/>
      <c r="J644" s="326"/>
      <c r="K644" s="326"/>
      <c r="L644" s="50"/>
      <c r="M644" s="50"/>
      <c r="N644" s="50"/>
      <c r="O644" s="50"/>
      <c r="P644" s="50"/>
      <c r="Q644" s="50"/>
      <c r="R644" s="50"/>
      <c r="S644" s="45"/>
      <c r="T644" s="350">
        <f t="shared" si="118"/>
        <v>183</v>
      </c>
      <c r="V644" s="48" t="str">
        <f t="shared" si="119"/>
        <v xml:space="preserve">   14 inch bracket - metal pole - triple mount - top tenon</v>
      </c>
      <c r="Y644" s="45">
        <f t="shared" si="120"/>
        <v>0</v>
      </c>
      <c r="AA644" s="45"/>
      <c r="AB644" s="47"/>
      <c r="AC644" s="132">
        <v>2.52</v>
      </c>
      <c r="AD644" s="45"/>
      <c r="AE644" s="3">
        <f t="shared" si="109"/>
        <v>0</v>
      </c>
      <c r="AF644" s="1"/>
      <c r="AG644" s="103">
        <f t="shared" si="121"/>
        <v>0</v>
      </c>
      <c r="AH644" s="4"/>
      <c r="AI644" s="3">
        <f t="shared" si="122"/>
        <v>0</v>
      </c>
      <c r="AJ644" s="3"/>
      <c r="AK644" s="113" t="str">
        <f t="shared" si="112"/>
        <v xml:space="preserve">0.0 </v>
      </c>
      <c r="AL644" s="6"/>
      <c r="AM644" s="3"/>
      <c r="AN644" s="3"/>
      <c r="AO644" s="3">
        <f t="shared" si="113"/>
        <v>0</v>
      </c>
      <c r="AP644" s="3"/>
      <c r="AQ644" s="113" t="str">
        <f t="shared" si="114"/>
        <v xml:space="preserve">0.0 </v>
      </c>
      <c r="AW644" s="49"/>
    </row>
    <row r="645" spans="1:49">
      <c r="R645" s="45"/>
      <c r="T645" s="350">
        <f t="shared" si="118"/>
        <v>184</v>
      </c>
      <c r="V645" s="48" t="str">
        <f t="shared" si="119"/>
        <v xml:space="preserve">   14 inch bracket - metal pole - quad mount - top tenon</v>
      </c>
      <c r="Y645" s="45">
        <f t="shared" si="120"/>
        <v>0</v>
      </c>
      <c r="AA645" s="50"/>
      <c r="AB645" s="326"/>
      <c r="AC645" s="132">
        <v>2.63</v>
      </c>
      <c r="AD645" s="50"/>
      <c r="AE645" s="3">
        <f t="shared" si="109"/>
        <v>0</v>
      </c>
      <c r="AF645" s="1"/>
      <c r="AG645" s="103">
        <f t="shared" si="121"/>
        <v>0</v>
      </c>
      <c r="AH645" s="4"/>
      <c r="AI645" s="3">
        <f t="shared" si="122"/>
        <v>0</v>
      </c>
      <c r="AJ645" s="3"/>
      <c r="AK645" s="113" t="str">
        <f t="shared" si="112"/>
        <v xml:space="preserve">0.0 </v>
      </c>
      <c r="AL645" s="6"/>
      <c r="AM645" s="3"/>
      <c r="AN645" s="3"/>
      <c r="AO645" s="3">
        <f t="shared" si="113"/>
        <v>0</v>
      </c>
      <c r="AP645" s="3"/>
      <c r="AQ645" s="113" t="str">
        <f t="shared" si="114"/>
        <v xml:space="preserve">0.0 </v>
      </c>
      <c r="AW645" s="49"/>
    </row>
    <row r="646" spans="1:49">
      <c r="F646" s="45"/>
      <c r="H646" s="45"/>
      <c r="I646" s="45"/>
      <c r="J646" s="47"/>
      <c r="K646" s="47"/>
      <c r="L646" s="45"/>
      <c r="M646" s="45"/>
      <c r="N646" s="45"/>
      <c r="O646" s="45"/>
      <c r="P646" s="45"/>
      <c r="Q646" s="45"/>
      <c r="R646" s="45"/>
      <c r="T646" s="350">
        <f t="shared" si="118"/>
        <v>185</v>
      </c>
      <c r="V646" s="48" t="str">
        <f t="shared" si="119"/>
        <v xml:space="preserve">   6 foot - metal pole - single - top tenon</v>
      </c>
      <c r="Y646" s="45">
        <f t="shared" si="120"/>
        <v>0</v>
      </c>
      <c r="AC646" s="132">
        <v>4.87</v>
      </c>
      <c r="AE646" s="3">
        <f t="shared" si="109"/>
        <v>0</v>
      </c>
      <c r="AF646" s="1"/>
      <c r="AG646" s="103">
        <f t="shared" si="121"/>
        <v>0</v>
      </c>
      <c r="AH646" s="4"/>
      <c r="AI646" s="3">
        <f t="shared" si="122"/>
        <v>0</v>
      </c>
      <c r="AJ646" s="3"/>
      <c r="AK646" s="113" t="str">
        <f t="shared" si="112"/>
        <v xml:space="preserve">0.0 </v>
      </c>
      <c r="AL646" s="6"/>
      <c r="AM646" s="3"/>
      <c r="AN646" s="3"/>
      <c r="AO646" s="3">
        <f t="shared" si="113"/>
        <v>0</v>
      </c>
      <c r="AP646" s="3"/>
      <c r="AQ646" s="113" t="str">
        <f t="shared" si="114"/>
        <v xml:space="preserve">0.0 </v>
      </c>
      <c r="AW646" s="49"/>
    </row>
    <row r="647" spans="1:49">
      <c r="C647" s="42"/>
      <c r="F647" s="45"/>
      <c r="H647" s="45"/>
      <c r="I647" s="45"/>
      <c r="J647" s="47"/>
      <c r="K647" s="47"/>
      <c r="L647" s="45"/>
      <c r="M647" s="45"/>
      <c r="N647" s="45"/>
      <c r="O647" s="45"/>
      <c r="P647" s="45"/>
      <c r="Q647" s="45"/>
      <c r="R647" s="45"/>
      <c r="T647" s="350">
        <f t="shared" si="118"/>
        <v>186</v>
      </c>
      <c r="V647" s="48" t="str">
        <f t="shared" si="119"/>
        <v xml:space="preserve">   6 foot - metal pole - double - top tenon</v>
      </c>
      <c r="Y647" s="45">
        <f t="shared" si="120"/>
        <v>0</v>
      </c>
      <c r="AA647" s="45"/>
      <c r="AB647" s="47"/>
      <c r="AC647" s="132">
        <v>6.17</v>
      </c>
      <c r="AD647" s="45"/>
      <c r="AE647" s="3">
        <f t="shared" si="109"/>
        <v>0</v>
      </c>
      <c r="AF647" s="1"/>
      <c r="AG647" s="103">
        <f t="shared" si="121"/>
        <v>0</v>
      </c>
      <c r="AH647" s="4"/>
      <c r="AI647" s="3">
        <f t="shared" si="122"/>
        <v>0</v>
      </c>
      <c r="AJ647" s="3"/>
      <c r="AK647" s="113" t="str">
        <f t="shared" si="112"/>
        <v xml:space="preserve">0.0 </v>
      </c>
      <c r="AL647" s="6"/>
      <c r="AM647" s="3"/>
      <c r="AN647" s="3"/>
      <c r="AO647" s="3">
        <f t="shared" si="113"/>
        <v>0</v>
      </c>
      <c r="AP647" s="3"/>
      <c r="AQ647" s="113" t="str">
        <f t="shared" si="114"/>
        <v xml:space="preserve">0.0 </v>
      </c>
      <c r="AW647" s="49"/>
    </row>
    <row r="648" spans="1:49">
      <c r="C648" s="42"/>
      <c r="T648" s="350">
        <f t="shared" si="118"/>
        <v>187</v>
      </c>
      <c r="V648" s="48" t="str">
        <f t="shared" si="119"/>
        <v xml:space="preserve">   4 foot - Boston Harbor - top tenon</v>
      </c>
      <c r="Y648" s="45">
        <f t="shared" si="120"/>
        <v>0</v>
      </c>
      <c r="AA648" s="45"/>
      <c r="AB648" s="47"/>
      <c r="AC648" s="132">
        <v>7.06</v>
      </c>
      <c r="AD648" s="45"/>
      <c r="AE648" s="3">
        <f t="shared" si="109"/>
        <v>0</v>
      </c>
      <c r="AF648" s="1"/>
      <c r="AG648" s="103">
        <f t="shared" si="121"/>
        <v>0</v>
      </c>
      <c r="AH648" s="4"/>
      <c r="AI648" s="3">
        <f t="shared" si="122"/>
        <v>0</v>
      </c>
      <c r="AJ648" s="3"/>
      <c r="AK648" s="113" t="str">
        <f t="shared" si="112"/>
        <v xml:space="preserve">0.0 </v>
      </c>
      <c r="AL648" s="6"/>
      <c r="AM648" s="3"/>
      <c r="AN648" s="3"/>
      <c r="AO648" s="3">
        <f t="shared" si="113"/>
        <v>0</v>
      </c>
      <c r="AP648" s="3"/>
      <c r="AQ648" s="113" t="str">
        <f t="shared" si="114"/>
        <v xml:space="preserve">0.0 </v>
      </c>
      <c r="AW648" s="49"/>
    </row>
    <row r="649" spans="1:49">
      <c r="A649" s="42"/>
      <c r="T649" s="350">
        <f t="shared" si="118"/>
        <v>188</v>
      </c>
      <c r="V649" s="48" t="str">
        <f t="shared" si="119"/>
        <v xml:space="preserve">   6 foot - Boston Harbor - top tenon</v>
      </c>
      <c r="Y649" s="45">
        <f t="shared" si="120"/>
        <v>0</v>
      </c>
      <c r="AC649" s="132">
        <v>7.43</v>
      </c>
      <c r="AE649" s="3">
        <f t="shared" si="109"/>
        <v>0</v>
      </c>
      <c r="AF649" s="1"/>
      <c r="AG649" s="103">
        <f t="shared" si="121"/>
        <v>0</v>
      </c>
      <c r="AH649" s="4"/>
      <c r="AI649" s="3">
        <f t="shared" si="122"/>
        <v>0</v>
      </c>
      <c r="AJ649" s="3"/>
      <c r="AK649" s="113" t="str">
        <f t="shared" si="112"/>
        <v xml:space="preserve">0.0 </v>
      </c>
      <c r="AL649" s="6"/>
      <c r="AM649" s="3"/>
      <c r="AN649" s="3"/>
      <c r="AO649" s="3">
        <f t="shared" si="113"/>
        <v>0</v>
      </c>
      <c r="AP649" s="3"/>
      <c r="AQ649" s="113" t="str">
        <f t="shared" si="114"/>
        <v xml:space="preserve">0.0 </v>
      </c>
      <c r="AW649" s="49"/>
    </row>
    <row r="650" spans="1:49">
      <c r="T650" s="350">
        <f t="shared" si="118"/>
        <v>189</v>
      </c>
      <c r="V650" s="48" t="str">
        <f t="shared" si="119"/>
        <v xml:space="preserve">   12 foot - Boston Harbor Style C pole double mount - top tenon</v>
      </c>
      <c r="Y650" s="45">
        <f t="shared" si="120"/>
        <v>0</v>
      </c>
      <c r="AC650" s="132">
        <v>12.71</v>
      </c>
      <c r="AE650" s="3">
        <f t="shared" si="109"/>
        <v>0</v>
      </c>
      <c r="AF650" s="1"/>
      <c r="AG650" s="103">
        <f t="shared" si="121"/>
        <v>0</v>
      </c>
      <c r="AH650" s="4"/>
      <c r="AI650" s="3">
        <f t="shared" si="122"/>
        <v>0</v>
      </c>
      <c r="AJ650" s="3"/>
      <c r="AK650" s="113" t="str">
        <f t="shared" si="112"/>
        <v xml:space="preserve">0.0 </v>
      </c>
      <c r="AL650" s="6"/>
      <c r="AM650" s="3"/>
      <c r="AN650" s="3"/>
      <c r="AO650" s="3">
        <f t="shared" si="113"/>
        <v>0</v>
      </c>
      <c r="AP650" s="3"/>
      <c r="AQ650" s="113" t="str">
        <f t="shared" si="114"/>
        <v xml:space="preserve">0.0 </v>
      </c>
      <c r="AW650" s="49"/>
    </row>
    <row r="651" spans="1:49">
      <c r="T651" s="350">
        <f t="shared" si="118"/>
        <v>190</v>
      </c>
      <c r="V651" s="48" t="str">
        <f t="shared" si="119"/>
        <v xml:space="preserve">   4 foot - Davit arm - top tenon</v>
      </c>
      <c r="Y651" s="45">
        <f t="shared" si="120"/>
        <v>0</v>
      </c>
      <c r="AC651" s="132">
        <v>6.44</v>
      </c>
      <c r="AE651" s="3">
        <f t="shared" si="109"/>
        <v>0</v>
      </c>
      <c r="AF651" s="1"/>
      <c r="AG651" s="103">
        <f t="shared" si="121"/>
        <v>0</v>
      </c>
      <c r="AH651" s="4"/>
      <c r="AI651" s="3">
        <f t="shared" si="122"/>
        <v>0</v>
      </c>
      <c r="AJ651" s="3"/>
      <c r="AK651" s="113" t="str">
        <f t="shared" si="112"/>
        <v xml:space="preserve">0.0 </v>
      </c>
      <c r="AL651" s="6"/>
      <c r="AM651" s="3"/>
      <c r="AN651" s="3"/>
      <c r="AO651" s="3">
        <f t="shared" si="113"/>
        <v>0</v>
      </c>
      <c r="AP651" s="3"/>
      <c r="AQ651" s="113" t="str">
        <f t="shared" si="114"/>
        <v xml:space="preserve">0.0 </v>
      </c>
      <c r="AW651" s="49"/>
    </row>
    <row r="652" spans="1:49">
      <c r="H652" s="42"/>
      <c r="I652" s="42"/>
      <c r="T652" s="350">
        <f t="shared" si="118"/>
        <v>191</v>
      </c>
      <c r="V652" s="48" t="str">
        <f t="shared" si="119"/>
        <v xml:space="preserve">   18 inch - Cobrahead fixture for wood pole</v>
      </c>
      <c r="Y652" s="45">
        <f t="shared" si="120"/>
        <v>287</v>
      </c>
      <c r="AC652" s="132">
        <v>1.82</v>
      </c>
      <c r="AE652" s="3">
        <f t="shared" si="109"/>
        <v>522</v>
      </c>
      <c r="AF652" s="1"/>
      <c r="AG652" s="103">
        <f t="shared" si="121"/>
        <v>2.6</v>
      </c>
      <c r="AH652" s="4"/>
      <c r="AI652" s="3">
        <f t="shared" si="122"/>
        <v>75</v>
      </c>
      <c r="AJ652" s="3"/>
      <c r="AK652" s="113">
        <f t="shared" si="112"/>
        <v>14.4</v>
      </c>
      <c r="AL652" s="6"/>
      <c r="AM652" s="3"/>
      <c r="AN652" s="3"/>
      <c r="AO652" s="3">
        <f t="shared" si="113"/>
        <v>522</v>
      </c>
      <c r="AP652" s="3"/>
      <c r="AQ652" s="113">
        <f t="shared" si="114"/>
        <v>14.4</v>
      </c>
      <c r="AW652" s="49"/>
    </row>
    <row r="653" spans="1:49">
      <c r="T653" s="350">
        <f t="shared" si="118"/>
        <v>192</v>
      </c>
      <c r="V653" s="48" t="str">
        <f t="shared" si="119"/>
        <v xml:space="preserve">   18 inch - Flood light for wood pole</v>
      </c>
      <c r="Y653" s="45">
        <f t="shared" si="120"/>
        <v>18</v>
      </c>
      <c r="AA653" s="42"/>
      <c r="AC653" s="132">
        <v>2.0099999999999998</v>
      </c>
      <c r="AE653" s="3">
        <f t="shared" si="109"/>
        <v>36</v>
      </c>
      <c r="AF653" s="1"/>
      <c r="AG653" s="103">
        <f t="shared" si="121"/>
        <v>0.2</v>
      </c>
      <c r="AH653" s="4"/>
      <c r="AI653" s="3">
        <f t="shared" si="122"/>
        <v>5</v>
      </c>
      <c r="AJ653" s="3"/>
      <c r="AK653" s="113">
        <f t="shared" si="112"/>
        <v>13.9</v>
      </c>
      <c r="AL653" s="6"/>
      <c r="AM653" s="3"/>
      <c r="AN653" s="3"/>
      <c r="AO653" s="3">
        <f t="shared" si="113"/>
        <v>36</v>
      </c>
      <c r="AP653" s="3"/>
      <c r="AQ653" s="113">
        <f t="shared" si="114"/>
        <v>13.9</v>
      </c>
      <c r="AW653" s="49"/>
    </row>
    <row r="654" spans="1:49">
      <c r="T654" s="350">
        <f t="shared" si="118"/>
        <v>193</v>
      </c>
      <c r="V654" s="48" t="str">
        <f t="shared" si="119"/>
        <v xml:space="preserve">   18" Metal - Flood - Bullhorn - Top Tenon</v>
      </c>
      <c r="Y654" s="45">
        <f t="shared" si="120"/>
        <v>0</v>
      </c>
      <c r="AA654" s="42"/>
      <c r="AC654" s="132">
        <v>2.48</v>
      </c>
      <c r="AE654" s="3">
        <f t="shared" ref="AE654:AE665" si="123">ROUND((Y654*(AC654+AD654)),0)</f>
        <v>0</v>
      </c>
      <c r="AF654" s="1"/>
      <c r="AG654" s="103">
        <f t="shared" si="121"/>
        <v>0</v>
      </c>
      <c r="AH654" s="4"/>
      <c r="AI654" s="3">
        <f t="shared" si="122"/>
        <v>0</v>
      </c>
      <c r="AJ654" s="3"/>
      <c r="AK654" s="113" t="str">
        <f t="shared" ref="AK654:AK665" si="124">IF(AE654=0,"0.0 ",ROUND((AI654/AE654)*100,1))</f>
        <v xml:space="preserve">0.0 </v>
      </c>
      <c r="AL654" s="6"/>
      <c r="AM654" s="3"/>
      <c r="AN654" s="3"/>
      <c r="AO654" s="3">
        <f t="shared" ref="AO654:AO665" si="125">AM654+AE654</f>
        <v>0</v>
      </c>
      <c r="AP654" s="3"/>
      <c r="AQ654" s="113" t="str">
        <f t="shared" ref="AQ654:AQ665" si="126">IF(AO654=0,"0.0 ",ROUND((AI654/AO654)*100,1))</f>
        <v xml:space="preserve">0.0 </v>
      </c>
      <c r="AW654" s="49"/>
    </row>
    <row r="655" spans="1:49">
      <c r="T655" s="350">
        <f t="shared" si="118"/>
        <v>194</v>
      </c>
      <c r="V655" s="48" t="str">
        <f t="shared" si="119"/>
        <v xml:space="preserve">   4' Transmission - Top Tenon</v>
      </c>
      <c r="Y655" s="45">
        <f t="shared" si="120"/>
        <v>0</v>
      </c>
      <c r="AA655" s="42"/>
      <c r="AC655" s="132">
        <v>9.1199999999999992</v>
      </c>
      <c r="AE655" s="3">
        <f t="shared" si="123"/>
        <v>0</v>
      </c>
      <c r="AF655" s="1"/>
      <c r="AG655" s="103">
        <f t="shared" si="121"/>
        <v>0</v>
      </c>
      <c r="AH655" s="4"/>
      <c r="AI655" s="3">
        <f t="shared" si="122"/>
        <v>0</v>
      </c>
      <c r="AJ655" s="3"/>
      <c r="AK655" s="113" t="str">
        <f t="shared" si="124"/>
        <v xml:space="preserve">0.0 </v>
      </c>
      <c r="AL655" s="6"/>
      <c r="AM655" s="3"/>
      <c r="AN655" s="3"/>
      <c r="AO655" s="3">
        <f t="shared" si="125"/>
        <v>0</v>
      </c>
      <c r="AP655" s="3"/>
      <c r="AQ655" s="113" t="str">
        <f t="shared" si="126"/>
        <v xml:space="preserve">0.0 </v>
      </c>
      <c r="AW655" s="49"/>
    </row>
    <row r="656" spans="1:49">
      <c r="T656" s="350">
        <f t="shared" si="118"/>
        <v>195</v>
      </c>
      <c r="V656" s="48" t="str">
        <f t="shared" si="119"/>
        <v xml:space="preserve">   10' Transmission - Top Tenon</v>
      </c>
      <c r="Y656" s="45">
        <f t="shared" si="120"/>
        <v>0</v>
      </c>
      <c r="AA656" s="42"/>
      <c r="AC656" s="132">
        <v>10.51</v>
      </c>
      <c r="AE656" s="3">
        <f t="shared" si="123"/>
        <v>0</v>
      </c>
      <c r="AF656" s="1"/>
      <c r="AG656" s="103">
        <f t="shared" si="121"/>
        <v>0</v>
      </c>
      <c r="AH656" s="4"/>
      <c r="AI656" s="3">
        <f t="shared" si="122"/>
        <v>0</v>
      </c>
      <c r="AJ656" s="3"/>
      <c r="AK656" s="113" t="str">
        <f t="shared" si="124"/>
        <v xml:space="preserve">0.0 </v>
      </c>
      <c r="AL656" s="6"/>
      <c r="AM656" s="3"/>
      <c r="AN656" s="3"/>
      <c r="AO656" s="3">
        <f t="shared" si="125"/>
        <v>0</v>
      </c>
      <c r="AP656" s="3"/>
      <c r="AQ656" s="113" t="str">
        <f t="shared" si="126"/>
        <v xml:space="preserve">0.0 </v>
      </c>
      <c r="AW656" s="49"/>
    </row>
    <row r="657" spans="1:49">
      <c r="T657" s="350">
        <f t="shared" si="118"/>
        <v>196</v>
      </c>
      <c r="V657" s="48" t="str">
        <f t="shared" si="119"/>
        <v xml:space="preserve">   15' Transmission - Top Tenon</v>
      </c>
      <c r="Y657" s="45">
        <f t="shared" si="120"/>
        <v>0</v>
      </c>
      <c r="AA657" s="42"/>
      <c r="AC657" s="132">
        <v>11.56</v>
      </c>
      <c r="AE657" s="3">
        <f t="shared" si="123"/>
        <v>0</v>
      </c>
      <c r="AF657" s="1"/>
      <c r="AG657" s="103">
        <f t="shared" si="121"/>
        <v>0</v>
      </c>
      <c r="AH657" s="4"/>
      <c r="AI657" s="3">
        <f t="shared" si="122"/>
        <v>0</v>
      </c>
      <c r="AJ657" s="3"/>
      <c r="AK657" s="113" t="str">
        <f t="shared" si="124"/>
        <v xml:space="preserve">0.0 </v>
      </c>
      <c r="AL657" s="6"/>
      <c r="AM657" s="3"/>
      <c r="AN657" s="3"/>
      <c r="AO657" s="3">
        <f t="shared" si="125"/>
        <v>0</v>
      </c>
      <c r="AP657" s="3"/>
      <c r="AQ657" s="113" t="str">
        <f t="shared" si="126"/>
        <v xml:space="preserve">0.0 </v>
      </c>
      <c r="AW657" s="49"/>
    </row>
    <row r="658" spans="1:49">
      <c r="T658" s="350">
        <f t="shared" si="118"/>
        <v>197</v>
      </c>
      <c r="V658" s="48" t="str">
        <f t="shared" si="119"/>
        <v xml:space="preserve">   18" Transmission - Flood - Top Tenon</v>
      </c>
      <c r="Y658" s="45">
        <f t="shared" si="120"/>
        <v>0</v>
      </c>
      <c r="AA658" s="42"/>
      <c r="AC658" s="132">
        <v>4.8600000000000003</v>
      </c>
      <c r="AE658" s="3">
        <f t="shared" si="123"/>
        <v>0</v>
      </c>
      <c r="AF658" s="1"/>
      <c r="AG658" s="103">
        <f t="shared" si="121"/>
        <v>0</v>
      </c>
      <c r="AH658" s="4"/>
      <c r="AI658" s="3">
        <f t="shared" si="122"/>
        <v>0</v>
      </c>
      <c r="AJ658" s="3"/>
      <c r="AK658" s="113" t="str">
        <f t="shared" si="124"/>
        <v xml:space="preserve">0.0 </v>
      </c>
      <c r="AL658" s="6"/>
      <c r="AM658" s="3"/>
      <c r="AN658" s="3"/>
      <c r="AO658" s="3">
        <f t="shared" si="125"/>
        <v>0</v>
      </c>
      <c r="AP658" s="3"/>
      <c r="AQ658" s="113" t="str">
        <f t="shared" si="126"/>
        <v xml:space="preserve">0.0 </v>
      </c>
      <c r="AW658" s="49"/>
    </row>
    <row r="659" spans="1:49">
      <c r="T659" s="350">
        <f t="shared" si="118"/>
        <v>198</v>
      </c>
      <c r="V659" s="48" t="str">
        <f t="shared" si="119"/>
        <v xml:space="preserve">   3' Shepherds Crook - Single - Top Tenon</v>
      </c>
      <c r="Y659" s="45">
        <f t="shared" si="120"/>
        <v>0</v>
      </c>
      <c r="AA659" s="42"/>
      <c r="AC659" s="132">
        <v>4.6100000000000003</v>
      </c>
      <c r="AE659" s="3">
        <f t="shared" si="123"/>
        <v>0</v>
      </c>
      <c r="AF659" s="1"/>
      <c r="AG659" s="103">
        <f t="shared" si="121"/>
        <v>0</v>
      </c>
      <c r="AH659" s="4"/>
      <c r="AI659" s="3">
        <f t="shared" si="122"/>
        <v>0</v>
      </c>
      <c r="AJ659" s="3"/>
      <c r="AK659" s="113" t="str">
        <f t="shared" si="124"/>
        <v xml:space="preserve">0.0 </v>
      </c>
      <c r="AL659" s="6"/>
      <c r="AM659" s="3"/>
      <c r="AN659" s="3"/>
      <c r="AO659" s="3">
        <f t="shared" si="125"/>
        <v>0</v>
      </c>
      <c r="AP659" s="3"/>
      <c r="AQ659" s="113" t="str">
        <f t="shared" si="126"/>
        <v xml:space="preserve">0.0 </v>
      </c>
      <c r="AW659" s="49"/>
    </row>
    <row r="660" spans="1:49">
      <c r="T660" s="350">
        <f t="shared" si="118"/>
        <v>199</v>
      </c>
      <c r="V660" s="48" t="str">
        <f t="shared" si="119"/>
        <v xml:space="preserve">   3' Shepherds Crook w/ Scroll - Single - Top Tenon</v>
      </c>
      <c r="Y660" s="45">
        <f t="shared" si="120"/>
        <v>0</v>
      </c>
      <c r="AA660" s="42"/>
      <c r="AC660" s="132">
        <v>5.1100000000000003</v>
      </c>
      <c r="AE660" s="3">
        <f t="shared" si="123"/>
        <v>0</v>
      </c>
      <c r="AF660" s="1"/>
      <c r="AG660" s="103">
        <f t="shared" si="121"/>
        <v>0</v>
      </c>
      <c r="AH660" s="4"/>
      <c r="AI660" s="3">
        <f t="shared" si="122"/>
        <v>0</v>
      </c>
      <c r="AJ660" s="3"/>
      <c r="AK660" s="113" t="str">
        <f t="shared" si="124"/>
        <v xml:space="preserve">0.0 </v>
      </c>
      <c r="AL660" s="6"/>
      <c r="AM660" s="3"/>
      <c r="AN660" s="3"/>
      <c r="AO660" s="3">
        <f t="shared" si="125"/>
        <v>0</v>
      </c>
      <c r="AP660" s="3"/>
      <c r="AQ660" s="113" t="str">
        <f t="shared" si="126"/>
        <v xml:space="preserve">0.0 </v>
      </c>
      <c r="AW660" s="49"/>
    </row>
    <row r="661" spans="1:49">
      <c r="T661" s="350">
        <f t="shared" si="118"/>
        <v>200</v>
      </c>
      <c r="V661" s="48" t="str">
        <f t="shared" si="119"/>
        <v xml:space="preserve">   3' Shepherds Crook - Double - Top Tenon</v>
      </c>
      <c r="Y661" s="45">
        <f t="shared" si="120"/>
        <v>0</v>
      </c>
      <c r="AA661" s="42"/>
      <c r="AC661" s="132">
        <v>6.52</v>
      </c>
      <c r="AE661" s="3">
        <f t="shared" si="123"/>
        <v>0</v>
      </c>
      <c r="AF661" s="1"/>
      <c r="AG661" s="103">
        <f t="shared" si="121"/>
        <v>0</v>
      </c>
      <c r="AH661" s="4"/>
      <c r="AI661" s="3">
        <f t="shared" si="122"/>
        <v>0</v>
      </c>
      <c r="AJ661" s="3"/>
      <c r="AK661" s="113" t="str">
        <f t="shared" si="124"/>
        <v xml:space="preserve">0.0 </v>
      </c>
      <c r="AL661" s="6"/>
      <c r="AM661" s="3"/>
      <c r="AN661" s="3"/>
      <c r="AO661" s="3">
        <f t="shared" si="125"/>
        <v>0</v>
      </c>
      <c r="AP661" s="3"/>
      <c r="AQ661" s="113" t="str">
        <f t="shared" si="126"/>
        <v xml:space="preserve">0.0 </v>
      </c>
      <c r="AW661" s="49"/>
    </row>
    <row r="662" spans="1:49">
      <c r="T662" s="350">
        <f t="shared" si="118"/>
        <v>201</v>
      </c>
      <c r="V662" s="48" t="str">
        <f t="shared" si="119"/>
        <v xml:space="preserve">   3' Shepherds Crook w/ Scroll - Double - Top Tenon</v>
      </c>
      <c r="Y662" s="45">
        <f t="shared" si="120"/>
        <v>0</v>
      </c>
      <c r="AA662" s="42"/>
      <c r="AC662" s="132">
        <v>7.33</v>
      </c>
      <c r="AE662" s="3">
        <f t="shared" si="123"/>
        <v>0</v>
      </c>
      <c r="AF662" s="1"/>
      <c r="AG662" s="103">
        <f t="shared" si="121"/>
        <v>0</v>
      </c>
      <c r="AH662" s="4"/>
      <c r="AI662" s="3">
        <f t="shared" si="122"/>
        <v>0</v>
      </c>
      <c r="AJ662" s="3"/>
      <c r="AK662" s="113" t="str">
        <f t="shared" si="124"/>
        <v xml:space="preserve">0.0 </v>
      </c>
      <c r="AL662" s="6"/>
      <c r="AM662" s="3"/>
      <c r="AN662" s="3"/>
      <c r="AO662" s="3">
        <f t="shared" si="125"/>
        <v>0</v>
      </c>
      <c r="AP662" s="3"/>
      <c r="AQ662" s="113" t="str">
        <f t="shared" si="126"/>
        <v xml:space="preserve">0.0 </v>
      </c>
      <c r="AW662" s="49"/>
    </row>
    <row r="663" spans="1:49">
      <c r="T663" s="350">
        <f t="shared" si="118"/>
        <v>202</v>
      </c>
      <c r="V663" s="48" t="str">
        <f t="shared" si="119"/>
        <v xml:space="preserve">   3' Shepherds Crook w/ Scroll &amp; Festoon - Single - Top Tenon</v>
      </c>
      <c r="Y663" s="45">
        <f t="shared" si="120"/>
        <v>0</v>
      </c>
      <c r="AA663" s="42"/>
      <c r="AC663" s="132">
        <v>5.35</v>
      </c>
      <c r="AE663" s="3">
        <f t="shared" si="123"/>
        <v>0</v>
      </c>
      <c r="AF663" s="1"/>
      <c r="AG663" s="103">
        <f t="shared" si="121"/>
        <v>0</v>
      </c>
      <c r="AH663" s="4"/>
      <c r="AI663" s="3">
        <f t="shared" si="122"/>
        <v>0</v>
      </c>
      <c r="AJ663" s="3"/>
      <c r="AK663" s="113" t="str">
        <f t="shared" si="124"/>
        <v xml:space="preserve">0.0 </v>
      </c>
      <c r="AL663" s="6"/>
      <c r="AM663" s="3"/>
      <c r="AN663" s="3"/>
      <c r="AO663" s="3">
        <f t="shared" si="125"/>
        <v>0</v>
      </c>
      <c r="AP663" s="3"/>
      <c r="AQ663" s="113" t="str">
        <f t="shared" si="126"/>
        <v xml:space="preserve">0.0 </v>
      </c>
      <c r="AW663" s="49"/>
    </row>
    <row r="664" spans="1:49">
      <c r="T664" s="350">
        <f t="shared" si="118"/>
        <v>203</v>
      </c>
      <c r="V664" s="48" t="str">
        <f t="shared" si="119"/>
        <v xml:space="preserve">   3' Shepherds Crook w/ Scroll - Wood - Top Tenon</v>
      </c>
      <c r="Y664" s="45">
        <f t="shared" si="120"/>
        <v>0</v>
      </c>
      <c r="AA664" s="42"/>
      <c r="AC664" s="132">
        <v>6.38</v>
      </c>
      <c r="AE664" s="3">
        <f t="shared" si="123"/>
        <v>0</v>
      </c>
      <c r="AF664" s="1"/>
      <c r="AG664" s="103">
        <f t="shared" si="121"/>
        <v>0</v>
      </c>
      <c r="AH664" s="4"/>
      <c r="AI664" s="3">
        <f t="shared" si="122"/>
        <v>0</v>
      </c>
      <c r="AJ664" s="3"/>
      <c r="AK664" s="113" t="str">
        <f t="shared" si="124"/>
        <v xml:space="preserve">0.0 </v>
      </c>
      <c r="AL664" s="6"/>
      <c r="AM664" s="3"/>
      <c r="AN664" s="3"/>
      <c r="AO664" s="3">
        <f t="shared" si="125"/>
        <v>0</v>
      </c>
      <c r="AP664" s="3"/>
      <c r="AQ664" s="113" t="str">
        <f t="shared" si="126"/>
        <v xml:space="preserve">0.0 </v>
      </c>
      <c r="AW664" s="49"/>
    </row>
    <row r="665" spans="1:49">
      <c r="T665" s="350">
        <f t="shared" si="118"/>
        <v>204</v>
      </c>
      <c r="V665" s="48" t="str">
        <f t="shared" si="119"/>
        <v xml:space="preserve">   17" Masterpiece - Top Tenon - Double Post Mount - Top Tenon</v>
      </c>
      <c r="Y665" s="45">
        <f t="shared" si="120"/>
        <v>0</v>
      </c>
      <c r="AA665" s="42"/>
      <c r="AC665" s="132">
        <v>5.09</v>
      </c>
      <c r="AE665" s="3">
        <f t="shared" si="123"/>
        <v>0</v>
      </c>
      <c r="AF665" s="1"/>
      <c r="AG665" s="103">
        <f t="shared" si="121"/>
        <v>0</v>
      </c>
      <c r="AH665" s="4"/>
      <c r="AI665" s="3">
        <f t="shared" si="122"/>
        <v>0</v>
      </c>
      <c r="AJ665" s="3"/>
      <c r="AK665" s="113" t="str">
        <f t="shared" si="124"/>
        <v xml:space="preserve">0.0 </v>
      </c>
      <c r="AL665" s="6"/>
      <c r="AM665" s="3"/>
      <c r="AN665" s="3"/>
      <c r="AO665" s="3">
        <f t="shared" si="125"/>
        <v>0</v>
      </c>
      <c r="AP665" s="3"/>
      <c r="AQ665" s="113" t="str">
        <f t="shared" si="126"/>
        <v xml:space="preserve">0.0 </v>
      </c>
      <c r="AW665" s="49"/>
    </row>
    <row r="666" spans="1:49">
      <c r="L666" s="42"/>
      <c r="M666" s="42"/>
      <c r="T666" s="350">
        <f t="shared" si="118"/>
        <v>205</v>
      </c>
      <c r="V666" s="48" t="str">
        <f t="shared" si="119"/>
        <v>TOTAL BRACKETS</v>
      </c>
      <c r="Y666" s="71">
        <f>SUM(Y604:Y665)</f>
        <v>323</v>
      </c>
      <c r="Z666" s="1"/>
      <c r="AA666" s="68"/>
      <c r="AB666" s="68"/>
      <c r="AC666" s="132"/>
      <c r="AD666" s="342"/>
      <c r="AE666" s="71">
        <f>SUM(AE604:AE665)</f>
        <v>614</v>
      </c>
      <c r="AG666" s="416">
        <f>SUM(AG604:AG665)</f>
        <v>3.1000000000000005</v>
      </c>
      <c r="AI666" s="71">
        <f>SUM(AI604:AI665)</f>
        <v>90</v>
      </c>
      <c r="AK666" s="113">
        <f t="shared" si="112"/>
        <v>14.7</v>
      </c>
      <c r="AM666" s="71">
        <f>SUM(AM604:AM665)</f>
        <v>0</v>
      </c>
      <c r="AO666" s="71">
        <f>SUM(AO604:AO665)</f>
        <v>614</v>
      </c>
      <c r="AQ666" s="114">
        <f t="shared" si="114"/>
        <v>14.7</v>
      </c>
      <c r="AW666" s="49"/>
    </row>
    <row r="667" spans="1:49">
      <c r="R667" s="42"/>
      <c r="T667" s="350"/>
      <c r="V667" s="48"/>
      <c r="Y667" s="45"/>
      <c r="AC667" s="42"/>
      <c r="AD667" s="42"/>
      <c r="AW667" s="49"/>
    </row>
    <row r="668" spans="1:49">
      <c r="R668" s="42"/>
      <c r="T668" s="350">
        <f>A316</f>
        <v>206</v>
      </c>
      <c r="V668" s="48" t="str">
        <f t="shared" ref="V668:V677" si="127">C316</f>
        <v>WIRING EQUIPMENT</v>
      </c>
      <c r="Y668" s="45"/>
      <c r="AM668" s="42"/>
      <c r="AN668" s="42"/>
      <c r="AW668" s="49"/>
    </row>
    <row r="669" spans="1:49">
      <c r="A669" s="42"/>
      <c r="R669" s="42"/>
      <c r="T669" s="350">
        <f>A317</f>
        <v>207</v>
      </c>
      <c r="V669" s="48" t="str">
        <f t="shared" si="127"/>
        <v xml:space="preserve">   Secondary Pedestal (cost per unit)</v>
      </c>
      <c r="Y669" s="45">
        <f>F317</f>
        <v>0</v>
      </c>
      <c r="AC669" s="132">
        <v>2.4700000000000002</v>
      </c>
      <c r="AE669" s="3">
        <f t="shared" ref="AE669:AE675" si="128">ROUND((Y669*(AC669+AD669)),0)</f>
        <v>0</v>
      </c>
      <c r="AF669" s="1"/>
      <c r="AG669" s="103">
        <f t="shared" ref="AG669:AG677" si="129">ROUND((AE669/AE$692)*100,1)</f>
        <v>0</v>
      </c>
      <c r="AH669" s="4"/>
      <c r="AI669" s="3">
        <f>L317-AE669</f>
        <v>0</v>
      </c>
      <c r="AJ669" s="3"/>
      <c r="AK669" s="113" t="str">
        <f t="shared" ref="AK669:AK684" si="130">IF(AE669=0,"0.0 ",ROUND((AI669/AE669)*100,1))</f>
        <v xml:space="preserve">0.0 </v>
      </c>
      <c r="AL669" s="6"/>
      <c r="AM669" s="3"/>
      <c r="AN669" s="3"/>
      <c r="AO669" s="3">
        <f t="shared" ref="AO669:AO677" si="131">AM669+AE669</f>
        <v>0</v>
      </c>
      <c r="AP669" s="3"/>
      <c r="AQ669" s="113" t="str">
        <f t="shared" ref="AQ669:AQ684" si="132">IF(AO669=0,"0.0 ",ROUND((AI669/AO669)*100,1))</f>
        <v xml:space="preserve">0.0 </v>
      </c>
      <c r="AW669" s="49"/>
    </row>
    <row r="670" spans="1:49">
      <c r="L670" s="42"/>
      <c r="M670" s="42"/>
      <c r="T670" s="350">
        <f>A318</f>
        <v>208</v>
      </c>
      <c r="V670" s="48" t="str">
        <f t="shared" si="127"/>
        <v xml:space="preserve">   Handhole (cost per unit)</v>
      </c>
      <c r="Y670" s="45">
        <f>F318</f>
        <v>0</v>
      </c>
      <c r="AC670" s="132">
        <v>3.54</v>
      </c>
      <c r="AE670" s="3">
        <f t="shared" si="128"/>
        <v>0</v>
      </c>
      <c r="AF670" s="1"/>
      <c r="AG670" s="103">
        <f t="shared" si="129"/>
        <v>0</v>
      </c>
      <c r="AH670" s="4"/>
      <c r="AI670" s="3">
        <f>L318-AE670</f>
        <v>0</v>
      </c>
      <c r="AJ670" s="3"/>
      <c r="AK670" s="113" t="str">
        <f t="shared" si="130"/>
        <v xml:space="preserve">0.0 </v>
      </c>
      <c r="AL670" s="6"/>
      <c r="AM670" s="3"/>
      <c r="AN670" s="3"/>
      <c r="AO670" s="3">
        <f t="shared" si="131"/>
        <v>0</v>
      </c>
      <c r="AP670" s="3"/>
      <c r="AQ670" s="113" t="str">
        <f t="shared" si="132"/>
        <v xml:space="preserve">0.0 </v>
      </c>
      <c r="AW670" s="49"/>
    </row>
    <row r="671" spans="1:49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T671" s="350">
        <f t="shared" ref="T671:T677" si="133">A319</f>
        <v>209</v>
      </c>
      <c r="V671" s="48" t="str">
        <f t="shared" si="127"/>
        <v xml:space="preserve">   Pullbox</v>
      </c>
      <c r="Y671" s="45">
        <f t="shared" ref="Y671:Y676" si="134">F319</f>
        <v>0</v>
      </c>
      <c r="AC671" s="132">
        <v>8.98</v>
      </c>
      <c r="AD671" s="42"/>
      <c r="AE671" s="3">
        <f t="shared" si="128"/>
        <v>0</v>
      </c>
      <c r="AF671" s="1"/>
      <c r="AG671" s="103">
        <f t="shared" si="129"/>
        <v>0</v>
      </c>
      <c r="AH671" s="4"/>
      <c r="AI671" s="3">
        <f t="shared" ref="AI671:AI676" si="135">L320-AE671</f>
        <v>0</v>
      </c>
      <c r="AJ671" s="3"/>
      <c r="AK671" s="113" t="str">
        <f t="shared" si="130"/>
        <v xml:space="preserve">0.0 </v>
      </c>
      <c r="AL671" s="6"/>
      <c r="AM671" s="3"/>
      <c r="AN671" s="3"/>
      <c r="AO671" s="3">
        <f t="shared" si="131"/>
        <v>0</v>
      </c>
      <c r="AP671" s="3"/>
      <c r="AQ671" s="113" t="str">
        <f t="shared" si="132"/>
        <v xml:space="preserve">0.0 </v>
      </c>
      <c r="AW671" s="49"/>
    </row>
    <row r="672" spans="1:49">
      <c r="L672" s="44"/>
      <c r="M672" s="44"/>
      <c r="N672" s="44"/>
      <c r="O672" s="44"/>
      <c r="R672" s="44"/>
      <c r="T672" s="350">
        <f t="shared" si="133"/>
        <v>210</v>
      </c>
      <c r="V672" s="48" t="str">
        <f t="shared" si="127"/>
        <v xml:space="preserve">   6AL DUPLEX and Trench (cost per 10 feet)</v>
      </c>
      <c r="W672" s="49"/>
      <c r="X672" s="49"/>
      <c r="Y672" s="45">
        <f t="shared" si="134"/>
        <v>0</v>
      </c>
      <c r="Z672" s="49"/>
      <c r="AA672" s="49"/>
      <c r="AB672" s="49"/>
      <c r="AC672" s="132">
        <v>1.1200000000000001</v>
      </c>
      <c r="AD672" s="49"/>
      <c r="AE672" s="3">
        <f t="shared" si="128"/>
        <v>0</v>
      </c>
      <c r="AF672" s="1"/>
      <c r="AG672" s="103">
        <f t="shared" si="129"/>
        <v>0</v>
      </c>
      <c r="AH672" s="4"/>
      <c r="AI672" s="3">
        <f t="shared" si="135"/>
        <v>0</v>
      </c>
      <c r="AJ672" s="3"/>
      <c r="AK672" s="113" t="str">
        <f t="shared" si="130"/>
        <v xml:space="preserve">0.0 </v>
      </c>
      <c r="AL672" s="6"/>
      <c r="AM672" s="3"/>
      <c r="AN672" s="3"/>
      <c r="AO672" s="3">
        <f t="shared" si="131"/>
        <v>0</v>
      </c>
      <c r="AP672" s="3"/>
      <c r="AQ672" s="113" t="str">
        <f t="shared" si="132"/>
        <v xml:space="preserve">0.0 </v>
      </c>
      <c r="AW672" s="49"/>
    </row>
    <row r="673" spans="1:49">
      <c r="L673" s="44"/>
      <c r="M673" s="44"/>
      <c r="N673" s="44"/>
      <c r="O673" s="44"/>
      <c r="R673" s="44"/>
      <c r="T673" s="350">
        <f t="shared" si="133"/>
        <v>211</v>
      </c>
      <c r="V673" s="48" t="str">
        <f t="shared" si="127"/>
        <v xml:space="preserve">   6AL DUPLEX and Trench with conduit (cost per 10 feet)</v>
      </c>
      <c r="Y673" s="45">
        <f t="shared" si="134"/>
        <v>0</v>
      </c>
      <c r="AC673" s="132">
        <v>1.3</v>
      </c>
      <c r="AD673" s="44"/>
      <c r="AE673" s="3">
        <f t="shared" si="128"/>
        <v>0</v>
      </c>
      <c r="AF673" s="1"/>
      <c r="AG673" s="103">
        <f t="shared" si="129"/>
        <v>0</v>
      </c>
      <c r="AH673" s="4"/>
      <c r="AI673" s="3">
        <f t="shared" si="135"/>
        <v>0</v>
      </c>
      <c r="AJ673" s="3"/>
      <c r="AK673" s="113" t="str">
        <f t="shared" si="130"/>
        <v xml:space="preserve">0.0 </v>
      </c>
      <c r="AL673" s="6"/>
      <c r="AM673" s="3"/>
      <c r="AN673" s="3"/>
      <c r="AO673" s="3">
        <f t="shared" si="131"/>
        <v>0</v>
      </c>
      <c r="AP673" s="3"/>
      <c r="AQ673" s="113" t="str">
        <f t="shared" si="132"/>
        <v xml:space="preserve">0.0 </v>
      </c>
      <c r="AW673" s="49"/>
    </row>
    <row r="674" spans="1:49">
      <c r="A674" s="44"/>
      <c r="C674" s="44"/>
      <c r="D674" s="44"/>
      <c r="E674" s="44"/>
      <c r="F674" s="44"/>
      <c r="J674" s="44"/>
      <c r="K674" s="44"/>
      <c r="L674" s="44"/>
      <c r="M674" s="44"/>
      <c r="N674" s="44"/>
      <c r="O674" s="44"/>
      <c r="P674" s="44"/>
      <c r="Q674" s="44"/>
      <c r="R674" s="44"/>
      <c r="T674" s="350">
        <f t="shared" si="133"/>
        <v>212</v>
      </c>
      <c r="V674" s="48" t="str">
        <f t="shared" si="127"/>
        <v xml:space="preserve">   6AL DUPLEX with existing conduit (cost per 10 feet)</v>
      </c>
      <c r="Y674" s="45">
        <f t="shared" si="134"/>
        <v>0</v>
      </c>
      <c r="AB674" s="44"/>
      <c r="AC674" s="132">
        <v>0.82</v>
      </c>
      <c r="AD674" s="44"/>
      <c r="AE674" s="3">
        <f t="shared" si="128"/>
        <v>0</v>
      </c>
      <c r="AF674" s="1"/>
      <c r="AG674" s="103">
        <f t="shared" si="129"/>
        <v>0</v>
      </c>
      <c r="AH674" s="4"/>
      <c r="AI674" s="3">
        <f t="shared" si="135"/>
        <v>0</v>
      </c>
      <c r="AJ674" s="3"/>
      <c r="AK674" s="113" t="str">
        <f t="shared" si="130"/>
        <v xml:space="preserve">0.0 </v>
      </c>
      <c r="AL674" s="6"/>
      <c r="AM674" s="3"/>
      <c r="AN674" s="3"/>
      <c r="AO674" s="3">
        <f t="shared" si="131"/>
        <v>0</v>
      </c>
      <c r="AP674" s="3"/>
      <c r="AQ674" s="113" t="str">
        <f t="shared" si="132"/>
        <v xml:space="preserve">0.0 </v>
      </c>
      <c r="AW674" s="49"/>
    </row>
    <row r="675" spans="1:49">
      <c r="A675" s="44"/>
      <c r="C675" s="44"/>
      <c r="D675" s="44"/>
      <c r="E675" s="44"/>
      <c r="F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T675" s="350">
        <f t="shared" si="133"/>
        <v>213</v>
      </c>
      <c r="V675" s="48" t="str">
        <f t="shared" si="127"/>
        <v xml:space="preserve">   6AL DUPLEX and Bore with conduit (cost per 10 feet)</v>
      </c>
      <c r="Y675" s="45">
        <f t="shared" si="134"/>
        <v>0</v>
      </c>
      <c r="AB675" s="44"/>
      <c r="AC675" s="132">
        <v>2.79</v>
      </c>
      <c r="AD675" s="44"/>
      <c r="AE675" s="3">
        <f t="shared" si="128"/>
        <v>0</v>
      </c>
      <c r="AF675" s="1"/>
      <c r="AG675" s="103">
        <f t="shared" si="129"/>
        <v>0</v>
      </c>
      <c r="AH675" s="4"/>
      <c r="AI675" s="3">
        <f t="shared" si="135"/>
        <v>45</v>
      </c>
      <c r="AJ675" s="3"/>
      <c r="AK675" s="113" t="str">
        <f t="shared" si="130"/>
        <v xml:space="preserve">0.0 </v>
      </c>
      <c r="AL675" s="6"/>
      <c r="AM675" s="3"/>
      <c r="AN675" s="3"/>
      <c r="AO675" s="3">
        <f t="shared" si="131"/>
        <v>0</v>
      </c>
      <c r="AP675" s="3"/>
      <c r="AQ675" s="113" t="str">
        <f t="shared" si="132"/>
        <v xml:space="preserve">0.0 </v>
      </c>
      <c r="AW675" s="49"/>
    </row>
    <row r="676" spans="1:49">
      <c r="A676" s="44"/>
      <c r="C676" s="44"/>
      <c r="D676" s="44"/>
      <c r="E676" s="44"/>
      <c r="F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T676" s="350">
        <f t="shared" si="133"/>
        <v>214</v>
      </c>
      <c r="V676" s="48" t="str">
        <f t="shared" si="127"/>
        <v xml:space="preserve">   6AL DUPLEX OH wire (cost per 100 feet)</v>
      </c>
      <c r="Y676" s="45">
        <f t="shared" si="134"/>
        <v>15</v>
      </c>
      <c r="AB676" s="44"/>
      <c r="AC676" s="132">
        <v>2.62</v>
      </c>
      <c r="AD676" s="44"/>
      <c r="AE676" s="3">
        <f>ROUND((Y676*(AC676+AD676)),0)</f>
        <v>39</v>
      </c>
      <c r="AF676" s="1"/>
      <c r="AG676" s="103">
        <f t="shared" si="129"/>
        <v>0.2</v>
      </c>
      <c r="AH676" s="4"/>
      <c r="AI676" s="3">
        <f t="shared" si="135"/>
        <v>6</v>
      </c>
      <c r="AJ676" s="3"/>
      <c r="AK676" s="113">
        <f>IF(AE676=0,"0.0 ",ROUND((AI676/AE676)*100,1))</f>
        <v>15.4</v>
      </c>
      <c r="AL676" s="6"/>
      <c r="AM676" s="3"/>
      <c r="AN676" s="3"/>
      <c r="AO676" s="3">
        <f>AM676+AE676</f>
        <v>39</v>
      </c>
      <c r="AP676" s="3"/>
      <c r="AQ676" s="113">
        <f>IF(AO676=0,"0.0 ",ROUND((AI676/AO676)*100,1))</f>
        <v>15.4</v>
      </c>
      <c r="AW676" s="49"/>
    </row>
    <row r="677" spans="1:49">
      <c r="C677" s="44"/>
      <c r="D677" s="44"/>
      <c r="E677" s="44"/>
      <c r="F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T677" s="350">
        <f t="shared" si="133"/>
        <v>215</v>
      </c>
      <c r="V677" s="48" t="str">
        <f t="shared" si="127"/>
        <v>TOTAL WIRING EQUIPMENT</v>
      </c>
      <c r="Y677" s="71">
        <f>SUM(Y669:Y676)</f>
        <v>15</v>
      </c>
      <c r="Z677" s="1"/>
      <c r="AA677" s="68"/>
      <c r="AB677" s="68"/>
      <c r="AC677" s="132"/>
      <c r="AD677" s="342"/>
      <c r="AE677" s="71">
        <f>SUM(AE669:AE676)</f>
        <v>39</v>
      </c>
      <c r="AF677" s="3"/>
      <c r="AG677" s="105">
        <f t="shared" si="129"/>
        <v>0.2</v>
      </c>
      <c r="AH677" s="4"/>
      <c r="AI677" s="71">
        <f>SUM(AI669:AI676)</f>
        <v>51</v>
      </c>
      <c r="AJ677" s="3"/>
      <c r="AK677" s="114">
        <f t="shared" si="130"/>
        <v>130.80000000000001</v>
      </c>
      <c r="AL677" s="6"/>
      <c r="AM677" s="71">
        <f>SUM(AM669:AM676)</f>
        <v>0</v>
      </c>
      <c r="AN677" s="3"/>
      <c r="AO677" s="72">
        <f t="shared" si="131"/>
        <v>39</v>
      </c>
      <c r="AP677" s="3"/>
      <c r="AQ677" s="114">
        <f t="shared" si="132"/>
        <v>130.80000000000001</v>
      </c>
      <c r="AW677" s="49"/>
    </row>
    <row r="678" spans="1:49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T678" s="350"/>
      <c r="V678" s="48"/>
      <c r="AA678" s="44"/>
      <c r="AB678" s="44"/>
      <c r="AC678" s="44"/>
      <c r="AD678" s="44"/>
      <c r="AE678" s="44"/>
      <c r="AF678" s="44"/>
      <c r="AG678" s="102"/>
      <c r="AH678" s="44"/>
      <c r="AI678" s="44"/>
      <c r="AJ678" s="44"/>
      <c r="AK678" s="102"/>
      <c r="AL678" s="44"/>
      <c r="AM678" s="44"/>
      <c r="AN678" s="44"/>
      <c r="AO678" s="63"/>
      <c r="AP678" s="44"/>
      <c r="AW678" s="49"/>
    </row>
    <row r="679" spans="1:49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T679" s="350">
        <f>A327</f>
        <v>216</v>
      </c>
      <c r="V679" s="48" t="str">
        <f>C327</f>
        <v>SHIELDS</v>
      </c>
      <c r="AA679" s="44"/>
      <c r="AB679" s="44"/>
      <c r="AC679" s="44"/>
      <c r="AD679" s="44"/>
      <c r="AE679" s="44"/>
      <c r="AF679" s="44"/>
      <c r="AG679" s="102"/>
      <c r="AH679" s="44"/>
      <c r="AI679" s="44"/>
      <c r="AJ679" s="44"/>
      <c r="AK679" s="102"/>
      <c r="AL679" s="44"/>
      <c r="AM679" s="44"/>
      <c r="AN679" s="44"/>
      <c r="AO679" s="44"/>
      <c r="AP679" s="44"/>
      <c r="AW679" s="49"/>
    </row>
    <row r="680" spans="1:49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T680" s="350">
        <f>A328</f>
        <v>217</v>
      </c>
      <c r="V680" s="48" t="str">
        <f>C328</f>
        <v xml:space="preserve">   Standard</v>
      </c>
      <c r="Y680" s="45">
        <f>F328</f>
        <v>0</v>
      </c>
      <c r="AA680" s="44"/>
      <c r="AB680" s="44"/>
      <c r="AD680" s="44"/>
      <c r="AE680" s="3">
        <f>ROUND((Y680*(AC680+AD680)),0)</f>
        <v>0</v>
      </c>
      <c r="AF680" s="1"/>
      <c r="AG680" s="103">
        <f>ROUND((AE680/AE$692)*100,1)</f>
        <v>0</v>
      </c>
      <c r="AH680" s="4"/>
      <c r="AI680" s="3">
        <f>L328-AE680</f>
        <v>0</v>
      </c>
      <c r="AJ680" s="3"/>
      <c r="AK680" s="113" t="str">
        <f>IF(AE680=0,"0.0 ",ROUND((AI680/AE680)*100,1))</f>
        <v xml:space="preserve">0.0 </v>
      </c>
      <c r="AL680" s="6"/>
      <c r="AM680" s="3"/>
      <c r="AN680" s="3"/>
      <c r="AO680" s="3">
        <f>AM680+AE680</f>
        <v>0</v>
      </c>
      <c r="AP680" s="3"/>
      <c r="AQ680" s="113" t="str">
        <f>IF(AO680=0,"0.0 ",ROUND((AI680/AO680)*100,1))</f>
        <v xml:space="preserve">0.0 </v>
      </c>
      <c r="AW680" s="49"/>
    </row>
    <row r="681" spans="1:49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T681" s="350">
        <f>A329</f>
        <v>218</v>
      </c>
      <c r="V681" s="48" t="str">
        <f>C329</f>
        <v xml:space="preserve">   Decorative</v>
      </c>
      <c r="Y681" s="45">
        <f>F329</f>
        <v>0</v>
      </c>
      <c r="AA681" s="44"/>
      <c r="AB681" s="44"/>
      <c r="AD681" s="44"/>
      <c r="AE681" s="3">
        <f>ROUND((Y681*(AC681+AD681)),0)</f>
        <v>0</v>
      </c>
      <c r="AF681" s="1"/>
      <c r="AG681" s="103">
        <f>ROUND((AE681/AE$692)*100,1)</f>
        <v>0</v>
      </c>
      <c r="AH681" s="4"/>
      <c r="AI681" s="3">
        <f>L329-AE681</f>
        <v>0</v>
      </c>
      <c r="AJ681" s="3"/>
      <c r="AK681" s="113" t="str">
        <f>IF(AE681=0,"0.0 ",ROUND((AI681/AE681)*100,1))</f>
        <v xml:space="preserve">0.0 </v>
      </c>
      <c r="AL681" s="6"/>
      <c r="AM681" s="3"/>
      <c r="AN681" s="3"/>
      <c r="AO681" s="3">
        <f>AM681+AE681</f>
        <v>0</v>
      </c>
      <c r="AP681" s="3"/>
      <c r="AQ681" s="113" t="str">
        <f>IF(AO681=0,"0.0 ",ROUND((AI681/AO681)*100,1))</f>
        <v xml:space="preserve">0.0 </v>
      </c>
      <c r="AW681" s="49"/>
    </row>
    <row r="682" spans="1:49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T682" s="350">
        <f>A330</f>
        <v>219</v>
      </c>
      <c r="V682" s="48" t="str">
        <f>C330</f>
        <v>TOTAL SHIELDS</v>
      </c>
      <c r="Y682" s="71">
        <f>SUM(Y680:Y681)</f>
        <v>0</v>
      </c>
      <c r="AA682" s="44"/>
      <c r="AB682" s="44"/>
      <c r="AC682" s="44"/>
      <c r="AD682" s="44"/>
      <c r="AE682" s="71">
        <f>SUM(AE680:AE681)</f>
        <v>0</v>
      </c>
      <c r="AF682" s="3"/>
      <c r="AG682" s="105">
        <f>ROUND((AE682/AE$692)*100,1)</f>
        <v>0</v>
      </c>
      <c r="AH682" s="4"/>
      <c r="AI682" s="71">
        <f>SUM(AI680:AI681)</f>
        <v>0</v>
      </c>
      <c r="AJ682" s="3"/>
      <c r="AK682" s="114" t="str">
        <f>IF(AE682=0,"0.0 ",ROUND((AI682/AE682)*100,1))</f>
        <v xml:space="preserve">0.0 </v>
      </c>
      <c r="AL682" s="6"/>
      <c r="AM682" s="71">
        <f>SUM(AM680:AM681)</f>
        <v>0</v>
      </c>
      <c r="AN682" s="3"/>
      <c r="AO682" s="72">
        <f>AM682+AE682</f>
        <v>0</v>
      </c>
      <c r="AP682" s="3"/>
      <c r="AQ682" s="114" t="str">
        <f>IF(AO682=0,"0.0 ",ROUND((AI682/AO682)*100,1))</f>
        <v xml:space="preserve">0.0 </v>
      </c>
      <c r="AW682" s="49"/>
    </row>
    <row r="683" spans="1:49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T683" s="350"/>
      <c r="V683" s="48"/>
      <c r="AA683" s="44"/>
      <c r="AB683" s="44"/>
      <c r="AC683" s="44"/>
      <c r="AD683" s="44"/>
      <c r="AE683" s="44"/>
      <c r="AF683" s="44"/>
      <c r="AG683" s="102"/>
      <c r="AH683" s="44"/>
      <c r="AI683" s="44"/>
      <c r="AJ683" s="44"/>
      <c r="AK683" s="102"/>
      <c r="AL683" s="44"/>
      <c r="AM683" s="44"/>
      <c r="AN683" s="44"/>
      <c r="AO683" s="65"/>
      <c r="AP683" s="44"/>
      <c r="AW683" s="49"/>
    </row>
    <row r="684" spans="1:49"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T684" s="350">
        <f>A332</f>
        <v>216</v>
      </c>
      <c r="V684" s="48" t="str">
        <f>C332</f>
        <v>TOTAL RATE LED EXCLUDING RIDERS</v>
      </c>
      <c r="Y684" s="279">
        <f>Y677+Y666+Y601+Y585+Y462+Y460+Y682</f>
        <v>2283</v>
      </c>
      <c r="AA684" s="44"/>
      <c r="AB684" s="44"/>
      <c r="AC684" s="44"/>
      <c r="AD684" s="44"/>
      <c r="AE684" s="279">
        <f>AE677+AE666+AE601+AE585+AE462+AE460+AE682</f>
        <v>19697</v>
      </c>
      <c r="AF684" s="44"/>
      <c r="AG684" s="105">
        <f>ROUND((AE684/AE$692)*100,1)</f>
        <v>98.9</v>
      </c>
      <c r="AH684" s="44"/>
      <c r="AI684" s="279">
        <f>AI677+AI666+AI601+AI585+AI462+AI460+AI682</f>
        <v>2855.4291680000001</v>
      </c>
      <c r="AJ684" s="44"/>
      <c r="AK684" s="114">
        <f t="shared" si="130"/>
        <v>14.5</v>
      </c>
      <c r="AL684" s="44"/>
      <c r="AM684" s="279">
        <f>AM677+AM666+AM601+AM585+AM462+AM460+AM682</f>
        <v>147</v>
      </c>
      <c r="AN684" s="44"/>
      <c r="AO684" s="417">
        <f>AO677+AO666+AO601+AO585+AO462+AO460+AO682</f>
        <v>19844</v>
      </c>
      <c r="AP684" s="44"/>
      <c r="AQ684" s="114">
        <f t="shared" si="132"/>
        <v>14.4</v>
      </c>
      <c r="AW684" s="49"/>
    </row>
    <row r="685" spans="1:49">
      <c r="C685" s="42"/>
      <c r="D685" s="42"/>
      <c r="E685" s="42"/>
      <c r="T685" s="350"/>
      <c r="V685" s="48"/>
      <c r="AA685" s="44"/>
      <c r="AB685" s="44"/>
      <c r="AC685" s="44"/>
      <c r="AD685" s="44"/>
      <c r="AE685" s="44"/>
      <c r="AF685" s="44"/>
      <c r="AG685" s="102"/>
      <c r="AH685" s="44"/>
      <c r="AI685" s="44"/>
      <c r="AJ685" s="44"/>
      <c r="AK685" s="102"/>
      <c r="AL685" s="44"/>
      <c r="AM685" s="44"/>
      <c r="AN685" s="44"/>
      <c r="AO685" s="44"/>
      <c r="AP685" s="44"/>
      <c r="AW685" s="49"/>
    </row>
    <row r="686" spans="1:49">
      <c r="D686" s="42"/>
      <c r="E686" s="42"/>
      <c r="T686" s="350">
        <f>A334</f>
        <v>217</v>
      </c>
      <c r="V686" s="48" t="str">
        <f>C334</f>
        <v>RIDERS NOT INCLUDED IN RATES ABOVE ($ PER KWH):</v>
      </c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107"/>
      <c r="AH686" s="49"/>
      <c r="AI686" s="49"/>
      <c r="AJ686" s="49"/>
      <c r="AK686" s="107"/>
      <c r="AL686" s="49"/>
      <c r="AM686" s="49"/>
      <c r="AN686" s="49"/>
      <c r="AO686" s="49"/>
      <c r="AP686" s="49"/>
      <c r="AW686" s="49"/>
    </row>
    <row r="687" spans="1:49">
      <c r="T687" s="350">
        <f>A335</f>
        <v>218</v>
      </c>
      <c r="V687" s="48" t="str">
        <f>C335</f>
        <v>ENVIRONMENTAL SURCHARGE MECHANISM RIDER (ESM)</v>
      </c>
      <c r="AA687" s="44"/>
      <c r="AB687" s="44"/>
      <c r="AC687" s="283">
        <f>CUR_ESM_NonRes</f>
        <v>6.4941608437496566E-3</v>
      </c>
      <c r="AD687" s="44"/>
      <c r="AE687" s="3">
        <f>ROUND((AO684-(CUR_BASE_FUEL*AA692)-AM684+AO689)*AC687,0)</f>
        <v>119</v>
      </c>
      <c r="AF687" s="3"/>
      <c r="AG687" s="103">
        <f>ROUND((AE687/AE$692)*100,1)</f>
        <v>0.6</v>
      </c>
      <c r="AH687" s="4"/>
      <c r="AI687" s="3">
        <f>L335-AE687</f>
        <v>-3</v>
      </c>
      <c r="AJ687" s="3"/>
      <c r="AK687" s="103">
        <f>IF(AE687=0,0,ROUND((AI687/AE687)*100,1))</f>
        <v>-2.5</v>
      </c>
      <c r="AL687" s="6"/>
      <c r="AM687" s="3"/>
      <c r="AN687" s="3"/>
      <c r="AO687" s="3">
        <f>AE687+AM687</f>
        <v>119</v>
      </c>
      <c r="AP687" s="3"/>
      <c r="AQ687" s="103">
        <f>IF(AO687=0,0,ROUND((AI687/AO687)*100,1))</f>
        <v>-2.5</v>
      </c>
      <c r="AW687" s="49"/>
    </row>
    <row r="688" spans="1:49">
      <c r="C688" s="42"/>
      <c r="F688" s="45"/>
      <c r="J688" s="53"/>
      <c r="K688" s="53"/>
      <c r="L688" s="45"/>
      <c r="M688" s="45"/>
      <c r="R688" s="45"/>
      <c r="T688" s="350">
        <f>A336</f>
        <v>219</v>
      </c>
      <c r="V688" s="48" t="str">
        <f>C336</f>
        <v>FUEL ADJUSTMENT CLAUSE (FAC)</v>
      </c>
      <c r="AE688" s="3"/>
      <c r="AF688" s="3"/>
      <c r="AG688" s="103"/>
      <c r="AH688" s="4"/>
      <c r="AI688" s="3"/>
      <c r="AJ688" s="3"/>
      <c r="AK688" s="103"/>
      <c r="AL688" s="6"/>
      <c r="AM688" s="3"/>
      <c r="AN688" s="3"/>
      <c r="AO688" s="3"/>
      <c r="AP688" s="3"/>
      <c r="AQ688" s="113"/>
      <c r="AW688" s="49"/>
    </row>
    <row r="689" spans="3:49">
      <c r="F689" s="45"/>
      <c r="R689" s="45"/>
      <c r="T689" s="350">
        <f>A337</f>
        <v>220</v>
      </c>
      <c r="V689" s="48" t="str">
        <f>C337</f>
        <v>PROFIT SHARING MECHANISM (PSM)</v>
      </c>
      <c r="AC689" s="41">
        <f>RS_PSM</f>
        <v>2.4750000000000002E-3</v>
      </c>
      <c r="AE689" s="66">
        <f>ROUND(AA692*AC689,0)</f>
        <v>104</v>
      </c>
      <c r="AF689" s="3"/>
      <c r="AG689" s="103">
        <f>ROUND((AE689/AE$692)*100,1)</f>
        <v>0.5</v>
      </c>
      <c r="AH689" s="4"/>
      <c r="AI689" s="3">
        <f>L337-AE689</f>
        <v>0</v>
      </c>
      <c r="AJ689" s="3"/>
      <c r="AK689" s="103">
        <f>IF(AE689=0,0,ROUND((AI689/AE689)*100,1))</f>
        <v>0</v>
      </c>
      <c r="AL689" s="6"/>
      <c r="AM689" s="66"/>
      <c r="AN689" s="3"/>
      <c r="AO689" s="3">
        <f>AE689+AM689</f>
        <v>104</v>
      </c>
      <c r="AP689" s="3"/>
      <c r="AQ689" s="103">
        <f>IF(AO689=0,0,ROUND((AI689/AO689)*100,1))</f>
        <v>0</v>
      </c>
      <c r="AW689" s="49"/>
    </row>
    <row r="690" spans="3:49">
      <c r="C690" s="42"/>
      <c r="F690" s="164"/>
      <c r="H690" s="164"/>
      <c r="I690" s="164"/>
      <c r="J690" s="316"/>
      <c r="K690" s="316"/>
      <c r="L690" s="45"/>
      <c r="M690" s="45"/>
      <c r="N690" s="46"/>
      <c r="O690" s="46"/>
      <c r="P690" s="45"/>
      <c r="Q690" s="45"/>
      <c r="R690" s="45"/>
      <c r="T690" s="350">
        <f>A338</f>
        <v>221</v>
      </c>
      <c r="V690" s="48" t="str">
        <f>C338</f>
        <v xml:space="preserve">  TOTAL RIDERS NOT INCLUDED IN RATES ABOVE</v>
      </c>
      <c r="AE690" s="279">
        <f>SUM(AE687:AE689)</f>
        <v>223</v>
      </c>
      <c r="AG690" s="105">
        <f>ROUND((AE690/AE$692)*100,1)</f>
        <v>1.1000000000000001</v>
      </c>
      <c r="AI690" s="418">
        <f>SUM(AI687:AI689)</f>
        <v>-3</v>
      </c>
      <c r="AK690" s="105">
        <f>IF(AE690=0,0,ROUND((AI690/AE690)*100,1))</f>
        <v>-1.3</v>
      </c>
      <c r="AM690" s="279">
        <f>SUM(AM687:AM689)</f>
        <v>0</v>
      </c>
      <c r="AO690" s="72">
        <f>AE690+AM690</f>
        <v>223</v>
      </c>
      <c r="AQ690" s="114">
        <f>IF(AO690=0,"0.0 ",ROUND((AI690/AO690)*100,1))</f>
        <v>-1.3</v>
      </c>
      <c r="AW690" s="49"/>
    </row>
    <row r="691" spans="3:49">
      <c r="C691" s="42"/>
      <c r="F691" s="164"/>
      <c r="H691" s="329"/>
      <c r="I691" s="329"/>
      <c r="J691" s="316"/>
      <c r="K691" s="316"/>
      <c r="L691" s="45"/>
      <c r="M691" s="45"/>
      <c r="N691" s="46"/>
      <c r="O691" s="46"/>
      <c r="P691" s="45"/>
      <c r="Q691" s="45"/>
      <c r="R691" s="45"/>
      <c r="T691" s="350"/>
      <c r="V691" s="48"/>
      <c r="AB691" s="53"/>
      <c r="AC691" s="45"/>
      <c r="AD691" s="45"/>
      <c r="AM691" s="45"/>
      <c r="AN691" s="45"/>
      <c r="AW691" s="49"/>
    </row>
    <row r="692" spans="3:49" ht="16.5" thickBot="1">
      <c r="F692" s="50"/>
      <c r="H692" s="45"/>
      <c r="I692" s="45"/>
      <c r="J692" s="326"/>
      <c r="K692" s="326"/>
      <c r="L692" s="50"/>
      <c r="M692" s="50"/>
      <c r="N692" s="50"/>
      <c r="O692" s="50"/>
      <c r="P692" s="50"/>
      <c r="Q692" s="50"/>
      <c r="R692" s="50"/>
      <c r="T692" s="350">
        <f>A340</f>
        <v>222</v>
      </c>
      <c r="V692" s="48" t="str">
        <f>C340</f>
        <v>TOTAL RATE LED INCLUDING RIDERS</v>
      </c>
      <c r="Y692" s="419">
        <f>Y677+Y666+Y601+Y585+Y460+Y690</f>
        <v>2283</v>
      </c>
      <c r="Z692" s="1"/>
      <c r="AA692" s="419">
        <f>AA677+AA666+AA601+AA585+AA460+AA690</f>
        <v>42161</v>
      </c>
      <c r="AB692" s="68"/>
      <c r="AC692" s="132"/>
      <c r="AD692" s="342"/>
      <c r="AE692" s="419">
        <f>AE684+AE690</f>
        <v>19920</v>
      </c>
      <c r="AF692" s="3"/>
      <c r="AG692" s="105">
        <f>ROUND((AE692/AE$692)*100,1)</f>
        <v>100</v>
      </c>
      <c r="AH692" s="4"/>
      <c r="AI692" s="419">
        <f>AI684+AI690</f>
        <v>2852.4291680000001</v>
      </c>
      <c r="AJ692" s="3"/>
      <c r="AK692" s="385">
        <f>IF(AE692=0,"0.0 ",ROUND((AI692/AE692)*100,1))</f>
        <v>14.3</v>
      </c>
      <c r="AL692" s="6"/>
      <c r="AM692" s="279">
        <f>AM684+AM690</f>
        <v>147</v>
      </c>
      <c r="AN692" s="3"/>
      <c r="AO692" s="83">
        <f>AM692+AE692</f>
        <v>20067</v>
      </c>
      <c r="AP692" s="3"/>
      <c r="AQ692" s="385">
        <f>IF(AO692=0,"0.0 ",ROUND((AI692/AO692)*100,1))</f>
        <v>14.2</v>
      </c>
      <c r="AW692" s="49"/>
    </row>
    <row r="693" spans="3:49" ht="16.5" thickTop="1">
      <c r="C693" s="42"/>
      <c r="F693" s="45"/>
      <c r="H693" s="45"/>
      <c r="I693" s="45"/>
      <c r="J693" s="47"/>
      <c r="K693" s="47"/>
      <c r="L693" s="45"/>
      <c r="M693" s="45"/>
      <c r="N693" s="46"/>
      <c r="O693" s="46"/>
      <c r="P693" s="45"/>
      <c r="Q693" s="45"/>
      <c r="R693" s="45"/>
      <c r="T693" s="350"/>
      <c r="V693" s="48"/>
      <c r="AA693" s="45"/>
      <c r="AB693" s="316"/>
      <c r="AC693" s="45"/>
      <c r="AD693" s="45"/>
      <c r="AE693" s="46"/>
      <c r="AF693" s="46"/>
      <c r="AH693" s="45"/>
      <c r="AI693" s="51"/>
      <c r="AJ693" s="51"/>
      <c r="AL693" s="45"/>
      <c r="AM693" s="45"/>
      <c r="AN693" s="45"/>
      <c r="AO693" s="46"/>
      <c r="AP693" s="46"/>
      <c r="AW693" s="49"/>
    </row>
    <row r="694" spans="3:49">
      <c r="F694" s="50"/>
      <c r="H694" s="45"/>
      <c r="I694" s="45"/>
      <c r="J694" s="326"/>
      <c r="K694" s="326"/>
      <c r="L694" s="50"/>
      <c r="M694" s="50"/>
      <c r="N694" s="50"/>
      <c r="O694" s="50"/>
      <c r="P694" s="50"/>
      <c r="Q694" s="50"/>
      <c r="R694" s="50"/>
      <c r="T694" s="48" t="str">
        <f>A342</f>
        <v>(1) THESE FIGURES REPRESENT NUMBER OF UNITS BILLED.</v>
      </c>
      <c r="V694" s="48"/>
      <c r="AA694" s="45"/>
      <c r="AB694" s="316"/>
      <c r="AC694" s="45"/>
      <c r="AD694" s="45"/>
      <c r="AE694" s="46"/>
      <c r="AF694" s="46"/>
      <c r="AH694" s="45"/>
      <c r="AI694" s="51"/>
      <c r="AJ694" s="51"/>
      <c r="AL694" s="45"/>
      <c r="AM694" s="45"/>
      <c r="AN694" s="45"/>
      <c r="AO694" s="46"/>
      <c r="AP694" s="46"/>
      <c r="AW694" s="49"/>
    </row>
    <row r="695" spans="3:49">
      <c r="F695" s="45"/>
      <c r="R695" s="45"/>
      <c r="T695" s="48" t="str">
        <f>A343</f>
        <v>(1A) REFLECTS FUEL COST RECOVERY INCLUDED IN BASE RATES OF $0.033780  PER KWH.</v>
      </c>
      <c r="V695" s="48"/>
      <c r="AA695" s="45"/>
      <c r="AB695" s="326"/>
      <c r="AC695" s="50"/>
      <c r="AD695" s="50"/>
      <c r="AE695" s="50"/>
      <c r="AF695" s="50"/>
      <c r="AG695" s="111"/>
      <c r="AH695" s="50"/>
      <c r="AK695" s="111"/>
      <c r="AL695" s="50"/>
      <c r="AM695" s="50"/>
      <c r="AN695" s="50"/>
      <c r="AW695" s="49"/>
    </row>
    <row r="696" spans="3:49">
      <c r="C696" s="42"/>
      <c r="F696" s="45"/>
      <c r="R696" s="45"/>
      <c r="T696" s="48" t="str">
        <f>A344</f>
        <v>(2) REFLECTS FUEL COMPONENT OF $0.003487  PER KWH.</v>
      </c>
      <c r="V696" s="48"/>
      <c r="AA696" s="45"/>
      <c r="AB696" s="47"/>
      <c r="AC696" s="45"/>
      <c r="AD696" s="45"/>
      <c r="AE696" s="46"/>
      <c r="AF696" s="46"/>
      <c r="AH696" s="45"/>
      <c r="AI696" s="51"/>
      <c r="AJ696" s="51"/>
      <c r="AL696" s="45"/>
      <c r="AM696" s="45"/>
      <c r="AN696" s="45"/>
      <c r="AO696" s="46"/>
      <c r="AP696" s="46"/>
      <c r="AW696" s="49"/>
    </row>
    <row r="697" spans="3:49">
      <c r="F697" s="45"/>
      <c r="R697" s="45"/>
      <c r="AW697" s="49"/>
    </row>
    <row r="698" spans="3:49">
      <c r="C698" s="42"/>
      <c r="F698" s="45"/>
      <c r="H698" s="164"/>
      <c r="I698" s="164"/>
      <c r="J698" s="331"/>
      <c r="K698" s="331"/>
      <c r="L698" s="45"/>
      <c r="M698" s="45"/>
      <c r="N698" s="46"/>
      <c r="O698" s="46"/>
      <c r="P698" s="164"/>
      <c r="Q698" s="164"/>
      <c r="R698" s="45"/>
      <c r="AW698" s="49"/>
    </row>
    <row r="699" spans="3:49">
      <c r="H699" s="50"/>
      <c r="I699" s="50"/>
      <c r="J699" s="326"/>
      <c r="K699" s="326"/>
      <c r="L699" s="50"/>
      <c r="M699" s="50"/>
      <c r="N699" s="50"/>
      <c r="O699" s="50"/>
      <c r="P699" s="50"/>
      <c r="Q699" s="50"/>
      <c r="R699" s="50"/>
      <c r="AA699" s="42"/>
      <c r="AW699" s="49"/>
    </row>
    <row r="700" spans="3:49">
      <c r="F700" s="50"/>
      <c r="AW700" s="49"/>
    </row>
    <row r="701" spans="3:49">
      <c r="C701" s="42"/>
      <c r="F701" s="45"/>
      <c r="H701" s="45"/>
      <c r="I701" s="45"/>
      <c r="J701" s="53"/>
      <c r="K701" s="53"/>
      <c r="L701" s="45"/>
      <c r="M701" s="45"/>
      <c r="N701" s="46"/>
      <c r="O701" s="46"/>
      <c r="P701" s="45"/>
      <c r="Q701" s="45"/>
      <c r="R701" s="45"/>
      <c r="AC701" s="42"/>
      <c r="AD701" s="42"/>
      <c r="AW701" s="49"/>
    </row>
    <row r="702" spans="3:49">
      <c r="F702" s="50"/>
      <c r="H702" s="50"/>
      <c r="I702" s="50"/>
      <c r="J702" s="326"/>
      <c r="K702" s="326"/>
      <c r="L702" s="50"/>
      <c r="M702" s="50"/>
      <c r="N702" s="50"/>
      <c r="O702" s="50"/>
      <c r="P702" s="50"/>
      <c r="Q702" s="50"/>
      <c r="R702" s="50"/>
      <c r="AM702" s="42"/>
      <c r="AN702" s="42"/>
      <c r="AW702" s="49"/>
    </row>
    <row r="703" spans="3:49">
      <c r="R703" s="45"/>
      <c r="AM703" s="42"/>
      <c r="AN703" s="42"/>
      <c r="AW703" s="49"/>
    </row>
    <row r="704" spans="3:49">
      <c r="F704" s="45"/>
      <c r="H704" s="45"/>
      <c r="I704" s="45"/>
      <c r="J704" s="47"/>
      <c r="K704" s="47"/>
      <c r="L704" s="45"/>
      <c r="M704" s="45"/>
      <c r="N704" s="45"/>
      <c r="O704" s="45"/>
      <c r="P704" s="45"/>
      <c r="Q704" s="45"/>
      <c r="R704" s="45"/>
      <c r="AM704" s="42"/>
      <c r="AN704" s="42"/>
      <c r="AW704" s="49"/>
    </row>
    <row r="705" spans="1:49">
      <c r="C705" s="42"/>
      <c r="F705" s="45"/>
      <c r="H705" s="45"/>
      <c r="I705" s="45"/>
      <c r="J705" s="47"/>
      <c r="K705" s="47"/>
      <c r="L705" s="45"/>
      <c r="M705" s="45"/>
      <c r="N705" s="45"/>
      <c r="O705" s="45"/>
      <c r="P705" s="45"/>
      <c r="Q705" s="45"/>
      <c r="R705" s="45"/>
      <c r="AC705" s="42"/>
      <c r="AD705" s="42"/>
      <c r="AW705" s="49"/>
    </row>
    <row r="706" spans="1:49">
      <c r="A706" s="42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107"/>
      <c r="AH706" s="49"/>
      <c r="AI706" s="49"/>
      <c r="AJ706" s="49"/>
      <c r="AK706" s="107"/>
      <c r="AL706" s="49"/>
      <c r="AM706" s="49"/>
      <c r="AN706" s="49"/>
      <c r="AO706" s="49"/>
      <c r="AP706" s="49"/>
      <c r="AW706" s="49"/>
    </row>
    <row r="707" spans="1:49">
      <c r="AC707" s="44"/>
      <c r="AD707" s="44"/>
      <c r="AE707" s="44"/>
      <c r="AF707" s="44"/>
      <c r="AG707" s="102"/>
      <c r="AH707" s="44"/>
      <c r="AI707" s="44"/>
      <c r="AJ707" s="44"/>
      <c r="AM707" s="44"/>
      <c r="AN707" s="44"/>
      <c r="AO707" s="44"/>
      <c r="AP707" s="44"/>
      <c r="AW707" s="49"/>
    </row>
    <row r="708" spans="1:49">
      <c r="AB708" s="44"/>
      <c r="AC708" s="44"/>
      <c r="AD708" s="44"/>
      <c r="AE708" s="44"/>
      <c r="AF708" s="44"/>
      <c r="AG708" s="102"/>
      <c r="AH708" s="44"/>
      <c r="AI708" s="44"/>
      <c r="AJ708" s="44"/>
      <c r="AM708" s="44"/>
      <c r="AN708" s="44"/>
      <c r="AO708" s="44"/>
      <c r="AP708" s="44"/>
      <c r="AW708" s="49"/>
    </row>
    <row r="709" spans="1:49">
      <c r="H709" s="42"/>
      <c r="I709" s="42"/>
      <c r="T709" s="44"/>
      <c r="U709" s="44"/>
      <c r="V709" s="44"/>
      <c r="AB709" s="44"/>
      <c r="AC709" s="44"/>
      <c r="AD709" s="44"/>
      <c r="AE709" s="44"/>
      <c r="AF709" s="44"/>
      <c r="AG709" s="102"/>
      <c r="AH709" s="44"/>
      <c r="AI709" s="44"/>
      <c r="AJ709" s="44"/>
      <c r="AK709" s="102"/>
      <c r="AL709" s="44"/>
      <c r="AM709" s="44"/>
      <c r="AN709" s="44"/>
      <c r="AO709" s="44"/>
      <c r="AP709" s="44"/>
      <c r="AW709" s="49"/>
    </row>
    <row r="710" spans="1:49">
      <c r="T710" s="44"/>
      <c r="U710" s="44"/>
      <c r="V710" s="44"/>
      <c r="AA710" s="44"/>
      <c r="AB710" s="44"/>
      <c r="AC710" s="44"/>
      <c r="AD710" s="44"/>
      <c r="AE710" s="44"/>
      <c r="AF710" s="44"/>
      <c r="AG710" s="102"/>
      <c r="AH710" s="44"/>
      <c r="AI710" s="44"/>
      <c r="AJ710" s="44"/>
      <c r="AK710" s="102"/>
      <c r="AL710" s="44"/>
      <c r="AM710" s="44"/>
      <c r="AN710" s="44"/>
      <c r="AO710" s="44"/>
      <c r="AP710" s="44"/>
      <c r="AW710" s="49"/>
    </row>
    <row r="711" spans="1:49">
      <c r="L711" s="42"/>
      <c r="M711" s="42"/>
      <c r="T711" s="44"/>
      <c r="U711" s="44"/>
      <c r="V711" s="44"/>
      <c r="AA711" s="44"/>
      <c r="AB711" s="44"/>
      <c r="AC711" s="44"/>
      <c r="AD711" s="44"/>
      <c r="AE711" s="44"/>
      <c r="AF711" s="44"/>
      <c r="AG711" s="102"/>
      <c r="AH711" s="44"/>
      <c r="AI711" s="44"/>
      <c r="AJ711" s="44"/>
      <c r="AK711" s="102"/>
      <c r="AL711" s="44"/>
      <c r="AM711" s="44"/>
      <c r="AN711" s="44"/>
      <c r="AO711" s="44"/>
      <c r="AP711" s="44"/>
      <c r="AW711" s="49"/>
    </row>
    <row r="712" spans="1:49">
      <c r="R712" s="42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107"/>
      <c r="AH712" s="49"/>
      <c r="AI712" s="49"/>
      <c r="AJ712" s="49"/>
      <c r="AK712" s="107"/>
      <c r="AL712" s="49"/>
      <c r="AM712" s="49"/>
      <c r="AN712" s="49"/>
      <c r="AO712" s="49"/>
      <c r="AP712" s="49"/>
      <c r="AW712" s="49"/>
    </row>
    <row r="713" spans="1:49">
      <c r="R713" s="42"/>
      <c r="AA713" s="44"/>
      <c r="AB713" s="44"/>
      <c r="AC713" s="44"/>
      <c r="AD713" s="44"/>
      <c r="AE713" s="44"/>
      <c r="AF713" s="44"/>
      <c r="AG713" s="102"/>
      <c r="AH713" s="44"/>
      <c r="AI713" s="44"/>
      <c r="AJ713" s="44"/>
      <c r="AK713" s="102"/>
      <c r="AL713" s="44"/>
      <c r="AM713" s="44"/>
      <c r="AN713" s="44"/>
      <c r="AO713" s="44"/>
      <c r="AP713" s="44"/>
      <c r="AW713" s="49"/>
    </row>
    <row r="714" spans="1:49">
      <c r="A714" s="42"/>
      <c r="R714" s="42"/>
      <c r="T714" s="42"/>
      <c r="U714" s="42"/>
      <c r="AW714" s="49"/>
    </row>
    <row r="715" spans="1:49">
      <c r="L715" s="42"/>
      <c r="M715" s="42"/>
      <c r="T715" s="42"/>
      <c r="AW715" s="49"/>
    </row>
    <row r="716" spans="1:49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AW716" s="49"/>
    </row>
    <row r="717" spans="1:49">
      <c r="L717" s="44"/>
      <c r="M717" s="44"/>
      <c r="N717" s="44"/>
      <c r="O717" s="44"/>
      <c r="R717" s="44"/>
      <c r="T717" s="42"/>
      <c r="V717" s="45"/>
      <c r="AA717" s="164"/>
      <c r="AB717" s="316"/>
      <c r="AC717" s="45"/>
      <c r="AD717" s="45"/>
      <c r="AE717" s="46"/>
      <c r="AF717" s="46"/>
      <c r="AH717" s="45"/>
      <c r="AI717" s="51"/>
      <c r="AJ717" s="51"/>
      <c r="AM717" s="45"/>
      <c r="AN717" s="45"/>
      <c r="AO717" s="46"/>
      <c r="AP717" s="46"/>
      <c r="AW717" s="49"/>
    </row>
    <row r="718" spans="1:49">
      <c r="L718" s="44"/>
      <c r="M718" s="44"/>
      <c r="N718" s="44"/>
      <c r="O718" s="44"/>
      <c r="R718" s="44"/>
      <c r="V718" s="50"/>
      <c r="AA718" s="45"/>
      <c r="AB718" s="326"/>
      <c r="AC718" s="50"/>
      <c r="AD718" s="50"/>
      <c r="AE718" s="50"/>
      <c r="AF718" s="50"/>
      <c r="AG718" s="111"/>
      <c r="AH718" s="50"/>
      <c r="AK718" s="111"/>
      <c r="AL718" s="50"/>
      <c r="AM718" s="50"/>
      <c r="AN718" s="50"/>
      <c r="AO718" s="46"/>
      <c r="AP718" s="46"/>
      <c r="AW718" s="49"/>
    </row>
    <row r="719" spans="1:49">
      <c r="A719" s="44"/>
      <c r="C719" s="44"/>
      <c r="D719" s="44"/>
      <c r="E719" s="44"/>
      <c r="F719" s="44"/>
      <c r="J719" s="44"/>
      <c r="K719" s="44"/>
      <c r="L719" s="44"/>
      <c r="M719" s="44"/>
      <c r="N719" s="44"/>
      <c r="O719" s="44"/>
      <c r="P719" s="44"/>
      <c r="Q719" s="44"/>
      <c r="R719" s="44"/>
      <c r="T719" s="42"/>
      <c r="V719" s="164"/>
      <c r="AA719" s="164"/>
      <c r="AB719" s="336"/>
      <c r="AC719" s="45"/>
      <c r="AD719" s="45"/>
      <c r="AE719" s="46"/>
      <c r="AF719" s="46"/>
      <c r="AH719" s="45"/>
      <c r="AI719" s="46"/>
      <c r="AJ719" s="46"/>
      <c r="AL719" s="45"/>
      <c r="AM719" s="45"/>
      <c r="AN719" s="45"/>
      <c r="AO719" s="46"/>
      <c r="AP719" s="46"/>
      <c r="AW719" s="49"/>
    </row>
    <row r="720" spans="1:49">
      <c r="A720" s="44"/>
      <c r="C720" s="44"/>
      <c r="D720" s="44"/>
      <c r="E720" s="44"/>
      <c r="F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T720" s="42"/>
      <c r="V720" s="164"/>
      <c r="AA720" s="45"/>
      <c r="AB720" s="316"/>
      <c r="AC720" s="45"/>
      <c r="AD720" s="45"/>
      <c r="AE720" s="46"/>
      <c r="AF720" s="46"/>
      <c r="AH720" s="45"/>
      <c r="AI720" s="51"/>
      <c r="AJ720" s="51"/>
      <c r="AL720" s="45"/>
      <c r="AM720" s="45"/>
      <c r="AN720" s="45"/>
      <c r="AO720" s="46"/>
      <c r="AP720" s="46"/>
      <c r="AW720" s="49"/>
    </row>
    <row r="721" spans="1:49">
      <c r="C721" s="44"/>
      <c r="D721" s="44"/>
      <c r="E721" s="44"/>
      <c r="F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T721" s="42"/>
      <c r="V721" s="164"/>
      <c r="AA721" s="45"/>
      <c r="AB721" s="316"/>
      <c r="AC721" s="45"/>
      <c r="AD721" s="45"/>
      <c r="AE721" s="46"/>
      <c r="AF721" s="46"/>
      <c r="AH721" s="45"/>
      <c r="AI721" s="51"/>
      <c r="AJ721" s="51"/>
      <c r="AL721" s="45"/>
      <c r="AM721" s="45"/>
      <c r="AN721" s="45"/>
      <c r="AO721" s="46"/>
      <c r="AP721" s="46"/>
      <c r="AW721" s="49"/>
    </row>
    <row r="722" spans="1:49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V722" s="50"/>
      <c r="AA722" s="50"/>
      <c r="AB722" s="326"/>
      <c r="AC722" s="50"/>
      <c r="AD722" s="50"/>
      <c r="AE722" s="50"/>
      <c r="AF722" s="50"/>
      <c r="AG722" s="111"/>
      <c r="AH722" s="50"/>
      <c r="AK722" s="111"/>
      <c r="AL722" s="50"/>
      <c r="AM722" s="50"/>
      <c r="AN722" s="50"/>
      <c r="AO722" s="46"/>
      <c r="AP722" s="46"/>
      <c r="AW722" s="49"/>
    </row>
    <row r="723" spans="1:49"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T723" s="42"/>
      <c r="V723" s="45"/>
      <c r="AA723" s="45"/>
      <c r="AB723" s="47"/>
      <c r="AC723" s="45"/>
      <c r="AD723" s="45"/>
      <c r="AE723" s="46"/>
      <c r="AF723" s="46"/>
      <c r="AH723" s="45"/>
      <c r="AI723" s="51"/>
      <c r="AJ723" s="51"/>
      <c r="AL723" s="45"/>
      <c r="AM723" s="45"/>
      <c r="AN723" s="45"/>
      <c r="AO723" s="46"/>
      <c r="AP723" s="46"/>
      <c r="AW723" s="49"/>
    </row>
    <row r="724" spans="1:49">
      <c r="C724" s="42"/>
      <c r="D724" s="42"/>
      <c r="E724" s="42"/>
      <c r="V724" s="50"/>
      <c r="AA724" s="50"/>
      <c r="AB724" s="326"/>
      <c r="AC724" s="50"/>
      <c r="AD724" s="50"/>
      <c r="AE724" s="50"/>
      <c r="AF724" s="50"/>
      <c r="AG724" s="111"/>
      <c r="AH724" s="50"/>
      <c r="AK724" s="111"/>
      <c r="AL724" s="50"/>
      <c r="AM724" s="50"/>
      <c r="AN724" s="50"/>
      <c r="AO724" s="46"/>
      <c r="AP724" s="46"/>
      <c r="AW724" s="49"/>
    </row>
    <row r="725" spans="1:49">
      <c r="C725" s="42"/>
      <c r="T725" s="42"/>
      <c r="V725" s="45"/>
      <c r="AA725" s="45"/>
      <c r="AB725" s="47"/>
      <c r="AC725" s="45"/>
      <c r="AD725" s="45"/>
      <c r="AE725" s="46"/>
      <c r="AF725" s="46"/>
      <c r="AH725" s="45"/>
      <c r="AI725" s="51"/>
      <c r="AJ725" s="51"/>
      <c r="AL725" s="45"/>
      <c r="AM725" s="45"/>
      <c r="AN725" s="45"/>
      <c r="AO725" s="46"/>
      <c r="AP725" s="46"/>
      <c r="AW725" s="49"/>
    </row>
    <row r="726" spans="1:49">
      <c r="T726" s="42"/>
      <c r="V726" s="45"/>
      <c r="AA726" s="45"/>
      <c r="AB726" s="325"/>
      <c r="AC726" s="45"/>
      <c r="AD726" s="45"/>
      <c r="AE726" s="46"/>
      <c r="AF726" s="46"/>
      <c r="AH726" s="45"/>
      <c r="AI726" s="51"/>
      <c r="AJ726" s="51"/>
      <c r="AL726" s="45"/>
      <c r="AM726" s="45"/>
      <c r="AN726" s="45"/>
      <c r="AO726" s="46"/>
      <c r="AP726" s="46"/>
      <c r="AW726" s="49"/>
    </row>
    <row r="727" spans="1:49">
      <c r="C727" s="42"/>
      <c r="F727" s="164"/>
      <c r="H727" s="164"/>
      <c r="I727" s="164"/>
      <c r="J727" s="316"/>
      <c r="K727" s="316"/>
      <c r="L727" s="45"/>
      <c r="M727" s="45"/>
      <c r="N727" s="46"/>
      <c r="O727" s="46"/>
      <c r="R727" s="45"/>
      <c r="V727" s="50"/>
      <c r="AA727" s="50"/>
      <c r="AB727" s="326"/>
      <c r="AC727" s="50"/>
      <c r="AD727" s="50"/>
      <c r="AE727" s="50"/>
      <c r="AF727" s="50"/>
      <c r="AG727" s="111"/>
      <c r="AH727" s="50"/>
      <c r="AK727" s="111"/>
      <c r="AL727" s="50"/>
      <c r="AM727" s="50"/>
      <c r="AN727" s="50"/>
      <c r="AO727" s="46"/>
      <c r="AP727" s="46"/>
      <c r="AW727" s="49"/>
    </row>
    <row r="728" spans="1:49">
      <c r="F728" s="50"/>
      <c r="H728" s="45"/>
      <c r="I728" s="45"/>
      <c r="J728" s="326"/>
      <c r="K728" s="326"/>
      <c r="L728" s="50"/>
      <c r="M728" s="50"/>
      <c r="N728" s="50"/>
      <c r="O728" s="50"/>
      <c r="P728" s="50"/>
      <c r="Q728" s="50"/>
      <c r="R728" s="50"/>
      <c r="AW728" s="49"/>
    </row>
    <row r="729" spans="1:49">
      <c r="C729" s="42"/>
      <c r="F729" s="164"/>
      <c r="H729" s="164"/>
      <c r="I729" s="164"/>
      <c r="J729" s="336"/>
      <c r="K729" s="336"/>
      <c r="L729" s="45"/>
      <c r="M729" s="45"/>
      <c r="N729" s="46"/>
      <c r="O729" s="46"/>
      <c r="P729" s="45"/>
      <c r="Q729" s="45"/>
      <c r="R729" s="45"/>
      <c r="S729" s="45"/>
      <c r="T729" s="42"/>
      <c r="V729" s="45"/>
      <c r="AA729" s="45"/>
      <c r="AB729" s="326"/>
      <c r="AC729" s="45"/>
      <c r="AD729" s="45"/>
      <c r="AE729" s="46"/>
      <c r="AF729" s="46"/>
      <c r="AH729" s="45"/>
      <c r="AI729" s="46"/>
      <c r="AJ729" s="46"/>
      <c r="AL729" s="45"/>
      <c r="AM729" s="45"/>
      <c r="AN729" s="45"/>
      <c r="AO729" s="46"/>
      <c r="AP729" s="46"/>
      <c r="AW729" s="49"/>
    </row>
    <row r="730" spans="1:49">
      <c r="C730" s="42"/>
      <c r="F730" s="164"/>
      <c r="H730" s="164"/>
      <c r="I730" s="164"/>
      <c r="J730" s="316"/>
      <c r="K730" s="316"/>
      <c r="L730" s="45"/>
      <c r="M730" s="45"/>
      <c r="N730" s="46"/>
      <c r="O730" s="46"/>
      <c r="P730" s="45"/>
      <c r="Q730" s="45"/>
      <c r="R730" s="45"/>
      <c r="V730" s="50"/>
      <c r="AA730" s="50"/>
      <c r="AB730" s="326"/>
      <c r="AC730" s="50"/>
      <c r="AD730" s="50"/>
      <c r="AE730" s="50"/>
      <c r="AF730" s="50"/>
      <c r="AG730" s="111"/>
      <c r="AH730" s="50"/>
      <c r="AK730" s="111"/>
      <c r="AL730" s="50"/>
      <c r="AM730" s="50"/>
      <c r="AN730" s="50"/>
      <c r="AO730" s="46"/>
      <c r="AP730" s="46"/>
      <c r="AW730" s="49"/>
    </row>
    <row r="731" spans="1:49">
      <c r="C731" s="42"/>
      <c r="F731" s="164"/>
      <c r="H731" s="164"/>
      <c r="I731" s="164"/>
      <c r="J731" s="316"/>
      <c r="K731" s="316"/>
      <c r="L731" s="45"/>
      <c r="M731" s="45"/>
      <c r="N731" s="46"/>
      <c r="O731" s="46"/>
      <c r="P731" s="45"/>
      <c r="Q731" s="45"/>
      <c r="R731" s="45"/>
      <c r="T731" s="42"/>
      <c r="V731" s="164"/>
      <c r="AA731" s="164"/>
      <c r="AB731" s="326"/>
      <c r="AC731" s="45"/>
      <c r="AD731" s="45"/>
      <c r="AE731" s="46"/>
      <c r="AF731" s="46"/>
      <c r="AH731" s="45"/>
      <c r="AL731" s="45"/>
      <c r="AM731" s="45"/>
      <c r="AN731" s="45"/>
      <c r="AO731" s="46"/>
      <c r="AP731" s="46"/>
      <c r="AW731" s="49"/>
    </row>
    <row r="732" spans="1:49">
      <c r="F732" s="50"/>
      <c r="H732" s="50"/>
      <c r="I732" s="50"/>
      <c r="J732" s="326"/>
      <c r="K732" s="326"/>
      <c r="L732" s="50"/>
      <c r="M732" s="50"/>
      <c r="N732" s="50"/>
      <c r="O732" s="50"/>
      <c r="P732" s="50"/>
      <c r="Q732" s="50"/>
      <c r="R732" s="50"/>
      <c r="AW732" s="49"/>
    </row>
    <row r="733" spans="1:49">
      <c r="C733" s="42"/>
      <c r="F733" s="45"/>
      <c r="H733" s="45"/>
      <c r="I733" s="45"/>
      <c r="J733" s="47"/>
      <c r="K733" s="47"/>
      <c r="L733" s="45"/>
      <c r="M733" s="45"/>
      <c r="N733" s="46"/>
      <c r="O733" s="46"/>
      <c r="P733" s="45"/>
      <c r="Q733" s="45"/>
      <c r="R733" s="45"/>
      <c r="T733" s="42"/>
      <c r="V733" s="45"/>
      <c r="AA733" s="164"/>
      <c r="AB733" s="316"/>
      <c r="AC733" s="45"/>
      <c r="AD733" s="45"/>
      <c r="AE733" s="46"/>
      <c r="AF733" s="46"/>
      <c r="AH733" s="45"/>
      <c r="AI733" s="51"/>
      <c r="AJ733" s="51"/>
      <c r="AM733" s="45"/>
      <c r="AN733" s="45"/>
      <c r="AO733" s="46"/>
      <c r="AP733" s="46"/>
      <c r="AW733" s="49"/>
    </row>
    <row r="734" spans="1:49">
      <c r="F734" s="50"/>
      <c r="H734" s="50"/>
      <c r="I734" s="50"/>
      <c r="J734" s="326"/>
      <c r="K734" s="326"/>
      <c r="L734" s="50"/>
      <c r="M734" s="50"/>
      <c r="N734" s="50"/>
      <c r="O734" s="50"/>
      <c r="P734" s="50"/>
      <c r="Q734" s="50"/>
      <c r="R734" s="50"/>
      <c r="V734" s="50"/>
      <c r="AA734" s="45"/>
      <c r="AB734" s="326"/>
      <c r="AC734" s="50"/>
      <c r="AD734" s="50"/>
      <c r="AE734" s="50"/>
      <c r="AF734" s="50"/>
      <c r="AG734" s="111"/>
      <c r="AH734" s="50"/>
      <c r="AK734" s="111"/>
      <c r="AL734" s="50"/>
      <c r="AM734" s="50"/>
      <c r="AN734" s="50"/>
      <c r="AO734" s="46"/>
      <c r="AP734" s="46"/>
      <c r="AW734" s="49"/>
    </row>
    <row r="735" spans="1:49">
      <c r="C735" s="42"/>
      <c r="F735" s="45"/>
      <c r="H735" s="45"/>
      <c r="I735" s="45"/>
      <c r="J735" s="47"/>
      <c r="K735" s="47"/>
      <c r="L735" s="45"/>
      <c r="M735" s="45"/>
      <c r="N735" s="46"/>
      <c r="O735" s="46"/>
      <c r="P735" s="45"/>
      <c r="Q735" s="45"/>
      <c r="R735" s="45"/>
      <c r="T735" s="42"/>
      <c r="V735" s="164"/>
      <c r="AA735" s="164"/>
      <c r="AB735" s="336"/>
      <c r="AC735" s="45"/>
      <c r="AD735" s="45"/>
      <c r="AE735" s="46"/>
      <c r="AF735" s="46"/>
      <c r="AH735" s="45"/>
      <c r="AI735" s="46"/>
      <c r="AJ735" s="46"/>
      <c r="AL735" s="45"/>
      <c r="AM735" s="45"/>
      <c r="AN735" s="45"/>
      <c r="AO735" s="46"/>
      <c r="AP735" s="46"/>
      <c r="AW735" s="49"/>
    </row>
    <row r="736" spans="1:49">
      <c r="C736" s="42"/>
      <c r="F736" s="45"/>
      <c r="H736" s="164"/>
      <c r="I736" s="164"/>
      <c r="J736" s="331"/>
      <c r="K736" s="331"/>
      <c r="L736" s="45"/>
      <c r="M736" s="45"/>
      <c r="N736" s="46"/>
      <c r="O736" s="46"/>
      <c r="P736" s="45"/>
      <c r="Q736" s="45"/>
      <c r="R736" s="45"/>
      <c r="T736" s="42"/>
      <c r="V736" s="164"/>
      <c r="AA736" s="45"/>
      <c r="AB736" s="316"/>
      <c r="AC736" s="45"/>
      <c r="AD736" s="45"/>
      <c r="AE736" s="46"/>
      <c r="AF736" s="46"/>
      <c r="AH736" s="45"/>
      <c r="AI736" s="51"/>
      <c r="AJ736" s="51"/>
      <c r="AL736" s="45"/>
      <c r="AM736" s="45"/>
      <c r="AN736" s="45"/>
      <c r="AO736" s="46"/>
      <c r="AP736" s="46"/>
      <c r="AW736" s="49"/>
    </row>
    <row r="737" spans="3:49">
      <c r="H737" s="50"/>
      <c r="I737" s="50"/>
      <c r="J737" s="326"/>
      <c r="K737" s="326"/>
      <c r="L737" s="50"/>
      <c r="M737" s="50"/>
      <c r="N737" s="50"/>
      <c r="O737" s="50"/>
      <c r="P737" s="50"/>
      <c r="Q737" s="50"/>
      <c r="R737" s="50"/>
      <c r="T737" s="42"/>
      <c r="V737" s="164"/>
      <c r="AA737" s="45"/>
      <c r="AB737" s="316"/>
      <c r="AC737" s="45"/>
      <c r="AD737" s="45"/>
      <c r="AE737" s="46"/>
      <c r="AF737" s="46"/>
      <c r="AH737" s="45"/>
      <c r="AI737" s="51"/>
      <c r="AJ737" s="51"/>
      <c r="AL737" s="45"/>
      <c r="AM737" s="45"/>
      <c r="AN737" s="45"/>
      <c r="AO737" s="46"/>
      <c r="AP737" s="46"/>
      <c r="AW737" s="49"/>
    </row>
    <row r="738" spans="3:49">
      <c r="F738" s="50"/>
      <c r="V738" s="50"/>
      <c r="AA738" s="50"/>
      <c r="AB738" s="326"/>
      <c r="AC738" s="50"/>
      <c r="AD738" s="50"/>
      <c r="AE738" s="50"/>
      <c r="AF738" s="50"/>
      <c r="AG738" s="111"/>
      <c r="AH738" s="50"/>
      <c r="AK738" s="111"/>
      <c r="AL738" s="50"/>
      <c r="AM738" s="50"/>
      <c r="AN738" s="50"/>
      <c r="AO738" s="46"/>
      <c r="AP738" s="46"/>
      <c r="AW738" s="49"/>
    </row>
    <row r="739" spans="3:49">
      <c r="C739" s="42"/>
      <c r="F739" s="45"/>
      <c r="H739" s="45"/>
      <c r="I739" s="45"/>
      <c r="J739" s="326"/>
      <c r="K739" s="326"/>
      <c r="L739" s="45"/>
      <c r="M739" s="45"/>
      <c r="N739" s="46"/>
      <c r="O739" s="46"/>
      <c r="P739" s="45"/>
      <c r="Q739" s="45"/>
      <c r="R739" s="45"/>
      <c r="S739" s="45"/>
      <c r="T739" s="42"/>
      <c r="V739" s="45"/>
      <c r="AA739" s="45"/>
      <c r="AB739" s="47"/>
      <c r="AC739" s="45"/>
      <c r="AD739" s="45"/>
      <c r="AE739" s="46"/>
      <c r="AF739" s="46"/>
      <c r="AH739" s="45"/>
      <c r="AI739" s="51"/>
      <c r="AJ739" s="51"/>
      <c r="AL739" s="45"/>
      <c r="AM739" s="45"/>
      <c r="AN739" s="45"/>
      <c r="AO739" s="46"/>
      <c r="AP739" s="46"/>
      <c r="AW739" s="49"/>
    </row>
    <row r="740" spans="3:49">
      <c r="F740" s="50"/>
      <c r="H740" s="50"/>
      <c r="I740" s="50"/>
      <c r="J740" s="326"/>
      <c r="K740" s="326"/>
      <c r="L740" s="50"/>
      <c r="M740" s="50"/>
      <c r="N740" s="50"/>
      <c r="O740" s="50"/>
      <c r="P740" s="50"/>
      <c r="Q740" s="50"/>
      <c r="R740" s="50"/>
      <c r="S740" s="45"/>
      <c r="V740" s="50"/>
      <c r="AA740" s="50"/>
      <c r="AB740" s="326"/>
      <c r="AC740" s="50"/>
      <c r="AD740" s="50"/>
      <c r="AE740" s="50"/>
      <c r="AF740" s="50"/>
      <c r="AG740" s="111"/>
      <c r="AH740" s="50"/>
      <c r="AK740" s="111"/>
      <c r="AL740" s="50"/>
      <c r="AM740" s="50"/>
      <c r="AN740" s="50"/>
      <c r="AO740" s="46"/>
      <c r="AP740" s="46"/>
      <c r="AW740" s="49"/>
    </row>
    <row r="741" spans="3:49">
      <c r="C741" s="42"/>
      <c r="H741" s="164"/>
      <c r="I741" s="164"/>
      <c r="J741" s="326"/>
      <c r="K741" s="326"/>
      <c r="L741" s="45"/>
      <c r="M741" s="45"/>
      <c r="N741" s="46"/>
      <c r="O741" s="46"/>
      <c r="P741" s="45"/>
      <c r="Q741" s="45"/>
      <c r="R741" s="45"/>
      <c r="S741" s="45"/>
      <c r="T741" s="42"/>
      <c r="V741" s="45"/>
      <c r="AA741" s="45"/>
      <c r="AB741" s="47"/>
      <c r="AC741" s="45"/>
      <c r="AD741" s="45"/>
      <c r="AE741" s="46"/>
      <c r="AF741" s="46"/>
      <c r="AH741" s="45"/>
      <c r="AI741" s="51"/>
      <c r="AJ741" s="51"/>
      <c r="AL741" s="45"/>
      <c r="AM741" s="45"/>
      <c r="AN741" s="45"/>
      <c r="AO741" s="46"/>
      <c r="AP741" s="46"/>
      <c r="AW741" s="49"/>
    </row>
    <row r="742" spans="3:49">
      <c r="F742" s="164"/>
      <c r="T742" s="42"/>
      <c r="V742" s="45"/>
      <c r="AA742" s="45"/>
      <c r="AB742" s="325"/>
      <c r="AC742" s="45"/>
      <c r="AD742" s="45"/>
      <c r="AE742" s="46"/>
      <c r="AF742" s="46"/>
      <c r="AH742" s="45"/>
      <c r="AI742" s="51"/>
      <c r="AJ742" s="51"/>
      <c r="AL742" s="45"/>
      <c r="AM742" s="45"/>
      <c r="AN742" s="45"/>
      <c r="AO742" s="46"/>
      <c r="AP742" s="46"/>
      <c r="AW742" s="49"/>
    </row>
    <row r="743" spans="3:49">
      <c r="C743" s="42"/>
      <c r="F743" s="164"/>
      <c r="H743" s="164"/>
      <c r="I743" s="164"/>
      <c r="J743" s="316"/>
      <c r="K743" s="316"/>
      <c r="L743" s="45"/>
      <c r="M743" s="45"/>
      <c r="N743" s="46"/>
      <c r="O743" s="46"/>
      <c r="R743" s="45"/>
      <c r="V743" s="50"/>
      <c r="AA743" s="50"/>
      <c r="AB743" s="326"/>
      <c r="AC743" s="50"/>
      <c r="AD743" s="50"/>
      <c r="AE743" s="50"/>
      <c r="AF743" s="50"/>
      <c r="AG743" s="111"/>
      <c r="AH743" s="50"/>
      <c r="AK743" s="111"/>
      <c r="AL743" s="50"/>
      <c r="AM743" s="50"/>
      <c r="AN743" s="50"/>
      <c r="AO743" s="46"/>
      <c r="AP743" s="46"/>
      <c r="AW743" s="49"/>
    </row>
    <row r="744" spans="3:49">
      <c r="F744" s="50"/>
      <c r="H744" s="45"/>
      <c r="I744" s="45"/>
      <c r="J744" s="326"/>
      <c r="K744" s="326"/>
      <c r="L744" s="50"/>
      <c r="M744" s="50"/>
      <c r="N744" s="50"/>
      <c r="O744" s="50"/>
      <c r="P744" s="50"/>
      <c r="Q744" s="50"/>
      <c r="R744" s="50"/>
      <c r="AW744" s="49"/>
    </row>
    <row r="745" spans="3:49">
      <c r="C745" s="42"/>
      <c r="F745" s="164"/>
      <c r="H745" s="164"/>
      <c r="I745" s="164"/>
      <c r="J745" s="336"/>
      <c r="K745" s="336"/>
      <c r="L745" s="45"/>
      <c r="M745" s="45"/>
      <c r="N745" s="46"/>
      <c r="O745" s="46"/>
      <c r="P745" s="45"/>
      <c r="Q745" s="45"/>
      <c r="R745" s="45"/>
      <c r="S745" s="45"/>
      <c r="T745" s="42"/>
      <c r="V745" s="45"/>
      <c r="AA745" s="45"/>
      <c r="AB745" s="326"/>
      <c r="AC745" s="45"/>
      <c r="AD745" s="45"/>
      <c r="AE745" s="46"/>
      <c r="AF745" s="46"/>
      <c r="AH745" s="45"/>
      <c r="AI745" s="46"/>
      <c r="AJ745" s="46"/>
      <c r="AL745" s="45"/>
      <c r="AM745" s="45"/>
      <c r="AN745" s="45"/>
      <c r="AO745" s="46"/>
      <c r="AP745" s="46"/>
      <c r="AW745" s="49"/>
    </row>
    <row r="746" spans="3:49">
      <c r="C746" s="42"/>
      <c r="F746" s="164"/>
      <c r="H746" s="164"/>
      <c r="I746" s="164"/>
      <c r="J746" s="316"/>
      <c r="K746" s="316"/>
      <c r="L746" s="45"/>
      <c r="M746" s="45"/>
      <c r="N746" s="46"/>
      <c r="O746" s="46"/>
      <c r="P746" s="45"/>
      <c r="Q746" s="45"/>
      <c r="R746" s="45"/>
      <c r="V746" s="50"/>
      <c r="AA746" s="50"/>
      <c r="AB746" s="326"/>
      <c r="AC746" s="50"/>
      <c r="AD746" s="50"/>
      <c r="AE746" s="50"/>
      <c r="AF746" s="50"/>
      <c r="AG746" s="111"/>
      <c r="AH746" s="50"/>
      <c r="AK746" s="111"/>
      <c r="AL746" s="50"/>
      <c r="AM746" s="50"/>
      <c r="AN746" s="50"/>
      <c r="AO746" s="46"/>
      <c r="AP746" s="46"/>
      <c r="AW746" s="49"/>
    </row>
    <row r="747" spans="3:49">
      <c r="C747" s="42"/>
      <c r="F747" s="164"/>
      <c r="H747" s="164"/>
      <c r="I747" s="164"/>
      <c r="J747" s="316"/>
      <c r="K747" s="316"/>
      <c r="L747" s="45"/>
      <c r="M747" s="45"/>
      <c r="N747" s="46"/>
      <c r="O747" s="46"/>
      <c r="P747" s="45"/>
      <c r="Q747" s="45"/>
      <c r="R747" s="45"/>
      <c r="T747" s="42"/>
      <c r="AW747" s="49"/>
    </row>
    <row r="748" spans="3:49">
      <c r="F748" s="50"/>
      <c r="H748" s="50"/>
      <c r="I748" s="50"/>
      <c r="J748" s="326"/>
      <c r="K748" s="326"/>
      <c r="L748" s="50"/>
      <c r="M748" s="50"/>
      <c r="N748" s="50"/>
      <c r="O748" s="50"/>
      <c r="P748" s="50"/>
      <c r="Q748" s="50"/>
      <c r="R748" s="50"/>
      <c r="T748" s="42"/>
      <c r="V748" s="45"/>
      <c r="AA748" s="45"/>
      <c r="AC748" s="45"/>
      <c r="AD748" s="45"/>
      <c r="AE748" s="46"/>
      <c r="AF748" s="46"/>
      <c r="AH748" s="45"/>
      <c r="AI748" s="46"/>
      <c r="AJ748" s="46"/>
      <c r="AK748" s="333"/>
      <c r="AL748" s="164"/>
      <c r="AM748" s="45"/>
      <c r="AN748" s="45"/>
      <c r="AO748" s="46"/>
      <c r="AP748" s="46"/>
      <c r="AW748" s="49"/>
    </row>
    <row r="749" spans="3:49">
      <c r="C749" s="42"/>
      <c r="F749" s="45"/>
      <c r="H749" s="45"/>
      <c r="I749" s="45"/>
      <c r="J749" s="47"/>
      <c r="K749" s="47"/>
      <c r="L749" s="45"/>
      <c r="M749" s="45"/>
      <c r="N749" s="46"/>
      <c r="O749" s="46"/>
      <c r="P749" s="45"/>
      <c r="Q749" s="45"/>
      <c r="R749" s="45"/>
      <c r="V749" s="50"/>
      <c r="AA749" s="50"/>
      <c r="AB749" s="326"/>
      <c r="AC749" s="50"/>
      <c r="AD749" s="50"/>
      <c r="AE749" s="50"/>
      <c r="AF749" s="50"/>
      <c r="AG749" s="111"/>
      <c r="AH749" s="50"/>
      <c r="AK749" s="111"/>
      <c r="AL749" s="50"/>
      <c r="AM749" s="50"/>
      <c r="AN749" s="50"/>
      <c r="AW749" s="49"/>
    </row>
    <row r="750" spans="3:49">
      <c r="F750" s="50"/>
      <c r="H750" s="50"/>
      <c r="I750" s="50"/>
      <c r="J750" s="326"/>
      <c r="K750" s="326"/>
      <c r="L750" s="50"/>
      <c r="M750" s="50"/>
      <c r="N750" s="50"/>
      <c r="O750" s="50"/>
      <c r="P750" s="50"/>
      <c r="Q750" s="50"/>
      <c r="R750" s="50"/>
      <c r="AW750" s="49"/>
    </row>
    <row r="751" spans="3:49">
      <c r="C751" s="42"/>
      <c r="F751" s="45"/>
      <c r="H751" s="45"/>
      <c r="I751" s="45"/>
      <c r="J751" s="47"/>
      <c r="K751" s="47"/>
      <c r="L751" s="45"/>
      <c r="M751" s="45"/>
      <c r="N751" s="46"/>
      <c r="O751" s="46"/>
      <c r="P751" s="45"/>
      <c r="Q751" s="45"/>
      <c r="R751" s="45"/>
      <c r="T751" s="42"/>
      <c r="AC751" s="45"/>
      <c r="AD751" s="45"/>
      <c r="AE751" s="45"/>
      <c r="AF751" s="45"/>
      <c r="AL751" s="45"/>
      <c r="AM751" s="45"/>
      <c r="AN751" s="45"/>
      <c r="AW751" s="49"/>
    </row>
    <row r="752" spans="3:49">
      <c r="C752" s="42"/>
      <c r="F752" s="45"/>
      <c r="H752" s="164"/>
      <c r="I752" s="164"/>
      <c r="J752" s="331"/>
      <c r="K752" s="331"/>
      <c r="L752" s="45"/>
      <c r="M752" s="45"/>
      <c r="N752" s="46"/>
      <c r="O752" s="46"/>
      <c r="P752" s="45"/>
      <c r="Q752" s="45"/>
      <c r="R752" s="45"/>
      <c r="AW752" s="49"/>
    </row>
    <row r="753" spans="1:77">
      <c r="H753" s="50"/>
      <c r="I753" s="50"/>
      <c r="J753" s="326"/>
      <c r="K753" s="326"/>
      <c r="L753" s="50"/>
      <c r="M753" s="50"/>
      <c r="N753" s="50"/>
      <c r="O753" s="50"/>
      <c r="P753" s="50"/>
      <c r="Q753" s="50"/>
      <c r="R753" s="50"/>
      <c r="AW753" s="49"/>
    </row>
    <row r="754" spans="1:77">
      <c r="F754" s="50"/>
      <c r="AA754" s="42"/>
      <c r="AW754" s="49"/>
    </row>
    <row r="755" spans="1:77">
      <c r="C755" s="42"/>
      <c r="F755" s="45"/>
      <c r="H755" s="45"/>
      <c r="I755" s="45"/>
      <c r="J755" s="326"/>
      <c r="K755" s="326"/>
      <c r="L755" s="45"/>
      <c r="M755" s="45"/>
      <c r="N755" s="46"/>
      <c r="O755" s="46"/>
      <c r="P755" s="45"/>
      <c r="Q755" s="45"/>
      <c r="R755" s="45"/>
      <c r="S755" s="45"/>
      <c r="AW755" s="49"/>
    </row>
    <row r="756" spans="1:77">
      <c r="F756" s="50"/>
      <c r="H756" s="50"/>
      <c r="I756" s="50"/>
      <c r="J756" s="326"/>
      <c r="K756" s="326"/>
      <c r="L756" s="50"/>
      <c r="M756" s="50"/>
      <c r="N756" s="50"/>
      <c r="O756" s="50"/>
      <c r="P756" s="50"/>
      <c r="Q756" s="50"/>
      <c r="R756" s="50"/>
      <c r="S756" s="45"/>
      <c r="AC756" s="42"/>
      <c r="AD756" s="42"/>
      <c r="AW756" s="49"/>
    </row>
    <row r="757" spans="1:77">
      <c r="C757" s="42"/>
      <c r="AM757" s="42"/>
      <c r="AN757" s="42"/>
      <c r="AW757" s="49"/>
    </row>
    <row r="758" spans="1:77">
      <c r="C758" s="42"/>
      <c r="F758" s="45"/>
      <c r="H758" s="45"/>
      <c r="I758" s="45"/>
      <c r="L758" s="45"/>
      <c r="M758" s="45"/>
      <c r="N758" s="46"/>
      <c r="O758" s="46"/>
      <c r="P758" s="164"/>
      <c r="Q758" s="164"/>
      <c r="R758" s="45"/>
      <c r="AM758" s="42"/>
      <c r="AN758" s="42"/>
      <c r="AW758" s="49"/>
    </row>
    <row r="759" spans="1:77">
      <c r="H759" s="50"/>
      <c r="I759" s="50"/>
      <c r="J759" s="326"/>
      <c r="K759" s="326"/>
      <c r="L759" s="50"/>
      <c r="M759" s="50"/>
      <c r="N759" s="50"/>
      <c r="O759" s="50"/>
      <c r="P759" s="50"/>
      <c r="Q759" s="50"/>
      <c r="R759" s="50"/>
      <c r="AM759" s="42"/>
      <c r="AN759" s="42"/>
      <c r="AW759" s="49"/>
    </row>
    <row r="760" spans="1:77">
      <c r="F760" s="50"/>
      <c r="AC760" s="42"/>
      <c r="AD760" s="42"/>
      <c r="AW760" s="49"/>
    </row>
    <row r="761" spans="1:77">
      <c r="C761" s="42"/>
      <c r="L761" s="45"/>
      <c r="M761" s="45"/>
      <c r="N761" s="45"/>
      <c r="O761" s="45"/>
      <c r="P761" s="45"/>
      <c r="Q761" s="45"/>
      <c r="R761" s="45"/>
      <c r="S761" s="45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107"/>
      <c r="AH761" s="49"/>
      <c r="AI761" s="49"/>
      <c r="AJ761" s="49"/>
      <c r="AK761" s="107"/>
      <c r="AL761" s="49"/>
      <c r="AM761" s="49"/>
      <c r="AN761" s="49"/>
      <c r="AO761" s="49"/>
      <c r="AP761" s="49"/>
      <c r="AW761" s="49"/>
    </row>
    <row r="762" spans="1:77">
      <c r="A762" s="42"/>
      <c r="AC762" s="44"/>
      <c r="AD762" s="44"/>
      <c r="AE762" s="44"/>
      <c r="AF762" s="44"/>
      <c r="AG762" s="102"/>
      <c r="AH762" s="44"/>
      <c r="AI762" s="44"/>
      <c r="AJ762" s="44"/>
      <c r="AM762" s="44"/>
      <c r="AN762" s="44"/>
      <c r="AO762" s="44"/>
      <c r="AP762" s="44"/>
      <c r="AW762" s="49"/>
    </row>
    <row r="763" spans="1:77" s="111" customForma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4"/>
      <c r="AC763" s="44"/>
      <c r="AD763" s="44"/>
      <c r="AE763" s="44"/>
      <c r="AF763" s="44"/>
      <c r="AG763" s="102"/>
      <c r="AH763" s="44"/>
      <c r="AI763" s="44"/>
      <c r="AJ763" s="44"/>
      <c r="AK763" s="99"/>
      <c r="AL763" s="41"/>
      <c r="AM763" s="44"/>
      <c r="AN763" s="44"/>
      <c r="AO763" s="44"/>
      <c r="AP763" s="44"/>
      <c r="AR763" s="41"/>
      <c r="AS763" s="41"/>
      <c r="AT763" s="41"/>
      <c r="AU763" s="41"/>
      <c r="AV763" s="41"/>
      <c r="AW763" s="49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</row>
    <row r="764" spans="1:77" s="111" customFormat="1">
      <c r="A764" s="41"/>
      <c r="B764" s="41"/>
      <c r="C764" s="41"/>
      <c r="D764" s="41"/>
      <c r="E764" s="41"/>
      <c r="F764" s="41"/>
      <c r="G764" s="41"/>
      <c r="H764" s="42"/>
      <c r="I764" s="42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4"/>
      <c r="U764" s="44"/>
      <c r="V764" s="44"/>
      <c r="W764" s="41"/>
      <c r="X764" s="41"/>
      <c r="Y764" s="41"/>
      <c r="Z764" s="41"/>
      <c r="AA764" s="41"/>
      <c r="AB764" s="44"/>
      <c r="AC764" s="44"/>
      <c r="AD764" s="44"/>
      <c r="AE764" s="44"/>
      <c r="AF764" s="44"/>
      <c r="AG764" s="102"/>
      <c r="AH764" s="44"/>
      <c r="AI764" s="44"/>
      <c r="AJ764" s="44"/>
      <c r="AK764" s="102"/>
      <c r="AL764" s="44"/>
      <c r="AM764" s="44"/>
      <c r="AN764" s="44"/>
      <c r="AO764" s="44"/>
      <c r="AP764" s="44"/>
      <c r="AR764" s="41"/>
      <c r="AS764" s="41"/>
      <c r="AT764" s="41"/>
      <c r="AU764" s="41"/>
      <c r="AV764" s="41"/>
      <c r="AW764" s="49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</row>
    <row r="765" spans="1:77" s="111" customForma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4"/>
      <c r="U765" s="44"/>
      <c r="V765" s="44"/>
      <c r="W765" s="41"/>
      <c r="X765" s="41"/>
      <c r="Y765" s="41"/>
      <c r="Z765" s="41"/>
      <c r="AA765" s="44"/>
      <c r="AB765" s="44"/>
      <c r="AC765" s="44"/>
      <c r="AD765" s="44"/>
      <c r="AE765" s="44"/>
      <c r="AF765" s="44"/>
      <c r="AG765" s="102"/>
      <c r="AH765" s="44"/>
      <c r="AI765" s="44"/>
      <c r="AJ765" s="44"/>
      <c r="AK765" s="102"/>
      <c r="AL765" s="44"/>
      <c r="AM765" s="44"/>
      <c r="AN765" s="44"/>
      <c r="AO765" s="44"/>
      <c r="AP765" s="44"/>
      <c r="AR765" s="41"/>
      <c r="AS765" s="41"/>
      <c r="AT765" s="41"/>
      <c r="AU765" s="41"/>
      <c r="AV765" s="41"/>
      <c r="AW765" s="49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</row>
    <row r="766" spans="1:77" s="111" customForma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2"/>
      <c r="M766" s="42"/>
      <c r="N766" s="41"/>
      <c r="O766" s="41"/>
      <c r="P766" s="41"/>
      <c r="Q766" s="41"/>
      <c r="R766" s="41"/>
      <c r="S766" s="41"/>
      <c r="T766" s="44"/>
      <c r="U766" s="44"/>
      <c r="V766" s="44"/>
      <c r="W766" s="41"/>
      <c r="X766" s="41"/>
      <c r="Y766" s="41"/>
      <c r="Z766" s="41"/>
      <c r="AA766" s="44"/>
      <c r="AB766" s="44"/>
      <c r="AC766" s="44"/>
      <c r="AD766" s="44"/>
      <c r="AE766" s="44"/>
      <c r="AF766" s="44"/>
      <c r="AG766" s="102"/>
      <c r="AH766" s="44"/>
      <c r="AI766" s="44"/>
      <c r="AJ766" s="44"/>
      <c r="AK766" s="102"/>
      <c r="AL766" s="44"/>
      <c r="AM766" s="44"/>
      <c r="AN766" s="44"/>
      <c r="AO766" s="44"/>
      <c r="AP766" s="44"/>
      <c r="AR766" s="41"/>
      <c r="AS766" s="41"/>
      <c r="AT766" s="41"/>
      <c r="AU766" s="41"/>
      <c r="AV766" s="41"/>
      <c r="AW766" s="49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</row>
    <row r="767" spans="1:77" s="111" customForma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2"/>
      <c r="S767" s="41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107"/>
      <c r="AH767" s="49"/>
      <c r="AI767" s="49"/>
      <c r="AJ767" s="49"/>
      <c r="AK767" s="107"/>
      <c r="AL767" s="49"/>
      <c r="AM767" s="49"/>
      <c r="AN767" s="49"/>
      <c r="AO767" s="49"/>
      <c r="AP767" s="49"/>
      <c r="AR767" s="41"/>
      <c r="AS767" s="41"/>
      <c r="AT767" s="41"/>
      <c r="AU767" s="41"/>
      <c r="AV767" s="41"/>
      <c r="AW767" s="49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</row>
    <row r="768" spans="1:77" s="111" customForma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2"/>
      <c r="S768" s="41"/>
      <c r="T768" s="41"/>
      <c r="U768" s="41"/>
      <c r="V768" s="41"/>
      <c r="W768" s="41"/>
      <c r="X768" s="41"/>
      <c r="Y768" s="41"/>
      <c r="Z768" s="41"/>
      <c r="AA768" s="44"/>
      <c r="AB768" s="44"/>
      <c r="AC768" s="44"/>
      <c r="AD768" s="44"/>
      <c r="AE768" s="44"/>
      <c r="AF768" s="44"/>
      <c r="AG768" s="102"/>
      <c r="AH768" s="44"/>
      <c r="AI768" s="44"/>
      <c r="AJ768" s="44"/>
      <c r="AK768" s="102"/>
      <c r="AL768" s="44"/>
      <c r="AM768" s="44"/>
      <c r="AN768" s="44"/>
      <c r="AO768" s="44"/>
      <c r="AP768" s="44"/>
      <c r="AR768" s="41"/>
      <c r="AS768" s="41"/>
      <c r="AT768" s="41"/>
      <c r="AU768" s="41"/>
      <c r="AV768" s="41"/>
      <c r="AW768" s="49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</row>
    <row r="769" spans="1:77" s="111" customFormat="1">
      <c r="A769" s="42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2"/>
      <c r="S769" s="41"/>
      <c r="T769" s="42"/>
      <c r="U769" s="42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99"/>
      <c r="AH769" s="41"/>
      <c r="AI769" s="41"/>
      <c r="AJ769" s="41"/>
      <c r="AK769" s="99"/>
      <c r="AL769" s="41"/>
      <c r="AM769" s="41"/>
      <c r="AN769" s="41"/>
      <c r="AO769" s="41"/>
      <c r="AP769" s="41"/>
      <c r="AR769" s="41"/>
      <c r="AS769" s="41"/>
      <c r="AT769" s="41"/>
      <c r="AU769" s="41"/>
      <c r="AV769" s="41"/>
      <c r="AW769" s="49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</row>
    <row r="770" spans="1:77" s="111" customForma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2"/>
      <c r="M770" s="42"/>
      <c r="N770" s="41"/>
      <c r="O770" s="41"/>
      <c r="P770" s="41"/>
      <c r="Q770" s="41"/>
      <c r="R770" s="41"/>
      <c r="S770" s="41"/>
      <c r="T770" s="41"/>
      <c r="U770" s="42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99"/>
      <c r="AH770" s="41"/>
      <c r="AI770" s="41"/>
      <c r="AJ770" s="41"/>
      <c r="AK770" s="99"/>
      <c r="AL770" s="41"/>
      <c r="AM770" s="41"/>
      <c r="AN770" s="41"/>
      <c r="AO770" s="41"/>
      <c r="AP770" s="41"/>
      <c r="AR770" s="41"/>
      <c r="AS770" s="41"/>
      <c r="AT770" s="41"/>
      <c r="AU770" s="41"/>
      <c r="AV770" s="41"/>
      <c r="AW770" s="49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</row>
    <row r="771" spans="1:77" s="111" customForma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99"/>
      <c r="AH771" s="41"/>
      <c r="AI771" s="41"/>
      <c r="AJ771" s="41"/>
      <c r="AK771" s="99"/>
      <c r="AL771" s="41"/>
      <c r="AM771" s="41"/>
      <c r="AN771" s="41"/>
      <c r="AO771" s="41"/>
      <c r="AP771" s="41"/>
      <c r="AR771" s="41"/>
      <c r="AS771" s="41"/>
      <c r="AT771" s="41"/>
      <c r="AU771" s="41"/>
      <c r="AV771" s="41"/>
      <c r="AW771" s="49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</row>
    <row r="772" spans="1:77" s="111" customForma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4"/>
      <c r="M772" s="44"/>
      <c r="N772" s="44"/>
      <c r="O772" s="44"/>
      <c r="P772" s="41"/>
      <c r="Q772" s="41"/>
      <c r="R772" s="44"/>
      <c r="S772" s="41"/>
      <c r="T772" s="42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99"/>
      <c r="AH772" s="41"/>
      <c r="AI772" s="41"/>
      <c r="AJ772" s="41"/>
      <c r="AK772" s="99"/>
      <c r="AL772" s="41"/>
      <c r="AM772" s="41"/>
      <c r="AN772" s="41"/>
      <c r="AO772" s="41"/>
      <c r="AP772" s="41"/>
      <c r="AR772" s="41"/>
      <c r="AS772" s="41"/>
      <c r="AT772" s="41"/>
      <c r="AU772" s="41"/>
      <c r="AV772" s="41"/>
      <c r="AW772" s="49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</row>
    <row r="773" spans="1:77" s="111" customForma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4"/>
      <c r="M773" s="44"/>
      <c r="N773" s="44"/>
      <c r="O773" s="44"/>
      <c r="P773" s="41"/>
      <c r="Q773" s="41"/>
      <c r="R773" s="44"/>
      <c r="S773" s="41"/>
      <c r="T773" s="42"/>
      <c r="U773" s="41"/>
      <c r="V773" s="164"/>
      <c r="W773" s="45"/>
      <c r="X773" s="45"/>
      <c r="Y773" s="45"/>
      <c r="Z773" s="45"/>
      <c r="AA773" s="164"/>
      <c r="AB773" s="132"/>
      <c r="AC773" s="45"/>
      <c r="AD773" s="45"/>
      <c r="AE773" s="46"/>
      <c r="AF773" s="46"/>
      <c r="AG773" s="99"/>
      <c r="AH773" s="45"/>
      <c r="AI773" s="51"/>
      <c r="AJ773" s="51"/>
      <c r="AK773" s="99"/>
      <c r="AL773" s="45"/>
      <c r="AM773" s="45"/>
      <c r="AN773" s="45"/>
      <c r="AO773" s="46"/>
      <c r="AP773" s="46"/>
      <c r="AR773" s="41"/>
      <c r="AS773" s="41"/>
      <c r="AT773" s="41"/>
      <c r="AU773" s="41"/>
      <c r="AV773" s="41"/>
      <c r="AW773" s="49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</row>
    <row r="774" spans="1:77" s="111" customFormat="1">
      <c r="A774" s="44"/>
      <c r="B774" s="41"/>
      <c r="C774" s="44"/>
      <c r="D774" s="44"/>
      <c r="E774" s="44"/>
      <c r="F774" s="44"/>
      <c r="G774" s="41"/>
      <c r="H774" s="41"/>
      <c r="I774" s="41"/>
      <c r="J774" s="44"/>
      <c r="K774" s="44"/>
      <c r="L774" s="44"/>
      <c r="M774" s="44"/>
      <c r="N774" s="44"/>
      <c r="O774" s="44"/>
      <c r="P774" s="44"/>
      <c r="Q774" s="44"/>
      <c r="R774" s="44"/>
      <c r="S774" s="41"/>
      <c r="T774" s="42"/>
      <c r="U774" s="41"/>
      <c r="V774" s="164"/>
      <c r="W774" s="45"/>
      <c r="X774" s="45"/>
      <c r="Y774" s="45"/>
      <c r="Z774" s="45"/>
      <c r="AA774" s="164"/>
      <c r="AB774" s="326"/>
      <c r="AC774" s="45"/>
      <c r="AD774" s="45"/>
      <c r="AE774" s="46"/>
      <c r="AF774" s="46"/>
      <c r="AG774" s="99"/>
      <c r="AH774" s="45"/>
      <c r="AI774" s="51"/>
      <c r="AJ774" s="51"/>
      <c r="AK774" s="99"/>
      <c r="AL774" s="45"/>
      <c r="AM774" s="45"/>
      <c r="AN774" s="45"/>
      <c r="AO774" s="46"/>
      <c r="AP774" s="46"/>
      <c r="AR774" s="41"/>
      <c r="AS774" s="41"/>
      <c r="AT774" s="41"/>
      <c r="AU774" s="41"/>
      <c r="AV774" s="41"/>
      <c r="AW774" s="49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</row>
    <row r="775" spans="1:77" s="111" customFormat="1">
      <c r="A775" s="44"/>
      <c r="B775" s="41"/>
      <c r="C775" s="44"/>
      <c r="D775" s="44"/>
      <c r="E775" s="44"/>
      <c r="F775" s="44"/>
      <c r="G775" s="41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1"/>
      <c r="T775" s="42"/>
      <c r="U775" s="41"/>
      <c r="V775" s="164"/>
      <c r="W775" s="45"/>
      <c r="X775" s="45"/>
      <c r="Y775" s="45"/>
      <c r="Z775" s="45"/>
      <c r="AA775" s="164"/>
      <c r="AB775" s="132"/>
      <c r="AC775" s="45"/>
      <c r="AD775" s="45"/>
      <c r="AE775" s="46"/>
      <c r="AF775" s="46"/>
      <c r="AG775" s="99"/>
      <c r="AH775" s="45"/>
      <c r="AI775" s="51"/>
      <c r="AJ775" s="51"/>
      <c r="AK775" s="99"/>
      <c r="AL775" s="45"/>
      <c r="AM775" s="45"/>
      <c r="AN775" s="45"/>
      <c r="AO775" s="46"/>
      <c r="AP775" s="46"/>
      <c r="AR775" s="41"/>
      <c r="AS775" s="41"/>
      <c r="AT775" s="41"/>
      <c r="AU775" s="41"/>
      <c r="AV775" s="41"/>
      <c r="AW775" s="49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</row>
    <row r="776" spans="1:77" s="111" customFormat="1">
      <c r="A776" s="41"/>
      <c r="B776" s="41"/>
      <c r="C776" s="44"/>
      <c r="D776" s="44"/>
      <c r="E776" s="44"/>
      <c r="F776" s="44"/>
      <c r="G776" s="41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1"/>
      <c r="T776" s="42"/>
      <c r="U776" s="41"/>
      <c r="V776" s="164"/>
      <c r="W776" s="45"/>
      <c r="X776" s="45"/>
      <c r="Y776" s="45"/>
      <c r="Z776" s="45"/>
      <c r="AA776" s="164"/>
      <c r="AB776" s="132"/>
      <c r="AC776" s="45"/>
      <c r="AD776" s="45"/>
      <c r="AE776" s="46"/>
      <c r="AF776" s="46"/>
      <c r="AG776" s="99"/>
      <c r="AH776" s="45"/>
      <c r="AI776" s="51"/>
      <c r="AJ776" s="51"/>
      <c r="AK776" s="99"/>
      <c r="AL776" s="45"/>
      <c r="AM776" s="45"/>
      <c r="AN776" s="45"/>
      <c r="AO776" s="46"/>
      <c r="AP776" s="46"/>
      <c r="AR776" s="41"/>
      <c r="AS776" s="41"/>
      <c r="AT776" s="41"/>
      <c r="AU776" s="41"/>
      <c r="AV776" s="41"/>
      <c r="AW776" s="49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</row>
    <row r="777" spans="1:77" s="111" customForma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1"/>
      <c r="T777" s="42"/>
      <c r="U777" s="41"/>
      <c r="V777" s="164"/>
      <c r="W777" s="45"/>
      <c r="X777" s="45"/>
      <c r="Y777" s="45"/>
      <c r="Z777" s="45"/>
      <c r="AA777" s="164"/>
      <c r="AB777" s="132"/>
      <c r="AC777" s="45"/>
      <c r="AD777" s="45"/>
      <c r="AE777" s="46"/>
      <c r="AF777" s="46"/>
      <c r="AG777" s="99"/>
      <c r="AH777" s="45"/>
      <c r="AI777" s="51"/>
      <c r="AJ777" s="51"/>
      <c r="AK777" s="99"/>
      <c r="AL777" s="45"/>
      <c r="AM777" s="45"/>
      <c r="AN777" s="45"/>
      <c r="AO777" s="46"/>
      <c r="AP777" s="46"/>
      <c r="AR777" s="41"/>
      <c r="AS777" s="41"/>
      <c r="AT777" s="41"/>
      <c r="AU777" s="41"/>
      <c r="AV777" s="41"/>
      <c r="AW777" s="49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</row>
    <row r="778" spans="1:77" s="111" customFormat="1">
      <c r="A778" s="41"/>
      <c r="B778" s="41"/>
      <c r="C778" s="41"/>
      <c r="D778" s="41"/>
      <c r="E778" s="41"/>
      <c r="F778" s="41"/>
      <c r="G778" s="41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1"/>
      <c r="T778" s="42"/>
      <c r="U778" s="41"/>
      <c r="V778" s="164"/>
      <c r="W778" s="45"/>
      <c r="X778" s="45"/>
      <c r="Y778" s="45"/>
      <c r="Z778" s="45"/>
      <c r="AA778" s="164"/>
      <c r="AB778" s="132"/>
      <c r="AC778" s="45"/>
      <c r="AD778" s="45"/>
      <c r="AE778" s="46"/>
      <c r="AF778" s="46"/>
      <c r="AG778" s="99"/>
      <c r="AH778" s="45"/>
      <c r="AI778" s="51"/>
      <c r="AJ778" s="51"/>
      <c r="AK778" s="99"/>
      <c r="AL778" s="45"/>
      <c r="AM778" s="45"/>
      <c r="AN778" s="45"/>
      <c r="AO778" s="46"/>
      <c r="AP778" s="46"/>
      <c r="AR778" s="41"/>
      <c r="AS778" s="41"/>
      <c r="AT778" s="41"/>
      <c r="AU778" s="41"/>
      <c r="AV778" s="41"/>
      <c r="AW778" s="49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</row>
    <row r="779" spans="1:77" s="111" customFormat="1">
      <c r="A779" s="41"/>
      <c r="B779" s="41"/>
      <c r="C779" s="42"/>
      <c r="D779" s="42"/>
      <c r="E779" s="42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2"/>
      <c r="U779" s="41"/>
      <c r="V779" s="164"/>
      <c r="W779" s="45"/>
      <c r="X779" s="45"/>
      <c r="Y779" s="45"/>
      <c r="Z779" s="45"/>
      <c r="AA779" s="164"/>
      <c r="AB779" s="132"/>
      <c r="AC779" s="45"/>
      <c r="AD779" s="45"/>
      <c r="AE779" s="46"/>
      <c r="AF779" s="46"/>
      <c r="AG779" s="99"/>
      <c r="AH779" s="45"/>
      <c r="AI779" s="51"/>
      <c r="AJ779" s="51"/>
      <c r="AK779" s="99"/>
      <c r="AL779" s="45"/>
      <c r="AM779" s="45"/>
      <c r="AN779" s="45"/>
      <c r="AO779" s="46"/>
      <c r="AP779" s="46"/>
      <c r="AR779" s="41"/>
      <c r="AS779" s="41"/>
      <c r="AT779" s="41"/>
      <c r="AU779" s="41"/>
      <c r="AV779" s="41"/>
      <c r="AW779" s="49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</row>
    <row r="780" spans="1:77" s="111" customFormat="1">
      <c r="A780" s="41"/>
      <c r="B780" s="41"/>
      <c r="C780" s="41"/>
      <c r="D780" s="42"/>
      <c r="E780" s="42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54"/>
      <c r="W780" s="45"/>
      <c r="X780" s="45"/>
      <c r="Y780" s="45"/>
      <c r="Z780" s="45"/>
      <c r="AA780" s="54"/>
      <c r="AB780" s="132"/>
      <c r="AC780" s="54"/>
      <c r="AD780" s="54"/>
      <c r="AE780" s="55"/>
      <c r="AF780" s="55"/>
      <c r="AG780" s="107"/>
      <c r="AH780" s="54"/>
      <c r="AI780" s="51"/>
      <c r="AJ780" s="51"/>
      <c r="AK780" s="107"/>
      <c r="AL780" s="54"/>
      <c r="AM780" s="54"/>
      <c r="AN780" s="54"/>
      <c r="AO780" s="46"/>
      <c r="AP780" s="46"/>
      <c r="AR780" s="41"/>
      <c r="AS780" s="41"/>
      <c r="AT780" s="41"/>
      <c r="AU780" s="41"/>
      <c r="AV780" s="41"/>
      <c r="AW780" s="49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</row>
    <row r="781" spans="1:77">
      <c r="T781" s="44"/>
      <c r="V781" s="45"/>
      <c r="W781" s="45"/>
      <c r="X781" s="45"/>
      <c r="Y781" s="45"/>
      <c r="Z781" s="45"/>
      <c r="AA781" s="45"/>
      <c r="AB781" s="132"/>
      <c r="AC781" s="45"/>
      <c r="AD781" s="45"/>
      <c r="AE781" s="51"/>
      <c r="AF781" s="51"/>
      <c r="AH781" s="45"/>
      <c r="AI781" s="51"/>
      <c r="AJ781" s="51"/>
      <c r="AL781" s="45"/>
      <c r="AM781" s="45"/>
      <c r="AN781" s="45"/>
      <c r="AO781" s="46"/>
      <c r="AP781" s="46"/>
      <c r="AW781" s="49"/>
    </row>
    <row r="782" spans="1:77" s="111" customFormat="1">
      <c r="A782" s="41"/>
      <c r="B782" s="41"/>
      <c r="C782" s="42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54"/>
      <c r="W782" s="41"/>
      <c r="X782" s="41"/>
      <c r="Y782" s="41"/>
      <c r="Z782" s="41"/>
      <c r="AA782" s="54"/>
      <c r="AB782" s="326"/>
      <c r="AC782" s="54"/>
      <c r="AD782" s="54"/>
      <c r="AE782" s="54"/>
      <c r="AF782" s="54"/>
      <c r="AG782" s="107"/>
      <c r="AH782" s="54"/>
      <c r="AI782" s="41"/>
      <c r="AJ782" s="41"/>
      <c r="AK782" s="107"/>
      <c r="AL782" s="54"/>
      <c r="AM782" s="54"/>
      <c r="AN782" s="54"/>
      <c r="AO782" s="55"/>
      <c r="AP782" s="55"/>
      <c r="AR782" s="41"/>
      <c r="AS782" s="41"/>
      <c r="AT782" s="41"/>
      <c r="AU782" s="41"/>
      <c r="AV782" s="41"/>
      <c r="AW782" s="49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</row>
    <row r="783" spans="1:77" s="111" customFormat="1">
      <c r="A783" s="41"/>
      <c r="B783" s="41"/>
      <c r="C783" s="42"/>
      <c r="D783" s="41"/>
      <c r="E783" s="41"/>
      <c r="F783" s="164"/>
      <c r="G783" s="41"/>
      <c r="H783" s="164"/>
      <c r="I783" s="164"/>
      <c r="J783" s="132"/>
      <c r="K783" s="132"/>
      <c r="L783" s="45"/>
      <c r="M783" s="45"/>
      <c r="N783" s="46"/>
      <c r="O783" s="46"/>
      <c r="P783" s="45"/>
      <c r="Q783" s="45"/>
      <c r="R783" s="45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99"/>
      <c r="AH783" s="41"/>
      <c r="AI783" s="41"/>
      <c r="AJ783" s="41"/>
      <c r="AK783" s="99"/>
      <c r="AL783" s="41"/>
      <c r="AM783" s="41"/>
      <c r="AN783" s="41"/>
      <c r="AO783" s="41"/>
      <c r="AP783" s="41"/>
      <c r="AR783" s="41"/>
      <c r="AS783" s="41"/>
      <c r="AT783" s="41"/>
      <c r="AU783" s="41"/>
      <c r="AV783" s="41"/>
      <c r="AW783" s="49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</row>
    <row r="784" spans="1:77" s="111" customFormat="1">
      <c r="A784" s="41"/>
      <c r="B784" s="41"/>
      <c r="C784" s="42"/>
      <c r="D784" s="41"/>
      <c r="E784" s="41"/>
      <c r="F784" s="45"/>
      <c r="G784" s="41"/>
      <c r="H784" s="45"/>
      <c r="I784" s="45"/>
      <c r="J784" s="326"/>
      <c r="K784" s="326"/>
      <c r="L784" s="45"/>
      <c r="M784" s="45"/>
      <c r="N784" s="46"/>
      <c r="O784" s="46"/>
      <c r="P784" s="45"/>
      <c r="Q784" s="45"/>
      <c r="R784" s="45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99"/>
      <c r="AH784" s="41"/>
      <c r="AI784" s="41"/>
      <c r="AJ784" s="41"/>
      <c r="AK784" s="99"/>
      <c r="AL784" s="41"/>
      <c r="AM784" s="41"/>
      <c r="AN784" s="41"/>
      <c r="AO784" s="41"/>
      <c r="AP784" s="41"/>
      <c r="AR784" s="41"/>
      <c r="AS784" s="41"/>
      <c r="AT784" s="41"/>
      <c r="AU784" s="41"/>
      <c r="AV784" s="41"/>
      <c r="AW784" s="49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</row>
    <row r="785" spans="1:77" s="111" customFormat="1">
      <c r="A785" s="41"/>
      <c r="B785" s="41"/>
      <c r="C785" s="42"/>
      <c r="D785" s="41"/>
      <c r="E785" s="41"/>
      <c r="F785" s="164"/>
      <c r="G785" s="41"/>
      <c r="H785" s="164"/>
      <c r="I785" s="164"/>
      <c r="J785" s="132"/>
      <c r="K785" s="132"/>
      <c r="L785" s="45"/>
      <c r="M785" s="45"/>
      <c r="N785" s="46"/>
      <c r="O785" s="46"/>
      <c r="P785" s="45"/>
      <c r="Q785" s="45"/>
      <c r="R785" s="45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99"/>
      <c r="AH785" s="41"/>
      <c r="AI785" s="41"/>
      <c r="AJ785" s="41"/>
      <c r="AK785" s="99"/>
      <c r="AL785" s="41"/>
      <c r="AM785" s="41"/>
      <c r="AN785" s="41"/>
      <c r="AO785" s="41"/>
      <c r="AP785" s="41"/>
      <c r="AR785" s="41"/>
      <c r="AS785" s="41"/>
      <c r="AT785" s="41"/>
      <c r="AU785" s="41"/>
      <c r="AV785" s="41"/>
      <c r="AW785" s="49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</row>
    <row r="786" spans="1:77" s="111" customFormat="1">
      <c r="A786" s="41"/>
      <c r="B786" s="41"/>
      <c r="C786" s="42"/>
      <c r="D786" s="41"/>
      <c r="E786" s="41"/>
      <c r="F786" s="164"/>
      <c r="G786" s="41"/>
      <c r="H786" s="164"/>
      <c r="I786" s="164"/>
      <c r="J786" s="132"/>
      <c r="K786" s="132"/>
      <c r="L786" s="45"/>
      <c r="M786" s="45"/>
      <c r="N786" s="46"/>
      <c r="O786" s="46"/>
      <c r="P786" s="45"/>
      <c r="Q786" s="45"/>
      <c r="R786" s="45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99"/>
      <c r="AH786" s="41"/>
      <c r="AI786" s="41"/>
      <c r="AJ786" s="41"/>
      <c r="AK786" s="99"/>
      <c r="AL786" s="41"/>
      <c r="AM786" s="41"/>
      <c r="AN786" s="41"/>
      <c r="AO786" s="41"/>
      <c r="AP786" s="41"/>
      <c r="AR786" s="41"/>
      <c r="AS786" s="41"/>
      <c r="AT786" s="41"/>
      <c r="AU786" s="41"/>
      <c r="AV786" s="41"/>
      <c r="AW786" s="49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</row>
    <row r="787" spans="1:77" s="111" customFormat="1">
      <c r="A787" s="41"/>
      <c r="B787" s="41"/>
      <c r="C787" s="42"/>
      <c r="D787" s="41"/>
      <c r="E787" s="41"/>
      <c r="F787" s="164"/>
      <c r="G787" s="41"/>
      <c r="H787" s="164"/>
      <c r="I787" s="164"/>
      <c r="J787" s="132"/>
      <c r="K787" s="132"/>
      <c r="L787" s="45"/>
      <c r="M787" s="45"/>
      <c r="N787" s="46"/>
      <c r="O787" s="46"/>
      <c r="P787" s="45"/>
      <c r="Q787" s="45"/>
      <c r="R787" s="45"/>
      <c r="S787" s="41"/>
      <c r="T787" s="41"/>
      <c r="U787" s="41"/>
      <c r="V787" s="45"/>
      <c r="W787" s="41"/>
      <c r="X787" s="41"/>
      <c r="Y787" s="41"/>
      <c r="Z787" s="41"/>
      <c r="AA787" s="45"/>
      <c r="AB787" s="47"/>
      <c r="AC787" s="45"/>
      <c r="AD787" s="45"/>
      <c r="AE787" s="46"/>
      <c r="AF787" s="46"/>
      <c r="AG787" s="99"/>
      <c r="AH787" s="45"/>
      <c r="AI787" s="51"/>
      <c r="AJ787" s="51"/>
      <c r="AK787" s="99"/>
      <c r="AL787" s="45"/>
      <c r="AM787" s="45"/>
      <c r="AN787" s="45"/>
      <c r="AO787" s="46"/>
      <c r="AP787" s="46"/>
      <c r="AR787" s="41"/>
      <c r="AS787" s="41"/>
      <c r="AT787" s="41"/>
      <c r="AU787" s="41"/>
      <c r="AV787" s="41"/>
      <c r="AW787" s="49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</row>
    <row r="788" spans="1:77" s="111" customFormat="1">
      <c r="A788" s="41"/>
      <c r="B788" s="41"/>
      <c r="C788" s="42"/>
      <c r="D788" s="41"/>
      <c r="E788" s="41"/>
      <c r="F788" s="45"/>
      <c r="G788" s="41"/>
      <c r="H788" s="45"/>
      <c r="I788" s="45"/>
      <c r="J788" s="132"/>
      <c r="K788" s="132"/>
      <c r="L788" s="45"/>
      <c r="M788" s="45"/>
      <c r="N788" s="46"/>
      <c r="O788" s="46"/>
      <c r="P788" s="45"/>
      <c r="Q788" s="45"/>
      <c r="R788" s="45"/>
      <c r="S788" s="41"/>
      <c r="T788" s="42"/>
      <c r="U788" s="42"/>
      <c r="V788" s="41"/>
      <c r="W788" s="41"/>
      <c r="X788" s="41"/>
      <c r="Y788" s="41"/>
      <c r="Z788" s="41"/>
      <c r="AA788" s="41"/>
      <c r="AB788" s="56"/>
      <c r="AC788" s="41"/>
      <c r="AD788" s="41"/>
      <c r="AE788" s="41"/>
      <c r="AF788" s="41"/>
      <c r="AG788" s="99"/>
      <c r="AH788" s="45"/>
      <c r="AI788" s="41"/>
      <c r="AJ788" s="41"/>
      <c r="AK788" s="99"/>
      <c r="AL788" s="45"/>
      <c r="AM788" s="45"/>
      <c r="AN788" s="45"/>
      <c r="AO788" s="46"/>
      <c r="AP788" s="46"/>
      <c r="AR788" s="41"/>
      <c r="AS788" s="41"/>
      <c r="AT788" s="41"/>
      <c r="AU788" s="41"/>
      <c r="AV788" s="41"/>
      <c r="AW788" s="49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</row>
    <row r="789" spans="1:77" s="111" customFormat="1">
      <c r="A789" s="41"/>
      <c r="B789" s="41"/>
      <c r="C789" s="42"/>
      <c r="D789" s="41"/>
      <c r="E789" s="41"/>
      <c r="F789" s="45"/>
      <c r="G789" s="41"/>
      <c r="H789" s="45"/>
      <c r="I789" s="45"/>
      <c r="J789" s="132"/>
      <c r="K789" s="132"/>
      <c r="L789" s="45"/>
      <c r="M789" s="45"/>
      <c r="N789" s="46"/>
      <c r="O789" s="46"/>
      <c r="P789" s="45"/>
      <c r="Q789" s="45"/>
      <c r="R789" s="45"/>
      <c r="S789" s="41"/>
      <c r="T789" s="41"/>
      <c r="U789" s="42"/>
      <c r="V789" s="45"/>
      <c r="W789" s="41"/>
      <c r="X789" s="41"/>
      <c r="Y789" s="41"/>
      <c r="Z789" s="41"/>
      <c r="AA789" s="45"/>
      <c r="AB789" s="132"/>
      <c r="AC789" s="45"/>
      <c r="AD789" s="45"/>
      <c r="AE789" s="46"/>
      <c r="AF789" s="46"/>
      <c r="AG789" s="99"/>
      <c r="AH789" s="45"/>
      <c r="AI789" s="51"/>
      <c r="AJ789" s="51"/>
      <c r="AK789" s="99"/>
      <c r="AL789" s="45"/>
      <c r="AM789" s="45"/>
      <c r="AN789" s="45"/>
      <c r="AO789" s="46"/>
      <c r="AP789" s="46"/>
      <c r="AR789" s="41"/>
      <c r="AS789" s="41"/>
      <c r="AT789" s="41"/>
      <c r="AU789" s="41"/>
      <c r="AV789" s="41"/>
      <c r="AW789" s="49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</row>
    <row r="790" spans="1:77" s="111" customFormat="1">
      <c r="A790" s="41"/>
      <c r="B790" s="41"/>
      <c r="C790" s="41"/>
      <c r="D790" s="41"/>
      <c r="E790" s="41"/>
      <c r="F790" s="54"/>
      <c r="G790" s="41"/>
      <c r="H790" s="338"/>
      <c r="I790" s="338"/>
      <c r="J790" s="132"/>
      <c r="K790" s="132"/>
      <c r="L790" s="54"/>
      <c r="M790" s="54"/>
      <c r="N790" s="50"/>
      <c r="O790" s="50"/>
      <c r="P790" s="54"/>
      <c r="Q790" s="54"/>
      <c r="R790" s="54"/>
      <c r="S790" s="41"/>
      <c r="T790" s="41"/>
      <c r="U790" s="41"/>
      <c r="V790" s="45"/>
      <c r="W790" s="41"/>
      <c r="X790" s="41"/>
      <c r="Y790" s="41"/>
      <c r="Z790" s="41"/>
      <c r="AA790" s="45"/>
      <c r="AB790" s="326"/>
      <c r="AC790" s="45"/>
      <c r="AD790" s="45"/>
      <c r="AE790" s="45"/>
      <c r="AF790" s="45"/>
      <c r="AG790" s="99"/>
      <c r="AH790" s="45"/>
      <c r="AI790" s="51"/>
      <c r="AJ790" s="51"/>
      <c r="AK790" s="333"/>
      <c r="AL790" s="164"/>
      <c r="AM790" s="45"/>
      <c r="AN790" s="45"/>
      <c r="AO790" s="46"/>
      <c r="AP790" s="46"/>
      <c r="AR790" s="41"/>
      <c r="AS790" s="41"/>
      <c r="AT790" s="41"/>
      <c r="AU790" s="41"/>
      <c r="AV790" s="41"/>
      <c r="AW790" s="49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</row>
    <row r="791" spans="1:77" s="111" customFormat="1">
      <c r="A791" s="41"/>
      <c r="B791" s="41"/>
      <c r="C791" s="42"/>
      <c r="D791" s="41"/>
      <c r="E791" s="41"/>
      <c r="F791" s="45"/>
      <c r="G791" s="41"/>
      <c r="H791" s="45"/>
      <c r="I791" s="45"/>
      <c r="J791" s="132"/>
      <c r="K791" s="132"/>
      <c r="L791" s="45"/>
      <c r="M791" s="45"/>
      <c r="N791" s="51"/>
      <c r="O791" s="51"/>
      <c r="P791" s="45"/>
      <c r="Q791" s="45"/>
      <c r="R791" s="45"/>
      <c r="S791" s="41"/>
      <c r="T791" s="42"/>
      <c r="U791" s="41"/>
      <c r="V791" s="164"/>
      <c r="W791" s="41"/>
      <c r="X791" s="41"/>
      <c r="Y791" s="41"/>
      <c r="Z791" s="41"/>
      <c r="AA791" s="164"/>
      <c r="AB791" s="325"/>
      <c r="AC791" s="45"/>
      <c r="AD791" s="45"/>
      <c r="AE791" s="46"/>
      <c r="AF791" s="46"/>
      <c r="AG791" s="99"/>
      <c r="AH791" s="45"/>
      <c r="AI791" s="51"/>
      <c r="AJ791" s="51"/>
      <c r="AK791" s="99"/>
      <c r="AL791" s="45"/>
      <c r="AM791" s="45"/>
      <c r="AN791" s="45"/>
      <c r="AO791" s="46"/>
      <c r="AP791" s="46"/>
      <c r="AR791" s="41"/>
      <c r="AS791" s="41"/>
      <c r="AT791" s="41"/>
      <c r="AU791" s="41"/>
      <c r="AV791" s="41"/>
      <c r="AW791" s="49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</row>
    <row r="792" spans="1:77" s="111" customFormat="1">
      <c r="A792" s="41"/>
      <c r="B792" s="41"/>
      <c r="C792" s="41"/>
      <c r="D792" s="41"/>
      <c r="E792" s="41"/>
      <c r="F792" s="49"/>
      <c r="G792" s="41"/>
      <c r="H792" s="49"/>
      <c r="I792" s="49"/>
      <c r="J792" s="41"/>
      <c r="K792" s="41"/>
      <c r="L792" s="49"/>
      <c r="M792" s="49"/>
      <c r="N792" s="55"/>
      <c r="O792" s="55"/>
      <c r="P792" s="54"/>
      <c r="Q792" s="54"/>
      <c r="R792" s="54"/>
      <c r="S792" s="41"/>
      <c r="T792" s="41"/>
      <c r="U792" s="41"/>
      <c r="V792" s="49"/>
      <c r="W792" s="41"/>
      <c r="X792" s="41"/>
      <c r="Y792" s="41"/>
      <c r="Z792" s="41"/>
      <c r="AA792" s="49"/>
      <c r="AB792" s="41"/>
      <c r="AC792" s="49"/>
      <c r="AD792" s="49"/>
      <c r="AE792" s="49"/>
      <c r="AF792" s="49"/>
      <c r="AG792" s="107"/>
      <c r="AH792" s="49"/>
      <c r="AI792" s="49"/>
      <c r="AJ792" s="49"/>
      <c r="AK792" s="107"/>
      <c r="AL792" s="49"/>
      <c r="AM792" s="49"/>
      <c r="AN792" s="49"/>
      <c r="AO792" s="49"/>
      <c r="AP792" s="49"/>
      <c r="AR792" s="41"/>
      <c r="AS792" s="41"/>
      <c r="AT792" s="41"/>
      <c r="AU792" s="41"/>
      <c r="AV792" s="41"/>
      <c r="AW792" s="49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</row>
    <row r="793" spans="1:77" s="111" customForma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4"/>
      <c r="U793" s="41"/>
      <c r="V793" s="45"/>
      <c r="W793" s="41"/>
      <c r="X793" s="41"/>
      <c r="Y793" s="41"/>
      <c r="Z793" s="41"/>
      <c r="AA793" s="45"/>
      <c r="AB793" s="47"/>
      <c r="AC793" s="45"/>
      <c r="AD793" s="45"/>
      <c r="AE793" s="46"/>
      <c r="AF793" s="46"/>
      <c r="AG793" s="99"/>
      <c r="AH793" s="41"/>
      <c r="AI793" s="51"/>
      <c r="AJ793" s="51"/>
      <c r="AK793" s="99"/>
      <c r="AL793" s="45"/>
      <c r="AM793" s="45"/>
      <c r="AN793" s="45"/>
      <c r="AO793" s="46"/>
      <c r="AP793" s="46"/>
      <c r="AR793" s="41"/>
      <c r="AS793" s="41"/>
      <c r="AT793" s="41"/>
      <c r="AU793" s="41"/>
      <c r="AV793" s="41"/>
      <c r="AW793" s="49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</row>
    <row r="794" spans="1:77">
      <c r="V794" s="49"/>
      <c r="AA794" s="49"/>
      <c r="AC794" s="49"/>
      <c r="AD794" s="49"/>
      <c r="AE794" s="49"/>
      <c r="AF794" s="49"/>
      <c r="AG794" s="107"/>
      <c r="AH794" s="49"/>
      <c r="AI794" s="49"/>
      <c r="AJ794" s="49"/>
      <c r="AK794" s="107"/>
      <c r="AL794" s="49"/>
      <c r="AM794" s="49"/>
      <c r="AN794" s="49"/>
      <c r="AO794" s="49"/>
      <c r="AP794" s="49"/>
      <c r="AW794" s="49"/>
    </row>
    <row r="795" spans="1:77">
      <c r="AW795" s="49"/>
    </row>
    <row r="796" spans="1:77">
      <c r="AW796" s="49"/>
    </row>
    <row r="797" spans="1:77" s="111" customForma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5"/>
      <c r="O797" s="45"/>
      <c r="P797" s="45"/>
      <c r="Q797" s="45"/>
      <c r="R797" s="45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99"/>
      <c r="AH797" s="41"/>
      <c r="AI797" s="41"/>
      <c r="AJ797" s="41"/>
      <c r="AK797" s="99"/>
      <c r="AL797" s="41"/>
      <c r="AM797" s="41"/>
      <c r="AN797" s="41"/>
      <c r="AO797" s="41"/>
      <c r="AP797" s="41"/>
      <c r="AR797" s="41"/>
      <c r="AS797" s="41"/>
      <c r="AT797" s="41"/>
      <c r="AU797" s="41"/>
      <c r="AV797" s="41"/>
      <c r="AW797" s="49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</row>
    <row r="798" spans="1:77" s="111" customFormat="1">
      <c r="A798" s="41"/>
      <c r="B798" s="41"/>
      <c r="C798" s="42"/>
      <c r="D798" s="42"/>
      <c r="E798" s="42"/>
      <c r="F798" s="41"/>
      <c r="G798" s="41"/>
      <c r="H798" s="41"/>
      <c r="I798" s="41"/>
      <c r="J798" s="56"/>
      <c r="K798" s="56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99"/>
      <c r="AH798" s="41"/>
      <c r="AI798" s="41"/>
      <c r="AJ798" s="41"/>
      <c r="AK798" s="99"/>
      <c r="AL798" s="41"/>
      <c r="AM798" s="41"/>
      <c r="AN798" s="41"/>
      <c r="AO798" s="41"/>
      <c r="AP798" s="41"/>
      <c r="AR798" s="41"/>
      <c r="AS798" s="41"/>
      <c r="AT798" s="41"/>
      <c r="AU798" s="41"/>
      <c r="AV798" s="41"/>
      <c r="AW798" s="49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</row>
    <row r="799" spans="1:77" s="111" customFormat="1">
      <c r="A799" s="41"/>
      <c r="B799" s="41"/>
      <c r="C799" s="41"/>
      <c r="D799" s="42"/>
      <c r="E799" s="42"/>
      <c r="F799" s="45"/>
      <c r="G799" s="41"/>
      <c r="H799" s="45"/>
      <c r="I799" s="45"/>
      <c r="J799" s="132"/>
      <c r="K799" s="132"/>
      <c r="L799" s="45"/>
      <c r="M799" s="45"/>
      <c r="N799" s="46"/>
      <c r="O799" s="46"/>
      <c r="P799" s="45"/>
      <c r="Q799" s="45"/>
      <c r="R799" s="45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99"/>
      <c r="AH799" s="41"/>
      <c r="AI799" s="41"/>
      <c r="AJ799" s="41"/>
      <c r="AK799" s="99"/>
      <c r="AL799" s="41"/>
      <c r="AM799" s="41"/>
      <c r="AN799" s="41"/>
      <c r="AO799" s="41"/>
      <c r="AP799" s="41"/>
      <c r="AR799" s="41"/>
      <c r="AS799" s="41"/>
      <c r="AT799" s="41"/>
      <c r="AU799" s="41"/>
      <c r="AV799" s="41"/>
      <c r="AW799" s="49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</row>
    <row r="800" spans="1:77" s="111" customFormat="1">
      <c r="A800" s="41"/>
      <c r="B800" s="41"/>
      <c r="C800" s="41"/>
      <c r="D800" s="41"/>
      <c r="E800" s="41"/>
      <c r="F800" s="45"/>
      <c r="G800" s="41"/>
      <c r="H800" s="45"/>
      <c r="I800" s="45"/>
      <c r="J800" s="326"/>
      <c r="K800" s="326"/>
      <c r="L800" s="45"/>
      <c r="M800" s="45"/>
      <c r="N800" s="45"/>
      <c r="O800" s="45"/>
      <c r="P800" s="45"/>
      <c r="Q800" s="45"/>
      <c r="R800" s="45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99"/>
      <c r="AH800" s="41"/>
      <c r="AI800" s="41"/>
      <c r="AJ800" s="41"/>
      <c r="AK800" s="99"/>
      <c r="AL800" s="41"/>
      <c r="AM800" s="41"/>
      <c r="AN800" s="41"/>
      <c r="AO800" s="41"/>
      <c r="AP800" s="41"/>
      <c r="AR800" s="41"/>
      <c r="AS800" s="41"/>
      <c r="AT800" s="41"/>
      <c r="AU800" s="41"/>
      <c r="AV800" s="41"/>
      <c r="AW800" s="49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</row>
    <row r="801" spans="1:77" s="111" customFormat="1">
      <c r="A801" s="41"/>
      <c r="B801" s="41"/>
      <c r="C801" s="42"/>
      <c r="D801" s="41"/>
      <c r="E801" s="41"/>
      <c r="F801" s="164"/>
      <c r="G801" s="41"/>
      <c r="H801" s="164"/>
      <c r="I801" s="164"/>
      <c r="J801" s="325"/>
      <c r="K801" s="325"/>
      <c r="L801" s="45"/>
      <c r="M801" s="45"/>
      <c r="N801" s="46"/>
      <c r="O801" s="46"/>
      <c r="P801" s="45"/>
      <c r="Q801" s="45"/>
      <c r="R801" s="45"/>
      <c r="S801" s="41"/>
      <c r="T801" s="41"/>
      <c r="U801" s="41"/>
      <c r="V801" s="41"/>
      <c r="W801" s="41"/>
      <c r="X801" s="41"/>
      <c r="Y801" s="41"/>
      <c r="Z801" s="41"/>
      <c r="AA801" s="42"/>
      <c r="AB801" s="41"/>
      <c r="AC801" s="41"/>
      <c r="AD801" s="41"/>
      <c r="AE801" s="41"/>
      <c r="AF801" s="41"/>
      <c r="AG801" s="99"/>
      <c r="AH801" s="41"/>
      <c r="AI801" s="41"/>
      <c r="AJ801" s="41"/>
      <c r="AK801" s="99"/>
      <c r="AL801" s="41"/>
      <c r="AM801" s="41"/>
      <c r="AN801" s="41"/>
      <c r="AO801" s="41"/>
      <c r="AP801" s="41"/>
      <c r="AR801" s="41"/>
      <c r="AS801" s="41"/>
      <c r="AT801" s="41"/>
      <c r="AU801" s="41"/>
      <c r="AV801" s="41"/>
      <c r="AW801" s="49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</row>
    <row r="802" spans="1:77" s="111" customFormat="1">
      <c r="A802" s="41"/>
      <c r="B802" s="41"/>
      <c r="C802" s="41"/>
      <c r="D802" s="41"/>
      <c r="E802" s="41"/>
      <c r="F802" s="49"/>
      <c r="G802" s="41"/>
      <c r="H802" s="49"/>
      <c r="I802" s="49"/>
      <c r="J802" s="41"/>
      <c r="K802" s="41"/>
      <c r="L802" s="49"/>
      <c r="M802" s="49"/>
      <c r="N802" s="49"/>
      <c r="O802" s="49"/>
      <c r="P802" s="49"/>
      <c r="Q802" s="49"/>
      <c r="R802" s="49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99"/>
      <c r="AH802" s="41"/>
      <c r="AI802" s="41"/>
      <c r="AJ802" s="41"/>
      <c r="AK802" s="99"/>
      <c r="AL802" s="41"/>
      <c r="AM802" s="41"/>
      <c r="AN802" s="41"/>
      <c r="AO802" s="41"/>
      <c r="AP802" s="41"/>
      <c r="AR802" s="41"/>
      <c r="AS802" s="41"/>
      <c r="AT802" s="41"/>
      <c r="AU802" s="41"/>
      <c r="AV802" s="41"/>
      <c r="AW802" s="49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</row>
    <row r="803" spans="1:77" s="111" customFormat="1">
      <c r="A803" s="41"/>
      <c r="B803" s="41"/>
      <c r="C803" s="44"/>
      <c r="D803" s="41"/>
      <c r="E803" s="41"/>
      <c r="F803" s="164"/>
      <c r="G803" s="41"/>
      <c r="H803" s="164"/>
      <c r="I803" s="164"/>
      <c r="J803" s="316"/>
      <c r="K803" s="316"/>
      <c r="L803" s="164"/>
      <c r="M803" s="164"/>
      <c r="N803" s="46"/>
      <c r="O803" s="46"/>
      <c r="P803" s="164"/>
      <c r="Q803" s="164"/>
      <c r="R803" s="164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2"/>
      <c r="AD803" s="42"/>
      <c r="AE803" s="41"/>
      <c r="AF803" s="41"/>
      <c r="AG803" s="99"/>
      <c r="AH803" s="41"/>
      <c r="AI803" s="41"/>
      <c r="AJ803" s="41"/>
      <c r="AK803" s="99"/>
      <c r="AL803" s="41"/>
      <c r="AM803" s="41"/>
      <c r="AN803" s="41"/>
      <c r="AO803" s="41"/>
      <c r="AP803" s="41"/>
      <c r="AR803" s="41"/>
      <c r="AS803" s="41"/>
      <c r="AT803" s="41"/>
      <c r="AU803" s="41"/>
      <c r="AV803" s="41"/>
      <c r="AW803" s="49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</row>
    <row r="804" spans="1:77" s="111" customFormat="1">
      <c r="A804" s="41"/>
      <c r="B804" s="41"/>
      <c r="C804" s="41"/>
      <c r="D804" s="41"/>
      <c r="E804" s="41"/>
      <c r="F804" s="54"/>
      <c r="G804" s="41"/>
      <c r="H804" s="54"/>
      <c r="I804" s="54"/>
      <c r="J804" s="326"/>
      <c r="K804" s="326"/>
      <c r="L804" s="54"/>
      <c r="M804" s="54"/>
      <c r="N804" s="54"/>
      <c r="O804" s="54"/>
      <c r="P804" s="54"/>
      <c r="Q804" s="54"/>
      <c r="R804" s="54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99"/>
      <c r="AH804" s="41"/>
      <c r="AI804" s="41"/>
      <c r="AJ804" s="41"/>
      <c r="AK804" s="99"/>
      <c r="AL804" s="41"/>
      <c r="AM804" s="42"/>
      <c r="AN804" s="42"/>
      <c r="AO804" s="41"/>
      <c r="AP804" s="41"/>
      <c r="AR804" s="41"/>
      <c r="AS804" s="41"/>
      <c r="AT804" s="41"/>
      <c r="AU804" s="41"/>
      <c r="AV804" s="41"/>
      <c r="AW804" s="49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</row>
    <row r="805" spans="1:77" s="111" customFormat="1">
      <c r="A805" s="41"/>
      <c r="B805" s="41"/>
      <c r="C805" s="41"/>
      <c r="D805" s="41"/>
      <c r="E805" s="41"/>
      <c r="F805" s="164"/>
      <c r="G805" s="41"/>
      <c r="H805" s="164"/>
      <c r="I805" s="164"/>
      <c r="J805" s="336"/>
      <c r="K805" s="336"/>
      <c r="L805" s="45"/>
      <c r="M805" s="45"/>
      <c r="N805" s="46"/>
      <c r="O805" s="46"/>
      <c r="P805" s="45"/>
      <c r="Q805" s="45"/>
      <c r="R805" s="45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99"/>
      <c r="AH805" s="41"/>
      <c r="AI805" s="41"/>
      <c r="AJ805" s="41"/>
      <c r="AK805" s="99"/>
      <c r="AL805" s="41"/>
      <c r="AM805" s="42"/>
      <c r="AN805" s="42"/>
      <c r="AO805" s="41"/>
      <c r="AP805" s="41"/>
      <c r="AR805" s="41"/>
      <c r="AS805" s="41"/>
      <c r="AT805" s="41"/>
      <c r="AU805" s="41"/>
      <c r="AV805" s="41"/>
      <c r="AW805" s="49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</row>
    <row r="806" spans="1:77" s="111" customFormat="1">
      <c r="A806" s="42"/>
      <c r="B806" s="41"/>
      <c r="C806" s="41"/>
      <c r="D806" s="41"/>
      <c r="E806" s="41"/>
      <c r="F806" s="164"/>
      <c r="G806" s="41"/>
      <c r="H806" s="164"/>
      <c r="I806" s="164"/>
      <c r="J806" s="316"/>
      <c r="K806" s="316"/>
      <c r="L806" s="45"/>
      <c r="M806" s="45"/>
      <c r="N806" s="46"/>
      <c r="O806" s="46"/>
      <c r="P806" s="45"/>
      <c r="Q806" s="45"/>
      <c r="R806" s="45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99"/>
      <c r="AH806" s="41"/>
      <c r="AI806" s="41"/>
      <c r="AJ806" s="41"/>
      <c r="AK806" s="99"/>
      <c r="AL806" s="41"/>
      <c r="AM806" s="42"/>
      <c r="AN806" s="42"/>
      <c r="AO806" s="41"/>
      <c r="AP806" s="41"/>
      <c r="AR806" s="41"/>
      <c r="AS806" s="41"/>
      <c r="AT806" s="41"/>
      <c r="AU806" s="41"/>
      <c r="AV806" s="41"/>
      <c r="AW806" s="49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</row>
    <row r="807" spans="1:77" s="111" customFormat="1">
      <c r="A807" s="41"/>
      <c r="B807" s="41"/>
      <c r="C807" s="41"/>
      <c r="D807" s="41"/>
      <c r="E807" s="41"/>
      <c r="F807" s="164"/>
      <c r="G807" s="41"/>
      <c r="H807" s="164"/>
      <c r="I807" s="164"/>
      <c r="J807" s="316"/>
      <c r="K807" s="316"/>
      <c r="L807" s="45"/>
      <c r="M807" s="45"/>
      <c r="N807" s="46"/>
      <c r="O807" s="46"/>
      <c r="P807" s="45"/>
      <c r="Q807" s="45"/>
      <c r="R807" s="45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2"/>
      <c r="AD807" s="42"/>
      <c r="AE807" s="41"/>
      <c r="AF807" s="41"/>
      <c r="AG807" s="99"/>
      <c r="AH807" s="41"/>
      <c r="AI807" s="41"/>
      <c r="AJ807" s="41"/>
      <c r="AK807" s="99"/>
      <c r="AL807" s="41"/>
      <c r="AM807" s="41"/>
      <c r="AN807" s="41"/>
      <c r="AO807" s="41"/>
      <c r="AP807" s="41"/>
      <c r="AR807" s="41"/>
      <c r="AS807" s="41"/>
      <c r="AT807" s="41"/>
      <c r="AU807" s="41"/>
      <c r="AV807" s="41"/>
      <c r="AW807" s="49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</row>
    <row r="808" spans="1:77" s="111" customFormat="1">
      <c r="A808" s="42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107"/>
      <c r="AH808" s="49"/>
      <c r="AI808" s="49"/>
      <c r="AJ808" s="49"/>
      <c r="AK808" s="107"/>
      <c r="AL808" s="49"/>
      <c r="AM808" s="49"/>
      <c r="AN808" s="49"/>
      <c r="AO808" s="49"/>
      <c r="AP808" s="49"/>
      <c r="AR808" s="41"/>
      <c r="AS808" s="41"/>
      <c r="AT808" s="41"/>
      <c r="AU808" s="41"/>
      <c r="AV808" s="41"/>
      <c r="AW808" s="49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</row>
    <row r="809" spans="1:77">
      <c r="AC809" s="44"/>
      <c r="AD809" s="44"/>
      <c r="AE809" s="44"/>
      <c r="AF809" s="44"/>
      <c r="AG809" s="102"/>
      <c r="AH809" s="44"/>
      <c r="AI809" s="44"/>
      <c r="AJ809" s="44"/>
      <c r="AM809" s="44"/>
      <c r="AN809" s="44"/>
      <c r="AO809" s="44"/>
      <c r="AP809" s="44"/>
      <c r="AW809" s="49"/>
    </row>
    <row r="810" spans="1:77" s="111" customForma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4"/>
      <c r="AC810" s="44"/>
      <c r="AD810" s="44"/>
      <c r="AE810" s="44"/>
      <c r="AF810" s="44"/>
      <c r="AG810" s="102"/>
      <c r="AH810" s="44"/>
      <c r="AI810" s="44"/>
      <c r="AJ810" s="44"/>
      <c r="AK810" s="99"/>
      <c r="AL810" s="41"/>
      <c r="AM810" s="44"/>
      <c r="AN810" s="44"/>
      <c r="AO810" s="44"/>
      <c r="AP810" s="44"/>
      <c r="AR810" s="41"/>
      <c r="AS810" s="41"/>
      <c r="AT810" s="41"/>
      <c r="AU810" s="41"/>
      <c r="AV810" s="41"/>
      <c r="AW810" s="49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</row>
    <row r="811" spans="1:77" s="111" customFormat="1">
      <c r="A811" s="41"/>
      <c r="B811" s="41"/>
      <c r="C811" s="41"/>
      <c r="D811" s="41"/>
      <c r="E811" s="41"/>
      <c r="F811" s="41"/>
      <c r="G811" s="41"/>
      <c r="H811" s="42"/>
      <c r="I811" s="42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4"/>
      <c r="U811" s="44"/>
      <c r="V811" s="44"/>
      <c r="W811" s="41"/>
      <c r="X811" s="41"/>
      <c r="Y811" s="41"/>
      <c r="Z811" s="41"/>
      <c r="AA811" s="41"/>
      <c r="AB811" s="44"/>
      <c r="AC811" s="44"/>
      <c r="AD811" s="44"/>
      <c r="AE811" s="44"/>
      <c r="AF811" s="44"/>
      <c r="AG811" s="102"/>
      <c r="AH811" s="44"/>
      <c r="AI811" s="44"/>
      <c r="AJ811" s="44"/>
      <c r="AK811" s="102"/>
      <c r="AL811" s="44"/>
      <c r="AM811" s="44"/>
      <c r="AN811" s="44"/>
      <c r="AO811" s="44"/>
      <c r="AP811" s="44"/>
      <c r="AR811" s="41"/>
      <c r="AS811" s="41"/>
      <c r="AT811" s="41"/>
      <c r="AU811" s="41"/>
      <c r="AV811" s="41"/>
      <c r="AW811" s="49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</row>
    <row r="812" spans="1:77" s="111" customForma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4"/>
      <c r="U812" s="44"/>
      <c r="V812" s="44"/>
      <c r="W812" s="41"/>
      <c r="X812" s="41"/>
      <c r="Y812" s="41"/>
      <c r="Z812" s="41"/>
      <c r="AA812" s="44"/>
      <c r="AB812" s="44"/>
      <c r="AC812" s="44"/>
      <c r="AD812" s="44"/>
      <c r="AE812" s="44"/>
      <c r="AF812" s="44"/>
      <c r="AG812" s="102"/>
      <c r="AH812" s="44"/>
      <c r="AI812" s="44"/>
      <c r="AJ812" s="44"/>
      <c r="AK812" s="102"/>
      <c r="AL812" s="44"/>
      <c r="AM812" s="44"/>
      <c r="AN812" s="44"/>
      <c r="AO812" s="44"/>
      <c r="AP812" s="44"/>
      <c r="AR812" s="41"/>
      <c r="AS812" s="41"/>
      <c r="AT812" s="41"/>
      <c r="AU812" s="41"/>
      <c r="AV812" s="41"/>
      <c r="AW812" s="49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</row>
    <row r="813" spans="1:77" s="111" customForma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2"/>
      <c r="M813" s="42"/>
      <c r="N813" s="41"/>
      <c r="O813" s="41"/>
      <c r="P813" s="41"/>
      <c r="Q813" s="41"/>
      <c r="R813" s="41"/>
      <c r="S813" s="41"/>
      <c r="T813" s="44"/>
      <c r="U813" s="44"/>
      <c r="V813" s="44"/>
      <c r="W813" s="41"/>
      <c r="X813" s="41"/>
      <c r="Y813" s="41"/>
      <c r="Z813" s="41"/>
      <c r="AA813" s="44"/>
      <c r="AB813" s="44"/>
      <c r="AC813" s="44"/>
      <c r="AD813" s="44"/>
      <c r="AE813" s="44"/>
      <c r="AF813" s="44"/>
      <c r="AG813" s="102"/>
      <c r="AH813" s="44"/>
      <c r="AI813" s="44"/>
      <c r="AJ813" s="44"/>
      <c r="AK813" s="102"/>
      <c r="AL813" s="44"/>
      <c r="AM813" s="44"/>
      <c r="AN813" s="44"/>
      <c r="AO813" s="44"/>
      <c r="AP813" s="44"/>
      <c r="AR813" s="41"/>
      <c r="AS813" s="41"/>
      <c r="AT813" s="41"/>
      <c r="AU813" s="41"/>
      <c r="AV813" s="41"/>
      <c r="AW813" s="49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</row>
    <row r="814" spans="1:77" s="111" customForma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2"/>
      <c r="S814" s="41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107"/>
      <c r="AH814" s="49"/>
      <c r="AI814" s="49"/>
      <c r="AJ814" s="49"/>
      <c r="AK814" s="107"/>
      <c r="AL814" s="49"/>
      <c r="AM814" s="49"/>
      <c r="AN814" s="49"/>
      <c r="AO814" s="49"/>
      <c r="AP814" s="49"/>
      <c r="AR814" s="41"/>
      <c r="AS814" s="41"/>
      <c r="AT814" s="41"/>
      <c r="AU814" s="41"/>
      <c r="AV814" s="41"/>
      <c r="AW814" s="49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</row>
    <row r="815" spans="1:77" s="111" customForma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2"/>
      <c r="S815" s="41"/>
      <c r="T815" s="41"/>
      <c r="U815" s="41"/>
      <c r="V815" s="41"/>
      <c r="W815" s="41"/>
      <c r="X815" s="41"/>
      <c r="Y815" s="41"/>
      <c r="Z815" s="41"/>
      <c r="AA815" s="44"/>
      <c r="AB815" s="44"/>
      <c r="AC815" s="44"/>
      <c r="AD815" s="44"/>
      <c r="AE815" s="44"/>
      <c r="AF815" s="44"/>
      <c r="AG815" s="102"/>
      <c r="AH815" s="44"/>
      <c r="AI815" s="44"/>
      <c r="AJ815" s="44"/>
      <c r="AK815" s="102"/>
      <c r="AL815" s="44"/>
      <c r="AM815" s="44"/>
      <c r="AN815" s="44"/>
      <c r="AO815" s="44"/>
      <c r="AP815" s="44"/>
      <c r="AR815" s="41"/>
      <c r="AS815" s="41"/>
      <c r="AT815" s="41"/>
      <c r="AU815" s="41"/>
      <c r="AV815" s="41"/>
      <c r="AW815" s="49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</row>
    <row r="816" spans="1:77" s="111" customFormat="1">
      <c r="A816" s="42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2"/>
      <c r="S816" s="41"/>
      <c r="T816" s="42"/>
      <c r="U816" s="42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99"/>
      <c r="AH816" s="41"/>
      <c r="AI816" s="41"/>
      <c r="AJ816" s="41"/>
      <c r="AK816" s="99"/>
      <c r="AL816" s="41"/>
      <c r="AM816" s="41"/>
      <c r="AN816" s="41"/>
      <c r="AO816" s="41"/>
      <c r="AP816" s="41"/>
      <c r="AR816" s="41"/>
      <c r="AS816" s="41"/>
      <c r="AT816" s="41"/>
      <c r="AU816" s="41"/>
      <c r="AV816" s="41"/>
      <c r="AW816" s="49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</row>
    <row r="817" spans="1:77" s="111" customForma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2"/>
      <c r="M817" s="42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99"/>
      <c r="AH817" s="41"/>
      <c r="AI817" s="41"/>
      <c r="AJ817" s="41"/>
      <c r="AK817" s="99"/>
      <c r="AL817" s="41"/>
      <c r="AM817" s="41"/>
      <c r="AN817" s="41"/>
      <c r="AO817" s="41"/>
      <c r="AP817" s="41"/>
      <c r="AR817" s="41"/>
      <c r="AS817" s="41"/>
      <c r="AT817" s="41"/>
      <c r="AU817" s="41"/>
      <c r="AV817" s="41"/>
      <c r="AW817" s="49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</row>
    <row r="818" spans="1:77" s="111" customForma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1"/>
      <c r="T818" s="42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99"/>
      <c r="AH818" s="41"/>
      <c r="AI818" s="41"/>
      <c r="AJ818" s="41"/>
      <c r="AK818" s="99"/>
      <c r="AL818" s="41"/>
      <c r="AM818" s="41"/>
      <c r="AN818" s="41"/>
      <c r="AO818" s="41"/>
      <c r="AP818" s="41"/>
      <c r="AR818" s="41"/>
      <c r="AS818" s="41"/>
      <c r="AT818" s="41"/>
      <c r="AU818" s="41"/>
      <c r="AV818" s="41"/>
      <c r="AW818" s="49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</row>
    <row r="819" spans="1:77" s="111" customForma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4"/>
      <c r="M819" s="44"/>
      <c r="N819" s="44"/>
      <c r="O819" s="44"/>
      <c r="P819" s="41"/>
      <c r="Q819" s="41"/>
      <c r="R819" s="44"/>
      <c r="S819" s="41"/>
      <c r="T819" s="42"/>
      <c r="U819" s="41"/>
      <c r="V819" s="164"/>
      <c r="W819" s="41"/>
      <c r="X819" s="41"/>
      <c r="Y819" s="41"/>
      <c r="Z819" s="41"/>
      <c r="AA819" s="164"/>
      <c r="AB819" s="326"/>
      <c r="AC819" s="45"/>
      <c r="AD819" s="45"/>
      <c r="AE819" s="46"/>
      <c r="AF819" s="46"/>
      <c r="AG819" s="99"/>
      <c r="AH819" s="45"/>
      <c r="AI819" s="51"/>
      <c r="AJ819" s="51"/>
      <c r="AK819" s="99"/>
      <c r="AL819" s="45"/>
      <c r="AM819" s="45"/>
      <c r="AN819" s="45"/>
      <c r="AO819" s="46"/>
      <c r="AP819" s="46"/>
      <c r="AR819" s="41"/>
      <c r="AS819" s="41"/>
      <c r="AT819" s="41"/>
      <c r="AU819" s="41"/>
      <c r="AV819" s="41"/>
      <c r="AW819" s="49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</row>
    <row r="820" spans="1:77" s="111" customForma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4"/>
      <c r="M820" s="44"/>
      <c r="N820" s="44"/>
      <c r="O820" s="44"/>
      <c r="P820" s="41"/>
      <c r="Q820" s="41"/>
      <c r="R820" s="44"/>
      <c r="S820" s="41"/>
      <c r="T820" s="42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99"/>
      <c r="AH820" s="41"/>
      <c r="AI820" s="41"/>
      <c r="AJ820" s="41"/>
      <c r="AK820" s="99"/>
      <c r="AL820" s="41"/>
      <c r="AM820" s="41"/>
      <c r="AN820" s="41"/>
      <c r="AO820" s="41"/>
      <c r="AP820" s="41"/>
      <c r="AR820" s="41"/>
      <c r="AS820" s="41"/>
      <c r="AT820" s="41"/>
      <c r="AU820" s="41"/>
      <c r="AV820" s="41"/>
      <c r="AW820" s="49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</row>
    <row r="821" spans="1:77" s="111" customFormat="1">
      <c r="A821" s="44"/>
      <c r="B821" s="41"/>
      <c r="C821" s="44"/>
      <c r="D821" s="44"/>
      <c r="E821" s="44"/>
      <c r="F821" s="44"/>
      <c r="G821" s="41"/>
      <c r="H821" s="41"/>
      <c r="I821" s="41"/>
      <c r="J821" s="44"/>
      <c r="K821" s="44"/>
      <c r="L821" s="44"/>
      <c r="M821" s="44"/>
      <c r="N821" s="44"/>
      <c r="O821" s="44"/>
      <c r="P821" s="44"/>
      <c r="Q821" s="44"/>
      <c r="R821" s="44"/>
      <c r="S821" s="41"/>
      <c r="T821" s="42"/>
      <c r="U821" s="41"/>
      <c r="V821" s="45"/>
      <c r="W821" s="41"/>
      <c r="X821" s="41"/>
      <c r="Y821" s="41"/>
      <c r="Z821" s="41"/>
      <c r="AA821" s="45"/>
      <c r="AB821" s="132"/>
      <c r="AC821" s="45"/>
      <c r="AD821" s="45"/>
      <c r="AE821" s="46"/>
      <c r="AF821" s="46"/>
      <c r="AG821" s="99"/>
      <c r="AH821" s="45"/>
      <c r="AI821" s="51"/>
      <c r="AJ821" s="51"/>
      <c r="AK821" s="99"/>
      <c r="AL821" s="45"/>
      <c r="AM821" s="45"/>
      <c r="AN821" s="45"/>
      <c r="AO821" s="46"/>
      <c r="AP821" s="46"/>
      <c r="AR821" s="41"/>
      <c r="AS821" s="41"/>
      <c r="AT821" s="41"/>
      <c r="AU821" s="41"/>
      <c r="AV821" s="41"/>
      <c r="AW821" s="49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</row>
    <row r="822" spans="1:77" s="111" customFormat="1">
      <c r="A822" s="44"/>
      <c r="B822" s="41"/>
      <c r="C822" s="44"/>
      <c r="D822" s="44"/>
      <c r="E822" s="44"/>
      <c r="F822" s="44"/>
      <c r="G822" s="41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1"/>
      <c r="T822" s="42"/>
      <c r="U822" s="41"/>
      <c r="V822" s="45"/>
      <c r="W822" s="41"/>
      <c r="X822" s="41"/>
      <c r="Y822" s="41"/>
      <c r="Z822" s="41"/>
      <c r="AA822" s="45"/>
      <c r="AB822" s="132"/>
      <c r="AC822" s="45"/>
      <c r="AD822" s="45"/>
      <c r="AE822" s="46"/>
      <c r="AF822" s="46"/>
      <c r="AG822" s="99"/>
      <c r="AH822" s="45"/>
      <c r="AI822" s="51"/>
      <c r="AJ822" s="51"/>
      <c r="AK822" s="99"/>
      <c r="AL822" s="45"/>
      <c r="AM822" s="45"/>
      <c r="AN822" s="45"/>
      <c r="AO822" s="46"/>
      <c r="AP822" s="46"/>
      <c r="AR822" s="41"/>
      <c r="AS822" s="41"/>
      <c r="AT822" s="41"/>
      <c r="AU822" s="41"/>
      <c r="AV822" s="41"/>
      <c r="AW822" s="49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</row>
    <row r="823" spans="1:77" s="111" customFormat="1">
      <c r="A823" s="41"/>
      <c r="B823" s="41"/>
      <c r="C823" s="44"/>
      <c r="D823" s="44"/>
      <c r="E823" s="44"/>
      <c r="F823" s="44"/>
      <c r="G823" s="41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1"/>
      <c r="T823" s="42"/>
      <c r="U823" s="41"/>
      <c r="V823" s="45"/>
      <c r="W823" s="41"/>
      <c r="X823" s="41"/>
      <c r="Y823" s="41"/>
      <c r="Z823" s="41"/>
      <c r="AA823" s="45"/>
      <c r="AB823" s="132"/>
      <c r="AC823" s="45"/>
      <c r="AD823" s="45"/>
      <c r="AE823" s="46"/>
      <c r="AF823" s="46"/>
      <c r="AG823" s="99"/>
      <c r="AH823" s="45"/>
      <c r="AI823" s="51"/>
      <c r="AJ823" s="51"/>
      <c r="AK823" s="99"/>
      <c r="AL823" s="45"/>
      <c r="AM823" s="45"/>
      <c r="AN823" s="45"/>
      <c r="AO823" s="46"/>
      <c r="AP823" s="46"/>
      <c r="AR823" s="41"/>
      <c r="AS823" s="41"/>
      <c r="AT823" s="41"/>
      <c r="AU823" s="41"/>
      <c r="AV823" s="41"/>
      <c r="AW823" s="49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</row>
    <row r="824" spans="1:77" s="111" customForma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1"/>
      <c r="T824" s="42"/>
      <c r="U824" s="41"/>
      <c r="V824" s="45"/>
      <c r="W824" s="41"/>
      <c r="X824" s="41"/>
      <c r="Y824" s="41"/>
      <c r="Z824" s="41"/>
      <c r="AA824" s="45"/>
      <c r="AB824" s="132"/>
      <c r="AC824" s="45"/>
      <c r="AD824" s="45"/>
      <c r="AE824" s="46"/>
      <c r="AF824" s="46"/>
      <c r="AG824" s="99"/>
      <c r="AH824" s="45"/>
      <c r="AI824" s="51"/>
      <c r="AJ824" s="51"/>
      <c r="AK824" s="99"/>
      <c r="AL824" s="45"/>
      <c r="AM824" s="45"/>
      <c r="AN824" s="45"/>
      <c r="AO824" s="46"/>
      <c r="AP824" s="46"/>
      <c r="AR824" s="41"/>
      <c r="AS824" s="41"/>
      <c r="AT824" s="41"/>
      <c r="AU824" s="41"/>
      <c r="AV824" s="41"/>
      <c r="AW824" s="49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</row>
    <row r="825" spans="1:77" s="111" customFormat="1">
      <c r="A825" s="41"/>
      <c r="B825" s="41"/>
      <c r="C825" s="41"/>
      <c r="D825" s="41"/>
      <c r="E825" s="41"/>
      <c r="F825" s="41"/>
      <c r="G825" s="41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1"/>
      <c r="T825" s="42"/>
      <c r="U825" s="41"/>
      <c r="V825" s="41"/>
      <c r="W825" s="41"/>
      <c r="X825" s="41"/>
      <c r="Y825" s="41"/>
      <c r="Z825" s="41"/>
      <c r="AA825" s="41"/>
      <c r="AB825" s="56"/>
      <c r="AC825" s="41"/>
      <c r="AD825" s="41"/>
      <c r="AE825" s="41"/>
      <c r="AF825" s="41"/>
      <c r="AG825" s="99"/>
      <c r="AH825" s="41"/>
      <c r="AI825" s="41"/>
      <c r="AJ825" s="41"/>
      <c r="AK825" s="99"/>
      <c r="AL825" s="41"/>
      <c r="AM825" s="41"/>
      <c r="AN825" s="41"/>
      <c r="AO825" s="41"/>
      <c r="AP825" s="41"/>
      <c r="AR825" s="41"/>
      <c r="AS825" s="41"/>
      <c r="AT825" s="41"/>
      <c r="AU825" s="41"/>
      <c r="AV825" s="41"/>
      <c r="AW825" s="49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</row>
    <row r="826" spans="1:77" s="111" customFormat="1">
      <c r="A826" s="41"/>
      <c r="B826" s="41"/>
      <c r="C826" s="42"/>
      <c r="D826" s="42"/>
      <c r="E826" s="42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2"/>
      <c r="U826" s="41"/>
      <c r="V826" s="45"/>
      <c r="W826" s="41"/>
      <c r="X826" s="41"/>
      <c r="Y826" s="41"/>
      <c r="Z826" s="41"/>
      <c r="AA826" s="45"/>
      <c r="AB826" s="132"/>
      <c r="AC826" s="45"/>
      <c r="AD826" s="45"/>
      <c r="AE826" s="46"/>
      <c r="AF826" s="46"/>
      <c r="AG826" s="99"/>
      <c r="AH826" s="45"/>
      <c r="AI826" s="51"/>
      <c r="AJ826" s="51"/>
      <c r="AK826" s="99"/>
      <c r="AL826" s="45"/>
      <c r="AM826" s="45"/>
      <c r="AN826" s="45"/>
      <c r="AO826" s="46"/>
      <c r="AP826" s="46"/>
      <c r="AR826" s="41"/>
      <c r="AS826" s="41"/>
      <c r="AT826" s="41"/>
      <c r="AU826" s="41"/>
      <c r="AV826" s="41"/>
      <c r="AW826" s="49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</row>
    <row r="827" spans="1:77">
      <c r="T827" s="42"/>
      <c r="V827" s="45"/>
      <c r="AA827" s="45"/>
      <c r="AB827" s="132"/>
      <c r="AC827" s="45"/>
      <c r="AD827" s="45"/>
      <c r="AE827" s="46"/>
      <c r="AF827" s="46"/>
      <c r="AH827" s="45"/>
      <c r="AI827" s="51"/>
      <c r="AJ827" s="51"/>
      <c r="AL827" s="45"/>
      <c r="AM827" s="45"/>
      <c r="AN827" s="45"/>
      <c r="AO827" s="46"/>
      <c r="AP827" s="46"/>
      <c r="AW827" s="49"/>
    </row>
    <row r="828" spans="1:77" s="111" customFormat="1">
      <c r="A828" s="41"/>
      <c r="B828" s="41"/>
      <c r="C828" s="42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2"/>
      <c r="U828" s="41"/>
      <c r="V828" s="45"/>
      <c r="W828" s="41"/>
      <c r="X828" s="41"/>
      <c r="Y828" s="41"/>
      <c r="Z828" s="41"/>
      <c r="AA828" s="45"/>
      <c r="AB828" s="132"/>
      <c r="AC828" s="45"/>
      <c r="AD828" s="45"/>
      <c r="AE828" s="46"/>
      <c r="AF828" s="46"/>
      <c r="AG828" s="99"/>
      <c r="AH828" s="45"/>
      <c r="AI828" s="51"/>
      <c r="AJ828" s="51"/>
      <c r="AK828" s="99"/>
      <c r="AL828" s="45"/>
      <c r="AM828" s="45"/>
      <c r="AN828" s="45"/>
      <c r="AO828" s="46"/>
      <c r="AP828" s="46"/>
      <c r="AR828" s="41"/>
      <c r="AS828" s="41"/>
      <c r="AT828" s="41"/>
      <c r="AU828" s="41"/>
      <c r="AV828" s="41"/>
      <c r="AW828" s="49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</row>
    <row r="829" spans="1:77" s="111" customFormat="1">
      <c r="A829" s="41"/>
      <c r="B829" s="41"/>
      <c r="C829" s="42"/>
      <c r="D829" s="41"/>
      <c r="E829" s="41"/>
      <c r="F829" s="164"/>
      <c r="G829" s="41"/>
      <c r="H829" s="164"/>
      <c r="I829" s="164"/>
      <c r="J829" s="326"/>
      <c r="K829" s="326"/>
      <c r="L829" s="45"/>
      <c r="M829" s="45"/>
      <c r="N829" s="46"/>
      <c r="O829" s="46"/>
      <c r="P829" s="45"/>
      <c r="Q829" s="45"/>
      <c r="R829" s="45"/>
      <c r="S829" s="41"/>
      <c r="T829" s="42"/>
      <c r="U829" s="41"/>
      <c r="V829" s="41"/>
      <c r="W829" s="41"/>
      <c r="X829" s="41"/>
      <c r="Y829" s="41"/>
      <c r="Z829" s="41"/>
      <c r="AA829" s="41"/>
      <c r="AB829" s="56"/>
      <c r="AC829" s="41"/>
      <c r="AD829" s="41"/>
      <c r="AE829" s="41"/>
      <c r="AF829" s="41"/>
      <c r="AG829" s="99"/>
      <c r="AH829" s="41"/>
      <c r="AI829" s="41"/>
      <c r="AJ829" s="41"/>
      <c r="AK829" s="99"/>
      <c r="AL829" s="41"/>
      <c r="AM829" s="41"/>
      <c r="AN829" s="41"/>
      <c r="AO829" s="41"/>
      <c r="AP829" s="41"/>
      <c r="AR829" s="41"/>
      <c r="AS829" s="41"/>
      <c r="AT829" s="41"/>
      <c r="AU829" s="41"/>
      <c r="AV829" s="41"/>
      <c r="AW829" s="49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</row>
    <row r="830" spans="1:77" s="111" customFormat="1">
      <c r="A830" s="41"/>
      <c r="B830" s="41"/>
      <c r="C830" s="42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2"/>
      <c r="U830" s="41"/>
      <c r="V830" s="45"/>
      <c r="W830" s="41"/>
      <c r="X830" s="41"/>
      <c r="Y830" s="41"/>
      <c r="Z830" s="41"/>
      <c r="AA830" s="45"/>
      <c r="AB830" s="132"/>
      <c r="AC830" s="45"/>
      <c r="AD830" s="45"/>
      <c r="AE830" s="46"/>
      <c r="AF830" s="46"/>
      <c r="AG830" s="99"/>
      <c r="AH830" s="45"/>
      <c r="AI830" s="51"/>
      <c r="AJ830" s="51"/>
      <c r="AK830" s="99"/>
      <c r="AL830" s="45"/>
      <c r="AM830" s="45"/>
      <c r="AN830" s="45"/>
      <c r="AO830" s="46"/>
      <c r="AP830" s="46"/>
      <c r="AR830" s="41"/>
      <c r="AS830" s="41"/>
      <c r="AT830" s="41"/>
      <c r="AU830" s="41"/>
      <c r="AV830" s="41"/>
      <c r="AW830" s="49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</row>
    <row r="831" spans="1:77" s="111" customFormat="1">
      <c r="A831" s="41"/>
      <c r="B831" s="41"/>
      <c r="C831" s="42"/>
      <c r="D831" s="41"/>
      <c r="E831" s="41"/>
      <c r="F831" s="164"/>
      <c r="G831" s="41"/>
      <c r="H831" s="164"/>
      <c r="I831" s="164"/>
      <c r="J831" s="132"/>
      <c r="K831" s="132"/>
      <c r="L831" s="45"/>
      <c r="M831" s="45"/>
      <c r="N831" s="46"/>
      <c r="O831" s="46"/>
      <c r="P831" s="45"/>
      <c r="Q831" s="45"/>
      <c r="R831" s="45"/>
      <c r="S831" s="41"/>
      <c r="T831" s="42"/>
      <c r="U831" s="41"/>
      <c r="V831" s="45"/>
      <c r="W831" s="41"/>
      <c r="X831" s="41"/>
      <c r="Y831" s="41"/>
      <c r="Z831" s="41"/>
      <c r="AA831" s="45"/>
      <c r="AB831" s="132"/>
      <c r="AC831" s="45"/>
      <c r="AD831" s="45"/>
      <c r="AE831" s="46"/>
      <c r="AF831" s="46"/>
      <c r="AG831" s="99"/>
      <c r="AH831" s="45"/>
      <c r="AI831" s="51"/>
      <c r="AJ831" s="51"/>
      <c r="AK831" s="99"/>
      <c r="AL831" s="45"/>
      <c r="AM831" s="45"/>
      <c r="AN831" s="45"/>
      <c r="AO831" s="46"/>
      <c r="AP831" s="46"/>
      <c r="AR831" s="41"/>
      <c r="AS831" s="41"/>
      <c r="AT831" s="41"/>
      <c r="AU831" s="41"/>
      <c r="AV831" s="41"/>
      <c r="AW831" s="49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</row>
    <row r="832" spans="1:77" s="111" customFormat="1">
      <c r="A832" s="41"/>
      <c r="B832" s="41"/>
      <c r="C832" s="42"/>
      <c r="D832" s="41"/>
      <c r="E832" s="41"/>
      <c r="F832" s="164"/>
      <c r="G832" s="41"/>
      <c r="H832" s="164"/>
      <c r="I832" s="164"/>
      <c r="J832" s="132"/>
      <c r="K832" s="132"/>
      <c r="L832" s="45"/>
      <c r="M832" s="45"/>
      <c r="N832" s="46"/>
      <c r="O832" s="46"/>
      <c r="P832" s="45"/>
      <c r="Q832" s="45"/>
      <c r="R832" s="45"/>
      <c r="S832" s="41"/>
      <c r="T832" s="42"/>
      <c r="U832" s="41"/>
      <c r="V832" s="41"/>
      <c r="W832" s="41"/>
      <c r="X832" s="41"/>
      <c r="Y832" s="41"/>
      <c r="Z832" s="41"/>
      <c r="AA832" s="41"/>
      <c r="AB832" s="56"/>
      <c r="AC832" s="41"/>
      <c r="AD832" s="41"/>
      <c r="AE832" s="41"/>
      <c r="AF832" s="41"/>
      <c r="AG832" s="99"/>
      <c r="AH832" s="41"/>
      <c r="AI832" s="41"/>
      <c r="AJ832" s="41"/>
      <c r="AK832" s="99"/>
      <c r="AL832" s="41"/>
      <c r="AM832" s="41"/>
      <c r="AN832" s="41"/>
      <c r="AO832" s="41"/>
      <c r="AP832" s="41"/>
      <c r="AR832" s="41"/>
      <c r="AS832" s="41"/>
      <c r="AT832" s="41"/>
      <c r="AU832" s="41"/>
      <c r="AV832" s="41"/>
      <c r="AW832" s="49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</row>
    <row r="833" spans="1:77" s="111" customFormat="1">
      <c r="A833" s="41"/>
      <c r="B833" s="41"/>
      <c r="C833" s="42"/>
      <c r="D833" s="41"/>
      <c r="E833" s="41"/>
      <c r="F833" s="164"/>
      <c r="G833" s="41"/>
      <c r="H833" s="164"/>
      <c r="I833" s="164"/>
      <c r="J833" s="132"/>
      <c r="K833" s="132"/>
      <c r="L833" s="45"/>
      <c r="M833" s="45"/>
      <c r="N833" s="46"/>
      <c r="O833" s="46"/>
      <c r="P833" s="45"/>
      <c r="Q833" s="45"/>
      <c r="R833" s="45"/>
      <c r="S833" s="41"/>
      <c r="T833" s="42"/>
      <c r="U833" s="41"/>
      <c r="V833" s="45"/>
      <c r="W833" s="41"/>
      <c r="X833" s="41"/>
      <c r="Y833" s="41"/>
      <c r="Z833" s="41"/>
      <c r="AA833" s="45"/>
      <c r="AB833" s="132"/>
      <c r="AC833" s="45"/>
      <c r="AD833" s="45"/>
      <c r="AE833" s="46"/>
      <c r="AF833" s="46"/>
      <c r="AG833" s="99"/>
      <c r="AH833" s="45"/>
      <c r="AI833" s="51"/>
      <c r="AJ833" s="51"/>
      <c r="AK833" s="99"/>
      <c r="AL833" s="45"/>
      <c r="AM833" s="45"/>
      <c r="AN833" s="45"/>
      <c r="AO833" s="46"/>
      <c r="AP833" s="46"/>
      <c r="AR833" s="41"/>
      <c r="AS833" s="41"/>
      <c r="AT833" s="41"/>
      <c r="AU833" s="41"/>
      <c r="AV833" s="41"/>
      <c r="AW833" s="49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</row>
    <row r="834" spans="1:77" s="111" customFormat="1">
      <c r="A834" s="41"/>
      <c r="B834" s="41"/>
      <c r="C834" s="42"/>
      <c r="D834" s="41"/>
      <c r="E834" s="41"/>
      <c r="F834" s="164"/>
      <c r="G834" s="41"/>
      <c r="H834" s="164"/>
      <c r="I834" s="164"/>
      <c r="J834" s="132"/>
      <c r="K834" s="132"/>
      <c r="L834" s="45"/>
      <c r="M834" s="45"/>
      <c r="N834" s="46"/>
      <c r="O834" s="46"/>
      <c r="P834" s="45"/>
      <c r="Q834" s="45"/>
      <c r="R834" s="45"/>
      <c r="S834" s="41"/>
      <c r="T834" s="42"/>
      <c r="U834" s="41"/>
      <c r="V834" s="45"/>
      <c r="W834" s="41"/>
      <c r="X834" s="41"/>
      <c r="Y834" s="41"/>
      <c r="Z834" s="41"/>
      <c r="AA834" s="45"/>
      <c r="AB834" s="132"/>
      <c r="AC834" s="45"/>
      <c r="AD834" s="45"/>
      <c r="AE834" s="46"/>
      <c r="AF834" s="46"/>
      <c r="AG834" s="99"/>
      <c r="AH834" s="45"/>
      <c r="AI834" s="51"/>
      <c r="AJ834" s="51"/>
      <c r="AK834" s="99"/>
      <c r="AL834" s="45"/>
      <c r="AM834" s="45"/>
      <c r="AN834" s="45"/>
      <c r="AO834" s="46"/>
      <c r="AP834" s="46"/>
      <c r="AR834" s="41"/>
      <c r="AS834" s="41"/>
      <c r="AT834" s="41"/>
      <c r="AU834" s="41"/>
      <c r="AV834" s="41"/>
      <c r="AW834" s="49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</row>
    <row r="835" spans="1:77" s="111" customFormat="1">
      <c r="A835" s="41"/>
      <c r="B835" s="41"/>
      <c r="C835" s="42"/>
      <c r="D835" s="41"/>
      <c r="E835" s="41"/>
      <c r="F835" s="41"/>
      <c r="G835" s="41"/>
      <c r="H835" s="41"/>
      <c r="I835" s="41"/>
      <c r="J835" s="56"/>
      <c r="K835" s="56"/>
      <c r="L835" s="41"/>
      <c r="M835" s="41"/>
      <c r="N835" s="41"/>
      <c r="O835" s="41"/>
      <c r="P835" s="41"/>
      <c r="Q835" s="41"/>
      <c r="R835" s="41"/>
      <c r="S835" s="41"/>
      <c r="T835" s="42"/>
      <c r="U835" s="41"/>
      <c r="V835" s="45"/>
      <c r="W835" s="41"/>
      <c r="X835" s="41"/>
      <c r="Y835" s="41"/>
      <c r="Z835" s="41"/>
      <c r="AA835" s="45"/>
      <c r="AB835" s="132"/>
      <c r="AC835" s="45"/>
      <c r="AD835" s="45"/>
      <c r="AE835" s="46"/>
      <c r="AF835" s="46"/>
      <c r="AG835" s="99"/>
      <c r="AH835" s="45"/>
      <c r="AI835" s="51"/>
      <c r="AJ835" s="51"/>
      <c r="AK835" s="99"/>
      <c r="AL835" s="45"/>
      <c r="AM835" s="45"/>
      <c r="AN835" s="45"/>
      <c r="AO835" s="46"/>
      <c r="AP835" s="46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</row>
    <row r="836" spans="1:77" s="111" customFormat="1">
      <c r="A836" s="41"/>
      <c r="B836" s="41"/>
      <c r="C836" s="42"/>
      <c r="D836" s="41"/>
      <c r="E836" s="41"/>
      <c r="F836" s="164"/>
      <c r="G836" s="41"/>
      <c r="H836" s="164"/>
      <c r="I836" s="164"/>
      <c r="J836" s="132"/>
      <c r="K836" s="132"/>
      <c r="L836" s="45"/>
      <c r="M836" s="45"/>
      <c r="N836" s="46"/>
      <c r="O836" s="46"/>
      <c r="P836" s="45"/>
      <c r="Q836" s="45"/>
      <c r="R836" s="45"/>
      <c r="S836" s="41"/>
      <c r="T836" s="41"/>
      <c r="U836" s="41"/>
      <c r="V836" s="50"/>
      <c r="W836" s="41"/>
      <c r="X836" s="41"/>
      <c r="Y836" s="41"/>
      <c r="Z836" s="41"/>
      <c r="AA836" s="50"/>
      <c r="AB836" s="132"/>
      <c r="AC836" s="50"/>
      <c r="AD836" s="50"/>
      <c r="AE836" s="50"/>
      <c r="AF836" s="50"/>
      <c r="AH836" s="50"/>
      <c r="AI836" s="41"/>
      <c r="AJ836" s="41"/>
      <c r="AL836" s="50"/>
      <c r="AM836" s="50"/>
      <c r="AN836" s="50"/>
      <c r="AO836" s="41"/>
      <c r="AP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</row>
    <row r="837" spans="1:77" s="111" customFormat="1">
      <c r="A837" s="41"/>
      <c r="B837" s="41"/>
      <c r="C837" s="42"/>
      <c r="D837" s="41"/>
      <c r="E837" s="41"/>
      <c r="F837" s="164"/>
      <c r="G837" s="41"/>
      <c r="H837" s="164"/>
      <c r="I837" s="164"/>
      <c r="J837" s="132"/>
      <c r="K837" s="132"/>
      <c r="L837" s="45"/>
      <c r="M837" s="45"/>
      <c r="N837" s="46"/>
      <c r="O837" s="46"/>
      <c r="P837" s="45"/>
      <c r="Q837" s="45"/>
      <c r="R837" s="45"/>
      <c r="S837" s="41"/>
      <c r="T837" s="44"/>
      <c r="U837" s="41"/>
      <c r="V837" s="45"/>
      <c r="W837" s="41"/>
      <c r="X837" s="41"/>
      <c r="Y837" s="41"/>
      <c r="Z837" s="41"/>
      <c r="AA837" s="45"/>
      <c r="AB837" s="56"/>
      <c r="AC837" s="45"/>
      <c r="AD837" s="45"/>
      <c r="AE837" s="45"/>
      <c r="AF837" s="45"/>
      <c r="AG837" s="99"/>
      <c r="AH837" s="45"/>
      <c r="AI837" s="51"/>
      <c r="AJ837" s="51"/>
      <c r="AK837" s="99"/>
      <c r="AL837" s="45"/>
      <c r="AM837" s="45"/>
      <c r="AN837" s="45"/>
      <c r="AO837" s="46"/>
      <c r="AP837" s="46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</row>
    <row r="838" spans="1:77" s="111" customFormat="1">
      <c r="A838" s="41"/>
      <c r="B838" s="41"/>
      <c r="C838" s="42"/>
      <c r="D838" s="41"/>
      <c r="E838" s="41"/>
      <c r="F838" s="164"/>
      <c r="G838" s="41"/>
      <c r="H838" s="164"/>
      <c r="I838" s="164"/>
      <c r="J838" s="132"/>
      <c r="K838" s="132"/>
      <c r="L838" s="45"/>
      <c r="M838" s="45"/>
      <c r="N838" s="46"/>
      <c r="O838" s="46"/>
      <c r="P838" s="45"/>
      <c r="Q838" s="45"/>
      <c r="R838" s="45"/>
      <c r="S838" s="41"/>
      <c r="T838" s="41"/>
      <c r="U838" s="41"/>
      <c r="V838" s="50"/>
      <c r="W838" s="41"/>
      <c r="X838" s="41"/>
      <c r="Y838" s="41"/>
      <c r="Z838" s="41"/>
      <c r="AA838" s="50"/>
      <c r="AB838" s="132"/>
      <c r="AC838" s="50"/>
      <c r="AD838" s="50"/>
      <c r="AE838" s="50"/>
      <c r="AF838" s="50"/>
      <c r="AH838" s="50"/>
      <c r="AI838" s="41"/>
      <c r="AJ838" s="41"/>
      <c r="AL838" s="50"/>
      <c r="AM838" s="50"/>
      <c r="AN838" s="50"/>
      <c r="AO838" s="41"/>
      <c r="AP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</row>
    <row r="839" spans="1:77" s="111" customFormat="1">
      <c r="A839" s="41"/>
      <c r="B839" s="41"/>
      <c r="C839" s="42"/>
      <c r="D839" s="41"/>
      <c r="E839" s="41"/>
      <c r="F839" s="41"/>
      <c r="G839" s="41"/>
      <c r="H839" s="41"/>
      <c r="I839" s="41"/>
      <c r="J839" s="56"/>
      <c r="K839" s="56"/>
      <c r="L839" s="41"/>
      <c r="M839" s="41"/>
      <c r="N839" s="41"/>
      <c r="O839" s="41"/>
      <c r="P839" s="41"/>
      <c r="Q839" s="41"/>
      <c r="R839" s="41"/>
      <c r="S839" s="41"/>
      <c r="T839" s="42"/>
      <c r="U839" s="41"/>
      <c r="V839" s="41"/>
      <c r="W839" s="41"/>
      <c r="X839" s="41"/>
      <c r="Y839" s="41"/>
      <c r="Z839" s="41"/>
      <c r="AA839" s="41"/>
      <c r="AB839" s="56"/>
      <c r="AC839" s="41"/>
      <c r="AD839" s="41"/>
      <c r="AE839" s="41"/>
      <c r="AF839" s="41"/>
      <c r="AG839" s="99"/>
      <c r="AH839" s="41"/>
      <c r="AI839" s="41"/>
      <c r="AJ839" s="41"/>
      <c r="AK839" s="99"/>
      <c r="AL839" s="41"/>
      <c r="AM839" s="41"/>
      <c r="AN839" s="41"/>
      <c r="AO839" s="41"/>
      <c r="AP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</row>
    <row r="840" spans="1:77" s="111" customFormat="1">
      <c r="A840" s="41"/>
      <c r="B840" s="41"/>
      <c r="C840" s="42"/>
      <c r="D840" s="41"/>
      <c r="E840" s="41"/>
      <c r="F840" s="164"/>
      <c r="G840" s="41"/>
      <c r="H840" s="164"/>
      <c r="I840" s="164"/>
      <c r="J840" s="132"/>
      <c r="K840" s="132"/>
      <c r="L840" s="45"/>
      <c r="M840" s="45"/>
      <c r="N840" s="46"/>
      <c r="O840" s="46"/>
      <c r="P840" s="45"/>
      <c r="Q840" s="45"/>
      <c r="R840" s="45"/>
      <c r="S840" s="41"/>
      <c r="T840" s="42"/>
      <c r="U840" s="41"/>
      <c r="V840" s="41"/>
      <c r="W840" s="41"/>
      <c r="X840" s="41"/>
      <c r="Y840" s="41"/>
      <c r="Z840" s="41"/>
      <c r="AA840" s="41"/>
      <c r="AB840" s="56"/>
      <c r="AC840" s="41"/>
      <c r="AD840" s="41"/>
      <c r="AE840" s="41"/>
      <c r="AF840" s="41"/>
      <c r="AG840" s="99"/>
      <c r="AH840" s="41"/>
      <c r="AI840" s="41"/>
      <c r="AJ840" s="41"/>
      <c r="AK840" s="99"/>
      <c r="AL840" s="41"/>
      <c r="AM840" s="41"/>
      <c r="AN840" s="41"/>
      <c r="AO840" s="41"/>
      <c r="AP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</row>
    <row r="841" spans="1:77" s="111" customFormat="1">
      <c r="A841" s="41"/>
      <c r="B841" s="41"/>
      <c r="C841" s="42"/>
      <c r="D841" s="41"/>
      <c r="E841" s="41"/>
      <c r="F841" s="164"/>
      <c r="G841" s="41"/>
      <c r="H841" s="164"/>
      <c r="I841" s="164"/>
      <c r="J841" s="132"/>
      <c r="K841" s="132"/>
      <c r="L841" s="45"/>
      <c r="M841" s="45"/>
      <c r="N841" s="46"/>
      <c r="O841" s="46"/>
      <c r="P841" s="45"/>
      <c r="Q841" s="45"/>
      <c r="R841" s="45"/>
      <c r="S841" s="41"/>
      <c r="T841" s="42"/>
      <c r="U841" s="41"/>
      <c r="V841" s="45"/>
      <c r="W841" s="41"/>
      <c r="X841" s="41"/>
      <c r="Y841" s="41"/>
      <c r="Z841" s="41"/>
      <c r="AA841" s="45"/>
      <c r="AB841" s="132"/>
      <c r="AC841" s="45"/>
      <c r="AD841" s="45"/>
      <c r="AE841" s="46"/>
      <c r="AF841" s="46"/>
      <c r="AG841" s="99"/>
      <c r="AH841" s="45"/>
      <c r="AI841" s="51"/>
      <c r="AJ841" s="51"/>
      <c r="AK841" s="99"/>
      <c r="AL841" s="45"/>
      <c r="AM841" s="45"/>
      <c r="AN841" s="45"/>
      <c r="AO841" s="46"/>
      <c r="AP841" s="46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</row>
    <row r="842" spans="1:77" s="111" customFormat="1">
      <c r="A842" s="41"/>
      <c r="B842" s="41"/>
      <c r="C842" s="42"/>
      <c r="D842" s="41"/>
      <c r="E842" s="41"/>
      <c r="F842" s="41"/>
      <c r="G842" s="41"/>
      <c r="H842" s="41"/>
      <c r="I842" s="41"/>
      <c r="J842" s="56"/>
      <c r="K842" s="56"/>
      <c r="L842" s="41"/>
      <c r="M842" s="41"/>
      <c r="N842" s="41"/>
      <c r="O842" s="41"/>
      <c r="P842" s="41"/>
      <c r="Q842" s="41"/>
      <c r="R842" s="41"/>
      <c r="S842" s="41"/>
      <c r="T842" s="42"/>
      <c r="U842" s="41"/>
      <c r="V842" s="45"/>
      <c r="W842" s="41"/>
      <c r="X842" s="41"/>
      <c r="Y842" s="41"/>
      <c r="Z842" s="41"/>
      <c r="AA842" s="45"/>
      <c r="AB842" s="132"/>
      <c r="AC842" s="45"/>
      <c r="AD842" s="45"/>
      <c r="AE842" s="46"/>
      <c r="AF842" s="46"/>
      <c r="AG842" s="99"/>
      <c r="AH842" s="45"/>
      <c r="AI842" s="51"/>
      <c r="AJ842" s="51"/>
      <c r="AK842" s="99"/>
      <c r="AL842" s="45"/>
      <c r="AM842" s="45"/>
      <c r="AN842" s="45"/>
      <c r="AO842" s="46"/>
      <c r="AP842" s="46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</row>
    <row r="843" spans="1:77" s="111" customFormat="1">
      <c r="A843" s="41"/>
      <c r="B843" s="41"/>
      <c r="C843" s="42"/>
      <c r="D843" s="41"/>
      <c r="E843" s="41"/>
      <c r="F843" s="164"/>
      <c r="G843" s="41"/>
      <c r="H843" s="164"/>
      <c r="I843" s="164"/>
      <c r="J843" s="132"/>
      <c r="K843" s="132"/>
      <c r="L843" s="45"/>
      <c r="M843" s="45"/>
      <c r="N843" s="46"/>
      <c r="O843" s="46"/>
      <c r="P843" s="45"/>
      <c r="Q843" s="45"/>
      <c r="R843" s="45"/>
      <c r="S843" s="41"/>
      <c r="T843" s="42"/>
      <c r="U843" s="41"/>
      <c r="V843" s="45"/>
      <c r="W843" s="41"/>
      <c r="X843" s="41"/>
      <c r="Y843" s="41"/>
      <c r="Z843" s="41"/>
      <c r="AA843" s="45"/>
      <c r="AB843" s="132"/>
      <c r="AC843" s="45"/>
      <c r="AD843" s="45"/>
      <c r="AE843" s="46"/>
      <c r="AF843" s="46"/>
      <c r="AG843" s="99"/>
      <c r="AH843" s="45"/>
      <c r="AI843" s="51"/>
      <c r="AJ843" s="51"/>
      <c r="AK843" s="99"/>
      <c r="AL843" s="45"/>
      <c r="AM843" s="45"/>
      <c r="AN843" s="45"/>
      <c r="AO843" s="46"/>
      <c r="AP843" s="46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</row>
    <row r="844" spans="1:77" s="111" customFormat="1">
      <c r="A844" s="41"/>
      <c r="B844" s="41"/>
      <c r="C844" s="42"/>
      <c r="D844" s="41"/>
      <c r="E844" s="41"/>
      <c r="F844" s="164"/>
      <c r="G844" s="41"/>
      <c r="H844" s="164"/>
      <c r="I844" s="164"/>
      <c r="J844" s="132"/>
      <c r="K844" s="132"/>
      <c r="L844" s="45"/>
      <c r="M844" s="45"/>
      <c r="N844" s="46"/>
      <c r="O844" s="46"/>
      <c r="P844" s="45"/>
      <c r="Q844" s="45"/>
      <c r="R844" s="45"/>
      <c r="S844" s="41"/>
      <c r="T844" s="42"/>
      <c r="U844" s="41"/>
      <c r="V844" s="45"/>
      <c r="W844" s="41"/>
      <c r="X844" s="41"/>
      <c r="Y844" s="41"/>
      <c r="Z844" s="41"/>
      <c r="AA844" s="45"/>
      <c r="AB844" s="132"/>
      <c r="AC844" s="45"/>
      <c r="AD844" s="45"/>
      <c r="AE844" s="46"/>
      <c r="AF844" s="46"/>
      <c r="AG844" s="99"/>
      <c r="AH844" s="45"/>
      <c r="AI844" s="51"/>
      <c r="AJ844" s="51"/>
      <c r="AK844" s="99"/>
      <c r="AL844" s="45"/>
      <c r="AM844" s="45"/>
      <c r="AN844" s="45"/>
      <c r="AO844" s="46"/>
      <c r="AP844" s="46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</row>
    <row r="845" spans="1:77" s="111" customFormat="1">
      <c r="A845" s="41"/>
      <c r="B845" s="41"/>
      <c r="C845" s="42"/>
      <c r="D845" s="41"/>
      <c r="E845" s="41"/>
      <c r="F845" s="164"/>
      <c r="G845" s="41"/>
      <c r="H845" s="164"/>
      <c r="I845" s="164"/>
      <c r="J845" s="132"/>
      <c r="K845" s="132"/>
      <c r="L845" s="45"/>
      <c r="M845" s="45"/>
      <c r="N845" s="46"/>
      <c r="O845" s="46"/>
      <c r="P845" s="45"/>
      <c r="Q845" s="45"/>
      <c r="R845" s="45"/>
      <c r="S845" s="41"/>
      <c r="T845" s="42"/>
      <c r="U845" s="41"/>
      <c r="V845" s="45"/>
      <c r="W845" s="41"/>
      <c r="X845" s="41"/>
      <c r="Y845" s="41"/>
      <c r="Z845" s="41"/>
      <c r="AA845" s="45"/>
      <c r="AB845" s="132"/>
      <c r="AC845" s="45"/>
      <c r="AD845" s="45"/>
      <c r="AE845" s="46"/>
      <c r="AF845" s="46"/>
      <c r="AG845" s="99"/>
      <c r="AH845" s="45"/>
      <c r="AI845" s="51"/>
      <c r="AJ845" s="51"/>
      <c r="AK845" s="99"/>
      <c r="AL845" s="45"/>
      <c r="AM845" s="45"/>
      <c r="AN845" s="45"/>
      <c r="AO845" s="46"/>
      <c r="AP845" s="46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</row>
    <row r="846" spans="1:77" s="111" customFormat="1">
      <c r="A846" s="41"/>
      <c r="B846" s="41"/>
      <c r="C846" s="41"/>
      <c r="D846" s="41"/>
      <c r="E846" s="41"/>
      <c r="F846" s="50"/>
      <c r="G846" s="41"/>
      <c r="H846" s="50"/>
      <c r="I846" s="50"/>
      <c r="J846" s="132"/>
      <c r="K846" s="132"/>
      <c r="L846" s="50"/>
      <c r="M846" s="50"/>
      <c r="N846" s="50"/>
      <c r="O846" s="50"/>
      <c r="P846" s="50"/>
      <c r="Q846" s="50"/>
      <c r="R846" s="50"/>
      <c r="S846" s="41"/>
      <c r="T846" s="42"/>
      <c r="U846" s="41"/>
      <c r="V846" s="45"/>
      <c r="W846" s="41"/>
      <c r="X846" s="41"/>
      <c r="Y846" s="41"/>
      <c r="Z846" s="41"/>
      <c r="AA846" s="45"/>
      <c r="AB846" s="132"/>
      <c r="AC846" s="45"/>
      <c r="AD846" s="45"/>
      <c r="AE846" s="46"/>
      <c r="AF846" s="46"/>
      <c r="AG846" s="99"/>
      <c r="AH846" s="45"/>
      <c r="AI846" s="51"/>
      <c r="AJ846" s="51"/>
      <c r="AK846" s="99"/>
      <c r="AL846" s="45"/>
      <c r="AM846" s="45"/>
      <c r="AN846" s="45"/>
      <c r="AO846" s="46"/>
      <c r="AP846" s="46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</row>
    <row r="847" spans="1:77" s="111" customFormat="1">
      <c r="A847" s="41"/>
      <c r="B847" s="41"/>
      <c r="C847" s="44"/>
      <c r="D847" s="41"/>
      <c r="E847" s="41"/>
      <c r="F847" s="45"/>
      <c r="G847" s="41"/>
      <c r="H847" s="45"/>
      <c r="I847" s="45"/>
      <c r="J847" s="56"/>
      <c r="K847" s="56"/>
      <c r="L847" s="45"/>
      <c r="M847" s="45"/>
      <c r="N847" s="51"/>
      <c r="O847" s="51"/>
      <c r="P847" s="45"/>
      <c r="Q847" s="45"/>
      <c r="R847" s="45"/>
      <c r="S847" s="41"/>
      <c r="T847" s="42"/>
      <c r="U847" s="41"/>
      <c r="V847" s="45"/>
      <c r="W847" s="41"/>
      <c r="X847" s="41"/>
      <c r="Y847" s="41"/>
      <c r="Z847" s="41"/>
      <c r="AA847" s="45"/>
      <c r="AB847" s="132"/>
      <c r="AC847" s="45"/>
      <c r="AD847" s="45"/>
      <c r="AE847" s="46"/>
      <c r="AF847" s="46"/>
      <c r="AG847" s="99"/>
      <c r="AH847" s="45"/>
      <c r="AI847" s="51"/>
      <c r="AJ847" s="51"/>
      <c r="AK847" s="99"/>
      <c r="AL847" s="45"/>
      <c r="AM847" s="45"/>
      <c r="AN847" s="45"/>
      <c r="AO847" s="46"/>
      <c r="AP847" s="46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</row>
    <row r="848" spans="1:77" s="111" customFormat="1">
      <c r="A848" s="41"/>
      <c r="B848" s="41"/>
      <c r="C848" s="41"/>
      <c r="D848" s="41"/>
      <c r="E848" s="41"/>
      <c r="F848" s="50"/>
      <c r="G848" s="41"/>
      <c r="H848" s="50"/>
      <c r="I848" s="50"/>
      <c r="J848" s="132"/>
      <c r="K848" s="132"/>
      <c r="L848" s="50"/>
      <c r="M848" s="50"/>
      <c r="N848" s="50"/>
      <c r="O848" s="50"/>
      <c r="P848" s="50"/>
      <c r="Q848" s="50"/>
      <c r="R848" s="50"/>
      <c r="S848" s="41"/>
      <c r="T848" s="42"/>
      <c r="U848" s="41"/>
      <c r="V848" s="41"/>
      <c r="W848" s="41"/>
      <c r="X848" s="41"/>
      <c r="Y848" s="41"/>
      <c r="Z848" s="41"/>
      <c r="AA848" s="41"/>
      <c r="AB848" s="56"/>
      <c r="AC848" s="41"/>
      <c r="AD848" s="41"/>
      <c r="AE848" s="41"/>
      <c r="AF848" s="41"/>
      <c r="AG848" s="99"/>
      <c r="AH848" s="41"/>
      <c r="AI848" s="41"/>
      <c r="AJ848" s="41"/>
      <c r="AK848" s="99"/>
      <c r="AL848" s="41"/>
      <c r="AM848" s="41"/>
      <c r="AN848" s="41"/>
      <c r="AO848" s="41"/>
      <c r="AP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</row>
    <row r="849" spans="1:77" s="111" customFormat="1">
      <c r="A849" s="41"/>
      <c r="B849" s="41"/>
      <c r="C849" s="42"/>
      <c r="D849" s="41"/>
      <c r="E849" s="41"/>
      <c r="F849" s="41"/>
      <c r="G849" s="41"/>
      <c r="H849" s="41"/>
      <c r="I849" s="41"/>
      <c r="J849" s="56"/>
      <c r="K849" s="56"/>
      <c r="L849" s="41"/>
      <c r="M849" s="41"/>
      <c r="N849" s="41"/>
      <c r="O849" s="41"/>
      <c r="P849" s="41"/>
      <c r="Q849" s="41"/>
      <c r="R849" s="41"/>
      <c r="S849" s="41"/>
      <c r="T849" s="42"/>
      <c r="U849" s="41"/>
      <c r="V849" s="45"/>
      <c r="W849" s="41"/>
      <c r="X849" s="41"/>
      <c r="Y849" s="41"/>
      <c r="Z849" s="41"/>
      <c r="AA849" s="45"/>
      <c r="AB849" s="132"/>
      <c r="AC849" s="45"/>
      <c r="AD849" s="45"/>
      <c r="AE849" s="46"/>
      <c r="AF849" s="46"/>
      <c r="AG849" s="99"/>
      <c r="AH849" s="45"/>
      <c r="AI849" s="51"/>
      <c r="AJ849" s="51"/>
      <c r="AK849" s="99"/>
      <c r="AL849" s="45"/>
      <c r="AM849" s="45"/>
      <c r="AN849" s="45"/>
      <c r="AO849" s="46"/>
      <c r="AP849" s="46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</row>
    <row r="850" spans="1:77" s="111" customFormat="1">
      <c r="A850" s="41"/>
      <c r="B850" s="41"/>
      <c r="C850" s="42"/>
      <c r="D850" s="41"/>
      <c r="E850" s="41"/>
      <c r="F850" s="41"/>
      <c r="G850" s="41"/>
      <c r="H850" s="41"/>
      <c r="I850" s="41"/>
      <c r="J850" s="56"/>
      <c r="K850" s="56"/>
      <c r="L850" s="41"/>
      <c r="M850" s="41"/>
      <c r="N850" s="41"/>
      <c r="O850" s="41"/>
      <c r="P850" s="41"/>
      <c r="Q850" s="41"/>
      <c r="R850" s="41"/>
      <c r="S850" s="41"/>
      <c r="T850" s="42"/>
      <c r="U850" s="41"/>
      <c r="V850" s="45"/>
      <c r="W850" s="41"/>
      <c r="X850" s="41"/>
      <c r="Y850" s="41"/>
      <c r="Z850" s="41"/>
      <c r="AA850" s="45"/>
      <c r="AB850" s="132"/>
      <c r="AC850" s="45"/>
      <c r="AD850" s="45"/>
      <c r="AE850" s="46"/>
      <c r="AF850" s="46"/>
      <c r="AG850" s="99"/>
      <c r="AH850" s="45"/>
      <c r="AI850" s="51"/>
      <c r="AJ850" s="51"/>
      <c r="AK850" s="99"/>
      <c r="AL850" s="45"/>
      <c r="AM850" s="45"/>
      <c r="AN850" s="45"/>
      <c r="AO850" s="46"/>
      <c r="AP850" s="46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</row>
    <row r="851" spans="1:77" s="111" customFormat="1">
      <c r="A851" s="41"/>
      <c r="B851" s="41"/>
      <c r="C851" s="42"/>
      <c r="D851" s="41"/>
      <c r="E851" s="41"/>
      <c r="F851" s="164"/>
      <c r="G851" s="41"/>
      <c r="H851" s="164"/>
      <c r="I851" s="164"/>
      <c r="J851" s="132"/>
      <c r="K851" s="132"/>
      <c r="L851" s="45"/>
      <c r="M851" s="45"/>
      <c r="N851" s="46"/>
      <c r="O851" s="46"/>
      <c r="P851" s="45"/>
      <c r="Q851" s="45"/>
      <c r="R851" s="45"/>
      <c r="S851" s="41"/>
      <c r="T851" s="42"/>
      <c r="U851" s="41"/>
      <c r="V851" s="45"/>
      <c r="W851" s="41"/>
      <c r="X851" s="41"/>
      <c r="Y851" s="41"/>
      <c r="Z851" s="41"/>
      <c r="AA851" s="45"/>
      <c r="AB851" s="132"/>
      <c r="AC851" s="45"/>
      <c r="AD851" s="45"/>
      <c r="AE851" s="46"/>
      <c r="AF851" s="46"/>
      <c r="AG851" s="99"/>
      <c r="AH851" s="45"/>
      <c r="AI851" s="51"/>
      <c r="AJ851" s="51"/>
      <c r="AK851" s="99"/>
      <c r="AL851" s="45"/>
      <c r="AM851" s="45"/>
      <c r="AN851" s="45"/>
      <c r="AO851" s="46"/>
      <c r="AP851" s="46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</row>
    <row r="852" spans="1:77" s="111" customFormat="1">
      <c r="A852" s="41"/>
      <c r="B852" s="41"/>
      <c r="C852" s="42"/>
      <c r="D852" s="41"/>
      <c r="E852" s="41"/>
      <c r="F852" s="164"/>
      <c r="G852" s="41"/>
      <c r="H852" s="164"/>
      <c r="I852" s="164"/>
      <c r="J852" s="132"/>
      <c r="K852" s="132"/>
      <c r="L852" s="45"/>
      <c r="M852" s="45"/>
      <c r="N852" s="46"/>
      <c r="O852" s="46"/>
      <c r="P852" s="45"/>
      <c r="Q852" s="45"/>
      <c r="R852" s="45"/>
      <c r="S852" s="41"/>
      <c r="T852" s="42"/>
      <c r="U852" s="41"/>
      <c r="V852" s="45"/>
      <c r="W852" s="41"/>
      <c r="X852" s="41"/>
      <c r="Y852" s="41"/>
      <c r="Z852" s="41"/>
      <c r="AA852" s="45"/>
      <c r="AB852" s="132"/>
      <c r="AC852" s="45"/>
      <c r="AD852" s="45"/>
      <c r="AE852" s="46"/>
      <c r="AF852" s="46"/>
      <c r="AG852" s="99"/>
      <c r="AH852" s="45"/>
      <c r="AI852" s="51"/>
      <c r="AJ852" s="51"/>
      <c r="AK852" s="99"/>
      <c r="AL852" s="45"/>
      <c r="AM852" s="45"/>
      <c r="AN852" s="45"/>
      <c r="AO852" s="46"/>
      <c r="AP852" s="46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</row>
    <row r="853" spans="1:77" s="111" customFormat="1">
      <c r="A853" s="41"/>
      <c r="B853" s="41"/>
      <c r="C853" s="42"/>
      <c r="D853" s="41"/>
      <c r="E853" s="41"/>
      <c r="F853" s="164"/>
      <c r="G853" s="41"/>
      <c r="H853" s="164"/>
      <c r="I853" s="164"/>
      <c r="J853" s="132"/>
      <c r="K853" s="132"/>
      <c r="L853" s="45"/>
      <c r="M853" s="45"/>
      <c r="N853" s="46"/>
      <c r="O853" s="46"/>
      <c r="P853" s="45"/>
      <c r="Q853" s="45"/>
      <c r="R853" s="45"/>
      <c r="S853" s="41"/>
      <c r="T853" s="42"/>
      <c r="U853" s="41"/>
      <c r="V853" s="41"/>
      <c r="W853" s="41"/>
      <c r="X853" s="41"/>
      <c r="Y853" s="41"/>
      <c r="Z853" s="41"/>
      <c r="AA853" s="41"/>
      <c r="AB853" s="56"/>
      <c r="AC853" s="41"/>
      <c r="AD853" s="41"/>
      <c r="AE853" s="41"/>
      <c r="AF853" s="41"/>
      <c r="AG853" s="99"/>
      <c r="AH853" s="41"/>
      <c r="AI853" s="41"/>
      <c r="AJ853" s="41"/>
      <c r="AK853" s="99"/>
      <c r="AL853" s="41"/>
      <c r="AM853" s="41"/>
      <c r="AN853" s="41"/>
      <c r="AO853" s="41"/>
      <c r="AP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</row>
    <row r="854" spans="1:77" s="111" customFormat="1">
      <c r="A854" s="41"/>
      <c r="B854" s="41"/>
      <c r="C854" s="42"/>
      <c r="D854" s="41"/>
      <c r="E854" s="41"/>
      <c r="F854" s="164"/>
      <c r="G854" s="41"/>
      <c r="H854" s="164"/>
      <c r="I854" s="164"/>
      <c r="J854" s="132"/>
      <c r="K854" s="132"/>
      <c r="L854" s="45"/>
      <c r="M854" s="45"/>
      <c r="N854" s="46"/>
      <c r="O854" s="46"/>
      <c r="P854" s="45"/>
      <c r="Q854" s="45"/>
      <c r="R854" s="45"/>
      <c r="S854" s="41"/>
      <c r="T854" s="42"/>
      <c r="U854" s="41"/>
      <c r="V854" s="45"/>
      <c r="W854" s="41"/>
      <c r="X854" s="41"/>
      <c r="Y854" s="41"/>
      <c r="Z854" s="41"/>
      <c r="AA854" s="45"/>
      <c r="AB854" s="132"/>
      <c r="AC854" s="45"/>
      <c r="AD854" s="45"/>
      <c r="AE854" s="46"/>
      <c r="AF854" s="46"/>
      <c r="AG854" s="99"/>
      <c r="AH854" s="45"/>
      <c r="AI854" s="51"/>
      <c r="AJ854" s="51"/>
      <c r="AK854" s="99"/>
      <c r="AL854" s="45"/>
      <c r="AM854" s="45"/>
      <c r="AN854" s="45"/>
      <c r="AO854" s="46"/>
      <c r="AP854" s="46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</row>
    <row r="855" spans="1:77" s="111" customFormat="1">
      <c r="A855" s="41"/>
      <c r="B855" s="41"/>
      <c r="C855" s="42"/>
      <c r="D855" s="41"/>
      <c r="E855" s="41"/>
      <c r="F855" s="164"/>
      <c r="G855" s="41"/>
      <c r="H855" s="164"/>
      <c r="I855" s="164"/>
      <c r="J855" s="132"/>
      <c r="K855" s="132"/>
      <c r="L855" s="45"/>
      <c r="M855" s="45"/>
      <c r="N855" s="46"/>
      <c r="O855" s="46"/>
      <c r="P855" s="45"/>
      <c r="Q855" s="45"/>
      <c r="R855" s="45"/>
      <c r="S855" s="41"/>
      <c r="T855" s="42"/>
      <c r="U855" s="41"/>
      <c r="V855" s="45"/>
      <c r="W855" s="41"/>
      <c r="X855" s="41"/>
      <c r="Y855" s="41"/>
      <c r="Z855" s="41"/>
      <c r="AA855" s="45"/>
      <c r="AB855" s="132"/>
      <c r="AC855" s="45"/>
      <c r="AD855" s="45"/>
      <c r="AE855" s="46"/>
      <c r="AF855" s="46"/>
      <c r="AG855" s="99"/>
      <c r="AH855" s="45"/>
      <c r="AI855" s="51"/>
      <c r="AJ855" s="51"/>
      <c r="AK855" s="99"/>
      <c r="AL855" s="45"/>
      <c r="AM855" s="45"/>
      <c r="AN855" s="45"/>
      <c r="AO855" s="46"/>
      <c r="AP855" s="46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</row>
    <row r="856" spans="1:77" s="111" customFormat="1">
      <c r="A856" s="41"/>
      <c r="B856" s="41"/>
      <c r="C856" s="42"/>
      <c r="D856" s="41"/>
      <c r="E856" s="41"/>
      <c r="F856" s="164"/>
      <c r="G856" s="41"/>
      <c r="H856" s="164"/>
      <c r="I856" s="164"/>
      <c r="J856" s="132"/>
      <c r="K856" s="132"/>
      <c r="L856" s="45"/>
      <c r="M856" s="45"/>
      <c r="N856" s="46"/>
      <c r="O856" s="46"/>
      <c r="P856" s="45"/>
      <c r="Q856" s="45"/>
      <c r="R856" s="45"/>
      <c r="S856" s="41"/>
      <c r="T856" s="42"/>
      <c r="U856" s="41"/>
      <c r="V856" s="45"/>
      <c r="W856" s="41"/>
      <c r="X856" s="41"/>
      <c r="Y856" s="41"/>
      <c r="Z856" s="41"/>
      <c r="AA856" s="45"/>
      <c r="AB856" s="132"/>
      <c r="AC856" s="45"/>
      <c r="AD856" s="45"/>
      <c r="AE856" s="46"/>
      <c r="AF856" s="46"/>
      <c r="AG856" s="99"/>
      <c r="AH856" s="45"/>
      <c r="AI856" s="51"/>
      <c r="AJ856" s="51"/>
      <c r="AK856" s="99"/>
      <c r="AL856" s="45"/>
      <c r="AM856" s="45"/>
      <c r="AN856" s="45"/>
      <c r="AO856" s="46"/>
      <c r="AP856" s="46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</row>
    <row r="857" spans="1:77" s="111" customFormat="1">
      <c r="A857" s="41"/>
      <c r="B857" s="41"/>
      <c r="C857" s="42"/>
      <c r="D857" s="41"/>
      <c r="E857" s="41"/>
      <c r="F857" s="164"/>
      <c r="G857" s="41"/>
      <c r="H857" s="164"/>
      <c r="I857" s="164"/>
      <c r="J857" s="132"/>
      <c r="K857" s="132"/>
      <c r="L857" s="45"/>
      <c r="M857" s="45"/>
      <c r="N857" s="46"/>
      <c r="O857" s="46"/>
      <c r="P857" s="45"/>
      <c r="Q857" s="45"/>
      <c r="R857" s="45"/>
      <c r="S857" s="41"/>
      <c r="T857" s="42"/>
      <c r="U857" s="41"/>
      <c r="V857" s="45"/>
      <c r="W857" s="41"/>
      <c r="X857" s="41"/>
      <c r="Y857" s="41"/>
      <c r="Z857" s="41"/>
      <c r="AA857" s="45"/>
      <c r="AB857" s="132"/>
      <c r="AC857" s="45"/>
      <c r="AD857" s="45"/>
      <c r="AE857" s="46"/>
      <c r="AF857" s="46"/>
      <c r="AG857" s="99"/>
      <c r="AH857" s="45"/>
      <c r="AI857" s="51"/>
      <c r="AJ857" s="51"/>
      <c r="AK857" s="99"/>
      <c r="AL857" s="45"/>
      <c r="AM857" s="45"/>
      <c r="AN857" s="45"/>
      <c r="AO857" s="46"/>
      <c r="AP857" s="46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</row>
    <row r="858" spans="1:77" s="111" customFormat="1">
      <c r="A858" s="41"/>
      <c r="B858" s="41"/>
      <c r="C858" s="42"/>
      <c r="D858" s="41"/>
      <c r="E858" s="41"/>
      <c r="F858" s="41"/>
      <c r="G858" s="41"/>
      <c r="H858" s="41"/>
      <c r="I858" s="41"/>
      <c r="J858" s="56"/>
      <c r="K858" s="56"/>
      <c r="L858" s="41"/>
      <c r="M858" s="41"/>
      <c r="N858" s="41"/>
      <c r="O858" s="41"/>
      <c r="P858" s="41"/>
      <c r="Q858" s="41"/>
      <c r="R858" s="41"/>
      <c r="S858" s="41"/>
      <c r="T858" s="42"/>
      <c r="U858" s="41"/>
      <c r="V858" s="45"/>
      <c r="W858" s="41"/>
      <c r="X858" s="41"/>
      <c r="Y858" s="41"/>
      <c r="Z858" s="41"/>
      <c r="AA858" s="45"/>
      <c r="AB858" s="132"/>
      <c r="AC858" s="45"/>
      <c r="AD858" s="45"/>
      <c r="AE858" s="46"/>
      <c r="AF858" s="46"/>
      <c r="AG858" s="99"/>
      <c r="AH858" s="45"/>
      <c r="AI858" s="51"/>
      <c r="AJ858" s="51"/>
      <c r="AK858" s="99"/>
      <c r="AL858" s="45"/>
      <c r="AM858" s="45"/>
      <c r="AN858" s="45"/>
      <c r="AO858" s="46"/>
      <c r="AP858" s="46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</row>
    <row r="859" spans="1:77" s="111" customFormat="1">
      <c r="A859" s="41"/>
      <c r="B859" s="41"/>
      <c r="C859" s="42"/>
      <c r="D859" s="41"/>
      <c r="E859" s="41"/>
      <c r="F859" s="164"/>
      <c r="G859" s="41"/>
      <c r="H859" s="164"/>
      <c r="I859" s="164"/>
      <c r="J859" s="132"/>
      <c r="K859" s="132"/>
      <c r="L859" s="45"/>
      <c r="M859" s="45"/>
      <c r="N859" s="46"/>
      <c r="O859" s="46"/>
      <c r="P859" s="45"/>
      <c r="Q859" s="45"/>
      <c r="R859" s="45"/>
      <c r="S859" s="41"/>
      <c r="T859" s="41"/>
      <c r="U859" s="41"/>
      <c r="V859" s="50"/>
      <c r="W859" s="41"/>
      <c r="X859" s="41"/>
      <c r="Y859" s="41"/>
      <c r="Z859" s="41"/>
      <c r="AA859" s="50"/>
      <c r="AB859" s="132"/>
      <c r="AC859" s="50"/>
      <c r="AD859" s="50"/>
      <c r="AE859" s="50"/>
      <c r="AF859" s="50"/>
      <c r="AH859" s="50"/>
      <c r="AI859" s="41"/>
      <c r="AJ859" s="41"/>
      <c r="AL859" s="50"/>
      <c r="AM859" s="50"/>
      <c r="AN859" s="50"/>
      <c r="AO859" s="41"/>
      <c r="AP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</row>
    <row r="860" spans="1:77" s="111" customFormat="1">
      <c r="A860" s="41"/>
      <c r="B860" s="41"/>
      <c r="C860" s="42"/>
      <c r="D860" s="41"/>
      <c r="E860" s="41"/>
      <c r="F860" s="164"/>
      <c r="G860" s="41"/>
      <c r="H860" s="164"/>
      <c r="I860" s="164"/>
      <c r="J860" s="132"/>
      <c r="K860" s="132"/>
      <c r="L860" s="45"/>
      <c r="M860" s="45"/>
      <c r="N860" s="46"/>
      <c r="O860" s="46"/>
      <c r="P860" s="45"/>
      <c r="Q860" s="45"/>
      <c r="R860" s="45"/>
      <c r="S860" s="41"/>
      <c r="T860" s="42"/>
      <c r="U860" s="41"/>
      <c r="V860" s="45"/>
      <c r="W860" s="41"/>
      <c r="X860" s="41"/>
      <c r="Y860" s="41"/>
      <c r="Z860" s="41"/>
      <c r="AA860" s="45"/>
      <c r="AB860" s="41"/>
      <c r="AC860" s="45"/>
      <c r="AD860" s="45"/>
      <c r="AE860" s="46"/>
      <c r="AF860" s="46"/>
      <c r="AG860" s="99"/>
      <c r="AH860" s="45"/>
      <c r="AI860" s="51"/>
      <c r="AJ860" s="51"/>
      <c r="AK860" s="99"/>
      <c r="AL860" s="45"/>
      <c r="AM860" s="45"/>
      <c r="AN860" s="45"/>
      <c r="AO860" s="46"/>
      <c r="AP860" s="46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</row>
    <row r="861" spans="1:77" s="111" customFormat="1">
      <c r="A861" s="41"/>
      <c r="B861" s="41"/>
      <c r="C861" s="42"/>
      <c r="D861" s="41"/>
      <c r="E861" s="41"/>
      <c r="F861" s="164"/>
      <c r="G861" s="41"/>
      <c r="H861" s="164"/>
      <c r="I861" s="164"/>
      <c r="J861" s="132"/>
      <c r="K861" s="132"/>
      <c r="L861" s="45"/>
      <c r="M861" s="45"/>
      <c r="N861" s="46"/>
      <c r="O861" s="46"/>
      <c r="P861" s="45"/>
      <c r="Q861" s="45"/>
      <c r="R861" s="45"/>
      <c r="S861" s="41"/>
      <c r="T861" s="41"/>
      <c r="U861" s="41"/>
      <c r="V861" s="50"/>
      <c r="W861" s="41"/>
      <c r="X861" s="41"/>
      <c r="Y861" s="41"/>
      <c r="Z861" s="41"/>
      <c r="AA861" s="50"/>
      <c r="AB861" s="326"/>
      <c r="AC861" s="50"/>
      <c r="AD861" s="50"/>
      <c r="AE861" s="50"/>
      <c r="AF861" s="50"/>
      <c r="AH861" s="50"/>
      <c r="AI861" s="41"/>
      <c r="AJ861" s="41"/>
      <c r="AL861" s="50"/>
      <c r="AM861" s="50"/>
      <c r="AN861" s="50"/>
      <c r="AO861" s="41"/>
      <c r="AP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</row>
    <row r="862" spans="1:77" s="111" customFormat="1">
      <c r="A862" s="41"/>
      <c r="B862" s="41"/>
      <c r="C862" s="42"/>
      <c r="D862" s="41"/>
      <c r="E862" s="41"/>
      <c r="F862" s="164"/>
      <c r="G862" s="41"/>
      <c r="H862" s="164"/>
      <c r="I862" s="164"/>
      <c r="J862" s="132"/>
      <c r="K862" s="132"/>
      <c r="L862" s="45"/>
      <c r="M862" s="45"/>
      <c r="N862" s="46"/>
      <c r="O862" s="46"/>
      <c r="P862" s="45"/>
      <c r="Q862" s="45"/>
      <c r="R862" s="45"/>
      <c r="S862" s="41"/>
      <c r="T862" s="42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99"/>
      <c r="AH862" s="41"/>
      <c r="AI862" s="41"/>
      <c r="AJ862" s="41"/>
      <c r="AK862" s="99"/>
      <c r="AL862" s="41"/>
      <c r="AM862" s="41"/>
      <c r="AN862" s="41"/>
      <c r="AO862" s="41"/>
      <c r="AP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</row>
    <row r="863" spans="1:77" s="111" customFormat="1">
      <c r="A863" s="41"/>
      <c r="B863" s="41"/>
      <c r="C863" s="42"/>
      <c r="D863" s="41"/>
      <c r="E863" s="41"/>
      <c r="F863" s="41"/>
      <c r="G863" s="41"/>
      <c r="H863" s="41"/>
      <c r="I863" s="41"/>
      <c r="J863" s="56"/>
      <c r="K863" s="56"/>
      <c r="L863" s="41"/>
      <c r="M863" s="41"/>
      <c r="N863" s="41"/>
      <c r="O863" s="41"/>
      <c r="P863" s="41"/>
      <c r="Q863" s="41"/>
      <c r="R863" s="41"/>
      <c r="S863" s="41"/>
      <c r="T863" s="42"/>
      <c r="U863" s="41"/>
      <c r="V863" s="45"/>
      <c r="W863" s="41"/>
      <c r="X863" s="41"/>
      <c r="Y863" s="41"/>
      <c r="Z863" s="41"/>
      <c r="AA863" s="45"/>
      <c r="AB863" s="316"/>
      <c r="AC863" s="45"/>
      <c r="AD863" s="45"/>
      <c r="AE863" s="46"/>
      <c r="AF863" s="46"/>
      <c r="AG863" s="99"/>
      <c r="AH863" s="45"/>
      <c r="AI863" s="51"/>
      <c r="AJ863" s="51"/>
      <c r="AK863" s="99"/>
      <c r="AL863" s="45"/>
      <c r="AM863" s="45"/>
      <c r="AN863" s="45"/>
      <c r="AO863" s="46"/>
      <c r="AP863" s="46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</row>
    <row r="864" spans="1:77" s="111" customFormat="1">
      <c r="A864" s="41"/>
      <c r="B864" s="41"/>
      <c r="C864" s="42"/>
      <c r="D864" s="41"/>
      <c r="E864" s="41"/>
      <c r="F864" s="164"/>
      <c r="G864" s="41"/>
      <c r="H864" s="164"/>
      <c r="I864" s="164"/>
      <c r="J864" s="132"/>
      <c r="K864" s="132"/>
      <c r="L864" s="45"/>
      <c r="M864" s="45"/>
      <c r="N864" s="46"/>
      <c r="O864" s="46"/>
      <c r="P864" s="45"/>
      <c r="Q864" s="45"/>
      <c r="R864" s="45"/>
      <c r="S864" s="41"/>
      <c r="T864" s="42"/>
      <c r="U864" s="41"/>
      <c r="V864" s="45"/>
      <c r="W864" s="41"/>
      <c r="X864" s="41"/>
      <c r="Y864" s="41"/>
      <c r="Z864" s="41"/>
      <c r="AA864" s="45"/>
      <c r="AB864" s="316"/>
      <c r="AC864" s="45"/>
      <c r="AD864" s="45"/>
      <c r="AE864" s="46"/>
      <c r="AF864" s="46"/>
      <c r="AG864" s="99"/>
      <c r="AH864" s="45"/>
      <c r="AI864" s="51"/>
      <c r="AJ864" s="51"/>
      <c r="AK864" s="99"/>
      <c r="AL864" s="45"/>
      <c r="AM864" s="45"/>
      <c r="AN864" s="45"/>
      <c r="AO864" s="46"/>
      <c r="AP864" s="46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</row>
    <row r="865" spans="1:77" s="111" customFormat="1">
      <c r="A865" s="41"/>
      <c r="B865" s="41"/>
      <c r="C865" s="42"/>
      <c r="D865" s="41"/>
      <c r="E865" s="41"/>
      <c r="F865" s="164"/>
      <c r="G865" s="41"/>
      <c r="H865" s="164"/>
      <c r="I865" s="164"/>
      <c r="J865" s="132"/>
      <c r="K865" s="132"/>
      <c r="L865" s="45"/>
      <c r="M865" s="45"/>
      <c r="N865" s="46"/>
      <c r="O865" s="46"/>
      <c r="P865" s="45"/>
      <c r="Q865" s="45"/>
      <c r="R865" s="45"/>
      <c r="S865" s="41"/>
      <c r="T865" s="41"/>
      <c r="U865" s="41"/>
      <c r="V865" s="50"/>
      <c r="W865" s="41"/>
      <c r="X865" s="41"/>
      <c r="Y865" s="41"/>
      <c r="Z865" s="41"/>
      <c r="AA865" s="45"/>
      <c r="AB865" s="326"/>
      <c r="AC865" s="50"/>
      <c r="AD865" s="50"/>
      <c r="AE865" s="50"/>
      <c r="AF865" s="50"/>
      <c r="AH865" s="50"/>
      <c r="AI865" s="41"/>
      <c r="AJ865" s="41"/>
      <c r="AL865" s="50"/>
      <c r="AM865" s="50"/>
      <c r="AN865" s="50"/>
      <c r="AO865" s="41"/>
      <c r="AP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</row>
    <row r="866" spans="1:77" s="111" customFormat="1">
      <c r="A866" s="41"/>
      <c r="B866" s="41"/>
      <c r="C866" s="42"/>
      <c r="D866" s="41"/>
      <c r="E866" s="41"/>
      <c r="F866" s="164"/>
      <c r="G866" s="41"/>
      <c r="H866" s="164"/>
      <c r="I866" s="164"/>
      <c r="J866" s="132"/>
      <c r="K866" s="132"/>
      <c r="L866" s="45"/>
      <c r="M866" s="45"/>
      <c r="N866" s="46"/>
      <c r="O866" s="46"/>
      <c r="P866" s="45"/>
      <c r="Q866" s="45"/>
      <c r="R866" s="45"/>
      <c r="S866" s="41"/>
      <c r="T866" s="41"/>
      <c r="U866" s="41"/>
      <c r="V866" s="45"/>
      <c r="W866" s="41"/>
      <c r="X866" s="41"/>
      <c r="Y866" s="41"/>
      <c r="Z866" s="41"/>
      <c r="AA866" s="45"/>
      <c r="AB866" s="326"/>
      <c r="AC866" s="45"/>
      <c r="AD866" s="45"/>
      <c r="AE866" s="45"/>
      <c r="AF866" s="45"/>
      <c r="AG866" s="99"/>
      <c r="AH866" s="45"/>
      <c r="AI866" s="41"/>
      <c r="AJ866" s="41"/>
      <c r="AK866" s="99"/>
      <c r="AL866" s="45"/>
      <c r="AM866" s="45"/>
      <c r="AN866" s="45"/>
      <c r="AO866" s="41"/>
      <c r="AP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</row>
    <row r="867" spans="1:77" s="111" customFormat="1">
      <c r="A867" s="41"/>
      <c r="B867" s="41"/>
      <c r="C867" s="42"/>
      <c r="D867" s="41"/>
      <c r="E867" s="41"/>
      <c r="F867" s="164"/>
      <c r="G867" s="41"/>
      <c r="H867" s="164"/>
      <c r="I867" s="164"/>
      <c r="J867" s="132"/>
      <c r="K867" s="132"/>
      <c r="L867" s="45"/>
      <c r="M867" s="45"/>
      <c r="N867" s="46"/>
      <c r="O867" s="46"/>
      <c r="P867" s="45"/>
      <c r="Q867" s="45"/>
      <c r="R867" s="45"/>
      <c r="S867" s="41"/>
      <c r="T867" s="42"/>
      <c r="U867" s="41"/>
      <c r="V867" s="45"/>
      <c r="W867" s="41"/>
      <c r="X867" s="41"/>
      <c r="Y867" s="41"/>
      <c r="Z867" s="41"/>
      <c r="AA867" s="45"/>
      <c r="AB867" s="41"/>
      <c r="AC867" s="45"/>
      <c r="AD867" s="45"/>
      <c r="AE867" s="46"/>
      <c r="AF867" s="46"/>
      <c r="AG867" s="99"/>
      <c r="AH867" s="45"/>
      <c r="AI867" s="51"/>
      <c r="AJ867" s="51"/>
      <c r="AK867" s="333"/>
      <c r="AL867" s="164"/>
      <c r="AM867" s="45"/>
      <c r="AN867" s="45"/>
      <c r="AO867" s="46"/>
      <c r="AP867" s="46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</row>
    <row r="868" spans="1:77" s="111" customFormat="1">
      <c r="A868" s="41"/>
      <c r="B868" s="41"/>
      <c r="C868" s="42"/>
      <c r="D868" s="41"/>
      <c r="E868" s="41"/>
      <c r="F868" s="164"/>
      <c r="G868" s="41"/>
      <c r="H868" s="164"/>
      <c r="I868" s="164"/>
      <c r="J868" s="132"/>
      <c r="K868" s="132"/>
      <c r="L868" s="45"/>
      <c r="M868" s="45"/>
      <c r="N868" s="46"/>
      <c r="O868" s="46"/>
      <c r="P868" s="45"/>
      <c r="Q868" s="45"/>
      <c r="R868" s="45"/>
      <c r="S868" s="41"/>
      <c r="T868" s="41"/>
      <c r="U868" s="41"/>
      <c r="V868" s="50"/>
      <c r="W868" s="41"/>
      <c r="X868" s="41"/>
      <c r="Y868" s="41"/>
      <c r="Z868" s="41"/>
      <c r="AA868" s="50"/>
      <c r="AB868" s="326"/>
      <c r="AC868" s="50"/>
      <c r="AD868" s="50"/>
      <c r="AE868" s="50"/>
      <c r="AF868" s="50"/>
      <c r="AH868" s="50"/>
      <c r="AI868" s="41"/>
      <c r="AJ868" s="41"/>
      <c r="AL868" s="50"/>
      <c r="AM868" s="50"/>
      <c r="AN868" s="50"/>
      <c r="AO868" s="41"/>
      <c r="AP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</row>
    <row r="869" spans="1:77" s="111" customFormat="1">
      <c r="A869" s="41"/>
      <c r="B869" s="41"/>
      <c r="C869" s="41"/>
      <c r="D869" s="41"/>
      <c r="E869" s="41"/>
      <c r="F869" s="50"/>
      <c r="G869" s="41"/>
      <c r="H869" s="50"/>
      <c r="I869" s="50"/>
      <c r="J869" s="326"/>
      <c r="K869" s="326"/>
      <c r="L869" s="50"/>
      <c r="M869" s="50"/>
      <c r="N869" s="50"/>
      <c r="O869" s="50"/>
      <c r="P869" s="50"/>
      <c r="Q869" s="50"/>
      <c r="R869" s="50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99"/>
      <c r="AH869" s="41"/>
      <c r="AI869" s="41"/>
      <c r="AJ869" s="41"/>
      <c r="AK869" s="99"/>
      <c r="AL869" s="41"/>
      <c r="AM869" s="41"/>
      <c r="AN869" s="41"/>
      <c r="AO869" s="41"/>
      <c r="AP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</row>
    <row r="870" spans="1:77" s="111" customFormat="1">
      <c r="A870" s="41"/>
      <c r="B870" s="41"/>
      <c r="C870" s="42"/>
      <c r="D870" s="41"/>
      <c r="E870" s="41"/>
      <c r="F870" s="45"/>
      <c r="G870" s="41"/>
      <c r="H870" s="45"/>
      <c r="I870" s="45"/>
      <c r="J870" s="41"/>
      <c r="K870" s="41"/>
      <c r="L870" s="45"/>
      <c r="M870" s="45"/>
      <c r="N870" s="51"/>
      <c r="O870" s="51"/>
      <c r="P870" s="45"/>
      <c r="Q870" s="45"/>
      <c r="R870" s="45"/>
      <c r="S870" s="41"/>
      <c r="T870" s="42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99"/>
      <c r="AH870" s="41"/>
      <c r="AI870" s="41"/>
      <c r="AJ870" s="41"/>
      <c r="AK870" s="99"/>
      <c r="AL870" s="41"/>
      <c r="AM870" s="41"/>
      <c r="AN870" s="41"/>
      <c r="AO870" s="41"/>
      <c r="AP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</row>
    <row r="871" spans="1:77" s="111" customFormat="1">
      <c r="A871" s="41"/>
      <c r="B871" s="41"/>
      <c r="C871" s="41"/>
      <c r="D871" s="41"/>
      <c r="E871" s="41"/>
      <c r="F871" s="50"/>
      <c r="G871" s="41"/>
      <c r="H871" s="50"/>
      <c r="I871" s="50"/>
      <c r="J871" s="326"/>
      <c r="K871" s="326"/>
      <c r="L871" s="50"/>
      <c r="M871" s="50"/>
      <c r="N871" s="50"/>
      <c r="O871" s="50"/>
      <c r="P871" s="50"/>
      <c r="Q871" s="50"/>
      <c r="R871" s="50"/>
      <c r="S871" s="41"/>
      <c r="T871" s="42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99"/>
      <c r="AH871" s="41"/>
      <c r="AI871" s="41"/>
      <c r="AJ871" s="41"/>
      <c r="AK871" s="99"/>
      <c r="AL871" s="41"/>
      <c r="AM871" s="41"/>
      <c r="AN871" s="41"/>
      <c r="AO871" s="41"/>
      <c r="AP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</row>
    <row r="872" spans="1:77" s="111" customFormat="1">
      <c r="A872" s="41"/>
      <c r="B872" s="41"/>
      <c r="C872" s="42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2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99"/>
      <c r="AH872" s="41"/>
      <c r="AI872" s="41"/>
      <c r="AJ872" s="41"/>
      <c r="AK872" s="99"/>
      <c r="AL872" s="41"/>
      <c r="AM872" s="41"/>
      <c r="AN872" s="41"/>
      <c r="AO872" s="41"/>
      <c r="AP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</row>
    <row r="873" spans="1:77" s="111" customFormat="1">
      <c r="A873" s="41"/>
      <c r="B873" s="41"/>
      <c r="C873" s="42"/>
      <c r="D873" s="41"/>
      <c r="E873" s="41"/>
      <c r="F873" s="164"/>
      <c r="G873" s="41"/>
      <c r="H873" s="164"/>
      <c r="I873" s="164"/>
      <c r="J873" s="316"/>
      <c r="K873" s="316"/>
      <c r="L873" s="45"/>
      <c r="M873" s="45"/>
      <c r="N873" s="46"/>
      <c r="O873" s="46"/>
      <c r="P873" s="45"/>
      <c r="Q873" s="45"/>
      <c r="R873" s="45"/>
      <c r="S873" s="41"/>
      <c r="T873" s="42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99"/>
      <c r="AH873" s="41"/>
      <c r="AI873" s="41"/>
      <c r="AJ873" s="41"/>
      <c r="AK873" s="99"/>
      <c r="AL873" s="41"/>
      <c r="AM873" s="41"/>
      <c r="AN873" s="41"/>
      <c r="AO873" s="41"/>
      <c r="AP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</row>
    <row r="874" spans="1:77" s="111" customFormat="1">
      <c r="A874" s="41"/>
      <c r="B874" s="41"/>
      <c r="C874" s="42"/>
      <c r="D874" s="41"/>
      <c r="E874" s="41"/>
      <c r="F874" s="164"/>
      <c r="G874" s="41"/>
      <c r="H874" s="164"/>
      <c r="I874" s="164"/>
      <c r="J874" s="316"/>
      <c r="K874" s="316"/>
      <c r="L874" s="45"/>
      <c r="M874" s="45"/>
      <c r="N874" s="46"/>
      <c r="O874" s="46"/>
      <c r="P874" s="45"/>
      <c r="Q874" s="45"/>
      <c r="R874" s="45"/>
      <c r="S874" s="41"/>
      <c r="T874" s="42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99"/>
      <c r="AH874" s="41"/>
      <c r="AI874" s="41"/>
      <c r="AJ874" s="41"/>
      <c r="AK874" s="99"/>
      <c r="AL874" s="41"/>
      <c r="AM874" s="41"/>
      <c r="AN874" s="41"/>
      <c r="AO874" s="41"/>
      <c r="AP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</row>
    <row r="875" spans="1:77" s="111" customFormat="1">
      <c r="A875" s="41"/>
      <c r="B875" s="41"/>
      <c r="C875" s="41"/>
      <c r="D875" s="41"/>
      <c r="E875" s="41"/>
      <c r="F875" s="50"/>
      <c r="G875" s="41"/>
      <c r="H875" s="45"/>
      <c r="I875" s="45"/>
      <c r="J875" s="326"/>
      <c r="K875" s="326"/>
      <c r="L875" s="50"/>
      <c r="M875" s="50"/>
      <c r="N875" s="50"/>
      <c r="O875" s="50"/>
      <c r="P875" s="50"/>
      <c r="Q875" s="50"/>
      <c r="R875" s="50"/>
      <c r="S875" s="41"/>
      <c r="T875" s="42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99"/>
      <c r="AH875" s="41"/>
      <c r="AI875" s="41"/>
      <c r="AJ875" s="41"/>
      <c r="AK875" s="99"/>
      <c r="AL875" s="41"/>
      <c r="AM875" s="41"/>
      <c r="AN875" s="41"/>
      <c r="AO875" s="41"/>
      <c r="AP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</row>
    <row r="876" spans="1:77" s="111" customFormat="1">
      <c r="A876" s="41"/>
      <c r="B876" s="41"/>
      <c r="C876" s="41"/>
      <c r="D876" s="41"/>
      <c r="E876" s="41"/>
      <c r="F876" s="45"/>
      <c r="G876" s="41"/>
      <c r="H876" s="45"/>
      <c r="I876" s="45"/>
      <c r="J876" s="326"/>
      <c r="K876" s="326"/>
      <c r="L876" s="45"/>
      <c r="M876" s="45"/>
      <c r="N876" s="45"/>
      <c r="O876" s="45"/>
      <c r="P876" s="45"/>
      <c r="Q876" s="45"/>
      <c r="R876" s="45"/>
      <c r="S876" s="41"/>
      <c r="T876" s="42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99"/>
      <c r="AH876" s="41"/>
      <c r="AI876" s="41"/>
      <c r="AJ876" s="41"/>
      <c r="AK876" s="99"/>
      <c r="AL876" s="41"/>
      <c r="AM876" s="41"/>
      <c r="AN876" s="41"/>
      <c r="AO876" s="41"/>
      <c r="AP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</row>
    <row r="877" spans="1:77" s="111" customFormat="1">
      <c r="A877" s="41"/>
      <c r="B877" s="41"/>
      <c r="C877" s="42"/>
      <c r="D877" s="41"/>
      <c r="E877" s="41"/>
      <c r="F877" s="45"/>
      <c r="G877" s="41"/>
      <c r="H877" s="45"/>
      <c r="I877" s="45"/>
      <c r="J877" s="41"/>
      <c r="K877" s="41"/>
      <c r="L877" s="45"/>
      <c r="M877" s="45"/>
      <c r="N877" s="46"/>
      <c r="O877" s="46"/>
      <c r="P877" s="45"/>
      <c r="Q877" s="45"/>
      <c r="R877" s="45"/>
      <c r="S877" s="41"/>
      <c r="T877" s="42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99"/>
      <c r="AH877" s="41"/>
      <c r="AI877" s="41"/>
      <c r="AJ877" s="41"/>
      <c r="AK877" s="99"/>
      <c r="AL877" s="41"/>
      <c r="AM877" s="41"/>
      <c r="AN877" s="41"/>
      <c r="AO877" s="41"/>
      <c r="AP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</row>
    <row r="878" spans="1:77" s="111" customFormat="1">
      <c r="A878" s="41"/>
      <c r="B878" s="41"/>
      <c r="C878" s="41"/>
      <c r="D878" s="41"/>
      <c r="E878" s="41"/>
      <c r="F878" s="41"/>
      <c r="G878" s="41"/>
      <c r="H878" s="50"/>
      <c r="I878" s="50"/>
      <c r="J878" s="326"/>
      <c r="K878" s="326"/>
      <c r="L878" s="50"/>
      <c r="M878" s="50"/>
      <c r="N878" s="50"/>
      <c r="O878" s="50"/>
      <c r="P878" s="50"/>
      <c r="Q878" s="50"/>
      <c r="R878" s="50"/>
      <c r="S878" s="41"/>
      <c r="T878" s="42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99"/>
      <c r="AH878" s="41"/>
      <c r="AI878" s="41"/>
      <c r="AJ878" s="41"/>
      <c r="AK878" s="99"/>
      <c r="AL878" s="41"/>
      <c r="AM878" s="41"/>
      <c r="AN878" s="41"/>
      <c r="AO878" s="41"/>
      <c r="AP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</row>
    <row r="879" spans="1:77" s="111" customFormat="1">
      <c r="A879" s="41"/>
      <c r="B879" s="41"/>
      <c r="C879" s="41"/>
      <c r="D879" s="41"/>
      <c r="E879" s="41"/>
      <c r="F879" s="50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99"/>
      <c r="AH879" s="41"/>
      <c r="AI879" s="41"/>
      <c r="AJ879" s="41"/>
      <c r="AK879" s="99"/>
      <c r="AL879" s="41"/>
      <c r="AM879" s="41"/>
      <c r="AN879" s="41"/>
      <c r="AO879" s="41"/>
      <c r="AP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</row>
    <row r="880" spans="1:77" s="111" customFormat="1">
      <c r="A880" s="42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99"/>
      <c r="AH880" s="41"/>
      <c r="AI880" s="41"/>
      <c r="AJ880" s="41"/>
      <c r="AK880" s="99"/>
      <c r="AL880" s="41"/>
      <c r="AM880" s="41"/>
      <c r="AN880" s="41"/>
      <c r="AO880" s="41"/>
      <c r="AP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</row>
    <row r="881" spans="1:77" s="111" customFormat="1">
      <c r="A881" s="42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99"/>
      <c r="AH881" s="41"/>
      <c r="AI881" s="41"/>
      <c r="AJ881" s="41"/>
      <c r="AK881" s="99"/>
      <c r="AL881" s="41"/>
      <c r="AM881" s="41"/>
      <c r="AN881" s="41"/>
      <c r="AO881" s="41"/>
      <c r="AP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</row>
    <row r="882" spans="1:77" s="111" customFormat="1">
      <c r="A882" s="42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2"/>
      <c r="AB882" s="41"/>
      <c r="AC882" s="41"/>
      <c r="AD882" s="41"/>
      <c r="AE882" s="41"/>
      <c r="AF882" s="41"/>
      <c r="AG882" s="99"/>
      <c r="AH882" s="41"/>
      <c r="AI882" s="41"/>
      <c r="AJ882" s="41"/>
      <c r="AK882" s="99"/>
      <c r="AL882" s="41"/>
      <c r="AM882" s="41"/>
      <c r="AN882" s="41"/>
      <c r="AO882" s="41"/>
      <c r="AP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</row>
    <row r="883" spans="1:77" s="111" customFormat="1">
      <c r="A883" s="42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99"/>
      <c r="AH883" s="41"/>
      <c r="AI883" s="41"/>
      <c r="AJ883" s="41"/>
      <c r="AK883" s="99"/>
      <c r="AL883" s="41"/>
      <c r="AM883" s="41"/>
      <c r="AN883" s="41"/>
      <c r="AO883" s="41"/>
      <c r="AP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</row>
    <row r="884" spans="1:77" s="111" customFormat="1">
      <c r="A884" s="42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2"/>
      <c r="AD884" s="42"/>
      <c r="AE884" s="41"/>
      <c r="AF884" s="41"/>
      <c r="AG884" s="99"/>
      <c r="AH884" s="41"/>
      <c r="AI884" s="41"/>
      <c r="AJ884" s="41"/>
      <c r="AK884" s="99"/>
      <c r="AL884" s="41"/>
      <c r="AM884" s="41"/>
      <c r="AN884" s="41"/>
      <c r="AO884" s="41"/>
      <c r="AP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</row>
    <row r="885" spans="1:77" s="111" customFormat="1">
      <c r="A885" s="42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99"/>
      <c r="AH885" s="41"/>
      <c r="AI885" s="41"/>
      <c r="AJ885" s="41"/>
      <c r="AK885" s="99"/>
      <c r="AL885" s="41"/>
      <c r="AM885" s="42"/>
      <c r="AN885" s="42"/>
      <c r="AO885" s="41"/>
      <c r="AP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</row>
    <row r="886" spans="1:77" s="111" customFormat="1">
      <c r="A886" s="42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99"/>
      <c r="AH886" s="41"/>
      <c r="AI886" s="41"/>
      <c r="AJ886" s="41"/>
      <c r="AK886" s="99"/>
      <c r="AL886" s="41"/>
      <c r="AM886" s="42"/>
      <c r="AN886" s="42"/>
      <c r="AO886" s="41"/>
      <c r="AP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</row>
    <row r="887" spans="1:77" s="111" customFormat="1">
      <c r="A887" s="42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99"/>
      <c r="AH887" s="41"/>
      <c r="AI887" s="41"/>
      <c r="AJ887" s="41"/>
      <c r="AK887" s="99"/>
      <c r="AL887" s="41"/>
      <c r="AM887" s="42"/>
      <c r="AN887" s="42"/>
      <c r="AO887" s="41"/>
      <c r="AP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</row>
    <row r="888" spans="1:77" s="111" customFormat="1">
      <c r="A888" s="42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2"/>
      <c r="AD888" s="42"/>
      <c r="AE888" s="41"/>
      <c r="AF888" s="41"/>
      <c r="AG888" s="99"/>
      <c r="AH888" s="41"/>
      <c r="AI888" s="41"/>
      <c r="AJ888" s="41"/>
      <c r="AK888" s="99"/>
      <c r="AL888" s="41"/>
      <c r="AM888" s="41"/>
      <c r="AN888" s="41"/>
      <c r="AO888" s="41"/>
      <c r="AP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</row>
    <row r="889" spans="1:77"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107"/>
      <c r="AH889" s="49"/>
      <c r="AI889" s="49"/>
      <c r="AJ889" s="49"/>
      <c r="AK889" s="107"/>
      <c r="AL889" s="49"/>
      <c r="AM889" s="49"/>
      <c r="AN889" s="49"/>
      <c r="AO889" s="49"/>
      <c r="AP889" s="49"/>
    </row>
    <row r="890" spans="1:77" s="111" customFormat="1">
      <c r="A890" s="42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4"/>
      <c r="AD890" s="44"/>
      <c r="AE890" s="44"/>
      <c r="AF890" s="44"/>
      <c r="AG890" s="102"/>
      <c r="AH890" s="44"/>
      <c r="AI890" s="44"/>
      <c r="AJ890" s="44"/>
      <c r="AK890" s="99"/>
      <c r="AL890" s="41"/>
      <c r="AM890" s="44"/>
      <c r="AN890" s="44"/>
      <c r="AO890" s="44"/>
      <c r="AP890" s="44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</row>
    <row r="891" spans="1:77" s="111" customForma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4"/>
      <c r="AC891" s="44"/>
      <c r="AD891" s="44"/>
      <c r="AE891" s="44"/>
      <c r="AF891" s="44"/>
      <c r="AG891" s="102"/>
      <c r="AH891" s="44"/>
      <c r="AI891" s="44"/>
      <c r="AJ891" s="44"/>
      <c r="AK891" s="99"/>
      <c r="AL891" s="41"/>
      <c r="AM891" s="44"/>
      <c r="AN891" s="44"/>
      <c r="AO891" s="44"/>
      <c r="AP891" s="44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</row>
    <row r="892" spans="1:77" s="111" customFormat="1">
      <c r="A892" s="41"/>
      <c r="B892" s="41"/>
      <c r="C892" s="41"/>
      <c r="D892" s="41"/>
      <c r="E892" s="41"/>
      <c r="F892" s="41"/>
      <c r="G892" s="41"/>
      <c r="H892" s="42"/>
      <c r="I892" s="42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4"/>
      <c r="U892" s="44"/>
      <c r="V892" s="44"/>
      <c r="W892" s="41"/>
      <c r="X892" s="41"/>
      <c r="Y892" s="41"/>
      <c r="Z892" s="41"/>
      <c r="AA892" s="41"/>
      <c r="AB892" s="44"/>
      <c r="AC892" s="44"/>
      <c r="AD892" s="44"/>
      <c r="AE892" s="44"/>
      <c r="AF892" s="44"/>
      <c r="AG892" s="102"/>
      <c r="AH892" s="44"/>
      <c r="AI892" s="44"/>
      <c r="AJ892" s="44"/>
      <c r="AK892" s="102"/>
      <c r="AL892" s="44"/>
      <c r="AM892" s="44"/>
      <c r="AN892" s="44"/>
      <c r="AO892" s="44"/>
      <c r="AP892" s="44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</row>
    <row r="893" spans="1:77" s="111" customForma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4"/>
      <c r="U893" s="44"/>
      <c r="V893" s="44"/>
      <c r="W893" s="41"/>
      <c r="X893" s="41"/>
      <c r="Y893" s="41"/>
      <c r="Z893" s="41"/>
      <c r="AA893" s="44"/>
      <c r="AB893" s="44"/>
      <c r="AC893" s="44"/>
      <c r="AD893" s="44"/>
      <c r="AE893" s="44"/>
      <c r="AF893" s="44"/>
      <c r="AG893" s="102"/>
      <c r="AH893" s="44"/>
      <c r="AI893" s="44"/>
      <c r="AJ893" s="44"/>
      <c r="AK893" s="102"/>
      <c r="AL893" s="44"/>
      <c r="AM893" s="44"/>
      <c r="AN893" s="44"/>
      <c r="AO893" s="44"/>
      <c r="AP893" s="44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</row>
    <row r="894" spans="1:77" s="111" customForma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2"/>
      <c r="M894" s="42"/>
      <c r="N894" s="41"/>
      <c r="O894" s="41"/>
      <c r="P894" s="41"/>
      <c r="Q894" s="41"/>
      <c r="R894" s="41"/>
      <c r="S894" s="41"/>
      <c r="T894" s="44"/>
      <c r="U894" s="44"/>
      <c r="V894" s="44"/>
      <c r="W894" s="41"/>
      <c r="X894" s="41"/>
      <c r="Y894" s="41"/>
      <c r="Z894" s="41"/>
      <c r="AA894" s="44"/>
      <c r="AB894" s="44"/>
      <c r="AC894" s="44"/>
      <c r="AD894" s="44"/>
      <c r="AE894" s="44"/>
      <c r="AF894" s="44"/>
      <c r="AG894" s="102"/>
      <c r="AH894" s="44"/>
      <c r="AI894" s="44"/>
      <c r="AJ894" s="44"/>
      <c r="AK894" s="102"/>
      <c r="AL894" s="44"/>
      <c r="AM894" s="44"/>
      <c r="AN894" s="44"/>
      <c r="AO894" s="44"/>
      <c r="AP894" s="44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</row>
    <row r="895" spans="1:77" s="111" customForma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2"/>
      <c r="S895" s="41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107"/>
      <c r="AH895" s="49"/>
      <c r="AI895" s="49"/>
      <c r="AJ895" s="49"/>
      <c r="AK895" s="107"/>
      <c r="AL895" s="49"/>
      <c r="AM895" s="49"/>
      <c r="AN895" s="49"/>
      <c r="AO895" s="49"/>
      <c r="AP895" s="49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</row>
    <row r="896" spans="1:77" s="111" customForma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2"/>
      <c r="S896" s="41"/>
      <c r="T896" s="41"/>
      <c r="U896" s="41"/>
      <c r="V896" s="41"/>
      <c r="W896" s="41"/>
      <c r="X896" s="41"/>
      <c r="Y896" s="41"/>
      <c r="Z896" s="41"/>
      <c r="AA896" s="44"/>
      <c r="AB896" s="44"/>
      <c r="AC896" s="44"/>
      <c r="AD896" s="44"/>
      <c r="AE896" s="44"/>
      <c r="AF896" s="44"/>
      <c r="AG896" s="102"/>
      <c r="AH896" s="44"/>
      <c r="AI896" s="44"/>
      <c r="AJ896" s="44"/>
      <c r="AK896" s="102"/>
      <c r="AL896" s="44"/>
      <c r="AM896" s="44"/>
      <c r="AN896" s="44"/>
      <c r="AO896" s="44"/>
      <c r="AP896" s="44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</row>
    <row r="897" spans="1:77" s="111" customFormat="1">
      <c r="A897" s="42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2"/>
      <c r="S897" s="41"/>
      <c r="T897" s="42"/>
      <c r="U897" s="42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99"/>
      <c r="AH897" s="41"/>
      <c r="AI897" s="41"/>
      <c r="AJ897" s="41"/>
      <c r="AK897" s="99"/>
      <c r="AL897" s="41"/>
      <c r="AM897" s="41"/>
      <c r="AN897" s="41"/>
      <c r="AO897" s="41"/>
      <c r="AP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</row>
    <row r="898" spans="1:77" s="111" customForma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2"/>
      <c r="M898" s="42"/>
      <c r="N898" s="41"/>
      <c r="O898" s="41"/>
      <c r="P898" s="41"/>
      <c r="Q898" s="41"/>
      <c r="R898" s="41"/>
      <c r="S898" s="41"/>
      <c r="T898" s="41"/>
      <c r="U898" s="42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99"/>
      <c r="AH898" s="41"/>
      <c r="AI898" s="41"/>
      <c r="AJ898" s="41"/>
      <c r="AK898" s="99"/>
      <c r="AL898" s="41"/>
      <c r="AM898" s="41"/>
      <c r="AN898" s="41"/>
      <c r="AO898" s="41"/>
      <c r="AP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</row>
    <row r="899" spans="1:77" s="111" customForma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99"/>
      <c r="AH899" s="41"/>
      <c r="AI899" s="41"/>
      <c r="AJ899" s="41"/>
      <c r="AK899" s="99"/>
      <c r="AL899" s="41"/>
      <c r="AM899" s="41"/>
      <c r="AN899" s="41"/>
      <c r="AO899" s="41"/>
      <c r="AP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</row>
    <row r="900" spans="1:77" s="111" customForma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4"/>
      <c r="M900" s="44"/>
      <c r="N900" s="44"/>
      <c r="O900" s="44"/>
      <c r="P900" s="41"/>
      <c r="Q900" s="41"/>
      <c r="R900" s="44"/>
      <c r="S900" s="41"/>
      <c r="T900" s="42"/>
      <c r="U900" s="41"/>
      <c r="V900" s="45"/>
      <c r="W900" s="41"/>
      <c r="X900" s="41"/>
      <c r="Y900" s="41"/>
      <c r="Z900" s="41"/>
      <c r="AA900" s="41"/>
      <c r="AB900" s="53"/>
      <c r="AC900" s="45"/>
      <c r="AD900" s="45"/>
      <c r="AE900" s="41"/>
      <c r="AF900" s="41"/>
      <c r="AG900" s="99"/>
      <c r="AH900" s="41"/>
      <c r="AI900" s="45"/>
      <c r="AJ900" s="45"/>
      <c r="AK900" s="99"/>
      <c r="AL900" s="41"/>
      <c r="AM900" s="45"/>
      <c r="AN900" s="45"/>
      <c r="AO900" s="41"/>
      <c r="AP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</row>
    <row r="901" spans="1:77" s="111" customForma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4"/>
      <c r="M901" s="44"/>
      <c r="N901" s="44"/>
      <c r="O901" s="44"/>
      <c r="P901" s="41"/>
      <c r="Q901" s="41"/>
      <c r="R901" s="44"/>
      <c r="S901" s="41"/>
      <c r="T901" s="42"/>
      <c r="U901" s="41"/>
      <c r="V901" s="45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99"/>
      <c r="AH901" s="41"/>
      <c r="AI901" s="45"/>
      <c r="AJ901" s="45"/>
      <c r="AK901" s="99"/>
      <c r="AL901" s="41"/>
      <c r="AM901" s="45"/>
      <c r="AN901" s="45"/>
      <c r="AO901" s="41"/>
      <c r="AP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</row>
    <row r="902" spans="1:77" s="111" customFormat="1">
      <c r="A902" s="44"/>
      <c r="B902" s="41"/>
      <c r="C902" s="44"/>
      <c r="D902" s="44"/>
      <c r="E902" s="44"/>
      <c r="F902" s="44"/>
      <c r="G902" s="41"/>
      <c r="H902" s="41"/>
      <c r="I902" s="41"/>
      <c r="J902" s="44"/>
      <c r="K902" s="44"/>
      <c r="L902" s="44"/>
      <c r="M902" s="44"/>
      <c r="N902" s="44"/>
      <c r="O902" s="44"/>
      <c r="P902" s="44"/>
      <c r="Q902" s="44"/>
      <c r="R902" s="44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99"/>
      <c r="AH902" s="41"/>
      <c r="AI902" s="41"/>
      <c r="AJ902" s="41"/>
      <c r="AK902" s="99"/>
      <c r="AL902" s="45"/>
      <c r="AM902" s="45"/>
      <c r="AN902" s="45"/>
      <c r="AO902" s="46"/>
      <c r="AP902" s="46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</row>
    <row r="903" spans="1:77" s="111" customFormat="1">
      <c r="A903" s="44"/>
      <c r="B903" s="41"/>
      <c r="C903" s="44"/>
      <c r="D903" s="44"/>
      <c r="E903" s="44"/>
      <c r="F903" s="44"/>
      <c r="G903" s="41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1"/>
      <c r="T903" s="42"/>
      <c r="U903" s="41"/>
      <c r="V903" s="45"/>
      <c r="W903" s="41"/>
      <c r="X903" s="41"/>
      <c r="Y903" s="41"/>
      <c r="Z903" s="41"/>
      <c r="AA903" s="45"/>
      <c r="AB903" s="336"/>
      <c r="AC903" s="45"/>
      <c r="AD903" s="45"/>
      <c r="AE903" s="46"/>
      <c r="AF903" s="46"/>
      <c r="AG903" s="99"/>
      <c r="AH903" s="45"/>
      <c r="AI903" s="51"/>
      <c r="AJ903" s="51"/>
      <c r="AK903" s="99"/>
      <c r="AL903" s="45"/>
      <c r="AM903" s="45"/>
      <c r="AN903" s="45"/>
      <c r="AO903" s="46"/>
      <c r="AP903" s="46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</row>
    <row r="904" spans="1:77" s="111" customFormat="1">
      <c r="A904" s="41"/>
      <c r="B904" s="41"/>
      <c r="C904" s="44"/>
      <c r="D904" s="44"/>
      <c r="E904" s="44"/>
      <c r="F904" s="44"/>
      <c r="G904" s="41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1"/>
      <c r="T904" s="41"/>
      <c r="U904" s="41"/>
      <c r="V904" s="45"/>
      <c r="W904" s="41"/>
      <c r="X904" s="41"/>
      <c r="Y904" s="41"/>
      <c r="Z904" s="41"/>
      <c r="AA904" s="45"/>
      <c r="AB904" s="47"/>
      <c r="AC904" s="45"/>
      <c r="AD904" s="45"/>
      <c r="AE904" s="41"/>
      <c r="AF904" s="41"/>
      <c r="AG904" s="99"/>
      <c r="AH904" s="41"/>
      <c r="AI904" s="41"/>
      <c r="AJ904" s="41"/>
      <c r="AK904" s="99"/>
      <c r="AL904" s="45"/>
      <c r="AM904" s="45"/>
      <c r="AN904" s="45"/>
      <c r="AO904" s="46"/>
      <c r="AP904" s="46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</row>
    <row r="905" spans="1:77" s="111" customForma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1"/>
      <c r="T905" s="41"/>
      <c r="U905" s="41"/>
      <c r="V905" s="45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99"/>
      <c r="AH905" s="41"/>
      <c r="AI905" s="41"/>
      <c r="AJ905" s="41"/>
      <c r="AK905" s="99"/>
      <c r="AL905" s="41"/>
      <c r="AM905" s="45"/>
      <c r="AN905" s="45"/>
      <c r="AO905" s="46"/>
      <c r="AP905" s="46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</row>
    <row r="906" spans="1:77" s="111" customFormat="1">
      <c r="A906" s="41"/>
      <c r="B906" s="41"/>
      <c r="C906" s="41"/>
      <c r="D906" s="41"/>
      <c r="E906" s="41"/>
      <c r="F906" s="41"/>
      <c r="G906" s="41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1"/>
      <c r="T906" s="42"/>
      <c r="U906" s="41"/>
      <c r="V906" s="45"/>
      <c r="W906" s="41"/>
      <c r="X906" s="41"/>
      <c r="Y906" s="41"/>
      <c r="Z906" s="41"/>
      <c r="AA906" s="41"/>
      <c r="AB906" s="53"/>
      <c r="AC906" s="45"/>
      <c r="AD906" s="45"/>
      <c r="AE906" s="46"/>
      <c r="AF906" s="46"/>
      <c r="AG906" s="99"/>
      <c r="AH906" s="41"/>
      <c r="AI906" s="41"/>
      <c r="AJ906" s="41"/>
      <c r="AK906" s="99"/>
      <c r="AL906" s="41"/>
      <c r="AM906" s="45"/>
      <c r="AN906" s="45"/>
      <c r="AO906" s="46"/>
      <c r="AP906" s="46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</row>
    <row r="907" spans="1:77" s="111" customFormat="1">
      <c r="A907" s="41"/>
      <c r="B907" s="41"/>
      <c r="C907" s="42"/>
      <c r="D907" s="42"/>
      <c r="E907" s="42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2"/>
      <c r="U907" s="41"/>
      <c r="V907" s="45"/>
      <c r="W907" s="41"/>
      <c r="X907" s="41"/>
      <c r="Y907" s="41"/>
      <c r="Z907" s="41"/>
      <c r="AA907" s="45"/>
      <c r="AB907" s="53"/>
      <c r="AC907" s="45"/>
      <c r="AD907" s="45"/>
      <c r="AE907" s="46"/>
      <c r="AF907" s="46"/>
      <c r="AG907" s="99"/>
      <c r="AH907" s="41"/>
      <c r="AI907" s="41"/>
      <c r="AJ907" s="41"/>
      <c r="AK907" s="99"/>
      <c r="AL907" s="45"/>
      <c r="AM907" s="45"/>
      <c r="AN907" s="45"/>
      <c r="AO907" s="46"/>
      <c r="AP907" s="46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</row>
    <row r="908" spans="1:77" s="111" customFormat="1">
      <c r="A908" s="41"/>
      <c r="B908" s="41"/>
      <c r="C908" s="41"/>
      <c r="D908" s="42"/>
      <c r="E908" s="42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2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99"/>
      <c r="AH908" s="41"/>
      <c r="AI908" s="41"/>
      <c r="AJ908" s="41"/>
      <c r="AK908" s="99"/>
      <c r="AL908" s="41"/>
      <c r="AM908" s="41"/>
      <c r="AN908" s="41"/>
      <c r="AO908" s="46"/>
      <c r="AP908" s="46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</row>
    <row r="909" spans="1:77">
      <c r="T909" s="42"/>
      <c r="AO909" s="46"/>
      <c r="AP909" s="46"/>
    </row>
    <row r="910" spans="1:77" s="111" customFormat="1">
      <c r="A910" s="41"/>
      <c r="B910" s="41"/>
      <c r="C910" s="42"/>
      <c r="D910" s="41"/>
      <c r="E910" s="41"/>
      <c r="F910" s="45"/>
      <c r="G910" s="41"/>
      <c r="H910" s="41"/>
      <c r="I910" s="41"/>
      <c r="J910" s="53"/>
      <c r="K910" s="53"/>
      <c r="L910" s="45"/>
      <c r="M910" s="45"/>
      <c r="N910" s="41"/>
      <c r="O910" s="41"/>
      <c r="P910" s="41"/>
      <c r="Q910" s="41"/>
      <c r="R910" s="45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99"/>
      <c r="AH910" s="41"/>
      <c r="AI910" s="41"/>
      <c r="AJ910" s="41"/>
      <c r="AK910" s="99"/>
      <c r="AL910" s="41"/>
      <c r="AM910" s="41"/>
      <c r="AN910" s="41"/>
      <c r="AO910" s="46"/>
      <c r="AP910" s="46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</row>
    <row r="911" spans="1:77" s="111" customFormat="1">
      <c r="A911" s="41"/>
      <c r="B911" s="41"/>
      <c r="C911" s="42"/>
      <c r="D911" s="41"/>
      <c r="E911" s="41"/>
      <c r="F911" s="45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5"/>
      <c r="S911" s="41"/>
      <c r="T911" s="42"/>
      <c r="U911" s="41"/>
      <c r="V911" s="45"/>
      <c r="W911" s="41"/>
      <c r="X911" s="41"/>
      <c r="Y911" s="41"/>
      <c r="Z911" s="41"/>
      <c r="AA911" s="45"/>
      <c r="AB911" s="336"/>
      <c r="AC911" s="45"/>
      <c r="AD911" s="45"/>
      <c r="AE911" s="46"/>
      <c r="AF911" s="46"/>
      <c r="AG911" s="99"/>
      <c r="AH911" s="45"/>
      <c r="AI911" s="51"/>
      <c r="AJ911" s="51"/>
      <c r="AK911" s="99"/>
      <c r="AL911" s="45"/>
      <c r="AM911" s="45"/>
      <c r="AN911" s="45"/>
      <c r="AO911" s="46"/>
      <c r="AP911" s="46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</row>
    <row r="912" spans="1:77" s="111" customForma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50"/>
      <c r="W912" s="41"/>
      <c r="X912" s="41"/>
      <c r="Y912" s="41"/>
      <c r="Z912" s="41"/>
      <c r="AA912" s="50"/>
      <c r="AB912" s="326"/>
      <c r="AC912" s="50"/>
      <c r="AD912" s="50"/>
      <c r="AE912" s="50"/>
      <c r="AF912" s="50"/>
      <c r="AH912" s="50"/>
      <c r="AI912" s="41"/>
      <c r="AJ912" s="41"/>
      <c r="AL912" s="50"/>
      <c r="AM912" s="50"/>
      <c r="AN912" s="50"/>
      <c r="AO912" s="46"/>
      <c r="AP912" s="46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</row>
    <row r="913" spans="1:77" s="111" customFormat="1">
      <c r="A913" s="41"/>
      <c r="B913" s="41"/>
      <c r="C913" s="42"/>
      <c r="D913" s="41"/>
      <c r="E913" s="41"/>
      <c r="F913" s="164"/>
      <c r="G913" s="41"/>
      <c r="H913" s="164"/>
      <c r="I913" s="164"/>
      <c r="J913" s="336"/>
      <c r="K913" s="336"/>
      <c r="L913" s="45"/>
      <c r="M913" s="45"/>
      <c r="N913" s="46"/>
      <c r="O913" s="46"/>
      <c r="P913" s="45"/>
      <c r="Q913" s="45"/>
      <c r="R913" s="45"/>
      <c r="S913" s="41"/>
      <c r="T913" s="41"/>
      <c r="U913" s="41"/>
      <c r="V913" s="41"/>
      <c r="W913" s="41"/>
      <c r="X913" s="41"/>
      <c r="Y913" s="41"/>
      <c r="Z913" s="41"/>
      <c r="AA913" s="45"/>
      <c r="AB913" s="41"/>
      <c r="AC913" s="41"/>
      <c r="AD913" s="41"/>
      <c r="AE913" s="41"/>
      <c r="AF913" s="41"/>
      <c r="AG913" s="99"/>
      <c r="AH913" s="41"/>
      <c r="AI913" s="41"/>
      <c r="AJ913" s="41"/>
      <c r="AK913" s="99"/>
      <c r="AL913" s="41"/>
      <c r="AM913" s="41"/>
      <c r="AN913" s="41"/>
      <c r="AO913" s="46"/>
      <c r="AP913" s="46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</row>
    <row r="914" spans="1:77" s="111" customFormat="1">
      <c r="A914" s="41"/>
      <c r="B914" s="41"/>
      <c r="C914" s="41"/>
      <c r="D914" s="41"/>
      <c r="E914" s="41"/>
      <c r="F914" s="45"/>
      <c r="G914" s="41"/>
      <c r="H914" s="45"/>
      <c r="I914" s="45"/>
      <c r="J914" s="47"/>
      <c r="K914" s="47"/>
      <c r="L914" s="45"/>
      <c r="M914" s="45"/>
      <c r="N914" s="41"/>
      <c r="O914" s="41"/>
      <c r="P914" s="45"/>
      <c r="Q914" s="45"/>
      <c r="R914" s="45"/>
      <c r="S914" s="41"/>
      <c r="T914" s="42"/>
      <c r="U914" s="41"/>
      <c r="V914" s="45"/>
      <c r="W914" s="41"/>
      <c r="X914" s="41"/>
      <c r="Y914" s="41"/>
      <c r="Z914" s="41"/>
      <c r="AA914" s="45"/>
      <c r="AB914" s="41"/>
      <c r="AC914" s="45"/>
      <c r="AD914" s="45"/>
      <c r="AE914" s="46"/>
      <c r="AF914" s="46"/>
      <c r="AG914" s="99"/>
      <c r="AH914" s="45"/>
      <c r="AI914" s="51"/>
      <c r="AJ914" s="51"/>
      <c r="AK914" s="333"/>
      <c r="AL914" s="164"/>
      <c r="AM914" s="45"/>
      <c r="AN914" s="45"/>
      <c r="AO914" s="46"/>
      <c r="AP914" s="46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</row>
    <row r="915" spans="1:77" s="111" customFormat="1">
      <c r="A915" s="41"/>
      <c r="B915" s="41"/>
      <c r="C915" s="41"/>
      <c r="D915" s="41"/>
      <c r="E915" s="41"/>
      <c r="F915" s="45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5"/>
      <c r="S915" s="41"/>
      <c r="T915" s="41"/>
      <c r="U915" s="41"/>
      <c r="V915" s="50"/>
      <c r="W915" s="41"/>
      <c r="X915" s="41"/>
      <c r="Y915" s="41"/>
      <c r="Z915" s="41"/>
      <c r="AA915" s="50"/>
      <c r="AB915" s="326"/>
      <c r="AC915" s="50"/>
      <c r="AD915" s="50"/>
      <c r="AE915" s="50"/>
      <c r="AF915" s="50"/>
      <c r="AH915" s="50"/>
      <c r="AI915" s="41"/>
      <c r="AJ915" s="41"/>
      <c r="AL915" s="50"/>
      <c r="AM915" s="50"/>
      <c r="AN915" s="50"/>
      <c r="AO915" s="46"/>
      <c r="AP915" s="46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</row>
    <row r="916" spans="1:77" s="111" customFormat="1">
      <c r="A916" s="41"/>
      <c r="B916" s="41"/>
      <c r="C916" s="42"/>
      <c r="D916" s="41"/>
      <c r="E916" s="41"/>
      <c r="F916" s="45"/>
      <c r="G916" s="41"/>
      <c r="H916" s="41"/>
      <c r="I916" s="41"/>
      <c r="J916" s="53"/>
      <c r="K916" s="53"/>
      <c r="L916" s="45"/>
      <c r="M916" s="45"/>
      <c r="N916" s="46"/>
      <c r="O916" s="46"/>
      <c r="P916" s="41"/>
      <c r="Q916" s="41"/>
      <c r="R916" s="45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99"/>
      <c r="AH916" s="41"/>
      <c r="AI916" s="41"/>
      <c r="AJ916" s="41"/>
      <c r="AK916" s="99"/>
      <c r="AL916" s="41"/>
      <c r="AM916" s="41"/>
      <c r="AN916" s="41"/>
      <c r="AO916" s="41"/>
      <c r="AP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</row>
    <row r="917" spans="1:77" s="111" customFormat="1">
      <c r="A917" s="41"/>
      <c r="B917" s="41"/>
      <c r="C917" s="42"/>
      <c r="D917" s="41"/>
      <c r="E917" s="41"/>
      <c r="F917" s="45"/>
      <c r="G917" s="41"/>
      <c r="H917" s="45"/>
      <c r="I917" s="45"/>
      <c r="J917" s="53"/>
      <c r="K917" s="53"/>
      <c r="L917" s="45"/>
      <c r="M917" s="45"/>
      <c r="N917" s="46"/>
      <c r="O917" s="46"/>
      <c r="P917" s="45"/>
      <c r="Q917" s="45"/>
      <c r="R917" s="45"/>
      <c r="S917" s="41"/>
      <c r="T917" s="41"/>
      <c r="U917" s="41"/>
      <c r="V917" s="45"/>
      <c r="W917" s="41"/>
      <c r="X917" s="41"/>
      <c r="Y917" s="41"/>
      <c r="Z917" s="41"/>
      <c r="AA917" s="45"/>
      <c r="AB917" s="47"/>
      <c r="AC917" s="45"/>
      <c r="AD917" s="45"/>
      <c r="AE917" s="45"/>
      <c r="AF917" s="45"/>
      <c r="AG917" s="99"/>
      <c r="AH917" s="45"/>
      <c r="AI917" s="45"/>
      <c r="AJ917" s="45"/>
      <c r="AK917" s="99"/>
      <c r="AL917" s="45"/>
      <c r="AM917" s="45"/>
      <c r="AN917" s="45"/>
      <c r="AO917" s="41"/>
      <c r="AP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</row>
    <row r="918" spans="1:77" s="111" customFormat="1">
      <c r="A918" s="41"/>
      <c r="B918" s="41"/>
      <c r="C918" s="42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99"/>
      <c r="AH918" s="41"/>
      <c r="AI918" s="41"/>
      <c r="AJ918" s="41"/>
      <c r="AK918" s="99"/>
      <c r="AL918" s="41"/>
      <c r="AM918" s="41"/>
      <c r="AN918" s="41"/>
      <c r="AO918" s="41"/>
      <c r="AP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</row>
    <row r="919" spans="1:77" s="111" customFormat="1">
      <c r="A919" s="41"/>
      <c r="B919" s="41"/>
      <c r="C919" s="42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99"/>
      <c r="AH919" s="41"/>
      <c r="AI919" s="41"/>
      <c r="AJ919" s="41"/>
      <c r="AK919" s="99"/>
      <c r="AL919" s="41"/>
      <c r="AM919" s="41"/>
      <c r="AN919" s="41"/>
      <c r="AO919" s="41"/>
      <c r="AP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</row>
    <row r="920" spans="1:77" s="111" customForma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2"/>
      <c r="AB920" s="41"/>
      <c r="AC920" s="41"/>
      <c r="AD920" s="41"/>
      <c r="AE920" s="41"/>
      <c r="AF920" s="41"/>
      <c r="AG920" s="99"/>
      <c r="AH920" s="41"/>
      <c r="AI920" s="41"/>
      <c r="AJ920" s="41"/>
      <c r="AK920" s="99"/>
      <c r="AL920" s="41"/>
      <c r="AM920" s="41"/>
      <c r="AN920" s="41"/>
      <c r="AO920" s="41"/>
      <c r="AP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</row>
    <row r="921" spans="1:77" s="111" customFormat="1">
      <c r="A921" s="41"/>
      <c r="B921" s="41"/>
      <c r="C921" s="42"/>
      <c r="D921" s="41"/>
      <c r="E921" s="41"/>
      <c r="F921" s="164"/>
      <c r="G921" s="41"/>
      <c r="H921" s="164"/>
      <c r="I921" s="164"/>
      <c r="J921" s="336"/>
      <c r="K921" s="336"/>
      <c r="L921" s="45"/>
      <c r="M921" s="45"/>
      <c r="N921" s="46"/>
      <c r="O921" s="46"/>
      <c r="P921" s="45"/>
      <c r="Q921" s="45"/>
      <c r="R921" s="45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99"/>
      <c r="AH921" s="41"/>
      <c r="AI921" s="41"/>
      <c r="AJ921" s="41"/>
      <c r="AK921" s="99"/>
      <c r="AL921" s="41"/>
      <c r="AM921" s="41"/>
      <c r="AN921" s="41"/>
      <c r="AO921" s="41"/>
      <c r="AP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</row>
    <row r="922" spans="1:77" s="111" customFormat="1">
      <c r="A922" s="41"/>
      <c r="B922" s="41"/>
      <c r="C922" s="41"/>
      <c r="D922" s="41"/>
      <c r="E922" s="41"/>
      <c r="F922" s="50"/>
      <c r="G922" s="41"/>
      <c r="H922" s="50"/>
      <c r="I922" s="50"/>
      <c r="J922" s="326"/>
      <c r="K922" s="326"/>
      <c r="L922" s="50"/>
      <c r="M922" s="50"/>
      <c r="N922" s="50"/>
      <c r="O922" s="50"/>
      <c r="P922" s="50"/>
      <c r="Q922" s="50"/>
      <c r="R922" s="50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2"/>
      <c r="AD922" s="42"/>
      <c r="AE922" s="41"/>
      <c r="AF922" s="41"/>
      <c r="AG922" s="99"/>
      <c r="AH922" s="41"/>
      <c r="AI922" s="41"/>
      <c r="AJ922" s="41"/>
      <c r="AK922" s="99"/>
      <c r="AL922" s="41"/>
      <c r="AM922" s="41"/>
      <c r="AN922" s="41"/>
      <c r="AO922" s="41"/>
      <c r="AP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</row>
    <row r="923" spans="1:77" s="111" customFormat="1">
      <c r="A923" s="41"/>
      <c r="B923" s="41"/>
      <c r="C923" s="41"/>
      <c r="D923" s="41"/>
      <c r="E923" s="41"/>
      <c r="F923" s="41"/>
      <c r="G923" s="41"/>
      <c r="H923" s="45"/>
      <c r="I923" s="45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99"/>
      <c r="AH923" s="41"/>
      <c r="AI923" s="41"/>
      <c r="AJ923" s="41"/>
      <c r="AK923" s="99"/>
      <c r="AL923" s="41"/>
      <c r="AM923" s="42"/>
      <c r="AN923" s="42"/>
      <c r="AO923" s="41"/>
      <c r="AP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</row>
    <row r="924" spans="1:77" s="111" customFormat="1">
      <c r="A924" s="41"/>
      <c r="B924" s="41"/>
      <c r="C924" s="42"/>
      <c r="D924" s="41"/>
      <c r="E924" s="41"/>
      <c r="F924" s="45"/>
      <c r="G924" s="41"/>
      <c r="H924" s="45"/>
      <c r="I924" s="45"/>
      <c r="J924" s="41"/>
      <c r="K924" s="41"/>
      <c r="L924" s="45"/>
      <c r="M924" s="45"/>
      <c r="N924" s="46"/>
      <c r="O924" s="46"/>
      <c r="P924" s="164"/>
      <c r="Q924" s="164"/>
      <c r="R924" s="45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99"/>
      <c r="AH924" s="41"/>
      <c r="AI924" s="41"/>
      <c r="AJ924" s="41"/>
      <c r="AK924" s="99"/>
      <c r="AL924" s="41"/>
      <c r="AM924" s="42"/>
      <c r="AN924" s="42"/>
      <c r="AO924" s="41"/>
      <c r="AP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</row>
    <row r="925" spans="1:77" s="111" customFormat="1">
      <c r="A925" s="41"/>
      <c r="B925" s="41"/>
      <c r="C925" s="41"/>
      <c r="D925" s="41"/>
      <c r="E925" s="41"/>
      <c r="F925" s="41"/>
      <c r="G925" s="41"/>
      <c r="H925" s="50"/>
      <c r="I925" s="50"/>
      <c r="J925" s="326"/>
      <c r="K925" s="326"/>
      <c r="L925" s="50"/>
      <c r="M925" s="50"/>
      <c r="N925" s="50"/>
      <c r="O925" s="50"/>
      <c r="P925" s="50"/>
      <c r="Q925" s="50"/>
      <c r="R925" s="50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99"/>
      <c r="AH925" s="41"/>
      <c r="AI925" s="41"/>
      <c r="AJ925" s="41"/>
      <c r="AK925" s="99"/>
      <c r="AL925" s="41"/>
      <c r="AM925" s="42"/>
      <c r="AN925" s="42"/>
      <c r="AO925" s="41"/>
      <c r="AP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</row>
    <row r="926" spans="1:77" s="111" customFormat="1">
      <c r="A926" s="41"/>
      <c r="B926" s="41"/>
      <c r="C926" s="41"/>
      <c r="D926" s="41"/>
      <c r="E926" s="41"/>
      <c r="F926" s="50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2"/>
      <c r="AD926" s="42"/>
      <c r="AE926" s="41"/>
      <c r="AF926" s="41"/>
      <c r="AG926" s="99"/>
      <c r="AH926" s="41"/>
      <c r="AI926" s="41"/>
      <c r="AJ926" s="41"/>
      <c r="AK926" s="99"/>
      <c r="AL926" s="41"/>
      <c r="AM926" s="41"/>
      <c r="AN926" s="41"/>
      <c r="AO926" s="41"/>
      <c r="AP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</row>
    <row r="927" spans="1:77" s="111" customFormat="1">
      <c r="A927" s="41"/>
      <c r="B927" s="41"/>
      <c r="C927" s="41"/>
      <c r="D927" s="41"/>
      <c r="E927" s="41"/>
      <c r="F927" s="45"/>
      <c r="G927" s="41"/>
      <c r="H927" s="45"/>
      <c r="I927" s="45"/>
      <c r="J927" s="47"/>
      <c r="K927" s="47"/>
      <c r="L927" s="45"/>
      <c r="M927" s="45"/>
      <c r="N927" s="45"/>
      <c r="O927" s="45"/>
      <c r="P927" s="45"/>
      <c r="Q927" s="45"/>
      <c r="R927" s="45"/>
      <c r="S927" s="41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107"/>
      <c r="AH927" s="49"/>
      <c r="AI927" s="49"/>
      <c r="AJ927" s="49"/>
      <c r="AK927" s="107"/>
      <c r="AL927" s="49"/>
      <c r="AM927" s="49"/>
      <c r="AN927" s="49"/>
      <c r="AO927" s="49"/>
      <c r="AP927" s="49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</row>
    <row r="928" spans="1:77" s="111" customFormat="1">
      <c r="A928" s="42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4"/>
      <c r="AD928" s="44"/>
      <c r="AE928" s="44"/>
      <c r="AF928" s="44"/>
      <c r="AG928" s="102"/>
      <c r="AH928" s="44"/>
      <c r="AI928" s="44"/>
      <c r="AJ928" s="44"/>
      <c r="AK928" s="99"/>
      <c r="AL928" s="41"/>
      <c r="AM928" s="44"/>
      <c r="AN928" s="44"/>
      <c r="AO928" s="44"/>
      <c r="AP928" s="44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</row>
    <row r="929" spans="1:77" s="111" customForma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4"/>
      <c r="AC929" s="44"/>
      <c r="AD929" s="44"/>
      <c r="AE929" s="44"/>
      <c r="AF929" s="44"/>
      <c r="AG929" s="102"/>
      <c r="AH929" s="44"/>
      <c r="AI929" s="44"/>
      <c r="AJ929" s="44"/>
      <c r="AK929" s="99"/>
      <c r="AL929" s="41"/>
      <c r="AM929" s="44"/>
      <c r="AN929" s="44"/>
      <c r="AO929" s="44"/>
      <c r="AP929" s="44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</row>
    <row r="930" spans="1:77" s="111" customFormat="1">
      <c r="A930" s="41"/>
      <c r="B930" s="41"/>
      <c r="C930" s="41"/>
      <c r="D930" s="41"/>
      <c r="E930" s="41"/>
      <c r="F930" s="41"/>
      <c r="G930" s="41"/>
      <c r="H930" s="42"/>
      <c r="I930" s="42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4"/>
      <c r="U930" s="44"/>
      <c r="V930" s="44"/>
      <c r="W930" s="41"/>
      <c r="X930" s="41"/>
      <c r="Y930" s="41"/>
      <c r="Z930" s="41"/>
      <c r="AA930" s="41"/>
      <c r="AB930" s="44"/>
      <c r="AC930" s="44"/>
      <c r="AD930" s="44"/>
      <c r="AE930" s="44"/>
      <c r="AF930" s="44"/>
      <c r="AG930" s="102"/>
      <c r="AH930" s="44"/>
      <c r="AI930" s="44"/>
      <c r="AJ930" s="44"/>
      <c r="AK930" s="102"/>
      <c r="AL930" s="44"/>
      <c r="AM930" s="44"/>
      <c r="AN930" s="44"/>
      <c r="AO930" s="44"/>
      <c r="AP930" s="44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</row>
    <row r="931" spans="1:77" s="111" customForma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4"/>
      <c r="U931" s="44"/>
      <c r="V931" s="44"/>
      <c r="W931" s="41"/>
      <c r="X931" s="41"/>
      <c r="Y931" s="41"/>
      <c r="Z931" s="41"/>
      <c r="AA931" s="44"/>
      <c r="AB931" s="44"/>
      <c r="AC931" s="44"/>
      <c r="AD931" s="44"/>
      <c r="AE931" s="44"/>
      <c r="AF931" s="44"/>
      <c r="AG931" s="102"/>
      <c r="AH931" s="44"/>
      <c r="AI931" s="44"/>
      <c r="AJ931" s="44"/>
      <c r="AK931" s="102"/>
      <c r="AL931" s="44"/>
      <c r="AM931" s="44"/>
      <c r="AN931" s="44"/>
      <c r="AO931" s="44"/>
      <c r="AP931" s="44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</row>
    <row r="932" spans="1:77" s="111" customForma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2"/>
      <c r="M932" s="42"/>
      <c r="N932" s="41"/>
      <c r="O932" s="41"/>
      <c r="P932" s="41"/>
      <c r="Q932" s="41"/>
      <c r="R932" s="41"/>
      <c r="S932" s="41"/>
      <c r="T932" s="44"/>
      <c r="U932" s="44"/>
      <c r="V932" s="44"/>
      <c r="W932" s="41"/>
      <c r="X932" s="41"/>
      <c r="Y932" s="41"/>
      <c r="Z932" s="41"/>
      <c r="AA932" s="44"/>
      <c r="AB932" s="44"/>
      <c r="AC932" s="44"/>
      <c r="AD932" s="44"/>
      <c r="AE932" s="44"/>
      <c r="AF932" s="44"/>
      <c r="AG932" s="102"/>
      <c r="AH932" s="44"/>
      <c r="AI932" s="44"/>
      <c r="AJ932" s="44"/>
      <c r="AK932" s="102"/>
      <c r="AL932" s="44"/>
      <c r="AM932" s="44"/>
      <c r="AN932" s="44"/>
      <c r="AO932" s="44"/>
      <c r="AP932" s="44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</row>
    <row r="933" spans="1:77" s="111" customForma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2"/>
      <c r="S933" s="41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107"/>
      <c r="AH933" s="49"/>
      <c r="AI933" s="49"/>
      <c r="AJ933" s="49"/>
      <c r="AK933" s="107"/>
      <c r="AL933" s="49"/>
      <c r="AM933" s="49"/>
      <c r="AN933" s="49"/>
      <c r="AO933" s="49"/>
      <c r="AP933" s="49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</row>
    <row r="934" spans="1:77" s="111" customForma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2"/>
      <c r="S934" s="41"/>
      <c r="T934" s="41"/>
      <c r="U934" s="41"/>
      <c r="V934" s="41"/>
      <c r="W934" s="41"/>
      <c r="X934" s="41"/>
      <c r="Y934" s="41"/>
      <c r="Z934" s="41"/>
      <c r="AA934" s="44"/>
      <c r="AB934" s="44"/>
      <c r="AC934" s="44"/>
      <c r="AD934" s="44"/>
      <c r="AE934" s="44"/>
      <c r="AF934" s="44"/>
      <c r="AG934" s="102"/>
      <c r="AH934" s="44"/>
      <c r="AI934" s="44"/>
      <c r="AJ934" s="44"/>
      <c r="AK934" s="102"/>
      <c r="AL934" s="44"/>
      <c r="AM934" s="44"/>
      <c r="AN934" s="44"/>
      <c r="AO934" s="44"/>
      <c r="AP934" s="44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</row>
    <row r="935" spans="1:77" s="111" customFormat="1">
      <c r="A935" s="42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2"/>
      <c r="S935" s="41"/>
      <c r="T935" s="42"/>
      <c r="U935" s="42"/>
      <c r="V935" s="45"/>
      <c r="W935" s="45"/>
      <c r="X935" s="45"/>
      <c r="Y935" s="45"/>
      <c r="Z935" s="45"/>
      <c r="AA935" s="45"/>
      <c r="AB935" s="336"/>
      <c r="AC935" s="41"/>
      <c r="AD935" s="41"/>
      <c r="AE935" s="41"/>
      <c r="AF935" s="41"/>
      <c r="AG935" s="99"/>
      <c r="AH935" s="41"/>
      <c r="AI935" s="41"/>
      <c r="AJ935" s="41"/>
      <c r="AK935" s="99"/>
      <c r="AL935" s="41"/>
      <c r="AM935" s="41"/>
      <c r="AN935" s="41"/>
      <c r="AO935" s="41"/>
      <c r="AP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</row>
    <row r="936" spans="1:77" s="111" customForma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2"/>
      <c r="M936" s="42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99"/>
      <c r="AH936" s="41"/>
      <c r="AI936" s="41"/>
      <c r="AJ936" s="41"/>
      <c r="AK936" s="99"/>
      <c r="AL936" s="41"/>
      <c r="AM936" s="41"/>
      <c r="AN936" s="41"/>
      <c r="AO936" s="41"/>
      <c r="AP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</row>
    <row r="937" spans="1:77" s="111" customForma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1"/>
      <c r="T937" s="42"/>
      <c r="U937" s="41"/>
      <c r="V937" s="45"/>
      <c r="W937" s="45"/>
      <c r="X937" s="45"/>
      <c r="Y937" s="45"/>
      <c r="Z937" s="45"/>
      <c r="AA937" s="45"/>
      <c r="AB937" s="336"/>
      <c r="AC937" s="41"/>
      <c r="AD937" s="41"/>
      <c r="AE937" s="41"/>
      <c r="AF937" s="41"/>
      <c r="AG937" s="99"/>
      <c r="AH937" s="41"/>
      <c r="AI937" s="41"/>
      <c r="AJ937" s="41"/>
      <c r="AK937" s="99"/>
      <c r="AL937" s="41"/>
      <c r="AM937" s="41"/>
      <c r="AN937" s="41"/>
      <c r="AO937" s="41"/>
      <c r="AP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</row>
    <row r="938" spans="1:77" s="111" customForma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4"/>
      <c r="M938" s="44"/>
      <c r="N938" s="44"/>
      <c r="O938" s="44"/>
      <c r="P938" s="41"/>
      <c r="Q938" s="41"/>
      <c r="R938" s="44"/>
      <c r="S938" s="41"/>
      <c r="T938" s="42"/>
      <c r="U938" s="41"/>
      <c r="V938" s="45"/>
      <c r="W938" s="45"/>
      <c r="X938" s="45"/>
      <c r="Y938" s="45"/>
      <c r="Z938" s="45"/>
      <c r="AA938" s="45"/>
      <c r="AB938" s="132"/>
      <c r="AC938" s="45"/>
      <c r="AD938" s="45"/>
      <c r="AE938" s="46"/>
      <c r="AF938" s="46"/>
      <c r="AG938" s="99"/>
      <c r="AH938" s="45"/>
      <c r="AI938" s="51"/>
      <c r="AJ938" s="51"/>
      <c r="AK938" s="99"/>
      <c r="AL938" s="45"/>
      <c r="AM938" s="45"/>
      <c r="AN938" s="45"/>
      <c r="AO938" s="46"/>
      <c r="AP938" s="46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</row>
    <row r="939" spans="1:77" s="111" customForma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4"/>
      <c r="M939" s="44"/>
      <c r="N939" s="44"/>
      <c r="O939" s="44"/>
      <c r="P939" s="41"/>
      <c r="Q939" s="41"/>
      <c r="R939" s="44"/>
      <c r="S939" s="41"/>
      <c r="T939" s="42"/>
      <c r="U939" s="41"/>
      <c r="V939" s="45"/>
      <c r="W939" s="45"/>
      <c r="X939" s="45"/>
      <c r="Y939" s="45"/>
      <c r="Z939" s="45"/>
      <c r="AA939" s="45"/>
      <c r="AB939" s="132"/>
      <c r="AC939" s="45"/>
      <c r="AD939" s="45"/>
      <c r="AE939" s="46"/>
      <c r="AF939" s="46"/>
      <c r="AG939" s="99"/>
      <c r="AH939" s="45"/>
      <c r="AI939" s="51"/>
      <c r="AJ939" s="51"/>
      <c r="AK939" s="99"/>
      <c r="AL939" s="45"/>
      <c r="AM939" s="45"/>
      <c r="AN939" s="45"/>
      <c r="AO939" s="46"/>
      <c r="AP939" s="46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</row>
    <row r="940" spans="1:77" s="111" customFormat="1">
      <c r="A940" s="44"/>
      <c r="B940" s="41"/>
      <c r="C940" s="44"/>
      <c r="D940" s="44"/>
      <c r="E940" s="44"/>
      <c r="F940" s="44"/>
      <c r="G940" s="41"/>
      <c r="H940" s="41"/>
      <c r="I940" s="41"/>
      <c r="J940" s="44"/>
      <c r="K940" s="44"/>
      <c r="L940" s="44"/>
      <c r="M940" s="44"/>
      <c r="N940" s="44"/>
      <c r="O940" s="44"/>
      <c r="P940" s="44"/>
      <c r="Q940" s="44"/>
      <c r="R940" s="44"/>
      <c r="S940" s="41"/>
      <c r="T940" s="42"/>
      <c r="U940" s="41"/>
      <c r="V940" s="45"/>
      <c r="W940" s="45"/>
      <c r="X940" s="45"/>
      <c r="Y940" s="45"/>
      <c r="Z940" s="45"/>
      <c r="AA940" s="45"/>
      <c r="AB940" s="132"/>
      <c r="AC940" s="45"/>
      <c r="AD940" s="45"/>
      <c r="AE940" s="46"/>
      <c r="AF940" s="46"/>
      <c r="AG940" s="99"/>
      <c r="AH940" s="45"/>
      <c r="AI940" s="51"/>
      <c r="AJ940" s="51"/>
      <c r="AK940" s="99"/>
      <c r="AL940" s="45"/>
      <c r="AM940" s="45"/>
      <c r="AN940" s="45"/>
      <c r="AO940" s="46"/>
      <c r="AP940" s="46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</row>
    <row r="941" spans="1:77" s="111" customFormat="1">
      <c r="A941" s="44"/>
      <c r="B941" s="41"/>
      <c r="C941" s="44"/>
      <c r="D941" s="44"/>
      <c r="E941" s="44"/>
      <c r="F941" s="44"/>
      <c r="G941" s="41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1"/>
      <c r="T941" s="42"/>
      <c r="U941" s="41"/>
      <c r="V941" s="45"/>
      <c r="W941" s="45"/>
      <c r="X941" s="45"/>
      <c r="Y941" s="45"/>
      <c r="Z941" s="45"/>
      <c r="AA941" s="45"/>
      <c r="AB941" s="132"/>
      <c r="AC941" s="45"/>
      <c r="AD941" s="45"/>
      <c r="AE941" s="46"/>
      <c r="AF941" s="46"/>
      <c r="AG941" s="99"/>
      <c r="AH941" s="45"/>
      <c r="AI941" s="51"/>
      <c r="AJ941" s="51"/>
      <c r="AK941" s="99"/>
      <c r="AL941" s="45"/>
      <c r="AM941" s="45"/>
      <c r="AN941" s="45"/>
      <c r="AO941" s="46"/>
      <c r="AP941" s="46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</row>
    <row r="942" spans="1:77" s="111" customFormat="1">
      <c r="A942" s="41"/>
      <c r="B942" s="41"/>
      <c r="C942" s="44"/>
      <c r="D942" s="44"/>
      <c r="E942" s="44"/>
      <c r="F942" s="44"/>
      <c r="G942" s="41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1"/>
      <c r="T942" s="41"/>
      <c r="U942" s="41"/>
      <c r="V942" s="45"/>
      <c r="W942" s="45"/>
      <c r="X942" s="45"/>
      <c r="Y942" s="45"/>
      <c r="Z942" s="45"/>
      <c r="AA942" s="45"/>
      <c r="AB942" s="132"/>
      <c r="AC942" s="41"/>
      <c r="AD942" s="41"/>
      <c r="AE942" s="41"/>
      <c r="AF942" s="41"/>
      <c r="AG942" s="99"/>
      <c r="AH942" s="41"/>
      <c r="AI942" s="41"/>
      <c r="AJ942" s="41"/>
      <c r="AK942" s="99"/>
      <c r="AL942" s="41"/>
      <c r="AM942" s="41"/>
      <c r="AN942" s="41"/>
      <c r="AO942" s="41"/>
      <c r="AP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</row>
    <row r="943" spans="1:77" s="111" customForma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1"/>
      <c r="T943" s="42"/>
      <c r="U943" s="41"/>
      <c r="V943" s="45"/>
      <c r="W943" s="45"/>
      <c r="X943" s="45"/>
      <c r="Y943" s="45"/>
      <c r="Z943" s="45"/>
      <c r="AA943" s="45"/>
      <c r="AB943" s="132"/>
      <c r="AC943" s="45"/>
      <c r="AD943" s="45"/>
      <c r="AE943" s="46"/>
      <c r="AF943" s="46"/>
      <c r="AG943" s="99"/>
      <c r="AH943" s="45"/>
      <c r="AI943" s="51"/>
      <c r="AJ943" s="51"/>
      <c r="AK943" s="99"/>
      <c r="AL943" s="45"/>
      <c r="AM943" s="45"/>
      <c r="AN943" s="45"/>
      <c r="AO943" s="51"/>
      <c r="AP943" s="5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</row>
    <row r="944" spans="1:77" s="111" customFormat="1">
      <c r="A944" s="41"/>
      <c r="B944" s="41"/>
      <c r="C944" s="41"/>
      <c r="D944" s="41"/>
      <c r="E944" s="41"/>
      <c r="F944" s="41"/>
      <c r="G944" s="41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1"/>
      <c r="T944" s="42"/>
      <c r="U944" s="41"/>
      <c r="V944" s="45"/>
      <c r="W944" s="45"/>
      <c r="X944" s="45"/>
      <c r="Y944" s="45"/>
      <c r="Z944" s="45"/>
      <c r="AA944" s="45"/>
      <c r="AB944" s="132"/>
      <c r="AC944" s="41"/>
      <c r="AD944" s="41"/>
      <c r="AE944" s="41"/>
      <c r="AF944" s="41"/>
      <c r="AG944" s="99"/>
      <c r="AH944" s="41"/>
      <c r="AI944" s="41"/>
      <c r="AJ944" s="41"/>
      <c r="AK944" s="99"/>
      <c r="AL944" s="41"/>
      <c r="AM944" s="41"/>
      <c r="AN944" s="41"/>
      <c r="AO944" s="41"/>
      <c r="AP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</row>
    <row r="945" spans="1:77" s="111" customFormat="1">
      <c r="A945" s="41"/>
      <c r="B945" s="41"/>
      <c r="C945" s="42"/>
      <c r="D945" s="42"/>
      <c r="E945" s="42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2"/>
      <c r="U945" s="41"/>
      <c r="V945" s="45"/>
      <c r="W945" s="45"/>
      <c r="X945" s="45"/>
      <c r="Y945" s="45"/>
      <c r="Z945" s="45"/>
      <c r="AA945" s="45"/>
      <c r="AB945" s="132"/>
      <c r="AC945" s="45"/>
      <c r="AD945" s="45"/>
      <c r="AE945" s="46"/>
      <c r="AF945" s="46"/>
      <c r="AG945" s="99"/>
      <c r="AH945" s="45"/>
      <c r="AI945" s="51"/>
      <c r="AJ945" s="51"/>
      <c r="AK945" s="99"/>
      <c r="AL945" s="45"/>
      <c r="AM945" s="45"/>
      <c r="AN945" s="45"/>
      <c r="AO945" s="51"/>
      <c r="AP945" s="5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</row>
    <row r="946" spans="1:77">
      <c r="AB946" s="56"/>
    </row>
    <row r="947" spans="1:77" s="111" customFormat="1">
      <c r="A947" s="41"/>
      <c r="B947" s="41"/>
      <c r="C947" s="42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2"/>
      <c r="U947" s="41"/>
      <c r="V947" s="45"/>
      <c r="W947" s="45"/>
      <c r="X947" s="45"/>
      <c r="Y947" s="45"/>
      <c r="Z947" s="45"/>
      <c r="AA947" s="45"/>
      <c r="AB947" s="132"/>
      <c r="AC947" s="41"/>
      <c r="AD947" s="41"/>
      <c r="AE947" s="41"/>
      <c r="AF947" s="41"/>
      <c r="AG947" s="99"/>
      <c r="AH947" s="41"/>
      <c r="AI947" s="41"/>
      <c r="AJ947" s="41"/>
      <c r="AK947" s="99"/>
      <c r="AL947" s="41"/>
      <c r="AM947" s="41"/>
      <c r="AN947" s="41"/>
      <c r="AO947" s="41"/>
      <c r="AP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</row>
    <row r="948" spans="1:77" s="111" customFormat="1">
      <c r="A948" s="41"/>
      <c r="B948" s="41"/>
      <c r="C948" s="42"/>
      <c r="D948" s="41"/>
      <c r="E948" s="41"/>
      <c r="F948" s="164"/>
      <c r="G948" s="41"/>
      <c r="H948" s="164"/>
      <c r="I948" s="164"/>
      <c r="J948" s="132"/>
      <c r="K948" s="132"/>
      <c r="L948" s="45"/>
      <c r="M948" s="45"/>
      <c r="N948" s="46"/>
      <c r="O948" s="46"/>
      <c r="P948" s="45"/>
      <c r="Q948" s="45"/>
      <c r="R948" s="45"/>
      <c r="S948" s="41"/>
      <c r="T948" s="42"/>
      <c r="U948" s="41"/>
      <c r="V948" s="45"/>
      <c r="W948" s="45"/>
      <c r="X948" s="45"/>
      <c r="Y948" s="45"/>
      <c r="Z948" s="45"/>
      <c r="AA948" s="45"/>
      <c r="AB948" s="132"/>
      <c r="AC948" s="45"/>
      <c r="AD948" s="45"/>
      <c r="AE948" s="46"/>
      <c r="AF948" s="46"/>
      <c r="AG948" s="99"/>
      <c r="AH948" s="45"/>
      <c r="AI948" s="51"/>
      <c r="AJ948" s="51"/>
      <c r="AK948" s="99"/>
      <c r="AL948" s="45"/>
      <c r="AM948" s="45"/>
      <c r="AN948" s="45"/>
      <c r="AO948" s="51"/>
      <c r="AP948" s="5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</row>
    <row r="949" spans="1:77" s="111" customFormat="1">
      <c r="A949" s="41"/>
      <c r="B949" s="41"/>
      <c r="C949" s="42"/>
      <c r="D949" s="41"/>
      <c r="E949" s="41"/>
      <c r="F949" s="164"/>
      <c r="G949" s="41"/>
      <c r="H949" s="164"/>
      <c r="I949" s="164"/>
      <c r="J949" s="132"/>
      <c r="K949" s="132"/>
      <c r="L949" s="45"/>
      <c r="M949" s="45"/>
      <c r="N949" s="46"/>
      <c r="O949" s="46"/>
      <c r="P949" s="45"/>
      <c r="Q949" s="45"/>
      <c r="R949" s="45"/>
      <c r="S949" s="41"/>
      <c r="T949" s="42"/>
      <c r="U949" s="41"/>
      <c r="V949" s="45"/>
      <c r="W949" s="45"/>
      <c r="X949" s="45"/>
      <c r="Y949" s="45"/>
      <c r="Z949" s="45"/>
      <c r="AA949" s="45"/>
      <c r="AB949" s="132"/>
      <c r="AC949" s="45"/>
      <c r="AD949" s="45"/>
      <c r="AE949" s="46"/>
      <c r="AF949" s="46"/>
      <c r="AG949" s="99"/>
      <c r="AH949" s="45"/>
      <c r="AI949" s="51"/>
      <c r="AJ949" s="51"/>
      <c r="AK949" s="99"/>
      <c r="AL949" s="45"/>
      <c r="AM949" s="45"/>
      <c r="AN949" s="45"/>
      <c r="AO949" s="51"/>
      <c r="AP949" s="5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</row>
    <row r="950" spans="1:77" s="111" customFormat="1">
      <c r="A950" s="41"/>
      <c r="B950" s="41"/>
      <c r="C950" s="42"/>
      <c r="D950" s="41"/>
      <c r="E950" s="41"/>
      <c r="F950" s="164"/>
      <c r="G950" s="41"/>
      <c r="H950" s="164"/>
      <c r="I950" s="164"/>
      <c r="J950" s="132"/>
      <c r="K950" s="132"/>
      <c r="L950" s="45"/>
      <c r="M950" s="45"/>
      <c r="N950" s="46"/>
      <c r="O950" s="46"/>
      <c r="P950" s="45"/>
      <c r="Q950" s="45"/>
      <c r="R950" s="45"/>
      <c r="S950" s="41"/>
      <c r="T950" s="41"/>
      <c r="U950" s="41"/>
      <c r="V950" s="50"/>
      <c r="W950" s="41"/>
      <c r="X950" s="41"/>
      <c r="Y950" s="41"/>
      <c r="Z950" s="41"/>
      <c r="AA950" s="50"/>
      <c r="AB950" s="326"/>
      <c r="AC950" s="50"/>
      <c r="AD950" s="50"/>
      <c r="AE950" s="50"/>
      <c r="AF950" s="50"/>
      <c r="AH950" s="50"/>
      <c r="AI950" s="41"/>
      <c r="AJ950" s="41"/>
      <c r="AL950" s="50"/>
      <c r="AM950" s="50"/>
      <c r="AN950" s="50"/>
      <c r="AO950" s="41"/>
      <c r="AP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</row>
    <row r="951" spans="1:77" s="111" customFormat="1">
      <c r="A951" s="41"/>
      <c r="B951" s="41"/>
      <c r="C951" s="42"/>
      <c r="D951" s="41"/>
      <c r="E951" s="41"/>
      <c r="F951" s="164"/>
      <c r="G951" s="41"/>
      <c r="H951" s="164"/>
      <c r="I951" s="164"/>
      <c r="J951" s="132"/>
      <c r="K951" s="132"/>
      <c r="L951" s="45"/>
      <c r="M951" s="45"/>
      <c r="N951" s="46"/>
      <c r="O951" s="46"/>
      <c r="P951" s="45"/>
      <c r="Q951" s="45"/>
      <c r="R951" s="45"/>
      <c r="S951" s="41"/>
      <c r="T951" s="42"/>
      <c r="U951" s="41"/>
      <c r="V951" s="45"/>
      <c r="W951" s="45"/>
      <c r="X951" s="45"/>
      <c r="Y951" s="45"/>
      <c r="Z951" s="45"/>
      <c r="AA951" s="45"/>
      <c r="AB951" s="336"/>
      <c r="AC951" s="45"/>
      <c r="AD951" s="45"/>
      <c r="AE951" s="46"/>
      <c r="AF951" s="46"/>
      <c r="AG951" s="99"/>
      <c r="AH951" s="45"/>
      <c r="AI951" s="51"/>
      <c r="AJ951" s="51"/>
      <c r="AK951" s="333"/>
      <c r="AL951" s="164"/>
      <c r="AM951" s="45"/>
      <c r="AN951" s="45"/>
      <c r="AO951" s="51"/>
      <c r="AP951" s="5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</row>
    <row r="952" spans="1:77" s="111" customFormat="1">
      <c r="A952" s="41"/>
      <c r="B952" s="41"/>
      <c r="C952" s="41"/>
      <c r="D952" s="41"/>
      <c r="E952" s="41"/>
      <c r="F952" s="41"/>
      <c r="G952" s="41"/>
      <c r="H952" s="41"/>
      <c r="I952" s="41"/>
      <c r="J952" s="56"/>
      <c r="K952" s="56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50"/>
      <c r="W952" s="41"/>
      <c r="X952" s="41"/>
      <c r="Y952" s="41"/>
      <c r="Z952" s="41"/>
      <c r="AA952" s="50"/>
      <c r="AB952" s="326"/>
      <c r="AC952" s="50"/>
      <c r="AD952" s="50"/>
      <c r="AE952" s="50"/>
      <c r="AF952" s="50"/>
      <c r="AH952" s="50"/>
      <c r="AI952" s="41"/>
      <c r="AJ952" s="41"/>
      <c r="AL952" s="50"/>
      <c r="AM952" s="50"/>
      <c r="AN952" s="50"/>
      <c r="AO952" s="41"/>
      <c r="AP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</row>
    <row r="953" spans="1:77" s="111" customFormat="1">
      <c r="A953" s="41"/>
      <c r="B953" s="41"/>
      <c r="C953" s="42"/>
      <c r="D953" s="41"/>
      <c r="E953" s="41"/>
      <c r="F953" s="164"/>
      <c r="G953" s="41"/>
      <c r="H953" s="164"/>
      <c r="I953" s="164"/>
      <c r="J953" s="132"/>
      <c r="K953" s="132"/>
      <c r="L953" s="45"/>
      <c r="M953" s="45"/>
      <c r="N953" s="46"/>
      <c r="O953" s="46"/>
      <c r="P953" s="45"/>
      <c r="Q953" s="45"/>
      <c r="R953" s="45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99"/>
      <c r="AH953" s="41"/>
      <c r="AI953" s="41"/>
      <c r="AJ953" s="41"/>
      <c r="AK953" s="99"/>
      <c r="AL953" s="41"/>
      <c r="AM953" s="41"/>
      <c r="AN953" s="41"/>
      <c r="AO953" s="41"/>
      <c r="AP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</row>
    <row r="954" spans="1:77" s="111" customFormat="1">
      <c r="A954" s="41"/>
      <c r="B954" s="41"/>
      <c r="C954" s="42"/>
      <c r="D954" s="41"/>
      <c r="E954" s="41"/>
      <c r="F954" s="41"/>
      <c r="G954" s="41"/>
      <c r="H954" s="41"/>
      <c r="I954" s="41"/>
      <c r="J954" s="56"/>
      <c r="K954" s="56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99"/>
      <c r="AH954" s="41"/>
      <c r="AI954" s="41"/>
      <c r="AJ954" s="41"/>
      <c r="AK954" s="99"/>
      <c r="AL954" s="41"/>
      <c r="AM954" s="41"/>
      <c r="AN954" s="41"/>
      <c r="AO954" s="41"/>
      <c r="AP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</row>
    <row r="955" spans="1:77" s="111" customFormat="1">
      <c r="A955" s="41"/>
      <c r="B955" s="41"/>
      <c r="C955" s="42"/>
      <c r="D955" s="41"/>
      <c r="E955" s="41"/>
      <c r="F955" s="164"/>
      <c r="G955" s="41"/>
      <c r="H955" s="164"/>
      <c r="I955" s="164"/>
      <c r="J955" s="132"/>
      <c r="K955" s="132"/>
      <c r="L955" s="45"/>
      <c r="M955" s="45"/>
      <c r="N955" s="46"/>
      <c r="O955" s="46"/>
      <c r="P955" s="45"/>
      <c r="Q955" s="45"/>
      <c r="R955" s="45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99"/>
      <c r="AH955" s="41"/>
      <c r="AI955" s="41"/>
      <c r="AJ955" s="41"/>
      <c r="AK955" s="99"/>
      <c r="AL955" s="41"/>
      <c r="AM955" s="41"/>
      <c r="AN955" s="41"/>
      <c r="AO955" s="41"/>
      <c r="AP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</row>
    <row r="956" spans="1:77" s="111" customFormat="1">
      <c r="A956" s="41"/>
      <c r="B956" s="41"/>
      <c r="C956" s="41"/>
      <c r="D956" s="41"/>
      <c r="E956" s="41"/>
      <c r="F956" s="41"/>
      <c r="G956" s="41"/>
      <c r="H956" s="41"/>
      <c r="I956" s="41"/>
      <c r="J956" s="56"/>
      <c r="K956" s="56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99"/>
      <c r="AH956" s="41"/>
      <c r="AI956" s="41"/>
      <c r="AJ956" s="41"/>
      <c r="AK956" s="99"/>
      <c r="AL956" s="41"/>
      <c r="AM956" s="41"/>
      <c r="AN956" s="41"/>
      <c r="AO956" s="41"/>
      <c r="AP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</row>
    <row r="957" spans="1:77" s="111" customFormat="1">
      <c r="A957" s="41"/>
      <c r="B957" s="41"/>
      <c r="C957" s="42"/>
      <c r="D957" s="41"/>
      <c r="E957" s="41"/>
      <c r="F957" s="41"/>
      <c r="G957" s="41"/>
      <c r="H957" s="41"/>
      <c r="I957" s="41"/>
      <c r="J957" s="56"/>
      <c r="K957" s="56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2"/>
      <c r="AB957" s="41"/>
      <c r="AC957" s="41"/>
      <c r="AD957" s="41"/>
      <c r="AE957" s="41"/>
      <c r="AF957" s="41"/>
      <c r="AG957" s="99"/>
      <c r="AH957" s="41"/>
      <c r="AI957" s="41"/>
      <c r="AJ957" s="41"/>
      <c r="AK957" s="99"/>
      <c r="AL957" s="41"/>
      <c r="AM957" s="41"/>
      <c r="AN957" s="41"/>
      <c r="AO957" s="41"/>
      <c r="AP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</row>
    <row r="958" spans="1:77" s="111" customFormat="1">
      <c r="A958" s="41"/>
      <c r="B958" s="41"/>
      <c r="C958" s="42"/>
      <c r="D958" s="41"/>
      <c r="E958" s="41"/>
      <c r="F958" s="164"/>
      <c r="G958" s="41"/>
      <c r="H958" s="164"/>
      <c r="I958" s="164"/>
      <c r="J958" s="132"/>
      <c r="K958" s="132"/>
      <c r="L958" s="45"/>
      <c r="M958" s="45"/>
      <c r="N958" s="46"/>
      <c r="O958" s="46"/>
      <c r="P958" s="45"/>
      <c r="Q958" s="45"/>
      <c r="R958" s="45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99"/>
      <c r="AH958" s="41"/>
      <c r="AI958" s="41"/>
      <c r="AJ958" s="41"/>
      <c r="AK958" s="99"/>
      <c r="AL958" s="41"/>
      <c r="AM958" s="41"/>
      <c r="AN958" s="41"/>
      <c r="AO958" s="41"/>
      <c r="AP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</row>
    <row r="959" spans="1:77" s="111" customFormat="1">
      <c r="A959" s="41"/>
      <c r="B959" s="41"/>
      <c r="C959" s="42"/>
      <c r="D959" s="41"/>
      <c r="E959" s="41"/>
      <c r="F959" s="164"/>
      <c r="G959" s="41"/>
      <c r="H959" s="164"/>
      <c r="I959" s="164"/>
      <c r="J959" s="132"/>
      <c r="K959" s="132"/>
      <c r="L959" s="45"/>
      <c r="M959" s="45"/>
      <c r="N959" s="46"/>
      <c r="O959" s="46"/>
      <c r="P959" s="45"/>
      <c r="Q959" s="45"/>
      <c r="R959" s="45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2"/>
      <c r="AD959" s="42"/>
      <c r="AE959" s="41"/>
      <c r="AF959" s="41"/>
      <c r="AG959" s="99"/>
      <c r="AH959" s="41"/>
      <c r="AI959" s="41"/>
      <c r="AJ959" s="41"/>
      <c r="AK959" s="99"/>
      <c r="AL959" s="41"/>
      <c r="AM959" s="41"/>
      <c r="AN959" s="41"/>
      <c r="AO959" s="41"/>
      <c r="AP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</row>
    <row r="960" spans="1:77" s="111" customFormat="1">
      <c r="A960" s="41"/>
      <c r="B960" s="41"/>
      <c r="C960" s="41"/>
      <c r="D960" s="41"/>
      <c r="E960" s="41"/>
      <c r="F960" s="50"/>
      <c r="G960" s="41"/>
      <c r="H960" s="50"/>
      <c r="I960" s="50"/>
      <c r="J960" s="132"/>
      <c r="K960" s="132"/>
      <c r="L960" s="50"/>
      <c r="M960" s="50"/>
      <c r="N960" s="50"/>
      <c r="O960" s="50"/>
      <c r="P960" s="50"/>
      <c r="Q960" s="50"/>
      <c r="R960" s="50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99"/>
      <c r="AH960" s="41"/>
      <c r="AI960" s="41"/>
      <c r="AJ960" s="41"/>
      <c r="AK960" s="99"/>
      <c r="AL960" s="41"/>
      <c r="AM960" s="42"/>
      <c r="AN960" s="42"/>
      <c r="AO960" s="41"/>
      <c r="AP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</row>
    <row r="961" spans="1:77" s="111" customFormat="1">
      <c r="A961" s="41"/>
      <c r="B961" s="41"/>
      <c r="C961" s="42"/>
      <c r="D961" s="41"/>
      <c r="E961" s="41"/>
      <c r="F961" s="45"/>
      <c r="G961" s="41"/>
      <c r="H961" s="45"/>
      <c r="I961" s="45"/>
      <c r="J961" s="41"/>
      <c r="K961" s="41"/>
      <c r="L961" s="45"/>
      <c r="M961" s="45"/>
      <c r="N961" s="46"/>
      <c r="O961" s="46"/>
      <c r="P961" s="164"/>
      <c r="Q961" s="164"/>
      <c r="R961" s="45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99"/>
      <c r="AH961" s="41"/>
      <c r="AI961" s="41"/>
      <c r="AJ961" s="41"/>
      <c r="AK961" s="99"/>
      <c r="AL961" s="41"/>
      <c r="AM961" s="42"/>
      <c r="AN961" s="42"/>
      <c r="AO961" s="41"/>
      <c r="AP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</row>
    <row r="962" spans="1:77" s="111" customFormat="1">
      <c r="A962" s="41"/>
      <c r="B962" s="41"/>
      <c r="C962" s="41"/>
      <c r="D962" s="41"/>
      <c r="E962" s="41"/>
      <c r="F962" s="41"/>
      <c r="G962" s="41"/>
      <c r="H962" s="50"/>
      <c r="I962" s="50"/>
      <c r="J962" s="326"/>
      <c r="K962" s="326"/>
      <c r="L962" s="50"/>
      <c r="M962" s="50"/>
      <c r="N962" s="50"/>
      <c r="O962" s="50"/>
      <c r="P962" s="50"/>
      <c r="Q962" s="50"/>
      <c r="R962" s="50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99"/>
      <c r="AH962" s="41"/>
      <c r="AI962" s="41"/>
      <c r="AJ962" s="41"/>
      <c r="AK962" s="99"/>
      <c r="AL962" s="41"/>
      <c r="AM962" s="42"/>
      <c r="AN962" s="42"/>
      <c r="AO962" s="41"/>
      <c r="AP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</row>
    <row r="963" spans="1:77" s="111" customFormat="1">
      <c r="A963" s="41"/>
      <c r="B963" s="41"/>
      <c r="C963" s="41"/>
      <c r="D963" s="41"/>
      <c r="E963" s="41"/>
      <c r="F963" s="50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2"/>
      <c r="AD963" s="42"/>
      <c r="AE963" s="41"/>
      <c r="AF963" s="41"/>
      <c r="AG963" s="99"/>
      <c r="AH963" s="41"/>
      <c r="AI963" s="41"/>
      <c r="AJ963" s="41"/>
      <c r="AK963" s="99"/>
      <c r="AL963" s="41"/>
      <c r="AM963" s="41"/>
      <c r="AN963" s="41"/>
      <c r="AO963" s="41"/>
      <c r="AP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</row>
    <row r="964" spans="1:77" s="111" customForma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107"/>
      <c r="AH964" s="49"/>
      <c r="AI964" s="49"/>
      <c r="AJ964" s="49"/>
      <c r="AK964" s="107"/>
      <c r="AL964" s="49"/>
      <c r="AM964" s="49"/>
      <c r="AN964" s="49"/>
      <c r="AO964" s="49"/>
      <c r="AP964" s="49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</row>
    <row r="965" spans="1:77" s="111" customFormat="1">
      <c r="A965" s="42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4"/>
      <c r="AD965" s="44"/>
      <c r="AE965" s="44"/>
      <c r="AF965" s="44"/>
      <c r="AG965" s="102"/>
      <c r="AH965" s="44"/>
      <c r="AI965" s="44"/>
      <c r="AJ965" s="44"/>
      <c r="AK965" s="99"/>
      <c r="AL965" s="41"/>
      <c r="AM965" s="44"/>
      <c r="AN965" s="44"/>
      <c r="AO965" s="44"/>
      <c r="AP965" s="44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</row>
    <row r="966" spans="1:77" s="111" customForma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4"/>
      <c r="AC966" s="44"/>
      <c r="AD966" s="44"/>
      <c r="AE966" s="44"/>
      <c r="AF966" s="44"/>
      <c r="AG966" s="102"/>
      <c r="AH966" s="44"/>
      <c r="AI966" s="44"/>
      <c r="AJ966" s="44"/>
      <c r="AK966" s="99"/>
      <c r="AL966" s="41"/>
      <c r="AM966" s="44"/>
      <c r="AN966" s="44"/>
      <c r="AO966" s="44"/>
      <c r="AP966" s="44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</row>
    <row r="967" spans="1:77" s="111" customFormat="1">
      <c r="A967" s="41"/>
      <c r="B967" s="41"/>
      <c r="C967" s="41"/>
      <c r="D967" s="41"/>
      <c r="E967" s="41"/>
      <c r="F967" s="41"/>
      <c r="G967" s="41"/>
      <c r="H967" s="42"/>
      <c r="I967" s="42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4"/>
      <c r="U967" s="44"/>
      <c r="V967" s="44"/>
      <c r="W967" s="41"/>
      <c r="X967" s="41"/>
      <c r="Y967" s="41"/>
      <c r="Z967" s="41"/>
      <c r="AA967" s="41"/>
      <c r="AB967" s="44"/>
      <c r="AC967" s="44"/>
      <c r="AD967" s="44"/>
      <c r="AE967" s="44"/>
      <c r="AF967" s="44"/>
      <c r="AG967" s="102"/>
      <c r="AH967" s="44"/>
      <c r="AI967" s="44"/>
      <c r="AJ967" s="44"/>
      <c r="AK967" s="102"/>
      <c r="AL967" s="44"/>
      <c r="AM967" s="44"/>
      <c r="AN967" s="44"/>
      <c r="AO967" s="44"/>
      <c r="AP967" s="44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</row>
    <row r="968" spans="1:77" s="111" customForma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4"/>
      <c r="U968" s="44"/>
      <c r="V968" s="44"/>
      <c r="W968" s="41"/>
      <c r="X968" s="41"/>
      <c r="Y968" s="41"/>
      <c r="Z968" s="41"/>
      <c r="AA968" s="44"/>
      <c r="AB968" s="44"/>
      <c r="AC968" s="44"/>
      <c r="AD968" s="44"/>
      <c r="AE968" s="44"/>
      <c r="AF968" s="44"/>
      <c r="AG968" s="102"/>
      <c r="AH968" s="44"/>
      <c r="AI968" s="44"/>
      <c r="AJ968" s="44"/>
      <c r="AK968" s="102"/>
      <c r="AL968" s="44"/>
      <c r="AM968" s="44"/>
      <c r="AN968" s="44"/>
      <c r="AO968" s="44"/>
      <c r="AP968" s="44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</row>
    <row r="969" spans="1:77" s="111" customForma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2"/>
      <c r="M969" s="42"/>
      <c r="N969" s="41"/>
      <c r="O969" s="41"/>
      <c r="P969" s="41"/>
      <c r="Q969" s="41"/>
      <c r="R969" s="41"/>
      <c r="S969" s="41"/>
      <c r="T969" s="44"/>
      <c r="U969" s="44"/>
      <c r="V969" s="44"/>
      <c r="W969" s="41"/>
      <c r="X969" s="41"/>
      <c r="Y969" s="41"/>
      <c r="Z969" s="41"/>
      <c r="AA969" s="44"/>
      <c r="AB969" s="44"/>
      <c r="AC969" s="44"/>
      <c r="AD969" s="44"/>
      <c r="AE969" s="44"/>
      <c r="AF969" s="44"/>
      <c r="AG969" s="102"/>
      <c r="AH969" s="44"/>
      <c r="AI969" s="44"/>
      <c r="AJ969" s="44"/>
      <c r="AK969" s="102"/>
      <c r="AL969" s="44"/>
      <c r="AM969" s="44"/>
      <c r="AN969" s="44"/>
      <c r="AO969" s="44"/>
      <c r="AP969" s="44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</row>
    <row r="970" spans="1:77" s="111" customForma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2"/>
      <c r="S970" s="41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107"/>
      <c r="AH970" s="49"/>
      <c r="AI970" s="49"/>
      <c r="AJ970" s="49"/>
      <c r="AK970" s="107"/>
      <c r="AL970" s="49"/>
      <c r="AM970" s="49"/>
      <c r="AN970" s="49"/>
      <c r="AO970" s="49"/>
      <c r="AP970" s="49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</row>
    <row r="971" spans="1:77" s="111" customForma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2"/>
      <c r="S971" s="41"/>
      <c r="T971" s="41"/>
      <c r="U971" s="41"/>
      <c r="V971" s="41"/>
      <c r="W971" s="41"/>
      <c r="X971" s="41"/>
      <c r="Y971" s="41"/>
      <c r="Z971" s="41"/>
      <c r="AA971" s="44"/>
      <c r="AB971" s="44"/>
      <c r="AC971" s="44"/>
      <c r="AD971" s="44"/>
      <c r="AE971" s="44"/>
      <c r="AF971" s="44"/>
      <c r="AG971" s="102"/>
      <c r="AH971" s="44"/>
      <c r="AI971" s="44"/>
      <c r="AJ971" s="44"/>
      <c r="AK971" s="102"/>
      <c r="AL971" s="44"/>
      <c r="AM971" s="44"/>
      <c r="AN971" s="44"/>
      <c r="AO971" s="44"/>
      <c r="AP971" s="44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</row>
    <row r="972" spans="1:77" s="111" customFormat="1">
      <c r="A972" s="42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2"/>
      <c r="S972" s="41"/>
      <c r="T972" s="42"/>
      <c r="U972" s="42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99"/>
      <c r="AH972" s="41"/>
      <c r="AI972" s="41"/>
      <c r="AJ972" s="41"/>
      <c r="AK972" s="99"/>
      <c r="AL972" s="41"/>
      <c r="AM972" s="41"/>
      <c r="AN972" s="41"/>
      <c r="AO972" s="41"/>
      <c r="AP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</row>
    <row r="973" spans="1:77" s="111" customForma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2"/>
      <c r="M973" s="42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99"/>
      <c r="AH973" s="41"/>
      <c r="AI973" s="41"/>
      <c r="AJ973" s="41"/>
      <c r="AK973" s="99"/>
      <c r="AL973" s="41"/>
      <c r="AM973" s="41"/>
      <c r="AN973" s="41"/>
      <c r="AO973" s="41"/>
      <c r="AP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</row>
    <row r="974" spans="1:77" s="111" customForma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1"/>
      <c r="T974" s="42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99"/>
      <c r="AH974" s="41"/>
      <c r="AI974" s="41"/>
      <c r="AJ974" s="41"/>
      <c r="AK974" s="99"/>
      <c r="AL974" s="41"/>
      <c r="AM974" s="41"/>
      <c r="AN974" s="41"/>
      <c r="AO974" s="41"/>
      <c r="AP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</row>
    <row r="975" spans="1:77" s="111" customForma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4"/>
      <c r="M975" s="44"/>
      <c r="N975" s="44"/>
      <c r="O975" s="44"/>
      <c r="P975" s="41"/>
      <c r="Q975" s="41"/>
      <c r="R975" s="44"/>
      <c r="S975" s="41"/>
      <c r="T975" s="42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99"/>
      <c r="AH975" s="41"/>
      <c r="AI975" s="41"/>
      <c r="AJ975" s="41"/>
      <c r="AK975" s="99"/>
      <c r="AL975" s="41"/>
      <c r="AM975" s="41"/>
      <c r="AN975" s="41"/>
      <c r="AO975" s="41"/>
      <c r="AP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</row>
    <row r="976" spans="1:77" s="111" customForma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4"/>
      <c r="M976" s="44"/>
      <c r="N976" s="44"/>
      <c r="O976" s="44"/>
      <c r="P976" s="41"/>
      <c r="Q976" s="41"/>
      <c r="R976" s="44"/>
      <c r="S976" s="41"/>
      <c r="T976" s="42"/>
      <c r="U976" s="41"/>
      <c r="V976" s="45"/>
      <c r="W976" s="45"/>
      <c r="X976" s="45"/>
      <c r="Y976" s="45"/>
      <c r="Z976" s="45"/>
      <c r="AA976" s="45"/>
      <c r="AB976" s="132"/>
      <c r="AC976" s="45"/>
      <c r="AD976" s="45"/>
      <c r="AE976" s="46"/>
      <c r="AF976" s="46"/>
      <c r="AG976" s="99"/>
      <c r="AH976" s="45"/>
      <c r="AI976" s="51"/>
      <c r="AJ976" s="51"/>
      <c r="AK976" s="99"/>
      <c r="AL976" s="45"/>
      <c r="AM976" s="45"/>
      <c r="AN976" s="45"/>
      <c r="AO976" s="51"/>
      <c r="AP976" s="5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</row>
    <row r="977" spans="1:77" s="111" customFormat="1">
      <c r="A977" s="44"/>
      <c r="B977" s="41"/>
      <c r="C977" s="44"/>
      <c r="D977" s="44"/>
      <c r="E977" s="44"/>
      <c r="F977" s="44"/>
      <c r="G977" s="41"/>
      <c r="H977" s="41"/>
      <c r="I977" s="41"/>
      <c r="J977" s="44"/>
      <c r="K977" s="44"/>
      <c r="L977" s="44"/>
      <c r="M977" s="44"/>
      <c r="N977" s="44"/>
      <c r="O977" s="44"/>
      <c r="P977" s="44"/>
      <c r="Q977" s="44"/>
      <c r="R977" s="44"/>
      <c r="S977" s="41"/>
      <c r="T977" s="42"/>
      <c r="U977" s="41"/>
      <c r="V977" s="45"/>
      <c r="W977" s="45"/>
      <c r="X977" s="45"/>
      <c r="Y977" s="45"/>
      <c r="Z977" s="45"/>
      <c r="AA977" s="45"/>
      <c r="AB977" s="56"/>
      <c r="AC977" s="45"/>
      <c r="AD977" s="45"/>
      <c r="AE977" s="46"/>
      <c r="AF977" s="46"/>
      <c r="AG977" s="99"/>
      <c r="AH977" s="45"/>
      <c r="AI977" s="51"/>
      <c r="AJ977" s="51"/>
      <c r="AK977" s="99"/>
      <c r="AL977" s="45"/>
      <c r="AM977" s="45"/>
      <c r="AN977" s="45"/>
      <c r="AO977" s="51"/>
      <c r="AP977" s="5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</row>
    <row r="978" spans="1:77" s="111" customFormat="1">
      <c r="A978" s="44"/>
      <c r="B978" s="41"/>
      <c r="C978" s="44"/>
      <c r="D978" s="44"/>
      <c r="E978" s="44"/>
      <c r="F978" s="44"/>
      <c r="G978" s="41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1"/>
      <c r="T978" s="42"/>
      <c r="U978" s="41"/>
      <c r="V978" s="45"/>
      <c r="W978" s="45"/>
      <c r="X978" s="45"/>
      <c r="Y978" s="45"/>
      <c r="Z978" s="45"/>
      <c r="AA978" s="45"/>
      <c r="AB978" s="56"/>
      <c r="AC978" s="45"/>
      <c r="AD978" s="45"/>
      <c r="AE978" s="46"/>
      <c r="AF978" s="46"/>
      <c r="AG978" s="99"/>
      <c r="AH978" s="45"/>
      <c r="AI978" s="51"/>
      <c r="AJ978" s="51"/>
      <c r="AK978" s="99"/>
      <c r="AL978" s="45"/>
      <c r="AM978" s="45"/>
      <c r="AN978" s="45"/>
      <c r="AO978" s="51"/>
      <c r="AP978" s="5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</row>
    <row r="979" spans="1:77" s="111" customFormat="1">
      <c r="A979" s="41"/>
      <c r="B979" s="41"/>
      <c r="C979" s="44"/>
      <c r="D979" s="44"/>
      <c r="E979" s="44"/>
      <c r="F979" s="44"/>
      <c r="G979" s="41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1"/>
      <c r="T979" s="42"/>
      <c r="U979" s="41"/>
      <c r="V979" s="45"/>
      <c r="W979" s="41"/>
      <c r="X979" s="41"/>
      <c r="Y979" s="41"/>
      <c r="Z979" s="41"/>
      <c r="AA979" s="41"/>
      <c r="AB979" s="56"/>
      <c r="AC979" s="41"/>
      <c r="AD979" s="41"/>
      <c r="AE979" s="41"/>
      <c r="AF979" s="41"/>
      <c r="AG979" s="99"/>
      <c r="AH979" s="41"/>
      <c r="AI979" s="41"/>
      <c r="AJ979" s="41"/>
      <c r="AK979" s="99"/>
      <c r="AL979" s="41"/>
      <c r="AM979" s="41"/>
      <c r="AN979" s="41"/>
      <c r="AO979" s="41"/>
      <c r="AP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</row>
    <row r="980" spans="1:77" s="111" customForma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1"/>
      <c r="T980" s="42"/>
      <c r="U980" s="41"/>
      <c r="V980" s="45"/>
      <c r="W980" s="45"/>
      <c r="X980" s="45"/>
      <c r="Y980" s="45"/>
      <c r="Z980" s="45"/>
      <c r="AA980" s="45"/>
      <c r="AB980" s="132"/>
      <c r="AC980" s="45"/>
      <c r="AD980" s="45"/>
      <c r="AE980" s="46"/>
      <c r="AF980" s="46"/>
      <c r="AG980" s="99"/>
      <c r="AH980" s="45"/>
      <c r="AI980" s="51"/>
      <c r="AJ980" s="51"/>
      <c r="AK980" s="99"/>
      <c r="AL980" s="45"/>
      <c r="AM980" s="45"/>
      <c r="AN980" s="45"/>
      <c r="AO980" s="51"/>
      <c r="AP980" s="5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</row>
    <row r="981" spans="1:77" s="111" customFormat="1">
      <c r="A981" s="41"/>
      <c r="B981" s="41"/>
      <c r="C981" s="41"/>
      <c r="D981" s="41"/>
      <c r="E981" s="41"/>
      <c r="F981" s="41"/>
      <c r="G981" s="41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1"/>
      <c r="T981" s="42"/>
      <c r="U981" s="41"/>
      <c r="V981" s="45"/>
      <c r="W981" s="45"/>
      <c r="X981" s="45"/>
      <c r="Y981" s="45"/>
      <c r="Z981" s="45"/>
      <c r="AA981" s="45"/>
      <c r="AB981" s="56"/>
      <c r="AC981" s="41"/>
      <c r="AD981" s="41"/>
      <c r="AE981" s="46"/>
      <c r="AF981" s="46"/>
      <c r="AG981" s="99"/>
      <c r="AH981" s="45"/>
      <c r="AI981" s="51"/>
      <c r="AJ981" s="51"/>
      <c r="AK981" s="99"/>
      <c r="AL981" s="45"/>
      <c r="AM981" s="45"/>
      <c r="AN981" s="45"/>
      <c r="AO981" s="51"/>
      <c r="AP981" s="5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</row>
    <row r="982" spans="1:77" s="111" customFormat="1">
      <c r="A982" s="41"/>
      <c r="B982" s="41"/>
      <c r="C982" s="42"/>
      <c r="D982" s="42"/>
      <c r="E982" s="42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2"/>
      <c r="U982" s="41"/>
      <c r="V982" s="45"/>
      <c r="W982" s="45"/>
      <c r="X982" s="45"/>
      <c r="Y982" s="45"/>
      <c r="Z982" s="45"/>
      <c r="AA982" s="45"/>
      <c r="AB982" s="132"/>
      <c r="AC982" s="45"/>
      <c r="AD982" s="45"/>
      <c r="AE982" s="46"/>
      <c r="AF982" s="46"/>
      <c r="AG982" s="99"/>
      <c r="AH982" s="45"/>
      <c r="AI982" s="51"/>
      <c r="AJ982" s="51"/>
      <c r="AK982" s="99"/>
      <c r="AL982" s="45"/>
      <c r="AM982" s="45"/>
      <c r="AN982" s="45"/>
      <c r="AO982" s="51"/>
      <c r="AP982" s="5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</row>
    <row r="983" spans="1:77">
      <c r="T983" s="42"/>
      <c r="V983" s="45"/>
      <c r="W983" s="45"/>
      <c r="X983" s="45"/>
      <c r="Y983" s="45"/>
      <c r="Z983" s="45"/>
      <c r="AA983" s="45"/>
      <c r="AB983" s="56"/>
      <c r="AC983" s="45"/>
      <c r="AD983" s="45"/>
      <c r="AE983" s="46"/>
      <c r="AF983" s="46"/>
      <c r="AH983" s="45"/>
      <c r="AI983" s="51"/>
      <c r="AJ983" s="51"/>
      <c r="AL983" s="45"/>
      <c r="AM983" s="45"/>
      <c r="AN983" s="45"/>
      <c r="AO983" s="51"/>
      <c r="AP983" s="51"/>
    </row>
    <row r="984" spans="1:77" s="111" customFormat="1">
      <c r="A984" s="41"/>
      <c r="B984" s="41"/>
      <c r="C984" s="42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56"/>
      <c r="AC984" s="41"/>
      <c r="AD984" s="41"/>
      <c r="AE984" s="41"/>
      <c r="AF984" s="41"/>
      <c r="AG984" s="99"/>
      <c r="AH984" s="41"/>
      <c r="AI984" s="41"/>
      <c r="AJ984" s="41"/>
      <c r="AK984" s="99"/>
      <c r="AL984" s="41"/>
      <c r="AM984" s="41"/>
      <c r="AN984" s="41"/>
      <c r="AO984" s="41"/>
      <c r="AP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</row>
    <row r="985" spans="1:77" s="111" customFormat="1">
      <c r="A985" s="41"/>
      <c r="B985" s="41"/>
      <c r="C985" s="42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2"/>
      <c r="U985" s="41"/>
      <c r="V985" s="45"/>
      <c r="W985" s="45"/>
      <c r="X985" s="45"/>
      <c r="Y985" s="45"/>
      <c r="Z985" s="45"/>
      <c r="AA985" s="45"/>
      <c r="AB985" s="132"/>
      <c r="AC985" s="45"/>
      <c r="AD985" s="45"/>
      <c r="AE985" s="46"/>
      <c r="AF985" s="46"/>
      <c r="AG985" s="99"/>
      <c r="AH985" s="45"/>
      <c r="AI985" s="51"/>
      <c r="AJ985" s="51"/>
      <c r="AK985" s="99"/>
      <c r="AL985" s="45"/>
      <c r="AM985" s="45"/>
      <c r="AN985" s="45"/>
      <c r="AO985" s="51"/>
      <c r="AP985" s="5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</row>
    <row r="986" spans="1:77" s="111" customFormat="1">
      <c r="A986" s="41"/>
      <c r="B986" s="41"/>
      <c r="C986" s="42"/>
      <c r="D986" s="41"/>
      <c r="E986" s="41"/>
      <c r="F986" s="164"/>
      <c r="G986" s="41"/>
      <c r="H986" s="164"/>
      <c r="I986" s="164"/>
      <c r="J986" s="132"/>
      <c r="K986" s="132"/>
      <c r="L986" s="45"/>
      <c r="M986" s="45"/>
      <c r="N986" s="46"/>
      <c r="O986" s="46"/>
      <c r="P986" s="45"/>
      <c r="Q986" s="45"/>
      <c r="R986" s="45"/>
      <c r="S986" s="41"/>
      <c r="T986" s="41"/>
      <c r="U986" s="41"/>
      <c r="V986" s="50"/>
      <c r="W986" s="41"/>
      <c r="X986" s="41"/>
      <c r="Y986" s="41"/>
      <c r="Z986" s="41"/>
      <c r="AA986" s="50"/>
      <c r="AB986" s="132"/>
      <c r="AC986" s="50"/>
      <c r="AD986" s="50"/>
      <c r="AE986" s="50"/>
      <c r="AF986" s="50"/>
      <c r="AH986" s="50"/>
      <c r="AI986" s="41"/>
      <c r="AJ986" s="41"/>
      <c r="AL986" s="50"/>
      <c r="AM986" s="50"/>
      <c r="AN986" s="50"/>
      <c r="AO986" s="41"/>
      <c r="AP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</row>
    <row r="987" spans="1:77" s="111" customFormat="1">
      <c r="A987" s="41"/>
      <c r="B987" s="41"/>
      <c r="C987" s="42"/>
      <c r="D987" s="41"/>
      <c r="E987" s="41"/>
      <c r="F987" s="45"/>
      <c r="G987" s="41"/>
      <c r="H987" s="45"/>
      <c r="I987" s="45"/>
      <c r="J987" s="56"/>
      <c r="K987" s="56"/>
      <c r="L987" s="45"/>
      <c r="M987" s="45"/>
      <c r="N987" s="46"/>
      <c r="O987" s="46"/>
      <c r="P987" s="45"/>
      <c r="Q987" s="45"/>
      <c r="R987" s="45"/>
      <c r="S987" s="41"/>
      <c r="T987" s="42"/>
      <c r="U987" s="41"/>
      <c r="V987" s="45"/>
      <c r="W987" s="41"/>
      <c r="X987" s="41"/>
      <c r="Y987" s="41"/>
      <c r="Z987" s="41"/>
      <c r="AA987" s="45"/>
      <c r="AB987" s="56"/>
      <c r="AC987" s="45"/>
      <c r="AD987" s="45"/>
      <c r="AE987" s="51"/>
      <c r="AF987" s="51"/>
      <c r="AG987" s="99"/>
      <c r="AH987" s="45"/>
      <c r="AI987" s="51"/>
      <c r="AJ987" s="51"/>
      <c r="AK987" s="99"/>
      <c r="AL987" s="45"/>
      <c r="AM987" s="45"/>
      <c r="AN987" s="45"/>
      <c r="AO987" s="51"/>
      <c r="AP987" s="5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</row>
    <row r="988" spans="1:77" s="111" customFormat="1">
      <c r="A988" s="41"/>
      <c r="B988" s="41"/>
      <c r="C988" s="42"/>
      <c r="D988" s="41"/>
      <c r="E988" s="41"/>
      <c r="F988" s="45"/>
      <c r="G988" s="41"/>
      <c r="H988" s="45"/>
      <c r="I988" s="45"/>
      <c r="J988" s="56"/>
      <c r="K988" s="56"/>
      <c r="L988" s="45"/>
      <c r="M988" s="45"/>
      <c r="N988" s="46"/>
      <c r="O988" s="46"/>
      <c r="P988" s="45"/>
      <c r="Q988" s="45"/>
      <c r="R988" s="45"/>
      <c r="S988" s="41"/>
      <c r="T988" s="41"/>
      <c r="U988" s="41"/>
      <c r="V988" s="50"/>
      <c r="W988" s="41"/>
      <c r="X988" s="41"/>
      <c r="Y988" s="41"/>
      <c r="Z988" s="41"/>
      <c r="AA988" s="50"/>
      <c r="AB988" s="132"/>
      <c r="AC988" s="50"/>
      <c r="AD988" s="50"/>
      <c r="AE988" s="50"/>
      <c r="AF988" s="50"/>
      <c r="AH988" s="50"/>
      <c r="AI988" s="41"/>
      <c r="AJ988" s="41"/>
      <c r="AL988" s="50"/>
      <c r="AM988" s="50"/>
      <c r="AN988" s="50"/>
      <c r="AO988" s="41"/>
      <c r="AP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</row>
    <row r="989" spans="1:77" s="111" customFormat="1">
      <c r="A989" s="41"/>
      <c r="B989" s="41"/>
      <c r="C989" s="42"/>
      <c r="D989" s="41"/>
      <c r="E989" s="41"/>
      <c r="F989" s="45"/>
      <c r="G989" s="41"/>
      <c r="H989" s="45"/>
      <c r="I989" s="45"/>
      <c r="J989" s="56"/>
      <c r="K989" s="56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56"/>
      <c r="AC989" s="41"/>
      <c r="AD989" s="41"/>
      <c r="AE989" s="41"/>
      <c r="AF989" s="41"/>
      <c r="AG989" s="99"/>
      <c r="AH989" s="41"/>
      <c r="AI989" s="41"/>
      <c r="AJ989" s="41"/>
      <c r="AK989" s="99"/>
      <c r="AL989" s="41"/>
      <c r="AM989" s="41"/>
      <c r="AN989" s="41"/>
      <c r="AO989" s="41"/>
      <c r="AP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</row>
    <row r="990" spans="1:77" s="111" customFormat="1">
      <c r="A990" s="41"/>
      <c r="B990" s="41"/>
      <c r="C990" s="42"/>
      <c r="D990" s="41"/>
      <c r="E990" s="41"/>
      <c r="F990" s="164"/>
      <c r="G990" s="41"/>
      <c r="H990" s="164"/>
      <c r="I990" s="164"/>
      <c r="J990" s="132"/>
      <c r="K990" s="132"/>
      <c r="L990" s="45"/>
      <c r="M990" s="45"/>
      <c r="N990" s="46"/>
      <c r="O990" s="46"/>
      <c r="P990" s="45"/>
      <c r="Q990" s="45"/>
      <c r="R990" s="45"/>
      <c r="S990" s="41"/>
      <c r="T990" s="42"/>
      <c r="U990" s="41"/>
      <c r="V990" s="41"/>
      <c r="W990" s="41"/>
      <c r="X990" s="41"/>
      <c r="Y990" s="41"/>
      <c r="Z990" s="41"/>
      <c r="AA990" s="41"/>
      <c r="AB990" s="56"/>
      <c r="AC990" s="41"/>
      <c r="AD990" s="41"/>
      <c r="AE990" s="41"/>
      <c r="AF990" s="41"/>
      <c r="AG990" s="99"/>
      <c r="AH990" s="41"/>
      <c r="AI990" s="41"/>
      <c r="AJ990" s="41"/>
      <c r="AK990" s="99"/>
      <c r="AL990" s="41"/>
      <c r="AM990" s="41"/>
      <c r="AN990" s="41"/>
      <c r="AO990" s="41"/>
      <c r="AP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</row>
    <row r="991" spans="1:77" s="111" customFormat="1">
      <c r="A991" s="41"/>
      <c r="B991" s="41"/>
      <c r="C991" s="42"/>
      <c r="D991" s="41"/>
      <c r="E991" s="41"/>
      <c r="F991" s="45"/>
      <c r="G991" s="41"/>
      <c r="H991" s="45"/>
      <c r="I991" s="45"/>
      <c r="J991" s="56"/>
      <c r="K991" s="56"/>
      <c r="L991" s="41"/>
      <c r="M991" s="41"/>
      <c r="N991" s="41"/>
      <c r="O991" s="41"/>
      <c r="P991" s="41"/>
      <c r="Q991" s="41"/>
      <c r="R991" s="41"/>
      <c r="S991" s="41"/>
      <c r="T991" s="42"/>
      <c r="U991" s="41"/>
      <c r="V991" s="41"/>
      <c r="W991" s="41"/>
      <c r="X991" s="41"/>
      <c r="Y991" s="41"/>
      <c r="Z991" s="41"/>
      <c r="AA991" s="41"/>
      <c r="AB991" s="56"/>
      <c r="AC991" s="41"/>
      <c r="AD991" s="41"/>
      <c r="AE991" s="41"/>
      <c r="AF991" s="41"/>
      <c r="AG991" s="99"/>
      <c r="AH991" s="41"/>
      <c r="AI991" s="41"/>
      <c r="AJ991" s="41"/>
      <c r="AK991" s="99"/>
      <c r="AL991" s="41"/>
      <c r="AM991" s="41"/>
      <c r="AN991" s="41"/>
      <c r="AO991" s="41"/>
      <c r="AP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</row>
    <row r="992" spans="1:77" s="111" customFormat="1">
      <c r="A992" s="41"/>
      <c r="B992" s="41"/>
      <c r="C992" s="42"/>
      <c r="D992" s="41"/>
      <c r="E992" s="41"/>
      <c r="F992" s="164"/>
      <c r="G992" s="41"/>
      <c r="H992" s="164"/>
      <c r="I992" s="164"/>
      <c r="J992" s="132"/>
      <c r="K992" s="132"/>
      <c r="L992" s="45"/>
      <c r="M992" s="45"/>
      <c r="N992" s="46"/>
      <c r="O992" s="46"/>
      <c r="P992" s="45"/>
      <c r="Q992" s="45"/>
      <c r="R992" s="45"/>
      <c r="S992" s="41"/>
      <c r="T992" s="42"/>
      <c r="U992" s="41"/>
      <c r="V992" s="45"/>
      <c r="W992" s="45"/>
      <c r="X992" s="45"/>
      <c r="Y992" s="45"/>
      <c r="Z992" s="45"/>
      <c r="AA992" s="45"/>
      <c r="AB992" s="132"/>
      <c r="AC992" s="45"/>
      <c r="AD992" s="45"/>
      <c r="AE992" s="46"/>
      <c r="AF992" s="46"/>
      <c r="AG992" s="99"/>
      <c r="AH992" s="45"/>
      <c r="AI992" s="51"/>
      <c r="AJ992" s="51"/>
      <c r="AK992" s="99"/>
      <c r="AL992" s="45"/>
      <c r="AM992" s="45"/>
      <c r="AN992" s="45"/>
      <c r="AO992" s="51"/>
      <c r="AP992" s="5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</row>
    <row r="993" spans="1:77" s="111" customFormat="1">
      <c r="A993" s="41"/>
      <c r="B993" s="41"/>
      <c r="C993" s="42"/>
      <c r="D993" s="41"/>
      <c r="E993" s="41"/>
      <c r="F993" s="45"/>
      <c r="G993" s="41"/>
      <c r="H993" s="45"/>
      <c r="I993" s="45"/>
      <c r="J993" s="56"/>
      <c r="K993" s="56"/>
      <c r="L993" s="45"/>
      <c r="M993" s="45"/>
      <c r="N993" s="46"/>
      <c r="O993" s="46"/>
      <c r="P993" s="45"/>
      <c r="Q993" s="45"/>
      <c r="R993" s="45"/>
      <c r="S993" s="41"/>
      <c r="T993" s="42"/>
      <c r="U993" s="41"/>
      <c r="V993" s="41"/>
      <c r="W993" s="41"/>
      <c r="X993" s="41"/>
      <c r="Y993" s="41"/>
      <c r="Z993" s="41"/>
      <c r="AA993" s="41"/>
      <c r="AB993" s="56"/>
      <c r="AC993" s="41"/>
      <c r="AD993" s="41"/>
      <c r="AE993" s="41"/>
      <c r="AF993" s="41"/>
      <c r="AG993" s="99"/>
      <c r="AH993" s="41"/>
      <c r="AI993" s="41"/>
      <c r="AJ993" s="41"/>
      <c r="AK993" s="99"/>
      <c r="AL993" s="41"/>
      <c r="AM993" s="41"/>
      <c r="AN993" s="41"/>
      <c r="AO993" s="41"/>
      <c r="AP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</row>
    <row r="994" spans="1:77" s="111" customFormat="1">
      <c r="A994" s="41"/>
      <c r="B994" s="41"/>
      <c r="C994" s="41"/>
      <c r="D994" s="41"/>
      <c r="E994" s="41"/>
      <c r="F994" s="45"/>
      <c r="G994" s="41"/>
      <c r="H994" s="45"/>
      <c r="I994" s="45"/>
      <c r="J994" s="56"/>
      <c r="K994" s="56"/>
      <c r="L994" s="41"/>
      <c r="M994" s="41"/>
      <c r="N994" s="41"/>
      <c r="O994" s="41"/>
      <c r="P994" s="41"/>
      <c r="Q994" s="41"/>
      <c r="R994" s="41"/>
      <c r="S994" s="41"/>
      <c r="T994" s="42"/>
      <c r="U994" s="41"/>
      <c r="V994" s="45"/>
      <c r="W994" s="45"/>
      <c r="X994" s="45"/>
      <c r="Y994" s="45"/>
      <c r="Z994" s="45"/>
      <c r="AA994" s="45"/>
      <c r="AB994" s="132"/>
      <c r="AC994" s="45"/>
      <c r="AD994" s="45"/>
      <c r="AE994" s="46"/>
      <c r="AF994" s="46"/>
      <c r="AG994" s="99"/>
      <c r="AH994" s="45"/>
      <c r="AI994" s="51"/>
      <c r="AJ994" s="51"/>
      <c r="AK994" s="99"/>
      <c r="AL994" s="45"/>
      <c r="AM994" s="45"/>
      <c r="AN994" s="45"/>
      <c r="AO994" s="51"/>
      <c r="AP994" s="5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</row>
    <row r="995" spans="1:77" s="111" customFormat="1">
      <c r="A995" s="41"/>
      <c r="B995" s="41"/>
      <c r="C995" s="42"/>
      <c r="D995" s="41"/>
      <c r="E995" s="41"/>
      <c r="F995" s="45"/>
      <c r="G995" s="41"/>
      <c r="H995" s="164"/>
      <c r="I995" s="164"/>
      <c r="J995" s="132"/>
      <c r="K995" s="132"/>
      <c r="L995" s="45"/>
      <c r="M995" s="45"/>
      <c r="N995" s="46"/>
      <c r="O995" s="46"/>
      <c r="P995" s="45"/>
      <c r="Q995" s="45"/>
      <c r="R995" s="45"/>
      <c r="S995" s="41"/>
      <c r="T995" s="41"/>
      <c r="U995" s="41"/>
      <c r="V995" s="50"/>
      <c r="W995" s="41"/>
      <c r="X995" s="41"/>
      <c r="Y995" s="41"/>
      <c r="Z995" s="41"/>
      <c r="AA995" s="50"/>
      <c r="AB995" s="132"/>
      <c r="AC995" s="50"/>
      <c r="AD995" s="50"/>
      <c r="AE995" s="50"/>
      <c r="AF995" s="50"/>
      <c r="AH995" s="50"/>
      <c r="AI995" s="41"/>
      <c r="AJ995" s="41"/>
      <c r="AL995" s="50"/>
      <c r="AM995" s="50"/>
      <c r="AN995" s="50"/>
      <c r="AO995" s="41"/>
      <c r="AP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</row>
    <row r="996" spans="1:77" s="111" customFormat="1">
      <c r="A996" s="41"/>
      <c r="B996" s="41"/>
      <c r="C996" s="41"/>
      <c r="D996" s="41"/>
      <c r="E996" s="41"/>
      <c r="F996" s="50"/>
      <c r="G996" s="41"/>
      <c r="H996" s="50"/>
      <c r="I996" s="50"/>
      <c r="J996" s="132"/>
      <c r="K996" s="132"/>
      <c r="L996" s="50"/>
      <c r="M996" s="50"/>
      <c r="N996" s="50"/>
      <c r="O996" s="50"/>
      <c r="P996" s="50"/>
      <c r="Q996" s="50"/>
      <c r="R996" s="50"/>
      <c r="S996" s="41"/>
      <c r="T996" s="42"/>
      <c r="U996" s="41"/>
      <c r="V996" s="45"/>
      <c r="W996" s="41"/>
      <c r="X996" s="41"/>
      <c r="Y996" s="41"/>
      <c r="Z996" s="41"/>
      <c r="AA996" s="45"/>
      <c r="AB996" s="56"/>
      <c r="AC996" s="45"/>
      <c r="AD996" s="45"/>
      <c r="AE996" s="51"/>
      <c r="AF996" s="51"/>
      <c r="AG996" s="99"/>
      <c r="AH996" s="45"/>
      <c r="AI996" s="51"/>
      <c r="AJ996" s="51"/>
      <c r="AK996" s="99"/>
      <c r="AL996" s="45"/>
      <c r="AM996" s="45"/>
      <c r="AN996" s="45"/>
      <c r="AO996" s="51"/>
      <c r="AP996" s="5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</row>
    <row r="997" spans="1:77" s="111" customFormat="1">
      <c r="A997" s="41"/>
      <c r="B997" s="41"/>
      <c r="C997" s="42"/>
      <c r="D997" s="41"/>
      <c r="E997" s="41"/>
      <c r="F997" s="45"/>
      <c r="G997" s="41"/>
      <c r="H997" s="45"/>
      <c r="I997" s="45"/>
      <c r="J997" s="56"/>
      <c r="K997" s="56"/>
      <c r="L997" s="45"/>
      <c r="M997" s="45"/>
      <c r="N997" s="41"/>
      <c r="O997" s="41"/>
      <c r="P997" s="45"/>
      <c r="Q997" s="45"/>
      <c r="R997" s="45"/>
      <c r="S997" s="41"/>
      <c r="T997" s="41"/>
      <c r="U997" s="41"/>
      <c r="V997" s="50"/>
      <c r="W997" s="41"/>
      <c r="X997" s="41"/>
      <c r="Y997" s="41"/>
      <c r="Z997" s="41"/>
      <c r="AA997" s="50"/>
      <c r="AB997" s="326"/>
      <c r="AC997" s="50"/>
      <c r="AD997" s="50"/>
      <c r="AE997" s="50"/>
      <c r="AF997" s="50"/>
      <c r="AH997" s="50"/>
      <c r="AI997" s="41"/>
      <c r="AJ997" s="41"/>
      <c r="AL997" s="50"/>
      <c r="AM997" s="50"/>
      <c r="AN997" s="50"/>
      <c r="AO997" s="41"/>
      <c r="AP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</row>
    <row r="998" spans="1:77" s="111" customFormat="1">
      <c r="A998" s="41"/>
      <c r="B998" s="41"/>
      <c r="C998" s="41"/>
      <c r="D998" s="41"/>
      <c r="E998" s="41"/>
      <c r="F998" s="50"/>
      <c r="G998" s="41"/>
      <c r="H998" s="50"/>
      <c r="I998" s="50"/>
      <c r="J998" s="132"/>
      <c r="K998" s="132"/>
      <c r="L998" s="50"/>
      <c r="M998" s="50"/>
      <c r="N998" s="50"/>
      <c r="O998" s="50"/>
      <c r="P998" s="50"/>
      <c r="Q998" s="50"/>
      <c r="R998" s="50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99"/>
      <c r="AH998" s="41"/>
      <c r="AI998" s="41"/>
      <c r="AJ998" s="41"/>
      <c r="AK998" s="99"/>
      <c r="AL998" s="41"/>
      <c r="AM998" s="41"/>
      <c r="AN998" s="41"/>
      <c r="AO998" s="41"/>
      <c r="AP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</row>
    <row r="999" spans="1:77" s="111" customFormat="1">
      <c r="A999" s="41"/>
      <c r="B999" s="41"/>
      <c r="C999" s="41"/>
      <c r="D999" s="41"/>
      <c r="E999" s="41"/>
      <c r="F999" s="41"/>
      <c r="G999" s="41"/>
      <c r="H999" s="41"/>
      <c r="I999" s="41"/>
      <c r="J999" s="56"/>
      <c r="K999" s="56"/>
      <c r="L999" s="41"/>
      <c r="M999" s="41"/>
      <c r="N999" s="41"/>
      <c r="O999" s="41"/>
      <c r="P999" s="41"/>
      <c r="Q999" s="41"/>
      <c r="R999" s="41"/>
      <c r="S999" s="41"/>
      <c r="T999" s="42"/>
      <c r="U999" s="41"/>
      <c r="V999" s="45"/>
      <c r="W999" s="41"/>
      <c r="X999" s="41"/>
      <c r="Y999" s="41"/>
      <c r="Z999" s="41"/>
      <c r="AA999" s="45"/>
      <c r="AB999" s="41"/>
      <c r="AC999" s="45"/>
      <c r="AD999" s="45"/>
      <c r="AE999" s="51"/>
      <c r="AF999" s="51"/>
      <c r="AG999" s="99"/>
      <c r="AH999" s="45"/>
      <c r="AI999" s="51"/>
      <c r="AJ999" s="51"/>
      <c r="AK999" s="333"/>
      <c r="AL999" s="164"/>
      <c r="AM999" s="45"/>
      <c r="AN999" s="45"/>
      <c r="AO999" s="51"/>
      <c r="AP999" s="5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</row>
    <row r="1000" spans="1:77" s="111" customFormat="1">
      <c r="A1000" s="41"/>
      <c r="B1000" s="41"/>
      <c r="C1000" s="42"/>
      <c r="D1000" s="41"/>
      <c r="E1000" s="41"/>
      <c r="F1000" s="41"/>
      <c r="G1000" s="41"/>
      <c r="H1000" s="41"/>
      <c r="I1000" s="41"/>
      <c r="J1000" s="56"/>
      <c r="K1000" s="56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50"/>
      <c r="W1000" s="41"/>
      <c r="X1000" s="41"/>
      <c r="Y1000" s="41"/>
      <c r="Z1000" s="41"/>
      <c r="AA1000" s="50"/>
      <c r="AB1000" s="326"/>
      <c r="AC1000" s="50"/>
      <c r="AD1000" s="50"/>
      <c r="AE1000" s="50"/>
      <c r="AF1000" s="50"/>
      <c r="AH1000" s="50"/>
      <c r="AI1000" s="41"/>
      <c r="AJ1000" s="41"/>
      <c r="AL1000" s="50"/>
      <c r="AM1000" s="50"/>
      <c r="AN1000" s="50"/>
      <c r="AO1000" s="41"/>
      <c r="AP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</row>
    <row r="1001" spans="1:77" s="111" customFormat="1">
      <c r="A1001" s="41"/>
      <c r="B1001" s="41"/>
      <c r="C1001" s="42"/>
      <c r="D1001" s="41"/>
      <c r="E1001" s="41"/>
      <c r="F1001" s="41"/>
      <c r="G1001" s="41"/>
      <c r="H1001" s="41"/>
      <c r="I1001" s="41"/>
      <c r="J1001" s="56"/>
      <c r="K1001" s="56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99"/>
      <c r="AH1001" s="41"/>
      <c r="AI1001" s="41"/>
      <c r="AJ1001" s="41"/>
      <c r="AK1001" s="99"/>
      <c r="AL1001" s="41"/>
      <c r="AM1001" s="41"/>
      <c r="AN1001" s="41"/>
      <c r="AO1001" s="41"/>
      <c r="AP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</row>
    <row r="1002" spans="1:77" s="111" customFormat="1">
      <c r="A1002" s="41"/>
      <c r="B1002" s="41"/>
      <c r="C1002" s="42"/>
      <c r="D1002" s="41"/>
      <c r="E1002" s="41"/>
      <c r="F1002" s="164"/>
      <c r="G1002" s="41"/>
      <c r="H1002" s="164"/>
      <c r="I1002" s="164"/>
      <c r="J1002" s="132"/>
      <c r="K1002" s="132"/>
      <c r="L1002" s="45"/>
      <c r="M1002" s="45"/>
      <c r="N1002" s="46"/>
      <c r="O1002" s="46"/>
      <c r="P1002" s="45"/>
      <c r="Q1002" s="45"/>
      <c r="R1002" s="45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99"/>
      <c r="AH1002" s="41"/>
      <c r="AI1002" s="41"/>
      <c r="AJ1002" s="41"/>
      <c r="AK1002" s="99"/>
      <c r="AL1002" s="41"/>
      <c r="AM1002" s="41"/>
      <c r="AN1002" s="41"/>
      <c r="AO1002" s="41"/>
      <c r="AP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</row>
    <row r="1003" spans="1:77" s="111" customFormat="1">
      <c r="A1003" s="41"/>
      <c r="B1003" s="41"/>
      <c r="C1003" s="42"/>
      <c r="D1003" s="41"/>
      <c r="E1003" s="41"/>
      <c r="F1003" s="41"/>
      <c r="G1003" s="41"/>
      <c r="H1003" s="41"/>
      <c r="I1003" s="41"/>
      <c r="J1003" s="56"/>
      <c r="K1003" s="56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99"/>
      <c r="AH1003" s="41"/>
      <c r="AI1003" s="41"/>
      <c r="AJ1003" s="41"/>
      <c r="AK1003" s="99"/>
      <c r="AL1003" s="41"/>
      <c r="AM1003" s="41"/>
      <c r="AN1003" s="41"/>
      <c r="AO1003" s="41"/>
      <c r="AP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</row>
    <row r="1004" spans="1:77" s="111" customFormat="1">
      <c r="A1004" s="41"/>
      <c r="B1004" s="41"/>
      <c r="C1004" s="42"/>
      <c r="D1004" s="41"/>
      <c r="E1004" s="41"/>
      <c r="F1004" s="164"/>
      <c r="G1004" s="41"/>
      <c r="H1004" s="164"/>
      <c r="I1004" s="164"/>
      <c r="J1004" s="132"/>
      <c r="K1004" s="132"/>
      <c r="L1004" s="45"/>
      <c r="M1004" s="45"/>
      <c r="N1004" s="46"/>
      <c r="O1004" s="46"/>
      <c r="P1004" s="45"/>
      <c r="Q1004" s="45"/>
      <c r="R1004" s="45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99"/>
      <c r="AH1004" s="41"/>
      <c r="AI1004" s="41"/>
      <c r="AJ1004" s="41"/>
      <c r="AK1004" s="99"/>
      <c r="AL1004" s="41"/>
      <c r="AM1004" s="41"/>
      <c r="AN1004" s="41"/>
      <c r="AO1004" s="41"/>
      <c r="AP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</row>
    <row r="1005" spans="1:77" s="111" customFormat="1">
      <c r="A1005" s="41"/>
      <c r="B1005" s="41"/>
      <c r="C1005" s="41"/>
      <c r="D1005" s="41"/>
      <c r="E1005" s="41"/>
      <c r="F1005" s="50"/>
      <c r="G1005" s="41"/>
      <c r="H1005" s="50"/>
      <c r="I1005" s="50"/>
      <c r="J1005" s="132"/>
      <c r="K1005" s="132"/>
      <c r="L1005" s="50"/>
      <c r="M1005" s="50"/>
      <c r="N1005" s="50"/>
      <c r="O1005" s="50"/>
      <c r="P1005" s="50"/>
      <c r="Q1005" s="50"/>
      <c r="R1005" s="50"/>
      <c r="S1005" s="41"/>
      <c r="T1005" s="41"/>
      <c r="U1005" s="41"/>
      <c r="V1005" s="41"/>
      <c r="W1005" s="41"/>
      <c r="X1005" s="41"/>
      <c r="Y1005" s="41"/>
      <c r="Z1005" s="41"/>
      <c r="AA1005" s="42"/>
      <c r="AB1005" s="41"/>
      <c r="AC1005" s="41"/>
      <c r="AD1005" s="41"/>
      <c r="AE1005" s="41"/>
      <c r="AF1005" s="41"/>
      <c r="AG1005" s="99"/>
      <c r="AH1005" s="41"/>
      <c r="AI1005" s="41"/>
      <c r="AJ1005" s="41"/>
      <c r="AK1005" s="99"/>
      <c r="AL1005" s="41"/>
      <c r="AM1005" s="41"/>
      <c r="AN1005" s="41"/>
      <c r="AO1005" s="41"/>
      <c r="AP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</row>
    <row r="1006" spans="1:77" s="111" customFormat="1">
      <c r="A1006" s="41"/>
      <c r="B1006" s="41"/>
      <c r="C1006" s="42"/>
      <c r="D1006" s="41"/>
      <c r="E1006" s="41"/>
      <c r="F1006" s="45"/>
      <c r="G1006" s="41"/>
      <c r="H1006" s="45"/>
      <c r="I1006" s="45"/>
      <c r="J1006" s="56"/>
      <c r="K1006" s="56"/>
      <c r="L1006" s="45"/>
      <c r="M1006" s="45"/>
      <c r="N1006" s="51"/>
      <c r="O1006" s="51"/>
      <c r="P1006" s="45"/>
      <c r="Q1006" s="45"/>
      <c r="R1006" s="45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99"/>
      <c r="AH1006" s="41"/>
      <c r="AI1006" s="41"/>
      <c r="AJ1006" s="41"/>
      <c r="AK1006" s="99"/>
      <c r="AL1006" s="41"/>
      <c r="AM1006" s="41"/>
      <c r="AN1006" s="41"/>
      <c r="AO1006" s="41"/>
      <c r="AP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</row>
    <row r="1007" spans="1:77" s="111" customFormat="1">
      <c r="A1007" s="41"/>
      <c r="B1007" s="41"/>
      <c r="C1007" s="41"/>
      <c r="D1007" s="41"/>
      <c r="E1007" s="41"/>
      <c r="F1007" s="50"/>
      <c r="G1007" s="41"/>
      <c r="H1007" s="50"/>
      <c r="I1007" s="50"/>
      <c r="J1007" s="132"/>
      <c r="K1007" s="132"/>
      <c r="L1007" s="50"/>
      <c r="M1007" s="50"/>
      <c r="N1007" s="50"/>
      <c r="O1007" s="50"/>
      <c r="P1007" s="50"/>
      <c r="Q1007" s="50"/>
      <c r="R1007" s="50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2"/>
      <c r="AD1007" s="42"/>
      <c r="AE1007" s="41"/>
      <c r="AF1007" s="41"/>
      <c r="AG1007" s="99"/>
      <c r="AH1007" s="41"/>
      <c r="AI1007" s="41"/>
      <c r="AJ1007" s="41"/>
      <c r="AK1007" s="99"/>
      <c r="AL1007" s="41"/>
      <c r="AM1007" s="41"/>
      <c r="AN1007" s="41"/>
      <c r="AO1007" s="41"/>
      <c r="AP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</row>
    <row r="1008" spans="1:77" s="111" customFormat="1">
      <c r="A1008" s="41"/>
      <c r="B1008" s="41"/>
      <c r="C1008" s="41"/>
      <c r="D1008" s="41"/>
      <c r="E1008" s="41"/>
      <c r="F1008" s="41"/>
      <c r="G1008" s="41"/>
      <c r="H1008" s="41"/>
      <c r="I1008" s="41"/>
      <c r="J1008" s="56"/>
      <c r="K1008" s="56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99"/>
      <c r="AH1008" s="41"/>
      <c r="AI1008" s="41"/>
      <c r="AJ1008" s="41"/>
      <c r="AK1008" s="99"/>
      <c r="AL1008" s="41"/>
      <c r="AM1008" s="42"/>
      <c r="AN1008" s="42"/>
      <c r="AO1008" s="41"/>
      <c r="AP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</row>
    <row r="1009" spans="1:77" s="111" customFormat="1">
      <c r="A1009" s="41"/>
      <c r="B1009" s="41"/>
      <c r="C1009" s="42"/>
      <c r="D1009" s="41"/>
      <c r="E1009" s="41"/>
      <c r="F1009" s="45"/>
      <c r="G1009" s="41"/>
      <c r="H1009" s="45"/>
      <c r="I1009" s="45"/>
      <c r="J1009" s="56"/>
      <c r="K1009" s="56"/>
      <c r="L1009" s="45"/>
      <c r="M1009" s="45"/>
      <c r="N1009" s="46"/>
      <c r="O1009" s="46"/>
      <c r="P1009" s="164"/>
      <c r="Q1009" s="164"/>
      <c r="R1009" s="45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99"/>
      <c r="AH1009" s="41"/>
      <c r="AI1009" s="41"/>
      <c r="AJ1009" s="41"/>
      <c r="AK1009" s="99"/>
      <c r="AL1009" s="41"/>
      <c r="AM1009" s="42"/>
      <c r="AN1009" s="42"/>
      <c r="AO1009" s="41"/>
      <c r="AP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</row>
    <row r="1010" spans="1:77" s="111" customFormat="1">
      <c r="A1010" s="41"/>
      <c r="B1010" s="41"/>
      <c r="C1010" s="41"/>
      <c r="D1010" s="41"/>
      <c r="E1010" s="41"/>
      <c r="F1010" s="41"/>
      <c r="G1010" s="41"/>
      <c r="H1010" s="50"/>
      <c r="I1010" s="50"/>
      <c r="J1010" s="132"/>
      <c r="K1010" s="132"/>
      <c r="L1010" s="50"/>
      <c r="M1010" s="50"/>
      <c r="N1010" s="50"/>
      <c r="O1010" s="50"/>
      <c r="P1010" s="50"/>
      <c r="Q1010" s="50"/>
      <c r="R1010" s="50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99"/>
      <c r="AH1010" s="41"/>
      <c r="AI1010" s="41"/>
      <c r="AJ1010" s="41"/>
      <c r="AK1010" s="99"/>
      <c r="AL1010" s="41"/>
      <c r="AM1010" s="42"/>
      <c r="AN1010" s="42"/>
      <c r="AO1010" s="41"/>
      <c r="AP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</row>
    <row r="1011" spans="1:77" s="111" customFormat="1">
      <c r="A1011" s="41"/>
      <c r="B1011" s="41"/>
      <c r="C1011" s="41"/>
      <c r="D1011" s="41"/>
      <c r="E1011" s="41"/>
      <c r="F1011" s="50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2"/>
      <c r="AD1011" s="42"/>
      <c r="AE1011" s="41"/>
      <c r="AF1011" s="41"/>
      <c r="AG1011" s="99"/>
      <c r="AH1011" s="41"/>
      <c r="AI1011" s="41"/>
      <c r="AJ1011" s="41"/>
      <c r="AK1011" s="99"/>
      <c r="AL1011" s="41"/>
      <c r="AM1011" s="41"/>
      <c r="AN1011" s="41"/>
      <c r="AO1011" s="41"/>
      <c r="AP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</row>
    <row r="1012" spans="1:77" s="111" customFormat="1">
      <c r="A1012" s="41"/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107"/>
      <c r="AH1012" s="49"/>
      <c r="AI1012" s="49"/>
      <c r="AJ1012" s="49"/>
      <c r="AK1012" s="107"/>
      <c r="AL1012" s="49"/>
      <c r="AM1012" s="49"/>
      <c r="AN1012" s="49"/>
      <c r="AO1012" s="49"/>
      <c r="AP1012" s="49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</row>
    <row r="1013" spans="1:77" s="111" customFormat="1">
      <c r="A1013" s="42"/>
      <c r="B1013" s="41"/>
      <c r="C1013" s="41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4"/>
      <c r="AD1013" s="44"/>
      <c r="AE1013" s="44"/>
      <c r="AF1013" s="44"/>
      <c r="AG1013" s="102"/>
      <c r="AH1013" s="44"/>
      <c r="AI1013" s="44"/>
      <c r="AJ1013" s="44"/>
      <c r="AK1013" s="99"/>
      <c r="AL1013" s="41"/>
      <c r="AM1013" s="44"/>
      <c r="AN1013" s="44"/>
      <c r="AO1013" s="44"/>
      <c r="AP1013" s="44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</row>
    <row r="1014" spans="1:77" s="111" customFormat="1">
      <c r="A1014" s="41"/>
      <c r="B1014" s="41"/>
      <c r="C1014" s="41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4"/>
      <c r="AC1014" s="44"/>
      <c r="AD1014" s="44"/>
      <c r="AE1014" s="44"/>
      <c r="AF1014" s="44"/>
      <c r="AG1014" s="102"/>
      <c r="AH1014" s="44"/>
      <c r="AI1014" s="44"/>
      <c r="AJ1014" s="44"/>
      <c r="AK1014" s="99"/>
      <c r="AL1014" s="41"/>
      <c r="AM1014" s="44"/>
      <c r="AN1014" s="44"/>
      <c r="AO1014" s="44"/>
      <c r="AP1014" s="44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</row>
    <row r="1015" spans="1:77" s="111" customFormat="1">
      <c r="A1015" s="41"/>
      <c r="B1015" s="41"/>
      <c r="C1015" s="41"/>
      <c r="D1015" s="41"/>
      <c r="E1015" s="41"/>
      <c r="F1015" s="41"/>
      <c r="G1015" s="41"/>
      <c r="H1015" s="42"/>
      <c r="I1015" s="42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4"/>
      <c r="U1015" s="44"/>
      <c r="V1015" s="44"/>
      <c r="W1015" s="41"/>
      <c r="X1015" s="41"/>
      <c r="Y1015" s="41"/>
      <c r="Z1015" s="41"/>
      <c r="AA1015" s="41"/>
      <c r="AB1015" s="44"/>
      <c r="AC1015" s="44"/>
      <c r="AD1015" s="44"/>
      <c r="AE1015" s="44"/>
      <c r="AF1015" s="44"/>
      <c r="AG1015" s="102"/>
      <c r="AH1015" s="44"/>
      <c r="AI1015" s="44"/>
      <c r="AJ1015" s="44"/>
      <c r="AK1015" s="102"/>
      <c r="AL1015" s="44"/>
      <c r="AM1015" s="44"/>
      <c r="AN1015" s="44"/>
      <c r="AO1015" s="44"/>
      <c r="AP1015" s="44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</row>
    <row r="1016" spans="1:77" s="111" customFormat="1">
      <c r="A1016" s="41"/>
      <c r="B1016" s="41"/>
      <c r="C1016" s="41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4"/>
      <c r="U1016" s="44"/>
      <c r="V1016" s="44"/>
      <c r="W1016" s="41"/>
      <c r="X1016" s="41"/>
      <c r="Y1016" s="41"/>
      <c r="Z1016" s="41"/>
      <c r="AA1016" s="44"/>
      <c r="AB1016" s="44"/>
      <c r="AC1016" s="44"/>
      <c r="AD1016" s="44"/>
      <c r="AE1016" s="44"/>
      <c r="AF1016" s="44"/>
      <c r="AG1016" s="102"/>
      <c r="AH1016" s="44"/>
      <c r="AI1016" s="44"/>
      <c r="AJ1016" s="44"/>
      <c r="AK1016" s="102"/>
      <c r="AL1016" s="44"/>
      <c r="AM1016" s="44"/>
      <c r="AN1016" s="44"/>
      <c r="AO1016" s="44"/>
      <c r="AP1016" s="44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</row>
    <row r="1017" spans="1:77" s="111" customFormat="1">
      <c r="A1017" s="41"/>
      <c r="B1017" s="41"/>
      <c r="C1017" s="41"/>
      <c r="D1017" s="41"/>
      <c r="E1017" s="41"/>
      <c r="F1017" s="41"/>
      <c r="G1017" s="41"/>
      <c r="H1017" s="41"/>
      <c r="I1017" s="41"/>
      <c r="J1017" s="41"/>
      <c r="K1017" s="41"/>
      <c r="L1017" s="42"/>
      <c r="M1017" s="42"/>
      <c r="N1017" s="41"/>
      <c r="O1017" s="41"/>
      <c r="P1017" s="41"/>
      <c r="Q1017" s="41"/>
      <c r="R1017" s="41"/>
      <c r="S1017" s="41"/>
      <c r="T1017" s="44"/>
      <c r="U1017" s="44"/>
      <c r="V1017" s="44"/>
      <c r="W1017" s="41"/>
      <c r="X1017" s="41"/>
      <c r="Y1017" s="41"/>
      <c r="Z1017" s="41"/>
      <c r="AA1017" s="44"/>
      <c r="AB1017" s="44"/>
      <c r="AC1017" s="44"/>
      <c r="AD1017" s="44"/>
      <c r="AE1017" s="44"/>
      <c r="AF1017" s="44"/>
      <c r="AG1017" s="102"/>
      <c r="AH1017" s="44"/>
      <c r="AI1017" s="44"/>
      <c r="AJ1017" s="44"/>
      <c r="AK1017" s="102"/>
      <c r="AL1017" s="44"/>
      <c r="AM1017" s="44"/>
      <c r="AN1017" s="44"/>
      <c r="AO1017" s="44"/>
      <c r="AP1017" s="44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</row>
    <row r="1018" spans="1:77" s="111" customFormat="1">
      <c r="A1018" s="41"/>
      <c r="B1018" s="41"/>
      <c r="C1018" s="41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2"/>
      <c r="S1018" s="41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107"/>
      <c r="AH1018" s="49"/>
      <c r="AI1018" s="49"/>
      <c r="AJ1018" s="49"/>
      <c r="AK1018" s="107"/>
      <c r="AL1018" s="49"/>
      <c r="AM1018" s="49"/>
      <c r="AN1018" s="49"/>
      <c r="AO1018" s="49"/>
      <c r="AP1018" s="49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</row>
    <row r="1019" spans="1:77" s="111" customFormat="1">
      <c r="A1019" s="41"/>
      <c r="B1019" s="41"/>
      <c r="C1019" s="41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2"/>
      <c r="S1019" s="41"/>
      <c r="T1019" s="41"/>
      <c r="U1019" s="41"/>
      <c r="V1019" s="41"/>
      <c r="W1019" s="41"/>
      <c r="X1019" s="41"/>
      <c r="Y1019" s="41"/>
      <c r="Z1019" s="41"/>
      <c r="AA1019" s="44"/>
      <c r="AB1019" s="44"/>
      <c r="AC1019" s="44"/>
      <c r="AD1019" s="44"/>
      <c r="AE1019" s="44"/>
      <c r="AF1019" s="44"/>
      <c r="AG1019" s="102"/>
      <c r="AH1019" s="44"/>
      <c r="AI1019" s="44"/>
      <c r="AJ1019" s="44"/>
      <c r="AK1019" s="102"/>
      <c r="AL1019" s="44"/>
      <c r="AM1019" s="44"/>
      <c r="AN1019" s="44"/>
      <c r="AO1019" s="44"/>
      <c r="AP1019" s="44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</row>
    <row r="1020" spans="1:77" s="111" customFormat="1">
      <c r="A1020" s="42"/>
      <c r="B1020" s="41"/>
      <c r="C1020" s="41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2"/>
      <c r="S1020" s="41"/>
      <c r="T1020" s="42"/>
      <c r="U1020" s="42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99"/>
      <c r="AH1020" s="41"/>
      <c r="AI1020" s="41"/>
      <c r="AJ1020" s="41"/>
      <c r="AK1020" s="99"/>
      <c r="AL1020" s="41"/>
      <c r="AM1020" s="41"/>
      <c r="AN1020" s="41"/>
      <c r="AO1020" s="41"/>
      <c r="AP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</row>
    <row r="1021" spans="1:77" s="111" customFormat="1">
      <c r="A1021" s="41"/>
      <c r="B1021" s="41"/>
      <c r="C1021" s="41"/>
      <c r="D1021" s="41"/>
      <c r="E1021" s="41"/>
      <c r="F1021" s="41"/>
      <c r="G1021" s="41"/>
      <c r="H1021" s="41"/>
      <c r="I1021" s="41"/>
      <c r="J1021" s="41"/>
      <c r="K1021" s="41"/>
      <c r="L1021" s="42"/>
      <c r="M1021" s="42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99"/>
      <c r="AH1021" s="41"/>
      <c r="AI1021" s="41"/>
      <c r="AJ1021" s="41"/>
      <c r="AK1021" s="99"/>
      <c r="AL1021" s="41"/>
      <c r="AM1021" s="41"/>
      <c r="AN1021" s="41"/>
      <c r="AO1021" s="41"/>
      <c r="AP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</row>
    <row r="1022" spans="1:77" s="111" customFormat="1">
      <c r="A1022" s="49"/>
      <c r="B1022" s="49"/>
      <c r="C1022" s="49"/>
      <c r="D1022" s="49"/>
      <c r="E1022" s="49"/>
      <c r="F1022" s="49"/>
      <c r="G1022" s="49"/>
      <c r="H1022" s="49"/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1"/>
      <c r="T1022" s="42"/>
      <c r="U1022" s="42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99"/>
      <c r="AH1022" s="41"/>
      <c r="AI1022" s="41"/>
      <c r="AJ1022" s="41"/>
      <c r="AK1022" s="99"/>
      <c r="AL1022" s="41"/>
      <c r="AM1022" s="41"/>
      <c r="AN1022" s="41"/>
      <c r="AO1022" s="41"/>
      <c r="AP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</row>
    <row r="1023" spans="1:77" s="111" customFormat="1">
      <c r="A1023" s="41"/>
      <c r="B1023" s="41"/>
      <c r="C1023" s="41"/>
      <c r="D1023" s="41"/>
      <c r="E1023" s="41"/>
      <c r="F1023" s="41"/>
      <c r="G1023" s="41"/>
      <c r="H1023" s="41"/>
      <c r="I1023" s="41"/>
      <c r="J1023" s="41"/>
      <c r="K1023" s="41"/>
      <c r="L1023" s="44"/>
      <c r="M1023" s="44"/>
      <c r="N1023" s="44"/>
      <c r="O1023" s="44"/>
      <c r="P1023" s="41"/>
      <c r="Q1023" s="41"/>
      <c r="R1023" s="44"/>
      <c r="S1023" s="41"/>
      <c r="T1023" s="42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99"/>
      <c r="AH1023" s="41"/>
      <c r="AI1023" s="41"/>
      <c r="AJ1023" s="41"/>
      <c r="AK1023" s="99"/>
      <c r="AL1023" s="41"/>
      <c r="AM1023" s="41"/>
      <c r="AN1023" s="41"/>
      <c r="AO1023" s="41"/>
      <c r="AP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</row>
    <row r="1024" spans="1:77" s="111" customFormat="1">
      <c r="A1024" s="41"/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4"/>
      <c r="M1024" s="44"/>
      <c r="N1024" s="44"/>
      <c r="O1024" s="44"/>
      <c r="P1024" s="41"/>
      <c r="Q1024" s="41"/>
      <c r="R1024" s="44"/>
      <c r="S1024" s="41"/>
      <c r="T1024" s="42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99"/>
      <c r="AH1024" s="41"/>
      <c r="AI1024" s="41"/>
      <c r="AJ1024" s="41"/>
      <c r="AK1024" s="99"/>
      <c r="AL1024" s="41"/>
      <c r="AM1024" s="41"/>
      <c r="AN1024" s="41"/>
      <c r="AO1024" s="41"/>
      <c r="AP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</row>
    <row r="1025" spans="1:77" s="111" customFormat="1">
      <c r="A1025" s="44"/>
      <c r="B1025" s="41"/>
      <c r="C1025" s="44"/>
      <c r="D1025" s="44"/>
      <c r="E1025" s="44"/>
      <c r="F1025" s="44"/>
      <c r="G1025" s="41"/>
      <c r="H1025" s="41"/>
      <c r="I1025" s="41"/>
      <c r="J1025" s="44"/>
      <c r="K1025" s="44"/>
      <c r="L1025" s="44"/>
      <c r="M1025" s="44"/>
      <c r="N1025" s="44"/>
      <c r="O1025" s="44"/>
      <c r="P1025" s="44"/>
      <c r="Q1025" s="44"/>
      <c r="R1025" s="44"/>
      <c r="S1025" s="41"/>
      <c r="T1025" s="42"/>
      <c r="U1025" s="41"/>
      <c r="V1025" s="45"/>
      <c r="W1025" s="45"/>
      <c r="X1025" s="45"/>
      <c r="Y1025" s="45"/>
      <c r="Z1025" s="45"/>
      <c r="AA1025" s="45"/>
      <c r="AB1025" s="132"/>
      <c r="AC1025" s="45"/>
      <c r="AD1025" s="45"/>
      <c r="AE1025" s="46"/>
      <c r="AF1025" s="46"/>
      <c r="AG1025" s="99"/>
      <c r="AH1025" s="45"/>
      <c r="AI1025" s="51"/>
      <c r="AJ1025" s="51"/>
      <c r="AK1025" s="99"/>
      <c r="AL1025" s="45"/>
      <c r="AM1025" s="45"/>
      <c r="AN1025" s="45"/>
      <c r="AO1025" s="46"/>
      <c r="AP1025" s="46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</row>
    <row r="1026" spans="1:77" s="111" customFormat="1">
      <c r="A1026" s="44"/>
      <c r="B1026" s="41"/>
      <c r="C1026" s="44"/>
      <c r="D1026" s="44"/>
      <c r="E1026" s="44"/>
      <c r="F1026" s="44"/>
      <c r="G1026" s="41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1"/>
      <c r="T1026" s="42"/>
      <c r="U1026" s="41"/>
      <c r="V1026" s="45"/>
      <c r="W1026" s="45"/>
      <c r="X1026" s="45"/>
      <c r="Y1026" s="45"/>
      <c r="Z1026" s="45"/>
      <c r="AA1026" s="45"/>
      <c r="AB1026" s="132"/>
      <c r="AC1026" s="41"/>
      <c r="AD1026" s="41"/>
      <c r="AE1026" s="41"/>
      <c r="AF1026" s="41"/>
      <c r="AG1026" s="99"/>
      <c r="AH1026" s="41"/>
      <c r="AI1026" s="41"/>
      <c r="AJ1026" s="41"/>
      <c r="AK1026" s="99"/>
      <c r="AL1026" s="41"/>
      <c r="AM1026" s="41"/>
      <c r="AN1026" s="41"/>
      <c r="AO1026" s="41"/>
      <c r="AP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</row>
    <row r="1027" spans="1:77" s="111" customFormat="1">
      <c r="A1027" s="41"/>
      <c r="B1027" s="41"/>
      <c r="C1027" s="44"/>
      <c r="D1027" s="44"/>
      <c r="E1027" s="44"/>
      <c r="F1027" s="44"/>
      <c r="G1027" s="41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1"/>
      <c r="T1027" s="42"/>
      <c r="U1027" s="41"/>
      <c r="V1027" s="45"/>
      <c r="W1027" s="45"/>
      <c r="X1027" s="45"/>
      <c r="Y1027" s="45"/>
      <c r="Z1027" s="45"/>
      <c r="AA1027" s="45"/>
      <c r="AB1027" s="132"/>
      <c r="AC1027" s="45"/>
      <c r="AD1027" s="45"/>
      <c r="AE1027" s="46"/>
      <c r="AF1027" s="46"/>
      <c r="AG1027" s="99"/>
      <c r="AH1027" s="45"/>
      <c r="AI1027" s="51"/>
      <c r="AJ1027" s="51"/>
      <c r="AK1027" s="99"/>
      <c r="AL1027" s="45"/>
      <c r="AM1027" s="45"/>
      <c r="AN1027" s="45"/>
      <c r="AO1027" s="46"/>
      <c r="AP1027" s="46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</row>
    <row r="1028" spans="1:77" s="111" customFormat="1">
      <c r="A1028" s="49"/>
      <c r="B1028" s="49"/>
      <c r="C1028" s="49"/>
      <c r="D1028" s="49"/>
      <c r="E1028" s="49"/>
      <c r="F1028" s="49"/>
      <c r="G1028" s="49"/>
      <c r="H1028" s="49"/>
      <c r="I1028" s="49"/>
      <c r="J1028" s="49"/>
      <c r="K1028" s="49"/>
      <c r="L1028" s="49"/>
      <c r="M1028" s="49"/>
      <c r="N1028" s="49"/>
      <c r="O1028" s="49"/>
      <c r="P1028" s="49"/>
      <c r="Q1028" s="49"/>
      <c r="R1028" s="49"/>
      <c r="S1028" s="41"/>
      <c r="T1028" s="42"/>
      <c r="U1028" s="41"/>
      <c r="V1028" s="45"/>
      <c r="W1028" s="45"/>
      <c r="X1028" s="45"/>
      <c r="Y1028" s="45"/>
      <c r="Z1028" s="45"/>
      <c r="AA1028" s="45"/>
      <c r="AB1028" s="132"/>
      <c r="AC1028" s="41"/>
      <c r="AD1028" s="41"/>
      <c r="AE1028" s="41"/>
      <c r="AF1028" s="41"/>
      <c r="AG1028" s="99"/>
      <c r="AH1028" s="41"/>
      <c r="AI1028" s="41"/>
      <c r="AJ1028" s="41"/>
      <c r="AK1028" s="99"/>
      <c r="AL1028" s="41"/>
      <c r="AM1028" s="41"/>
      <c r="AN1028" s="41"/>
      <c r="AO1028" s="41"/>
      <c r="AP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</row>
    <row r="1029" spans="1:77" s="111" customFormat="1">
      <c r="A1029" s="41"/>
      <c r="B1029" s="41"/>
      <c r="C1029" s="41"/>
      <c r="D1029" s="41"/>
      <c r="E1029" s="41"/>
      <c r="F1029" s="41"/>
      <c r="G1029" s="41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1"/>
      <c r="T1029" s="42"/>
      <c r="U1029" s="41"/>
      <c r="V1029" s="45"/>
      <c r="W1029" s="45"/>
      <c r="X1029" s="45"/>
      <c r="Y1029" s="45"/>
      <c r="Z1029" s="45"/>
      <c r="AA1029" s="45"/>
      <c r="AB1029" s="132"/>
      <c r="AC1029" s="45"/>
      <c r="AD1029" s="45"/>
      <c r="AE1029" s="46"/>
      <c r="AF1029" s="46"/>
      <c r="AG1029" s="99"/>
      <c r="AH1029" s="45"/>
      <c r="AI1029" s="51"/>
      <c r="AJ1029" s="51"/>
      <c r="AK1029" s="99"/>
      <c r="AL1029" s="45"/>
      <c r="AM1029" s="45"/>
      <c r="AN1029" s="45"/>
      <c r="AO1029" s="46"/>
      <c r="AP1029" s="46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</row>
    <row r="1030" spans="1:77" s="111" customFormat="1">
      <c r="A1030" s="41"/>
      <c r="B1030" s="41"/>
      <c r="C1030" s="42"/>
      <c r="D1030" s="42"/>
      <c r="E1030" s="42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2"/>
      <c r="U1030" s="41"/>
      <c r="V1030" s="45"/>
      <c r="W1030" s="45"/>
      <c r="X1030" s="45"/>
      <c r="Y1030" s="45"/>
      <c r="Z1030" s="45"/>
      <c r="AA1030" s="45"/>
      <c r="AB1030" s="132"/>
      <c r="AC1030" s="41"/>
      <c r="AD1030" s="41"/>
      <c r="AE1030" s="41"/>
      <c r="AF1030" s="41"/>
      <c r="AG1030" s="99"/>
      <c r="AH1030" s="41"/>
      <c r="AI1030" s="41"/>
      <c r="AJ1030" s="41"/>
      <c r="AK1030" s="99"/>
      <c r="AL1030" s="41"/>
      <c r="AM1030" s="41"/>
      <c r="AN1030" s="41"/>
      <c r="AO1030" s="41"/>
      <c r="AP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</row>
    <row r="1031" spans="1:77">
      <c r="T1031" s="42"/>
      <c r="V1031" s="45"/>
      <c r="W1031" s="45"/>
      <c r="X1031" s="45"/>
      <c r="Y1031" s="45"/>
      <c r="Z1031" s="45"/>
      <c r="AA1031" s="45"/>
      <c r="AB1031" s="132"/>
      <c r="AC1031" s="45"/>
      <c r="AD1031" s="45"/>
      <c r="AE1031" s="46"/>
      <c r="AF1031" s="46"/>
      <c r="AH1031" s="45"/>
      <c r="AI1031" s="51"/>
      <c r="AJ1031" s="51"/>
      <c r="AL1031" s="45"/>
      <c r="AM1031" s="45"/>
      <c r="AN1031" s="45"/>
      <c r="AO1031" s="46"/>
      <c r="AP1031" s="46"/>
    </row>
    <row r="1032" spans="1:77" s="111" customFormat="1">
      <c r="A1032" s="41"/>
      <c r="B1032" s="41"/>
      <c r="C1032" s="42"/>
      <c r="D1032" s="42"/>
      <c r="E1032" s="42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2"/>
      <c r="U1032" s="41"/>
      <c r="V1032" s="45"/>
      <c r="W1032" s="45"/>
      <c r="X1032" s="45"/>
      <c r="Y1032" s="45"/>
      <c r="Z1032" s="45"/>
      <c r="AA1032" s="45"/>
      <c r="AB1032" s="132"/>
      <c r="AC1032" s="41"/>
      <c r="AD1032" s="41"/>
      <c r="AE1032" s="41"/>
      <c r="AF1032" s="41"/>
      <c r="AG1032" s="99"/>
      <c r="AH1032" s="41"/>
      <c r="AI1032" s="41"/>
      <c r="AJ1032" s="41"/>
      <c r="AK1032" s="99"/>
      <c r="AL1032" s="41"/>
      <c r="AM1032" s="41"/>
      <c r="AN1032" s="41"/>
      <c r="AO1032" s="41"/>
      <c r="AP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</row>
    <row r="1033" spans="1:77" s="111" customFormat="1">
      <c r="A1033" s="41"/>
      <c r="B1033" s="41"/>
      <c r="C1033" s="42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2"/>
      <c r="U1033" s="41"/>
      <c r="V1033" s="45"/>
      <c r="W1033" s="45"/>
      <c r="X1033" s="45"/>
      <c r="Y1033" s="45"/>
      <c r="Z1033" s="45"/>
      <c r="AA1033" s="45"/>
      <c r="AB1033" s="132"/>
      <c r="AC1033" s="45"/>
      <c r="AD1033" s="45"/>
      <c r="AE1033" s="46"/>
      <c r="AF1033" s="46"/>
      <c r="AG1033" s="99"/>
      <c r="AH1033" s="45"/>
      <c r="AI1033" s="51"/>
      <c r="AJ1033" s="51"/>
      <c r="AK1033" s="99"/>
      <c r="AL1033" s="45"/>
      <c r="AM1033" s="45"/>
      <c r="AN1033" s="45"/>
      <c r="AO1033" s="46"/>
      <c r="AP1033" s="46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</row>
    <row r="1034" spans="1:77" s="111" customFormat="1">
      <c r="A1034" s="41"/>
      <c r="B1034" s="41"/>
      <c r="C1034" s="42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2"/>
      <c r="U1034" s="41"/>
      <c r="V1034" s="45"/>
      <c r="W1034" s="45"/>
      <c r="X1034" s="45"/>
      <c r="Y1034" s="45"/>
      <c r="Z1034" s="45"/>
      <c r="AA1034" s="45"/>
      <c r="AB1034" s="132"/>
      <c r="AC1034" s="41"/>
      <c r="AD1034" s="41"/>
      <c r="AE1034" s="41"/>
      <c r="AF1034" s="41"/>
      <c r="AG1034" s="99"/>
      <c r="AH1034" s="41"/>
      <c r="AI1034" s="41"/>
      <c r="AJ1034" s="41"/>
      <c r="AK1034" s="99"/>
      <c r="AL1034" s="41"/>
      <c r="AM1034" s="41"/>
      <c r="AN1034" s="41"/>
      <c r="AO1034" s="41"/>
      <c r="AP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</row>
    <row r="1035" spans="1:77" s="111" customFormat="1">
      <c r="A1035" s="41"/>
      <c r="B1035" s="41"/>
      <c r="C1035" s="42"/>
      <c r="D1035" s="41"/>
      <c r="E1035" s="41"/>
      <c r="F1035" s="41"/>
      <c r="G1035" s="41"/>
      <c r="H1035" s="164"/>
      <c r="I1035" s="164"/>
      <c r="J1035" s="132"/>
      <c r="K1035" s="132"/>
      <c r="L1035" s="45"/>
      <c r="M1035" s="45"/>
      <c r="N1035" s="46"/>
      <c r="O1035" s="46"/>
      <c r="P1035" s="45"/>
      <c r="Q1035" s="45"/>
      <c r="R1035" s="45"/>
      <c r="S1035" s="41"/>
      <c r="T1035" s="42"/>
      <c r="U1035" s="41"/>
      <c r="V1035" s="45"/>
      <c r="W1035" s="45"/>
      <c r="X1035" s="45"/>
      <c r="Y1035" s="45"/>
      <c r="Z1035" s="45"/>
      <c r="AA1035" s="45"/>
      <c r="AB1035" s="132"/>
      <c r="AC1035" s="45"/>
      <c r="AD1035" s="45"/>
      <c r="AE1035" s="46"/>
      <c r="AF1035" s="46"/>
      <c r="AG1035" s="99"/>
      <c r="AH1035" s="45"/>
      <c r="AI1035" s="51"/>
      <c r="AJ1035" s="51"/>
      <c r="AK1035" s="99"/>
      <c r="AL1035" s="45"/>
      <c r="AM1035" s="45"/>
      <c r="AN1035" s="45"/>
      <c r="AO1035" s="46"/>
      <c r="AP1035" s="46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</row>
    <row r="1036" spans="1:77" s="111" customFormat="1">
      <c r="A1036" s="41"/>
      <c r="B1036" s="41"/>
      <c r="C1036" s="42"/>
      <c r="D1036" s="41"/>
      <c r="E1036" s="41"/>
      <c r="F1036" s="164"/>
      <c r="G1036" s="41"/>
      <c r="H1036" s="41"/>
      <c r="I1036" s="41"/>
      <c r="J1036" s="56"/>
      <c r="K1036" s="56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50"/>
      <c r="W1036" s="41"/>
      <c r="X1036" s="41"/>
      <c r="Y1036" s="41"/>
      <c r="Z1036" s="41"/>
      <c r="AA1036" s="50"/>
      <c r="AB1036" s="132"/>
      <c r="AC1036" s="50"/>
      <c r="AD1036" s="50"/>
      <c r="AE1036" s="50"/>
      <c r="AF1036" s="50"/>
      <c r="AH1036" s="50"/>
      <c r="AI1036" s="41"/>
      <c r="AJ1036" s="41"/>
      <c r="AL1036" s="50"/>
      <c r="AM1036" s="50"/>
      <c r="AN1036" s="50"/>
      <c r="AO1036" s="46"/>
      <c r="AP1036" s="46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</row>
    <row r="1037" spans="1:77" s="111" customFormat="1">
      <c r="A1037" s="41"/>
      <c r="B1037" s="41"/>
      <c r="C1037" s="42"/>
      <c r="D1037" s="41"/>
      <c r="E1037" s="41"/>
      <c r="F1037" s="41"/>
      <c r="G1037" s="41"/>
      <c r="H1037" s="164"/>
      <c r="I1037" s="164"/>
      <c r="J1037" s="132"/>
      <c r="K1037" s="132"/>
      <c r="L1037" s="45"/>
      <c r="M1037" s="45"/>
      <c r="N1037" s="46"/>
      <c r="O1037" s="46"/>
      <c r="P1037" s="45"/>
      <c r="Q1037" s="45"/>
      <c r="R1037" s="45"/>
      <c r="S1037" s="41"/>
      <c r="T1037" s="42"/>
      <c r="U1037" s="41"/>
      <c r="V1037" s="45"/>
      <c r="W1037" s="45"/>
      <c r="X1037" s="45"/>
      <c r="Y1037" s="45"/>
      <c r="Z1037" s="45"/>
      <c r="AA1037" s="45"/>
      <c r="AB1037" s="132"/>
      <c r="AC1037" s="45"/>
      <c r="AD1037" s="45"/>
      <c r="AE1037" s="46"/>
      <c r="AF1037" s="46"/>
      <c r="AG1037" s="99"/>
      <c r="AH1037" s="45"/>
      <c r="AI1037" s="51"/>
      <c r="AJ1037" s="51"/>
      <c r="AK1037" s="333"/>
      <c r="AL1037" s="164"/>
      <c r="AM1037" s="45"/>
      <c r="AN1037" s="45"/>
      <c r="AO1037" s="46"/>
      <c r="AP1037" s="46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</row>
    <row r="1038" spans="1:77" s="111" customFormat="1">
      <c r="A1038" s="41"/>
      <c r="B1038" s="41"/>
      <c r="C1038" s="42"/>
      <c r="D1038" s="41"/>
      <c r="E1038" s="41"/>
      <c r="F1038" s="164"/>
      <c r="G1038" s="41"/>
      <c r="H1038" s="41"/>
      <c r="I1038" s="41"/>
      <c r="J1038" s="56"/>
      <c r="K1038" s="56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50"/>
      <c r="W1038" s="41"/>
      <c r="X1038" s="41"/>
      <c r="Y1038" s="41"/>
      <c r="Z1038" s="41"/>
      <c r="AA1038" s="50"/>
      <c r="AB1038" s="132"/>
      <c r="AC1038" s="50"/>
      <c r="AD1038" s="50"/>
      <c r="AE1038" s="50"/>
      <c r="AF1038" s="50"/>
      <c r="AH1038" s="50"/>
      <c r="AI1038" s="41"/>
      <c r="AJ1038" s="41"/>
      <c r="AL1038" s="50"/>
      <c r="AM1038" s="50"/>
      <c r="AN1038" s="50"/>
      <c r="AO1038" s="41"/>
      <c r="AP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</row>
    <row r="1039" spans="1:77" s="111" customFormat="1">
      <c r="A1039" s="41"/>
      <c r="B1039" s="41"/>
      <c r="C1039" s="42"/>
      <c r="D1039" s="41"/>
      <c r="E1039" s="41"/>
      <c r="F1039" s="41"/>
      <c r="G1039" s="41"/>
      <c r="H1039" s="164"/>
      <c r="I1039" s="164"/>
      <c r="J1039" s="132"/>
      <c r="K1039" s="132"/>
      <c r="L1039" s="45"/>
      <c r="M1039" s="45"/>
      <c r="N1039" s="46"/>
      <c r="O1039" s="46"/>
      <c r="P1039" s="45"/>
      <c r="Q1039" s="45"/>
      <c r="R1039" s="45"/>
      <c r="S1039" s="41"/>
      <c r="T1039" s="42"/>
      <c r="U1039" s="42"/>
      <c r="V1039" s="45"/>
      <c r="W1039" s="45"/>
      <c r="X1039" s="45"/>
      <c r="Y1039" s="45"/>
      <c r="Z1039" s="45"/>
      <c r="AA1039" s="45"/>
      <c r="AB1039" s="132"/>
      <c r="AC1039" s="41"/>
      <c r="AD1039" s="41"/>
      <c r="AE1039" s="41"/>
      <c r="AF1039" s="41"/>
      <c r="AG1039" s="99"/>
      <c r="AH1039" s="41"/>
      <c r="AI1039" s="41"/>
      <c r="AJ1039" s="41"/>
      <c r="AK1039" s="99"/>
      <c r="AL1039" s="41"/>
      <c r="AM1039" s="41"/>
      <c r="AN1039" s="41"/>
      <c r="AO1039" s="41"/>
      <c r="AP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</row>
    <row r="1040" spans="1:77" s="111" customFormat="1">
      <c r="A1040" s="41"/>
      <c r="B1040" s="41"/>
      <c r="C1040" s="42"/>
      <c r="D1040" s="41"/>
      <c r="E1040" s="41"/>
      <c r="F1040" s="164"/>
      <c r="G1040" s="41"/>
      <c r="H1040" s="41"/>
      <c r="I1040" s="41"/>
      <c r="J1040" s="56"/>
      <c r="K1040" s="56"/>
      <c r="L1040" s="41"/>
      <c r="M1040" s="41"/>
      <c r="N1040" s="41"/>
      <c r="O1040" s="41"/>
      <c r="P1040" s="41"/>
      <c r="Q1040" s="41"/>
      <c r="R1040" s="41"/>
      <c r="S1040" s="41"/>
      <c r="T1040" s="42"/>
      <c r="U1040" s="41"/>
      <c r="V1040" s="45"/>
      <c r="W1040" s="45"/>
      <c r="X1040" s="45"/>
      <c r="Y1040" s="45"/>
      <c r="Z1040" s="45"/>
      <c r="AA1040" s="45"/>
      <c r="AB1040" s="132"/>
      <c r="AC1040" s="41"/>
      <c r="AD1040" s="41"/>
      <c r="AE1040" s="41"/>
      <c r="AF1040" s="41"/>
      <c r="AG1040" s="99"/>
      <c r="AH1040" s="41"/>
      <c r="AI1040" s="41"/>
      <c r="AJ1040" s="41"/>
      <c r="AK1040" s="99"/>
      <c r="AL1040" s="41"/>
      <c r="AM1040" s="41"/>
      <c r="AN1040" s="41"/>
      <c r="AO1040" s="41"/>
      <c r="AP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</row>
    <row r="1041" spans="1:77" s="111" customFormat="1">
      <c r="A1041" s="41"/>
      <c r="B1041" s="41"/>
      <c r="C1041" s="42"/>
      <c r="D1041" s="41"/>
      <c r="E1041" s="41"/>
      <c r="F1041" s="41"/>
      <c r="G1041" s="41"/>
      <c r="H1041" s="164"/>
      <c r="I1041" s="164"/>
      <c r="J1041" s="132"/>
      <c r="K1041" s="132"/>
      <c r="L1041" s="45"/>
      <c r="M1041" s="45"/>
      <c r="N1041" s="46"/>
      <c r="O1041" s="46"/>
      <c r="P1041" s="45"/>
      <c r="Q1041" s="45"/>
      <c r="R1041" s="45"/>
      <c r="S1041" s="41"/>
      <c r="T1041" s="42"/>
      <c r="U1041" s="41"/>
      <c r="V1041" s="45"/>
      <c r="W1041" s="45"/>
      <c r="X1041" s="45"/>
      <c r="Y1041" s="45"/>
      <c r="Z1041" s="45"/>
      <c r="AA1041" s="45"/>
      <c r="AB1041" s="132"/>
      <c r="AC1041" s="41"/>
      <c r="AD1041" s="41"/>
      <c r="AE1041" s="41"/>
      <c r="AF1041" s="41"/>
      <c r="AG1041" s="99"/>
      <c r="AH1041" s="41"/>
      <c r="AI1041" s="41"/>
      <c r="AJ1041" s="41"/>
      <c r="AK1041" s="99"/>
      <c r="AL1041" s="41"/>
      <c r="AM1041" s="41"/>
      <c r="AN1041" s="41"/>
      <c r="AO1041" s="41"/>
      <c r="AP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</row>
    <row r="1042" spans="1:77" s="111" customFormat="1">
      <c r="A1042" s="41"/>
      <c r="B1042" s="41"/>
      <c r="C1042" s="42"/>
      <c r="D1042" s="41"/>
      <c r="E1042" s="41"/>
      <c r="F1042" s="164"/>
      <c r="G1042" s="41"/>
      <c r="H1042" s="41"/>
      <c r="I1042" s="41"/>
      <c r="J1042" s="56"/>
      <c r="K1042" s="56"/>
      <c r="L1042" s="41"/>
      <c r="M1042" s="41"/>
      <c r="N1042" s="41"/>
      <c r="O1042" s="41"/>
      <c r="P1042" s="41"/>
      <c r="Q1042" s="41"/>
      <c r="R1042" s="41"/>
      <c r="S1042" s="41"/>
      <c r="T1042" s="42"/>
      <c r="U1042" s="41"/>
      <c r="V1042" s="45"/>
      <c r="W1042" s="45"/>
      <c r="X1042" s="45"/>
      <c r="Y1042" s="45"/>
      <c r="Z1042" s="45"/>
      <c r="AA1042" s="45"/>
      <c r="AB1042" s="132"/>
      <c r="AC1042" s="45"/>
      <c r="AD1042" s="45"/>
      <c r="AE1042" s="46"/>
      <c r="AF1042" s="46"/>
      <c r="AG1042" s="99"/>
      <c r="AH1042" s="45"/>
      <c r="AI1042" s="51"/>
      <c r="AJ1042" s="51"/>
      <c r="AK1042" s="99"/>
      <c r="AL1042" s="45"/>
      <c r="AM1042" s="45"/>
      <c r="AN1042" s="45"/>
      <c r="AO1042" s="46"/>
      <c r="AP1042" s="46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</row>
    <row r="1043" spans="1:77" s="111" customFormat="1">
      <c r="A1043" s="41"/>
      <c r="B1043" s="41"/>
      <c r="C1043" s="42"/>
      <c r="D1043" s="41"/>
      <c r="E1043" s="41"/>
      <c r="F1043" s="41"/>
      <c r="G1043" s="41"/>
      <c r="H1043" s="164"/>
      <c r="I1043" s="164"/>
      <c r="J1043" s="132"/>
      <c r="K1043" s="132"/>
      <c r="L1043" s="45"/>
      <c r="M1043" s="45"/>
      <c r="N1043" s="46"/>
      <c r="O1043" s="46"/>
      <c r="P1043" s="45"/>
      <c r="Q1043" s="45"/>
      <c r="R1043" s="45"/>
      <c r="S1043" s="41"/>
      <c r="T1043" s="42"/>
      <c r="U1043" s="41"/>
      <c r="V1043" s="45"/>
      <c r="W1043" s="45"/>
      <c r="X1043" s="45"/>
      <c r="Y1043" s="45"/>
      <c r="Z1043" s="45"/>
      <c r="AA1043" s="45"/>
      <c r="AB1043" s="132"/>
      <c r="AC1043" s="41"/>
      <c r="AD1043" s="41"/>
      <c r="AE1043" s="41"/>
      <c r="AF1043" s="41"/>
      <c r="AG1043" s="99"/>
      <c r="AH1043" s="41"/>
      <c r="AI1043" s="41"/>
      <c r="AJ1043" s="41"/>
      <c r="AK1043" s="99"/>
      <c r="AL1043" s="41"/>
      <c r="AM1043" s="41"/>
      <c r="AN1043" s="41"/>
      <c r="AO1043" s="41"/>
      <c r="AP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</row>
    <row r="1044" spans="1:77" s="111" customFormat="1">
      <c r="A1044" s="41"/>
      <c r="B1044" s="41"/>
      <c r="C1044" s="42"/>
      <c r="D1044" s="41"/>
      <c r="E1044" s="41"/>
      <c r="F1044" s="164"/>
      <c r="G1044" s="41"/>
      <c r="H1044" s="41"/>
      <c r="I1044" s="41"/>
      <c r="J1044" s="56"/>
      <c r="K1044" s="56"/>
      <c r="L1044" s="41"/>
      <c r="M1044" s="41"/>
      <c r="N1044" s="41"/>
      <c r="O1044" s="41"/>
      <c r="P1044" s="41"/>
      <c r="Q1044" s="41"/>
      <c r="R1044" s="41"/>
      <c r="S1044" s="41"/>
      <c r="T1044" s="42"/>
      <c r="U1044" s="41"/>
      <c r="V1044" s="45"/>
      <c r="W1044" s="45"/>
      <c r="X1044" s="45"/>
      <c r="Y1044" s="45"/>
      <c r="Z1044" s="45"/>
      <c r="AA1044" s="45"/>
      <c r="AB1044" s="132"/>
      <c r="AC1044" s="45"/>
      <c r="AD1044" s="45"/>
      <c r="AE1044" s="46"/>
      <c r="AF1044" s="46"/>
      <c r="AG1044" s="99"/>
      <c r="AH1044" s="45"/>
      <c r="AI1044" s="51"/>
      <c r="AJ1044" s="51"/>
      <c r="AK1044" s="99"/>
      <c r="AL1044" s="45"/>
      <c r="AM1044" s="45"/>
      <c r="AN1044" s="45"/>
      <c r="AO1044" s="46"/>
      <c r="AP1044" s="46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</row>
    <row r="1045" spans="1:77" s="111" customFormat="1">
      <c r="A1045" s="41"/>
      <c r="B1045" s="41"/>
      <c r="C1045" s="42"/>
      <c r="D1045" s="41"/>
      <c r="E1045" s="41"/>
      <c r="F1045" s="41"/>
      <c r="G1045" s="41"/>
      <c r="H1045" s="164"/>
      <c r="I1045" s="164"/>
      <c r="J1045" s="132"/>
      <c r="K1045" s="132"/>
      <c r="L1045" s="45"/>
      <c r="M1045" s="45"/>
      <c r="N1045" s="46"/>
      <c r="O1045" s="46"/>
      <c r="P1045" s="45"/>
      <c r="Q1045" s="45"/>
      <c r="R1045" s="45"/>
      <c r="S1045" s="41"/>
      <c r="T1045" s="41"/>
      <c r="U1045" s="41"/>
      <c r="V1045" s="50"/>
      <c r="W1045" s="41"/>
      <c r="X1045" s="41"/>
      <c r="Y1045" s="41"/>
      <c r="Z1045" s="41"/>
      <c r="AA1045" s="50"/>
      <c r="AB1045" s="326"/>
      <c r="AC1045" s="50"/>
      <c r="AD1045" s="50"/>
      <c r="AE1045" s="50"/>
      <c r="AF1045" s="50"/>
      <c r="AH1045" s="50"/>
      <c r="AI1045" s="41"/>
      <c r="AJ1045" s="41"/>
      <c r="AL1045" s="50"/>
      <c r="AM1045" s="50"/>
      <c r="AN1045" s="50"/>
      <c r="AO1045" s="41"/>
      <c r="AP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</row>
    <row r="1046" spans="1:77" s="111" customFormat="1">
      <c r="A1046" s="41"/>
      <c r="B1046" s="41"/>
      <c r="C1046" s="41"/>
      <c r="D1046" s="41"/>
      <c r="E1046" s="41"/>
      <c r="F1046" s="164"/>
      <c r="G1046" s="41"/>
      <c r="H1046" s="50"/>
      <c r="I1046" s="50"/>
      <c r="J1046" s="132"/>
      <c r="K1046" s="132"/>
      <c r="L1046" s="50"/>
      <c r="M1046" s="50"/>
      <c r="N1046" s="50"/>
      <c r="O1046" s="50"/>
      <c r="P1046" s="50"/>
      <c r="Q1046" s="50"/>
      <c r="R1046" s="50"/>
      <c r="S1046" s="41"/>
      <c r="T1046" s="42"/>
      <c r="U1046" s="41"/>
      <c r="V1046" s="45"/>
      <c r="W1046" s="45"/>
      <c r="X1046" s="45"/>
      <c r="Y1046" s="45"/>
      <c r="Z1046" s="45"/>
      <c r="AA1046" s="45"/>
      <c r="AB1046" s="336"/>
      <c r="AC1046" s="45"/>
      <c r="AD1046" s="45"/>
      <c r="AE1046" s="46"/>
      <c r="AF1046" s="46"/>
      <c r="AG1046" s="99"/>
      <c r="AH1046" s="45"/>
      <c r="AI1046" s="51"/>
      <c r="AJ1046" s="51"/>
      <c r="AK1046" s="333"/>
      <c r="AL1046" s="164"/>
      <c r="AM1046" s="45"/>
      <c r="AN1046" s="45"/>
      <c r="AO1046" s="46"/>
      <c r="AP1046" s="46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</row>
    <row r="1047" spans="1:77" s="111" customFormat="1">
      <c r="A1047" s="41"/>
      <c r="B1047" s="41"/>
      <c r="C1047" s="42"/>
      <c r="D1047" s="41"/>
      <c r="E1047" s="41"/>
      <c r="F1047" s="50"/>
      <c r="G1047" s="41"/>
      <c r="H1047" s="45"/>
      <c r="I1047" s="45"/>
      <c r="J1047" s="56"/>
      <c r="K1047" s="56"/>
      <c r="L1047" s="45"/>
      <c r="M1047" s="45"/>
      <c r="N1047" s="46"/>
      <c r="O1047" s="46"/>
      <c r="P1047" s="164"/>
      <c r="Q1047" s="164"/>
      <c r="R1047" s="45"/>
      <c r="S1047" s="41"/>
      <c r="T1047" s="41"/>
      <c r="U1047" s="41"/>
      <c r="V1047" s="50"/>
      <c r="W1047" s="41"/>
      <c r="X1047" s="41"/>
      <c r="Y1047" s="41"/>
      <c r="Z1047" s="41"/>
      <c r="AA1047" s="50"/>
      <c r="AB1047" s="326"/>
      <c r="AC1047" s="50"/>
      <c r="AD1047" s="50"/>
      <c r="AE1047" s="50"/>
      <c r="AF1047" s="50"/>
      <c r="AH1047" s="50"/>
      <c r="AI1047" s="41"/>
      <c r="AJ1047" s="41"/>
      <c r="AL1047" s="50"/>
      <c r="AM1047" s="50"/>
      <c r="AN1047" s="50"/>
      <c r="AO1047" s="41"/>
      <c r="AP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</row>
    <row r="1048" spans="1:77" s="111" customFormat="1">
      <c r="A1048" s="41"/>
      <c r="B1048" s="41"/>
      <c r="C1048" s="41"/>
      <c r="D1048" s="41"/>
      <c r="E1048" s="41"/>
      <c r="F1048" s="45"/>
      <c r="G1048" s="41"/>
      <c r="H1048" s="50"/>
      <c r="I1048" s="50"/>
      <c r="J1048" s="132"/>
      <c r="K1048" s="132"/>
      <c r="L1048" s="50"/>
      <c r="M1048" s="50"/>
      <c r="N1048" s="50"/>
      <c r="O1048" s="50"/>
      <c r="P1048" s="50"/>
      <c r="Q1048" s="50"/>
      <c r="R1048" s="50"/>
      <c r="S1048" s="41"/>
      <c r="T1048" s="42"/>
      <c r="U1048" s="42"/>
      <c r="V1048" s="45"/>
      <c r="W1048" s="45"/>
      <c r="X1048" s="45"/>
      <c r="Y1048" s="45"/>
      <c r="Z1048" s="45"/>
      <c r="AA1048" s="45"/>
      <c r="AB1048" s="336"/>
      <c r="AC1048" s="41"/>
      <c r="AD1048" s="41"/>
      <c r="AE1048" s="41"/>
      <c r="AF1048" s="41"/>
      <c r="AG1048" s="99"/>
      <c r="AH1048" s="41"/>
      <c r="AI1048" s="41"/>
      <c r="AJ1048" s="41"/>
      <c r="AK1048" s="99"/>
      <c r="AL1048" s="41"/>
      <c r="AM1048" s="41"/>
      <c r="AN1048" s="41"/>
      <c r="AO1048" s="41"/>
      <c r="AP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</row>
    <row r="1049" spans="1:77" s="111" customFormat="1">
      <c r="A1049" s="41"/>
      <c r="B1049" s="41"/>
      <c r="C1049" s="42"/>
      <c r="D1049" s="42"/>
      <c r="E1049" s="42"/>
      <c r="F1049" s="50"/>
      <c r="G1049" s="41"/>
      <c r="H1049" s="41"/>
      <c r="I1049" s="41"/>
      <c r="J1049" s="56"/>
      <c r="K1049" s="56"/>
      <c r="L1049" s="41"/>
      <c r="M1049" s="41"/>
      <c r="N1049" s="41"/>
      <c r="O1049" s="41"/>
      <c r="P1049" s="41"/>
      <c r="Q1049" s="41"/>
      <c r="R1049" s="41"/>
      <c r="S1049" s="41"/>
      <c r="T1049" s="42"/>
      <c r="U1049" s="41"/>
      <c r="V1049" s="45"/>
      <c r="W1049" s="45"/>
      <c r="X1049" s="45"/>
      <c r="Y1049" s="45"/>
      <c r="Z1049" s="45"/>
      <c r="AA1049" s="45"/>
      <c r="AB1049" s="336"/>
      <c r="AC1049" s="41"/>
      <c r="AD1049" s="41"/>
      <c r="AE1049" s="41"/>
      <c r="AF1049" s="41"/>
      <c r="AG1049" s="99"/>
      <c r="AH1049" s="41"/>
      <c r="AI1049" s="41"/>
      <c r="AJ1049" s="41"/>
      <c r="AK1049" s="99"/>
      <c r="AL1049" s="41"/>
      <c r="AM1049" s="41"/>
      <c r="AN1049" s="41"/>
      <c r="AO1049" s="41"/>
      <c r="AP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</row>
    <row r="1050" spans="1:77" s="111" customFormat="1">
      <c r="A1050" s="41"/>
      <c r="B1050" s="41"/>
      <c r="C1050" s="42"/>
      <c r="D1050" s="41"/>
      <c r="E1050" s="41"/>
      <c r="F1050" s="41"/>
      <c r="G1050" s="41"/>
      <c r="H1050" s="41"/>
      <c r="I1050" s="41"/>
      <c r="J1050" s="56"/>
      <c r="K1050" s="56"/>
      <c r="L1050" s="41"/>
      <c r="M1050" s="41"/>
      <c r="N1050" s="41"/>
      <c r="O1050" s="41"/>
      <c r="P1050" s="41"/>
      <c r="Q1050" s="41"/>
      <c r="R1050" s="41"/>
      <c r="S1050" s="41"/>
      <c r="T1050" s="42"/>
      <c r="U1050" s="41"/>
      <c r="V1050" s="45"/>
      <c r="W1050" s="45"/>
      <c r="X1050" s="45"/>
      <c r="Y1050" s="45"/>
      <c r="Z1050" s="45"/>
      <c r="AA1050" s="45"/>
      <c r="AB1050" s="336"/>
      <c r="AC1050" s="45"/>
      <c r="AD1050" s="45"/>
      <c r="AE1050" s="46"/>
      <c r="AF1050" s="46"/>
      <c r="AG1050" s="99"/>
      <c r="AH1050" s="45"/>
      <c r="AI1050" s="51"/>
      <c r="AJ1050" s="51"/>
      <c r="AK1050" s="99"/>
      <c r="AL1050" s="45"/>
      <c r="AM1050" s="45"/>
      <c r="AN1050" s="45"/>
      <c r="AO1050" s="46"/>
      <c r="AP1050" s="46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</row>
    <row r="1051" spans="1:77" s="111" customFormat="1">
      <c r="A1051" s="41"/>
      <c r="B1051" s="41"/>
      <c r="C1051" s="42"/>
      <c r="D1051" s="41"/>
      <c r="E1051" s="41"/>
      <c r="F1051" s="41"/>
      <c r="G1051" s="41"/>
      <c r="H1051" s="41"/>
      <c r="I1051" s="41"/>
      <c r="J1051" s="56"/>
      <c r="K1051" s="56"/>
      <c r="L1051" s="41"/>
      <c r="M1051" s="41"/>
      <c r="N1051" s="41"/>
      <c r="O1051" s="41"/>
      <c r="P1051" s="41"/>
      <c r="Q1051" s="41"/>
      <c r="R1051" s="41"/>
      <c r="S1051" s="41"/>
      <c r="T1051" s="42"/>
      <c r="U1051" s="41"/>
      <c r="V1051" s="45"/>
      <c r="W1051" s="45"/>
      <c r="X1051" s="45"/>
      <c r="Y1051" s="45"/>
      <c r="Z1051" s="45"/>
      <c r="AA1051" s="45"/>
      <c r="AB1051" s="336"/>
      <c r="AC1051" s="41"/>
      <c r="AD1051" s="41"/>
      <c r="AE1051" s="41"/>
      <c r="AF1051" s="41"/>
      <c r="AG1051" s="99"/>
      <c r="AH1051" s="41"/>
      <c r="AI1051" s="41"/>
      <c r="AJ1051" s="41"/>
      <c r="AK1051" s="99"/>
      <c r="AL1051" s="41"/>
      <c r="AM1051" s="41"/>
      <c r="AN1051" s="41"/>
      <c r="AO1051" s="41"/>
      <c r="AP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</row>
    <row r="1052" spans="1:77" s="111" customFormat="1">
      <c r="A1052" s="41"/>
      <c r="B1052" s="41"/>
      <c r="C1052" s="42"/>
      <c r="D1052" s="41"/>
      <c r="E1052" s="41"/>
      <c r="F1052" s="41"/>
      <c r="G1052" s="41"/>
      <c r="H1052" s="164"/>
      <c r="I1052" s="164"/>
      <c r="J1052" s="132"/>
      <c r="K1052" s="132"/>
      <c r="L1052" s="45"/>
      <c r="M1052" s="45"/>
      <c r="N1052" s="46"/>
      <c r="O1052" s="46"/>
      <c r="P1052" s="45"/>
      <c r="Q1052" s="45"/>
      <c r="R1052" s="45"/>
      <c r="S1052" s="41"/>
      <c r="T1052" s="42"/>
      <c r="U1052" s="41"/>
      <c r="V1052" s="45"/>
      <c r="W1052" s="45"/>
      <c r="X1052" s="45"/>
      <c r="Y1052" s="45"/>
      <c r="Z1052" s="45"/>
      <c r="AA1052" s="45"/>
      <c r="AB1052" s="336"/>
      <c r="AC1052" s="45"/>
      <c r="AD1052" s="45"/>
      <c r="AE1052" s="46"/>
      <c r="AF1052" s="46"/>
      <c r="AG1052" s="99"/>
      <c r="AH1052" s="45"/>
      <c r="AI1052" s="51"/>
      <c r="AJ1052" s="51"/>
      <c r="AK1052" s="99"/>
      <c r="AL1052" s="45"/>
      <c r="AM1052" s="45"/>
      <c r="AN1052" s="45"/>
      <c r="AO1052" s="46"/>
      <c r="AP1052" s="46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</row>
    <row r="1053" spans="1:77" s="111" customFormat="1">
      <c r="A1053" s="41"/>
      <c r="B1053" s="41"/>
      <c r="C1053" s="42"/>
      <c r="D1053" s="41"/>
      <c r="E1053" s="41"/>
      <c r="F1053" s="164"/>
      <c r="G1053" s="41"/>
      <c r="H1053" s="41"/>
      <c r="I1053" s="41"/>
      <c r="J1053" s="56"/>
      <c r="K1053" s="56"/>
      <c r="L1053" s="41"/>
      <c r="M1053" s="41"/>
      <c r="N1053" s="41"/>
      <c r="O1053" s="41"/>
      <c r="P1053" s="41"/>
      <c r="Q1053" s="41"/>
      <c r="R1053" s="41"/>
      <c r="S1053" s="41"/>
      <c r="T1053" s="42"/>
      <c r="U1053" s="41"/>
      <c r="V1053" s="45"/>
      <c r="W1053" s="45"/>
      <c r="X1053" s="45"/>
      <c r="Y1053" s="45"/>
      <c r="Z1053" s="45"/>
      <c r="AA1053" s="45"/>
      <c r="AB1053" s="336"/>
      <c r="AC1053" s="41"/>
      <c r="AD1053" s="41"/>
      <c r="AE1053" s="41"/>
      <c r="AF1053" s="41"/>
      <c r="AG1053" s="99"/>
      <c r="AH1053" s="41"/>
      <c r="AI1053" s="41"/>
      <c r="AJ1053" s="41"/>
      <c r="AK1053" s="99"/>
      <c r="AL1053" s="41"/>
      <c r="AM1053" s="41"/>
      <c r="AN1053" s="41"/>
      <c r="AO1053" s="41"/>
      <c r="AP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</row>
    <row r="1054" spans="1:77" s="111" customFormat="1">
      <c r="A1054" s="41"/>
      <c r="B1054" s="41"/>
      <c r="C1054" s="42"/>
      <c r="D1054" s="41"/>
      <c r="E1054" s="41"/>
      <c r="F1054" s="41"/>
      <c r="G1054" s="41"/>
      <c r="H1054" s="164"/>
      <c r="I1054" s="164"/>
      <c r="J1054" s="132"/>
      <c r="K1054" s="132"/>
      <c r="L1054" s="45"/>
      <c r="M1054" s="45"/>
      <c r="N1054" s="46"/>
      <c r="O1054" s="46"/>
      <c r="P1054" s="45"/>
      <c r="Q1054" s="45"/>
      <c r="R1054" s="45"/>
      <c r="S1054" s="41"/>
      <c r="T1054" s="42"/>
      <c r="U1054" s="41"/>
      <c r="V1054" s="45"/>
      <c r="W1054" s="45"/>
      <c r="X1054" s="45"/>
      <c r="Y1054" s="45"/>
      <c r="Z1054" s="45"/>
      <c r="AA1054" s="45"/>
      <c r="AB1054" s="336"/>
      <c r="AC1054" s="45"/>
      <c r="AD1054" s="45"/>
      <c r="AE1054" s="46"/>
      <c r="AF1054" s="46"/>
      <c r="AG1054" s="99"/>
      <c r="AH1054" s="45"/>
      <c r="AI1054" s="51"/>
      <c r="AJ1054" s="51"/>
      <c r="AK1054" s="99"/>
      <c r="AL1054" s="45"/>
      <c r="AM1054" s="45"/>
      <c r="AN1054" s="45"/>
      <c r="AO1054" s="46"/>
      <c r="AP1054" s="46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</row>
    <row r="1055" spans="1:77" s="111" customFormat="1">
      <c r="A1055" s="41"/>
      <c r="B1055" s="41"/>
      <c r="C1055" s="41"/>
      <c r="D1055" s="41"/>
      <c r="E1055" s="41"/>
      <c r="F1055" s="164"/>
      <c r="G1055" s="41"/>
      <c r="H1055" s="50"/>
      <c r="I1055" s="50"/>
      <c r="J1055" s="132"/>
      <c r="K1055" s="132"/>
      <c r="L1055" s="50"/>
      <c r="M1055" s="50"/>
      <c r="N1055" s="50"/>
      <c r="O1055" s="50"/>
      <c r="P1055" s="50"/>
      <c r="Q1055" s="50"/>
      <c r="R1055" s="50"/>
      <c r="S1055" s="41"/>
      <c r="T1055" s="42"/>
      <c r="U1055" s="41"/>
      <c r="V1055" s="45"/>
      <c r="W1055" s="45"/>
      <c r="X1055" s="45"/>
      <c r="Y1055" s="45"/>
      <c r="Z1055" s="45"/>
      <c r="AA1055" s="45"/>
      <c r="AB1055" s="336"/>
      <c r="AC1055" s="41"/>
      <c r="AD1055" s="41"/>
      <c r="AE1055" s="41"/>
      <c r="AF1055" s="41"/>
      <c r="AG1055" s="99"/>
      <c r="AH1055" s="41"/>
      <c r="AI1055" s="41"/>
      <c r="AJ1055" s="41"/>
      <c r="AK1055" s="99"/>
      <c r="AL1055" s="41"/>
      <c r="AM1055" s="41"/>
      <c r="AN1055" s="41"/>
      <c r="AO1055" s="41"/>
      <c r="AP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</row>
    <row r="1056" spans="1:77" s="111" customFormat="1">
      <c r="A1056" s="41"/>
      <c r="B1056" s="41"/>
      <c r="C1056" s="42"/>
      <c r="D1056" s="41"/>
      <c r="E1056" s="41"/>
      <c r="F1056" s="50"/>
      <c r="G1056" s="41"/>
      <c r="H1056" s="45"/>
      <c r="I1056" s="45"/>
      <c r="J1056" s="41"/>
      <c r="K1056" s="41"/>
      <c r="L1056" s="45"/>
      <c r="M1056" s="45"/>
      <c r="N1056" s="46"/>
      <c r="O1056" s="46"/>
      <c r="P1056" s="164"/>
      <c r="Q1056" s="164"/>
      <c r="R1056" s="45"/>
      <c r="S1056" s="41"/>
      <c r="T1056" s="42"/>
      <c r="U1056" s="41"/>
      <c r="V1056" s="45"/>
      <c r="W1056" s="45"/>
      <c r="X1056" s="45"/>
      <c r="Y1056" s="45"/>
      <c r="Z1056" s="45"/>
      <c r="AA1056" s="45"/>
      <c r="AB1056" s="336"/>
      <c r="AC1056" s="45"/>
      <c r="AD1056" s="45"/>
      <c r="AE1056" s="46"/>
      <c r="AF1056" s="46"/>
      <c r="AG1056" s="99"/>
      <c r="AH1056" s="45"/>
      <c r="AI1056" s="51"/>
      <c r="AJ1056" s="51"/>
      <c r="AK1056" s="99"/>
      <c r="AL1056" s="45"/>
      <c r="AM1056" s="45"/>
      <c r="AN1056" s="45"/>
      <c r="AO1056" s="46"/>
      <c r="AP1056" s="46"/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</row>
    <row r="1057" spans="1:77" s="111" customFormat="1">
      <c r="A1057" s="41"/>
      <c r="B1057" s="41"/>
      <c r="C1057" s="41"/>
      <c r="D1057" s="41"/>
      <c r="E1057" s="41"/>
      <c r="F1057" s="45"/>
      <c r="G1057" s="41"/>
      <c r="H1057" s="50"/>
      <c r="I1057" s="50"/>
      <c r="J1057" s="326"/>
      <c r="K1057" s="326"/>
      <c r="L1057" s="50"/>
      <c r="M1057" s="50"/>
      <c r="N1057" s="50"/>
      <c r="O1057" s="50"/>
      <c r="P1057" s="50"/>
      <c r="Q1057" s="50"/>
      <c r="R1057" s="50"/>
      <c r="S1057" s="41"/>
      <c r="T1057" s="41"/>
      <c r="U1057" s="41"/>
      <c r="V1057" s="50"/>
      <c r="W1057" s="41"/>
      <c r="X1057" s="41"/>
      <c r="Y1057" s="41"/>
      <c r="Z1057" s="41"/>
      <c r="AA1057" s="50"/>
      <c r="AB1057" s="326"/>
      <c r="AC1057" s="50"/>
      <c r="AD1057" s="50"/>
      <c r="AE1057" s="50"/>
      <c r="AF1057" s="50"/>
      <c r="AH1057" s="50"/>
      <c r="AI1057" s="41"/>
      <c r="AJ1057" s="41"/>
      <c r="AL1057" s="50"/>
      <c r="AM1057" s="50"/>
      <c r="AN1057" s="50"/>
      <c r="AO1057" s="41"/>
      <c r="AP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</row>
    <row r="1058" spans="1:77" s="111" customFormat="1">
      <c r="A1058" s="41"/>
      <c r="B1058" s="41"/>
      <c r="C1058" s="42"/>
      <c r="D1058" s="42"/>
      <c r="E1058" s="42"/>
      <c r="F1058" s="50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2"/>
      <c r="U1058" s="41"/>
      <c r="V1058" s="45"/>
      <c r="W1058" s="45"/>
      <c r="X1058" s="45"/>
      <c r="Y1058" s="45"/>
      <c r="Z1058" s="45"/>
      <c r="AA1058" s="45"/>
      <c r="AB1058" s="336"/>
      <c r="AC1058" s="45"/>
      <c r="AD1058" s="45"/>
      <c r="AE1058" s="46"/>
      <c r="AF1058" s="46"/>
      <c r="AG1058" s="99"/>
      <c r="AH1058" s="45"/>
      <c r="AI1058" s="51"/>
      <c r="AJ1058" s="51"/>
      <c r="AK1058" s="333"/>
      <c r="AL1058" s="164"/>
      <c r="AM1058" s="45"/>
      <c r="AN1058" s="45"/>
      <c r="AO1058" s="46"/>
      <c r="AP1058" s="46"/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</row>
    <row r="1059" spans="1:77" s="111" customFormat="1">
      <c r="A1059" s="41"/>
      <c r="B1059" s="41"/>
      <c r="C1059" s="42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50"/>
      <c r="W1059" s="41"/>
      <c r="X1059" s="41"/>
      <c r="Y1059" s="41"/>
      <c r="Z1059" s="41"/>
      <c r="AA1059" s="50"/>
      <c r="AB1059" s="326"/>
      <c r="AC1059" s="50"/>
      <c r="AD1059" s="50"/>
      <c r="AE1059" s="50"/>
      <c r="AF1059" s="50"/>
      <c r="AH1059" s="50"/>
      <c r="AI1059" s="41"/>
      <c r="AJ1059" s="41"/>
      <c r="AL1059" s="50"/>
      <c r="AM1059" s="50"/>
      <c r="AN1059" s="50"/>
      <c r="AO1059" s="41"/>
      <c r="AP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</row>
    <row r="1060" spans="1:77" s="111" customFormat="1">
      <c r="A1060" s="41"/>
      <c r="B1060" s="41"/>
      <c r="C1060" s="42"/>
      <c r="D1060" s="41"/>
      <c r="E1060" s="41"/>
      <c r="F1060" s="41"/>
      <c r="G1060" s="41"/>
      <c r="H1060" s="164"/>
      <c r="I1060" s="164"/>
      <c r="J1060" s="336"/>
      <c r="K1060" s="336"/>
      <c r="L1060" s="45"/>
      <c r="M1060" s="45"/>
      <c r="N1060" s="46"/>
      <c r="O1060" s="46"/>
      <c r="P1060" s="45"/>
      <c r="Q1060" s="45"/>
      <c r="R1060" s="45"/>
      <c r="S1060" s="41"/>
      <c r="T1060" s="42"/>
      <c r="U1060" s="41"/>
      <c r="V1060" s="45"/>
      <c r="W1060" s="45"/>
      <c r="X1060" s="45"/>
      <c r="Y1060" s="45"/>
      <c r="Z1060" s="45"/>
      <c r="AA1060" s="45"/>
      <c r="AB1060" s="41"/>
      <c r="AC1060" s="45"/>
      <c r="AD1060" s="45"/>
      <c r="AE1060" s="46"/>
      <c r="AF1060" s="46"/>
      <c r="AG1060" s="99"/>
      <c r="AH1060" s="45"/>
      <c r="AI1060" s="51"/>
      <c r="AJ1060" s="51"/>
      <c r="AK1060" s="99"/>
      <c r="AL1060" s="45"/>
      <c r="AM1060" s="45"/>
      <c r="AN1060" s="45"/>
      <c r="AO1060" s="51"/>
      <c r="AP1060" s="5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</row>
    <row r="1061" spans="1:77" s="111" customFormat="1">
      <c r="A1061" s="41"/>
      <c r="B1061" s="41"/>
      <c r="C1061" s="42"/>
      <c r="D1061" s="41"/>
      <c r="E1061" s="41"/>
      <c r="F1061" s="164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50"/>
      <c r="W1061" s="41"/>
      <c r="X1061" s="41"/>
      <c r="Y1061" s="41"/>
      <c r="Z1061" s="41"/>
      <c r="AA1061" s="50"/>
      <c r="AB1061" s="326"/>
      <c r="AC1061" s="50"/>
      <c r="AD1061" s="50"/>
      <c r="AE1061" s="50"/>
      <c r="AF1061" s="50"/>
      <c r="AH1061" s="50"/>
      <c r="AI1061" s="41"/>
      <c r="AJ1061" s="41"/>
      <c r="AL1061" s="50"/>
      <c r="AM1061" s="50"/>
      <c r="AN1061" s="50"/>
      <c r="AO1061" s="41"/>
      <c r="AP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</row>
    <row r="1062" spans="1:77" s="111" customFormat="1">
      <c r="A1062" s="41"/>
      <c r="B1062" s="41"/>
      <c r="C1062" s="42"/>
      <c r="D1062" s="41"/>
      <c r="E1062" s="41"/>
      <c r="F1062" s="41"/>
      <c r="G1062" s="41"/>
      <c r="H1062" s="164"/>
      <c r="I1062" s="164"/>
      <c r="J1062" s="336"/>
      <c r="K1062" s="336"/>
      <c r="L1062" s="45"/>
      <c r="M1062" s="45"/>
      <c r="N1062" s="46"/>
      <c r="O1062" s="46"/>
      <c r="P1062" s="45"/>
      <c r="Q1062" s="45"/>
      <c r="R1062" s="45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99"/>
      <c r="AH1062" s="41"/>
      <c r="AI1062" s="41"/>
      <c r="AJ1062" s="41"/>
      <c r="AK1062" s="99"/>
      <c r="AL1062" s="41"/>
      <c r="AM1062" s="41"/>
      <c r="AN1062" s="41"/>
      <c r="AO1062" s="41"/>
      <c r="AP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</row>
    <row r="1063" spans="1:77" s="111" customFormat="1">
      <c r="A1063" s="41"/>
      <c r="B1063" s="41"/>
      <c r="C1063" s="42"/>
      <c r="D1063" s="41"/>
      <c r="E1063" s="41"/>
      <c r="F1063" s="164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99"/>
      <c r="AH1063" s="41"/>
      <c r="AI1063" s="41"/>
      <c r="AJ1063" s="41"/>
      <c r="AK1063" s="99"/>
      <c r="AL1063" s="41"/>
      <c r="AM1063" s="41"/>
      <c r="AN1063" s="41"/>
      <c r="AO1063" s="41"/>
      <c r="AP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</row>
    <row r="1064" spans="1:77" s="111" customFormat="1">
      <c r="A1064" s="41"/>
      <c r="B1064" s="41"/>
      <c r="C1064" s="42"/>
      <c r="D1064" s="41"/>
      <c r="E1064" s="41"/>
      <c r="F1064" s="41"/>
      <c r="G1064" s="41"/>
      <c r="H1064" s="164"/>
      <c r="I1064" s="164"/>
      <c r="J1064" s="336"/>
      <c r="K1064" s="336"/>
      <c r="L1064" s="45"/>
      <c r="M1064" s="45"/>
      <c r="N1064" s="46"/>
      <c r="O1064" s="46"/>
      <c r="P1064" s="45"/>
      <c r="Q1064" s="45"/>
      <c r="R1064" s="45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99"/>
      <c r="AH1064" s="41"/>
      <c r="AI1064" s="41"/>
      <c r="AJ1064" s="41"/>
      <c r="AK1064" s="99"/>
      <c r="AL1064" s="41"/>
      <c r="AM1064" s="41"/>
      <c r="AN1064" s="41"/>
      <c r="AO1064" s="41"/>
      <c r="AP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</row>
    <row r="1065" spans="1:77" s="111" customFormat="1">
      <c r="A1065" s="41"/>
      <c r="B1065" s="41"/>
      <c r="C1065" s="42"/>
      <c r="D1065" s="41"/>
      <c r="E1065" s="41"/>
      <c r="F1065" s="164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99"/>
      <c r="AH1065" s="41"/>
      <c r="AI1065" s="41"/>
      <c r="AJ1065" s="41"/>
      <c r="AK1065" s="99"/>
      <c r="AL1065" s="41"/>
      <c r="AM1065" s="41"/>
      <c r="AN1065" s="41"/>
      <c r="AO1065" s="41"/>
      <c r="AP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</row>
    <row r="1066" spans="1:77" s="111" customFormat="1">
      <c r="A1066" s="41"/>
      <c r="B1066" s="41"/>
      <c r="C1066" s="42"/>
      <c r="D1066" s="41"/>
      <c r="E1066" s="41"/>
      <c r="F1066" s="41"/>
      <c r="G1066" s="41"/>
      <c r="H1066" s="164"/>
      <c r="I1066" s="164"/>
      <c r="J1066" s="336"/>
      <c r="K1066" s="336"/>
      <c r="L1066" s="45"/>
      <c r="M1066" s="45"/>
      <c r="N1066" s="46"/>
      <c r="O1066" s="46"/>
      <c r="P1066" s="45"/>
      <c r="Q1066" s="45"/>
      <c r="R1066" s="45"/>
      <c r="S1066" s="41"/>
      <c r="T1066" s="41"/>
      <c r="U1066" s="41"/>
      <c r="V1066" s="41"/>
      <c r="W1066" s="41"/>
      <c r="X1066" s="41"/>
      <c r="Y1066" s="41"/>
      <c r="Z1066" s="41"/>
      <c r="AA1066" s="42"/>
      <c r="AB1066" s="41"/>
      <c r="AC1066" s="41"/>
      <c r="AD1066" s="41"/>
      <c r="AE1066" s="41"/>
      <c r="AF1066" s="41"/>
      <c r="AG1066" s="99"/>
      <c r="AH1066" s="41"/>
      <c r="AI1066" s="41"/>
      <c r="AJ1066" s="41"/>
      <c r="AK1066" s="99"/>
      <c r="AL1066" s="41"/>
      <c r="AM1066" s="41"/>
      <c r="AN1066" s="41"/>
      <c r="AO1066" s="41"/>
      <c r="AP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</row>
    <row r="1067" spans="1:77" s="111" customFormat="1">
      <c r="A1067" s="41"/>
      <c r="B1067" s="41"/>
      <c r="C1067" s="41"/>
      <c r="D1067" s="41"/>
      <c r="E1067" s="41"/>
      <c r="F1067" s="164"/>
      <c r="G1067" s="41"/>
      <c r="H1067" s="50"/>
      <c r="I1067" s="50"/>
      <c r="J1067" s="326"/>
      <c r="K1067" s="326"/>
      <c r="L1067" s="50"/>
      <c r="M1067" s="50"/>
      <c r="N1067" s="50"/>
      <c r="O1067" s="50"/>
      <c r="P1067" s="50"/>
      <c r="Q1067" s="50"/>
      <c r="R1067" s="50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99"/>
      <c r="AH1067" s="41"/>
      <c r="AI1067" s="41"/>
      <c r="AJ1067" s="41"/>
      <c r="AK1067" s="99"/>
      <c r="AL1067" s="41"/>
      <c r="AM1067" s="41"/>
      <c r="AN1067" s="41"/>
      <c r="AO1067" s="41"/>
      <c r="AP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</row>
    <row r="1068" spans="1:77" s="111" customFormat="1">
      <c r="A1068" s="41"/>
      <c r="B1068" s="41"/>
      <c r="C1068" s="42"/>
      <c r="D1068" s="41"/>
      <c r="E1068" s="41"/>
      <c r="F1068" s="50"/>
      <c r="G1068" s="41"/>
      <c r="H1068" s="45"/>
      <c r="I1068" s="45"/>
      <c r="J1068" s="41"/>
      <c r="K1068" s="41"/>
      <c r="L1068" s="45"/>
      <c r="M1068" s="45"/>
      <c r="N1068" s="46"/>
      <c r="O1068" s="46"/>
      <c r="P1068" s="164"/>
      <c r="Q1068" s="164"/>
      <c r="R1068" s="45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2"/>
      <c r="AD1068" s="42"/>
      <c r="AE1068" s="41"/>
      <c r="AF1068" s="41"/>
      <c r="AG1068" s="99"/>
      <c r="AH1068" s="41"/>
      <c r="AI1068" s="41"/>
      <c r="AJ1068" s="41"/>
      <c r="AK1068" s="99"/>
      <c r="AL1068" s="41"/>
      <c r="AM1068" s="41"/>
      <c r="AN1068" s="41"/>
      <c r="AO1068" s="41"/>
      <c r="AP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</row>
    <row r="1069" spans="1:77" s="111" customFormat="1">
      <c r="A1069" s="41"/>
      <c r="B1069" s="41"/>
      <c r="C1069" s="41"/>
      <c r="D1069" s="41"/>
      <c r="E1069" s="41"/>
      <c r="F1069" s="45"/>
      <c r="G1069" s="41"/>
      <c r="H1069" s="50"/>
      <c r="I1069" s="50"/>
      <c r="J1069" s="326"/>
      <c r="K1069" s="326"/>
      <c r="L1069" s="50"/>
      <c r="M1069" s="50"/>
      <c r="N1069" s="50"/>
      <c r="O1069" s="50"/>
      <c r="P1069" s="50"/>
      <c r="Q1069" s="50"/>
      <c r="R1069" s="50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99"/>
      <c r="AH1069" s="41"/>
      <c r="AI1069" s="41"/>
      <c r="AJ1069" s="41"/>
      <c r="AK1069" s="99"/>
      <c r="AL1069" s="41"/>
      <c r="AM1069" s="42"/>
      <c r="AN1069" s="42"/>
      <c r="AO1069" s="41"/>
      <c r="AP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</row>
    <row r="1070" spans="1:77" s="111" customFormat="1">
      <c r="A1070" s="41"/>
      <c r="B1070" s="41"/>
      <c r="C1070" s="42"/>
      <c r="D1070" s="41"/>
      <c r="E1070" s="41"/>
      <c r="F1070" s="50"/>
      <c r="G1070" s="41"/>
      <c r="H1070" s="45"/>
      <c r="I1070" s="45"/>
      <c r="J1070" s="41"/>
      <c r="K1070" s="41"/>
      <c r="L1070" s="45"/>
      <c r="M1070" s="45"/>
      <c r="N1070" s="46"/>
      <c r="O1070" s="46"/>
      <c r="P1070" s="45"/>
      <c r="Q1070" s="45"/>
      <c r="R1070" s="45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99"/>
      <c r="AH1070" s="41"/>
      <c r="AI1070" s="41"/>
      <c r="AJ1070" s="41"/>
      <c r="AK1070" s="99"/>
      <c r="AL1070" s="41"/>
      <c r="AM1070" s="42"/>
      <c r="AN1070" s="42"/>
      <c r="AO1070" s="41"/>
      <c r="AP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</row>
    <row r="1071" spans="1:77" s="111" customFormat="1">
      <c r="A1071" s="41"/>
      <c r="B1071" s="41"/>
      <c r="C1071" s="41"/>
      <c r="D1071" s="41"/>
      <c r="E1071" s="41"/>
      <c r="F1071" s="45"/>
      <c r="G1071" s="41"/>
      <c r="H1071" s="50"/>
      <c r="I1071" s="50"/>
      <c r="J1071" s="326"/>
      <c r="K1071" s="326"/>
      <c r="L1071" s="50"/>
      <c r="M1071" s="50"/>
      <c r="N1071" s="50"/>
      <c r="O1071" s="50"/>
      <c r="P1071" s="50"/>
      <c r="Q1071" s="50"/>
      <c r="R1071" s="50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99"/>
      <c r="AH1071" s="41"/>
      <c r="AI1071" s="41"/>
      <c r="AJ1071" s="41"/>
      <c r="AK1071" s="99"/>
      <c r="AL1071" s="41"/>
      <c r="AM1071" s="42"/>
      <c r="AN1071" s="42"/>
      <c r="AO1071" s="41"/>
      <c r="AP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</row>
    <row r="1072" spans="1:77">
      <c r="AC1072" s="42"/>
      <c r="AD1072" s="42"/>
    </row>
    <row r="1073" spans="1:77" s="111" customFormat="1">
      <c r="A1073" s="41"/>
      <c r="B1073" s="41"/>
      <c r="C1073" s="41"/>
      <c r="D1073" s="41"/>
      <c r="E1073" s="41"/>
      <c r="F1073" s="50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107"/>
      <c r="AH1073" s="49"/>
      <c r="AI1073" s="49"/>
      <c r="AJ1073" s="49"/>
      <c r="AK1073" s="107"/>
      <c r="AL1073" s="49"/>
      <c r="AM1073" s="49"/>
      <c r="AN1073" s="49"/>
      <c r="AO1073" s="49"/>
      <c r="AP1073" s="49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</row>
    <row r="1074" spans="1:77" s="111" customFormat="1">
      <c r="A1074" s="42"/>
      <c r="B1074" s="41"/>
      <c r="C1074" s="41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4"/>
      <c r="AD1074" s="44"/>
      <c r="AE1074" s="44"/>
      <c r="AF1074" s="44"/>
      <c r="AG1074" s="102"/>
      <c r="AH1074" s="44"/>
      <c r="AI1074" s="44"/>
      <c r="AJ1074" s="44"/>
      <c r="AK1074" s="99"/>
      <c r="AL1074" s="41"/>
      <c r="AM1074" s="44"/>
      <c r="AN1074" s="44"/>
      <c r="AO1074" s="44"/>
      <c r="AP1074" s="44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</row>
    <row r="1075" spans="1:77" s="111" customFormat="1">
      <c r="A1075" s="41"/>
      <c r="B1075" s="41"/>
      <c r="C1075" s="41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4"/>
      <c r="AC1075" s="44"/>
      <c r="AD1075" s="44"/>
      <c r="AE1075" s="44"/>
      <c r="AF1075" s="44"/>
      <c r="AG1075" s="102"/>
      <c r="AH1075" s="44"/>
      <c r="AI1075" s="44"/>
      <c r="AJ1075" s="44"/>
      <c r="AK1075" s="99"/>
      <c r="AL1075" s="41"/>
      <c r="AM1075" s="44"/>
      <c r="AN1075" s="44"/>
      <c r="AO1075" s="44"/>
      <c r="AP1075" s="44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</row>
    <row r="1076" spans="1:77" s="111" customFormat="1">
      <c r="A1076" s="41"/>
      <c r="B1076" s="41"/>
      <c r="C1076" s="41"/>
      <c r="D1076" s="41"/>
      <c r="E1076" s="41"/>
      <c r="F1076" s="41"/>
      <c r="G1076" s="41"/>
      <c r="H1076" s="42"/>
      <c r="I1076" s="42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4"/>
      <c r="U1076" s="44"/>
      <c r="V1076" s="44"/>
      <c r="W1076" s="41"/>
      <c r="X1076" s="41"/>
      <c r="Y1076" s="41"/>
      <c r="Z1076" s="41"/>
      <c r="AA1076" s="41"/>
      <c r="AB1076" s="44"/>
      <c r="AC1076" s="44"/>
      <c r="AD1076" s="44"/>
      <c r="AE1076" s="44"/>
      <c r="AF1076" s="44"/>
      <c r="AG1076" s="102"/>
      <c r="AH1076" s="44"/>
      <c r="AI1076" s="44"/>
      <c r="AJ1076" s="44"/>
      <c r="AK1076" s="102"/>
      <c r="AL1076" s="44"/>
      <c r="AM1076" s="44"/>
      <c r="AN1076" s="44"/>
      <c r="AO1076" s="44"/>
      <c r="AP1076" s="44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</row>
    <row r="1077" spans="1:77" s="111" customFormat="1">
      <c r="A1077" s="41"/>
      <c r="B1077" s="41"/>
      <c r="C1077" s="41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4"/>
      <c r="U1077" s="44"/>
      <c r="V1077" s="44"/>
      <c r="W1077" s="41"/>
      <c r="X1077" s="41"/>
      <c r="Y1077" s="41"/>
      <c r="Z1077" s="41"/>
      <c r="AA1077" s="44"/>
      <c r="AB1077" s="44"/>
      <c r="AC1077" s="44"/>
      <c r="AD1077" s="44"/>
      <c r="AE1077" s="44"/>
      <c r="AF1077" s="44"/>
      <c r="AG1077" s="102"/>
      <c r="AH1077" s="44"/>
      <c r="AI1077" s="44"/>
      <c r="AJ1077" s="44"/>
      <c r="AK1077" s="102"/>
      <c r="AL1077" s="44"/>
      <c r="AM1077" s="44"/>
      <c r="AN1077" s="44"/>
      <c r="AO1077" s="44"/>
      <c r="AP1077" s="44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</row>
    <row r="1078" spans="1:77" s="111" customFormat="1">
      <c r="A1078" s="41"/>
      <c r="B1078" s="41"/>
      <c r="C1078" s="41"/>
      <c r="D1078" s="41"/>
      <c r="E1078" s="41"/>
      <c r="F1078" s="41"/>
      <c r="G1078" s="41"/>
      <c r="H1078" s="41"/>
      <c r="I1078" s="41"/>
      <c r="J1078" s="41"/>
      <c r="K1078" s="41"/>
      <c r="L1078" s="42"/>
      <c r="M1078" s="42"/>
      <c r="N1078" s="41"/>
      <c r="O1078" s="41"/>
      <c r="P1078" s="41"/>
      <c r="Q1078" s="41"/>
      <c r="R1078" s="41"/>
      <c r="S1078" s="41"/>
      <c r="T1078" s="44"/>
      <c r="U1078" s="44"/>
      <c r="V1078" s="44"/>
      <c r="W1078" s="41"/>
      <c r="X1078" s="41"/>
      <c r="Y1078" s="41"/>
      <c r="Z1078" s="41"/>
      <c r="AA1078" s="44"/>
      <c r="AB1078" s="44"/>
      <c r="AC1078" s="44"/>
      <c r="AD1078" s="44"/>
      <c r="AE1078" s="44"/>
      <c r="AF1078" s="44"/>
      <c r="AG1078" s="102"/>
      <c r="AH1078" s="44"/>
      <c r="AI1078" s="44"/>
      <c r="AJ1078" s="44"/>
      <c r="AK1078" s="102"/>
      <c r="AL1078" s="44"/>
      <c r="AM1078" s="44"/>
      <c r="AN1078" s="44"/>
      <c r="AO1078" s="44"/>
      <c r="AP1078" s="44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</row>
    <row r="1079" spans="1:77" s="111" customFormat="1">
      <c r="A1079" s="41"/>
      <c r="B1079" s="41"/>
      <c r="C1079" s="41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2"/>
      <c r="S1079" s="41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107"/>
      <c r="AH1079" s="49"/>
      <c r="AI1079" s="49"/>
      <c r="AJ1079" s="49"/>
      <c r="AK1079" s="107"/>
      <c r="AL1079" s="49"/>
      <c r="AM1079" s="49"/>
      <c r="AN1079" s="49"/>
      <c r="AO1079" s="49"/>
      <c r="AP1079" s="49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</row>
    <row r="1080" spans="1:77" s="111" customFormat="1">
      <c r="A1080" s="41"/>
      <c r="B1080" s="41"/>
      <c r="C1080" s="41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2"/>
      <c r="S1080" s="41"/>
      <c r="T1080" s="41"/>
      <c r="U1080" s="41"/>
      <c r="V1080" s="41"/>
      <c r="W1080" s="41"/>
      <c r="X1080" s="41"/>
      <c r="Y1080" s="41"/>
      <c r="Z1080" s="41"/>
      <c r="AA1080" s="44"/>
      <c r="AB1080" s="44"/>
      <c r="AC1080" s="44"/>
      <c r="AD1080" s="44"/>
      <c r="AE1080" s="44"/>
      <c r="AF1080" s="44"/>
      <c r="AG1080" s="102"/>
      <c r="AH1080" s="44"/>
      <c r="AI1080" s="44"/>
      <c r="AJ1080" s="44"/>
      <c r="AK1080" s="102"/>
      <c r="AL1080" s="44"/>
      <c r="AM1080" s="44"/>
      <c r="AN1080" s="44"/>
      <c r="AO1080" s="44"/>
      <c r="AP1080" s="44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</row>
    <row r="1081" spans="1:77" s="111" customFormat="1">
      <c r="A1081" s="42"/>
      <c r="B1081" s="41"/>
      <c r="C1081" s="41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2"/>
      <c r="S1081" s="41"/>
      <c r="T1081" s="42"/>
      <c r="U1081" s="42"/>
      <c r="V1081" s="45"/>
      <c r="W1081" s="41"/>
      <c r="X1081" s="41"/>
      <c r="Y1081" s="41"/>
      <c r="Z1081" s="41"/>
      <c r="AA1081" s="45"/>
      <c r="AB1081" s="47"/>
      <c r="AC1081" s="45"/>
      <c r="AD1081" s="45"/>
      <c r="AE1081" s="47"/>
      <c r="AF1081" s="47"/>
      <c r="AG1081" s="99"/>
      <c r="AH1081" s="45"/>
      <c r="AI1081" s="51"/>
      <c r="AJ1081" s="51"/>
      <c r="AK1081" s="99"/>
      <c r="AL1081" s="45"/>
      <c r="AM1081" s="45"/>
      <c r="AN1081" s="45"/>
      <c r="AO1081" s="46"/>
      <c r="AP1081" s="46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</row>
    <row r="1082" spans="1:77" s="111" customFormat="1">
      <c r="A1082" s="41"/>
      <c r="B1082" s="41"/>
      <c r="C1082" s="41"/>
      <c r="D1082" s="41"/>
      <c r="E1082" s="41"/>
      <c r="F1082" s="41"/>
      <c r="G1082" s="41"/>
      <c r="H1082" s="41"/>
      <c r="I1082" s="41"/>
      <c r="J1082" s="41"/>
      <c r="K1082" s="41"/>
      <c r="L1082" s="42"/>
      <c r="M1082" s="42"/>
      <c r="N1082" s="41"/>
      <c r="O1082" s="41"/>
      <c r="P1082" s="41"/>
      <c r="Q1082" s="41"/>
      <c r="R1082" s="41"/>
      <c r="S1082" s="41"/>
      <c r="T1082" s="41"/>
      <c r="U1082" s="41"/>
      <c r="V1082" s="50"/>
      <c r="W1082" s="41"/>
      <c r="X1082" s="41"/>
      <c r="Y1082" s="41"/>
      <c r="Z1082" s="41"/>
      <c r="AA1082" s="50"/>
      <c r="AB1082" s="326"/>
      <c r="AC1082" s="50"/>
      <c r="AD1082" s="50"/>
      <c r="AE1082" s="50"/>
      <c r="AF1082" s="50"/>
      <c r="AH1082" s="50"/>
      <c r="AI1082" s="41"/>
      <c r="AJ1082" s="41"/>
      <c r="AL1082" s="50"/>
      <c r="AM1082" s="50"/>
      <c r="AN1082" s="50"/>
      <c r="AO1082" s="46"/>
      <c r="AP1082" s="46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</row>
    <row r="1083" spans="1:77" s="111" customFormat="1">
      <c r="A1083" s="49"/>
      <c r="B1083" s="49"/>
      <c r="C1083" s="49"/>
      <c r="D1083" s="49"/>
      <c r="E1083" s="49"/>
      <c r="F1083" s="41"/>
      <c r="G1083" s="49"/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1"/>
      <c r="T1083" s="42"/>
      <c r="U1083" s="41"/>
      <c r="V1083" s="45"/>
      <c r="W1083" s="41"/>
      <c r="X1083" s="41"/>
      <c r="Y1083" s="41"/>
      <c r="Z1083" s="41"/>
      <c r="AA1083" s="45"/>
      <c r="AB1083" s="47"/>
      <c r="AC1083" s="45"/>
      <c r="AD1083" s="45"/>
      <c r="AE1083" s="47"/>
      <c r="AF1083" s="47"/>
      <c r="AG1083" s="99"/>
      <c r="AH1083" s="45"/>
      <c r="AI1083" s="51"/>
      <c r="AJ1083" s="51"/>
      <c r="AK1083" s="99"/>
      <c r="AL1083" s="45"/>
      <c r="AM1083" s="45"/>
      <c r="AN1083" s="45"/>
      <c r="AO1083" s="46"/>
      <c r="AP1083" s="46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</row>
    <row r="1084" spans="1:77" s="111" customFormat="1">
      <c r="A1084" s="41"/>
      <c r="B1084" s="41"/>
      <c r="C1084" s="41"/>
      <c r="D1084" s="41"/>
      <c r="E1084" s="41"/>
      <c r="F1084" s="49"/>
      <c r="G1084" s="41"/>
      <c r="H1084" s="41"/>
      <c r="I1084" s="41"/>
      <c r="J1084" s="41"/>
      <c r="K1084" s="41"/>
      <c r="L1084" s="44"/>
      <c r="M1084" s="44"/>
      <c r="N1084" s="44"/>
      <c r="O1084" s="44"/>
      <c r="P1084" s="41"/>
      <c r="Q1084" s="41"/>
      <c r="R1084" s="44"/>
      <c r="S1084" s="41"/>
      <c r="T1084" s="41"/>
      <c r="U1084" s="41"/>
      <c r="V1084" s="45"/>
      <c r="W1084" s="41"/>
      <c r="X1084" s="41"/>
      <c r="Y1084" s="41"/>
      <c r="Z1084" s="41"/>
      <c r="AA1084" s="45"/>
      <c r="AB1084" s="47"/>
      <c r="AC1084" s="45"/>
      <c r="AD1084" s="45"/>
      <c r="AE1084" s="47"/>
      <c r="AF1084" s="47"/>
      <c r="AG1084" s="99"/>
      <c r="AH1084" s="41"/>
      <c r="AI1084" s="51"/>
      <c r="AJ1084" s="51"/>
      <c r="AK1084" s="99"/>
      <c r="AL1084" s="45"/>
      <c r="AM1084" s="45"/>
      <c r="AN1084" s="45"/>
      <c r="AO1084" s="46"/>
      <c r="AP1084" s="46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</row>
    <row r="1085" spans="1:77" s="111" customFormat="1">
      <c r="A1085" s="41"/>
      <c r="B1085" s="41"/>
      <c r="C1085" s="41"/>
      <c r="D1085" s="41"/>
      <c r="E1085" s="41"/>
      <c r="F1085" s="41"/>
      <c r="G1085" s="41"/>
      <c r="H1085" s="41"/>
      <c r="I1085" s="41"/>
      <c r="J1085" s="41"/>
      <c r="K1085" s="41"/>
      <c r="L1085" s="44"/>
      <c r="M1085" s="44"/>
      <c r="N1085" s="44"/>
      <c r="O1085" s="44"/>
      <c r="P1085" s="41"/>
      <c r="Q1085" s="41"/>
      <c r="R1085" s="44"/>
      <c r="S1085" s="41"/>
      <c r="T1085" s="42"/>
      <c r="U1085" s="42"/>
      <c r="V1085" s="45"/>
      <c r="W1085" s="41"/>
      <c r="X1085" s="41"/>
      <c r="Y1085" s="41"/>
      <c r="Z1085" s="41"/>
      <c r="AA1085" s="45"/>
      <c r="AB1085" s="47"/>
      <c r="AC1085" s="45"/>
      <c r="AD1085" s="45"/>
      <c r="AE1085" s="47"/>
      <c r="AF1085" s="47"/>
      <c r="AG1085" s="99"/>
      <c r="AH1085" s="45"/>
      <c r="AI1085" s="51"/>
      <c r="AJ1085" s="51"/>
      <c r="AK1085" s="99"/>
      <c r="AL1085" s="45"/>
      <c r="AM1085" s="45"/>
      <c r="AN1085" s="45"/>
      <c r="AO1085" s="46"/>
      <c r="AP1085" s="46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</row>
    <row r="1086" spans="1:77" s="111" customFormat="1">
      <c r="A1086" s="44"/>
      <c r="B1086" s="41"/>
      <c r="C1086" s="44"/>
      <c r="D1086" s="44"/>
      <c r="E1086" s="44"/>
      <c r="F1086" s="41"/>
      <c r="G1086" s="41"/>
      <c r="H1086" s="41"/>
      <c r="I1086" s="41"/>
      <c r="J1086" s="44"/>
      <c r="K1086" s="44"/>
      <c r="L1086" s="44"/>
      <c r="M1086" s="44"/>
      <c r="N1086" s="44"/>
      <c r="O1086" s="44"/>
      <c r="P1086" s="44"/>
      <c r="Q1086" s="44"/>
      <c r="R1086" s="44"/>
      <c r="S1086" s="41"/>
      <c r="T1086" s="42"/>
      <c r="U1086" s="42"/>
      <c r="V1086" s="45"/>
      <c r="W1086" s="41"/>
      <c r="X1086" s="41"/>
      <c r="Y1086" s="41"/>
      <c r="Z1086" s="41"/>
      <c r="AA1086" s="45"/>
      <c r="AB1086" s="47"/>
      <c r="AC1086" s="45"/>
      <c r="AD1086" s="45"/>
      <c r="AE1086" s="47"/>
      <c r="AF1086" s="47"/>
      <c r="AG1086" s="99"/>
      <c r="AH1086" s="45"/>
      <c r="AI1086" s="51"/>
      <c r="AJ1086" s="51"/>
      <c r="AK1086" s="99"/>
      <c r="AL1086" s="45"/>
      <c r="AM1086" s="45"/>
      <c r="AN1086" s="45"/>
      <c r="AO1086" s="46"/>
      <c r="AP1086" s="46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</row>
    <row r="1087" spans="1:77" s="111" customFormat="1">
      <c r="A1087" s="44"/>
      <c r="B1087" s="41"/>
      <c r="C1087" s="44"/>
      <c r="D1087" s="44"/>
      <c r="E1087" s="44"/>
      <c r="F1087" s="44"/>
      <c r="G1087" s="41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1"/>
      <c r="T1087" s="42"/>
      <c r="U1087" s="42"/>
      <c r="V1087" s="45"/>
      <c r="W1087" s="41"/>
      <c r="X1087" s="41"/>
      <c r="Y1087" s="41"/>
      <c r="Z1087" s="41"/>
      <c r="AA1087" s="45"/>
      <c r="AB1087" s="47"/>
      <c r="AC1087" s="45"/>
      <c r="AD1087" s="45"/>
      <c r="AE1087" s="47"/>
      <c r="AF1087" s="47"/>
      <c r="AG1087" s="99"/>
      <c r="AH1087" s="45"/>
      <c r="AI1087" s="51"/>
      <c r="AJ1087" s="51"/>
      <c r="AK1087" s="99"/>
      <c r="AL1087" s="45"/>
      <c r="AM1087" s="45"/>
      <c r="AN1087" s="45"/>
      <c r="AO1087" s="46"/>
      <c r="AP1087" s="46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</row>
    <row r="1088" spans="1:77" s="111" customFormat="1">
      <c r="A1088" s="41"/>
      <c r="B1088" s="41"/>
      <c r="C1088" s="44"/>
      <c r="D1088" s="44"/>
      <c r="E1088" s="44"/>
      <c r="F1088" s="44"/>
      <c r="G1088" s="41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1"/>
      <c r="T1088" s="42"/>
      <c r="U1088" s="42"/>
      <c r="V1088" s="45"/>
      <c r="W1088" s="41"/>
      <c r="X1088" s="41"/>
      <c r="Y1088" s="41"/>
      <c r="Z1088" s="41"/>
      <c r="AA1088" s="45"/>
      <c r="AB1088" s="47"/>
      <c r="AC1088" s="45"/>
      <c r="AD1088" s="45"/>
      <c r="AE1088" s="47"/>
      <c r="AF1088" s="47"/>
      <c r="AG1088" s="99"/>
      <c r="AH1088" s="45"/>
      <c r="AI1088" s="51"/>
      <c r="AJ1088" s="51"/>
      <c r="AK1088" s="99"/>
      <c r="AL1088" s="45"/>
      <c r="AM1088" s="45"/>
      <c r="AN1088" s="45"/>
      <c r="AO1088" s="46"/>
      <c r="AP1088" s="46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</row>
    <row r="1089" spans="1:77" s="111" customFormat="1">
      <c r="A1089" s="49"/>
      <c r="B1089" s="49"/>
      <c r="C1089" s="49"/>
      <c r="D1089" s="49"/>
      <c r="E1089" s="49"/>
      <c r="F1089" s="44"/>
      <c r="G1089" s="49"/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1"/>
      <c r="T1089" s="42"/>
      <c r="U1089" s="42"/>
      <c r="V1089" s="45"/>
      <c r="W1089" s="41"/>
      <c r="X1089" s="41"/>
      <c r="Y1089" s="41"/>
      <c r="Z1089" s="41"/>
      <c r="AA1089" s="45"/>
      <c r="AB1089" s="47"/>
      <c r="AC1089" s="45"/>
      <c r="AD1089" s="45"/>
      <c r="AE1089" s="47"/>
      <c r="AF1089" s="47"/>
      <c r="AG1089" s="99"/>
      <c r="AH1089" s="45"/>
      <c r="AI1089" s="51"/>
      <c r="AJ1089" s="51"/>
      <c r="AK1089" s="99"/>
      <c r="AL1089" s="45"/>
      <c r="AM1089" s="45"/>
      <c r="AN1089" s="45"/>
      <c r="AO1089" s="46"/>
      <c r="AP1089" s="46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</row>
    <row r="1090" spans="1:77" s="111" customFormat="1">
      <c r="A1090" s="41"/>
      <c r="B1090" s="41"/>
      <c r="C1090" s="41"/>
      <c r="D1090" s="41"/>
      <c r="E1090" s="41"/>
      <c r="F1090" s="49"/>
      <c r="G1090" s="41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1"/>
      <c r="T1090" s="42"/>
      <c r="U1090" s="42"/>
      <c r="V1090" s="45"/>
      <c r="W1090" s="41"/>
      <c r="X1090" s="41"/>
      <c r="Y1090" s="41"/>
      <c r="Z1090" s="41"/>
      <c r="AA1090" s="45"/>
      <c r="AB1090" s="47"/>
      <c r="AC1090" s="45"/>
      <c r="AD1090" s="45"/>
      <c r="AE1090" s="47"/>
      <c r="AF1090" s="47"/>
      <c r="AG1090" s="99"/>
      <c r="AH1090" s="45"/>
      <c r="AI1090" s="51"/>
      <c r="AJ1090" s="51"/>
      <c r="AK1090" s="99"/>
      <c r="AL1090" s="45"/>
      <c r="AM1090" s="45"/>
      <c r="AN1090" s="45"/>
      <c r="AO1090" s="46"/>
      <c r="AP1090" s="46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</row>
    <row r="1091" spans="1:77" s="111" customFormat="1">
      <c r="A1091" s="41"/>
      <c r="B1091" s="41"/>
      <c r="C1091" s="42"/>
      <c r="D1091" s="42"/>
      <c r="E1091" s="42"/>
      <c r="F1091" s="41"/>
      <c r="G1091" s="41"/>
      <c r="H1091" s="45"/>
      <c r="I1091" s="45"/>
      <c r="J1091" s="47"/>
      <c r="K1091" s="47"/>
      <c r="L1091" s="45"/>
      <c r="M1091" s="45"/>
      <c r="N1091" s="47"/>
      <c r="O1091" s="47"/>
      <c r="P1091" s="45"/>
      <c r="Q1091" s="45"/>
      <c r="R1091" s="45"/>
      <c r="S1091" s="41"/>
      <c r="T1091" s="41"/>
      <c r="U1091" s="41"/>
      <c r="V1091" s="50"/>
      <c r="W1091" s="41"/>
      <c r="X1091" s="41"/>
      <c r="Y1091" s="41"/>
      <c r="Z1091" s="41"/>
      <c r="AA1091" s="50"/>
      <c r="AB1091" s="326"/>
      <c r="AC1091" s="50"/>
      <c r="AD1091" s="50"/>
      <c r="AE1091" s="50"/>
      <c r="AF1091" s="50"/>
      <c r="AH1091" s="50"/>
      <c r="AI1091" s="41"/>
      <c r="AJ1091" s="41"/>
      <c r="AL1091" s="50"/>
      <c r="AM1091" s="50"/>
      <c r="AN1091" s="50"/>
      <c r="AO1091" s="46"/>
      <c r="AP1091" s="46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</row>
    <row r="1092" spans="1:77" s="111" customFormat="1">
      <c r="A1092" s="41"/>
      <c r="B1092" s="41"/>
      <c r="C1092" s="41"/>
      <c r="D1092" s="41"/>
      <c r="E1092" s="41"/>
      <c r="F1092" s="45"/>
      <c r="G1092" s="41"/>
      <c r="H1092" s="50"/>
      <c r="I1092" s="50"/>
      <c r="J1092" s="326"/>
      <c r="K1092" s="326"/>
      <c r="L1092" s="50"/>
      <c r="M1092" s="50"/>
      <c r="N1092" s="50"/>
      <c r="O1092" s="50"/>
      <c r="P1092" s="50"/>
      <c r="Q1092" s="50"/>
      <c r="R1092" s="50"/>
      <c r="S1092" s="41"/>
      <c r="T1092" s="42"/>
      <c r="U1092" s="41"/>
      <c r="V1092" s="45"/>
      <c r="W1092" s="41"/>
      <c r="X1092" s="41"/>
      <c r="Y1092" s="41"/>
      <c r="Z1092" s="41"/>
      <c r="AA1092" s="45"/>
      <c r="AB1092" s="47"/>
      <c r="AC1092" s="45"/>
      <c r="AD1092" s="45"/>
      <c r="AE1092" s="47"/>
      <c r="AF1092" s="47"/>
      <c r="AG1092" s="99"/>
      <c r="AH1092" s="45"/>
      <c r="AI1092" s="51"/>
      <c r="AJ1092" s="51"/>
      <c r="AK1092" s="99"/>
      <c r="AL1092" s="45"/>
      <c r="AM1092" s="45"/>
      <c r="AN1092" s="45"/>
      <c r="AO1092" s="46"/>
      <c r="AP1092" s="46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</row>
    <row r="1093" spans="1:77" s="111" customFormat="1">
      <c r="A1093" s="41"/>
      <c r="B1093" s="41"/>
      <c r="C1093" s="42"/>
      <c r="D1093" s="41"/>
      <c r="E1093" s="41"/>
      <c r="F1093" s="50"/>
      <c r="G1093" s="41"/>
      <c r="H1093" s="45"/>
      <c r="I1093" s="45"/>
      <c r="J1093" s="47"/>
      <c r="K1093" s="47"/>
      <c r="L1093" s="45"/>
      <c r="M1093" s="45"/>
      <c r="N1093" s="47"/>
      <c r="O1093" s="47"/>
      <c r="P1093" s="45"/>
      <c r="Q1093" s="45"/>
      <c r="R1093" s="45"/>
      <c r="S1093" s="41"/>
      <c r="T1093" s="41"/>
      <c r="U1093" s="41"/>
      <c r="V1093" s="45"/>
      <c r="W1093" s="41"/>
      <c r="X1093" s="41"/>
      <c r="Y1093" s="41"/>
      <c r="Z1093" s="41"/>
      <c r="AA1093" s="45"/>
      <c r="AB1093" s="47"/>
      <c r="AC1093" s="45"/>
      <c r="AD1093" s="45"/>
      <c r="AE1093" s="47"/>
      <c r="AF1093" s="47"/>
      <c r="AG1093" s="99"/>
      <c r="AH1093" s="41"/>
      <c r="AI1093" s="51"/>
      <c r="AJ1093" s="51"/>
      <c r="AK1093" s="99"/>
      <c r="AL1093" s="45"/>
      <c r="AM1093" s="45"/>
      <c r="AN1093" s="45"/>
      <c r="AO1093" s="46"/>
      <c r="AP1093" s="46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</row>
    <row r="1094" spans="1:77" s="111" customFormat="1">
      <c r="A1094" s="41"/>
      <c r="B1094" s="41"/>
      <c r="C1094" s="41"/>
      <c r="D1094" s="41"/>
      <c r="E1094" s="41"/>
      <c r="F1094" s="45"/>
      <c r="G1094" s="41"/>
      <c r="H1094" s="45"/>
      <c r="I1094" s="45"/>
      <c r="J1094" s="47"/>
      <c r="K1094" s="47"/>
      <c r="L1094" s="45"/>
      <c r="M1094" s="45"/>
      <c r="N1094" s="47"/>
      <c r="O1094" s="47"/>
      <c r="P1094" s="45"/>
      <c r="Q1094" s="45"/>
      <c r="R1094" s="45"/>
      <c r="S1094" s="41"/>
      <c r="T1094" s="42"/>
      <c r="U1094" s="42"/>
      <c r="V1094" s="45"/>
      <c r="W1094" s="41"/>
      <c r="X1094" s="41"/>
      <c r="Y1094" s="41"/>
      <c r="Z1094" s="41"/>
      <c r="AA1094" s="45"/>
      <c r="AB1094" s="47"/>
      <c r="AC1094" s="45"/>
      <c r="AD1094" s="45"/>
      <c r="AE1094" s="47"/>
      <c r="AF1094" s="47"/>
      <c r="AG1094" s="99"/>
      <c r="AH1094" s="45"/>
      <c r="AI1094" s="51"/>
      <c r="AJ1094" s="51"/>
      <c r="AK1094" s="99"/>
      <c r="AL1094" s="45"/>
      <c r="AM1094" s="45"/>
      <c r="AN1094" s="45"/>
      <c r="AO1094" s="46"/>
      <c r="AP1094" s="46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</row>
    <row r="1095" spans="1:77" s="111" customFormat="1">
      <c r="A1095" s="41"/>
      <c r="B1095" s="41"/>
      <c r="C1095" s="42"/>
      <c r="D1095" s="42"/>
      <c r="E1095" s="42"/>
      <c r="F1095" s="45"/>
      <c r="G1095" s="41"/>
      <c r="H1095" s="45"/>
      <c r="I1095" s="45"/>
      <c r="J1095" s="47"/>
      <c r="K1095" s="47"/>
      <c r="L1095" s="45"/>
      <c r="M1095" s="45"/>
      <c r="N1095" s="47"/>
      <c r="O1095" s="47"/>
      <c r="P1095" s="45"/>
      <c r="Q1095" s="45"/>
      <c r="R1095" s="45"/>
      <c r="S1095" s="41"/>
      <c r="T1095" s="41"/>
      <c r="U1095" s="41"/>
      <c r="V1095" s="50"/>
      <c r="W1095" s="41"/>
      <c r="X1095" s="41"/>
      <c r="Y1095" s="41"/>
      <c r="Z1095" s="41"/>
      <c r="AA1095" s="50"/>
      <c r="AB1095" s="326"/>
      <c r="AC1095" s="50"/>
      <c r="AD1095" s="50"/>
      <c r="AE1095" s="50"/>
      <c r="AF1095" s="50"/>
      <c r="AH1095" s="50"/>
      <c r="AI1095" s="41"/>
      <c r="AJ1095" s="41"/>
      <c r="AL1095" s="50"/>
      <c r="AM1095" s="50"/>
      <c r="AN1095" s="50"/>
      <c r="AO1095" s="46"/>
      <c r="AP1095" s="46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</row>
    <row r="1096" spans="1:77" s="111" customFormat="1">
      <c r="A1096" s="41"/>
      <c r="B1096" s="41"/>
      <c r="C1096" s="42"/>
      <c r="D1096" s="42"/>
      <c r="E1096" s="42"/>
      <c r="F1096" s="45"/>
      <c r="G1096" s="41"/>
      <c r="H1096" s="45"/>
      <c r="I1096" s="45"/>
      <c r="J1096" s="47"/>
      <c r="K1096" s="47"/>
      <c r="L1096" s="45"/>
      <c r="M1096" s="45"/>
      <c r="N1096" s="47"/>
      <c r="O1096" s="47"/>
      <c r="P1096" s="45"/>
      <c r="Q1096" s="45"/>
      <c r="R1096" s="45"/>
      <c r="S1096" s="41"/>
      <c r="T1096" s="42"/>
      <c r="U1096" s="41"/>
      <c r="V1096" s="45"/>
      <c r="W1096" s="41"/>
      <c r="X1096" s="41"/>
      <c r="Y1096" s="41"/>
      <c r="Z1096" s="41"/>
      <c r="AA1096" s="45"/>
      <c r="AB1096" s="47"/>
      <c r="AC1096" s="45"/>
      <c r="AD1096" s="45"/>
      <c r="AE1096" s="47"/>
      <c r="AF1096" s="47"/>
      <c r="AG1096" s="99"/>
      <c r="AH1096" s="45"/>
      <c r="AI1096" s="51"/>
      <c r="AJ1096" s="51"/>
      <c r="AK1096" s="99"/>
      <c r="AL1096" s="45"/>
      <c r="AM1096" s="45"/>
      <c r="AN1096" s="45"/>
      <c r="AO1096" s="46"/>
      <c r="AP1096" s="46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</row>
    <row r="1097" spans="1:77" s="111" customFormat="1">
      <c r="A1097" s="41"/>
      <c r="B1097" s="41"/>
      <c r="C1097" s="42"/>
      <c r="D1097" s="42"/>
      <c r="E1097" s="42"/>
      <c r="F1097" s="45"/>
      <c r="G1097" s="41"/>
      <c r="H1097" s="45"/>
      <c r="I1097" s="45"/>
      <c r="J1097" s="47"/>
      <c r="K1097" s="47"/>
      <c r="L1097" s="45"/>
      <c r="M1097" s="45"/>
      <c r="N1097" s="47"/>
      <c r="O1097" s="47"/>
      <c r="P1097" s="45"/>
      <c r="Q1097" s="45"/>
      <c r="R1097" s="45"/>
      <c r="S1097" s="41"/>
      <c r="T1097" s="41"/>
      <c r="U1097" s="41"/>
      <c r="V1097" s="45"/>
      <c r="W1097" s="41"/>
      <c r="X1097" s="41"/>
      <c r="Y1097" s="41"/>
      <c r="Z1097" s="41"/>
      <c r="AA1097" s="45"/>
      <c r="AB1097" s="47"/>
      <c r="AC1097" s="45"/>
      <c r="AD1097" s="45"/>
      <c r="AE1097" s="47"/>
      <c r="AF1097" s="47"/>
      <c r="AG1097" s="99"/>
      <c r="AH1097" s="41"/>
      <c r="AI1097" s="51"/>
      <c r="AJ1097" s="51"/>
      <c r="AK1097" s="99"/>
      <c r="AL1097" s="45"/>
      <c r="AM1097" s="45"/>
      <c r="AN1097" s="45"/>
      <c r="AO1097" s="46"/>
      <c r="AP1097" s="46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</row>
    <row r="1098" spans="1:77" s="111" customFormat="1">
      <c r="A1098" s="41"/>
      <c r="B1098" s="41"/>
      <c r="C1098" s="42"/>
      <c r="D1098" s="42"/>
      <c r="E1098" s="42"/>
      <c r="F1098" s="45"/>
      <c r="G1098" s="41"/>
      <c r="H1098" s="45"/>
      <c r="I1098" s="45"/>
      <c r="J1098" s="47"/>
      <c r="K1098" s="47"/>
      <c r="L1098" s="45"/>
      <c r="M1098" s="45"/>
      <c r="N1098" s="47"/>
      <c r="O1098" s="47"/>
      <c r="P1098" s="45"/>
      <c r="Q1098" s="45"/>
      <c r="R1098" s="45"/>
      <c r="S1098" s="41"/>
      <c r="T1098" s="42"/>
      <c r="U1098" s="42"/>
      <c r="V1098" s="45"/>
      <c r="W1098" s="41"/>
      <c r="X1098" s="41"/>
      <c r="Y1098" s="41"/>
      <c r="Z1098" s="41"/>
      <c r="AA1098" s="45"/>
      <c r="AB1098" s="47"/>
      <c r="AC1098" s="45"/>
      <c r="AD1098" s="45"/>
      <c r="AE1098" s="47"/>
      <c r="AF1098" s="47"/>
      <c r="AG1098" s="99"/>
      <c r="AH1098" s="45"/>
      <c r="AI1098" s="51"/>
      <c r="AJ1098" s="51"/>
      <c r="AK1098" s="99"/>
      <c r="AL1098" s="45"/>
      <c r="AM1098" s="45"/>
      <c r="AN1098" s="45"/>
      <c r="AO1098" s="46"/>
      <c r="AP1098" s="46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</row>
    <row r="1099" spans="1:77" s="111" customFormat="1">
      <c r="A1099" s="41"/>
      <c r="B1099" s="41"/>
      <c r="C1099" s="42"/>
      <c r="D1099" s="42"/>
      <c r="E1099" s="42"/>
      <c r="F1099" s="45"/>
      <c r="G1099" s="41"/>
      <c r="H1099" s="45"/>
      <c r="I1099" s="45"/>
      <c r="J1099" s="47"/>
      <c r="K1099" s="47"/>
      <c r="L1099" s="45"/>
      <c r="M1099" s="45"/>
      <c r="N1099" s="47"/>
      <c r="O1099" s="47"/>
      <c r="P1099" s="45"/>
      <c r="Q1099" s="45"/>
      <c r="R1099" s="45"/>
      <c r="S1099" s="41"/>
      <c r="T1099" s="42"/>
      <c r="U1099" s="42"/>
      <c r="V1099" s="45"/>
      <c r="W1099" s="45"/>
      <c r="X1099" s="45"/>
      <c r="Y1099" s="45"/>
      <c r="Z1099" s="45"/>
      <c r="AA1099" s="45"/>
      <c r="AB1099" s="47"/>
      <c r="AC1099" s="45"/>
      <c r="AD1099" s="45"/>
      <c r="AE1099" s="47"/>
      <c r="AF1099" s="47"/>
      <c r="AG1099" s="99"/>
      <c r="AH1099" s="45"/>
      <c r="AI1099" s="51"/>
      <c r="AJ1099" s="51"/>
      <c r="AK1099" s="99"/>
      <c r="AL1099" s="45"/>
      <c r="AM1099" s="45"/>
      <c r="AN1099" s="45"/>
      <c r="AO1099" s="46"/>
      <c r="AP1099" s="46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</row>
    <row r="1100" spans="1:77" s="111" customFormat="1">
      <c r="A1100" s="41"/>
      <c r="B1100" s="41"/>
      <c r="C1100" s="42"/>
      <c r="D1100" s="42"/>
      <c r="E1100" s="42"/>
      <c r="F1100" s="45"/>
      <c r="G1100" s="41"/>
      <c r="H1100" s="45"/>
      <c r="I1100" s="45"/>
      <c r="J1100" s="47"/>
      <c r="K1100" s="47"/>
      <c r="L1100" s="45"/>
      <c r="M1100" s="45"/>
      <c r="N1100" s="47"/>
      <c r="O1100" s="47"/>
      <c r="P1100" s="45"/>
      <c r="Q1100" s="45"/>
      <c r="R1100" s="45"/>
      <c r="S1100" s="41"/>
      <c r="T1100" s="42"/>
      <c r="U1100" s="42"/>
      <c r="V1100" s="45"/>
      <c r="W1100" s="45"/>
      <c r="X1100" s="45"/>
      <c r="Y1100" s="45"/>
      <c r="Z1100" s="45"/>
      <c r="AA1100" s="45"/>
      <c r="AB1100" s="47"/>
      <c r="AC1100" s="45"/>
      <c r="AD1100" s="45"/>
      <c r="AE1100" s="47"/>
      <c r="AF1100" s="47"/>
      <c r="AG1100" s="99"/>
      <c r="AH1100" s="45"/>
      <c r="AI1100" s="51"/>
      <c r="AJ1100" s="51"/>
      <c r="AK1100" s="99"/>
      <c r="AL1100" s="45"/>
      <c r="AM1100" s="45"/>
      <c r="AN1100" s="45"/>
      <c r="AO1100" s="46"/>
      <c r="AP1100" s="46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</row>
    <row r="1101" spans="1:77" s="111" customFormat="1">
      <c r="A1101" s="41"/>
      <c r="B1101" s="41"/>
      <c r="C1101" s="41"/>
      <c r="D1101" s="41"/>
      <c r="E1101" s="41"/>
      <c r="F1101" s="45"/>
      <c r="G1101" s="41"/>
      <c r="H1101" s="50"/>
      <c r="I1101" s="50"/>
      <c r="J1101" s="326"/>
      <c r="K1101" s="326"/>
      <c r="L1101" s="50"/>
      <c r="M1101" s="50"/>
      <c r="N1101" s="50"/>
      <c r="O1101" s="50"/>
      <c r="P1101" s="50"/>
      <c r="Q1101" s="50"/>
      <c r="R1101" s="50"/>
      <c r="S1101" s="41"/>
      <c r="T1101" s="42"/>
      <c r="U1101" s="42"/>
      <c r="V1101" s="45"/>
      <c r="W1101" s="41"/>
      <c r="X1101" s="41"/>
      <c r="Y1101" s="41"/>
      <c r="Z1101" s="41"/>
      <c r="AA1101" s="45"/>
      <c r="AB1101" s="47"/>
      <c r="AC1101" s="45"/>
      <c r="AD1101" s="45"/>
      <c r="AE1101" s="47"/>
      <c r="AF1101" s="47"/>
      <c r="AG1101" s="99"/>
      <c r="AH1101" s="45"/>
      <c r="AI1101" s="51"/>
      <c r="AJ1101" s="51"/>
      <c r="AK1101" s="99"/>
      <c r="AL1101" s="45"/>
      <c r="AM1101" s="45"/>
      <c r="AN1101" s="45"/>
      <c r="AO1101" s="46"/>
      <c r="AP1101" s="46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</row>
    <row r="1102" spans="1:77" s="111" customFormat="1">
      <c r="A1102" s="41"/>
      <c r="B1102" s="41"/>
      <c r="C1102" s="42"/>
      <c r="D1102" s="41"/>
      <c r="E1102" s="41"/>
      <c r="F1102" s="50"/>
      <c r="G1102" s="41"/>
      <c r="H1102" s="45"/>
      <c r="I1102" s="45"/>
      <c r="J1102" s="47"/>
      <c r="K1102" s="47"/>
      <c r="L1102" s="45"/>
      <c r="M1102" s="45"/>
      <c r="N1102" s="47"/>
      <c r="O1102" s="47"/>
      <c r="P1102" s="45"/>
      <c r="Q1102" s="45"/>
      <c r="R1102" s="45"/>
      <c r="S1102" s="41"/>
      <c r="T1102" s="42"/>
      <c r="U1102" s="42"/>
      <c r="V1102" s="45"/>
      <c r="W1102" s="41"/>
      <c r="X1102" s="41"/>
      <c r="Y1102" s="41"/>
      <c r="Z1102" s="41"/>
      <c r="AA1102" s="45"/>
      <c r="AB1102" s="47"/>
      <c r="AC1102" s="45"/>
      <c r="AD1102" s="45"/>
      <c r="AE1102" s="47"/>
      <c r="AF1102" s="47"/>
      <c r="AG1102" s="99"/>
      <c r="AH1102" s="45"/>
      <c r="AI1102" s="51"/>
      <c r="AJ1102" s="51"/>
      <c r="AK1102" s="99"/>
      <c r="AL1102" s="45"/>
      <c r="AM1102" s="45"/>
      <c r="AN1102" s="45"/>
      <c r="AO1102" s="46"/>
      <c r="AP1102" s="46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</row>
    <row r="1103" spans="1:77" s="111" customFormat="1">
      <c r="A1103" s="41"/>
      <c r="B1103" s="41"/>
      <c r="C1103" s="41"/>
      <c r="D1103" s="41"/>
      <c r="E1103" s="41"/>
      <c r="F1103" s="45"/>
      <c r="G1103" s="41"/>
      <c r="H1103" s="45"/>
      <c r="I1103" s="45"/>
      <c r="J1103" s="47"/>
      <c r="K1103" s="47"/>
      <c r="L1103" s="45"/>
      <c r="M1103" s="45"/>
      <c r="N1103" s="47"/>
      <c r="O1103" s="47"/>
      <c r="P1103" s="45"/>
      <c r="Q1103" s="45"/>
      <c r="R1103" s="45"/>
      <c r="S1103" s="41"/>
      <c r="T1103" s="42"/>
      <c r="U1103" s="42"/>
      <c r="V1103" s="45"/>
      <c r="W1103" s="41"/>
      <c r="X1103" s="41"/>
      <c r="Y1103" s="41"/>
      <c r="Z1103" s="41"/>
      <c r="AA1103" s="45"/>
      <c r="AB1103" s="47"/>
      <c r="AC1103" s="45"/>
      <c r="AD1103" s="45"/>
      <c r="AE1103" s="47"/>
      <c r="AF1103" s="47"/>
      <c r="AG1103" s="99"/>
      <c r="AH1103" s="45"/>
      <c r="AI1103" s="51"/>
      <c r="AJ1103" s="51"/>
      <c r="AK1103" s="99"/>
      <c r="AL1103" s="45"/>
      <c r="AM1103" s="45"/>
      <c r="AN1103" s="45"/>
      <c r="AO1103" s="46"/>
      <c r="AP1103" s="46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</row>
    <row r="1104" spans="1:77" s="111" customFormat="1">
      <c r="A1104" s="41"/>
      <c r="B1104" s="41"/>
      <c r="C1104" s="42"/>
      <c r="D1104" s="42"/>
      <c r="E1104" s="42"/>
      <c r="F1104" s="45"/>
      <c r="G1104" s="41"/>
      <c r="H1104" s="45"/>
      <c r="I1104" s="45"/>
      <c r="J1104" s="47"/>
      <c r="K1104" s="47"/>
      <c r="L1104" s="45"/>
      <c r="M1104" s="45"/>
      <c r="N1104" s="47"/>
      <c r="O1104" s="47"/>
      <c r="P1104" s="45"/>
      <c r="Q1104" s="45"/>
      <c r="R1104" s="45"/>
      <c r="S1104" s="41"/>
      <c r="T1104" s="42"/>
      <c r="U1104" s="42"/>
      <c r="V1104" s="45"/>
      <c r="W1104" s="41"/>
      <c r="X1104" s="41"/>
      <c r="Y1104" s="41"/>
      <c r="Z1104" s="41"/>
      <c r="AA1104" s="45"/>
      <c r="AB1104" s="47"/>
      <c r="AC1104" s="45"/>
      <c r="AD1104" s="45"/>
      <c r="AE1104" s="47"/>
      <c r="AF1104" s="47"/>
      <c r="AG1104" s="99"/>
      <c r="AH1104" s="45"/>
      <c r="AI1104" s="51"/>
      <c r="AJ1104" s="51"/>
      <c r="AK1104" s="99"/>
      <c r="AL1104" s="45"/>
      <c r="AM1104" s="45"/>
      <c r="AN1104" s="45"/>
      <c r="AO1104" s="46"/>
      <c r="AP1104" s="46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</row>
    <row r="1105" spans="1:77" s="111" customFormat="1">
      <c r="A1105" s="41"/>
      <c r="B1105" s="41"/>
      <c r="C1105" s="41"/>
      <c r="D1105" s="41"/>
      <c r="E1105" s="41"/>
      <c r="F1105" s="45"/>
      <c r="G1105" s="41"/>
      <c r="H1105" s="50"/>
      <c r="I1105" s="50"/>
      <c r="J1105" s="326"/>
      <c r="K1105" s="326"/>
      <c r="L1105" s="50"/>
      <c r="M1105" s="50"/>
      <c r="N1105" s="50"/>
      <c r="O1105" s="50"/>
      <c r="P1105" s="50"/>
      <c r="Q1105" s="50"/>
      <c r="R1105" s="50"/>
      <c r="S1105" s="41"/>
      <c r="T1105" s="41"/>
      <c r="U1105" s="41"/>
      <c r="V1105" s="50"/>
      <c r="W1105" s="41"/>
      <c r="X1105" s="41"/>
      <c r="Y1105" s="41"/>
      <c r="Z1105" s="41"/>
      <c r="AA1105" s="50"/>
      <c r="AB1105" s="326"/>
      <c r="AC1105" s="50"/>
      <c r="AD1105" s="50"/>
      <c r="AE1105" s="50"/>
      <c r="AF1105" s="50"/>
      <c r="AH1105" s="50"/>
      <c r="AI1105" s="41"/>
      <c r="AJ1105" s="41"/>
      <c r="AL1105" s="50"/>
      <c r="AM1105" s="50"/>
      <c r="AN1105" s="50"/>
      <c r="AO1105" s="46"/>
      <c r="AP1105" s="46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</row>
    <row r="1106" spans="1:77" s="111" customFormat="1">
      <c r="A1106" s="41"/>
      <c r="B1106" s="41"/>
      <c r="C1106" s="42"/>
      <c r="D1106" s="41"/>
      <c r="E1106" s="41"/>
      <c r="F1106" s="50"/>
      <c r="G1106" s="41"/>
      <c r="H1106" s="45"/>
      <c r="I1106" s="45"/>
      <c r="J1106" s="47"/>
      <c r="K1106" s="47"/>
      <c r="L1106" s="45"/>
      <c r="M1106" s="45"/>
      <c r="N1106" s="47"/>
      <c r="O1106" s="47"/>
      <c r="P1106" s="45"/>
      <c r="Q1106" s="45"/>
      <c r="R1106" s="45"/>
      <c r="S1106" s="41"/>
      <c r="T1106" s="42"/>
      <c r="U1106" s="41"/>
      <c r="V1106" s="45"/>
      <c r="W1106" s="41"/>
      <c r="X1106" s="41"/>
      <c r="Y1106" s="41"/>
      <c r="Z1106" s="41"/>
      <c r="AA1106" s="45"/>
      <c r="AB1106" s="47"/>
      <c r="AC1106" s="45"/>
      <c r="AD1106" s="45"/>
      <c r="AE1106" s="47"/>
      <c r="AF1106" s="47"/>
      <c r="AG1106" s="99"/>
      <c r="AH1106" s="45"/>
      <c r="AI1106" s="51"/>
      <c r="AJ1106" s="51"/>
      <c r="AK1106" s="99"/>
      <c r="AL1106" s="45"/>
      <c r="AM1106" s="45"/>
      <c r="AN1106" s="45"/>
      <c r="AO1106" s="46"/>
      <c r="AP1106" s="46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</row>
    <row r="1107" spans="1:77" s="111" customFormat="1">
      <c r="A1107" s="41"/>
      <c r="B1107" s="41"/>
      <c r="C1107" s="41"/>
      <c r="D1107" s="41"/>
      <c r="E1107" s="41"/>
      <c r="F1107" s="45"/>
      <c r="G1107" s="41"/>
      <c r="H1107" s="45"/>
      <c r="I1107" s="45"/>
      <c r="J1107" s="47"/>
      <c r="K1107" s="47"/>
      <c r="L1107" s="45"/>
      <c r="M1107" s="45"/>
      <c r="N1107" s="47"/>
      <c r="O1107" s="47"/>
      <c r="P1107" s="45"/>
      <c r="Q1107" s="45"/>
      <c r="R1107" s="45"/>
      <c r="S1107" s="41"/>
      <c r="T1107" s="41"/>
      <c r="U1107" s="41"/>
      <c r="V1107" s="45"/>
      <c r="W1107" s="41"/>
      <c r="X1107" s="41"/>
      <c r="Y1107" s="41"/>
      <c r="Z1107" s="41"/>
      <c r="AA1107" s="45"/>
      <c r="AB1107" s="326"/>
      <c r="AC1107" s="45"/>
      <c r="AD1107" s="45"/>
      <c r="AE1107" s="45"/>
      <c r="AF1107" s="45"/>
      <c r="AG1107" s="99"/>
      <c r="AH1107" s="45"/>
      <c r="AI1107" s="41"/>
      <c r="AJ1107" s="41"/>
      <c r="AK1107" s="99"/>
      <c r="AL1107" s="45"/>
      <c r="AM1107" s="45"/>
      <c r="AN1107" s="45"/>
      <c r="AO1107" s="46"/>
      <c r="AP1107" s="46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</row>
    <row r="1108" spans="1:77" s="111" customFormat="1">
      <c r="A1108" s="41"/>
      <c r="B1108" s="41"/>
      <c r="C1108" s="42"/>
      <c r="D1108" s="42"/>
      <c r="E1108" s="42"/>
      <c r="F1108" s="45"/>
      <c r="G1108" s="41"/>
      <c r="H1108" s="45"/>
      <c r="I1108" s="45"/>
      <c r="J1108" s="47"/>
      <c r="K1108" s="47"/>
      <c r="L1108" s="45"/>
      <c r="M1108" s="45"/>
      <c r="N1108" s="47"/>
      <c r="O1108" s="47"/>
      <c r="P1108" s="45"/>
      <c r="Q1108" s="45"/>
      <c r="R1108" s="45"/>
      <c r="S1108" s="41"/>
      <c r="T1108" s="42"/>
      <c r="U1108" s="42"/>
      <c r="V1108" s="41"/>
      <c r="W1108" s="41"/>
      <c r="X1108" s="41"/>
      <c r="Y1108" s="41"/>
      <c r="Z1108" s="41"/>
      <c r="AA1108" s="41"/>
      <c r="AB1108" s="41"/>
      <c r="AC1108" s="45"/>
      <c r="AD1108" s="45"/>
      <c r="AE1108" s="47"/>
      <c r="AF1108" s="47"/>
      <c r="AG1108" s="99"/>
      <c r="AH1108" s="45"/>
      <c r="AI1108" s="51"/>
      <c r="AJ1108" s="51"/>
      <c r="AK1108" s="99"/>
      <c r="AL1108" s="41"/>
      <c r="AM1108" s="45"/>
      <c r="AN1108" s="45"/>
      <c r="AO1108" s="46"/>
      <c r="AP1108" s="46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</row>
    <row r="1109" spans="1:77" s="111" customFormat="1">
      <c r="A1109" s="41"/>
      <c r="B1109" s="41"/>
      <c r="C1109" s="42"/>
      <c r="D1109" s="42"/>
      <c r="E1109" s="42"/>
      <c r="F1109" s="45"/>
      <c r="G1109" s="45"/>
      <c r="H1109" s="45"/>
      <c r="I1109" s="45"/>
      <c r="J1109" s="47"/>
      <c r="K1109" s="47"/>
      <c r="L1109" s="45"/>
      <c r="M1109" s="45"/>
      <c r="N1109" s="47"/>
      <c r="O1109" s="47"/>
      <c r="P1109" s="45"/>
      <c r="Q1109" s="45"/>
      <c r="R1109" s="45"/>
      <c r="S1109" s="41"/>
      <c r="T1109" s="41"/>
      <c r="U1109" s="42"/>
      <c r="V1109" s="45"/>
      <c r="W1109" s="41"/>
      <c r="X1109" s="41"/>
      <c r="Y1109" s="41"/>
      <c r="Z1109" s="41"/>
      <c r="AA1109" s="45"/>
      <c r="AB1109" s="47"/>
      <c r="AC1109" s="45"/>
      <c r="AD1109" s="45"/>
      <c r="AE1109" s="47"/>
      <c r="AF1109" s="47"/>
      <c r="AG1109" s="99"/>
      <c r="AH1109" s="45"/>
      <c r="AI1109" s="51"/>
      <c r="AJ1109" s="51"/>
      <c r="AK1109" s="99"/>
      <c r="AL1109" s="45"/>
      <c r="AM1109" s="45"/>
      <c r="AN1109" s="45"/>
      <c r="AO1109" s="46"/>
      <c r="AP1109" s="46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</row>
    <row r="1110" spans="1:77" s="111" customFormat="1">
      <c r="A1110" s="41"/>
      <c r="B1110" s="41"/>
      <c r="C1110" s="42"/>
      <c r="D1110" s="42"/>
      <c r="E1110" s="42"/>
      <c r="F1110" s="45"/>
      <c r="G1110" s="45"/>
      <c r="H1110" s="45"/>
      <c r="I1110" s="45"/>
      <c r="J1110" s="47"/>
      <c r="K1110" s="47"/>
      <c r="L1110" s="45"/>
      <c r="M1110" s="45"/>
      <c r="N1110" s="47"/>
      <c r="O1110" s="47"/>
      <c r="P1110" s="45"/>
      <c r="Q1110" s="45"/>
      <c r="R1110" s="45"/>
      <c r="S1110" s="41"/>
      <c r="T1110" s="41"/>
      <c r="U1110" s="41"/>
      <c r="V1110" s="50"/>
      <c r="W1110" s="41"/>
      <c r="X1110" s="41"/>
      <c r="Y1110" s="41"/>
      <c r="Z1110" s="41"/>
      <c r="AA1110" s="50"/>
      <c r="AB1110" s="326"/>
      <c r="AC1110" s="50"/>
      <c r="AD1110" s="50"/>
      <c r="AE1110" s="50"/>
      <c r="AF1110" s="50"/>
      <c r="AH1110" s="50"/>
      <c r="AI1110" s="41"/>
      <c r="AJ1110" s="41"/>
      <c r="AL1110" s="50"/>
      <c r="AM1110" s="50"/>
      <c r="AN1110" s="50"/>
      <c r="AO1110" s="46"/>
      <c r="AP1110" s="46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</row>
    <row r="1111" spans="1:77" s="111" customFormat="1">
      <c r="A1111" s="41"/>
      <c r="B1111" s="41"/>
      <c r="C1111" s="42"/>
      <c r="D1111" s="42"/>
      <c r="E1111" s="42"/>
      <c r="F1111" s="45"/>
      <c r="G1111" s="41"/>
      <c r="H1111" s="45"/>
      <c r="I1111" s="45"/>
      <c r="J1111" s="47"/>
      <c r="K1111" s="47"/>
      <c r="L1111" s="45"/>
      <c r="M1111" s="45"/>
      <c r="N1111" s="47"/>
      <c r="O1111" s="47"/>
      <c r="P1111" s="45"/>
      <c r="Q1111" s="45"/>
      <c r="R1111" s="45"/>
      <c r="S1111" s="41"/>
      <c r="T1111" s="42"/>
      <c r="U1111" s="41"/>
      <c r="V1111" s="45"/>
      <c r="W1111" s="41"/>
      <c r="X1111" s="41"/>
      <c r="Y1111" s="41"/>
      <c r="Z1111" s="41"/>
      <c r="AA1111" s="45"/>
      <c r="AB1111" s="47"/>
      <c r="AC1111" s="45"/>
      <c r="AD1111" s="45"/>
      <c r="AE1111" s="47"/>
      <c r="AF1111" s="47"/>
      <c r="AG1111" s="99"/>
      <c r="AH1111" s="45"/>
      <c r="AI1111" s="51"/>
      <c r="AJ1111" s="51"/>
      <c r="AK1111" s="99"/>
      <c r="AL1111" s="45"/>
      <c r="AM1111" s="45"/>
      <c r="AN1111" s="45"/>
      <c r="AO1111" s="46"/>
      <c r="AP1111" s="46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</row>
    <row r="1112" spans="1:77" s="111" customFormat="1">
      <c r="A1112" s="41"/>
      <c r="B1112" s="41"/>
      <c r="C1112" s="42"/>
      <c r="D1112" s="42"/>
      <c r="E1112" s="42"/>
      <c r="F1112" s="45"/>
      <c r="G1112" s="41"/>
      <c r="H1112" s="45"/>
      <c r="I1112" s="45"/>
      <c r="J1112" s="47"/>
      <c r="K1112" s="47"/>
      <c r="L1112" s="45"/>
      <c r="M1112" s="45"/>
      <c r="N1112" s="47"/>
      <c r="O1112" s="47"/>
      <c r="P1112" s="45"/>
      <c r="Q1112" s="45"/>
      <c r="R1112" s="45"/>
      <c r="S1112" s="41"/>
      <c r="T1112" s="41"/>
      <c r="U1112" s="41"/>
      <c r="V1112" s="45"/>
      <c r="W1112" s="41"/>
      <c r="X1112" s="41"/>
      <c r="Y1112" s="41"/>
      <c r="Z1112" s="41"/>
      <c r="AA1112" s="45"/>
      <c r="AB1112" s="47"/>
      <c r="AC1112" s="45"/>
      <c r="AD1112" s="45"/>
      <c r="AE1112" s="47"/>
      <c r="AF1112" s="47"/>
      <c r="AG1112" s="99"/>
      <c r="AH1112" s="41"/>
      <c r="AI1112" s="51"/>
      <c r="AJ1112" s="51"/>
      <c r="AK1112" s="99"/>
      <c r="AL1112" s="45"/>
      <c r="AM1112" s="45"/>
      <c r="AN1112" s="45"/>
      <c r="AO1112" s="46"/>
      <c r="AP1112" s="46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</row>
    <row r="1113" spans="1:77" s="111" customFormat="1">
      <c r="A1113" s="41"/>
      <c r="B1113" s="41"/>
      <c r="C1113" s="42"/>
      <c r="D1113" s="42"/>
      <c r="E1113" s="42"/>
      <c r="F1113" s="45"/>
      <c r="G1113" s="41"/>
      <c r="H1113" s="45"/>
      <c r="I1113" s="45"/>
      <c r="J1113" s="47"/>
      <c r="K1113" s="47"/>
      <c r="L1113" s="45"/>
      <c r="M1113" s="45"/>
      <c r="N1113" s="47"/>
      <c r="O1113" s="47"/>
      <c r="P1113" s="45"/>
      <c r="Q1113" s="45"/>
      <c r="R1113" s="45"/>
      <c r="S1113" s="41"/>
      <c r="T1113" s="41"/>
      <c r="U1113" s="42"/>
      <c r="V1113" s="45"/>
      <c r="W1113" s="41"/>
      <c r="X1113" s="41"/>
      <c r="Y1113" s="41"/>
      <c r="Z1113" s="41"/>
      <c r="AA1113" s="45"/>
      <c r="AB1113" s="47"/>
      <c r="AC1113" s="164"/>
      <c r="AD1113" s="164"/>
      <c r="AE1113" s="47"/>
      <c r="AF1113" s="47"/>
      <c r="AG1113" s="99"/>
      <c r="AH1113" s="45"/>
      <c r="AI1113" s="51"/>
      <c r="AJ1113" s="51"/>
      <c r="AK1113" s="99"/>
      <c r="AL1113" s="45"/>
      <c r="AM1113" s="45"/>
      <c r="AN1113" s="45"/>
      <c r="AO1113" s="46"/>
      <c r="AP1113" s="46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</row>
    <row r="1114" spans="1:77" s="111" customFormat="1">
      <c r="A1114" s="41"/>
      <c r="B1114" s="41"/>
      <c r="C1114" s="42"/>
      <c r="D1114" s="42"/>
      <c r="E1114" s="42"/>
      <c r="F1114" s="45"/>
      <c r="G1114" s="41"/>
      <c r="H1114" s="45"/>
      <c r="I1114" s="45"/>
      <c r="J1114" s="47"/>
      <c r="K1114" s="47"/>
      <c r="L1114" s="45"/>
      <c r="M1114" s="45"/>
      <c r="N1114" s="47"/>
      <c r="O1114" s="47"/>
      <c r="P1114" s="45"/>
      <c r="Q1114" s="45"/>
      <c r="R1114" s="45"/>
      <c r="S1114" s="41"/>
      <c r="T1114" s="41"/>
      <c r="U1114" s="42"/>
      <c r="V1114" s="45"/>
      <c r="W1114" s="41"/>
      <c r="X1114" s="41"/>
      <c r="Y1114" s="41"/>
      <c r="Z1114" s="41"/>
      <c r="AA1114" s="45"/>
      <c r="AB1114" s="47"/>
      <c r="AC1114" s="164"/>
      <c r="AD1114" s="164"/>
      <c r="AE1114" s="47"/>
      <c r="AF1114" s="47"/>
      <c r="AG1114" s="99"/>
      <c r="AH1114" s="45"/>
      <c r="AI1114" s="51"/>
      <c r="AJ1114" s="51"/>
      <c r="AK1114" s="99"/>
      <c r="AL1114" s="45"/>
      <c r="AM1114" s="45"/>
      <c r="AN1114" s="45"/>
      <c r="AO1114" s="46"/>
      <c r="AP1114" s="46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</row>
    <row r="1115" spans="1:77" s="111" customFormat="1">
      <c r="A1115" s="41"/>
      <c r="B1115" s="41"/>
      <c r="C1115" s="41"/>
      <c r="D1115" s="41"/>
      <c r="E1115" s="41"/>
      <c r="F1115" s="45"/>
      <c r="G1115" s="41"/>
      <c r="H1115" s="50"/>
      <c r="I1115" s="50"/>
      <c r="J1115" s="326"/>
      <c r="K1115" s="326"/>
      <c r="L1115" s="50"/>
      <c r="M1115" s="50"/>
      <c r="N1115" s="50"/>
      <c r="O1115" s="50"/>
      <c r="P1115" s="50"/>
      <c r="Q1115" s="50"/>
      <c r="R1115" s="50"/>
      <c r="S1115" s="41"/>
      <c r="T1115" s="41"/>
      <c r="U1115" s="42"/>
      <c r="V1115" s="45"/>
      <c r="W1115" s="41"/>
      <c r="X1115" s="41"/>
      <c r="Y1115" s="41"/>
      <c r="Z1115" s="41"/>
      <c r="AA1115" s="45"/>
      <c r="AB1115" s="47"/>
      <c r="AC1115" s="164"/>
      <c r="AD1115" s="164"/>
      <c r="AE1115" s="47"/>
      <c r="AF1115" s="47"/>
      <c r="AG1115" s="99"/>
      <c r="AH1115" s="45"/>
      <c r="AI1115" s="51"/>
      <c r="AJ1115" s="51"/>
      <c r="AK1115" s="99"/>
      <c r="AL1115" s="45"/>
      <c r="AM1115" s="45"/>
      <c r="AN1115" s="45"/>
      <c r="AO1115" s="46"/>
      <c r="AP1115" s="46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</row>
    <row r="1116" spans="1:77" s="111" customFormat="1">
      <c r="A1116" s="41"/>
      <c r="B1116" s="41"/>
      <c r="C1116" s="42"/>
      <c r="D1116" s="41"/>
      <c r="E1116" s="41"/>
      <c r="F1116" s="50"/>
      <c r="G1116" s="41"/>
      <c r="H1116" s="45"/>
      <c r="I1116" s="45"/>
      <c r="J1116" s="47"/>
      <c r="K1116" s="47"/>
      <c r="L1116" s="45"/>
      <c r="M1116" s="45"/>
      <c r="N1116" s="47"/>
      <c r="O1116" s="47"/>
      <c r="P1116" s="45"/>
      <c r="Q1116" s="45"/>
      <c r="R1116" s="45"/>
      <c r="S1116" s="41"/>
      <c r="T1116" s="41"/>
      <c r="U1116" s="41"/>
      <c r="V1116" s="50"/>
      <c r="W1116" s="41"/>
      <c r="X1116" s="41"/>
      <c r="Y1116" s="41"/>
      <c r="Z1116" s="41"/>
      <c r="AA1116" s="50"/>
      <c r="AB1116" s="326"/>
      <c r="AC1116" s="50"/>
      <c r="AD1116" s="50"/>
      <c r="AE1116" s="50"/>
      <c r="AF1116" s="50"/>
      <c r="AH1116" s="50"/>
      <c r="AI1116" s="41"/>
      <c r="AJ1116" s="41"/>
      <c r="AL1116" s="50"/>
      <c r="AM1116" s="50"/>
      <c r="AN1116" s="50"/>
      <c r="AO1116" s="46"/>
      <c r="AP1116" s="46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</row>
    <row r="1117" spans="1:77" s="111" customFormat="1">
      <c r="A1117" s="41"/>
      <c r="B1117" s="41"/>
      <c r="C1117" s="41"/>
      <c r="D1117" s="41"/>
      <c r="E1117" s="41"/>
      <c r="F1117" s="45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2"/>
      <c r="U1117" s="41"/>
      <c r="V1117" s="45"/>
      <c r="W1117" s="41"/>
      <c r="X1117" s="41"/>
      <c r="Y1117" s="41"/>
      <c r="Z1117" s="41"/>
      <c r="AA1117" s="45"/>
      <c r="AB1117" s="47"/>
      <c r="AC1117" s="45"/>
      <c r="AD1117" s="45"/>
      <c r="AE1117" s="47"/>
      <c r="AF1117" s="47"/>
      <c r="AG1117" s="99"/>
      <c r="AH1117" s="45"/>
      <c r="AI1117" s="51"/>
      <c r="AJ1117" s="51"/>
      <c r="AK1117" s="99"/>
      <c r="AL1117" s="45"/>
      <c r="AM1117" s="45"/>
      <c r="AN1117" s="45"/>
      <c r="AO1117" s="46"/>
      <c r="AP1117" s="46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</row>
    <row r="1118" spans="1:77" s="111" customFormat="1">
      <c r="A1118" s="41"/>
      <c r="B1118" s="41"/>
      <c r="C1118" s="42"/>
      <c r="D1118" s="42"/>
      <c r="E1118" s="42"/>
      <c r="F1118" s="41"/>
      <c r="G1118" s="41"/>
      <c r="H1118" s="41"/>
      <c r="I1118" s="41"/>
      <c r="J1118" s="41"/>
      <c r="K1118" s="41"/>
      <c r="L1118" s="45"/>
      <c r="M1118" s="45"/>
      <c r="N1118" s="47"/>
      <c r="O1118" s="47"/>
      <c r="P1118" s="41"/>
      <c r="Q1118" s="41"/>
      <c r="R1118" s="45"/>
      <c r="S1118" s="41"/>
      <c r="T1118" s="41"/>
      <c r="U1118" s="41"/>
      <c r="V1118" s="45"/>
      <c r="W1118" s="41"/>
      <c r="X1118" s="41"/>
      <c r="Y1118" s="41"/>
      <c r="Z1118" s="41"/>
      <c r="AA1118" s="45"/>
      <c r="AB1118" s="47"/>
      <c r="AC1118" s="45"/>
      <c r="AD1118" s="45"/>
      <c r="AE1118" s="47"/>
      <c r="AF1118" s="47"/>
      <c r="AG1118" s="99"/>
      <c r="AH1118" s="41"/>
      <c r="AI1118" s="51"/>
      <c r="AJ1118" s="51"/>
      <c r="AK1118" s="99"/>
      <c r="AL1118" s="45"/>
      <c r="AM1118" s="45"/>
      <c r="AN1118" s="45"/>
      <c r="AO1118" s="46"/>
      <c r="AP1118" s="46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</row>
    <row r="1119" spans="1:77" s="111" customFormat="1">
      <c r="A1119" s="41"/>
      <c r="B1119" s="41"/>
      <c r="C1119" s="41"/>
      <c r="D1119" s="42"/>
      <c r="E1119" s="42"/>
      <c r="F1119" s="41"/>
      <c r="G1119" s="41"/>
      <c r="H1119" s="164"/>
      <c r="I1119" s="164"/>
      <c r="J1119" s="47"/>
      <c r="K1119" s="47"/>
      <c r="L1119" s="45"/>
      <c r="M1119" s="45"/>
      <c r="N1119" s="47"/>
      <c r="O1119" s="47"/>
      <c r="P1119" s="164"/>
      <c r="Q1119" s="164"/>
      <c r="R1119" s="45"/>
      <c r="S1119" s="41"/>
      <c r="T1119" s="42"/>
      <c r="U1119" s="41"/>
      <c r="V1119" s="45"/>
      <c r="W1119" s="41"/>
      <c r="X1119" s="41"/>
      <c r="Y1119" s="41"/>
      <c r="Z1119" s="41"/>
      <c r="AA1119" s="45"/>
      <c r="AB1119" s="47"/>
      <c r="AC1119" s="45"/>
      <c r="AD1119" s="45"/>
      <c r="AE1119" s="47"/>
      <c r="AF1119" s="47"/>
      <c r="AG1119" s="99"/>
      <c r="AH1119" s="45"/>
      <c r="AI1119" s="51"/>
      <c r="AJ1119" s="51"/>
      <c r="AK1119" s="99"/>
      <c r="AL1119" s="45"/>
      <c r="AM1119" s="45"/>
      <c r="AN1119" s="45"/>
      <c r="AO1119" s="46"/>
      <c r="AP1119" s="46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</row>
    <row r="1120" spans="1:77" s="111" customFormat="1">
      <c r="A1120" s="41"/>
      <c r="B1120" s="41"/>
      <c r="C1120" s="41"/>
      <c r="D1120" s="41"/>
      <c r="E1120" s="41"/>
      <c r="F1120" s="164"/>
      <c r="G1120" s="41"/>
      <c r="H1120" s="50"/>
      <c r="I1120" s="50"/>
      <c r="J1120" s="326"/>
      <c r="K1120" s="326"/>
      <c r="L1120" s="50"/>
      <c r="M1120" s="50"/>
      <c r="N1120" s="50"/>
      <c r="O1120" s="50"/>
      <c r="P1120" s="50"/>
      <c r="Q1120" s="50"/>
      <c r="R1120" s="50"/>
      <c r="S1120" s="41"/>
      <c r="T1120" s="41"/>
      <c r="U1120" s="41"/>
      <c r="V1120" s="50"/>
      <c r="W1120" s="41"/>
      <c r="X1120" s="41"/>
      <c r="Y1120" s="41"/>
      <c r="Z1120" s="41"/>
      <c r="AA1120" s="50"/>
      <c r="AB1120" s="326"/>
      <c r="AC1120" s="50"/>
      <c r="AD1120" s="50"/>
      <c r="AE1120" s="50"/>
      <c r="AF1120" s="50"/>
      <c r="AH1120" s="50"/>
      <c r="AI1120" s="41"/>
      <c r="AJ1120" s="41"/>
      <c r="AL1120" s="50"/>
      <c r="AM1120" s="50"/>
      <c r="AN1120" s="50"/>
      <c r="AO1120" s="41"/>
      <c r="AP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</row>
    <row r="1121" spans="1:77" s="111" customFormat="1">
      <c r="A1121" s="41"/>
      <c r="B1121" s="41"/>
      <c r="C1121" s="42"/>
      <c r="D1121" s="41"/>
      <c r="E1121" s="41"/>
      <c r="F1121" s="50"/>
      <c r="G1121" s="41"/>
      <c r="H1121" s="45"/>
      <c r="I1121" s="45"/>
      <c r="J1121" s="47"/>
      <c r="K1121" s="47"/>
      <c r="L1121" s="45"/>
      <c r="M1121" s="45"/>
      <c r="N1121" s="47"/>
      <c r="O1121" s="47"/>
      <c r="P1121" s="45"/>
      <c r="Q1121" s="45"/>
      <c r="R1121" s="45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99"/>
      <c r="AH1121" s="41"/>
      <c r="AI1121" s="41"/>
      <c r="AJ1121" s="41"/>
      <c r="AK1121" s="99"/>
      <c r="AL1121" s="41"/>
      <c r="AM1121" s="41"/>
      <c r="AN1121" s="41"/>
      <c r="AO1121" s="41"/>
      <c r="AP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</row>
    <row r="1122" spans="1:77" s="111" customFormat="1">
      <c r="A1122" s="41"/>
      <c r="B1122" s="41"/>
      <c r="C1122" s="41"/>
      <c r="D1122" s="41"/>
      <c r="E1122" s="41"/>
      <c r="F1122" s="45"/>
      <c r="G1122" s="41"/>
      <c r="H1122" s="45"/>
      <c r="I1122" s="45"/>
      <c r="J1122" s="47"/>
      <c r="K1122" s="47"/>
      <c r="L1122" s="45"/>
      <c r="M1122" s="45"/>
      <c r="N1122" s="47"/>
      <c r="O1122" s="47"/>
      <c r="P1122" s="45"/>
      <c r="Q1122" s="45"/>
      <c r="R1122" s="45"/>
      <c r="S1122" s="41"/>
      <c r="T1122" s="42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99"/>
      <c r="AH1122" s="41"/>
      <c r="AI1122" s="41"/>
      <c r="AJ1122" s="41"/>
      <c r="AK1122" s="99"/>
      <c r="AL1122" s="41"/>
      <c r="AM1122" s="41"/>
      <c r="AN1122" s="41"/>
      <c r="AO1122" s="41"/>
      <c r="AP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</row>
    <row r="1123" spans="1:77" s="111" customFormat="1">
      <c r="A1123" s="41"/>
      <c r="B1123" s="41"/>
      <c r="C1123" s="41"/>
      <c r="D1123" s="42"/>
      <c r="E1123" s="42"/>
      <c r="F1123" s="45"/>
      <c r="G1123" s="41"/>
      <c r="H1123" s="45"/>
      <c r="I1123" s="45"/>
      <c r="J1123" s="47"/>
      <c r="K1123" s="47"/>
      <c r="L1123" s="164"/>
      <c r="M1123" s="164"/>
      <c r="N1123" s="47"/>
      <c r="O1123" s="47"/>
      <c r="P1123" s="45"/>
      <c r="Q1123" s="45"/>
      <c r="R1123" s="45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99"/>
      <c r="AH1123" s="41"/>
      <c r="AI1123" s="41"/>
      <c r="AJ1123" s="41"/>
      <c r="AK1123" s="99"/>
      <c r="AL1123" s="41"/>
      <c r="AM1123" s="41"/>
      <c r="AN1123" s="41"/>
      <c r="AO1123" s="41"/>
      <c r="AP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</row>
    <row r="1124" spans="1:77" s="111" customFormat="1">
      <c r="A1124" s="41"/>
      <c r="B1124" s="41"/>
      <c r="C1124" s="41"/>
      <c r="D1124" s="42"/>
      <c r="E1124" s="42"/>
      <c r="F1124" s="45"/>
      <c r="G1124" s="41"/>
      <c r="H1124" s="45"/>
      <c r="I1124" s="45"/>
      <c r="J1124" s="47"/>
      <c r="K1124" s="47"/>
      <c r="L1124" s="164"/>
      <c r="M1124" s="164"/>
      <c r="N1124" s="47"/>
      <c r="O1124" s="47"/>
      <c r="P1124" s="45"/>
      <c r="Q1124" s="45"/>
      <c r="R1124" s="45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99"/>
      <c r="AH1124" s="41"/>
      <c r="AI1124" s="41"/>
      <c r="AJ1124" s="41"/>
      <c r="AK1124" s="99"/>
      <c r="AL1124" s="41"/>
      <c r="AM1124" s="41"/>
      <c r="AN1124" s="41"/>
      <c r="AO1124" s="41"/>
      <c r="AP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</row>
    <row r="1125" spans="1:77" s="111" customFormat="1">
      <c r="A1125" s="41"/>
      <c r="B1125" s="41"/>
      <c r="C1125" s="41"/>
      <c r="D1125" s="42"/>
      <c r="E1125" s="42"/>
      <c r="F1125" s="45"/>
      <c r="G1125" s="41"/>
      <c r="H1125" s="45"/>
      <c r="I1125" s="45"/>
      <c r="J1125" s="47"/>
      <c r="K1125" s="47"/>
      <c r="L1125" s="164"/>
      <c r="M1125" s="164"/>
      <c r="N1125" s="47"/>
      <c r="O1125" s="47"/>
      <c r="P1125" s="45"/>
      <c r="Q1125" s="45"/>
      <c r="R1125" s="45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99"/>
      <c r="AH1125" s="41"/>
      <c r="AI1125" s="41"/>
      <c r="AJ1125" s="41"/>
      <c r="AK1125" s="99"/>
      <c r="AL1125" s="41"/>
      <c r="AM1125" s="41"/>
      <c r="AN1125" s="41"/>
      <c r="AO1125" s="41"/>
      <c r="AP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</row>
    <row r="1126" spans="1:77" s="111" customFormat="1">
      <c r="A1126" s="41"/>
      <c r="B1126" s="41"/>
      <c r="C1126" s="41"/>
      <c r="D1126" s="41"/>
      <c r="E1126" s="41"/>
      <c r="F1126" s="45"/>
      <c r="G1126" s="41"/>
      <c r="H1126" s="50"/>
      <c r="I1126" s="50"/>
      <c r="J1126" s="326"/>
      <c r="K1126" s="326"/>
      <c r="L1126" s="50"/>
      <c r="M1126" s="50"/>
      <c r="N1126" s="50"/>
      <c r="O1126" s="50"/>
      <c r="P1126" s="50"/>
      <c r="Q1126" s="50"/>
      <c r="R1126" s="50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99"/>
      <c r="AH1126" s="41"/>
      <c r="AI1126" s="41"/>
      <c r="AJ1126" s="41"/>
      <c r="AK1126" s="99"/>
      <c r="AL1126" s="41"/>
      <c r="AM1126" s="41"/>
      <c r="AN1126" s="41"/>
      <c r="AO1126" s="41"/>
      <c r="AP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</row>
    <row r="1127" spans="1:77" s="111" customFormat="1">
      <c r="A1127" s="41"/>
      <c r="B1127" s="41"/>
      <c r="C1127" s="42"/>
      <c r="D1127" s="41"/>
      <c r="E1127" s="41"/>
      <c r="F1127" s="50"/>
      <c r="G1127" s="41"/>
      <c r="H1127" s="45"/>
      <c r="I1127" s="45"/>
      <c r="J1127" s="47"/>
      <c r="K1127" s="47"/>
      <c r="L1127" s="45"/>
      <c r="M1127" s="45"/>
      <c r="N1127" s="47"/>
      <c r="O1127" s="47"/>
      <c r="P1127" s="45"/>
      <c r="Q1127" s="45"/>
      <c r="R1127" s="45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99"/>
      <c r="AH1127" s="41"/>
      <c r="AI1127" s="41"/>
      <c r="AJ1127" s="41"/>
      <c r="AK1127" s="99"/>
      <c r="AL1127" s="41"/>
      <c r="AM1127" s="41"/>
      <c r="AN1127" s="41"/>
      <c r="AO1127" s="41"/>
      <c r="AP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</row>
    <row r="1128" spans="1:77" s="111" customFormat="1">
      <c r="A1128" s="41"/>
      <c r="B1128" s="41"/>
      <c r="C1128" s="41"/>
      <c r="D1128" s="41"/>
      <c r="E1128" s="41"/>
      <c r="F1128" s="45"/>
      <c r="G1128" s="41"/>
      <c r="H1128" s="45"/>
      <c r="I1128" s="45"/>
      <c r="J1128" s="47"/>
      <c r="K1128" s="47"/>
      <c r="L1128" s="45"/>
      <c r="M1128" s="45"/>
      <c r="N1128" s="47"/>
      <c r="O1128" s="47"/>
      <c r="P1128" s="45"/>
      <c r="Q1128" s="45"/>
      <c r="R1128" s="45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99"/>
      <c r="AH1128" s="41"/>
      <c r="AI1128" s="41"/>
      <c r="AJ1128" s="41"/>
      <c r="AK1128" s="99"/>
      <c r="AL1128" s="41"/>
      <c r="AM1128" s="41"/>
      <c r="AN1128" s="41"/>
      <c r="AO1128" s="41"/>
      <c r="AP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</row>
    <row r="1129" spans="1:77" s="111" customFormat="1">
      <c r="A1129" s="41"/>
      <c r="B1129" s="41"/>
      <c r="C1129" s="42"/>
      <c r="D1129" s="41"/>
      <c r="E1129" s="41"/>
      <c r="F1129" s="45"/>
      <c r="G1129" s="41"/>
      <c r="H1129" s="45"/>
      <c r="I1129" s="45"/>
      <c r="J1129" s="47"/>
      <c r="K1129" s="47"/>
      <c r="L1129" s="45"/>
      <c r="M1129" s="45"/>
      <c r="N1129" s="47"/>
      <c r="O1129" s="47"/>
      <c r="P1129" s="45"/>
      <c r="Q1129" s="45"/>
      <c r="R1129" s="45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99"/>
      <c r="AH1129" s="41"/>
      <c r="AI1129" s="41"/>
      <c r="AJ1129" s="41"/>
      <c r="AK1129" s="99"/>
      <c r="AL1129" s="41"/>
      <c r="AM1129" s="41"/>
      <c r="AN1129" s="41"/>
      <c r="AO1129" s="41"/>
      <c r="AP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</row>
    <row r="1130" spans="1:77" s="111" customFormat="1">
      <c r="A1130" s="41"/>
      <c r="B1130" s="41"/>
      <c r="C1130" s="41"/>
      <c r="D1130" s="41"/>
      <c r="E1130" s="41"/>
      <c r="F1130" s="45"/>
      <c r="G1130" s="41"/>
      <c r="H1130" s="50"/>
      <c r="I1130" s="50"/>
      <c r="J1130" s="326"/>
      <c r="K1130" s="326"/>
      <c r="L1130" s="50"/>
      <c r="M1130" s="50"/>
      <c r="N1130" s="50"/>
      <c r="O1130" s="50"/>
      <c r="P1130" s="50"/>
      <c r="Q1130" s="50"/>
      <c r="R1130" s="50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99"/>
      <c r="AH1130" s="41"/>
      <c r="AI1130" s="41"/>
      <c r="AJ1130" s="41"/>
      <c r="AK1130" s="99"/>
      <c r="AL1130" s="41"/>
      <c r="AM1130" s="41"/>
      <c r="AN1130" s="41"/>
      <c r="AO1130" s="41"/>
      <c r="AP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</row>
    <row r="1132" spans="1:77">
      <c r="C1132" s="42"/>
      <c r="F1132" s="50"/>
      <c r="L1132" s="45"/>
      <c r="M1132" s="45"/>
      <c r="P1132" s="45"/>
      <c r="Q1132" s="45"/>
      <c r="R1132" s="45"/>
    </row>
    <row r="1133" spans="1:77">
      <c r="A1133" s="42"/>
      <c r="L1133" s="45"/>
      <c r="M1133" s="45"/>
      <c r="P1133" s="45"/>
      <c r="Q1133" s="45"/>
      <c r="R1133" s="45"/>
    </row>
    <row r="1134" spans="1:77">
      <c r="L1134" s="45"/>
      <c r="M1134" s="45"/>
      <c r="P1134" s="45"/>
      <c r="Q1134" s="45"/>
      <c r="R1134" s="45"/>
    </row>
    <row r="1135" spans="1:77">
      <c r="L1135" s="45"/>
      <c r="M1135" s="45"/>
      <c r="P1135" s="45"/>
      <c r="Q1135" s="45"/>
      <c r="R1135" s="45"/>
    </row>
    <row r="1136" spans="1:77">
      <c r="L1136" s="45"/>
      <c r="M1136" s="45"/>
      <c r="P1136" s="45"/>
      <c r="Q1136" s="45"/>
      <c r="R1136" s="45"/>
    </row>
    <row r="1137" spans="12:18">
      <c r="L1137" s="45"/>
      <c r="M1137" s="45"/>
      <c r="P1137" s="45"/>
      <c r="Q1137" s="45"/>
      <c r="R1137" s="45"/>
    </row>
    <row r="1138" spans="12:18">
      <c r="L1138" s="45"/>
      <c r="M1138" s="45"/>
      <c r="P1138" s="45"/>
      <c r="Q1138" s="45"/>
      <c r="R1138" s="45"/>
    </row>
    <row r="1171" spans="51:51">
      <c r="AY1171" s="45"/>
    </row>
    <row r="1172" spans="51:51">
      <c r="AY1172" s="45"/>
    </row>
    <row r="1173" spans="51:51">
      <c r="AY1173" s="45"/>
    </row>
    <row r="1174" spans="51:51">
      <c r="AY1174" s="45"/>
    </row>
    <row r="1175" spans="51:51">
      <c r="AY1175" s="45"/>
    </row>
    <row r="1176" spans="51:51">
      <c r="AY1176" s="45"/>
    </row>
    <row r="1179" spans="51:51">
      <c r="AY1179" s="45"/>
    </row>
    <row r="1180" spans="51:51">
      <c r="AY1180" s="45"/>
    </row>
    <row r="1181" spans="51:51">
      <c r="AY1181" s="45"/>
    </row>
    <row r="1182" spans="51:51">
      <c r="AY1182" s="45"/>
    </row>
    <row r="1183" spans="51:51">
      <c r="AY1183" s="45"/>
    </row>
    <row r="1184" spans="51:51">
      <c r="AY1184" s="45"/>
    </row>
    <row r="1185" spans="51:51">
      <c r="AY1185" s="45"/>
    </row>
    <row r="1186" spans="51:51">
      <c r="AY1186" s="45"/>
    </row>
    <row r="1189" spans="51:51">
      <c r="AY1189" s="45"/>
    </row>
    <row r="1190" spans="51:51">
      <c r="AY1190" s="45"/>
    </row>
    <row r="1193" spans="51:51">
      <c r="AY1193" s="45"/>
    </row>
    <row r="1194" spans="51:51">
      <c r="AY1194" s="45"/>
    </row>
    <row r="1195" spans="51:51">
      <c r="AY1195" s="45"/>
    </row>
    <row r="1196" spans="51:51">
      <c r="AY1196" s="45"/>
    </row>
    <row r="1204" spans="47:71">
      <c r="BA1204" s="42"/>
    </row>
    <row r="1205" spans="47:71">
      <c r="BA1205" s="42"/>
    </row>
    <row r="1206" spans="47:71">
      <c r="BF1206" s="42"/>
    </row>
    <row r="1207" spans="47:71">
      <c r="BF1207" s="42"/>
    </row>
    <row r="1208" spans="47:71">
      <c r="AU1208" s="42"/>
      <c r="BF1208" s="42"/>
    </row>
    <row r="1210" spans="47:71">
      <c r="AU1210" s="49"/>
      <c r="AV1210" s="49"/>
      <c r="AW1210" s="49"/>
      <c r="AX1210" s="49"/>
      <c r="AY1210" s="49"/>
      <c r="AZ1210" s="49"/>
      <c r="BA1210" s="49"/>
      <c r="BB1210" s="49"/>
      <c r="BC1210" s="49"/>
      <c r="BD1210" s="49"/>
      <c r="BE1210" s="49"/>
      <c r="BF1210" s="49"/>
      <c r="BG1210" s="49"/>
    </row>
    <row r="1211" spans="47:71">
      <c r="AZ1211" s="42"/>
    </row>
    <row r="1212" spans="47:71">
      <c r="AZ1212" s="49"/>
      <c r="BA1212" s="49"/>
      <c r="BB1212" s="49"/>
      <c r="BC1212" s="49"/>
      <c r="BE1212" s="44"/>
      <c r="BF1212" s="44"/>
    </row>
    <row r="1213" spans="47:71">
      <c r="AX1213" s="44"/>
      <c r="AY1213" s="44"/>
      <c r="BB1213" s="44"/>
      <c r="BC1213" s="44"/>
      <c r="BE1213" s="44"/>
      <c r="BF1213" s="44"/>
      <c r="BG1213" s="44"/>
      <c r="BI1213" s="49"/>
      <c r="BJ1213" s="42"/>
      <c r="BM1213" s="49"/>
      <c r="BO1213" s="49"/>
      <c r="BP1213" s="42"/>
      <c r="BS1213" s="49"/>
    </row>
    <row r="1214" spans="47:71"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J1214" s="44"/>
      <c r="BK1214" s="44"/>
      <c r="BL1214" s="44"/>
      <c r="BP1214" s="44"/>
      <c r="BQ1214" s="44"/>
      <c r="BR1214" s="44"/>
    </row>
    <row r="1215" spans="47:71">
      <c r="AU1215" s="44"/>
      <c r="AW1215" s="42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I1215" s="44"/>
      <c r="BJ1215" s="44"/>
      <c r="BK1215" s="44"/>
      <c r="BL1215" s="44"/>
      <c r="BM1215" s="44"/>
      <c r="BO1215" s="44"/>
      <c r="BP1215" s="44"/>
      <c r="BQ1215" s="44"/>
      <c r="BR1215" s="44"/>
      <c r="BS1215" s="44"/>
    </row>
    <row r="1216" spans="47:71">
      <c r="AU1216" s="44"/>
      <c r="AW1216" s="42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I1216" s="44"/>
      <c r="BJ1216" s="44"/>
      <c r="BK1216" s="44"/>
      <c r="BL1216" s="44"/>
      <c r="BM1216" s="44"/>
      <c r="BO1216" s="44"/>
      <c r="BP1216" s="44"/>
      <c r="BQ1216" s="44"/>
      <c r="BR1216" s="44"/>
      <c r="BS1216" s="44"/>
    </row>
    <row r="1217" spans="47:71">
      <c r="AU1217" s="49"/>
      <c r="AV1217" s="49"/>
      <c r="AW1217" s="49"/>
      <c r="AX1217" s="49"/>
      <c r="AY1217" s="49"/>
      <c r="AZ1217" s="49"/>
      <c r="BA1217" s="49"/>
      <c r="BB1217" s="49"/>
      <c r="BC1217" s="49"/>
      <c r="BD1217" s="49"/>
      <c r="BE1217" s="49"/>
      <c r="BF1217" s="49"/>
      <c r="BG1217" s="49"/>
      <c r="BI1217" s="49"/>
      <c r="BJ1217" s="49"/>
      <c r="BK1217" s="49"/>
      <c r="BL1217" s="49"/>
      <c r="BM1217" s="49"/>
      <c r="BO1217" s="49"/>
      <c r="BP1217" s="49"/>
      <c r="BQ1217" s="49"/>
      <c r="BR1217" s="49"/>
      <c r="BS1217" s="49"/>
    </row>
    <row r="1218" spans="47:71"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</row>
    <row r="1219" spans="47:71">
      <c r="AW1219" s="42"/>
      <c r="AX1219" s="44"/>
      <c r="BA1219" s="47"/>
    </row>
    <row r="1220" spans="47:71">
      <c r="AX1220" s="44"/>
      <c r="AY1220" s="45"/>
      <c r="AZ1220" s="56"/>
      <c r="BA1220" s="56"/>
      <c r="BB1220" s="56"/>
      <c r="BC1220" s="46"/>
      <c r="BD1220" s="56"/>
      <c r="BE1220" s="47"/>
      <c r="BF1220" s="47"/>
      <c r="BG1220" s="46"/>
      <c r="BI1220" s="56"/>
      <c r="BJ1220" s="56"/>
      <c r="BK1220" s="56"/>
      <c r="BL1220" s="56"/>
      <c r="BM1220" s="56"/>
      <c r="BO1220" s="56"/>
      <c r="BP1220" s="56"/>
      <c r="BQ1220" s="56"/>
      <c r="BR1220" s="56"/>
      <c r="BS1220" s="56"/>
    </row>
    <row r="1221" spans="47:71">
      <c r="AX1221" s="44"/>
      <c r="AY1221" s="45"/>
      <c r="AZ1221" s="56"/>
      <c r="BA1221" s="56"/>
      <c r="BB1221" s="56"/>
      <c r="BC1221" s="46"/>
      <c r="BD1221" s="56"/>
      <c r="BE1221" s="47"/>
      <c r="BF1221" s="47"/>
      <c r="BG1221" s="46"/>
      <c r="BI1221" s="56"/>
      <c r="BJ1221" s="56"/>
      <c r="BK1221" s="56"/>
      <c r="BL1221" s="56"/>
      <c r="BM1221" s="56"/>
      <c r="BO1221" s="56"/>
      <c r="BP1221" s="56"/>
      <c r="BQ1221" s="56"/>
      <c r="BR1221" s="56"/>
      <c r="BS1221" s="56"/>
    </row>
    <row r="1222" spans="47:71">
      <c r="AX1222" s="44"/>
      <c r="AY1222" s="45"/>
      <c r="AZ1222" s="56"/>
      <c r="BA1222" s="56"/>
      <c r="BB1222" s="56"/>
      <c r="BC1222" s="46"/>
      <c r="BD1222" s="56"/>
      <c r="BE1222" s="47"/>
      <c r="BF1222" s="47"/>
      <c r="BG1222" s="46"/>
      <c r="BI1222" s="56"/>
      <c r="BJ1222" s="56"/>
      <c r="BK1222" s="56"/>
      <c r="BL1222" s="56"/>
      <c r="BM1222" s="56"/>
      <c r="BO1222" s="56"/>
      <c r="BP1222" s="56"/>
      <c r="BQ1222" s="56"/>
      <c r="BR1222" s="56"/>
      <c r="BS1222" s="56"/>
    </row>
    <row r="1223" spans="47:71">
      <c r="AX1223" s="44"/>
      <c r="AY1223" s="45"/>
      <c r="AZ1223" s="56"/>
      <c r="BA1223" s="56"/>
      <c r="BB1223" s="56"/>
      <c r="BC1223" s="46"/>
      <c r="BD1223" s="56"/>
      <c r="BE1223" s="47"/>
      <c r="BF1223" s="47"/>
      <c r="BG1223" s="46"/>
      <c r="BI1223" s="56"/>
      <c r="BJ1223" s="56"/>
      <c r="BK1223" s="56"/>
      <c r="BL1223" s="56"/>
      <c r="BM1223" s="56"/>
      <c r="BO1223" s="56"/>
      <c r="BP1223" s="56"/>
      <c r="BQ1223" s="56"/>
      <c r="BR1223" s="56"/>
      <c r="BS1223" s="56"/>
    </row>
    <row r="1224" spans="47:71">
      <c r="AX1224" s="44"/>
      <c r="AY1224" s="45"/>
      <c r="AZ1224" s="56"/>
      <c r="BA1224" s="56"/>
      <c r="BB1224" s="56"/>
      <c r="BC1224" s="46"/>
      <c r="BD1224" s="56"/>
      <c r="BE1224" s="47"/>
      <c r="BF1224" s="47"/>
      <c r="BG1224" s="46"/>
      <c r="BI1224" s="56"/>
      <c r="BJ1224" s="56"/>
      <c r="BK1224" s="56"/>
      <c r="BL1224" s="56"/>
      <c r="BM1224" s="56"/>
      <c r="BO1224" s="56"/>
      <c r="BP1224" s="56"/>
      <c r="BQ1224" s="56"/>
      <c r="BR1224" s="56"/>
      <c r="BS1224" s="56"/>
    </row>
    <row r="1225" spans="47:71">
      <c r="AX1225" s="44"/>
      <c r="AY1225" s="45"/>
      <c r="AZ1225" s="56"/>
      <c r="BA1225" s="56"/>
      <c r="BB1225" s="56"/>
      <c r="BC1225" s="46"/>
      <c r="BD1225" s="56"/>
      <c r="BE1225" s="47"/>
      <c r="BF1225" s="47"/>
      <c r="BG1225" s="46"/>
      <c r="BI1225" s="56"/>
      <c r="BJ1225" s="56"/>
      <c r="BK1225" s="56"/>
      <c r="BL1225" s="56"/>
      <c r="BM1225" s="56"/>
      <c r="BO1225" s="56"/>
      <c r="BP1225" s="56"/>
      <c r="BQ1225" s="56"/>
      <c r="BR1225" s="56"/>
      <c r="BS1225" s="56"/>
    </row>
    <row r="1226" spans="47:71">
      <c r="AX1226" s="44"/>
      <c r="AY1226" s="45"/>
      <c r="AZ1226" s="56"/>
      <c r="BA1226" s="56"/>
      <c r="BB1226" s="56"/>
      <c r="BC1226" s="46"/>
      <c r="BD1226" s="56"/>
      <c r="BE1226" s="47"/>
      <c r="BF1226" s="47"/>
      <c r="BG1226" s="46"/>
      <c r="BI1226" s="56"/>
      <c r="BJ1226" s="56"/>
      <c r="BK1226" s="56"/>
      <c r="BL1226" s="56"/>
      <c r="BM1226" s="56"/>
      <c r="BO1226" s="56"/>
      <c r="BP1226" s="56"/>
      <c r="BQ1226" s="56"/>
      <c r="BR1226" s="56"/>
      <c r="BS1226" s="56"/>
    </row>
    <row r="1227" spans="47:71">
      <c r="BA1227" s="47"/>
      <c r="BB1227" s="56"/>
      <c r="BC1227" s="46"/>
      <c r="BD1227" s="56"/>
      <c r="BE1227" s="47"/>
      <c r="BF1227" s="47"/>
      <c r="BG1227" s="46"/>
      <c r="BM1227" s="56"/>
      <c r="BS1227" s="56"/>
    </row>
    <row r="1228" spans="47:71">
      <c r="AX1228" s="44"/>
      <c r="BA1228" s="47"/>
      <c r="BB1228" s="56"/>
      <c r="BC1228" s="46"/>
      <c r="BD1228" s="56"/>
      <c r="BE1228" s="47"/>
      <c r="BF1228" s="47"/>
      <c r="BG1228" s="46"/>
      <c r="BM1228" s="56"/>
      <c r="BS1228" s="56"/>
    </row>
    <row r="1229" spans="47:71">
      <c r="AX1229" s="44"/>
      <c r="AY1229" s="45"/>
      <c r="AZ1229" s="56"/>
      <c r="BA1229" s="56"/>
      <c r="BB1229" s="56"/>
      <c r="BC1229" s="46"/>
      <c r="BD1229" s="56"/>
      <c r="BE1229" s="47"/>
      <c r="BF1229" s="47"/>
      <c r="BG1229" s="46"/>
      <c r="BI1229" s="56"/>
      <c r="BJ1229" s="56"/>
      <c r="BK1229" s="56"/>
      <c r="BL1229" s="56"/>
      <c r="BM1229" s="56"/>
      <c r="BO1229" s="56"/>
      <c r="BP1229" s="56"/>
      <c r="BQ1229" s="56"/>
      <c r="BR1229" s="56"/>
      <c r="BS1229" s="56"/>
    </row>
    <row r="1230" spans="47:71">
      <c r="AX1230" s="44"/>
      <c r="AY1230" s="45"/>
      <c r="AZ1230" s="56"/>
      <c r="BA1230" s="56"/>
      <c r="BB1230" s="56"/>
      <c r="BC1230" s="46"/>
      <c r="BD1230" s="56"/>
      <c r="BE1230" s="47"/>
      <c r="BF1230" s="47"/>
      <c r="BG1230" s="46"/>
      <c r="BI1230" s="56"/>
      <c r="BJ1230" s="56"/>
      <c r="BK1230" s="56"/>
      <c r="BL1230" s="56"/>
      <c r="BM1230" s="56"/>
      <c r="BO1230" s="56"/>
      <c r="BP1230" s="56"/>
      <c r="BQ1230" s="56"/>
      <c r="BR1230" s="56"/>
      <c r="BS1230" s="56"/>
    </row>
    <row r="1231" spans="47:71">
      <c r="AX1231" s="44"/>
      <c r="AY1231" s="45"/>
      <c r="AZ1231" s="56"/>
      <c r="BA1231" s="56"/>
      <c r="BB1231" s="56"/>
      <c r="BC1231" s="46"/>
      <c r="BD1231" s="56"/>
      <c r="BE1231" s="47"/>
      <c r="BF1231" s="47"/>
      <c r="BG1231" s="46"/>
      <c r="BI1231" s="56"/>
      <c r="BJ1231" s="56"/>
      <c r="BK1231" s="56"/>
      <c r="BL1231" s="56"/>
      <c r="BM1231" s="56"/>
      <c r="BO1231" s="56"/>
      <c r="BP1231" s="56"/>
      <c r="BQ1231" s="56"/>
      <c r="BR1231" s="56"/>
      <c r="BS1231" s="56"/>
    </row>
    <row r="1232" spans="47:71">
      <c r="AX1232" s="44"/>
      <c r="AY1232" s="45"/>
      <c r="AZ1232" s="56"/>
      <c r="BA1232" s="56"/>
      <c r="BB1232" s="56"/>
      <c r="BC1232" s="46"/>
      <c r="BD1232" s="56"/>
      <c r="BE1232" s="47"/>
      <c r="BF1232" s="47"/>
      <c r="BG1232" s="46"/>
      <c r="BI1232" s="56"/>
      <c r="BJ1232" s="56"/>
      <c r="BK1232" s="56"/>
      <c r="BL1232" s="56"/>
      <c r="BM1232" s="56"/>
      <c r="BO1232" s="56"/>
      <c r="BP1232" s="56"/>
      <c r="BQ1232" s="56"/>
      <c r="BR1232" s="56"/>
      <c r="BS1232" s="56"/>
    </row>
    <row r="1233" spans="47:71">
      <c r="AX1233" s="44"/>
      <c r="AY1233" s="45"/>
      <c r="AZ1233" s="56"/>
      <c r="BA1233" s="56"/>
      <c r="BB1233" s="56"/>
      <c r="BC1233" s="46"/>
      <c r="BD1233" s="56"/>
      <c r="BE1233" s="47"/>
      <c r="BF1233" s="47"/>
      <c r="BG1233" s="46"/>
      <c r="BI1233" s="56"/>
      <c r="BJ1233" s="56"/>
      <c r="BK1233" s="56"/>
      <c r="BL1233" s="56"/>
      <c r="BM1233" s="56"/>
      <c r="BO1233" s="56"/>
      <c r="BP1233" s="56"/>
      <c r="BQ1233" s="56"/>
      <c r="BR1233" s="56"/>
      <c r="BS1233" s="56"/>
    </row>
    <row r="1234" spans="47:71">
      <c r="AX1234" s="44"/>
      <c r="AY1234" s="45"/>
      <c r="AZ1234" s="56"/>
      <c r="BA1234" s="56"/>
      <c r="BB1234" s="56"/>
      <c r="BC1234" s="46"/>
      <c r="BD1234" s="56"/>
      <c r="BE1234" s="47"/>
      <c r="BF1234" s="47"/>
      <c r="BG1234" s="46"/>
      <c r="BI1234" s="56"/>
      <c r="BJ1234" s="56"/>
      <c r="BK1234" s="56"/>
      <c r="BL1234" s="56"/>
      <c r="BM1234" s="56"/>
      <c r="BO1234" s="56"/>
      <c r="BP1234" s="56"/>
      <c r="BQ1234" s="56"/>
      <c r="BR1234" s="56"/>
      <c r="BS1234" s="56"/>
    </row>
    <row r="1235" spans="47:71">
      <c r="AX1235" s="44"/>
      <c r="AY1235" s="45"/>
      <c r="AZ1235" s="56"/>
      <c r="BA1235" s="56"/>
      <c r="BB1235" s="56"/>
      <c r="BC1235" s="46"/>
      <c r="BD1235" s="56"/>
      <c r="BE1235" s="47"/>
      <c r="BF1235" s="47"/>
      <c r="BG1235" s="46"/>
      <c r="BI1235" s="56"/>
      <c r="BJ1235" s="56"/>
      <c r="BK1235" s="56"/>
      <c r="BL1235" s="56"/>
      <c r="BM1235" s="56"/>
      <c r="BO1235" s="56"/>
      <c r="BP1235" s="56"/>
      <c r="BQ1235" s="56"/>
      <c r="BR1235" s="56"/>
      <c r="BS1235" s="56"/>
    </row>
    <row r="1236" spans="47:71">
      <c r="AX1236" s="44"/>
      <c r="AY1236" s="45"/>
      <c r="AZ1236" s="56"/>
      <c r="BA1236" s="56"/>
      <c r="BB1236" s="56"/>
      <c r="BC1236" s="46"/>
      <c r="BD1236" s="56"/>
      <c r="BE1236" s="47"/>
      <c r="BF1236" s="47"/>
      <c r="BG1236" s="46"/>
      <c r="BI1236" s="56"/>
      <c r="BJ1236" s="56"/>
      <c r="BK1236" s="56"/>
      <c r="BL1236" s="56"/>
      <c r="BM1236" s="56"/>
      <c r="BO1236" s="56"/>
      <c r="BP1236" s="56"/>
      <c r="BQ1236" s="56"/>
      <c r="BR1236" s="56"/>
      <c r="BS1236" s="56"/>
    </row>
    <row r="1237" spans="47:71">
      <c r="BA1237" s="47"/>
      <c r="BB1237" s="56"/>
      <c r="BC1237" s="46"/>
      <c r="BD1237" s="56"/>
      <c r="BE1237" s="47"/>
      <c r="BF1237" s="47"/>
      <c r="BG1237" s="46"/>
      <c r="BM1237" s="56"/>
      <c r="BS1237" s="56"/>
    </row>
    <row r="1238" spans="47:71">
      <c r="AW1238" s="42"/>
      <c r="BB1238" s="56"/>
      <c r="BD1238" s="56"/>
      <c r="BI1238" s="56"/>
      <c r="BJ1238" s="56"/>
      <c r="BL1238" s="56"/>
      <c r="BM1238" s="56"/>
    </row>
    <row r="1239" spans="47:71">
      <c r="BB1239" s="56"/>
      <c r="BD1239" s="56"/>
    </row>
    <row r="1240" spans="47:71">
      <c r="AU1240" s="42"/>
      <c r="BB1240" s="56"/>
      <c r="BD1240" s="56"/>
      <c r="BK1240" s="56"/>
    </row>
    <row r="1241" spans="47:71">
      <c r="BB1241" s="56"/>
      <c r="BD1241" s="56"/>
    </row>
    <row r="1242" spans="47:71">
      <c r="BA1242" s="56"/>
      <c r="BD1242" s="56"/>
    </row>
    <row r="1243" spans="47:71">
      <c r="BA1243" s="42"/>
      <c r="BB1243" s="56"/>
      <c r="BD1243" s="56"/>
    </row>
    <row r="1244" spans="47:71">
      <c r="BA1244" s="42"/>
      <c r="BB1244" s="56"/>
      <c r="BD1244" s="56"/>
    </row>
    <row r="1245" spans="47:71">
      <c r="BB1245" s="56"/>
      <c r="BD1245" s="56"/>
      <c r="BF1245" s="42"/>
    </row>
    <row r="1246" spans="47:71">
      <c r="BB1246" s="56"/>
      <c r="BD1246" s="56"/>
      <c r="BF1246" s="42"/>
    </row>
    <row r="1247" spans="47:71">
      <c r="AU1247" s="42"/>
      <c r="BB1247" s="56"/>
      <c r="BD1247" s="56"/>
      <c r="BF1247" s="42"/>
    </row>
    <row r="1248" spans="47:71">
      <c r="BB1248" s="56"/>
      <c r="BD1248" s="56"/>
    </row>
    <row r="1249" spans="47:77">
      <c r="AU1249" s="49"/>
      <c r="AV1249" s="49"/>
      <c r="AW1249" s="49"/>
      <c r="AX1249" s="49"/>
      <c r="AY1249" s="49"/>
      <c r="AZ1249" s="49"/>
      <c r="BA1249" s="49"/>
      <c r="BB1249" s="57"/>
      <c r="BC1249" s="49"/>
      <c r="BD1249" s="57"/>
      <c r="BE1249" s="49"/>
      <c r="BF1249" s="49"/>
      <c r="BG1249" s="49"/>
    </row>
    <row r="1250" spans="47:77">
      <c r="AZ1250" s="42"/>
      <c r="BB1250" s="56"/>
      <c r="BD1250" s="56"/>
    </row>
    <row r="1251" spans="47:77">
      <c r="AZ1251" s="49"/>
      <c r="BA1251" s="49"/>
      <c r="BB1251" s="57"/>
      <c r="BC1251" s="49"/>
      <c r="BD1251" s="56"/>
      <c r="BE1251" s="44"/>
      <c r="BF1251" s="44"/>
    </row>
    <row r="1252" spans="47:77">
      <c r="AX1252" s="44"/>
      <c r="AY1252" s="44"/>
      <c r="BB1252" s="58"/>
      <c r="BC1252" s="44"/>
      <c r="BD1252" s="56"/>
      <c r="BE1252" s="44"/>
      <c r="BF1252" s="44"/>
      <c r="BG1252" s="44"/>
      <c r="BI1252" s="49"/>
      <c r="BJ1252" s="49"/>
      <c r="BK1252" s="42"/>
      <c r="BO1252" s="49"/>
      <c r="BP1252" s="49"/>
      <c r="BR1252" s="49"/>
      <c r="BS1252" s="49"/>
      <c r="BT1252" s="42"/>
      <c r="BX1252" s="49"/>
      <c r="BY1252" s="49"/>
    </row>
    <row r="1253" spans="47:77">
      <c r="AX1253" s="44"/>
      <c r="AY1253" s="44"/>
      <c r="AZ1253" s="44"/>
      <c r="BA1253" s="44"/>
      <c r="BB1253" s="58"/>
      <c r="BC1253" s="44"/>
      <c r="BD1253" s="58"/>
      <c r="BE1253" s="44"/>
      <c r="BF1253" s="44"/>
      <c r="BG1253" s="44"/>
      <c r="BJ1253" s="44"/>
      <c r="BK1253" s="44"/>
      <c r="BL1253" s="44"/>
      <c r="BM1253" s="44"/>
      <c r="BN1253" s="44"/>
      <c r="BO1253" s="44"/>
      <c r="BS1253" s="44"/>
      <c r="BT1253" s="44"/>
      <c r="BU1253" s="44"/>
      <c r="BV1253" s="44"/>
      <c r="BW1253" s="44"/>
      <c r="BX1253" s="44"/>
    </row>
    <row r="1254" spans="47:77">
      <c r="AU1254" s="44"/>
      <c r="AW1254" s="42"/>
      <c r="AX1254" s="44"/>
      <c r="AY1254" s="44"/>
      <c r="AZ1254" s="44"/>
      <c r="BA1254" s="44"/>
      <c r="BB1254" s="58"/>
      <c r="BC1254" s="44"/>
      <c r="BD1254" s="58"/>
      <c r="BE1254" s="44"/>
      <c r="BF1254" s="44"/>
      <c r="BG1254" s="44"/>
      <c r="BI1254" s="44"/>
      <c r="BJ1254" s="44"/>
      <c r="BK1254" s="44"/>
      <c r="BL1254" s="44"/>
      <c r="BM1254" s="44"/>
      <c r="BN1254" s="44"/>
      <c r="BO1254" s="44"/>
      <c r="BP1254" s="44"/>
      <c r="BR1254" s="44"/>
      <c r="BS1254" s="44"/>
      <c r="BT1254" s="44"/>
      <c r="BU1254" s="44"/>
      <c r="BV1254" s="44"/>
      <c r="BW1254" s="44"/>
      <c r="BX1254" s="44"/>
      <c r="BY1254" s="44"/>
    </row>
    <row r="1255" spans="47:77">
      <c r="AU1255" s="44"/>
      <c r="AW1255" s="42"/>
      <c r="AX1255" s="44"/>
      <c r="AY1255" s="44"/>
      <c r="AZ1255" s="44"/>
      <c r="BA1255" s="44"/>
      <c r="BB1255" s="58"/>
      <c r="BC1255" s="44"/>
      <c r="BD1255" s="58"/>
      <c r="BE1255" s="44"/>
      <c r="BF1255" s="44"/>
      <c r="BG1255" s="44"/>
      <c r="BI1255" s="44"/>
      <c r="BJ1255" s="44"/>
      <c r="BK1255" s="44"/>
      <c r="BL1255" s="44"/>
      <c r="BM1255" s="44"/>
      <c r="BN1255" s="44"/>
      <c r="BO1255" s="44"/>
      <c r="BP1255" s="44"/>
      <c r="BR1255" s="44"/>
      <c r="BS1255" s="44"/>
      <c r="BT1255" s="44"/>
      <c r="BU1255" s="44"/>
      <c r="BV1255" s="44"/>
      <c r="BW1255" s="44"/>
      <c r="BX1255" s="44"/>
      <c r="BY1255" s="44"/>
    </row>
    <row r="1256" spans="47:77">
      <c r="AU1256" s="49"/>
      <c r="AV1256" s="49"/>
      <c r="AW1256" s="49"/>
      <c r="AX1256" s="49"/>
      <c r="AY1256" s="49"/>
      <c r="AZ1256" s="49"/>
      <c r="BA1256" s="49"/>
      <c r="BB1256" s="57"/>
      <c r="BC1256" s="49"/>
      <c r="BD1256" s="57"/>
      <c r="BE1256" s="49"/>
      <c r="BF1256" s="49"/>
      <c r="BG1256" s="49"/>
      <c r="BI1256" s="49"/>
      <c r="BJ1256" s="49"/>
      <c r="BK1256" s="49"/>
      <c r="BL1256" s="49"/>
      <c r="BM1256" s="49"/>
      <c r="BN1256" s="49"/>
      <c r="BO1256" s="49"/>
      <c r="BP1256" s="49"/>
      <c r="BR1256" s="49"/>
      <c r="BS1256" s="49"/>
      <c r="BT1256" s="49"/>
      <c r="BU1256" s="49"/>
      <c r="BV1256" s="49"/>
      <c r="BW1256" s="49"/>
      <c r="BX1256" s="49"/>
      <c r="BY1256" s="49"/>
    </row>
    <row r="1257" spans="47:77">
      <c r="AX1257" s="44"/>
      <c r="AY1257" s="44"/>
      <c r="AZ1257" s="44"/>
      <c r="BA1257" s="44"/>
      <c r="BB1257" s="58"/>
      <c r="BC1257" s="44"/>
      <c r="BD1257" s="58"/>
      <c r="BE1257" s="44"/>
      <c r="BF1257" s="44"/>
      <c r="BG1257" s="44"/>
      <c r="BI1257" s="56"/>
      <c r="BJ1257" s="56"/>
      <c r="BK1257" s="56"/>
      <c r="BL1257" s="56"/>
      <c r="BM1257" s="56"/>
      <c r="BN1257" s="56"/>
      <c r="BO1257" s="56"/>
      <c r="BP1257" s="56"/>
      <c r="BQ1257" s="56"/>
      <c r="BR1257" s="56"/>
      <c r="BS1257" s="56"/>
      <c r="BT1257" s="56"/>
      <c r="BU1257" s="56"/>
      <c r="BV1257" s="56"/>
      <c r="BW1257" s="56"/>
      <c r="BX1257" s="56"/>
      <c r="BY1257" s="56"/>
    </row>
    <row r="1258" spans="47:77">
      <c r="AW1258" s="42"/>
      <c r="AY1258" s="45"/>
      <c r="AZ1258" s="56"/>
      <c r="BA1258" s="56"/>
      <c r="BB1258" s="56"/>
      <c r="BC1258" s="51"/>
      <c r="BD1258" s="56"/>
      <c r="BE1258" s="56"/>
      <c r="BF1258" s="56"/>
      <c r="BG1258" s="51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  <c r="BU1258" s="56"/>
      <c r="BV1258" s="56"/>
      <c r="BW1258" s="56"/>
      <c r="BX1258" s="56"/>
      <c r="BY1258" s="56"/>
    </row>
    <row r="1259" spans="47:77">
      <c r="AY1259" s="45"/>
      <c r="AZ1259" s="56"/>
      <c r="BA1259" s="56"/>
      <c r="BB1259" s="56"/>
      <c r="BC1259" s="51"/>
      <c r="BD1259" s="56"/>
      <c r="BE1259" s="56"/>
      <c r="BF1259" s="56"/>
      <c r="BG1259" s="51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  <c r="BU1259" s="56"/>
      <c r="BV1259" s="56"/>
      <c r="BW1259" s="56"/>
      <c r="BX1259" s="56"/>
      <c r="BY1259" s="56"/>
    </row>
    <row r="1260" spans="47:77">
      <c r="AY1260" s="45"/>
      <c r="AZ1260" s="56"/>
      <c r="BA1260" s="56"/>
      <c r="BB1260" s="56"/>
      <c r="BC1260" s="51"/>
      <c r="BD1260" s="56"/>
      <c r="BE1260" s="56"/>
      <c r="BF1260" s="56"/>
      <c r="BG1260" s="51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  <c r="BU1260" s="56"/>
      <c r="BV1260" s="56"/>
      <c r="BW1260" s="56"/>
      <c r="BX1260" s="56"/>
      <c r="BY1260" s="56"/>
    </row>
    <row r="1261" spans="47:77">
      <c r="AY1261" s="45"/>
      <c r="AZ1261" s="56"/>
      <c r="BA1261" s="56"/>
      <c r="BB1261" s="56"/>
      <c r="BC1261" s="51"/>
      <c r="BD1261" s="56"/>
      <c r="BE1261" s="56"/>
      <c r="BF1261" s="56"/>
      <c r="BG1261" s="51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56"/>
    </row>
    <row r="1262" spans="47:77">
      <c r="AY1262" s="45"/>
      <c r="AZ1262" s="56"/>
      <c r="BA1262" s="56"/>
      <c r="BB1262" s="56"/>
      <c r="BC1262" s="51"/>
      <c r="BD1262" s="56"/>
      <c r="BE1262" s="56"/>
      <c r="BF1262" s="56"/>
      <c r="BG1262" s="51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  <c r="BU1262" s="56"/>
      <c r="BV1262" s="56"/>
      <c r="BW1262" s="56"/>
      <c r="BX1262" s="56"/>
      <c r="BY1262" s="56"/>
    </row>
    <row r="1263" spans="47:77">
      <c r="AY1263" s="45"/>
      <c r="AZ1263" s="56"/>
      <c r="BA1263" s="56"/>
      <c r="BB1263" s="56"/>
      <c r="BC1263" s="51"/>
      <c r="BD1263" s="56"/>
      <c r="BE1263" s="56"/>
      <c r="BF1263" s="56"/>
      <c r="BG1263" s="51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  <c r="BU1263" s="56"/>
      <c r="BV1263" s="56"/>
      <c r="BW1263" s="56"/>
      <c r="BX1263" s="56"/>
      <c r="BY1263" s="56"/>
    </row>
    <row r="1264" spans="47:77">
      <c r="AY1264" s="45"/>
      <c r="AZ1264" s="56"/>
      <c r="BA1264" s="56"/>
      <c r="BB1264" s="56"/>
      <c r="BC1264" s="51"/>
      <c r="BD1264" s="56"/>
      <c r="BE1264" s="56"/>
      <c r="BF1264" s="56"/>
      <c r="BG1264" s="51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56"/>
    </row>
    <row r="1265" spans="49:77">
      <c r="AY1265" s="45"/>
      <c r="AZ1265" s="56"/>
      <c r="BA1265" s="56"/>
      <c r="BB1265" s="56"/>
      <c r="BC1265" s="51"/>
      <c r="BD1265" s="56"/>
      <c r="BE1265" s="56"/>
      <c r="BF1265" s="56"/>
      <c r="BG1265" s="51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56"/>
    </row>
    <row r="1266" spans="49:77">
      <c r="AY1266" s="45"/>
      <c r="AZ1266" s="56"/>
      <c r="BA1266" s="56"/>
      <c r="BB1266" s="56"/>
      <c r="BC1266" s="51"/>
      <c r="BD1266" s="56"/>
      <c r="BE1266" s="56"/>
      <c r="BF1266" s="56"/>
      <c r="BG1266" s="51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56"/>
    </row>
    <row r="1267" spans="49:77">
      <c r="AY1267" s="45"/>
      <c r="AZ1267" s="56"/>
      <c r="BA1267" s="56"/>
      <c r="BB1267" s="56"/>
      <c r="BC1267" s="51"/>
      <c r="BD1267" s="56"/>
      <c r="BE1267" s="56"/>
      <c r="BF1267" s="56"/>
      <c r="BG1267" s="51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  <c r="BU1267" s="56"/>
      <c r="BV1267" s="56"/>
      <c r="BW1267" s="56"/>
      <c r="BX1267" s="56"/>
      <c r="BY1267" s="56"/>
    </row>
    <row r="1268" spans="49:77">
      <c r="AY1268" s="45"/>
      <c r="AZ1268" s="56"/>
      <c r="BA1268" s="56"/>
      <c r="BB1268" s="56"/>
      <c r="BC1268" s="51"/>
      <c r="BD1268" s="56"/>
      <c r="BE1268" s="56"/>
      <c r="BF1268" s="56"/>
      <c r="BG1268" s="51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  <c r="BU1268" s="56"/>
      <c r="BV1268" s="56"/>
      <c r="BW1268" s="56"/>
      <c r="BX1268" s="56"/>
      <c r="BY1268" s="56"/>
    </row>
    <row r="1269" spans="49:77">
      <c r="AY1269" s="45"/>
      <c r="AZ1269" s="56"/>
      <c r="BA1269" s="56"/>
      <c r="BB1269" s="56"/>
      <c r="BC1269" s="51"/>
      <c r="BD1269" s="56"/>
      <c r="BE1269" s="56"/>
      <c r="BF1269" s="56"/>
      <c r="BG1269" s="51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  <c r="BU1269" s="56"/>
      <c r="BV1269" s="56"/>
      <c r="BW1269" s="56"/>
      <c r="BX1269" s="56"/>
      <c r="BY1269" s="56"/>
    </row>
    <row r="1270" spans="49:77">
      <c r="AY1270" s="45"/>
      <c r="AZ1270" s="56"/>
      <c r="BA1270" s="56"/>
      <c r="BB1270" s="56"/>
      <c r="BC1270" s="51"/>
      <c r="BD1270" s="56"/>
      <c r="BE1270" s="56"/>
      <c r="BF1270" s="56"/>
      <c r="BG1270" s="51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  <c r="BU1270" s="56"/>
      <c r="BV1270" s="56"/>
      <c r="BW1270" s="56"/>
      <c r="BX1270" s="56"/>
      <c r="BY1270" s="56"/>
    </row>
    <row r="1271" spans="49:77">
      <c r="AY1271" s="45"/>
      <c r="AZ1271" s="56"/>
      <c r="BA1271" s="56"/>
      <c r="BB1271" s="56"/>
      <c r="BC1271" s="51"/>
      <c r="BD1271" s="56"/>
      <c r="BE1271" s="56"/>
      <c r="BF1271" s="56"/>
      <c r="BG1271" s="51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56"/>
    </row>
    <row r="1272" spans="49:77">
      <c r="AY1272" s="45"/>
      <c r="AZ1272" s="56"/>
      <c r="BA1272" s="56"/>
      <c r="BB1272" s="56"/>
      <c r="BC1272" s="51"/>
      <c r="BD1272" s="56"/>
      <c r="BE1272" s="56"/>
      <c r="BF1272" s="56"/>
      <c r="BG1272" s="51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  <c r="BU1272" s="56"/>
      <c r="BV1272" s="56"/>
      <c r="BW1272" s="56"/>
      <c r="BX1272" s="56"/>
      <c r="BY1272" s="56"/>
    </row>
    <row r="1273" spans="49:77">
      <c r="AY1273" s="45"/>
      <c r="AZ1273" s="56"/>
      <c r="BA1273" s="56"/>
      <c r="BB1273" s="56"/>
      <c r="BC1273" s="51"/>
      <c r="BD1273" s="56"/>
      <c r="BE1273" s="56"/>
      <c r="BF1273" s="56"/>
      <c r="BG1273" s="51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  <c r="BU1273" s="56"/>
      <c r="BV1273" s="56"/>
      <c r="BW1273" s="56"/>
      <c r="BX1273" s="56"/>
      <c r="BY1273" s="56"/>
    </row>
    <row r="1274" spans="49:77">
      <c r="AY1274" s="45"/>
      <c r="AZ1274" s="56"/>
      <c r="BA1274" s="56"/>
      <c r="BB1274" s="56"/>
      <c r="BC1274" s="51"/>
      <c r="BD1274" s="56"/>
      <c r="BE1274" s="56"/>
      <c r="BF1274" s="56"/>
      <c r="BG1274" s="51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  <c r="BU1274" s="56"/>
      <c r="BV1274" s="56"/>
      <c r="BW1274" s="56"/>
      <c r="BX1274" s="56"/>
      <c r="BY1274" s="56"/>
    </row>
    <row r="1275" spans="49:77">
      <c r="AY1275" s="45"/>
      <c r="AZ1275" s="56"/>
      <c r="BA1275" s="56"/>
      <c r="BB1275" s="56"/>
      <c r="BC1275" s="51"/>
      <c r="BD1275" s="56"/>
      <c r="BE1275" s="56"/>
      <c r="BF1275" s="56"/>
      <c r="BG1275" s="51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  <c r="BU1275" s="56"/>
      <c r="BV1275" s="56"/>
      <c r="BW1275" s="56"/>
      <c r="BX1275" s="56"/>
      <c r="BY1275" s="56"/>
    </row>
    <row r="1276" spans="49:77">
      <c r="AY1276" s="45"/>
      <c r="AZ1276" s="56"/>
      <c r="BA1276" s="56"/>
      <c r="BB1276" s="56"/>
      <c r="BC1276" s="51"/>
      <c r="BD1276" s="56"/>
      <c r="BE1276" s="56"/>
      <c r="BF1276" s="56"/>
      <c r="BG1276" s="51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  <c r="BU1276" s="56"/>
      <c r="BV1276" s="56"/>
      <c r="BW1276" s="56"/>
      <c r="BX1276" s="56"/>
      <c r="BY1276" s="56"/>
    </row>
    <row r="1277" spans="49:77">
      <c r="AY1277" s="45"/>
      <c r="AZ1277" s="56"/>
      <c r="BA1277" s="56"/>
      <c r="BB1277" s="56"/>
      <c r="BC1277" s="51"/>
      <c r="BD1277" s="56"/>
      <c r="BE1277" s="56"/>
      <c r="BF1277" s="56"/>
      <c r="BG1277" s="51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56"/>
    </row>
    <row r="1278" spans="49:77">
      <c r="AY1278" s="45"/>
      <c r="AZ1278" s="56"/>
      <c r="BA1278" s="56"/>
      <c r="BB1278" s="56"/>
      <c r="BC1278" s="51"/>
      <c r="BD1278" s="56"/>
      <c r="BE1278" s="56"/>
      <c r="BF1278" s="56"/>
      <c r="BG1278" s="51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  <c r="BU1278" s="56"/>
      <c r="BV1278" s="56"/>
      <c r="BW1278" s="56"/>
      <c r="BX1278" s="56"/>
      <c r="BY1278" s="56"/>
    </row>
    <row r="1279" spans="49:77">
      <c r="AY1279" s="45"/>
      <c r="AZ1279" s="56"/>
      <c r="BA1279" s="56"/>
      <c r="BB1279" s="56"/>
      <c r="BC1279" s="51"/>
      <c r="BD1279" s="56"/>
      <c r="BE1279" s="56"/>
      <c r="BF1279" s="56"/>
      <c r="BG1279" s="51"/>
      <c r="BI1279" s="49"/>
      <c r="BJ1279" s="49"/>
      <c r="BK1279" s="42"/>
      <c r="BO1279" s="49"/>
      <c r="BP1279" s="49"/>
      <c r="BQ1279" s="56"/>
      <c r="BR1279" s="49"/>
      <c r="BS1279" s="49"/>
      <c r="BT1279" s="42"/>
      <c r="BX1279" s="49"/>
      <c r="BY1279" s="49"/>
    </row>
    <row r="1280" spans="49:77">
      <c r="AW1280" s="42"/>
      <c r="AX1280" s="44"/>
      <c r="AY1280" s="45"/>
      <c r="AZ1280" s="56"/>
      <c r="BA1280" s="56"/>
      <c r="BB1280" s="56"/>
      <c r="BC1280" s="51"/>
      <c r="BD1280" s="56"/>
      <c r="BE1280" s="56"/>
      <c r="BF1280" s="56"/>
      <c r="BG1280" s="51"/>
      <c r="BI1280" s="58"/>
      <c r="BJ1280" s="56"/>
      <c r="BK1280" s="56"/>
      <c r="BL1280" s="56"/>
      <c r="BM1280" s="58"/>
      <c r="BN1280" s="59"/>
      <c r="BO1280" s="56"/>
      <c r="BP1280" s="58"/>
      <c r="BQ1280" s="56"/>
      <c r="BR1280" s="58"/>
      <c r="BS1280" s="56"/>
      <c r="BT1280" s="56"/>
      <c r="BU1280" s="56"/>
      <c r="BV1280" s="58"/>
      <c r="BW1280" s="59"/>
      <c r="BX1280" s="56"/>
      <c r="BY1280" s="58"/>
    </row>
    <row r="1281" spans="47:77">
      <c r="AX1281" s="44"/>
      <c r="AY1281" s="45"/>
      <c r="AZ1281" s="56"/>
      <c r="BA1281" s="56"/>
      <c r="BB1281" s="56"/>
      <c r="BC1281" s="51"/>
      <c r="BD1281" s="56"/>
      <c r="BE1281" s="56"/>
      <c r="BF1281" s="56"/>
      <c r="BG1281" s="51"/>
      <c r="BI1281" s="56"/>
      <c r="BJ1281" s="56"/>
      <c r="BK1281" s="56"/>
      <c r="BL1281" s="56"/>
      <c r="BM1281" s="56"/>
      <c r="BN1281" s="59"/>
      <c r="BO1281" s="56"/>
      <c r="BP1281" s="56"/>
      <c r="BQ1281" s="56"/>
      <c r="BR1281" s="56"/>
      <c r="BS1281" s="56"/>
      <c r="BT1281" s="56"/>
      <c r="BU1281" s="56"/>
      <c r="BV1281" s="56"/>
      <c r="BW1281" s="59"/>
      <c r="BX1281" s="56"/>
      <c r="BY1281" s="56"/>
    </row>
    <row r="1282" spans="47:77">
      <c r="AX1282" s="44"/>
      <c r="AY1282" s="45"/>
      <c r="AZ1282" s="56"/>
      <c r="BA1282" s="56"/>
      <c r="BB1282" s="56"/>
      <c r="BC1282" s="51"/>
      <c r="BD1282" s="56"/>
      <c r="BE1282" s="56"/>
      <c r="BF1282" s="56"/>
      <c r="BG1282" s="51"/>
      <c r="BI1282" s="56"/>
      <c r="BJ1282" s="56"/>
      <c r="BK1282" s="56"/>
      <c r="BL1282" s="56"/>
      <c r="BM1282" s="56"/>
      <c r="BN1282" s="59"/>
      <c r="BO1282" s="56"/>
      <c r="BP1282" s="56"/>
      <c r="BQ1282" s="56"/>
      <c r="BR1282" s="56"/>
      <c r="BS1282" s="56"/>
      <c r="BT1282" s="56"/>
      <c r="BU1282" s="56"/>
      <c r="BV1282" s="56"/>
      <c r="BW1282" s="59"/>
      <c r="BX1282" s="56"/>
      <c r="BY1282" s="56"/>
    </row>
    <row r="1283" spans="47:77">
      <c r="AX1283" s="44"/>
      <c r="AY1283" s="45"/>
      <c r="AZ1283" s="56"/>
      <c r="BA1283" s="56"/>
      <c r="BB1283" s="56"/>
      <c r="BC1283" s="51"/>
      <c r="BD1283" s="56"/>
      <c r="BE1283" s="56"/>
      <c r="BF1283" s="56"/>
      <c r="BG1283" s="51"/>
      <c r="BI1283" s="56"/>
      <c r="BJ1283" s="56"/>
      <c r="BK1283" s="56"/>
      <c r="BL1283" s="56"/>
      <c r="BM1283" s="56"/>
      <c r="BN1283" s="59"/>
      <c r="BO1283" s="56"/>
      <c r="BP1283" s="56"/>
      <c r="BQ1283" s="56"/>
      <c r="BR1283" s="56"/>
      <c r="BS1283" s="56"/>
      <c r="BT1283" s="56"/>
      <c r="BU1283" s="56"/>
      <c r="BV1283" s="56"/>
      <c r="BW1283" s="59"/>
      <c r="BX1283" s="56"/>
      <c r="BY1283" s="56"/>
    </row>
    <row r="1284" spans="47:77">
      <c r="AZ1284" s="56"/>
      <c r="BA1284" s="56"/>
      <c r="BB1284" s="56"/>
      <c r="BC1284" s="51"/>
      <c r="BD1284" s="56"/>
      <c r="BE1284" s="56"/>
      <c r="BF1284" s="56"/>
      <c r="BG1284" s="51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</row>
    <row r="1285" spans="47:77">
      <c r="AW1285" s="42"/>
    </row>
    <row r="1286" spans="47:77">
      <c r="AW1286" s="42"/>
      <c r="BB1286" s="56"/>
      <c r="BC1286" s="51"/>
      <c r="BD1286" s="56"/>
      <c r="BE1286" s="56"/>
      <c r="BF1286" s="56"/>
      <c r="BG1286" s="51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  <c r="BU1286" s="56"/>
      <c r="BV1286" s="56"/>
      <c r="BW1286" s="56"/>
      <c r="BX1286" s="56"/>
    </row>
    <row r="1287" spans="47:77">
      <c r="AU1287" s="42"/>
      <c r="BB1287" s="56"/>
      <c r="BD1287" s="56"/>
    </row>
    <row r="1288" spans="47:77">
      <c r="BB1288" s="56"/>
      <c r="BD1288" s="56"/>
      <c r="BQ1288" s="56"/>
      <c r="BR1288" s="56"/>
      <c r="BS1288" s="56"/>
      <c r="BT1288" s="56"/>
      <c r="BU1288" s="56"/>
      <c r="BV1288" s="56"/>
      <c r="BW1288" s="56"/>
      <c r="BX1288" s="56"/>
    </row>
    <row r="1289" spans="47:77">
      <c r="BA1289" s="56"/>
      <c r="BB1289" s="56"/>
      <c r="BD1289" s="56"/>
      <c r="BQ1289" s="56"/>
      <c r="BR1289" s="56"/>
      <c r="BS1289" s="56"/>
      <c r="BT1289" s="56"/>
      <c r="BU1289" s="56"/>
      <c r="BV1289" s="56"/>
      <c r="BW1289" s="56"/>
      <c r="BX1289" s="56"/>
    </row>
    <row r="1290" spans="47:77">
      <c r="BA1290" s="42"/>
      <c r="BB1290" s="56"/>
      <c r="BD1290" s="56"/>
      <c r="BQ1290" s="56"/>
      <c r="BR1290" s="56"/>
      <c r="BS1290" s="56"/>
      <c r="BT1290" s="56"/>
      <c r="BU1290" s="56"/>
      <c r="BV1290" s="56"/>
      <c r="BW1290" s="56"/>
      <c r="BX1290" s="56"/>
    </row>
    <row r="1291" spans="47:77">
      <c r="BA1291" s="42"/>
      <c r="BB1291" s="56"/>
      <c r="BD1291" s="56"/>
      <c r="BQ1291" s="56"/>
      <c r="BR1291" s="56"/>
      <c r="BS1291" s="56"/>
      <c r="BT1291" s="56"/>
      <c r="BU1291" s="56"/>
      <c r="BV1291" s="56"/>
      <c r="BW1291" s="56"/>
      <c r="BX1291" s="56"/>
    </row>
    <row r="1292" spans="47:77">
      <c r="BB1292" s="56"/>
      <c r="BD1292" s="56"/>
      <c r="BF1292" s="42"/>
      <c r="BQ1292" s="56"/>
      <c r="BR1292" s="56"/>
      <c r="BS1292" s="56"/>
      <c r="BT1292" s="56"/>
      <c r="BU1292" s="56"/>
      <c r="BV1292" s="56"/>
      <c r="BW1292" s="56"/>
      <c r="BX1292" s="56"/>
    </row>
    <row r="1293" spans="47:77">
      <c r="BB1293" s="56"/>
      <c r="BD1293" s="56"/>
      <c r="BF1293" s="42"/>
      <c r="BQ1293" s="56"/>
      <c r="BR1293" s="56"/>
      <c r="BS1293" s="56"/>
      <c r="BT1293" s="56"/>
      <c r="BU1293" s="56"/>
      <c r="BV1293" s="56"/>
      <c r="BW1293" s="56"/>
      <c r="BX1293" s="56"/>
    </row>
    <row r="1294" spans="47:77">
      <c r="AU1294" s="42"/>
      <c r="BB1294" s="56"/>
      <c r="BD1294" s="56"/>
      <c r="BF1294" s="42"/>
      <c r="BQ1294" s="56"/>
      <c r="BR1294" s="56"/>
      <c r="BS1294" s="56"/>
      <c r="BT1294" s="56"/>
      <c r="BU1294" s="56"/>
      <c r="BV1294" s="56"/>
      <c r="BW1294" s="56"/>
      <c r="BX1294" s="56"/>
    </row>
    <row r="1295" spans="47:77">
      <c r="BB1295" s="56"/>
      <c r="BD1295" s="56"/>
      <c r="BQ1295" s="56"/>
      <c r="BR1295" s="56"/>
      <c r="BS1295" s="56"/>
      <c r="BT1295" s="56"/>
      <c r="BU1295" s="56"/>
      <c r="BV1295" s="56"/>
      <c r="BW1295" s="56"/>
      <c r="BX1295" s="56"/>
    </row>
    <row r="1296" spans="47:77">
      <c r="AU1296" s="49"/>
      <c r="AV1296" s="49"/>
      <c r="AW1296" s="49"/>
      <c r="AX1296" s="49"/>
      <c r="AY1296" s="49"/>
      <c r="AZ1296" s="49"/>
      <c r="BA1296" s="49"/>
      <c r="BB1296" s="57"/>
      <c r="BC1296" s="49"/>
      <c r="BD1296" s="57"/>
      <c r="BE1296" s="49"/>
      <c r="BF1296" s="49"/>
      <c r="BG1296" s="49"/>
      <c r="BQ1296" s="56"/>
      <c r="BR1296" s="56"/>
      <c r="BS1296" s="56"/>
      <c r="BT1296" s="56"/>
      <c r="BU1296" s="56"/>
      <c r="BV1296" s="56"/>
      <c r="BW1296" s="56"/>
      <c r="BX1296" s="56"/>
    </row>
    <row r="1297" spans="47:76">
      <c r="AZ1297" s="42"/>
      <c r="BB1297" s="56"/>
      <c r="BD1297" s="56"/>
      <c r="BQ1297" s="56"/>
      <c r="BR1297" s="56"/>
      <c r="BS1297" s="56"/>
      <c r="BT1297" s="56"/>
      <c r="BU1297" s="56"/>
      <c r="BV1297" s="56"/>
      <c r="BW1297" s="56"/>
      <c r="BX1297" s="56"/>
    </row>
    <row r="1298" spans="47:76">
      <c r="AZ1298" s="49"/>
      <c r="BA1298" s="49"/>
      <c r="BB1298" s="57"/>
      <c r="BC1298" s="49"/>
      <c r="BD1298" s="56"/>
      <c r="BE1298" s="44"/>
      <c r="BF1298" s="44"/>
      <c r="BQ1298" s="56"/>
      <c r="BR1298" s="56"/>
      <c r="BS1298" s="56"/>
      <c r="BT1298" s="56"/>
      <c r="BU1298" s="56"/>
      <c r="BV1298" s="56"/>
      <c r="BW1298" s="56"/>
      <c r="BX1298" s="56"/>
    </row>
    <row r="1299" spans="47:76">
      <c r="AX1299" s="44"/>
      <c r="AY1299" s="44"/>
      <c r="BB1299" s="58"/>
      <c r="BC1299" s="44"/>
      <c r="BD1299" s="56"/>
      <c r="BE1299" s="44"/>
      <c r="BF1299" s="44"/>
      <c r="BG1299" s="44"/>
      <c r="BI1299" s="49"/>
      <c r="BJ1299" s="42"/>
      <c r="BM1299" s="49"/>
      <c r="BO1299" s="49"/>
      <c r="BP1299" s="42"/>
      <c r="BS1299" s="49"/>
    </row>
    <row r="1300" spans="47:76">
      <c r="AX1300" s="44"/>
      <c r="AY1300" s="44"/>
      <c r="AZ1300" s="44"/>
      <c r="BA1300" s="44"/>
      <c r="BB1300" s="58"/>
      <c r="BC1300" s="44"/>
      <c r="BD1300" s="58"/>
      <c r="BE1300" s="44"/>
      <c r="BF1300" s="44"/>
      <c r="BG1300" s="44"/>
      <c r="BJ1300" s="44"/>
      <c r="BK1300" s="44"/>
      <c r="BP1300" s="44"/>
      <c r="BQ1300" s="44"/>
    </row>
    <row r="1301" spans="47:76">
      <c r="AU1301" s="44"/>
      <c r="AW1301" s="42"/>
      <c r="AX1301" s="44"/>
      <c r="AY1301" s="44"/>
      <c r="AZ1301" s="44"/>
      <c r="BA1301" s="44"/>
      <c r="BB1301" s="58"/>
      <c r="BC1301" s="44"/>
      <c r="BD1301" s="58"/>
      <c r="BE1301" s="44"/>
      <c r="BF1301" s="44"/>
      <c r="BG1301" s="44"/>
      <c r="BI1301" s="44"/>
      <c r="BJ1301" s="44"/>
      <c r="BK1301" s="44"/>
      <c r="BL1301" s="44"/>
      <c r="BM1301" s="44"/>
      <c r="BO1301" s="44"/>
      <c r="BP1301" s="44"/>
      <c r="BQ1301" s="44"/>
      <c r="BR1301" s="44"/>
      <c r="BS1301" s="44"/>
    </row>
    <row r="1302" spans="47:76">
      <c r="AU1302" s="44"/>
      <c r="AW1302" s="42"/>
      <c r="AX1302" s="44"/>
      <c r="AY1302" s="44"/>
      <c r="AZ1302" s="44"/>
      <c r="BA1302" s="44"/>
      <c r="BB1302" s="58"/>
      <c r="BC1302" s="44"/>
      <c r="BD1302" s="58"/>
      <c r="BE1302" s="44"/>
      <c r="BF1302" s="44"/>
      <c r="BG1302" s="44"/>
      <c r="BI1302" s="44"/>
      <c r="BJ1302" s="44"/>
      <c r="BK1302" s="44"/>
      <c r="BL1302" s="44"/>
      <c r="BM1302" s="44"/>
      <c r="BO1302" s="44"/>
      <c r="BP1302" s="44"/>
      <c r="BQ1302" s="44"/>
      <c r="BR1302" s="44"/>
      <c r="BS1302" s="44"/>
    </row>
    <row r="1303" spans="47:76">
      <c r="AU1303" s="49"/>
      <c r="AV1303" s="49"/>
      <c r="AW1303" s="49"/>
      <c r="AX1303" s="49"/>
      <c r="AY1303" s="49"/>
      <c r="AZ1303" s="49"/>
      <c r="BA1303" s="49"/>
      <c r="BB1303" s="57"/>
      <c r="BC1303" s="49"/>
      <c r="BD1303" s="57"/>
      <c r="BE1303" s="49"/>
      <c r="BF1303" s="49"/>
      <c r="BG1303" s="49"/>
      <c r="BI1303" s="49"/>
      <c r="BJ1303" s="49"/>
      <c r="BK1303" s="49"/>
      <c r="BL1303" s="49"/>
      <c r="BM1303" s="49"/>
      <c r="BO1303" s="49"/>
      <c r="BP1303" s="49"/>
      <c r="BQ1303" s="49"/>
      <c r="BR1303" s="49"/>
      <c r="BS1303" s="49"/>
    </row>
    <row r="1304" spans="47:76">
      <c r="AX1304" s="44"/>
      <c r="AY1304" s="44"/>
      <c r="AZ1304" s="44"/>
      <c r="BA1304" s="44"/>
      <c r="BB1304" s="58"/>
      <c r="BC1304" s="44"/>
      <c r="BD1304" s="58"/>
      <c r="BE1304" s="44"/>
      <c r="BF1304" s="44"/>
      <c r="BG1304" s="44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</row>
    <row r="1305" spans="47:76">
      <c r="AV1305" s="42"/>
      <c r="AX1305" s="45"/>
      <c r="AY1305" s="45"/>
      <c r="AZ1305" s="56"/>
      <c r="BA1305" s="56"/>
      <c r="BB1305" s="56"/>
      <c r="BC1305" s="51"/>
      <c r="BD1305" s="56"/>
      <c r="BE1305" s="56"/>
      <c r="BF1305" s="56"/>
      <c r="BG1305" s="51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  <c r="BU1305" s="56"/>
    </row>
    <row r="1306" spans="47:76">
      <c r="AX1306" s="45"/>
      <c r="AY1306" s="45"/>
      <c r="AZ1306" s="56"/>
      <c r="BA1306" s="56"/>
      <c r="BB1306" s="56"/>
      <c r="BC1306" s="51"/>
      <c r="BD1306" s="56"/>
      <c r="BE1306" s="56"/>
      <c r="BF1306" s="56"/>
      <c r="BG1306" s="51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  <c r="BU1306" s="56"/>
    </row>
    <row r="1307" spans="47:76">
      <c r="AX1307" s="45"/>
      <c r="AY1307" s="45"/>
      <c r="AZ1307" s="56"/>
      <c r="BA1307" s="56"/>
      <c r="BB1307" s="56"/>
      <c r="BC1307" s="51"/>
      <c r="BD1307" s="56"/>
      <c r="BE1307" s="56"/>
      <c r="BF1307" s="56"/>
      <c r="BG1307" s="51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  <c r="BU1307" s="56"/>
    </row>
    <row r="1308" spans="47:76">
      <c r="AX1308" s="45"/>
      <c r="AY1308" s="45"/>
      <c r="AZ1308" s="56"/>
      <c r="BA1308" s="56"/>
      <c r="BB1308" s="56"/>
      <c r="BC1308" s="51"/>
      <c r="BD1308" s="56"/>
      <c r="BE1308" s="56"/>
      <c r="BF1308" s="56"/>
      <c r="BG1308" s="51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  <c r="BU1308" s="56"/>
    </row>
    <row r="1309" spans="47:76">
      <c r="AX1309" s="45"/>
      <c r="AY1309" s="45"/>
      <c r="AZ1309" s="56"/>
      <c r="BA1309" s="56"/>
      <c r="BB1309" s="56"/>
      <c r="BC1309" s="51"/>
      <c r="BD1309" s="56"/>
      <c r="BE1309" s="56"/>
      <c r="BF1309" s="56"/>
      <c r="BG1309" s="51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  <c r="BU1309" s="56"/>
    </row>
    <row r="1310" spans="47:76">
      <c r="AX1310" s="45"/>
      <c r="AY1310" s="45"/>
      <c r="AZ1310" s="56"/>
      <c r="BA1310" s="56"/>
      <c r="BB1310" s="56"/>
      <c r="BC1310" s="51"/>
      <c r="BD1310" s="56"/>
      <c r="BE1310" s="56"/>
      <c r="BF1310" s="56"/>
      <c r="BG1310" s="51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  <c r="BU1310" s="56"/>
    </row>
    <row r="1311" spans="47:76">
      <c r="AX1311" s="45"/>
      <c r="AY1311" s="45"/>
      <c r="AZ1311" s="56"/>
      <c r="BA1311" s="56"/>
      <c r="BB1311" s="56"/>
      <c r="BC1311" s="51"/>
      <c r="BD1311" s="56"/>
      <c r="BE1311" s="56"/>
      <c r="BF1311" s="56"/>
      <c r="BG1311" s="51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  <c r="BU1311" s="56"/>
    </row>
    <row r="1312" spans="47:76">
      <c r="AX1312" s="45"/>
      <c r="AY1312" s="45"/>
      <c r="AZ1312" s="56"/>
      <c r="BA1312" s="56"/>
      <c r="BB1312" s="56"/>
      <c r="BC1312" s="51"/>
      <c r="BD1312" s="56"/>
      <c r="BE1312" s="56"/>
      <c r="BF1312" s="56"/>
      <c r="BG1312" s="51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  <c r="BU1312" s="56"/>
    </row>
    <row r="1313" spans="48:73">
      <c r="AX1313" s="45"/>
      <c r="AY1313" s="45"/>
      <c r="AZ1313" s="56"/>
      <c r="BA1313" s="56"/>
      <c r="BB1313" s="56"/>
      <c r="BC1313" s="51"/>
      <c r="BD1313" s="56"/>
      <c r="BE1313" s="56"/>
      <c r="BF1313" s="56"/>
      <c r="BG1313" s="51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</row>
    <row r="1314" spans="48:73">
      <c r="AX1314" s="45"/>
      <c r="AY1314" s="45"/>
      <c r="AZ1314" s="56"/>
      <c r="BA1314" s="56"/>
      <c r="BB1314" s="56"/>
      <c r="BC1314" s="51"/>
      <c r="BD1314" s="56"/>
      <c r="BE1314" s="56"/>
      <c r="BF1314" s="56"/>
      <c r="BG1314" s="51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  <c r="BU1314" s="56"/>
    </row>
    <row r="1315" spans="48:73">
      <c r="AX1315" s="45"/>
      <c r="AY1315" s="45"/>
      <c r="AZ1315" s="56"/>
      <c r="BA1315" s="56"/>
      <c r="BB1315" s="56"/>
      <c r="BC1315" s="51"/>
      <c r="BD1315" s="56"/>
      <c r="BE1315" s="56"/>
      <c r="BF1315" s="56"/>
      <c r="BG1315" s="51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  <c r="BU1315" s="56"/>
    </row>
    <row r="1316" spans="48:73">
      <c r="AX1316" s="45"/>
      <c r="AY1316" s="45"/>
      <c r="AZ1316" s="56"/>
      <c r="BA1316" s="56"/>
      <c r="BB1316" s="56"/>
      <c r="BC1316" s="51"/>
      <c r="BD1316" s="56"/>
      <c r="BE1316" s="56"/>
      <c r="BF1316" s="56"/>
      <c r="BG1316" s="51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</row>
    <row r="1317" spans="48:73">
      <c r="AX1317" s="45"/>
      <c r="AY1317" s="45"/>
      <c r="AZ1317" s="56"/>
      <c r="BA1317" s="56"/>
      <c r="BB1317" s="56"/>
      <c r="BC1317" s="51"/>
      <c r="BD1317" s="56"/>
      <c r="BE1317" s="56"/>
      <c r="BF1317" s="56"/>
      <c r="BG1317" s="51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  <c r="BU1317" s="56"/>
    </row>
    <row r="1318" spans="48:73">
      <c r="AX1318" s="45"/>
      <c r="AY1318" s="45"/>
      <c r="AZ1318" s="56"/>
      <c r="BA1318" s="56"/>
      <c r="BB1318" s="56"/>
      <c r="BC1318" s="51"/>
      <c r="BD1318" s="56"/>
      <c r="BE1318" s="56"/>
      <c r="BF1318" s="56"/>
      <c r="BG1318" s="51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  <c r="BU1318" s="56"/>
    </row>
    <row r="1319" spans="48:73">
      <c r="AX1319" s="45"/>
      <c r="AY1319" s="45"/>
      <c r="AZ1319" s="56"/>
      <c r="BA1319" s="56"/>
      <c r="BB1319" s="56"/>
      <c r="BC1319" s="51"/>
      <c r="BD1319" s="56"/>
      <c r="BE1319" s="56"/>
      <c r="BF1319" s="56"/>
      <c r="BG1319" s="51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56"/>
      <c r="BS1319" s="56"/>
      <c r="BT1319" s="56"/>
      <c r="BU1319" s="56"/>
    </row>
    <row r="1320" spans="48:73">
      <c r="AX1320" s="45"/>
      <c r="AY1320" s="45"/>
      <c r="AZ1320" s="56"/>
      <c r="BA1320" s="56"/>
      <c r="BB1320" s="56"/>
      <c r="BC1320" s="51"/>
      <c r="BD1320" s="56"/>
      <c r="BE1320" s="56"/>
      <c r="BF1320" s="56"/>
      <c r="BG1320" s="51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  <c r="BU1320" s="56"/>
    </row>
    <row r="1321" spans="48:73">
      <c r="AX1321" s="45"/>
      <c r="AY1321" s="45"/>
      <c r="AZ1321" s="56"/>
      <c r="BA1321" s="56"/>
      <c r="BB1321" s="56"/>
      <c r="BC1321" s="51"/>
      <c r="BD1321" s="56"/>
      <c r="BE1321" s="56"/>
      <c r="BF1321" s="56"/>
      <c r="BG1321" s="51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  <c r="BU1321" s="56"/>
    </row>
    <row r="1322" spans="48:73">
      <c r="AX1322" s="45"/>
      <c r="AY1322" s="45"/>
      <c r="AZ1322" s="56"/>
      <c r="BA1322" s="56"/>
      <c r="BB1322" s="56"/>
      <c r="BC1322" s="51"/>
      <c r="BD1322" s="56"/>
      <c r="BE1322" s="56"/>
      <c r="BF1322" s="56"/>
      <c r="BG1322" s="51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  <c r="BU1322" s="56"/>
    </row>
    <row r="1323" spans="48:73">
      <c r="BB1323" s="56"/>
      <c r="BD1323" s="56"/>
      <c r="BE1323" s="56"/>
      <c r="BF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  <c r="BU1323" s="56"/>
    </row>
    <row r="1324" spans="48:73">
      <c r="AV1324" s="42"/>
      <c r="AX1324" s="45"/>
      <c r="AY1324" s="45"/>
      <c r="AZ1324" s="56"/>
      <c r="BA1324" s="56"/>
      <c r="BB1324" s="56"/>
      <c r="BC1324" s="51"/>
      <c r="BD1324" s="56"/>
      <c r="BE1324" s="56"/>
      <c r="BF1324" s="56"/>
      <c r="BG1324" s="51"/>
    </row>
    <row r="1325" spans="48:73">
      <c r="AX1325" s="45"/>
      <c r="AY1325" s="45"/>
      <c r="AZ1325" s="56"/>
      <c r="BA1325" s="56"/>
      <c r="BB1325" s="56"/>
      <c r="BC1325" s="51"/>
      <c r="BD1325" s="56"/>
      <c r="BE1325" s="56"/>
      <c r="BF1325" s="56"/>
      <c r="BG1325" s="51"/>
    </row>
    <row r="1326" spans="48:73">
      <c r="AX1326" s="45"/>
      <c r="AY1326" s="45"/>
      <c r="AZ1326" s="56"/>
      <c r="BA1326" s="56"/>
      <c r="BB1326" s="56"/>
      <c r="BC1326" s="51"/>
      <c r="BD1326" s="56"/>
      <c r="BE1326" s="56"/>
      <c r="BF1326" s="56"/>
      <c r="BG1326" s="51"/>
    </row>
    <row r="1327" spans="48:73">
      <c r="AX1327" s="45"/>
      <c r="AY1327" s="45"/>
      <c r="AZ1327" s="56"/>
      <c r="BA1327" s="56"/>
      <c r="BB1327" s="56"/>
      <c r="BC1327" s="51"/>
      <c r="BD1327" s="56"/>
      <c r="BE1327" s="56"/>
      <c r="BF1327" s="56"/>
      <c r="BG1327" s="51"/>
    </row>
    <row r="1328" spans="48:73">
      <c r="AX1328" s="45"/>
      <c r="AY1328" s="45"/>
      <c r="AZ1328" s="56"/>
      <c r="BA1328" s="56"/>
      <c r="BB1328" s="56"/>
      <c r="BC1328" s="51"/>
      <c r="BD1328" s="56"/>
      <c r="BE1328" s="56"/>
      <c r="BF1328" s="56"/>
      <c r="BG1328" s="51"/>
    </row>
    <row r="1329" spans="49:59">
      <c r="AX1329" s="45"/>
      <c r="AY1329" s="45"/>
      <c r="AZ1329" s="56"/>
      <c r="BA1329" s="56"/>
      <c r="BB1329" s="56"/>
      <c r="BC1329" s="51"/>
      <c r="BD1329" s="56"/>
      <c r="BE1329" s="56"/>
      <c r="BF1329" s="56"/>
      <c r="BG1329" s="51"/>
    </row>
    <row r="1330" spans="49:59">
      <c r="AX1330" s="45"/>
      <c r="AY1330" s="45"/>
      <c r="AZ1330" s="56"/>
      <c r="BA1330" s="56"/>
      <c r="BB1330" s="56"/>
      <c r="BC1330" s="51"/>
      <c r="BD1330" s="56"/>
      <c r="BE1330" s="56"/>
      <c r="BF1330" s="56"/>
      <c r="BG1330" s="51"/>
    </row>
    <row r="1331" spans="49:59">
      <c r="AX1331" s="45"/>
      <c r="AY1331" s="45"/>
      <c r="AZ1331" s="56"/>
      <c r="BA1331" s="56"/>
      <c r="BB1331" s="56"/>
      <c r="BC1331" s="51"/>
      <c r="BD1331" s="56"/>
      <c r="BE1331" s="56"/>
      <c r="BF1331" s="56"/>
      <c r="BG1331" s="51"/>
    </row>
    <row r="1332" spans="49:59">
      <c r="AX1332" s="45"/>
      <c r="AY1332" s="45"/>
      <c r="AZ1332" s="56"/>
      <c r="BA1332" s="56"/>
      <c r="BB1332" s="56"/>
      <c r="BC1332" s="51"/>
      <c r="BD1332" s="56"/>
      <c r="BE1332" s="56"/>
      <c r="BF1332" s="56"/>
      <c r="BG1332" s="51"/>
    </row>
    <row r="1333" spans="49:59">
      <c r="AX1333" s="45"/>
      <c r="AY1333" s="45"/>
      <c r="AZ1333" s="56"/>
      <c r="BA1333" s="56"/>
      <c r="BB1333" s="56"/>
      <c r="BC1333" s="51"/>
      <c r="BD1333" s="56"/>
      <c r="BE1333" s="56"/>
      <c r="BF1333" s="56"/>
      <c r="BG1333" s="51"/>
    </row>
    <row r="1334" spans="49:59">
      <c r="AX1334" s="45"/>
      <c r="AY1334" s="45"/>
      <c r="AZ1334" s="56"/>
      <c r="BA1334" s="56"/>
      <c r="BB1334" s="56"/>
      <c r="BC1334" s="51"/>
      <c r="BD1334" s="56"/>
      <c r="BE1334" s="56"/>
      <c r="BF1334" s="56"/>
      <c r="BG1334" s="51"/>
    </row>
    <row r="1335" spans="49:59">
      <c r="AX1335" s="45"/>
      <c r="AY1335" s="45"/>
      <c r="AZ1335" s="56"/>
      <c r="BA1335" s="56"/>
      <c r="BB1335" s="56"/>
      <c r="BC1335" s="51"/>
      <c r="BD1335" s="56"/>
      <c r="BE1335" s="56"/>
      <c r="BF1335" s="56"/>
      <c r="BG1335" s="51"/>
    </row>
    <row r="1336" spans="49:59">
      <c r="AX1336" s="45"/>
      <c r="AY1336" s="45"/>
      <c r="AZ1336" s="56"/>
      <c r="BA1336" s="56"/>
      <c r="BB1336" s="56"/>
      <c r="BC1336" s="51"/>
      <c r="BD1336" s="56"/>
      <c r="BE1336" s="56"/>
      <c r="BF1336" s="56"/>
      <c r="BG1336" s="51"/>
    </row>
    <row r="1337" spans="49:59">
      <c r="AX1337" s="45"/>
      <c r="AY1337" s="45"/>
      <c r="AZ1337" s="56"/>
      <c r="BA1337" s="56"/>
      <c r="BB1337" s="56"/>
      <c r="BC1337" s="51"/>
      <c r="BD1337" s="56"/>
      <c r="BE1337" s="56"/>
      <c r="BF1337" s="56"/>
      <c r="BG1337" s="51"/>
    </row>
    <row r="1338" spans="49:59">
      <c r="AX1338" s="45"/>
      <c r="AY1338" s="45"/>
      <c r="AZ1338" s="56"/>
      <c r="BA1338" s="56"/>
      <c r="BB1338" s="56"/>
      <c r="BC1338" s="51"/>
      <c r="BD1338" s="56"/>
      <c r="BE1338" s="56"/>
      <c r="BF1338" s="56"/>
      <c r="BG1338" s="51"/>
    </row>
    <row r="1339" spans="49:59">
      <c r="AX1339" s="45"/>
      <c r="AY1339" s="45"/>
      <c r="AZ1339" s="56"/>
      <c r="BA1339" s="56"/>
      <c r="BB1339" s="56"/>
      <c r="BC1339" s="51"/>
      <c r="BD1339" s="56"/>
      <c r="BE1339" s="56"/>
      <c r="BF1339" s="56"/>
      <c r="BG1339" s="51"/>
    </row>
    <row r="1340" spans="49:59">
      <c r="AX1340" s="45"/>
      <c r="AY1340" s="45"/>
      <c r="AZ1340" s="56"/>
      <c r="BA1340" s="56"/>
      <c r="BB1340" s="56"/>
      <c r="BC1340" s="51"/>
      <c r="BD1340" s="56"/>
      <c r="BE1340" s="56"/>
      <c r="BF1340" s="56"/>
      <c r="BG1340" s="51"/>
    </row>
    <row r="1341" spans="49:59">
      <c r="AX1341" s="45"/>
      <c r="AY1341" s="45"/>
      <c r="AZ1341" s="56"/>
      <c r="BA1341" s="56"/>
      <c r="BB1341" s="56"/>
      <c r="BC1341" s="51"/>
      <c r="BD1341" s="56"/>
      <c r="BE1341" s="56"/>
      <c r="BF1341" s="56"/>
      <c r="BG1341" s="51"/>
    </row>
    <row r="1342" spans="49:59">
      <c r="BD1342" s="56"/>
    </row>
    <row r="1343" spans="49:59">
      <c r="AW1343" s="42"/>
      <c r="BD1343" s="56"/>
    </row>
    <row r="1344" spans="49:59">
      <c r="AW1344" s="42"/>
    </row>
    <row r="1345" spans="47:59">
      <c r="AW1345" s="42"/>
      <c r="BD1345" s="56"/>
    </row>
    <row r="1346" spans="47:59">
      <c r="AU1346" s="42"/>
      <c r="BB1346" s="56"/>
      <c r="BD1346" s="56"/>
    </row>
    <row r="1347" spans="47:59">
      <c r="BB1347" s="56"/>
      <c r="BD1347" s="56"/>
    </row>
    <row r="1348" spans="47:59">
      <c r="BA1348" s="56"/>
      <c r="BB1348" s="56"/>
      <c r="BD1348" s="56"/>
    </row>
    <row r="1349" spans="47:59">
      <c r="BA1349" s="42"/>
      <c r="BB1349" s="56"/>
      <c r="BD1349" s="56"/>
    </row>
    <row r="1350" spans="47:59">
      <c r="BA1350" s="42"/>
      <c r="BB1350" s="56"/>
      <c r="BD1350" s="56"/>
    </row>
    <row r="1351" spans="47:59">
      <c r="BB1351" s="56"/>
      <c r="BD1351" s="56"/>
      <c r="BF1351" s="42"/>
    </row>
    <row r="1352" spans="47:59">
      <c r="BB1352" s="56"/>
      <c r="BD1352" s="56"/>
      <c r="BF1352" s="42"/>
    </row>
    <row r="1353" spans="47:59">
      <c r="AU1353" s="42"/>
      <c r="BB1353" s="56"/>
      <c r="BD1353" s="56"/>
      <c r="BF1353" s="42"/>
    </row>
    <row r="1354" spans="47:59">
      <c r="BB1354" s="56"/>
      <c r="BD1354" s="56"/>
    </row>
    <row r="1355" spans="47:59">
      <c r="AU1355" s="49"/>
      <c r="AV1355" s="49"/>
      <c r="AW1355" s="49"/>
      <c r="AX1355" s="49"/>
      <c r="AY1355" s="49"/>
      <c r="AZ1355" s="49"/>
      <c r="BA1355" s="49"/>
      <c r="BB1355" s="57"/>
      <c r="BC1355" s="49"/>
      <c r="BD1355" s="57"/>
      <c r="BE1355" s="49"/>
      <c r="BF1355" s="49"/>
      <c r="BG1355" s="49"/>
    </row>
    <row r="1356" spans="47:59">
      <c r="AZ1356" s="42"/>
      <c r="BB1356" s="56"/>
      <c r="BD1356" s="56"/>
    </row>
    <row r="1357" spans="47:59">
      <c r="AZ1357" s="49"/>
      <c r="BA1357" s="49"/>
      <c r="BB1357" s="57"/>
      <c r="BC1357" s="49"/>
      <c r="BD1357" s="56"/>
      <c r="BE1357" s="44"/>
      <c r="BF1357" s="44"/>
    </row>
    <row r="1358" spans="47:59">
      <c r="AX1358" s="44"/>
      <c r="AY1358" s="44"/>
      <c r="BB1358" s="58"/>
      <c r="BC1358" s="44"/>
      <c r="BD1358" s="56"/>
      <c r="BE1358" s="44"/>
      <c r="BF1358" s="44"/>
      <c r="BG1358" s="44"/>
    </row>
    <row r="1359" spans="47:59">
      <c r="AX1359" s="44"/>
      <c r="AY1359" s="44"/>
      <c r="AZ1359" s="44"/>
      <c r="BA1359" s="44"/>
      <c r="BB1359" s="58"/>
      <c r="BC1359" s="44"/>
      <c r="BD1359" s="58"/>
      <c r="BE1359" s="44"/>
      <c r="BF1359" s="44"/>
      <c r="BG1359" s="44"/>
    </row>
    <row r="1360" spans="47:59">
      <c r="AU1360" s="44"/>
      <c r="AW1360" s="42"/>
      <c r="AX1360" s="44"/>
      <c r="AY1360" s="44"/>
      <c r="AZ1360" s="44"/>
      <c r="BA1360" s="44"/>
      <c r="BB1360" s="58"/>
      <c r="BC1360" s="44"/>
      <c r="BD1360" s="58"/>
      <c r="BE1360" s="44"/>
      <c r="BF1360" s="44"/>
      <c r="BG1360" s="44"/>
    </row>
    <row r="1361" spans="47:59">
      <c r="AU1361" s="44"/>
      <c r="AW1361" s="42"/>
      <c r="AX1361" s="44"/>
      <c r="AY1361" s="44"/>
      <c r="AZ1361" s="44"/>
      <c r="BA1361" s="44"/>
      <c r="BB1361" s="58"/>
      <c r="BC1361" s="44"/>
      <c r="BD1361" s="58"/>
      <c r="BE1361" s="44"/>
      <c r="BF1361" s="44"/>
      <c r="BG1361" s="44"/>
    </row>
    <row r="1362" spans="47:59">
      <c r="AU1362" s="49"/>
      <c r="AV1362" s="49"/>
      <c r="AW1362" s="49"/>
      <c r="AX1362" s="49"/>
      <c r="AY1362" s="49"/>
      <c r="AZ1362" s="49"/>
      <c r="BA1362" s="49"/>
      <c r="BB1362" s="57"/>
      <c r="BC1362" s="49"/>
      <c r="BD1362" s="57"/>
      <c r="BE1362" s="49"/>
      <c r="BF1362" s="49"/>
      <c r="BG1362" s="49"/>
    </row>
    <row r="1363" spans="47:59">
      <c r="AX1363" s="44"/>
      <c r="AY1363" s="44"/>
      <c r="AZ1363" s="44"/>
      <c r="BA1363" s="44"/>
      <c r="BB1363" s="58"/>
      <c r="BC1363" s="44"/>
      <c r="BD1363" s="58"/>
      <c r="BE1363" s="44"/>
      <c r="BF1363" s="44"/>
      <c r="BG1363" s="44"/>
    </row>
    <row r="1364" spans="47:59">
      <c r="AV1364" s="42"/>
      <c r="AX1364" s="45"/>
      <c r="AY1364" s="45"/>
      <c r="AZ1364" s="56"/>
      <c r="BA1364" s="56"/>
      <c r="BB1364" s="56"/>
      <c r="BC1364" s="51"/>
      <c r="BD1364" s="56"/>
      <c r="BE1364" s="56"/>
      <c r="BF1364" s="56"/>
      <c r="BG1364" s="51"/>
    </row>
    <row r="1365" spans="47:59">
      <c r="AX1365" s="45"/>
      <c r="AY1365" s="45"/>
      <c r="AZ1365" s="56"/>
      <c r="BA1365" s="56"/>
      <c r="BB1365" s="56"/>
      <c r="BC1365" s="51"/>
      <c r="BD1365" s="56"/>
      <c r="BE1365" s="56"/>
      <c r="BF1365" s="56"/>
      <c r="BG1365" s="51"/>
    </row>
    <row r="1366" spans="47:59">
      <c r="AX1366" s="45"/>
      <c r="AY1366" s="45"/>
      <c r="AZ1366" s="56"/>
      <c r="BA1366" s="56"/>
      <c r="BB1366" s="56"/>
      <c r="BC1366" s="51"/>
      <c r="BD1366" s="56"/>
      <c r="BE1366" s="56"/>
      <c r="BF1366" s="56"/>
      <c r="BG1366" s="51"/>
    </row>
    <row r="1367" spans="47:59">
      <c r="AX1367" s="45"/>
      <c r="AY1367" s="45"/>
      <c r="AZ1367" s="56"/>
      <c r="BA1367" s="56"/>
      <c r="BB1367" s="56"/>
      <c r="BC1367" s="51"/>
      <c r="BD1367" s="56"/>
      <c r="BE1367" s="56"/>
      <c r="BF1367" s="56"/>
      <c r="BG1367" s="51"/>
    </row>
    <row r="1368" spans="47:59">
      <c r="AX1368" s="45"/>
      <c r="AY1368" s="45"/>
      <c r="AZ1368" s="56"/>
      <c r="BA1368" s="56"/>
      <c r="BB1368" s="56"/>
      <c r="BC1368" s="51"/>
      <c r="BD1368" s="56"/>
      <c r="BE1368" s="56"/>
      <c r="BF1368" s="56"/>
      <c r="BG1368" s="51"/>
    </row>
    <row r="1369" spans="47:59">
      <c r="AX1369" s="45"/>
      <c r="AY1369" s="45"/>
      <c r="AZ1369" s="56"/>
      <c r="BA1369" s="56"/>
      <c r="BB1369" s="56"/>
      <c r="BC1369" s="51"/>
      <c r="BD1369" s="56"/>
      <c r="BE1369" s="56"/>
      <c r="BF1369" s="56"/>
      <c r="BG1369" s="51"/>
    </row>
    <row r="1370" spans="47:59">
      <c r="AX1370" s="45"/>
      <c r="AY1370" s="45"/>
      <c r="AZ1370" s="56"/>
      <c r="BA1370" s="56"/>
      <c r="BB1370" s="56"/>
      <c r="BC1370" s="51"/>
      <c r="BD1370" s="56"/>
      <c r="BE1370" s="56"/>
      <c r="BF1370" s="56"/>
      <c r="BG1370" s="51"/>
    </row>
    <row r="1371" spans="47:59">
      <c r="AX1371" s="45"/>
      <c r="AY1371" s="45"/>
      <c r="AZ1371" s="56"/>
      <c r="BA1371" s="56"/>
      <c r="BB1371" s="56"/>
      <c r="BC1371" s="51"/>
      <c r="BD1371" s="56"/>
      <c r="BE1371" s="56"/>
      <c r="BF1371" s="56"/>
      <c r="BG1371" s="51"/>
    </row>
    <row r="1372" spans="47:59">
      <c r="AX1372" s="45"/>
      <c r="AY1372" s="45"/>
      <c r="AZ1372" s="56"/>
      <c r="BA1372" s="56"/>
      <c r="BB1372" s="56"/>
      <c r="BC1372" s="51"/>
      <c r="BD1372" s="56"/>
      <c r="BE1372" s="56"/>
      <c r="BF1372" s="56"/>
      <c r="BG1372" s="51"/>
    </row>
    <row r="1373" spans="47:59">
      <c r="AX1373" s="45"/>
      <c r="AY1373" s="45"/>
      <c r="AZ1373" s="56"/>
      <c r="BA1373" s="56"/>
      <c r="BB1373" s="56"/>
      <c r="BC1373" s="51"/>
      <c r="BD1373" s="56"/>
      <c r="BE1373" s="56"/>
      <c r="BF1373" s="56"/>
      <c r="BG1373" s="51"/>
    </row>
    <row r="1374" spans="47:59">
      <c r="AX1374" s="45"/>
      <c r="AY1374" s="45"/>
      <c r="BD1374" s="56"/>
    </row>
    <row r="1375" spans="47:59">
      <c r="AV1375" s="42"/>
      <c r="AX1375" s="45"/>
      <c r="AY1375" s="45"/>
      <c r="AZ1375" s="56"/>
      <c r="BA1375" s="56"/>
      <c r="BB1375" s="56"/>
      <c r="BC1375" s="51"/>
      <c r="BD1375" s="56"/>
      <c r="BE1375" s="56"/>
      <c r="BF1375" s="56"/>
      <c r="BG1375" s="51"/>
    </row>
    <row r="1376" spans="47:59">
      <c r="AX1376" s="45"/>
      <c r="AY1376" s="45"/>
      <c r="AZ1376" s="56"/>
      <c r="BA1376" s="56"/>
      <c r="BB1376" s="56"/>
      <c r="BC1376" s="51"/>
      <c r="BD1376" s="56"/>
      <c r="BE1376" s="56"/>
      <c r="BF1376" s="56"/>
      <c r="BG1376" s="51"/>
    </row>
    <row r="1377" spans="47:59">
      <c r="AX1377" s="45"/>
      <c r="AY1377" s="45"/>
      <c r="AZ1377" s="56"/>
      <c r="BA1377" s="56"/>
      <c r="BB1377" s="56"/>
      <c r="BC1377" s="51"/>
      <c r="BD1377" s="56"/>
      <c r="BE1377" s="56"/>
      <c r="BF1377" s="56"/>
      <c r="BG1377" s="51"/>
    </row>
    <row r="1378" spans="47:59">
      <c r="AX1378" s="45"/>
      <c r="AY1378" s="45"/>
      <c r="AZ1378" s="56"/>
      <c r="BA1378" s="56"/>
      <c r="BB1378" s="56"/>
      <c r="BC1378" s="51"/>
      <c r="BD1378" s="56"/>
      <c r="BE1378" s="56"/>
      <c r="BF1378" s="56"/>
      <c r="BG1378" s="51"/>
    </row>
    <row r="1379" spans="47:59">
      <c r="AX1379" s="45"/>
      <c r="AY1379" s="45"/>
      <c r="AZ1379" s="56"/>
      <c r="BA1379" s="56"/>
      <c r="BB1379" s="56"/>
      <c r="BC1379" s="51"/>
      <c r="BD1379" s="56"/>
      <c r="BE1379" s="56"/>
      <c r="BF1379" s="56"/>
      <c r="BG1379" s="51"/>
    </row>
    <row r="1380" spans="47:59">
      <c r="AX1380" s="45"/>
      <c r="AY1380" s="45"/>
      <c r="AZ1380" s="56"/>
      <c r="BA1380" s="56"/>
      <c r="BB1380" s="56"/>
      <c r="BC1380" s="51"/>
      <c r="BD1380" s="56"/>
      <c r="BE1380" s="56"/>
      <c r="BF1380" s="56"/>
      <c r="BG1380" s="51"/>
    </row>
    <row r="1381" spans="47:59">
      <c r="AX1381" s="45"/>
      <c r="AY1381" s="45"/>
      <c r="AZ1381" s="56"/>
      <c r="BA1381" s="56"/>
      <c r="BB1381" s="56"/>
      <c r="BC1381" s="51"/>
      <c r="BD1381" s="56"/>
      <c r="BE1381" s="56"/>
      <c r="BF1381" s="56"/>
      <c r="BG1381" s="51"/>
    </row>
    <row r="1382" spans="47:59">
      <c r="AX1382" s="45"/>
      <c r="AY1382" s="45"/>
      <c r="AZ1382" s="56"/>
      <c r="BA1382" s="56"/>
      <c r="BB1382" s="56"/>
      <c r="BC1382" s="51"/>
      <c r="BD1382" s="56"/>
      <c r="BE1382" s="56"/>
      <c r="BF1382" s="56"/>
      <c r="BG1382" s="51"/>
    </row>
    <row r="1383" spans="47:59">
      <c r="AX1383" s="45"/>
      <c r="AY1383" s="45"/>
      <c r="AZ1383" s="56"/>
      <c r="BA1383" s="56"/>
      <c r="BB1383" s="56"/>
      <c r="BC1383" s="51"/>
      <c r="BD1383" s="56"/>
      <c r="BE1383" s="56"/>
      <c r="BF1383" s="56"/>
      <c r="BG1383" s="51"/>
    </row>
    <row r="1384" spans="47:59">
      <c r="AX1384" s="45"/>
      <c r="AY1384" s="45"/>
      <c r="AZ1384" s="56"/>
      <c r="BA1384" s="56"/>
      <c r="BB1384" s="56"/>
      <c r="BC1384" s="51"/>
      <c r="BD1384" s="56"/>
      <c r="BE1384" s="56"/>
      <c r="BF1384" s="56"/>
      <c r="BG1384" s="51"/>
    </row>
    <row r="1386" spans="47:59">
      <c r="AW1386" s="42"/>
    </row>
    <row r="1387" spans="47:59">
      <c r="AW1387" s="42"/>
    </row>
    <row r="1388" spans="47:59">
      <c r="AW1388" s="42"/>
    </row>
    <row r="1389" spans="47:59">
      <c r="AU1389" s="42"/>
    </row>
    <row r="1410" spans="54:73">
      <c r="BB1410" s="56"/>
      <c r="BD1410" s="56"/>
      <c r="BE1410" s="56"/>
      <c r="BF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56"/>
      <c r="BS1410" s="56"/>
      <c r="BT1410" s="56"/>
      <c r="BU1410" s="56"/>
    </row>
    <row r="1411" spans="54:73">
      <c r="BB1411" s="56"/>
      <c r="BD1411" s="56"/>
      <c r="BE1411" s="56"/>
      <c r="BF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  <c r="BU1411" s="56"/>
    </row>
    <row r="1412" spans="54:73">
      <c r="BB1412" s="56"/>
      <c r="BD1412" s="56"/>
      <c r="BE1412" s="56"/>
      <c r="BF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  <c r="BU1412" s="56"/>
    </row>
    <row r="1413" spans="54:73">
      <c r="BB1413" s="56"/>
      <c r="BD1413" s="56"/>
      <c r="BE1413" s="56"/>
      <c r="BF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  <c r="BU1413" s="56"/>
    </row>
    <row r="1414" spans="54:73">
      <c r="BB1414" s="56"/>
      <c r="BD1414" s="56"/>
      <c r="BE1414" s="56"/>
      <c r="BF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  <c r="BU1414" s="56"/>
    </row>
    <row r="1415" spans="54:73">
      <c r="BB1415" s="56"/>
      <c r="BD1415" s="56"/>
      <c r="BE1415" s="56"/>
      <c r="BF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  <c r="BU1415" s="56"/>
    </row>
    <row r="1416" spans="54:73">
      <c r="BB1416" s="56"/>
      <c r="BD1416" s="56"/>
      <c r="BE1416" s="56"/>
      <c r="BF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  <c r="BU1416" s="56"/>
    </row>
    <row r="1417" spans="54:73">
      <c r="BB1417" s="56"/>
      <c r="BD1417" s="56"/>
      <c r="BE1417" s="56"/>
      <c r="BF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  <c r="BU1417" s="56"/>
    </row>
    <row r="1418" spans="54:73">
      <c r="BB1418" s="56"/>
      <c r="BD1418" s="56"/>
      <c r="BE1418" s="56"/>
      <c r="BF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</row>
    <row r="1419" spans="54:73">
      <c r="BB1419" s="56"/>
      <c r="BD1419" s="56"/>
      <c r="BE1419" s="56"/>
      <c r="BF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  <c r="BU1419" s="56"/>
    </row>
    <row r="1420" spans="54:73">
      <c r="BB1420" s="56"/>
      <c r="BD1420" s="56"/>
      <c r="BE1420" s="56"/>
      <c r="BF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</row>
    <row r="1421" spans="54:73">
      <c r="BB1421" s="56"/>
      <c r="BD1421" s="56"/>
      <c r="BE1421" s="56"/>
      <c r="BF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</row>
    <row r="1422" spans="54:73">
      <c r="BB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  <c r="BU1422" s="56"/>
    </row>
    <row r="1423" spans="54:73">
      <c r="BB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  <c r="BU1423" s="56"/>
    </row>
    <row r="1424" spans="54:73">
      <c r="BB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</row>
    <row r="1425" spans="22:73">
      <c r="BB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  <c r="BU1425" s="56"/>
    </row>
    <row r="1426" spans="22:73">
      <c r="BB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  <c r="BU1426" s="56"/>
    </row>
    <row r="1427" spans="22:73">
      <c r="BB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  <c r="BU1427" s="56"/>
    </row>
    <row r="1428" spans="22:73">
      <c r="BB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  <c r="BU1428" s="56"/>
    </row>
    <row r="1429" spans="22:73">
      <c r="BB1429" s="56"/>
    </row>
    <row r="1430" spans="22:73">
      <c r="BB1430" s="56"/>
    </row>
    <row r="1437" spans="22:73">
      <c r="AA1437" s="42"/>
    </row>
    <row r="1439" spans="22:73">
      <c r="V1439" s="44"/>
      <c r="AC1439" s="44"/>
      <c r="AD1439" s="44"/>
    </row>
    <row r="1440" spans="22:73">
      <c r="V1440" s="49"/>
      <c r="AC1440" s="49"/>
      <c r="AD1440" s="49"/>
    </row>
    <row r="1441" spans="1:30">
      <c r="U1441" s="42"/>
      <c r="AC1441" s="44"/>
      <c r="AD1441" s="44"/>
    </row>
    <row r="1443" spans="1:30">
      <c r="U1443" s="42"/>
      <c r="AC1443" s="44"/>
      <c r="AD1443" s="44"/>
    </row>
    <row r="1444" spans="1:30">
      <c r="A1444" s="42"/>
    </row>
    <row r="1445" spans="1:30">
      <c r="U1445" s="42"/>
      <c r="V1445" s="339"/>
      <c r="AC1445" s="44"/>
      <c r="AD1445" s="44"/>
    </row>
    <row r="1447" spans="1:30">
      <c r="U1447" s="42"/>
      <c r="AC1447" s="44"/>
      <c r="AD1447" s="44"/>
    </row>
    <row r="1448" spans="1:30">
      <c r="A1448" s="42"/>
      <c r="H1448" s="42"/>
      <c r="I1448" s="42"/>
    </row>
    <row r="1449" spans="1:30">
      <c r="A1449" s="42"/>
      <c r="U1449" s="42"/>
      <c r="AC1449" s="44"/>
      <c r="AD1449" s="44"/>
    </row>
    <row r="1450" spans="1:30">
      <c r="A1450" s="42"/>
    </row>
    <row r="1451" spans="1:30">
      <c r="A1451" s="42"/>
    </row>
    <row r="1452" spans="1:30">
      <c r="A1452" s="42"/>
    </row>
    <row r="1453" spans="1:30">
      <c r="A1453" s="42"/>
    </row>
    <row r="1454" spans="1:30">
      <c r="A1454" s="42"/>
    </row>
    <row r="1455" spans="1:30">
      <c r="A1455" s="42"/>
    </row>
    <row r="1456" spans="1:30">
      <c r="A1456" s="42"/>
    </row>
    <row r="1457" spans="1:9">
      <c r="A1457" s="42"/>
    </row>
    <row r="1458" spans="1:9">
      <c r="A1458" s="42"/>
    </row>
    <row r="1459" spans="1:9">
      <c r="A1459" s="42"/>
    </row>
    <row r="1460" spans="1:9">
      <c r="A1460" s="42"/>
    </row>
    <row r="1461" spans="1:9">
      <c r="A1461" s="42"/>
    </row>
    <row r="1462" spans="1:9">
      <c r="A1462" s="42"/>
    </row>
    <row r="1463" spans="1:9">
      <c r="A1463" s="42"/>
    </row>
    <row r="1464" spans="1:9">
      <c r="A1464" s="42"/>
    </row>
    <row r="1465" spans="1:9">
      <c r="A1465" s="42"/>
    </row>
    <row r="1466" spans="1:9">
      <c r="A1466" s="42"/>
    </row>
    <row r="1467" spans="1:9">
      <c r="A1467" s="42"/>
    </row>
    <row r="1468" spans="1:9">
      <c r="A1468" s="42"/>
    </row>
    <row r="1469" spans="1:9">
      <c r="A1469" s="42"/>
    </row>
    <row r="1470" spans="1:9">
      <c r="A1470" s="42"/>
      <c r="H1470" s="42"/>
      <c r="I1470" s="42"/>
    </row>
    <row r="1473" spans="1:1">
      <c r="A1473" s="42"/>
    </row>
    <row r="1476" spans="1:1">
      <c r="A1476" s="42"/>
    </row>
    <row r="1479" spans="1:1">
      <c r="A1479" s="42"/>
    </row>
    <row r="1480" spans="1:1">
      <c r="A1480" s="42"/>
    </row>
    <row r="1481" spans="1:1">
      <c r="A1481" s="42"/>
    </row>
    <row r="1482" spans="1:1">
      <c r="A1482" s="42"/>
    </row>
    <row r="1483" spans="1:1">
      <c r="A1483" s="42"/>
    </row>
    <row r="1484" spans="1:1">
      <c r="A1484" s="42"/>
    </row>
    <row r="1485" spans="1:1">
      <c r="A1485" s="42"/>
    </row>
    <row r="1486" spans="1:1">
      <c r="A1486" s="42"/>
    </row>
    <row r="1487" spans="1:1">
      <c r="A1487" s="42"/>
    </row>
    <row r="1488" spans="1:1">
      <c r="A1488" s="42"/>
    </row>
    <row r="1489" spans="1:1">
      <c r="A1489" s="42"/>
    </row>
    <row r="1490" spans="1:1">
      <c r="A1490" s="42"/>
    </row>
    <row r="1491" spans="1:1">
      <c r="A1491" s="42"/>
    </row>
    <row r="1492" spans="1:1">
      <c r="A1492" s="42"/>
    </row>
    <row r="1493" spans="1:1">
      <c r="A1493" s="42"/>
    </row>
    <row r="1494" spans="1:1">
      <c r="A1494" s="42"/>
    </row>
    <row r="1495" spans="1:1">
      <c r="A1495" s="42"/>
    </row>
    <row r="1496" spans="1:1">
      <c r="A1496" s="42"/>
    </row>
    <row r="1497" spans="1:1">
      <c r="A1497" s="42"/>
    </row>
    <row r="1498" spans="1:1">
      <c r="A1498" s="42"/>
    </row>
    <row r="1499" spans="1:1">
      <c r="A1499" s="42"/>
    </row>
    <row r="1500" spans="1:1">
      <c r="A1500" s="42"/>
    </row>
    <row r="1501" spans="1:1">
      <c r="A1501" s="42"/>
    </row>
    <row r="1502" spans="1:1">
      <c r="A1502" s="42"/>
    </row>
    <row r="1503" spans="1:1">
      <c r="A1503" s="42"/>
    </row>
    <row r="1504" spans="1:1">
      <c r="A1504" s="42"/>
    </row>
    <row r="1505" spans="1:1">
      <c r="A1505" s="42"/>
    </row>
    <row r="1506" spans="1:1">
      <c r="A1506" s="42"/>
    </row>
    <row r="1507" spans="1:1">
      <c r="A1507" s="42"/>
    </row>
    <row r="1508" spans="1:1">
      <c r="A1508" s="42"/>
    </row>
    <row r="1509" spans="1:1">
      <c r="A1509" s="42"/>
    </row>
    <row r="1510" spans="1:1">
      <c r="A1510" s="42"/>
    </row>
    <row r="1511" spans="1:1">
      <c r="A1511" s="42"/>
    </row>
    <row r="1512" spans="1:1">
      <c r="A1512" s="42"/>
    </row>
    <row r="1513" spans="1:1">
      <c r="A1513" s="42"/>
    </row>
    <row r="1518" spans="1:1">
      <c r="A1518" s="42"/>
    </row>
    <row r="1519" spans="1:1">
      <c r="A1519" s="42"/>
    </row>
    <row r="1522" spans="1:1">
      <c r="A1522" s="42"/>
    </row>
    <row r="1524" spans="1:1">
      <c r="A1524" s="42"/>
    </row>
    <row r="1526" spans="1:1">
      <c r="A1526" s="42"/>
    </row>
    <row r="1528" spans="1:1">
      <c r="A1528" s="42"/>
    </row>
    <row r="1531" spans="1:1">
      <c r="A1531" s="42"/>
    </row>
    <row r="1532" spans="1:1">
      <c r="A1532" s="42"/>
    </row>
    <row r="1533" spans="1:1">
      <c r="A1533" s="42"/>
    </row>
    <row r="1534" spans="1:1">
      <c r="A1534" s="42"/>
    </row>
    <row r="1535" spans="1:1">
      <c r="A1535" s="42"/>
    </row>
    <row r="1536" spans="1:1">
      <c r="A1536" s="42"/>
    </row>
    <row r="1537" spans="1:1">
      <c r="A1537" s="42"/>
    </row>
    <row r="1538" spans="1:1">
      <c r="A1538" s="42"/>
    </row>
  </sheetData>
  <mergeCells count="5">
    <mergeCell ref="T622:AQ622"/>
    <mergeCell ref="T352:AQ352"/>
    <mergeCell ref="T418:AQ418"/>
    <mergeCell ref="T489:AQ489"/>
    <mergeCell ref="T555:AQ555"/>
  </mergeCells>
  <printOptions horizontalCentered="1"/>
  <pageMargins left="0.5" right="0.5" top="1" bottom="0.5" header="0" footer="0"/>
  <pageSetup scale="40" orientation="landscape" r:id="rId1"/>
  <headerFooter alignWithMargins="0"/>
  <rowBreaks count="1" manualBreakCount="1">
    <brk id="122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0" transitionEvaluation="1" codeName="Sheet3">
    <pageSetUpPr fitToPage="1"/>
  </sheetPr>
  <dimension ref="A1:Q886"/>
  <sheetViews>
    <sheetView topLeftCell="A10" workbookViewId="0"/>
  </sheetViews>
  <sheetFormatPr defaultColWidth="9.69921875" defaultRowHeight="15.75"/>
  <cols>
    <col min="1" max="1" width="5.09765625" style="41" customWidth="1"/>
    <col min="2" max="2" width="0.296875" style="41" customWidth="1"/>
    <col min="3" max="3" width="63.09765625" style="41" bestFit="1" customWidth="1"/>
    <col min="4" max="4" width="1.296875" style="41" customWidth="1"/>
    <col min="5" max="5" width="14.69921875" style="41" customWidth="1"/>
    <col min="6" max="6" width="0.59765625" style="41" customWidth="1"/>
    <col min="7" max="7" width="14.69921875" style="41" customWidth="1"/>
    <col min="8" max="8" width="0.69921875" style="41" customWidth="1"/>
    <col min="9" max="9" width="12.3984375" style="41" customWidth="1"/>
    <col min="10" max="10" width="0.69921875" style="41" customWidth="1"/>
    <col min="11" max="11" width="9.09765625" style="41" customWidth="1"/>
    <col min="12" max="12" width="3.09765625" style="41" customWidth="1"/>
    <col min="13" max="13" width="13" style="41" customWidth="1"/>
    <col min="14" max="14" width="12.3984375" style="41" customWidth="1"/>
    <col min="15" max="15" width="14.296875" style="41" bestFit="1" customWidth="1"/>
    <col min="16" max="16" width="13.09765625" style="41" customWidth="1"/>
    <col min="17" max="17" width="12" style="41" customWidth="1"/>
    <col min="18" max="16384" width="9.69921875" style="41"/>
  </cols>
  <sheetData>
    <row r="1" spans="1:15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5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</row>
    <row r="3" spans="1:15">
      <c r="A3" s="40" t="s">
        <v>409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</row>
    <row r="4" spans="1:15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</row>
    <row r="5" spans="1:15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</row>
    <row r="6" spans="1:15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</row>
    <row r="7" spans="1:15">
      <c r="A7" s="41" t="str">
        <f>DATA_PERIOD</f>
        <v>DATA: ____ BASE PERIOD   __X__FORECASTED PERIOD</v>
      </c>
      <c r="I7" s="42" t="s">
        <v>164</v>
      </c>
    </row>
    <row r="8" spans="1:15">
      <c r="A8" s="41" t="str">
        <f>TYPE</f>
        <v>TYPE OF FILING: _X_ ORIGINAL   ___UPDATED  ___ REVISED</v>
      </c>
      <c r="I8" s="42" t="s">
        <v>158</v>
      </c>
    </row>
    <row r="9" spans="1:15">
      <c r="A9" s="42" t="s">
        <v>170</v>
      </c>
      <c r="I9" s="42" t="s">
        <v>3</v>
      </c>
    </row>
    <row r="10" spans="1:15">
      <c r="A10" s="133" t="str">
        <f>TIME</f>
        <v>12 Months Projected with Riders</v>
      </c>
      <c r="I10" s="41" t="str">
        <f>WIT</f>
        <v>B. L. Sailers</v>
      </c>
    </row>
    <row r="11" spans="1:15">
      <c r="A11" s="298" t="str">
        <f>INPUT!B5</f>
        <v xml:space="preserve"> </v>
      </c>
      <c r="B11" s="40"/>
      <c r="C11" s="40"/>
      <c r="D11" s="40"/>
      <c r="J11" s="40"/>
      <c r="K11" s="40"/>
      <c r="L11" s="40"/>
    </row>
    <row r="12" spans="1:15">
      <c r="A12" s="299"/>
      <c r="B12" s="299"/>
      <c r="C12" s="299"/>
      <c r="D12" s="299"/>
      <c r="E12" s="299"/>
      <c r="F12" s="40"/>
      <c r="G12" s="40"/>
      <c r="H12" s="40"/>
      <c r="I12" s="40"/>
      <c r="J12" s="40"/>
      <c r="K12" s="40"/>
      <c r="L12" s="40"/>
    </row>
    <row r="13" spans="1:15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9"/>
    </row>
    <row r="14" spans="1:15">
      <c r="K14" s="44"/>
      <c r="L14" s="44"/>
    </row>
    <row r="15" spans="1:15">
      <c r="E15" s="44" t="s">
        <v>160</v>
      </c>
      <c r="G15" s="44" t="s">
        <v>160</v>
      </c>
      <c r="I15" s="44" t="s">
        <v>9</v>
      </c>
      <c r="K15" s="44" t="s">
        <v>185</v>
      </c>
      <c r="L15" s="44"/>
    </row>
    <row r="16" spans="1:15">
      <c r="A16" s="44" t="s">
        <v>17</v>
      </c>
      <c r="C16" s="44" t="s">
        <v>18</v>
      </c>
      <c r="D16" s="44"/>
      <c r="E16" s="44" t="s">
        <v>184</v>
      </c>
      <c r="G16" s="44" t="s">
        <v>6</v>
      </c>
      <c r="I16" s="44" t="s">
        <v>161</v>
      </c>
      <c r="J16" s="44"/>
      <c r="K16" s="44" t="s">
        <v>9</v>
      </c>
      <c r="L16" s="44"/>
      <c r="M16" s="44"/>
      <c r="N16" s="44"/>
      <c r="O16" s="44"/>
    </row>
    <row r="17" spans="1:17">
      <c r="A17" s="44" t="s">
        <v>22</v>
      </c>
      <c r="C17" s="44" t="s">
        <v>159</v>
      </c>
      <c r="D17" s="44"/>
      <c r="E17" s="44" t="s">
        <v>27</v>
      </c>
      <c r="G17" s="44" t="s">
        <v>27</v>
      </c>
      <c r="H17" s="44"/>
      <c r="I17" s="60" t="s">
        <v>163</v>
      </c>
      <c r="J17" s="44"/>
      <c r="K17" s="44" t="s">
        <v>161</v>
      </c>
      <c r="L17" s="44"/>
      <c r="M17" s="44"/>
      <c r="N17" s="44"/>
      <c r="O17" s="60"/>
    </row>
    <row r="18" spans="1:17">
      <c r="A18" s="61"/>
      <c r="B18" s="61"/>
      <c r="C18" s="300" t="s">
        <v>33</v>
      </c>
      <c r="D18" s="301"/>
      <c r="E18" s="300" t="s">
        <v>34</v>
      </c>
      <c r="F18" s="302"/>
      <c r="G18" s="301" t="s">
        <v>35</v>
      </c>
      <c r="H18" s="301"/>
      <c r="I18" s="300" t="s">
        <v>162</v>
      </c>
      <c r="J18" s="301"/>
      <c r="K18" s="300" t="s">
        <v>165</v>
      </c>
      <c r="L18" s="60"/>
      <c r="M18" s="44"/>
      <c r="N18" s="44"/>
    </row>
    <row r="19" spans="1:17">
      <c r="E19" s="142" t="s">
        <v>50</v>
      </c>
      <c r="F19" s="303"/>
      <c r="G19" s="142" t="s">
        <v>50</v>
      </c>
      <c r="H19" s="142"/>
      <c r="I19" s="142" t="s">
        <v>50</v>
      </c>
      <c r="J19" s="142"/>
      <c r="K19" s="142" t="s">
        <v>51</v>
      </c>
      <c r="L19" s="44"/>
      <c r="M19" s="44"/>
      <c r="N19" s="44"/>
    </row>
    <row r="20" spans="1:17">
      <c r="C20" s="304" t="s">
        <v>410</v>
      </c>
      <c r="G20" s="44"/>
      <c r="H20" s="44"/>
      <c r="I20" s="44"/>
      <c r="J20" s="44"/>
      <c r="K20" s="44"/>
      <c r="L20" s="44"/>
      <c r="M20" s="44"/>
      <c r="N20" s="44"/>
    </row>
    <row r="21" spans="1:17">
      <c r="A21" s="44">
        <v>1</v>
      </c>
      <c r="C21" s="42" t="s">
        <v>313</v>
      </c>
      <c r="D21" s="42"/>
      <c r="E21" s="3">
        <f>'Rate RS'!AN79</f>
        <v>205065246</v>
      </c>
      <c r="F21" s="1"/>
      <c r="G21" s="3">
        <f>'Rate RS'!R38</f>
        <v>238336449</v>
      </c>
      <c r="H21" s="3"/>
      <c r="I21" s="3">
        <f>G21-E21</f>
        <v>33271203</v>
      </c>
      <c r="J21" s="3"/>
      <c r="K21" s="91">
        <f>IF(E21=0,"-",ROUND(I21/E21,4))</f>
        <v>0.16220000000000001</v>
      </c>
      <c r="L21" s="91"/>
      <c r="M21" s="44"/>
      <c r="N21" s="296"/>
      <c r="O21" s="138"/>
      <c r="P21" s="45"/>
    </row>
    <row r="22" spans="1:17">
      <c r="A22" s="44">
        <v>2</v>
      </c>
      <c r="C22" s="42"/>
      <c r="D22" s="42"/>
      <c r="E22" s="3"/>
      <c r="F22" s="1"/>
      <c r="G22" s="3"/>
      <c r="H22" s="3"/>
      <c r="I22" s="3"/>
      <c r="J22" s="3"/>
      <c r="K22" s="289"/>
      <c r="L22" s="91"/>
      <c r="M22" s="44"/>
      <c r="N22" s="296"/>
      <c r="O22" s="138"/>
      <c r="P22" s="45"/>
    </row>
    <row r="23" spans="1:17" ht="20.100000000000001" customHeight="1">
      <c r="A23" s="44">
        <v>3</v>
      </c>
      <c r="C23" s="305" t="s">
        <v>195</v>
      </c>
      <c r="E23" s="72">
        <f>E21+E22</f>
        <v>205065246</v>
      </c>
      <c r="F23" s="1"/>
      <c r="G23" s="72">
        <f>G21+G22</f>
        <v>238336449</v>
      </c>
      <c r="H23" s="3"/>
      <c r="I23" s="72">
        <f>G23-E23</f>
        <v>33271203</v>
      </c>
      <c r="J23" s="3"/>
      <c r="K23" s="290">
        <f>IF(E23=0,"-",ROUND(I23/E23,4))</f>
        <v>0.16220000000000001</v>
      </c>
      <c r="L23" s="91"/>
      <c r="M23" s="44"/>
      <c r="N23" s="296"/>
      <c r="O23" s="138"/>
      <c r="P23" s="3"/>
      <c r="Q23" s="1"/>
    </row>
    <row r="24" spans="1:17">
      <c r="A24" s="44"/>
      <c r="E24" s="3"/>
      <c r="F24" s="1"/>
      <c r="G24" s="3"/>
      <c r="H24" s="3"/>
      <c r="I24" s="3"/>
      <c r="J24" s="3"/>
      <c r="K24" s="90"/>
      <c r="L24" s="91"/>
      <c r="M24" s="44"/>
      <c r="N24" s="296"/>
      <c r="O24" s="138"/>
      <c r="P24" s="3"/>
      <c r="Q24" s="1"/>
    </row>
    <row r="25" spans="1:17">
      <c r="A25" s="44"/>
      <c r="C25" s="304" t="s">
        <v>253</v>
      </c>
      <c r="E25" s="3"/>
      <c r="F25" s="1"/>
      <c r="G25" s="3"/>
      <c r="H25" s="3"/>
      <c r="I25" s="3"/>
      <c r="J25" s="3"/>
      <c r="K25" s="90"/>
      <c r="L25" s="91"/>
      <c r="M25" s="44"/>
      <c r="N25" s="296"/>
      <c r="O25" s="138"/>
      <c r="P25" s="3"/>
      <c r="Q25" s="1"/>
    </row>
    <row r="26" spans="1:17">
      <c r="A26" s="44">
        <v>4</v>
      </c>
      <c r="C26" s="42" t="s">
        <v>314</v>
      </c>
      <c r="D26" s="42"/>
      <c r="E26" s="3">
        <f>'Rate DS'!AO106</f>
        <v>136119148</v>
      </c>
      <c r="F26" s="1"/>
      <c r="G26" s="3">
        <f>'Rate DS'!R50</f>
        <v>155286329</v>
      </c>
      <c r="H26" s="3"/>
      <c r="I26" s="3">
        <f t="shared" ref="I26:I32" si="0">G26-E26</f>
        <v>19167181</v>
      </c>
      <c r="J26" s="3"/>
      <c r="K26" s="91">
        <f t="shared" ref="K26:K33" si="1">IF(E26=0,"-",ROUND(I26/E26,4))</f>
        <v>0.14080000000000001</v>
      </c>
      <c r="L26" s="91"/>
      <c r="M26" s="44"/>
      <c r="N26" s="296"/>
      <c r="O26" s="138"/>
      <c r="P26" s="1"/>
      <c r="Q26" s="1"/>
    </row>
    <row r="27" spans="1:17">
      <c r="A27" s="44">
        <v>5</v>
      </c>
      <c r="C27" s="42" t="s">
        <v>379</v>
      </c>
      <c r="D27" s="42"/>
      <c r="E27" s="3">
        <f>'Rate DT-Pri'!AO137</f>
        <v>47429831</v>
      </c>
      <c r="F27" s="1"/>
      <c r="G27" s="3">
        <f>'Rate DT-Pri'!R65</f>
        <v>54143418</v>
      </c>
      <c r="H27" s="3"/>
      <c r="I27" s="3">
        <f t="shared" si="0"/>
        <v>6713587</v>
      </c>
      <c r="J27" s="3"/>
      <c r="K27" s="91">
        <f t="shared" si="1"/>
        <v>0.14149999999999999</v>
      </c>
      <c r="L27" s="91"/>
      <c r="M27" s="44"/>
      <c r="N27" s="296"/>
      <c r="O27" s="138"/>
      <c r="P27" s="1"/>
      <c r="Q27" s="1"/>
    </row>
    <row r="28" spans="1:17">
      <c r="A28" s="44">
        <v>6</v>
      </c>
      <c r="C28" s="42" t="s">
        <v>380</v>
      </c>
      <c r="D28" s="42"/>
      <c r="E28" s="3">
        <f>'Rate DT-Sec'!AO133</f>
        <v>60974671</v>
      </c>
      <c r="F28" s="1"/>
      <c r="G28" s="3">
        <f>'Rate DT-Sec'!R63</f>
        <v>69575089</v>
      </c>
      <c r="H28" s="3"/>
      <c r="I28" s="3">
        <f>G28-E28</f>
        <v>8600418</v>
      </c>
      <c r="J28" s="3"/>
      <c r="K28" s="91">
        <f>IF(E28=0,"-",ROUND(I28/E28,4))</f>
        <v>0.14099999999999999</v>
      </c>
      <c r="L28" s="91"/>
      <c r="M28" s="44"/>
      <c r="N28" s="296"/>
      <c r="O28" s="138"/>
      <c r="P28" s="125"/>
      <c r="Q28" s="125"/>
    </row>
    <row r="29" spans="1:17">
      <c r="A29" s="44">
        <v>7</v>
      </c>
      <c r="C29" s="42" t="s">
        <v>415</v>
      </c>
      <c r="D29" s="42"/>
      <c r="E29" s="3">
        <f>'Rate EH'!AO91</f>
        <v>1951593</v>
      </c>
      <c r="F29" s="1"/>
      <c r="G29" s="3">
        <f>'Rate EH'!R43</f>
        <v>2223632</v>
      </c>
      <c r="H29" s="3"/>
      <c r="I29" s="3">
        <f>G29-E29</f>
        <v>272039</v>
      </c>
      <c r="J29" s="3"/>
      <c r="K29" s="91">
        <f t="shared" si="1"/>
        <v>0.1394</v>
      </c>
      <c r="L29" s="91"/>
      <c r="M29" s="44"/>
      <c r="N29" s="296"/>
      <c r="O29" s="138"/>
      <c r="P29" s="1"/>
      <c r="Q29" s="1"/>
    </row>
    <row r="30" spans="1:17">
      <c r="A30" s="44">
        <v>8</v>
      </c>
      <c r="C30" s="48" t="s">
        <v>315</v>
      </c>
      <c r="D30" s="42"/>
      <c r="E30" s="3">
        <f>'Rate SP GSFL'!AO101</f>
        <v>53138</v>
      </c>
      <c r="F30" s="1"/>
      <c r="G30" s="3">
        <f>'Rate SP GSFL'!R38</f>
        <v>60704</v>
      </c>
      <c r="H30" s="3"/>
      <c r="I30" s="3">
        <f>G30-E30</f>
        <v>7566</v>
      </c>
      <c r="J30" s="3"/>
      <c r="K30" s="91">
        <f t="shared" si="1"/>
        <v>0.1424</v>
      </c>
      <c r="L30" s="91"/>
      <c r="M30" s="44"/>
      <c r="N30" s="296"/>
      <c r="O30" s="138"/>
      <c r="P30" s="1"/>
      <c r="Q30" s="1"/>
    </row>
    <row r="31" spans="1:17">
      <c r="A31" s="44">
        <v>9</v>
      </c>
      <c r="C31" s="42" t="s">
        <v>316</v>
      </c>
      <c r="D31" s="42"/>
      <c r="E31" s="3">
        <f>'Rate SP GSFL'!AO120</f>
        <v>840145</v>
      </c>
      <c r="F31" s="1"/>
      <c r="G31" s="3">
        <f>'Rate SP GSFL'!R57</f>
        <v>959156</v>
      </c>
      <c r="H31" s="3"/>
      <c r="I31" s="3">
        <f>G31-E31</f>
        <v>119011</v>
      </c>
      <c r="J31" s="3"/>
      <c r="K31" s="91">
        <f t="shared" si="1"/>
        <v>0.14169999999999999</v>
      </c>
      <c r="L31" s="91"/>
      <c r="M31" s="44"/>
      <c r="N31" s="296"/>
      <c r="O31" s="138"/>
      <c r="P31" s="1"/>
      <c r="Q31" s="1"/>
    </row>
    <row r="32" spans="1:17">
      <c r="A32" s="44">
        <v>10</v>
      </c>
      <c r="C32" s="42" t="s">
        <v>317</v>
      </c>
      <c r="D32" s="42"/>
      <c r="E32" s="3">
        <f>'Rate DP'!AO98</f>
        <v>896371</v>
      </c>
      <c r="F32" s="1"/>
      <c r="G32" s="3">
        <f>'Rate DP'!R46</f>
        <v>949636</v>
      </c>
      <c r="H32" s="3"/>
      <c r="I32" s="3">
        <f t="shared" si="0"/>
        <v>53265</v>
      </c>
      <c r="J32" s="3"/>
      <c r="K32" s="289">
        <f t="shared" si="1"/>
        <v>5.9400000000000001E-2</v>
      </c>
      <c r="L32" s="91"/>
      <c r="M32" s="44"/>
      <c r="N32" s="296"/>
      <c r="O32" s="138"/>
      <c r="P32" s="1"/>
      <c r="Q32" s="1"/>
    </row>
    <row r="33" spans="1:17" ht="20.100000000000001" customHeight="1">
      <c r="A33" s="44">
        <v>11</v>
      </c>
      <c r="C33" s="305" t="s">
        <v>166</v>
      </c>
      <c r="E33" s="72">
        <f>SUM(E26:E32)</f>
        <v>248264897</v>
      </c>
      <c r="F33" s="1"/>
      <c r="G33" s="72">
        <f>SUM(G26:G32)</f>
        <v>283197964</v>
      </c>
      <c r="H33" s="3"/>
      <c r="I33" s="72">
        <f>SUM(I26:I32)</f>
        <v>34933067</v>
      </c>
      <c r="J33" s="3"/>
      <c r="K33" s="289">
        <f t="shared" si="1"/>
        <v>0.14069999999999999</v>
      </c>
      <c r="L33" s="91"/>
      <c r="M33" s="44"/>
      <c r="N33" s="296"/>
      <c r="O33" s="138"/>
      <c r="P33" s="1"/>
      <c r="Q33" s="1"/>
    </row>
    <row r="34" spans="1:17">
      <c r="A34" s="44"/>
      <c r="E34" s="3"/>
      <c r="F34" s="1"/>
      <c r="G34" s="3"/>
      <c r="H34" s="3"/>
      <c r="I34" s="3"/>
      <c r="J34" s="3"/>
      <c r="K34" s="90"/>
      <c r="L34" s="91"/>
      <c r="M34" s="44"/>
      <c r="N34" s="296"/>
      <c r="O34" s="138"/>
      <c r="P34" s="1"/>
      <c r="Q34" s="1"/>
    </row>
    <row r="35" spans="1:17">
      <c r="A35" s="44"/>
      <c r="C35" s="304" t="s">
        <v>254</v>
      </c>
      <c r="E35" s="3"/>
      <c r="F35" s="1"/>
      <c r="G35" s="3"/>
      <c r="H35" s="3"/>
      <c r="I35" s="3"/>
      <c r="J35" s="3"/>
      <c r="K35" s="90"/>
      <c r="L35" s="91"/>
      <c r="M35" s="44"/>
      <c r="N35" s="296"/>
      <c r="O35" s="138"/>
      <c r="P35" s="1"/>
      <c r="Q35" s="1"/>
    </row>
    <row r="36" spans="1:17">
      <c r="A36" s="44">
        <v>12</v>
      </c>
      <c r="C36" s="42" t="s">
        <v>318</v>
      </c>
      <c r="D36" s="42"/>
      <c r="E36" s="66">
        <f>'Rate TT'!AO120</f>
        <v>15587354</v>
      </c>
      <c r="F36" s="1"/>
      <c r="G36" s="66">
        <f>'Rate TT'!R56</f>
        <v>16828037</v>
      </c>
      <c r="H36" s="3"/>
      <c r="I36" s="66">
        <f>G36-E36</f>
        <v>1240683</v>
      </c>
      <c r="J36" s="3"/>
      <c r="K36" s="289">
        <f>IF(E36=0,"-",ROUND(I36/E36,4))</f>
        <v>7.9600000000000004E-2</v>
      </c>
      <c r="L36" s="91"/>
      <c r="M36" s="44"/>
      <c r="N36" s="296"/>
      <c r="O36" s="138"/>
      <c r="P36" s="125"/>
      <c r="Q36" s="125"/>
    </row>
    <row r="37" spans="1:17" ht="20.100000000000001" customHeight="1">
      <c r="A37" s="44">
        <v>13</v>
      </c>
      <c r="C37" s="305" t="s">
        <v>167</v>
      </c>
      <c r="E37" s="72">
        <f>SUM(E36)</f>
        <v>15587354</v>
      </c>
      <c r="F37" s="1"/>
      <c r="G37" s="72">
        <f>SUM(G36)</f>
        <v>16828037</v>
      </c>
      <c r="H37" s="3"/>
      <c r="I37" s="72">
        <f>SUM(I36)</f>
        <v>1240683</v>
      </c>
      <c r="J37" s="3"/>
      <c r="K37" s="290">
        <f>IF(E37=0,"-",ROUND(I37/E37,4))</f>
        <v>7.9600000000000004E-2</v>
      </c>
      <c r="L37" s="91"/>
      <c r="M37" s="44"/>
      <c r="N37" s="296"/>
      <c r="O37" s="138"/>
      <c r="P37" s="1"/>
      <c r="Q37" s="125"/>
    </row>
    <row r="38" spans="1:17">
      <c r="A38" s="44"/>
      <c r="E38" s="3"/>
      <c r="F38" s="1"/>
      <c r="G38" s="3"/>
      <c r="H38" s="3"/>
      <c r="I38" s="3"/>
      <c r="J38" s="3"/>
      <c r="K38" s="90"/>
      <c r="L38" s="91"/>
      <c r="M38" s="44"/>
      <c r="N38" s="296"/>
      <c r="O38" s="138"/>
      <c r="P38" s="1"/>
      <c r="Q38" s="125"/>
    </row>
    <row r="39" spans="1:17">
      <c r="A39" s="44"/>
      <c r="C39" s="304" t="s">
        <v>257</v>
      </c>
      <c r="E39" s="3"/>
      <c r="F39" s="1"/>
      <c r="G39" s="3"/>
      <c r="H39" s="3"/>
      <c r="I39" s="3"/>
      <c r="J39" s="3"/>
      <c r="K39" s="90"/>
      <c r="L39" s="91"/>
      <c r="M39" s="44"/>
      <c r="N39" s="296"/>
      <c r="O39" s="138"/>
      <c r="P39" s="1"/>
      <c r="Q39" s="125"/>
    </row>
    <row r="40" spans="1:17">
      <c r="A40" s="44">
        <v>14</v>
      </c>
      <c r="C40" s="48" t="s">
        <v>367</v>
      </c>
      <c r="E40" s="3">
        <f>'Rate DT RTP-P'!AO82</f>
        <v>0</v>
      </c>
      <c r="F40" s="1"/>
      <c r="G40" s="3">
        <f>'Rate DT RTP-P'!R38</f>
        <v>0</v>
      </c>
      <c r="H40" s="3"/>
      <c r="I40" s="3">
        <f>G40-E40</f>
        <v>0</v>
      </c>
      <c r="J40" s="3"/>
      <c r="K40" s="175" t="str">
        <f>IF(E40=0,"-",ROUND(I40/E40,4))</f>
        <v>-</v>
      </c>
      <c r="L40" s="91"/>
      <c r="M40" s="44"/>
      <c r="N40" s="296"/>
      <c r="O40" s="138"/>
      <c r="P40" s="1"/>
      <c r="Q40" s="125"/>
    </row>
    <row r="41" spans="1:17">
      <c r="A41" s="44">
        <v>15</v>
      </c>
      <c r="C41" s="48" t="s">
        <v>382</v>
      </c>
      <c r="E41" s="3">
        <f>'Rate DT RTP-S'!AO83</f>
        <v>74934</v>
      </c>
      <c r="F41" s="1"/>
      <c r="G41" s="3">
        <f>'Rate DT RTP-S'!R39</f>
        <v>90132</v>
      </c>
      <c r="H41" s="3"/>
      <c r="I41" s="3">
        <f>G41-E41</f>
        <v>15198</v>
      </c>
      <c r="J41" s="3"/>
      <c r="K41" s="91">
        <f>IF(E41=0,"-",ROUND(I41/E41,4))</f>
        <v>0.20280000000000001</v>
      </c>
      <c r="L41" s="91"/>
      <c r="M41" s="44"/>
      <c r="N41" s="296"/>
      <c r="O41" s="138"/>
      <c r="P41" s="1"/>
      <c r="Q41" s="125"/>
    </row>
    <row r="42" spans="1:17">
      <c r="A42" s="44">
        <v>16</v>
      </c>
      <c r="C42" s="48" t="s">
        <v>319</v>
      </c>
      <c r="E42" s="3">
        <f>'Rate DS RTP'!AO83</f>
        <v>2021</v>
      </c>
      <c r="F42" s="1"/>
      <c r="G42" s="3">
        <f>'Rate DS RTP'!R39</f>
        <v>1978</v>
      </c>
      <c r="H42" s="3"/>
      <c r="I42" s="3">
        <f>G42-E42</f>
        <v>-43</v>
      </c>
      <c r="J42" s="3"/>
      <c r="K42" s="91">
        <f>IF(E42=0,"-",ROUND(I42/E42,4))</f>
        <v>-2.1299999999999999E-2</v>
      </c>
      <c r="L42" s="91"/>
      <c r="M42" s="44"/>
      <c r="N42" s="296"/>
      <c r="O42" s="138"/>
      <c r="P42" s="1"/>
      <c r="Q42" s="1"/>
    </row>
    <row r="43" spans="1:17">
      <c r="A43" s="44">
        <v>17</v>
      </c>
      <c r="C43" s="48" t="s">
        <v>320</v>
      </c>
      <c r="E43" s="66">
        <f>'Rate TT RTP'!AO85</f>
        <v>539003</v>
      </c>
      <c r="F43" s="1"/>
      <c r="G43" s="66">
        <f>'Rate TT RTP'!R39</f>
        <v>584242</v>
      </c>
      <c r="H43" s="3"/>
      <c r="I43" s="66">
        <f>G43-E43</f>
        <v>45239</v>
      </c>
      <c r="J43" s="3"/>
      <c r="K43" s="289">
        <f>IF(E43=0,"-",ROUND(I43/E43,4))</f>
        <v>8.3900000000000002E-2</v>
      </c>
      <c r="L43" s="91"/>
      <c r="M43" s="44"/>
      <c r="N43" s="296"/>
      <c r="O43" s="138"/>
    </row>
    <row r="44" spans="1:17" ht="20.100000000000001" customHeight="1">
      <c r="A44" s="44">
        <v>18</v>
      </c>
      <c r="C44" s="306" t="s">
        <v>263</v>
      </c>
      <c r="E44" s="66">
        <f>SUM(E40:E43)</f>
        <v>615958</v>
      </c>
      <c r="F44" s="1"/>
      <c r="G44" s="66">
        <f>SUM(G40:G43)</f>
        <v>676352</v>
      </c>
      <c r="H44" s="3"/>
      <c r="I44" s="66">
        <f>SUM(I40:I43)</f>
        <v>60394</v>
      </c>
      <c r="J44" s="3"/>
      <c r="K44" s="289">
        <f>IF(E44=0,"-",ROUND(I44/E44,4))</f>
        <v>9.8000000000000004E-2</v>
      </c>
      <c r="L44" s="91"/>
      <c r="M44" s="44"/>
      <c r="N44" s="296"/>
      <c r="O44" s="138"/>
    </row>
    <row r="45" spans="1:17">
      <c r="A45" s="44"/>
      <c r="C45" s="48"/>
      <c r="E45" s="3"/>
      <c r="F45" s="1"/>
      <c r="G45" s="3"/>
      <c r="H45" s="3"/>
      <c r="I45" s="3"/>
      <c r="J45" s="3"/>
      <c r="K45" s="90"/>
      <c r="L45" s="91"/>
      <c r="M45" s="44"/>
      <c r="N45" s="296"/>
      <c r="O45" s="138"/>
      <c r="Q45" s="138"/>
    </row>
    <row r="46" spans="1:17">
      <c r="A46" s="44"/>
      <c r="C46" s="304" t="s">
        <v>411</v>
      </c>
      <c r="E46" s="3"/>
      <c r="F46" s="1"/>
      <c r="G46" s="3"/>
      <c r="H46" s="3"/>
      <c r="I46" s="3"/>
      <c r="J46" s="3"/>
      <c r="K46" s="90"/>
      <c r="L46" s="91"/>
      <c r="M46" s="44"/>
      <c r="N46" s="296"/>
      <c r="O46" s="138"/>
      <c r="Q46" s="138"/>
    </row>
    <row r="47" spans="1:17">
      <c r="A47" s="44">
        <v>19</v>
      </c>
      <c r="C47" s="42" t="s">
        <v>321</v>
      </c>
      <c r="D47" s="42"/>
      <c r="E47" s="3">
        <f>'Rate SL'!AO293</f>
        <v>1443150</v>
      </c>
      <c r="F47" s="1"/>
      <c r="G47" s="3">
        <f>'Rate SL'!R139</f>
        <v>1641861</v>
      </c>
      <c r="H47" s="3"/>
      <c r="I47" s="3">
        <f t="shared" ref="I47:I53" si="2">G47-E47</f>
        <v>198711</v>
      </c>
      <c r="J47" s="3"/>
      <c r="K47" s="91">
        <f t="shared" ref="K47:K54" si="3">IF(E47=0,"-",ROUND(I47/E47,4))</f>
        <v>0.13769999999999999</v>
      </c>
      <c r="L47" s="91"/>
      <c r="M47" s="44"/>
      <c r="N47" s="296"/>
      <c r="O47" s="138"/>
    </row>
    <row r="48" spans="1:17">
      <c r="A48" s="44">
        <v>20</v>
      </c>
      <c r="C48" s="42" t="s">
        <v>322</v>
      </c>
      <c r="D48" s="42"/>
      <c r="E48" s="3">
        <f>'Rate TL'!AO72</f>
        <v>105521</v>
      </c>
      <c r="F48" s="1"/>
      <c r="G48" s="3">
        <f>'Rate TL'!R34</f>
        <v>119312</v>
      </c>
      <c r="H48" s="3"/>
      <c r="I48" s="3">
        <f t="shared" si="2"/>
        <v>13791</v>
      </c>
      <c r="J48" s="3"/>
      <c r="K48" s="91">
        <f t="shared" si="3"/>
        <v>0.13070000000000001</v>
      </c>
      <c r="L48" s="91"/>
      <c r="M48" s="44"/>
      <c r="N48" s="296"/>
      <c r="O48" s="138"/>
      <c r="P48" s="45"/>
    </row>
    <row r="49" spans="1:15">
      <c r="A49" s="44">
        <v>21</v>
      </c>
      <c r="C49" s="42" t="s">
        <v>416</v>
      </c>
      <c r="D49" s="42"/>
      <c r="E49" s="3">
        <f>'Rate UOLS'!AO63</f>
        <v>620847</v>
      </c>
      <c r="F49" s="1"/>
      <c r="G49" s="3">
        <f>'Rate UOLS'!R28</f>
        <v>701919</v>
      </c>
      <c r="H49" s="3"/>
      <c r="I49" s="3">
        <f t="shared" si="2"/>
        <v>81072</v>
      </c>
      <c r="J49" s="3"/>
      <c r="K49" s="91">
        <f t="shared" si="3"/>
        <v>0.13059999999999999</v>
      </c>
      <c r="L49" s="91"/>
      <c r="M49" s="44"/>
      <c r="N49" s="296"/>
      <c r="O49" s="138"/>
    </row>
    <row r="50" spans="1:15">
      <c r="A50" s="44">
        <v>22</v>
      </c>
      <c r="C50" s="48" t="s">
        <v>417</v>
      </c>
      <c r="D50" s="42"/>
      <c r="E50" s="3">
        <f>'Rate NSU'!AO95</f>
        <v>97311</v>
      </c>
      <c r="F50" s="1"/>
      <c r="G50" s="3">
        <f>'Rate NSU'!R45</f>
        <v>110771</v>
      </c>
      <c r="H50" s="3"/>
      <c r="I50" s="3">
        <f t="shared" si="2"/>
        <v>13460</v>
      </c>
      <c r="J50" s="3"/>
      <c r="K50" s="91">
        <f t="shared" si="3"/>
        <v>0.13830000000000001</v>
      </c>
      <c r="L50" s="91"/>
      <c r="M50" s="44"/>
      <c r="N50" s="296"/>
      <c r="O50" s="138"/>
    </row>
    <row r="51" spans="1:15">
      <c r="A51" s="44">
        <v>23</v>
      </c>
      <c r="C51" s="42" t="s">
        <v>418</v>
      </c>
      <c r="D51" s="42"/>
      <c r="E51" s="3">
        <f>'Rate SC'!AO145</f>
        <v>6595</v>
      </c>
      <c r="F51" s="3"/>
      <c r="G51" s="3">
        <f>'Rate SC'!R72</f>
        <v>7456</v>
      </c>
      <c r="H51" s="3"/>
      <c r="I51" s="3">
        <f t="shared" si="2"/>
        <v>861</v>
      </c>
      <c r="J51" s="3"/>
      <c r="K51" s="91">
        <f t="shared" si="3"/>
        <v>0.13059999999999999</v>
      </c>
      <c r="L51" s="91"/>
      <c r="M51" s="44"/>
      <c r="N51" s="296"/>
      <c r="O51" s="138"/>
    </row>
    <row r="52" spans="1:15">
      <c r="A52" s="44">
        <v>24</v>
      </c>
      <c r="C52" s="42" t="s">
        <v>419</v>
      </c>
      <c r="D52" s="42"/>
      <c r="E52" s="3">
        <f>'Rate SE'!AO108</f>
        <v>261093</v>
      </c>
      <c r="F52" s="3"/>
      <c r="G52" s="3">
        <f>'Rate SE'!R52</f>
        <v>297074</v>
      </c>
      <c r="H52" s="3"/>
      <c r="I52" s="3">
        <f t="shared" si="2"/>
        <v>35981</v>
      </c>
      <c r="J52" s="3"/>
      <c r="K52" s="91">
        <f t="shared" si="3"/>
        <v>0.13780000000000001</v>
      </c>
      <c r="L52" s="91"/>
      <c r="M52" s="44"/>
      <c r="N52" s="296"/>
      <c r="O52" s="138"/>
    </row>
    <row r="53" spans="1:15">
      <c r="A53" s="44">
        <v>25</v>
      </c>
      <c r="C53" s="42" t="s">
        <v>824</v>
      </c>
      <c r="D53" s="42"/>
      <c r="E53" s="66">
        <f>'Rate LED'!AO692</f>
        <v>20067</v>
      </c>
      <c r="F53" s="3"/>
      <c r="G53" s="66">
        <f>+'Rate LED'!R340</f>
        <v>22874.429167999999</v>
      </c>
      <c r="H53" s="3"/>
      <c r="I53" s="3">
        <f t="shared" si="2"/>
        <v>2807.4291679999988</v>
      </c>
      <c r="J53" s="3"/>
      <c r="K53" s="289">
        <f t="shared" si="3"/>
        <v>0.1399</v>
      </c>
      <c r="L53" s="91"/>
      <c r="M53" s="44"/>
      <c r="N53" s="296"/>
      <c r="O53" s="138"/>
    </row>
    <row r="54" spans="1:15" ht="20.100000000000001" customHeight="1">
      <c r="A54" s="44">
        <v>26</v>
      </c>
      <c r="C54" s="305" t="s">
        <v>168</v>
      </c>
      <c r="E54" s="72">
        <f>SUM(E47:E53)</f>
        <v>2554584</v>
      </c>
      <c r="F54" s="1"/>
      <c r="G54" s="72">
        <f>SUM(G47:G53)</f>
        <v>2901267.4291679999</v>
      </c>
      <c r="H54" s="3"/>
      <c r="I54" s="72">
        <f>SUM(I47:I53)</f>
        <v>346683.429168</v>
      </c>
      <c r="J54" s="3"/>
      <c r="K54" s="290">
        <f t="shared" si="3"/>
        <v>0.13569999999999999</v>
      </c>
      <c r="L54" s="91"/>
      <c r="M54" s="44"/>
      <c r="N54" s="296"/>
      <c r="O54" s="138"/>
    </row>
    <row r="55" spans="1:15" ht="9" customHeight="1">
      <c r="A55" s="44"/>
      <c r="E55" s="3"/>
      <c r="F55" s="1"/>
      <c r="G55" s="3"/>
      <c r="H55" s="3"/>
      <c r="I55" s="3"/>
      <c r="J55" s="3"/>
      <c r="K55" s="89"/>
      <c r="L55" s="91"/>
      <c r="M55" s="44"/>
      <c r="N55" s="296"/>
      <c r="O55" s="138"/>
    </row>
    <row r="56" spans="1:15" ht="15.75" customHeight="1">
      <c r="A56" s="44">
        <v>27</v>
      </c>
      <c r="C56" s="41" t="s">
        <v>326</v>
      </c>
      <c r="D56" s="42"/>
      <c r="E56" s="3">
        <f>'SCH M-2.2'!V57</f>
        <v>33541</v>
      </c>
      <c r="F56" s="1"/>
      <c r="G56" s="3">
        <f>'SCH M-2.3'!R57</f>
        <v>38535</v>
      </c>
      <c r="H56" s="1"/>
      <c r="I56" s="3">
        <f>G56-E56</f>
        <v>4994</v>
      </c>
      <c r="J56" s="1"/>
      <c r="K56" s="91">
        <f>IF(E56=0,"-",ROUND(I56/E56,4))</f>
        <v>0.1489</v>
      </c>
      <c r="L56" s="91"/>
      <c r="M56" s="44"/>
      <c r="N56" s="296"/>
      <c r="O56" s="138"/>
    </row>
    <row r="57" spans="1:15" ht="15.75" customHeight="1">
      <c r="A57" s="44">
        <v>28</v>
      </c>
      <c r="C57" s="42" t="s">
        <v>327</v>
      </c>
      <c r="D57" s="42"/>
      <c r="E57" s="66">
        <f>+'SCH M-2.2'!V63</f>
        <v>991136.03835699998</v>
      </c>
      <c r="F57" s="1"/>
      <c r="G57" s="66">
        <f>'SCH M-2.3'!R63</f>
        <v>1126671</v>
      </c>
      <c r="H57" s="1"/>
      <c r="I57" s="66">
        <f>G57-E57</f>
        <v>135534.96164300002</v>
      </c>
      <c r="J57" s="1"/>
      <c r="K57" s="289">
        <f>IF(E57=0,"-",ROUND(I57/E57,4))</f>
        <v>0.13669999999999999</v>
      </c>
      <c r="L57" s="91"/>
      <c r="M57" s="44"/>
      <c r="N57" s="296"/>
      <c r="O57" s="138"/>
    </row>
    <row r="58" spans="1:15" ht="9" customHeight="1">
      <c r="M58" s="44"/>
      <c r="N58" s="296"/>
      <c r="O58" s="138"/>
    </row>
    <row r="59" spans="1:15" ht="16.5" thickBot="1">
      <c r="A59" s="44">
        <v>29</v>
      </c>
      <c r="C59" s="133" t="s">
        <v>366</v>
      </c>
      <c r="E59" s="67">
        <f>E54+E44+E37+E33+E23+E56+E57</f>
        <v>473112716.03835702</v>
      </c>
      <c r="F59" s="1"/>
      <c r="G59" s="67">
        <f>G54+G44+G37+G33+G23+G56+G57</f>
        <v>543105275.42916799</v>
      </c>
      <c r="H59" s="3"/>
      <c r="I59" s="67">
        <f>G59-E59</f>
        <v>69992559.390810966</v>
      </c>
      <c r="J59" s="3"/>
      <c r="K59" s="92">
        <f>IF(E59=0,"-",ROUND(I59/E59,4))</f>
        <v>0.1479</v>
      </c>
      <c r="M59" s="44"/>
      <c r="N59" s="296"/>
      <c r="O59" s="138"/>
    </row>
    <row r="60" spans="1:15" ht="16.5" thickTop="1">
      <c r="M60" s="44"/>
      <c r="N60" s="296"/>
      <c r="O60" s="138"/>
    </row>
    <row r="61" spans="1:15">
      <c r="C61" s="304" t="s">
        <v>423</v>
      </c>
      <c r="M61" s="44"/>
      <c r="N61" s="296"/>
      <c r="O61" s="138"/>
    </row>
    <row r="62" spans="1:15">
      <c r="A62" s="44">
        <v>30</v>
      </c>
      <c r="C62" s="42" t="s">
        <v>520</v>
      </c>
      <c r="D62" s="42"/>
      <c r="E62" s="3">
        <f>'SCH M-2.2'!V58</f>
        <v>169500</v>
      </c>
      <c r="F62" s="1"/>
      <c r="G62" s="3">
        <f>'SCH M-2.3'!R58</f>
        <v>169500</v>
      </c>
      <c r="H62" s="1"/>
      <c r="I62" s="3">
        <f t="shared" ref="I62:I67" si="4">G62-E62</f>
        <v>0</v>
      </c>
      <c r="J62" s="1"/>
      <c r="K62" s="91">
        <f t="shared" ref="K62:K68" si="5">IF(E62=0,"-",ROUND(I62/E62,4))</f>
        <v>0</v>
      </c>
      <c r="L62" s="91"/>
      <c r="M62" s="44"/>
      <c r="N62" s="296"/>
      <c r="O62" s="138"/>
    </row>
    <row r="63" spans="1:15">
      <c r="A63" s="44">
        <v>31</v>
      </c>
      <c r="C63" s="48" t="s">
        <v>248</v>
      </c>
      <c r="E63" s="3">
        <f>'SCH M-2.2'!V59</f>
        <v>55176</v>
      </c>
      <c r="F63" s="1"/>
      <c r="G63" s="3">
        <f>+'SCH M-2.3'!R59</f>
        <v>55176</v>
      </c>
      <c r="H63" s="1"/>
      <c r="I63" s="3">
        <f t="shared" si="4"/>
        <v>0</v>
      </c>
      <c r="J63" s="1"/>
      <c r="K63" s="91">
        <f t="shared" si="5"/>
        <v>0</v>
      </c>
      <c r="L63" s="91"/>
      <c r="M63" s="44"/>
      <c r="N63" s="296"/>
      <c r="O63" s="138"/>
    </row>
    <row r="64" spans="1:15">
      <c r="A64" s="44">
        <v>32</v>
      </c>
      <c r="C64" s="42" t="s">
        <v>420</v>
      </c>
      <c r="D64" s="42"/>
      <c r="E64" s="3">
        <f>'SCH M-2.2'!V60</f>
        <v>55068</v>
      </c>
      <c r="F64" s="1"/>
      <c r="G64" s="3">
        <f>+'SCH M-2.3'!R60</f>
        <v>63391</v>
      </c>
      <c r="H64" s="1"/>
      <c r="I64" s="3">
        <f t="shared" si="4"/>
        <v>8323</v>
      </c>
      <c r="J64" s="1"/>
      <c r="K64" s="91">
        <f t="shared" si="5"/>
        <v>0.15110000000000001</v>
      </c>
      <c r="L64" s="91"/>
      <c r="M64" s="44"/>
      <c r="N64" s="296"/>
      <c r="O64" s="138"/>
    </row>
    <row r="65" spans="1:16">
      <c r="A65" s="44">
        <v>33</v>
      </c>
      <c r="C65" s="42" t="s">
        <v>478</v>
      </c>
      <c r="D65" s="42"/>
      <c r="E65" s="3">
        <f>'SCH M-2.2'!V61</f>
        <v>699996</v>
      </c>
      <c r="F65" s="1"/>
      <c r="G65" s="3">
        <f>+'SCH M-2.3'!R61</f>
        <v>707590</v>
      </c>
      <c r="H65" s="1"/>
      <c r="I65" s="3">
        <f t="shared" si="4"/>
        <v>7594</v>
      </c>
      <c r="J65" s="1"/>
      <c r="K65" s="91">
        <f>IF(E65=0,"-",ROUND(I65/E65,4))</f>
        <v>1.0800000000000001E-2</v>
      </c>
      <c r="L65" s="91"/>
      <c r="M65" s="44"/>
      <c r="N65" s="296"/>
      <c r="O65" s="138"/>
    </row>
    <row r="66" spans="1:16">
      <c r="A66" s="44">
        <v>34</v>
      </c>
      <c r="C66" s="42" t="s">
        <v>250</v>
      </c>
      <c r="D66" s="42"/>
      <c r="E66" s="3">
        <f>'SCH M-2.2'!V62</f>
        <v>1299996</v>
      </c>
      <c r="F66" s="1"/>
      <c r="G66" s="3">
        <f>+'SCH M-2.3'!R62</f>
        <v>1299996</v>
      </c>
      <c r="H66" s="1"/>
      <c r="I66" s="3">
        <f t="shared" si="4"/>
        <v>0</v>
      </c>
      <c r="J66" s="1"/>
      <c r="K66" s="91">
        <f t="shared" si="5"/>
        <v>0</v>
      </c>
      <c r="L66" s="91"/>
      <c r="M66" s="44"/>
      <c r="N66" s="296"/>
      <c r="O66" s="138"/>
    </row>
    <row r="67" spans="1:16">
      <c r="A67" s="44">
        <v>35</v>
      </c>
      <c r="C67" s="42" t="s">
        <v>421</v>
      </c>
      <c r="D67" s="42"/>
      <c r="E67" s="3">
        <f>'SCH M-2.2'!V64</f>
        <v>1294812</v>
      </c>
      <c r="F67" s="1"/>
      <c r="G67" s="3">
        <f>+'SCH M-2.3'!R64</f>
        <v>1294812</v>
      </c>
      <c r="H67" s="1"/>
      <c r="I67" s="3">
        <f t="shared" si="4"/>
        <v>0</v>
      </c>
      <c r="J67" s="1"/>
      <c r="K67" s="89">
        <f t="shared" si="5"/>
        <v>0</v>
      </c>
      <c r="L67" s="91"/>
      <c r="M67" s="44"/>
      <c r="N67" s="296"/>
      <c r="O67" s="138"/>
    </row>
    <row r="68" spans="1:16" ht="20.100000000000001" customHeight="1">
      <c r="A68" s="44">
        <v>36</v>
      </c>
      <c r="C68" s="305" t="s">
        <v>422</v>
      </c>
      <c r="E68" s="72">
        <f>SUM(E62:E67)</f>
        <v>3574548</v>
      </c>
      <c r="F68" s="1"/>
      <c r="G68" s="72">
        <f>SUM(G62:G67)</f>
        <v>3590465</v>
      </c>
      <c r="H68" s="3"/>
      <c r="I68" s="72">
        <f>SUM(I62:I67)</f>
        <v>15917</v>
      </c>
      <c r="J68" s="3"/>
      <c r="K68" s="89">
        <f t="shared" si="5"/>
        <v>4.4999999999999997E-3</v>
      </c>
      <c r="L68" s="91"/>
      <c r="M68" s="44"/>
      <c r="N68" s="296"/>
      <c r="O68" s="138"/>
      <c r="P68" s="45"/>
    </row>
    <row r="69" spans="1:16">
      <c r="A69" s="44"/>
      <c r="E69" s="3"/>
      <c r="F69" s="1"/>
      <c r="G69" s="3"/>
      <c r="H69" s="3"/>
      <c r="I69" s="3"/>
      <c r="J69" s="3"/>
      <c r="K69" s="90"/>
      <c r="L69" s="91"/>
      <c r="M69" s="44"/>
      <c r="N69" s="296"/>
      <c r="O69" s="138"/>
    </row>
    <row r="70" spans="1:16" ht="16.5" thickBot="1">
      <c r="A70" s="44">
        <v>37</v>
      </c>
      <c r="C70" s="130" t="s">
        <v>169</v>
      </c>
      <c r="E70" s="67">
        <f>E68+E59</f>
        <v>476687264.03835702</v>
      </c>
      <c r="F70" s="1"/>
      <c r="G70" s="67">
        <f>G68+G59</f>
        <v>546695740.42916799</v>
      </c>
      <c r="H70" s="3"/>
      <c r="I70" s="67">
        <f>I68+I59</f>
        <v>70008476.390810966</v>
      </c>
      <c r="J70" s="3"/>
      <c r="K70" s="92">
        <f>IF(E70=0,"-",ROUND(I70/E70,4))</f>
        <v>0.1469</v>
      </c>
      <c r="L70" s="91"/>
      <c r="M70" s="44"/>
      <c r="N70" s="296"/>
      <c r="O70" s="138"/>
    </row>
    <row r="71" spans="1:16" ht="16.5" thickTop="1">
      <c r="M71" s="44"/>
      <c r="N71" s="44"/>
    </row>
    <row r="72" spans="1:16">
      <c r="A72" s="44"/>
      <c r="G72" s="168"/>
      <c r="I72" s="45"/>
      <c r="M72" s="44"/>
      <c r="N72" s="44"/>
    </row>
    <row r="73" spans="1:16">
      <c r="E73" s="45"/>
      <c r="G73" s="45"/>
      <c r="I73" s="45"/>
      <c r="M73" s="44"/>
      <c r="N73" s="44"/>
    </row>
    <row r="74" spans="1:16">
      <c r="A74" s="44"/>
      <c r="I74" s="45"/>
      <c r="M74" s="44"/>
      <c r="N74" s="44"/>
    </row>
    <row r="75" spans="1:16">
      <c r="C75" s="126" t="s">
        <v>173</v>
      </c>
      <c r="E75" s="1"/>
      <c r="F75" s="1"/>
      <c r="G75" s="1"/>
      <c r="H75" s="1"/>
      <c r="I75" s="1"/>
      <c r="J75" s="1"/>
      <c r="K75" s="2"/>
      <c r="L75" s="2"/>
      <c r="M75" s="44"/>
      <c r="N75" s="44"/>
    </row>
    <row r="76" spans="1:16">
      <c r="E76" s="45"/>
      <c r="I76" s="125"/>
      <c r="J76" s="45"/>
      <c r="K76" s="44"/>
      <c r="L76" s="44"/>
    </row>
    <row r="77" spans="1:16">
      <c r="K77" s="44"/>
      <c r="L77" s="44"/>
    </row>
    <row r="78" spans="1:16">
      <c r="K78" s="44"/>
      <c r="L78" s="44"/>
    </row>
    <row r="79" spans="1:16">
      <c r="K79" s="44"/>
      <c r="L79" s="44"/>
    </row>
    <row r="80" spans="1:16">
      <c r="K80" s="44"/>
      <c r="L80" s="44"/>
    </row>
    <row r="81" spans="11:12">
      <c r="K81" s="44"/>
      <c r="L81" s="44"/>
    </row>
    <row r="82" spans="11:12">
      <c r="K82" s="44"/>
      <c r="L82" s="44"/>
    </row>
    <row r="83" spans="11:12">
      <c r="K83" s="44"/>
      <c r="L83" s="44"/>
    </row>
    <row r="84" spans="11:12">
      <c r="K84" s="44"/>
      <c r="L84" s="44"/>
    </row>
    <row r="85" spans="11:12">
      <c r="K85" s="44"/>
      <c r="L85" s="44"/>
    </row>
    <row r="86" spans="11:12">
      <c r="K86" s="44"/>
      <c r="L86" s="44"/>
    </row>
    <row r="87" spans="11:12">
      <c r="K87" s="44"/>
      <c r="L87" s="44"/>
    </row>
    <row r="88" spans="11:12">
      <c r="K88" s="44"/>
      <c r="L88" s="44"/>
    </row>
    <row r="89" spans="11:12">
      <c r="K89" s="44"/>
      <c r="L89" s="44"/>
    </row>
    <row r="90" spans="11:12">
      <c r="K90" s="44"/>
      <c r="L90" s="44"/>
    </row>
    <row r="91" spans="11:12">
      <c r="K91" s="44"/>
      <c r="L91" s="44"/>
    </row>
    <row r="92" spans="11:12">
      <c r="K92" s="44"/>
      <c r="L92" s="44"/>
    </row>
    <row r="93" spans="11:12">
      <c r="K93" s="44"/>
      <c r="L93" s="44"/>
    </row>
    <row r="94" spans="11:12">
      <c r="K94" s="44"/>
      <c r="L94" s="44"/>
    </row>
    <row r="95" spans="11:12">
      <c r="K95" s="44"/>
      <c r="L95" s="44"/>
    </row>
    <row r="96" spans="11:12">
      <c r="K96" s="44"/>
      <c r="L96" s="44"/>
    </row>
    <row r="97" spans="11:12">
      <c r="K97" s="44"/>
      <c r="L97" s="44"/>
    </row>
    <row r="98" spans="11:12">
      <c r="K98" s="44"/>
      <c r="L98" s="44"/>
    </row>
    <row r="99" spans="11:12">
      <c r="K99" s="44"/>
      <c r="L99" s="44"/>
    </row>
    <row r="100" spans="11:12">
      <c r="K100" s="44"/>
      <c r="L100" s="44"/>
    </row>
    <row r="101" spans="11:12">
      <c r="K101" s="44"/>
      <c r="L101" s="44"/>
    </row>
    <row r="102" spans="11:12">
      <c r="K102" s="44"/>
      <c r="L102" s="44"/>
    </row>
    <row r="103" spans="11:12">
      <c r="K103" s="44"/>
      <c r="L103" s="44"/>
    </row>
    <row r="104" spans="11:12">
      <c r="K104" s="44"/>
      <c r="L104" s="44"/>
    </row>
    <row r="105" spans="11:12">
      <c r="K105" s="44"/>
      <c r="L105" s="44"/>
    </row>
    <row r="106" spans="11:12">
      <c r="K106" s="44"/>
      <c r="L106" s="44"/>
    </row>
    <row r="107" spans="11:12">
      <c r="K107" s="44"/>
      <c r="L107" s="44"/>
    </row>
    <row r="108" spans="11:12">
      <c r="K108" s="44"/>
      <c r="L108" s="44"/>
    </row>
    <row r="109" spans="11:12">
      <c r="K109" s="44"/>
      <c r="L109" s="44"/>
    </row>
    <row r="110" spans="11:12">
      <c r="K110" s="44"/>
      <c r="L110" s="44"/>
    </row>
    <row r="111" spans="11:12">
      <c r="K111" s="44"/>
      <c r="L111" s="44"/>
    </row>
    <row r="112" spans="11:12">
      <c r="K112" s="44"/>
      <c r="L112" s="44"/>
    </row>
    <row r="113" spans="11:12">
      <c r="K113" s="44"/>
      <c r="L113" s="44"/>
    </row>
    <row r="114" spans="11:12">
      <c r="K114" s="44"/>
      <c r="L114" s="44"/>
    </row>
    <row r="115" spans="11:12">
      <c r="K115" s="44"/>
      <c r="L115" s="44"/>
    </row>
    <row r="116" spans="11:12">
      <c r="K116" s="44"/>
      <c r="L116" s="44"/>
    </row>
    <row r="117" spans="11:12">
      <c r="K117" s="44"/>
      <c r="L117" s="44"/>
    </row>
    <row r="118" spans="11:12">
      <c r="K118" s="44"/>
      <c r="L118" s="44"/>
    </row>
    <row r="119" spans="11:12">
      <c r="K119" s="44"/>
      <c r="L119" s="44"/>
    </row>
    <row r="120" spans="11:12">
      <c r="K120" s="44"/>
      <c r="L120" s="44"/>
    </row>
    <row r="121" spans="11:12">
      <c r="K121" s="44"/>
      <c r="L121" s="44"/>
    </row>
    <row r="122" spans="11:12">
      <c r="K122" s="44"/>
      <c r="L122" s="44"/>
    </row>
    <row r="123" spans="11:12">
      <c r="K123" s="44"/>
      <c r="L123" s="44"/>
    </row>
    <row r="124" spans="11:12">
      <c r="K124" s="44"/>
      <c r="L124" s="44"/>
    </row>
    <row r="125" spans="11:12">
      <c r="K125" s="44"/>
      <c r="L125" s="44"/>
    </row>
    <row r="126" spans="11:12">
      <c r="K126" s="44"/>
      <c r="L126" s="44"/>
    </row>
    <row r="127" spans="11:12">
      <c r="K127" s="44"/>
      <c r="L127" s="44"/>
    </row>
    <row r="128" spans="11:12">
      <c r="K128" s="44"/>
      <c r="L128" s="44"/>
    </row>
    <row r="129" spans="11:12">
      <c r="K129" s="44"/>
      <c r="L129" s="44"/>
    </row>
    <row r="130" spans="11:12">
      <c r="K130" s="44"/>
      <c r="L130" s="44"/>
    </row>
    <row r="131" spans="11:12">
      <c r="K131" s="44"/>
      <c r="L131" s="44"/>
    </row>
    <row r="132" spans="11:12">
      <c r="K132" s="44"/>
      <c r="L132" s="44"/>
    </row>
    <row r="133" spans="11:12">
      <c r="K133" s="44"/>
      <c r="L133" s="44"/>
    </row>
    <row r="134" spans="11:12">
      <c r="K134" s="44"/>
      <c r="L134" s="44"/>
    </row>
    <row r="135" spans="11:12">
      <c r="K135" s="44"/>
      <c r="L135" s="44"/>
    </row>
    <row r="136" spans="11:12">
      <c r="K136" s="44"/>
      <c r="L136" s="44"/>
    </row>
    <row r="137" spans="11:12">
      <c r="K137" s="44"/>
      <c r="L137" s="44"/>
    </row>
    <row r="138" spans="11:12">
      <c r="K138" s="44"/>
      <c r="L138" s="44"/>
    </row>
    <row r="139" spans="11:12">
      <c r="K139" s="44"/>
      <c r="L139" s="44"/>
    </row>
    <row r="140" spans="11:12">
      <c r="K140" s="44"/>
      <c r="L140" s="44"/>
    </row>
    <row r="141" spans="11:12">
      <c r="K141" s="44"/>
      <c r="L141" s="44"/>
    </row>
    <row r="142" spans="11:12">
      <c r="K142" s="44"/>
      <c r="L142" s="44"/>
    </row>
    <row r="143" spans="11:12">
      <c r="K143" s="44"/>
      <c r="L143" s="44"/>
    </row>
    <row r="144" spans="11:12">
      <c r="K144" s="44"/>
      <c r="L144" s="44"/>
    </row>
    <row r="145" spans="11:12">
      <c r="K145" s="44"/>
      <c r="L145" s="44"/>
    </row>
    <row r="146" spans="11:12">
      <c r="K146" s="44"/>
      <c r="L146" s="44"/>
    </row>
    <row r="147" spans="11:12">
      <c r="K147" s="44"/>
      <c r="L147" s="44"/>
    </row>
    <row r="148" spans="11:12">
      <c r="K148" s="44"/>
      <c r="L148" s="44"/>
    </row>
    <row r="149" spans="11:12">
      <c r="K149" s="44"/>
      <c r="L149" s="44"/>
    </row>
    <row r="150" spans="11:12">
      <c r="K150" s="44"/>
      <c r="L150" s="44"/>
    </row>
    <row r="151" spans="11:12">
      <c r="K151" s="44"/>
      <c r="L151" s="44"/>
    </row>
    <row r="152" spans="11:12">
      <c r="K152" s="44"/>
      <c r="L152" s="44"/>
    </row>
    <row r="153" spans="11:12">
      <c r="K153" s="44"/>
      <c r="L153" s="44"/>
    </row>
    <row r="154" spans="11:12">
      <c r="K154" s="44"/>
      <c r="L154" s="44"/>
    </row>
    <row r="155" spans="11:12">
      <c r="K155" s="44"/>
      <c r="L155" s="44"/>
    </row>
    <row r="156" spans="11:12">
      <c r="K156" s="44"/>
      <c r="L156" s="44"/>
    </row>
    <row r="157" spans="11:12">
      <c r="K157" s="44"/>
      <c r="L157" s="44"/>
    </row>
    <row r="158" spans="11:12">
      <c r="K158" s="44"/>
      <c r="L158" s="44"/>
    </row>
    <row r="159" spans="11:12">
      <c r="K159" s="44"/>
      <c r="L159" s="44"/>
    </row>
    <row r="160" spans="11:12">
      <c r="K160" s="44"/>
      <c r="L160" s="44"/>
    </row>
    <row r="161" spans="11:12">
      <c r="K161" s="44"/>
      <c r="L161" s="44"/>
    </row>
    <row r="162" spans="11:12">
      <c r="K162" s="44"/>
      <c r="L162" s="44"/>
    </row>
    <row r="163" spans="11:12">
      <c r="K163" s="44"/>
      <c r="L163" s="44"/>
    </row>
    <row r="164" spans="11:12">
      <c r="K164" s="44"/>
      <c r="L164" s="44"/>
    </row>
    <row r="165" spans="11:12">
      <c r="K165" s="44"/>
      <c r="L165" s="44"/>
    </row>
    <row r="166" spans="11:12">
      <c r="K166" s="44"/>
      <c r="L166" s="44"/>
    </row>
    <row r="167" spans="11:12">
      <c r="K167" s="44"/>
      <c r="L167" s="44"/>
    </row>
    <row r="168" spans="11:12">
      <c r="K168" s="44"/>
      <c r="L168" s="44"/>
    </row>
    <row r="169" spans="11:12">
      <c r="K169" s="44"/>
      <c r="L169" s="44"/>
    </row>
    <row r="170" spans="11:12">
      <c r="K170" s="44"/>
      <c r="L170" s="44"/>
    </row>
    <row r="171" spans="11:12">
      <c r="K171" s="44"/>
      <c r="L171" s="44"/>
    </row>
    <row r="172" spans="11:12">
      <c r="K172" s="44"/>
      <c r="L172" s="44"/>
    </row>
    <row r="173" spans="11:12">
      <c r="K173" s="44"/>
      <c r="L173" s="44"/>
    </row>
    <row r="174" spans="11:12">
      <c r="K174" s="44"/>
      <c r="L174" s="44"/>
    </row>
    <row r="175" spans="11:12">
      <c r="K175" s="44"/>
      <c r="L175" s="44"/>
    </row>
    <row r="176" spans="11:12">
      <c r="K176" s="44"/>
      <c r="L176" s="44"/>
    </row>
    <row r="177" spans="11:12">
      <c r="K177" s="44"/>
      <c r="L177" s="44"/>
    </row>
    <row r="178" spans="11:12">
      <c r="K178" s="44"/>
      <c r="L178" s="44"/>
    </row>
    <row r="179" spans="11:12">
      <c r="K179" s="44"/>
      <c r="L179" s="44"/>
    </row>
    <row r="180" spans="11:12">
      <c r="K180" s="44"/>
      <c r="L180" s="44"/>
    </row>
    <row r="181" spans="11:12">
      <c r="K181" s="44"/>
      <c r="L181" s="44"/>
    </row>
    <row r="182" spans="11:12">
      <c r="K182" s="44"/>
      <c r="L182" s="44"/>
    </row>
    <row r="183" spans="11:12">
      <c r="K183" s="44"/>
      <c r="L183" s="44"/>
    </row>
    <row r="184" spans="11:12">
      <c r="K184" s="44"/>
      <c r="L184" s="44"/>
    </row>
    <row r="185" spans="11:12">
      <c r="K185" s="44"/>
      <c r="L185" s="44"/>
    </row>
    <row r="186" spans="11:12">
      <c r="K186" s="44"/>
      <c r="L186" s="44"/>
    </row>
    <row r="187" spans="11:12">
      <c r="K187" s="44"/>
      <c r="L187" s="44"/>
    </row>
    <row r="188" spans="11:12">
      <c r="K188" s="44"/>
      <c r="L188" s="44"/>
    </row>
    <row r="189" spans="11:12">
      <c r="K189" s="44"/>
      <c r="L189" s="44"/>
    </row>
    <row r="190" spans="11:12">
      <c r="K190" s="44"/>
      <c r="L190" s="44"/>
    </row>
    <row r="191" spans="11:12">
      <c r="K191" s="44"/>
      <c r="L191" s="44"/>
    </row>
    <row r="192" spans="11:12">
      <c r="K192" s="44"/>
      <c r="L192" s="44"/>
    </row>
    <row r="193" spans="11:12">
      <c r="K193" s="44"/>
      <c r="L193" s="44"/>
    </row>
    <row r="194" spans="11:12">
      <c r="K194" s="44"/>
      <c r="L194" s="44"/>
    </row>
    <row r="195" spans="11:12">
      <c r="K195" s="44"/>
      <c r="L195" s="44"/>
    </row>
    <row r="196" spans="11:12">
      <c r="K196" s="44"/>
      <c r="L196" s="44"/>
    </row>
    <row r="197" spans="11:12">
      <c r="K197" s="44"/>
      <c r="L197" s="44"/>
    </row>
    <row r="198" spans="11:12">
      <c r="K198" s="44"/>
      <c r="L198" s="44"/>
    </row>
    <row r="199" spans="11:12">
      <c r="K199" s="44"/>
      <c r="L199" s="44"/>
    </row>
    <row r="200" spans="11:12">
      <c r="K200" s="44"/>
      <c r="L200" s="44"/>
    </row>
    <row r="201" spans="11:12">
      <c r="K201" s="44"/>
      <c r="L201" s="44"/>
    </row>
    <row r="202" spans="11:12">
      <c r="K202" s="44"/>
      <c r="L202" s="44"/>
    </row>
    <row r="203" spans="11:12">
      <c r="K203" s="44"/>
      <c r="L203" s="44"/>
    </row>
    <row r="204" spans="11:12">
      <c r="K204" s="44"/>
      <c r="L204" s="44"/>
    </row>
    <row r="205" spans="11:12">
      <c r="K205" s="44"/>
      <c r="L205" s="44"/>
    </row>
    <row r="206" spans="11:12">
      <c r="K206" s="44"/>
      <c r="L206" s="44"/>
    </row>
    <row r="207" spans="11:12">
      <c r="K207" s="44"/>
      <c r="L207" s="44"/>
    </row>
    <row r="208" spans="11:12">
      <c r="K208" s="44"/>
      <c r="L208" s="44"/>
    </row>
    <row r="209" spans="11:12">
      <c r="K209" s="44"/>
      <c r="L209" s="44"/>
    </row>
    <row r="210" spans="11:12">
      <c r="K210" s="44"/>
      <c r="L210" s="44"/>
    </row>
    <row r="211" spans="11:12">
      <c r="K211" s="44"/>
      <c r="L211" s="44"/>
    </row>
    <row r="212" spans="11:12">
      <c r="K212" s="44"/>
      <c r="L212" s="44"/>
    </row>
    <row r="213" spans="11:12">
      <c r="K213" s="44"/>
      <c r="L213" s="44"/>
    </row>
    <row r="214" spans="11:12">
      <c r="K214" s="44"/>
      <c r="L214" s="44"/>
    </row>
    <row r="215" spans="11:12">
      <c r="K215" s="44"/>
      <c r="L215" s="44"/>
    </row>
    <row r="216" spans="11:12">
      <c r="K216" s="44"/>
      <c r="L216" s="44"/>
    </row>
    <row r="217" spans="11:12">
      <c r="K217" s="44"/>
      <c r="L217" s="44"/>
    </row>
    <row r="218" spans="11:12">
      <c r="K218" s="44"/>
      <c r="L218" s="44"/>
    </row>
    <row r="219" spans="11:12">
      <c r="K219" s="44"/>
      <c r="L219" s="44"/>
    </row>
    <row r="220" spans="11:12">
      <c r="K220" s="44"/>
      <c r="L220" s="44"/>
    </row>
    <row r="221" spans="11:12">
      <c r="K221" s="44"/>
      <c r="L221" s="44"/>
    </row>
    <row r="222" spans="11:12">
      <c r="K222" s="44"/>
      <c r="L222" s="44"/>
    </row>
    <row r="223" spans="11:12">
      <c r="K223" s="44"/>
      <c r="L223" s="44"/>
    </row>
    <row r="224" spans="11:12">
      <c r="K224" s="44"/>
      <c r="L224" s="44"/>
    </row>
    <row r="225" spans="11:12">
      <c r="K225" s="44"/>
      <c r="L225" s="44"/>
    </row>
    <row r="226" spans="11:12">
      <c r="K226" s="44"/>
      <c r="L226" s="44"/>
    </row>
    <row r="227" spans="11:12">
      <c r="K227" s="44"/>
      <c r="L227" s="44"/>
    </row>
    <row r="228" spans="11:12">
      <c r="K228" s="44"/>
      <c r="L228" s="44"/>
    </row>
    <row r="229" spans="11:12">
      <c r="K229" s="44"/>
      <c r="L229" s="44"/>
    </row>
    <row r="230" spans="11:12">
      <c r="K230" s="44"/>
      <c r="L230" s="44"/>
    </row>
    <row r="231" spans="11:12">
      <c r="K231" s="44"/>
      <c r="L231" s="44"/>
    </row>
    <row r="232" spans="11:12">
      <c r="K232" s="44"/>
      <c r="L232" s="44"/>
    </row>
    <row r="233" spans="11:12">
      <c r="K233" s="44"/>
      <c r="L233" s="44"/>
    </row>
    <row r="234" spans="11:12">
      <c r="K234" s="44"/>
      <c r="L234" s="44"/>
    </row>
    <row r="235" spans="11:12">
      <c r="K235" s="44"/>
      <c r="L235" s="44"/>
    </row>
    <row r="236" spans="11:12">
      <c r="K236" s="44"/>
      <c r="L236" s="44"/>
    </row>
    <row r="237" spans="11:12">
      <c r="K237" s="44"/>
      <c r="L237" s="44"/>
    </row>
    <row r="238" spans="11:12">
      <c r="K238" s="44"/>
      <c r="L238" s="44"/>
    </row>
    <row r="239" spans="11:12">
      <c r="K239" s="44"/>
      <c r="L239" s="44"/>
    </row>
    <row r="240" spans="11:12">
      <c r="K240" s="44"/>
      <c r="L240" s="44"/>
    </row>
    <row r="241" spans="11:12">
      <c r="K241" s="44"/>
      <c r="L241" s="44"/>
    </row>
    <row r="242" spans="11:12">
      <c r="K242" s="44"/>
      <c r="L242" s="44"/>
    </row>
    <row r="243" spans="11:12">
      <c r="K243" s="44"/>
      <c r="L243" s="44"/>
    </row>
    <row r="244" spans="11:12">
      <c r="K244" s="44"/>
      <c r="L244" s="44"/>
    </row>
    <row r="245" spans="11:12">
      <c r="K245" s="44"/>
      <c r="L245" s="44"/>
    </row>
    <row r="246" spans="11:12">
      <c r="K246" s="44"/>
      <c r="L246" s="44"/>
    </row>
    <row r="247" spans="11:12">
      <c r="K247" s="44"/>
      <c r="L247" s="44"/>
    </row>
    <row r="248" spans="11:12">
      <c r="K248" s="44"/>
      <c r="L248" s="44"/>
    </row>
    <row r="249" spans="11:12">
      <c r="K249" s="44"/>
      <c r="L249" s="44"/>
    </row>
    <row r="250" spans="11:12">
      <c r="K250" s="44"/>
      <c r="L250" s="44"/>
    </row>
    <row r="251" spans="11:12">
      <c r="K251" s="44"/>
      <c r="L251" s="44"/>
    </row>
    <row r="252" spans="11:12">
      <c r="K252" s="44"/>
      <c r="L252" s="44"/>
    </row>
    <row r="253" spans="11:12">
      <c r="K253" s="44"/>
      <c r="L253" s="44"/>
    </row>
    <row r="254" spans="11:12">
      <c r="K254" s="44"/>
      <c r="L254" s="44"/>
    </row>
    <row r="255" spans="11:12">
      <c r="K255" s="44"/>
      <c r="L255" s="44"/>
    </row>
    <row r="256" spans="11:12">
      <c r="K256" s="44"/>
      <c r="L256" s="44"/>
    </row>
    <row r="257" spans="11:12">
      <c r="K257" s="44"/>
      <c r="L257" s="44"/>
    </row>
    <row r="258" spans="11:12">
      <c r="K258" s="44"/>
      <c r="L258" s="44"/>
    </row>
    <row r="259" spans="11:12">
      <c r="K259" s="44"/>
      <c r="L259" s="44"/>
    </row>
    <row r="260" spans="11:12">
      <c r="K260" s="44"/>
      <c r="L260" s="44"/>
    </row>
    <row r="261" spans="11:12">
      <c r="K261" s="44"/>
      <c r="L261" s="44"/>
    </row>
    <row r="262" spans="11:12">
      <c r="K262" s="44"/>
      <c r="L262" s="44"/>
    </row>
    <row r="263" spans="11:12">
      <c r="K263" s="44"/>
      <c r="L263" s="44"/>
    </row>
    <row r="264" spans="11:12">
      <c r="K264" s="44"/>
      <c r="L264" s="44"/>
    </row>
    <row r="265" spans="11:12">
      <c r="K265" s="44"/>
      <c r="L265" s="44"/>
    </row>
    <row r="266" spans="11:12">
      <c r="K266" s="44"/>
      <c r="L266" s="44"/>
    </row>
    <row r="267" spans="11:12">
      <c r="K267" s="44"/>
      <c r="L267" s="44"/>
    </row>
    <row r="268" spans="11:12">
      <c r="K268" s="44"/>
      <c r="L268" s="44"/>
    </row>
    <row r="269" spans="11:12">
      <c r="K269" s="44"/>
      <c r="L269" s="44"/>
    </row>
    <row r="270" spans="11:12">
      <c r="K270" s="44"/>
      <c r="L270" s="44"/>
    </row>
    <row r="271" spans="11:12">
      <c r="K271" s="44"/>
      <c r="L271" s="44"/>
    </row>
    <row r="272" spans="11:12">
      <c r="K272" s="44"/>
      <c r="L272" s="44"/>
    </row>
    <row r="273" spans="11:12">
      <c r="K273" s="44"/>
      <c r="L273" s="44"/>
    </row>
    <row r="274" spans="11:12">
      <c r="K274" s="44"/>
      <c r="L274" s="44"/>
    </row>
    <row r="275" spans="11:12">
      <c r="K275" s="44"/>
      <c r="L275" s="44"/>
    </row>
    <row r="276" spans="11:12">
      <c r="K276" s="44"/>
      <c r="L276" s="44"/>
    </row>
    <row r="277" spans="11:12">
      <c r="K277" s="44"/>
      <c r="L277" s="44"/>
    </row>
    <row r="278" spans="11:12">
      <c r="K278" s="44"/>
      <c r="L278" s="44"/>
    </row>
    <row r="279" spans="11:12">
      <c r="K279" s="44"/>
      <c r="L279" s="44"/>
    </row>
    <row r="280" spans="11:12">
      <c r="K280" s="44"/>
      <c r="L280" s="44"/>
    </row>
    <row r="281" spans="11:12">
      <c r="K281" s="44"/>
      <c r="L281" s="44"/>
    </row>
    <row r="282" spans="11:12">
      <c r="K282" s="44"/>
      <c r="L282" s="44"/>
    </row>
    <row r="283" spans="11:12">
      <c r="K283" s="44"/>
      <c r="L283" s="44"/>
    </row>
    <row r="284" spans="11:12">
      <c r="K284" s="44"/>
      <c r="L284" s="44"/>
    </row>
    <row r="285" spans="11:12">
      <c r="K285" s="44"/>
      <c r="L285" s="44"/>
    </row>
    <row r="286" spans="11:12">
      <c r="K286" s="44"/>
      <c r="L286" s="44"/>
    </row>
    <row r="287" spans="11:12">
      <c r="K287" s="44"/>
      <c r="L287" s="44"/>
    </row>
    <row r="288" spans="11:12">
      <c r="K288" s="44"/>
      <c r="L288" s="44"/>
    </row>
    <row r="289" spans="11:12">
      <c r="K289" s="44"/>
      <c r="L289" s="44"/>
    </row>
    <row r="290" spans="11:12">
      <c r="K290" s="44"/>
      <c r="L290" s="44"/>
    </row>
    <row r="291" spans="11:12">
      <c r="K291" s="44"/>
      <c r="L291" s="44"/>
    </row>
    <row r="292" spans="11:12">
      <c r="K292" s="44"/>
      <c r="L292" s="44"/>
    </row>
    <row r="293" spans="11:12">
      <c r="K293" s="44"/>
      <c r="L293" s="44"/>
    </row>
    <row r="294" spans="11:12">
      <c r="K294" s="44"/>
      <c r="L294" s="44"/>
    </row>
    <row r="295" spans="11:12">
      <c r="K295" s="44"/>
      <c r="L295" s="44"/>
    </row>
    <row r="296" spans="11:12">
      <c r="K296" s="44"/>
      <c r="L296" s="44"/>
    </row>
    <row r="297" spans="11:12">
      <c r="K297" s="44"/>
      <c r="L297" s="44"/>
    </row>
    <row r="298" spans="11:12">
      <c r="K298" s="44"/>
      <c r="L298" s="44"/>
    </row>
    <row r="299" spans="11:12">
      <c r="K299" s="44"/>
      <c r="L299" s="44"/>
    </row>
    <row r="300" spans="11:12">
      <c r="K300" s="44"/>
      <c r="L300" s="44"/>
    </row>
    <row r="301" spans="11:12">
      <c r="K301" s="44"/>
      <c r="L301" s="44"/>
    </row>
    <row r="302" spans="11:12">
      <c r="K302" s="44"/>
      <c r="L302" s="44"/>
    </row>
    <row r="303" spans="11:12">
      <c r="K303" s="44"/>
      <c r="L303" s="44"/>
    </row>
    <row r="304" spans="11:12">
      <c r="K304" s="44"/>
      <c r="L304" s="44"/>
    </row>
    <row r="305" spans="11:12">
      <c r="K305" s="44"/>
      <c r="L305" s="44"/>
    </row>
    <row r="306" spans="11:12">
      <c r="K306" s="44"/>
      <c r="L306" s="44"/>
    </row>
    <row r="307" spans="11:12">
      <c r="K307" s="44"/>
      <c r="L307" s="44"/>
    </row>
    <row r="308" spans="11:12">
      <c r="K308" s="44"/>
      <c r="L308" s="44"/>
    </row>
    <row r="309" spans="11:12">
      <c r="K309" s="44"/>
      <c r="L309" s="44"/>
    </row>
    <row r="310" spans="11:12">
      <c r="K310" s="44"/>
      <c r="L310" s="44"/>
    </row>
    <row r="311" spans="11:12">
      <c r="K311" s="44"/>
      <c r="L311" s="44"/>
    </row>
    <row r="312" spans="11:12">
      <c r="K312" s="44"/>
      <c r="L312" s="44"/>
    </row>
    <row r="313" spans="11:12">
      <c r="K313" s="44"/>
      <c r="L313" s="44"/>
    </row>
    <row r="314" spans="11:12">
      <c r="K314" s="44"/>
      <c r="L314" s="44"/>
    </row>
    <row r="315" spans="11:12">
      <c r="K315" s="44"/>
      <c r="L315" s="44"/>
    </row>
    <row r="316" spans="11:12">
      <c r="K316" s="44"/>
      <c r="L316" s="44"/>
    </row>
    <row r="317" spans="11:12">
      <c r="K317" s="44"/>
      <c r="L317" s="44"/>
    </row>
    <row r="318" spans="11:12">
      <c r="K318" s="44"/>
      <c r="L318" s="44"/>
    </row>
    <row r="319" spans="11:12">
      <c r="K319" s="44"/>
      <c r="L319" s="44"/>
    </row>
    <row r="320" spans="11:12">
      <c r="K320" s="44"/>
      <c r="L320" s="44"/>
    </row>
    <row r="321" spans="11:12">
      <c r="K321" s="44"/>
      <c r="L321" s="44"/>
    </row>
    <row r="322" spans="11:12">
      <c r="K322" s="44"/>
      <c r="L322" s="44"/>
    </row>
    <row r="323" spans="11:12">
      <c r="K323" s="44"/>
      <c r="L323" s="44"/>
    </row>
    <row r="324" spans="11:12">
      <c r="K324" s="44"/>
      <c r="L324" s="44"/>
    </row>
    <row r="325" spans="11:12">
      <c r="K325" s="44"/>
      <c r="L325" s="44"/>
    </row>
    <row r="326" spans="11:12">
      <c r="K326" s="44"/>
      <c r="L326" s="44"/>
    </row>
    <row r="327" spans="11:12">
      <c r="K327" s="44"/>
      <c r="L327" s="44"/>
    </row>
    <row r="328" spans="11:12">
      <c r="K328" s="44"/>
      <c r="L328" s="44"/>
    </row>
    <row r="329" spans="11:12">
      <c r="K329" s="44"/>
      <c r="L329" s="44"/>
    </row>
    <row r="330" spans="11:12">
      <c r="K330" s="44"/>
      <c r="L330" s="44"/>
    </row>
    <row r="331" spans="11:12">
      <c r="K331" s="44"/>
      <c r="L331" s="44"/>
    </row>
    <row r="332" spans="11:12">
      <c r="K332" s="44"/>
      <c r="L332" s="44"/>
    </row>
    <row r="333" spans="11:12">
      <c r="K333" s="44"/>
      <c r="L333" s="44"/>
    </row>
    <row r="334" spans="11:12">
      <c r="K334" s="44"/>
      <c r="L334" s="44"/>
    </row>
    <row r="335" spans="11:12">
      <c r="K335" s="44"/>
      <c r="L335" s="44"/>
    </row>
    <row r="336" spans="11:12">
      <c r="K336" s="44"/>
      <c r="L336" s="44"/>
    </row>
    <row r="337" spans="11:12">
      <c r="K337" s="44"/>
      <c r="L337" s="44"/>
    </row>
    <row r="338" spans="11:12">
      <c r="K338" s="44"/>
      <c r="L338" s="44"/>
    </row>
    <row r="339" spans="11:12">
      <c r="K339" s="44"/>
      <c r="L339" s="44"/>
    </row>
    <row r="340" spans="11:12">
      <c r="K340" s="44"/>
      <c r="L340" s="44"/>
    </row>
    <row r="341" spans="11:12">
      <c r="K341" s="44"/>
      <c r="L341" s="44"/>
    </row>
    <row r="342" spans="11:12">
      <c r="K342" s="44"/>
      <c r="L342" s="44"/>
    </row>
    <row r="343" spans="11:12">
      <c r="K343" s="44"/>
      <c r="L343" s="44"/>
    </row>
    <row r="344" spans="11:12">
      <c r="K344" s="44"/>
      <c r="L344" s="44"/>
    </row>
    <row r="345" spans="11:12">
      <c r="K345" s="44"/>
      <c r="L345" s="44"/>
    </row>
    <row r="346" spans="11:12">
      <c r="K346" s="44"/>
      <c r="L346" s="44"/>
    </row>
    <row r="347" spans="11:12">
      <c r="K347" s="44"/>
      <c r="L347" s="44"/>
    </row>
    <row r="348" spans="11:12">
      <c r="K348" s="44"/>
      <c r="L348" s="44"/>
    </row>
    <row r="349" spans="11:12">
      <c r="K349" s="44"/>
      <c r="L349" s="44"/>
    </row>
    <row r="350" spans="11:12">
      <c r="K350" s="44"/>
      <c r="L350" s="44"/>
    </row>
    <row r="351" spans="11:12">
      <c r="K351" s="44"/>
      <c r="L351" s="44"/>
    </row>
    <row r="352" spans="11:12">
      <c r="K352" s="44"/>
      <c r="L352" s="44"/>
    </row>
    <row r="353" spans="11:12">
      <c r="K353" s="44"/>
      <c r="L353" s="44"/>
    </row>
    <row r="354" spans="11:12">
      <c r="K354" s="44"/>
      <c r="L354" s="44"/>
    </row>
    <row r="355" spans="11:12">
      <c r="K355" s="44"/>
      <c r="L355" s="44"/>
    </row>
    <row r="356" spans="11:12">
      <c r="K356" s="44"/>
      <c r="L356" s="44"/>
    </row>
    <row r="357" spans="11:12">
      <c r="K357" s="44"/>
      <c r="L357" s="44"/>
    </row>
    <row r="358" spans="11:12">
      <c r="K358" s="44"/>
      <c r="L358" s="44"/>
    </row>
    <row r="359" spans="11:12">
      <c r="K359" s="44"/>
      <c r="L359" s="44"/>
    </row>
    <row r="360" spans="11:12">
      <c r="K360" s="44"/>
      <c r="L360" s="44"/>
    </row>
    <row r="361" spans="11:12">
      <c r="K361" s="44"/>
      <c r="L361" s="44"/>
    </row>
    <row r="362" spans="11:12">
      <c r="K362" s="44"/>
      <c r="L362" s="44"/>
    </row>
    <row r="363" spans="11:12">
      <c r="K363" s="44"/>
      <c r="L363" s="44"/>
    </row>
    <row r="364" spans="11:12">
      <c r="K364" s="44"/>
      <c r="L364" s="44"/>
    </row>
    <row r="365" spans="11:12">
      <c r="K365" s="44"/>
      <c r="L365" s="44"/>
    </row>
    <row r="366" spans="11:12">
      <c r="K366" s="44"/>
      <c r="L366" s="44"/>
    </row>
    <row r="367" spans="11:12">
      <c r="K367" s="44"/>
      <c r="L367" s="44"/>
    </row>
    <row r="368" spans="11:12">
      <c r="K368" s="44"/>
      <c r="L368" s="44"/>
    </row>
    <row r="369" spans="11:12">
      <c r="K369" s="44"/>
      <c r="L369" s="44"/>
    </row>
    <row r="370" spans="11:12">
      <c r="K370" s="44"/>
      <c r="L370" s="44"/>
    </row>
    <row r="371" spans="11:12">
      <c r="K371" s="44"/>
      <c r="L371" s="44"/>
    </row>
    <row r="372" spans="11:12">
      <c r="K372" s="44"/>
      <c r="L372" s="44"/>
    </row>
    <row r="373" spans="11:12">
      <c r="K373" s="44"/>
      <c r="L373" s="44"/>
    </row>
    <row r="374" spans="11:12">
      <c r="K374" s="44"/>
      <c r="L374" s="44"/>
    </row>
    <row r="375" spans="11:12">
      <c r="K375" s="44"/>
      <c r="L375" s="44"/>
    </row>
    <row r="376" spans="11:12">
      <c r="K376" s="44"/>
      <c r="L376" s="44"/>
    </row>
    <row r="377" spans="11:12">
      <c r="K377" s="44"/>
      <c r="L377" s="44"/>
    </row>
    <row r="378" spans="11:12">
      <c r="K378" s="44"/>
      <c r="L378" s="44"/>
    </row>
    <row r="379" spans="11:12">
      <c r="K379" s="44"/>
      <c r="L379" s="44"/>
    </row>
    <row r="380" spans="11:12">
      <c r="K380" s="44"/>
      <c r="L380" s="44"/>
    </row>
    <row r="381" spans="11:12">
      <c r="K381" s="44"/>
      <c r="L381" s="44"/>
    </row>
    <row r="382" spans="11:12">
      <c r="K382" s="44"/>
      <c r="L382" s="44"/>
    </row>
    <row r="383" spans="11:12">
      <c r="K383" s="44"/>
      <c r="L383" s="44"/>
    </row>
    <row r="384" spans="11:12">
      <c r="K384" s="44"/>
      <c r="L384" s="44"/>
    </row>
    <row r="385" spans="11:12">
      <c r="K385" s="44"/>
      <c r="L385" s="44"/>
    </row>
    <row r="386" spans="11:12">
      <c r="K386" s="44"/>
      <c r="L386" s="44"/>
    </row>
    <row r="387" spans="11:12">
      <c r="K387" s="44"/>
      <c r="L387" s="44"/>
    </row>
    <row r="388" spans="11:12">
      <c r="K388" s="44"/>
      <c r="L388" s="44"/>
    </row>
    <row r="389" spans="11:12">
      <c r="K389" s="44"/>
      <c r="L389" s="44"/>
    </row>
    <row r="390" spans="11:12">
      <c r="K390" s="44"/>
      <c r="L390" s="44"/>
    </row>
    <row r="391" spans="11:12">
      <c r="K391" s="44"/>
      <c r="L391" s="44"/>
    </row>
    <row r="392" spans="11:12">
      <c r="K392" s="44"/>
      <c r="L392" s="44"/>
    </row>
    <row r="393" spans="11:12">
      <c r="K393" s="44"/>
      <c r="L393" s="44"/>
    </row>
    <row r="394" spans="11:12">
      <c r="K394" s="44"/>
      <c r="L394" s="44"/>
    </row>
    <row r="395" spans="11:12">
      <c r="K395" s="44"/>
      <c r="L395" s="44"/>
    </row>
    <row r="396" spans="11:12">
      <c r="K396" s="44"/>
      <c r="L396" s="44"/>
    </row>
    <row r="397" spans="11:12">
      <c r="K397" s="44"/>
      <c r="L397" s="44"/>
    </row>
    <row r="398" spans="11:12">
      <c r="K398" s="44"/>
      <c r="L398" s="44"/>
    </row>
    <row r="399" spans="11:12">
      <c r="K399" s="44"/>
      <c r="L399" s="44"/>
    </row>
    <row r="400" spans="11:12">
      <c r="K400" s="44"/>
      <c r="L400" s="44"/>
    </row>
    <row r="401" spans="11:12">
      <c r="K401" s="44"/>
      <c r="L401" s="44"/>
    </row>
    <row r="402" spans="11:12">
      <c r="K402" s="44"/>
      <c r="L402" s="44"/>
    </row>
    <row r="403" spans="11:12">
      <c r="K403" s="44"/>
      <c r="L403" s="44"/>
    </row>
    <row r="404" spans="11:12">
      <c r="K404" s="44"/>
      <c r="L404" s="44"/>
    </row>
    <row r="405" spans="11:12">
      <c r="K405" s="44"/>
      <c r="L405" s="44"/>
    </row>
    <row r="406" spans="11:12">
      <c r="K406" s="44"/>
      <c r="L406" s="44"/>
    </row>
    <row r="407" spans="11:12">
      <c r="K407" s="44"/>
      <c r="L407" s="44"/>
    </row>
    <row r="408" spans="11:12">
      <c r="K408" s="44"/>
      <c r="L408" s="44"/>
    </row>
    <row r="409" spans="11:12">
      <c r="K409" s="44"/>
      <c r="L409" s="44"/>
    </row>
    <row r="410" spans="11:12">
      <c r="K410" s="44"/>
      <c r="L410" s="44"/>
    </row>
    <row r="411" spans="11:12">
      <c r="K411" s="44"/>
      <c r="L411" s="44"/>
    </row>
    <row r="412" spans="11:12">
      <c r="K412" s="44"/>
      <c r="L412" s="44"/>
    </row>
    <row r="413" spans="11:12">
      <c r="K413" s="44"/>
      <c r="L413" s="44"/>
    </row>
    <row r="414" spans="11:12">
      <c r="K414" s="44"/>
      <c r="L414" s="44"/>
    </row>
    <row r="415" spans="11:12">
      <c r="K415" s="44"/>
      <c r="L415" s="44"/>
    </row>
    <row r="416" spans="11:12">
      <c r="K416" s="44"/>
      <c r="L416" s="44"/>
    </row>
    <row r="417" spans="11:12">
      <c r="K417" s="44"/>
      <c r="L417" s="44"/>
    </row>
    <row r="418" spans="11:12">
      <c r="K418" s="44"/>
      <c r="L418" s="44"/>
    </row>
    <row r="419" spans="11:12">
      <c r="K419" s="44"/>
      <c r="L419" s="44"/>
    </row>
    <row r="420" spans="11:12">
      <c r="K420" s="44"/>
      <c r="L420" s="44"/>
    </row>
    <row r="421" spans="11:12">
      <c r="K421" s="44"/>
      <c r="L421" s="44"/>
    </row>
    <row r="422" spans="11:12">
      <c r="K422" s="44"/>
      <c r="L422" s="44"/>
    </row>
    <row r="423" spans="11:12">
      <c r="K423" s="44"/>
      <c r="L423" s="44"/>
    </row>
    <row r="424" spans="11:12">
      <c r="K424" s="44"/>
      <c r="L424" s="44"/>
    </row>
    <row r="425" spans="11:12">
      <c r="K425" s="44"/>
      <c r="L425" s="44"/>
    </row>
    <row r="426" spans="11:12">
      <c r="K426" s="44"/>
      <c r="L426" s="44"/>
    </row>
    <row r="427" spans="11:12">
      <c r="K427" s="44"/>
      <c r="L427" s="44"/>
    </row>
    <row r="428" spans="11:12">
      <c r="K428" s="44"/>
      <c r="L428" s="44"/>
    </row>
    <row r="429" spans="11:12">
      <c r="K429" s="44"/>
      <c r="L429" s="44"/>
    </row>
    <row r="430" spans="11:12">
      <c r="K430" s="44"/>
      <c r="L430" s="44"/>
    </row>
    <row r="431" spans="11:12">
      <c r="K431" s="44"/>
      <c r="L431" s="44"/>
    </row>
    <row r="432" spans="11:12">
      <c r="K432" s="44"/>
      <c r="L432" s="44"/>
    </row>
    <row r="433" spans="11:12">
      <c r="K433" s="44"/>
      <c r="L433" s="44"/>
    </row>
    <row r="434" spans="11:12">
      <c r="K434" s="44"/>
      <c r="L434" s="44"/>
    </row>
    <row r="435" spans="11:12">
      <c r="K435" s="44"/>
      <c r="L435" s="44"/>
    </row>
    <row r="436" spans="11:12">
      <c r="K436" s="44"/>
      <c r="L436" s="44"/>
    </row>
    <row r="437" spans="11:12">
      <c r="K437" s="44"/>
      <c r="L437" s="44"/>
    </row>
    <row r="438" spans="11:12">
      <c r="K438" s="44"/>
      <c r="L438" s="44"/>
    </row>
    <row r="439" spans="11:12">
      <c r="K439" s="44"/>
      <c r="L439" s="44"/>
    </row>
    <row r="440" spans="11:12">
      <c r="K440" s="44"/>
      <c r="L440" s="44"/>
    </row>
    <row r="441" spans="11:12">
      <c r="K441" s="44"/>
      <c r="L441" s="44"/>
    </row>
    <row r="442" spans="11:12">
      <c r="K442" s="44"/>
      <c r="L442" s="44"/>
    </row>
    <row r="443" spans="11:12">
      <c r="K443" s="44"/>
      <c r="L443" s="44"/>
    </row>
    <row r="444" spans="11:12">
      <c r="K444" s="44"/>
      <c r="L444" s="44"/>
    </row>
    <row r="445" spans="11:12">
      <c r="K445" s="44"/>
      <c r="L445" s="44"/>
    </row>
    <row r="446" spans="11:12">
      <c r="K446" s="44"/>
      <c r="L446" s="44"/>
    </row>
    <row r="447" spans="11:12">
      <c r="K447" s="44"/>
      <c r="L447" s="44"/>
    </row>
    <row r="448" spans="11:12">
      <c r="K448" s="44"/>
      <c r="L448" s="44"/>
    </row>
    <row r="449" spans="11:12">
      <c r="K449" s="44"/>
      <c r="L449" s="44"/>
    </row>
    <row r="450" spans="11:12">
      <c r="K450" s="44"/>
      <c r="L450" s="44"/>
    </row>
    <row r="451" spans="11:12">
      <c r="K451" s="44"/>
      <c r="L451" s="44"/>
    </row>
    <row r="452" spans="11:12">
      <c r="K452" s="44"/>
      <c r="L452" s="44"/>
    </row>
    <row r="453" spans="11:12">
      <c r="K453" s="44"/>
      <c r="L453" s="44"/>
    </row>
    <row r="454" spans="11:12">
      <c r="K454" s="44"/>
      <c r="L454" s="44"/>
    </row>
    <row r="455" spans="11:12">
      <c r="K455" s="44"/>
      <c r="L455" s="44"/>
    </row>
    <row r="456" spans="11:12">
      <c r="K456" s="44"/>
      <c r="L456" s="44"/>
    </row>
    <row r="457" spans="11:12">
      <c r="K457" s="44"/>
      <c r="L457" s="44"/>
    </row>
    <row r="458" spans="11:12">
      <c r="K458" s="44"/>
      <c r="L458" s="44"/>
    </row>
    <row r="459" spans="11:12">
      <c r="K459" s="44"/>
      <c r="L459" s="44"/>
    </row>
    <row r="460" spans="11:12">
      <c r="K460" s="44"/>
      <c r="L460" s="44"/>
    </row>
    <row r="461" spans="11:12">
      <c r="K461" s="44"/>
      <c r="L461" s="44"/>
    </row>
    <row r="462" spans="11:12">
      <c r="K462" s="44"/>
      <c r="L462" s="44"/>
    </row>
    <row r="463" spans="11:12">
      <c r="K463" s="44"/>
      <c r="L463" s="44"/>
    </row>
    <row r="464" spans="11:12">
      <c r="K464" s="44"/>
      <c r="L464" s="44"/>
    </row>
    <row r="465" spans="11:12">
      <c r="K465" s="44"/>
      <c r="L465" s="44"/>
    </row>
    <row r="466" spans="11:12">
      <c r="K466" s="44"/>
      <c r="L466" s="44"/>
    </row>
    <row r="467" spans="11:12">
      <c r="K467" s="44"/>
      <c r="L467" s="44"/>
    </row>
    <row r="468" spans="11:12">
      <c r="K468" s="44"/>
      <c r="L468" s="44"/>
    </row>
    <row r="469" spans="11:12">
      <c r="K469" s="44"/>
      <c r="L469" s="44"/>
    </row>
    <row r="470" spans="11:12">
      <c r="K470" s="44"/>
      <c r="L470" s="44"/>
    </row>
    <row r="471" spans="11:12">
      <c r="K471" s="44"/>
      <c r="L471" s="44"/>
    </row>
    <row r="472" spans="11:12">
      <c r="K472" s="44"/>
      <c r="L472" s="44"/>
    </row>
    <row r="473" spans="11:12">
      <c r="K473" s="44"/>
      <c r="L473" s="44"/>
    </row>
    <row r="474" spans="11:12">
      <c r="K474" s="44"/>
      <c r="L474" s="44"/>
    </row>
    <row r="475" spans="11:12">
      <c r="K475" s="44"/>
      <c r="L475" s="44"/>
    </row>
    <row r="476" spans="11:12">
      <c r="K476" s="44"/>
      <c r="L476" s="44"/>
    </row>
    <row r="477" spans="11:12">
      <c r="K477" s="44"/>
      <c r="L477" s="44"/>
    </row>
    <row r="478" spans="11:12">
      <c r="K478" s="44"/>
      <c r="L478" s="44"/>
    </row>
    <row r="479" spans="11:12">
      <c r="K479" s="44"/>
      <c r="L479" s="44"/>
    </row>
    <row r="480" spans="11:12">
      <c r="K480" s="44"/>
      <c r="L480" s="44"/>
    </row>
    <row r="481" spans="11:12">
      <c r="K481" s="44"/>
      <c r="L481" s="44"/>
    </row>
    <row r="482" spans="11:12">
      <c r="K482" s="44"/>
      <c r="L482" s="44"/>
    </row>
    <row r="483" spans="11:12">
      <c r="K483" s="44"/>
      <c r="L483" s="44"/>
    </row>
    <row r="484" spans="11:12">
      <c r="K484" s="44"/>
      <c r="L484" s="44"/>
    </row>
    <row r="485" spans="11:12">
      <c r="K485" s="44"/>
      <c r="L485" s="44"/>
    </row>
    <row r="486" spans="11:12">
      <c r="K486" s="44"/>
      <c r="L486" s="44"/>
    </row>
    <row r="487" spans="11:12">
      <c r="K487" s="44"/>
      <c r="L487" s="44"/>
    </row>
    <row r="488" spans="11:12">
      <c r="K488" s="44"/>
      <c r="L488" s="44"/>
    </row>
    <row r="489" spans="11:12">
      <c r="K489" s="44"/>
      <c r="L489" s="44"/>
    </row>
    <row r="490" spans="11:12">
      <c r="K490" s="44"/>
      <c r="L490" s="44"/>
    </row>
    <row r="491" spans="11:12">
      <c r="K491" s="44"/>
      <c r="L491" s="44"/>
    </row>
    <row r="492" spans="11:12">
      <c r="K492" s="44"/>
      <c r="L492" s="44"/>
    </row>
    <row r="493" spans="11:12">
      <c r="K493" s="44"/>
      <c r="L493" s="44"/>
    </row>
    <row r="494" spans="11:12">
      <c r="K494" s="44"/>
      <c r="L494" s="44"/>
    </row>
    <row r="495" spans="11:12">
      <c r="K495" s="44"/>
      <c r="L495" s="44"/>
    </row>
    <row r="496" spans="11:12">
      <c r="K496" s="44"/>
      <c r="L496" s="44"/>
    </row>
    <row r="497" spans="11:12">
      <c r="K497" s="44"/>
      <c r="L497" s="44"/>
    </row>
    <row r="498" spans="11:12">
      <c r="K498" s="44"/>
      <c r="L498" s="44"/>
    </row>
    <row r="499" spans="11:12">
      <c r="K499" s="44"/>
      <c r="L499" s="44"/>
    </row>
    <row r="500" spans="11:12">
      <c r="K500" s="44"/>
      <c r="L500" s="44"/>
    </row>
    <row r="501" spans="11:12">
      <c r="K501" s="44"/>
      <c r="L501" s="44"/>
    </row>
    <row r="502" spans="11:12">
      <c r="K502" s="44"/>
      <c r="L502" s="44"/>
    </row>
    <row r="503" spans="11:12">
      <c r="K503" s="44"/>
      <c r="L503" s="44"/>
    </row>
    <row r="504" spans="11:12">
      <c r="K504" s="44"/>
      <c r="L504" s="44"/>
    </row>
    <row r="505" spans="11:12">
      <c r="K505" s="44"/>
      <c r="L505" s="44"/>
    </row>
    <row r="506" spans="11:12">
      <c r="K506" s="44"/>
      <c r="L506" s="44"/>
    </row>
    <row r="507" spans="11:12">
      <c r="K507" s="44"/>
      <c r="L507" s="44"/>
    </row>
    <row r="508" spans="11:12">
      <c r="K508" s="44"/>
      <c r="L508" s="44"/>
    </row>
    <row r="509" spans="11:12">
      <c r="K509" s="44"/>
      <c r="L509" s="44"/>
    </row>
    <row r="510" spans="11:12">
      <c r="K510" s="44"/>
      <c r="L510" s="44"/>
    </row>
    <row r="511" spans="11:12">
      <c r="K511" s="44"/>
      <c r="L511" s="44"/>
    </row>
    <row r="512" spans="11:12">
      <c r="K512" s="44"/>
      <c r="L512" s="44"/>
    </row>
    <row r="513" spans="11:12">
      <c r="K513" s="44"/>
      <c r="L513" s="44"/>
    </row>
    <row r="514" spans="11:12">
      <c r="K514" s="44"/>
      <c r="L514" s="44"/>
    </row>
    <row r="515" spans="11:12">
      <c r="K515" s="44"/>
      <c r="L515" s="44"/>
    </row>
    <row r="516" spans="11:12">
      <c r="K516" s="44"/>
      <c r="L516" s="44"/>
    </row>
    <row r="517" spans="11:12">
      <c r="K517" s="44"/>
      <c r="L517" s="44"/>
    </row>
    <row r="518" spans="11:12">
      <c r="K518" s="44"/>
      <c r="L518" s="44"/>
    </row>
    <row r="519" spans="11:12">
      <c r="K519" s="44"/>
      <c r="L519" s="44"/>
    </row>
    <row r="520" spans="11:12">
      <c r="K520" s="44"/>
      <c r="L520" s="44"/>
    </row>
    <row r="521" spans="11:12">
      <c r="K521" s="44"/>
      <c r="L521" s="44"/>
    </row>
    <row r="522" spans="11:12">
      <c r="K522" s="44"/>
      <c r="L522" s="44"/>
    </row>
    <row r="523" spans="11:12">
      <c r="K523" s="44"/>
      <c r="L523" s="44"/>
    </row>
    <row r="524" spans="11:12">
      <c r="K524" s="44"/>
      <c r="L524" s="44"/>
    </row>
    <row r="525" spans="11:12">
      <c r="K525" s="44"/>
      <c r="L525" s="44"/>
    </row>
    <row r="526" spans="11:12">
      <c r="K526" s="44"/>
      <c r="L526" s="44"/>
    </row>
    <row r="527" spans="11:12">
      <c r="K527" s="44"/>
      <c r="L527" s="44"/>
    </row>
    <row r="528" spans="11:12">
      <c r="K528" s="44"/>
      <c r="L528" s="44"/>
    </row>
    <row r="529" spans="11:12">
      <c r="K529" s="44"/>
      <c r="L529" s="44"/>
    </row>
    <row r="530" spans="11:12">
      <c r="K530" s="44"/>
      <c r="L530" s="44"/>
    </row>
    <row r="531" spans="11:12">
      <c r="K531" s="44"/>
      <c r="L531" s="44"/>
    </row>
    <row r="532" spans="11:12">
      <c r="K532" s="44"/>
      <c r="L532" s="44"/>
    </row>
    <row r="533" spans="11:12">
      <c r="K533" s="44"/>
      <c r="L533" s="44"/>
    </row>
    <row r="534" spans="11:12">
      <c r="K534" s="44"/>
      <c r="L534" s="44"/>
    </row>
    <row r="535" spans="11:12">
      <c r="K535" s="44"/>
      <c r="L535" s="44"/>
    </row>
    <row r="536" spans="11:12">
      <c r="K536" s="44"/>
      <c r="L536" s="44"/>
    </row>
    <row r="537" spans="11:12">
      <c r="K537" s="44"/>
      <c r="L537" s="44"/>
    </row>
    <row r="538" spans="11:12">
      <c r="K538" s="44"/>
      <c r="L538" s="44"/>
    </row>
    <row r="539" spans="11:12">
      <c r="K539" s="44"/>
      <c r="L539" s="44"/>
    </row>
    <row r="540" spans="11:12">
      <c r="K540" s="44"/>
      <c r="L540" s="44"/>
    </row>
    <row r="541" spans="11:12">
      <c r="K541" s="44"/>
      <c r="L541" s="44"/>
    </row>
    <row r="542" spans="11:12">
      <c r="K542" s="44"/>
      <c r="L542" s="44"/>
    </row>
    <row r="543" spans="11:12">
      <c r="K543" s="44"/>
      <c r="L543" s="44"/>
    </row>
    <row r="544" spans="11:12">
      <c r="K544" s="44"/>
      <c r="L544" s="44"/>
    </row>
    <row r="545" spans="11:12">
      <c r="K545" s="44"/>
      <c r="L545" s="44"/>
    </row>
    <row r="546" spans="11:12">
      <c r="K546" s="44"/>
      <c r="L546" s="44"/>
    </row>
    <row r="547" spans="11:12">
      <c r="K547" s="44"/>
      <c r="L547" s="44"/>
    </row>
    <row r="548" spans="11:12">
      <c r="K548" s="44"/>
      <c r="L548" s="44"/>
    </row>
    <row r="549" spans="11:12">
      <c r="K549" s="44"/>
      <c r="L549" s="44"/>
    </row>
    <row r="550" spans="11:12">
      <c r="K550" s="44"/>
      <c r="L550" s="44"/>
    </row>
    <row r="551" spans="11:12">
      <c r="K551" s="44"/>
      <c r="L551" s="44"/>
    </row>
    <row r="552" spans="11:12">
      <c r="K552" s="44"/>
      <c r="L552" s="44"/>
    </row>
    <row r="553" spans="11:12">
      <c r="K553" s="44"/>
      <c r="L553" s="44"/>
    </row>
    <row r="554" spans="11:12">
      <c r="K554" s="44"/>
      <c r="L554" s="44"/>
    </row>
    <row r="555" spans="11:12">
      <c r="K555" s="44"/>
      <c r="L555" s="44"/>
    </row>
    <row r="556" spans="11:12">
      <c r="K556" s="44"/>
      <c r="L556" s="44"/>
    </row>
    <row r="557" spans="11:12">
      <c r="K557" s="44"/>
      <c r="L557" s="44"/>
    </row>
    <row r="558" spans="11:12">
      <c r="K558" s="44"/>
      <c r="L558" s="44"/>
    </row>
    <row r="559" spans="11:12">
      <c r="K559" s="44"/>
      <c r="L559" s="44"/>
    </row>
    <row r="560" spans="11:12">
      <c r="K560" s="44"/>
      <c r="L560" s="44"/>
    </row>
    <row r="561" spans="11:12">
      <c r="K561" s="44"/>
      <c r="L561" s="44"/>
    </row>
    <row r="562" spans="11:12">
      <c r="K562" s="44"/>
      <c r="L562" s="44"/>
    </row>
    <row r="563" spans="11:12">
      <c r="K563" s="44"/>
      <c r="L563" s="44"/>
    </row>
    <row r="564" spans="11:12">
      <c r="K564" s="44"/>
      <c r="L564" s="44"/>
    </row>
    <row r="565" spans="11:12">
      <c r="K565" s="44"/>
      <c r="L565" s="44"/>
    </row>
    <row r="566" spans="11:12">
      <c r="K566" s="44"/>
      <c r="L566" s="44"/>
    </row>
    <row r="567" spans="11:12">
      <c r="K567" s="44"/>
      <c r="L567" s="44"/>
    </row>
    <row r="568" spans="11:12">
      <c r="K568" s="44"/>
      <c r="L568" s="44"/>
    </row>
    <row r="569" spans="11:12">
      <c r="K569" s="44"/>
      <c r="L569" s="44"/>
    </row>
    <row r="570" spans="11:12">
      <c r="K570" s="44"/>
      <c r="L570" s="44"/>
    </row>
    <row r="571" spans="11:12">
      <c r="K571" s="44"/>
      <c r="L571" s="44"/>
    </row>
    <row r="572" spans="11:12">
      <c r="K572" s="44"/>
      <c r="L572" s="44"/>
    </row>
    <row r="573" spans="11:12">
      <c r="K573" s="44"/>
      <c r="L573" s="44"/>
    </row>
    <row r="574" spans="11:12">
      <c r="K574" s="44"/>
      <c r="L574" s="44"/>
    </row>
    <row r="575" spans="11:12">
      <c r="K575" s="44"/>
      <c r="L575" s="44"/>
    </row>
    <row r="576" spans="11:12">
      <c r="K576" s="44"/>
      <c r="L576" s="44"/>
    </row>
    <row r="577" spans="11:12">
      <c r="K577" s="44"/>
      <c r="L577" s="44"/>
    </row>
    <row r="578" spans="11:12">
      <c r="K578" s="44"/>
      <c r="L578" s="44"/>
    </row>
    <row r="579" spans="11:12">
      <c r="K579" s="44"/>
      <c r="L579" s="44"/>
    </row>
    <row r="580" spans="11:12">
      <c r="K580" s="44"/>
      <c r="L580" s="44"/>
    </row>
    <row r="581" spans="11:12">
      <c r="K581" s="44"/>
      <c r="L581" s="44"/>
    </row>
    <row r="582" spans="11:12">
      <c r="K582" s="44"/>
      <c r="L582" s="44"/>
    </row>
    <row r="583" spans="11:12">
      <c r="K583" s="44"/>
      <c r="L583" s="44"/>
    </row>
    <row r="584" spans="11:12">
      <c r="K584" s="44"/>
      <c r="L584" s="44"/>
    </row>
    <row r="585" spans="11:12">
      <c r="K585" s="44"/>
      <c r="L585" s="44"/>
    </row>
    <row r="586" spans="11:12">
      <c r="K586" s="44"/>
      <c r="L586" s="44"/>
    </row>
    <row r="587" spans="11:12">
      <c r="K587" s="44"/>
      <c r="L587" s="44"/>
    </row>
    <row r="588" spans="11:12">
      <c r="K588" s="44"/>
      <c r="L588" s="44"/>
    </row>
    <row r="589" spans="11:12">
      <c r="K589" s="44"/>
      <c r="L589" s="44"/>
    </row>
    <row r="590" spans="11:12">
      <c r="K590" s="44"/>
      <c r="L590" s="44"/>
    </row>
    <row r="591" spans="11:12">
      <c r="K591" s="44"/>
      <c r="L591" s="44"/>
    </row>
    <row r="592" spans="11:12">
      <c r="K592" s="44"/>
      <c r="L592" s="44"/>
    </row>
    <row r="593" spans="11:12">
      <c r="K593" s="44"/>
      <c r="L593" s="44"/>
    </row>
    <row r="594" spans="11:12">
      <c r="K594" s="44"/>
      <c r="L594" s="44"/>
    </row>
    <row r="595" spans="11:12">
      <c r="K595" s="44"/>
      <c r="L595" s="44"/>
    </row>
    <row r="596" spans="11:12">
      <c r="K596" s="44"/>
      <c r="L596" s="44"/>
    </row>
    <row r="597" spans="11:12">
      <c r="K597" s="44"/>
      <c r="L597" s="44"/>
    </row>
    <row r="598" spans="11:12">
      <c r="K598" s="44"/>
      <c r="L598" s="44"/>
    </row>
    <row r="599" spans="11:12">
      <c r="K599" s="44"/>
      <c r="L599" s="44"/>
    </row>
    <row r="600" spans="11:12">
      <c r="K600" s="44"/>
      <c r="L600" s="44"/>
    </row>
    <row r="601" spans="11:12">
      <c r="K601" s="44"/>
      <c r="L601" s="44"/>
    </row>
    <row r="602" spans="11:12">
      <c r="K602" s="44"/>
      <c r="L602" s="44"/>
    </row>
    <row r="603" spans="11:12">
      <c r="K603" s="44"/>
      <c r="L603" s="44"/>
    </row>
    <row r="604" spans="11:12">
      <c r="K604" s="44"/>
      <c r="L604" s="44"/>
    </row>
    <row r="605" spans="11:12">
      <c r="K605" s="44"/>
      <c r="L605" s="44"/>
    </row>
    <row r="606" spans="11:12">
      <c r="K606" s="44"/>
      <c r="L606" s="44"/>
    </row>
    <row r="607" spans="11:12">
      <c r="K607" s="44"/>
      <c r="L607" s="44"/>
    </row>
    <row r="608" spans="11:12">
      <c r="K608" s="44"/>
      <c r="L608" s="44"/>
    </row>
    <row r="609" spans="11:12">
      <c r="K609" s="44"/>
      <c r="L609" s="44"/>
    </row>
    <row r="610" spans="11:12">
      <c r="K610" s="44"/>
      <c r="L610" s="44"/>
    </row>
    <row r="611" spans="11:12">
      <c r="K611" s="44"/>
      <c r="L611" s="44"/>
    </row>
    <row r="612" spans="11:12">
      <c r="K612" s="44"/>
      <c r="L612" s="44"/>
    </row>
    <row r="613" spans="11:12">
      <c r="K613" s="44"/>
      <c r="L613" s="44"/>
    </row>
    <row r="614" spans="11:12">
      <c r="K614" s="44"/>
      <c r="L614" s="44"/>
    </row>
    <row r="615" spans="11:12">
      <c r="K615" s="44"/>
      <c r="L615" s="44"/>
    </row>
    <row r="616" spans="11:12">
      <c r="K616" s="44"/>
      <c r="L616" s="44"/>
    </row>
    <row r="617" spans="11:12">
      <c r="K617" s="44"/>
      <c r="L617" s="44"/>
    </row>
    <row r="618" spans="11:12">
      <c r="K618" s="44"/>
      <c r="L618" s="44"/>
    </row>
    <row r="619" spans="11:12">
      <c r="K619" s="44"/>
      <c r="L619" s="44"/>
    </row>
    <row r="620" spans="11:12">
      <c r="K620" s="44"/>
      <c r="L620" s="44"/>
    </row>
    <row r="621" spans="11:12">
      <c r="K621" s="44"/>
      <c r="L621" s="44"/>
    </row>
    <row r="622" spans="11:12">
      <c r="K622" s="44"/>
      <c r="L622" s="44"/>
    </row>
    <row r="623" spans="11:12">
      <c r="K623" s="44"/>
      <c r="L623" s="44"/>
    </row>
    <row r="624" spans="11:12">
      <c r="K624" s="44"/>
      <c r="L624" s="44"/>
    </row>
    <row r="625" spans="11:12">
      <c r="K625" s="44"/>
      <c r="L625" s="44"/>
    </row>
    <row r="626" spans="11:12">
      <c r="K626" s="44"/>
      <c r="L626" s="44"/>
    </row>
    <row r="627" spans="11:12">
      <c r="K627" s="44"/>
      <c r="L627" s="44"/>
    </row>
    <row r="628" spans="11:12">
      <c r="K628" s="44"/>
      <c r="L628" s="44"/>
    </row>
    <row r="629" spans="11:12">
      <c r="K629" s="44"/>
      <c r="L629" s="44"/>
    </row>
    <row r="630" spans="11:12">
      <c r="K630" s="44"/>
      <c r="L630" s="44"/>
    </row>
    <row r="631" spans="11:12">
      <c r="K631" s="44"/>
      <c r="L631" s="44"/>
    </row>
    <row r="632" spans="11:12">
      <c r="K632" s="44"/>
      <c r="L632" s="44"/>
    </row>
    <row r="633" spans="11:12">
      <c r="K633" s="44"/>
      <c r="L633" s="44"/>
    </row>
    <row r="634" spans="11:12">
      <c r="K634" s="44"/>
      <c r="L634" s="44"/>
    </row>
    <row r="635" spans="11:12">
      <c r="K635" s="44"/>
      <c r="L635" s="44"/>
    </row>
    <row r="636" spans="11:12">
      <c r="K636" s="44"/>
      <c r="L636" s="44"/>
    </row>
    <row r="637" spans="11:12">
      <c r="K637" s="44"/>
      <c r="L637" s="44"/>
    </row>
    <row r="638" spans="11:12">
      <c r="K638" s="44"/>
      <c r="L638" s="44"/>
    </row>
    <row r="639" spans="11:12">
      <c r="K639" s="44"/>
      <c r="L639" s="44"/>
    </row>
    <row r="640" spans="11:12">
      <c r="K640" s="44"/>
      <c r="L640" s="44"/>
    </row>
    <row r="641" spans="11:12">
      <c r="K641" s="44"/>
      <c r="L641" s="44"/>
    </row>
    <row r="642" spans="11:12">
      <c r="K642" s="44"/>
      <c r="L642" s="44"/>
    </row>
    <row r="643" spans="11:12">
      <c r="K643" s="44"/>
      <c r="L643" s="44"/>
    </row>
    <row r="644" spans="11:12">
      <c r="K644" s="44"/>
      <c r="L644" s="44"/>
    </row>
    <row r="645" spans="11:12">
      <c r="K645" s="44"/>
      <c r="L645" s="44"/>
    </row>
    <row r="646" spans="11:12">
      <c r="K646" s="44"/>
      <c r="L646" s="44"/>
    </row>
    <row r="647" spans="11:12">
      <c r="K647" s="44"/>
      <c r="L647" s="44"/>
    </row>
    <row r="648" spans="11:12">
      <c r="K648" s="44"/>
      <c r="L648" s="44"/>
    </row>
    <row r="649" spans="11:12">
      <c r="K649" s="44"/>
      <c r="L649" s="44"/>
    </row>
    <row r="650" spans="11:12">
      <c r="K650" s="44"/>
      <c r="L650" s="44"/>
    </row>
    <row r="651" spans="11:12">
      <c r="K651" s="44"/>
      <c r="L651" s="44"/>
    </row>
    <row r="652" spans="11:12">
      <c r="K652" s="44"/>
      <c r="L652" s="44"/>
    </row>
    <row r="653" spans="11:12">
      <c r="K653" s="44"/>
      <c r="L653" s="44"/>
    </row>
    <row r="654" spans="11:12">
      <c r="K654" s="44"/>
      <c r="L654" s="44"/>
    </row>
    <row r="655" spans="11:12">
      <c r="K655" s="44"/>
      <c r="L655" s="44"/>
    </row>
    <row r="656" spans="11:12">
      <c r="K656" s="44"/>
      <c r="L656" s="44"/>
    </row>
    <row r="657" spans="11:12">
      <c r="K657" s="44"/>
      <c r="L657" s="44"/>
    </row>
    <row r="658" spans="11:12">
      <c r="K658" s="44"/>
      <c r="L658" s="44"/>
    </row>
    <row r="659" spans="11:12">
      <c r="K659" s="44"/>
      <c r="L659" s="44"/>
    </row>
    <row r="660" spans="11:12">
      <c r="K660" s="44"/>
      <c r="L660" s="44"/>
    </row>
    <row r="661" spans="11:12">
      <c r="K661" s="44"/>
      <c r="L661" s="44"/>
    </row>
    <row r="662" spans="11:12">
      <c r="K662" s="44"/>
      <c r="L662" s="44"/>
    </row>
    <row r="663" spans="11:12">
      <c r="K663" s="44"/>
      <c r="L663" s="44"/>
    </row>
    <row r="664" spans="11:12">
      <c r="K664" s="44"/>
      <c r="L664" s="44"/>
    </row>
    <row r="665" spans="11:12">
      <c r="K665" s="44"/>
      <c r="L665" s="44"/>
    </row>
    <row r="666" spans="11:12">
      <c r="K666" s="44"/>
      <c r="L666" s="44"/>
    </row>
    <row r="667" spans="11:12">
      <c r="K667" s="44"/>
      <c r="L667" s="44"/>
    </row>
    <row r="668" spans="11:12">
      <c r="K668" s="44"/>
      <c r="L668" s="44"/>
    </row>
    <row r="669" spans="11:12">
      <c r="K669" s="44"/>
      <c r="L669" s="44"/>
    </row>
    <row r="670" spans="11:12">
      <c r="K670" s="44"/>
      <c r="L670" s="44"/>
    </row>
    <row r="671" spans="11:12">
      <c r="K671" s="44"/>
      <c r="L671" s="44"/>
    </row>
    <row r="672" spans="11:12">
      <c r="K672" s="44"/>
      <c r="L672" s="44"/>
    </row>
    <row r="673" spans="11:12">
      <c r="K673" s="44"/>
      <c r="L673" s="44"/>
    </row>
    <row r="674" spans="11:12">
      <c r="K674" s="44"/>
      <c r="L674" s="44"/>
    </row>
    <row r="675" spans="11:12">
      <c r="K675" s="44"/>
      <c r="L675" s="44"/>
    </row>
    <row r="676" spans="11:12">
      <c r="K676" s="44"/>
      <c r="L676" s="44"/>
    </row>
    <row r="677" spans="11:12">
      <c r="K677" s="44"/>
      <c r="L677" s="44"/>
    </row>
    <row r="678" spans="11:12">
      <c r="K678" s="44"/>
      <c r="L678" s="44"/>
    </row>
    <row r="679" spans="11:12">
      <c r="K679" s="44"/>
      <c r="L679" s="44"/>
    </row>
    <row r="680" spans="11:12">
      <c r="K680" s="44"/>
      <c r="L680" s="44"/>
    </row>
    <row r="681" spans="11:12">
      <c r="K681" s="44"/>
      <c r="L681" s="44"/>
    </row>
    <row r="682" spans="11:12">
      <c r="K682" s="44"/>
      <c r="L682" s="44"/>
    </row>
    <row r="683" spans="11:12">
      <c r="K683" s="44"/>
      <c r="L683" s="44"/>
    </row>
    <row r="684" spans="11:12">
      <c r="K684" s="44"/>
      <c r="L684" s="44"/>
    </row>
    <row r="685" spans="11:12">
      <c r="K685" s="44"/>
      <c r="L685" s="44"/>
    </row>
    <row r="686" spans="11:12">
      <c r="K686" s="44"/>
      <c r="L686" s="44"/>
    </row>
    <row r="687" spans="11:12">
      <c r="K687" s="44"/>
      <c r="L687" s="44"/>
    </row>
    <row r="688" spans="11:12">
      <c r="K688" s="44"/>
      <c r="L688" s="44"/>
    </row>
    <row r="689" spans="11:12">
      <c r="K689" s="44"/>
      <c r="L689" s="44"/>
    </row>
    <row r="690" spans="11:12">
      <c r="K690" s="44"/>
      <c r="L690" s="44"/>
    </row>
    <row r="691" spans="11:12">
      <c r="K691" s="44"/>
      <c r="L691" s="44"/>
    </row>
    <row r="692" spans="11:12">
      <c r="K692" s="44"/>
      <c r="L692" s="44"/>
    </row>
    <row r="693" spans="11:12">
      <c r="K693" s="44"/>
      <c r="L693" s="44"/>
    </row>
    <row r="694" spans="11:12">
      <c r="K694" s="44"/>
      <c r="L694" s="44"/>
    </row>
    <row r="695" spans="11:12">
      <c r="K695" s="44"/>
      <c r="L695" s="44"/>
    </row>
    <row r="696" spans="11:12">
      <c r="K696" s="44"/>
      <c r="L696" s="44"/>
    </row>
    <row r="697" spans="11:12">
      <c r="K697" s="44"/>
      <c r="L697" s="44"/>
    </row>
    <row r="698" spans="11:12">
      <c r="K698" s="44"/>
      <c r="L698" s="44"/>
    </row>
    <row r="699" spans="11:12">
      <c r="K699" s="44"/>
      <c r="L699" s="44"/>
    </row>
    <row r="700" spans="11:12">
      <c r="K700" s="44"/>
      <c r="L700" s="44"/>
    </row>
    <row r="701" spans="11:12">
      <c r="K701" s="44"/>
      <c r="L701" s="44"/>
    </row>
    <row r="702" spans="11:12">
      <c r="K702" s="44"/>
      <c r="L702" s="44"/>
    </row>
    <row r="703" spans="11:12">
      <c r="K703" s="44"/>
      <c r="L703" s="44"/>
    </row>
    <row r="704" spans="11:12">
      <c r="K704" s="44"/>
      <c r="L704" s="44"/>
    </row>
    <row r="705" spans="11:12">
      <c r="K705" s="44"/>
      <c r="L705" s="44"/>
    </row>
    <row r="706" spans="11:12">
      <c r="K706" s="44"/>
      <c r="L706" s="44"/>
    </row>
    <row r="707" spans="11:12">
      <c r="K707" s="44"/>
      <c r="L707" s="44"/>
    </row>
    <row r="708" spans="11:12">
      <c r="K708" s="44"/>
      <c r="L708" s="44"/>
    </row>
    <row r="709" spans="11:12">
      <c r="K709" s="44"/>
      <c r="L709" s="44"/>
    </row>
    <row r="710" spans="11:12">
      <c r="K710" s="44"/>
      <c r="L710" s="44"/>
    </row>
    <row r="711" spans="11:12">
      <c r="K711" s="44"/>
      <c r="L711" s="44"/>
    </row>
    <row r="712" spans="11:12">
      <c r="K712" s="44"/>
      <c r="L712" s="44"/>
    </row>
    <row r="713" spans="11:12">
      <c r="K713" s="44"/>
      <c r="L713" s="44"/>
    </row>
    <row r="714" spans="11:12">
      <c r="K714" s="44"/>
      <c r="L714" s="44"/>
    </row>
    <row r="715" spans="11:12">
      <c r="K715" s="44"/>
      <c r="L715" s="44"/>
    </row>
    <row r="716" spans="11:12">
      <c r="K716" s="44"/>
      <c r="L716" s="44"/>
    </row>
    <row r="717" spans="11:12">
      <c r="K717" s="44"/>
      <c r="L717" s="44"/>
    </row>
    <row r="718" spans="11:12">
      <c r="K718" s="44"/>
      <c r="L718" s="44"/>
    </row>
    <row r="719" spans="11:12">
      <c r="K719" s="44"/>
      <c r="L719" s="44"/>
    </row>
    <row r="720" spans="11:12">
      <c r="K720" s="44"/>
      <c r="L720" s="44"/>
    </row>
    <row r="721" spans="11:12">
      <c r="K721" s="44"/>
      <c r="L721" s="44"/>
    </row>
    <row r="722" spans="11:12">
      <c r="K722" s="44"/>
      <c r="L722" s="44"/>
    </row>
    <row r="723" spans="11:12">
      <c r="K723" s="44"/>
      <c r="L723" s="44"/>
    </row>
    <row r="724" spans="11:12">
      <c r="K724" s="44"/>
      <c r="L724" s="44"/>
    </row>
    <row r="725" spans="11:12">
      <c r="K725" s="44"/>
      <c r="L725" s="44"/>
    </row>
    <row r="726" spans="11:12">
      <c r="K726" s="44"/>
      <c r="L726" s="44"/>
    </row>
    <row r="727" spans="11:12">
      <c r="K727" s="44"/>
      <c r="L727" s="44"/>
    </row>
    <row r="728" spans="11:12">
      <c r="K728" s="44"/>
      <c r="L728" s="44"/>
    </row>
    <row r="729" spans="11:12">
      <c r="K729" s="44"/>
      <c r="L729" s="44"/>
    </row>
    <row r="730" spans="11:12">
      <c r="K730" s="44"/>
      <c r="L730" s="44"/>
    </row>
    <row r="731" spans="11:12">
      <c r="K731" s="44"/>
      <c r="L731" s="44"/>
    </row>
    <row r="732" spans="11:12">
      <c r="K732" s="44"/>
      <c r="L732" s="44"/>
    </row>
    <row r="733" spans="11:12">
      <c r="K733" s="44"/>
      <c r="L733" s="44"/>
    </row>
    <row r="734" spans="11:12">
      <c r="K734" s="44"/>
      <c r="L734" s="44"/>
    </row>
    <row r="735" spans="11:12">
      <c r="K735" s="44"/>
      <c r="L735" s="44"/>
    </row>
    <row r="736" spans="11:12">
      <c r="K736" s="44"/>
      <c r="L736" s="44"/>
    </row>
    <row r="737" spans="11:12">
      <c r="K737" s="44"/>
      <c r="L737" s="44"/>
    </row>
    <row r="738" spans="11:12">
      <c r="K738" s="44"/>
      <c r="L738" s="44"/>
    </row>
    <row r="739" spans="11:12">
      <c r="K739" s="44"/>
      <c r="L739" s="44"/>
    </row>
    <row r="740" spans="11:12">
      <c r="K740" s="44"/>
      <c r="L740" s="44"/>
    </row>
    <row r="741" spans="11:12">
      <c r="K741" s="44"/>
      <c r="L741" s="44"/>
    </row>
    <row r="742" spans="11:12">
      <c r="K742" s="44"/>
      <c r="L742" s="44"/>
    </row>
    <row r="743" spans="11:12">
      <c r="K743" s="44"/>
      <c r="L743" s="44"/>
    </row>
    <row r="744" spans="11:12">
      <c r="K744" s="44"/>
      <c r="L744" s="44"/>
    </row>
    <row r="745" spans="11:12">
      <c r="K745" s="44"/>
      <c r="L745" s="44"/>
    </row>
    <row r="746" spans="11:12">
      <c r="K746" s="44"/>
      <c r="L746" s="44"/>
    </row>
    <row r="747" spans="11:12">
      <c r="K747" s="44"/>
      <c r="L747" s="44"/>
    </row>
    <row r="748" spans="11:12">
      <c r="K748" s="44"/>
      <c r="L748" s="44"/>
    </row>
    <row r="749" spans="11:12">
      <c r="K749" s="44"/>
      <c r="L749" s="44"/>
    </row>
    <row r="750" spans="11:12">
      <c r="K750" s="44"/>
      <c r="L750" s="44"/>
    </row>
    <row r="751" spans="11:12">
      <c r="K751" s="44"/>
      <c r="L751" s="44"/>
    </row>
    <row r="752" spans="11:12">
      <c r="K752" s="44"/>
      <c r="L752" s="44"/>
    </row>
    <row r="753" spans="11:12">
      <c r="K753" s="44"/>
      <c r="L753" s="44"/>
    </row>
    <row r="754" spans="11:12">
      <c r="K754" s="44"/>
      <c r="L754" s="44"/>
    </row>
    <row r="755" spans="11:12">
      <c r="K755" s="44"/>
      <c r="L755" s="44"/>
    </row>
    <row r="756" spans="11:12">
      <c r="K756" s="44"/>
      <c r="L756" s="44"/>
    </row>
    <row r="757" spans="11:12">
      <c r="K757" s="44"/>
      <c r="L757" s="44"/>
    </row>
    <row r="758" spans="11:12">
      <c r="K758" s="44"/>
      <c r="L758" s="44"/>
    </row>
    <row r="759" spans="11:12">
      <c r="K759" s="44"/>
      <c r="L759" s="44"/>
    </row>
    <row r="760" spans="11:12">
      <c r="K760" s="44"/>
      <c r="L760" s="44"/>
    </row>
    <row r="761" spans="11:12">
      <c r="K761" s="44"/>
      <c r="L761" s="44"/>
    </row>
    <row r="762" spans="11:12">
      <c r="K762" s="44"/>
      <c r="L762" s="44"/>
    </row>
    <row r="763" spans="11:12">
      <c r="K763" s="44"/>
      <c r="L763" s="44"/>
    </row>
    <row r="764" spans="11:12">
      <c r="K764" s="44"/>
      <c r="L764" s="44"/>
    </row>
    <row r="765" spans="11:12">
      <c r="K765" s="44"/>
      <c r="L765" s="44"/>
    </row>
    <row r="766" spans="11:12">
      <c r="K766" s="44"/>
      <c r="L766" s="44"/>
    </row>
    <row r="767" spans="11:12">
      <c r="K767" s="44"/>
      <c r="L767" s="44"/>
    </row>
    <row r="768" spans="11:12">
      <c r="K768" s="44"/>
      <c r="L768" s="44"/>
    </row>
    <row r="769" spans="11:12">
      <c r="K769" s="44"/>
      <c r="L769" s="44"/>
    </row>
    <row r="770" spans="11:12">
      <c r="K770" s="44"/>
      <c r="L770" s="44"/>
    </row>
    <row r="771" spans="11:12">
      <c r="K771" s="44"/>
      <c r="L771" s="44"/>
    </row>
    <row r="772" spans="11:12">
      <c r="K772" s="44"/>
      <c r="L772" s="44"/>
    </row>
    <row r="773" spans="11:12">
      <c r="K773" s="44"/>
      <c r="L773" s="44"/>
    </row>
    <row r="774" spans="11:12">
      <c r="K774" s="44"/>
      <c r="L774" s="44"/>
    </row>
    <row r="775" spans="11:12">
      <c r="K775" s="44"/>
      <c r="L775" s="44"/>
    </row>
    <row r="776" spans="11:12">
      <c r="K776" s="44"/>
      <c r="L776" s="44"/>
    </row>
    <row r="777" spans="11:12">
      <c r="K777" s="44"/>
      <c r="L777" s="44"/>
    </row>
    <row r="778" spans="11:12">
      <c r="K778" s="44"/>
      <c r="L778" s="44"/>
    </row>
    <row r="779" spans="11:12">
      <c r="K779" s="44"/>
      <c r="L779" s="44"/>
    </row>
    <row r="780" spans="11:12">
      <c r="K780" s="44"/>
      <c r="L780" s="44"/>
    </row>
    <row r="781" spans="11:12">
      <c r="K781" s="44"/>
      <c r="L781" s="44"/>
    </row>
    <row r="782" spans="11:12">
      <c r="K782" s="44"/>
      <c r="L782" s="44"/>
    </row>
    <row r="783" spans="11:12">
      <c r="K783" s="44"/>
      <c r="L783" s="44"/>
    </row>
    <row r="784" spans="11:12">
      <c r="K784" s="44"/>
      <c r="L784" s="44"/>
    </row>
    <row r="785" spans="11:12">
      <c r="K785" s="44"/>
      <c r="L785" s="44"/>
    </row>
    <row r="786" spans="11:12">
      <c r="K786" s="44"/>
      <c r="L786" s="44"/>
    </row>
    <row r="787" spans="11:12">
      <c r="K787" s="44"/>
      <c r="L787" s="44"/>
    </row>
    <row r="788" spans="11:12">
      <c r="K788" s="44"/>
      <c r="L788" s="44"/>
    </row>
    <row r="789" spans="11:12">
      <c r="K789" s="44"/>
      <c r="L789" s="44"/>
    </row>
    <row r="790" spans="11:12">
      <c r="K790" s="44"/>
      <c r="L790" s="44"/>
    </row>
    <row r="791" spans="11:12">
      <c r="K791" s="44"/>
      <c r="L791" s="44"/>
    </row>
    <row r="792" spans="11:12">
      <c r="K792" s="44"/>
      <c r="L792" s="44"/>
    </row>
    <row r="793" spans="11:12">
      <c r="K793" s="44"/>
      <c r="L793" s="44"/>
    </row>
    <row r="794" spans="11:12">
      <c r="K794" s="44"/>
      <c r="L794" s="44"/>
    </row>
    <row r="795" spans="11:12">
      <c r="K795" s="44"/>
      <c r="L795" s="44"/>
    </row>
    <row r="796" spans="11:12">
      <c r="K796" s="44"/>
      <c r="L796" s="44"/>
    </row>
    <row r="797" spans="11:12">
      <c r="K797" s="44"/>
      <c r="L797" s="44"/>
    </row>
    <row r="798" spans="11:12">
      <c r="K798" s="44"/>
      <c r="L798" s="44"/>
    </row>
    <row r="799" spans="11:12">
      <c r="K799" s="44"/>
      <c r="L799" s="44"/>
    </row>
    <row r="800" spans="11:12">
      <c r="K800" s="44"/>
      <c r="L800" s="44"/>
    </row>
    <row r="801" spans="11:12">
      <c r="K801" s="44"/>
      <c r="L801" s="44"/>
    </row>
    <row r="802" spans="11:12">
      <c r="K802" s="44"/>
      <c r="L802" s="44"/>
    </row>
    <row r="803" spans="11:12">
      <c r="K803" s="44"/>
      <c r="L803" s="44"/>
    </row>
    <row r="804" spans="11:12">
      <c r="K804" s="44"/>
      <c r="L804" s="44"/>
    </row>
    <row r="805" spans="11:12">
      <c r="K805" s="44"/>
      <c r="L805" s="44"/>
    </row>
    <row r="806" spans="11:12">
      <c r="K806" s="44"/>
      <c r="L806" s="44"/>
    </row>
    <row r="807" spans="11:12">
      <c r="K807" s="44"/>
      <c r="L807" s="44"/>
    </row>
    <row r="808" spans="11:12">
      <c r="K808" s="44"/>
      <c r="L808" s="44"/>
    </row>
    <row r="809" spans="11:12">
      <c r="K809" s="44"/>
      <c r="L809" s="44"/>
    </row>
    <row r="810" spans="11:12">
      <c r="K810" s="44"/>
      <c r="L810" s="44"/>
    </row>
    <row r="811" spans="11:12">
      <c r="K811" s="44"/>
      <c r="L811" s="44"/>
    </row>
    <row r="812" spans="11:12">
      <c r="K812" s="44"/>
      <c r="L812" s="44"/>
    </row>
    <row r="813" spans="11:12">
      <c r="K813" s="44"/>
      <c r="L813" s="44"/>
    </row>
    <row r="814" spans="11:12">
      <c r="K814" s="44"/>
      <c r="L814" s="44"/>
    </row>
    <row r="815" spans="11:12">
      <c r="K815" s="44"/>
      <c r="L815" s="44"/>
    </row>
    <row r="816" spans="11:12">
      <c r="K816" s="44"/>
      <c r="L816" s="44"/>
    </row>
    <row r="817" spans="11:12">
      <c r="K817" s="44"/>
      <c r="L817" s="44"/>
    </row>
    <row r="818" spans="11:12">
      <c r="K818" s="44"/>
      <c r="L818" s="44"/>
    </row>
    <row r="819" spans="11:12">
      <c r="K819" s="44"/>
      <c r="L819" s="44"/>
    </row>
    <row r="820" spans="11:12">
      <c r="K820" s="44"/>
      <c r="L820" s="44"/>
    </row>
    <row r="821" spans="11:12">
      <c r="K821" s="44"/>
      <c r="L821" s="44"/>
    </row>
    <row r="822" spans="11:12">
      <c r="K822" s="44"/>
      <c r="L822" s="44"/>
    </row>
    <row r="823" spans="11:12">
      <c r="K823" s="44"/>
      <c r="L823" s="44"/>
    </row>
    <row r="824" spans="11:12">
      <c r="K824" s="44"/>
      <c r="L824" s="44"/>
    </row>
    <row r="825" spans="11:12">
      <c r="K825" s="44"/>
      <c r="L825" s="44"/>
    </row>
    <row r="826" spans="11:12">
      <c r="K826" s="44"/>
      <c r="L826" s="44"/>
    </row>
    <row r="827" spans="11:12">
      <c r="K827" s="44"/>
      <c r="L827" s="44"/>
    </row>
    <row r="828" spans="11:12">
      <c r="K828" s="44"/>
      <c r="L828" s="44"/>
    </row>
    <row r="829" spans="11:12">
      <c r="K829" s="44"/>
      <c r="L829" s="44"/>
    </row>
    <row r="830" spans="11:12">
      <c r="K830" s="44"/>
      <c r="L830" s="44"/>
    </row>
    <row r="831" spans="11:12">
      <c r="K831" s="44"/>
      <c r="L831" s="44"/>
    </row>
    <row r="832" spans="11:12">
      <c r="K832" s="44"/>
      <c r="L832" s="44"/>
    </row>
    <row r="833" spans="11:12">
      <c r="K833" s="44"/>
      <c r="L833" s="44"/>
    </row>
    <row r="834" spans="11:12">
      <c r="K834" s="44"/>
      <c r="L834" s="44"/>
    </row>
    <row r="835" spans="11:12">
      <c r="K835" s="44"/>
      <c r="L835" s="44"/>
    </row>
    <row r="836" spans="11:12">
      <c r="K836" s="44"/>
      <c r="L836" s="44"/>
    </row>
    <row r="837" spans="11:12">
      <c r="K837" s="44"/>
      <c r="L837" s="44"/>
    </row>
    <row r="838" spans="11:12">
      <c r="K838" s="44"/>
      <c r="L838" s="44"/>
    </row>
    <row r="839" spans="11:12">
      <c r="K839" s="44"/>
      <c r="L839" s="44"/>
    </row>
    <row r="840" spans="11:12">
      <c r="K840" s="44"/>
      <c r="L840" s="44"/>
    </row>
    <row r="841" spans="11:12">
      <c r="K841" s="44"/>
      <c r="L841" s="44"/>
    </row>
    <row r="842" spans="11:12">
      <c r="K842" s="44"/>
      <c r="L842" s="44"/>
    </row>
    <row r="843" spans="11:12">
      <c r="K843" s="44"/>
      <c r="L843" s="44"/>
    </row>
    <row r="844" spans="11:12">
      <c r="K844" s="44"/>
      <c r="L844" s="44"/>
    </row>
    <row r="845" spans="11:12">
      <c r="K845" s="44"/>
      <c r="L845" s="44"/>
    </row>
    <row r="846" spans="11:12">
      <c r="K846" s="44"/>
      <c r="L846" s="44"/>
    </row>
    <row r="847" spans="11:12">
      <c r="K847" s="44"/>
      <c r="L847" s="44"/>
    </row>
    <row r="848" spans="11:12">
      <c r="K848" s="44"/>
      <c r="L848" s="44"/>
    </row>
    <row r="849" spans="11:12">
      <c r="K849" s="44"/>
      <c r="L849" s="44"/>
    </row>
    <row r="850" spans="11:12">
      <c r="K850" s="44"/>
      <c r="L850" s="44"/>
    </row>
    <row r="851" spans="11:12">
      <c r="K851" s="44"/>
      <c r="L851" s="44"/>
    </row>
    <row r="852" spans="11:12">
      <c r="K852" s="44"/>
      <c r="L852" s="44"/>
    </row>
    <row r="853" spans="11:12">
      <c r="K853" s="44"/>
      <c r="L853" s="44"/>
    </row>
    <row r="854" spans="11:12">
      <c r="K854" s="44"/>
      <c r="L854" s="44"/>
    </row>
    <row r="855" spans="11:12">
      <c r="K855" s="44"/>
      <c r="L855" s="44"/>
    </row>
    <row r="856" spans="11:12">
      <c r="K856" s="44"/>
      <c r="L856" s="44"/>
    </row>
    <row r="857" spans="11:12">
      <c r="K857" s="44"/>
      <c r="L857" s="44"/>
    </row>
    <row r="858" spans="11:12">
      <c r="K858" s="44"/>
      <c r="L858" s="44"/>
    </row>
    <row r="859" spans="11:12">
      <c r="K859" s="44"/>
      <c r="L859" s="44"/>
    </row>
    <row r="860" spans="11:12">
      <c r="K860" s="44"/>
      <c r="L860" s="44"/>
    </row>
    <row r="861" spans="11:12">
      <c r="K861" s="44"/>
      <c r="L861" s="44"/>
    </row>
    <row r="862" spans="11:12">
      <c r="K862" s="44"/>
      <c r="L862" s="44"/>
    </row>
    <row r="863" spans="11:12">
      <c r="K863" s="44"/>
      <c r="L863" s="44"/>
    </row>
    <row r="864" spans="11:12">
      <c r="K864" s="44"/>
      <c r="L864" s="44"/>
    </row>
    <row r="865" spans="11:12">
      <c r="K865" s="44"/>
      <c r="L865" s="44"/>
    </row>
    <row r="866" spans="11:12">
      <c r="K866" s="44"/>
      <c r="L866" s="44"/>
    </row>
    <row r="867" spans="11:12">
      <c r="K867" s="44"/>
      <c r="L867" s="44"/>
    </row>
    <row r="868" spans="11:12">
      <c r="K868" s="44"/>
      <c r="L868" s="44"/>
    </row>
    <row r="869" spans="11:12">
      <c r="K869" s="44"/>
      <c r="L869" s="44"/>
    </row>
    <row r="870" spans="11:12">
      <c r="K870" s="44"/>
      <c r="L870" s="44"/>
    </row>
    <row r="871" spans="11:12">
      <c r="K871" s="44"/>
      <c r="L871" s="44"/>
    </row>
    <row r="872" spans="11:12">
      <c r="K872" s="44"/>
      <c r="L872" s="44"/>
    </row>
    <row r="873" spans="11:12">
      <c r="K873" s="44"/>
      <c r="L873" s="44"/>
    </row>
    <row r="874" spans="11:12">
      <c r="K874" s="44"/>
      <c r="L874" s="44"/>
    </row>
    <row r="875" spans="11:12">
      <c r="K875" s="44"/>
      <c r="L875" s="44"/>
    </row>
    <row r="876" spans="11:12">
      <c r="K876" s="44"/>
      <c r="L876" s="44"/>
    </row>
    <row r="877" spans="11:12">
      <c r="K877" s="44"/>
      <c r="L877" s="44"/>
    </row>
    <row r="878" spans="11:12">
      <c r="K878" s="44"/>
      <c r="L878" s="44"/>
    </row>
    <row r="879" spans="11:12">
      <c r="K879" s="44"/>
      <c r="L879" s="44"/>
    </row>
    <row r="880" spans="11:12">
      <c r="K880" s="44"/>
      <c r="L880" s="44"/>
    </row>
    <row r="881" spans="11:12">
      <c r="K881" s="44"/>
      <c r="L881" s="44"/>
    </row>
    <row r="882" spans="11:12">
      <c r="K882" s="44"/>
      <c r="L882" s="44"/>
    </row>
    <row r="883" spans="11:12">
      <c r="K883" s="44"/>
      <c r="L883" s="44"/>
    </row>
    <row r="884" spans="11:12">
      <c r="K884" s="44"/>
      <c r="L884" s="44"/>
    </row>
    <row r="885" spans="11:12">
      <c r="K885" s="44"/>
      <c r="L885" s="44"/>
    </row>
    <row r="886" spans="11:12">
      <c r="K886" s="44"/>
      <c r="L886" s="44"/>
    </row>
  </sheetData>
  <customSheetViews>
    <customSheetView guid="{F562D92E-120C-4AE9-9663-89E64D41DC53}" scale="70" fitToPage="1">
      <selection activeCell="A10" sqref="A10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"/>
      <headerFooter alignWithMargins="0"/>
    </customSheetView>
    <customSheetView guid="{35F19056-2E6F-4935-B863-78836FE990BF}" scale="70" fitToPage="1" showRuler="0" topLeftCell="A28">
      <selection activeCell="O44" sqref="O4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2"/>
      <headerFooter alignWithMargins="0"/>
    </customSheetView>
    <customSheetView guid="{18BDED73-BFA0-442E-87EC-CED86EE4CF94}" scale="70" fitToPage="1" showRuler="0" topLeftCell="A9">
      <selection activeCell="G64" sqref="G6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3"/>
      <headerFooter alignWithMargins="0"/>
    </customSheetView>
    <customSheetView guid="{0BC1F393-8A13-47D5-BC6C-0C99615B5AB9}" scale="75" fitToPage="1" showRuler="0">
      <rowBreaks count="1" manualBreakCount="1">
        <brk id="61" max="14" man="1"/>
      </rowBreaks>
      <pageMargins left="0.5" right="0.75" top="1" bottom="1" header="0.5" footer="0.5"/>
      <printOptions horizontalCentered="1"/>
      <pageSetup scale="48" orientation="portrait" horizontalDpi="300" verticalDpi="300" r:id="rId4"/>
      <headerFooter alignWithMargins="0"/>
    </customSheetView>
    <customSheetView guid="{6B3D5C27-2FDE-4561-9575-1E98BFB869D0}" scale="75" fitToPage="1" showRuler="0" topLeftCell="D15">
      <selection activeCell="P24" sqref="P24"/>
      <rowBreaks count="1" manualBreakCount="1">
        <brk id="61" max="14" man="1"/>
      </rowBreaks>
      <pageMargins left="0.5" right="0.75" top="1" bottom="1" header="0.5" footer="0.5"/>
      <printOptions horizontalCentered="1"/>
      <pageSetup scale="52" orientation="portrait" horizontalDpi="300" verticalDpi="300" r:id="rId5"/>
      <headerFooter alignWithMargins="0"/>
    </customSheetView>
    <customSheetView guid="{8FB94551-8874-4095-B8FB-5316E0D2FD2C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6"/>
      <headerFooter alignWithMargins="0"/>
    </customSheetView>
    <customSheetView guid="{8FC77C99-DBF7-40B8-99B8-01B75826CDCB}" scale="75" showPageBreaks="1" fitToPage="1" printArea="1" showRuler="0">
      <selection sqref="A1:K62"/>
      <rowBreaks count="1" manualBreakCount="1">
        <brk id="61" max="10" man="1"/>
      </rowBreaks>
      <pageMargins left="0.5" right="0.75" top="1" bottom="1" header="0.5" footer="0.5"/>
      <printOptions horizontalCentered="1"/>
      <pageSetup scale="67" orientation="portrait" horizontalDpi="300" verticalDpi="300" r:id="rId7"/>
      <headerFooter alignWithMargins="0"/>
    </customSheetView>
    <customSheetView guid="{2EA35095-1ADC-4CC7-8C3C-B487D65FA247}" scale="75" fitToPage="1" showRuler="0" topLeftCell="A25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8"/>
      <headerFooter alignWithMargins="0"/>
    </customSheetView>
    <customSheetView guid="{2431C9E5-7CC2-4B8D-99C3-962247B1DBF5}" scale="75" fitToPage="1" showRuler="0">
      <selection activeCell="A18" sqref="A1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9"/>
      <headerFooter alignWithMargins="0"/>
    </customSheetView>
    <customSheetView guid="{4BC93440-BA85-4935-A8C9-66DC6AE5DE5E}" scale="75" fitToPage="1" showRuler="0" topLeftCell="A38">
      <selection activeCell="E58" activeCellId="2" sqref="E50 E52 E5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10"/>
      <headerFooter alignWithMargins="0"/>
    </customSheetView>
    <customSheetView guid="{0C49E549-011E-46F4-A82E-2CC8951A9C1E}" scale="75" fitToPage="1" showRuler="0">
      <selection activeCell="C36" sqref="C36"/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1"/>
      <headerFooter alignWithMargins="0"/>
    </customSheetView>
    <customSheetView guid="{195DF303-1BBD-4236-94B5-47432850B006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2"/>
      <headerFooter alignWithMargins="0"/>
    </customSheetView>
  </customSheetViews>
  <phoneticPr fontId="12" type="noConversion"/>
  <printOptions horizontalCentered="1"/>
  <pageMargins left="0.5" right="0.75" top="1" bottom="1" header="0.5" footer="0.5"/>
  <pageSetup scale="52" orientation="portrait" horizontalDpi="300" verticalDpi="300" r:id="rId13"/>
  <headerFooter alignWithMargins="0"/>
  <rowBreaks count="1" manualBreakCount="1">
    <brk id="68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0"/>
  <dimension ref="A1:R90"/>
  <sheetViews>
    <sheetView workbookViewId="0"/>
  </sheetViews>
  <sheetFormatPr defaultColWidth="8.8984375" defaultRowHeight="15"/>
  <cols>
    <col min="1" max="1" width="8.3984375" style="1" customWidth="1"/>
    <col min="2" max="2" width="10.8984375" style="1" customWidth="1"/>
    <col min="3" max="4" width="12.09765625" style="1" customWidth="1"/>
    <col min="5" max="5" width="12.59765625" style="1" customWidth="1"/>
    <col min="6" max="6" width="14.3984375" style="1" customWidth="1"/>
    <col min="7" max="7" width="10" style="1" customWidth="1"/>
    <col min="8" max="8" width="10.3984375" style="1" customWidth="1"/>
    <col min="9" max="9" width="12.09765625" style="1" customWidth="1"/>
    <col min="10" max="10" width="10.3984375" style="1" customWidth="1"/>
    <col min="11" max="11" width="12.3984375" style="1" customWidth="1"/>
    <col min="12" max="12" width="12" style="1" customWidth="1"/>
    <col min="13" max="13" width="10.09765625" style="1" customWidth="1"/>
    <col min="14" max="17" width="8.8984375" style="1"/>
    <col min="18" max="18" width="9.69921875" style="1" customWidth="1"/>
    <col min="19" max="16384" width="8.8984375" style="1"/>
  </cols>
  <sheetData>
    <row r="1" spans="2:18" ht="15.75">
      <c r="B1" s="12" t="s">
        <v>182</v>
      </c>
      <c r="C1" s="10"/>
      <c r="D1" s="10"/>
      <c r="E1" s="10"/>
      <c r="F1" s="10"/>
      <c r="H1" s="12" t="s">
        <v>183</v>
      </c>
      <c r="I1" s="10"/>
      <c r="J1" s="10"/>
      <c r="K1" s="10"/>
      <c r="L1" s="10"/>
    </row>
    <row r="2" spans="2:18">
      <c r="C2" s="2" t="s">
        <v>107</v>
      </c>
      <c r="D2" s="2" t="s">
        <v>107</v>
      </c>
      <c r="E2" s="2" t="s">
        <v>107</v>
      </c>
      <c r="I2" s="2" t="s">
        <v>107</v>
      </c>
      <c r="J2" s="2" t="s">
        <v>107</v>
      </c>
      <c r="K2" s="2" t="s">
        <v>107</v>
      </c>
    </row>
    <row r="3" spans="2:18">
      <c r="B3" s="2" t="s">
        <v>20</v>
      </c>
      <c r="C3" s="2" t="s">
        <v>112</v>
      </c>
      <c r="D3" s="2" t="s">
        <v>113</v>
      </c>
      <c r="E3" s="2" t="s">
        <v>114</v>
      </c>
      <c r="F3" s="2" t="s">
        <v>11</v>
      </c>
      <c r="H3" s="2" t="s">
        <v>20</v>
      </c>
      <c r="I3" s="2" t="s">
        <v>112</v>
      </c>
      <c r="J3" s="2" t="s">
        <v>113</v>
      </c>
      <c r="K3" s="2" t="s">
        <v>114</v>
      </c>
      <c r="L3" s="2" t="s">
        <v>11</v>
      </c>
    </row>
    <row r="4" spans="2:18">
      <c r="B4" s="9" t="s">
        <v>115</v>
      </c>
      <c r="C4" s="9" t="s">
        <v>116</v>
      </c>
      <c r="D4" s="9" t="s">
        <v>116</v>
      </c>
      <c r="E4" s="9" t="s">
        <v>116</v>
      </c>
      <c r="F4" s="9" t="s">
        <v>106</v>
      </c>
      <c r="H4" s="9" t="s">
        <v>115</v>
      </c>
      <c r="I4" s="9" t="s">
        <v>116</v>
      </c>
      <c r="J4" s="9" t="s">
        <v>116</v>
      </c>
      <c r="K4" s="9" t="s">
        <v>116</v>
      </c>
      <c r="L4" s="9" t="s">
        <v>106</v>
      </c>
    </row>
    <row r="5" spans="2:18">
      <c r="B5" s="131" t="s">
        <v>524</v>
      </c>
    </row>
    <row r="7" spans="2:18">
      <c r="B7" s="5">
        <f t="shared" ref="B7:B13" si="0">+CUR_RS_CUST</f>
        <v>13</v>
      </c>
      <c r="C7" s="5">
        <f>IF('SCH N'!E20&lt;=1000,ROUND('SCH N'!E20*(+CUR_RS_ENERGY),2),ROUND(1000*(CUR_RS_ENERGY),2))</f>
        <v>33.49</v>
      </c>
      <c r="D7" s="129">
        <v>0</v>
      </c>
      <c r="E7" s="129">
        <v>0</v>
      </c>
      <c r="F7" s="5">
        <f t="shared" ref="F7:F13" si="1">SUM(B7:E7)</f>
        <v>46.49</v>
      </c>
      <c r="H7" s="5">
        <f t="shared" ref="H7:H13" si="2">PRO_RS_CUST</f>
        <v>16</v>
      </c>
      <c r="I7" s="5">
        <f>IF('SCH N'!E20&lt;=1000,ROUND('SCH N'!E20*(PRO_RS_ENERGY),2),ROUND(1000*(PRO_RS_ENERGY),2))</f>
        <v>39.03</v>
      </c>
      <c r="J7" s="129">
        <v>0</v>
      </c>
      <c r="K7" s="129">
        <v>0</v>
      </c>
      <c r="L7" s="5">
        <f t="shared" ref="L7:L13" si="3">SUM(H7:K7)</f>
        <v>55.03</v>
      </c>
    </row>
    <row r="8" spans="2:18">
      <c r="B8" s="5">
        <f t="shared" si="0"/>
        <v>13</v>
      </c>
      <c r="C8" s="5">
        <f>IF('SCH N'!E21&lt;=1000,ROUND('SCH N'!E21*(+CUR_RS_ENERGY),2),ROUND(1000*(CUR_RS_ENERGY),2))</f>
        <v>44.66</v>
      </c>
      <c r="D8" s="129">
        <v>0</v>
      </c>
      <c r="E8" s="129">
        <v>0</v>
      </c>
      <c r="F8" s="5">
        <f t="shared" si="1"/>
        <v>57.66</v>
      </c>
      <c r="H8" s="5">
        <f t="shared" si="2"/>
        <v>16</v>
      </c>
      <c r="I8" s="5">
        <f>IF('SCH N'!E21&lt;=1000,ROUND('SCH N'!E21*(PRO_RS_ENERGY),2),ROUND(1000*(PRO_RS_ENERGY),2))</f>
        <v>52.04</v>
      </c>
      <c r="J8" s="129">
        <v>0</v>
      </c>
      <c r="K8" s="129">
        <v>0</v>
      </c>
      <c r="L8" s="5">
        <f t="shared" si="3"/>
        <v>68.039999999999992</v>
      </c>
    </row>
    <row r="9" spans="2:18">
      <c r="B9" s="5">
        <f t="shared" si="0"/>
        <v>13</v>
      </c>
      <c r="C9" s="5">
        <f>IF('SCH N'!E22&lt;=1000,ROUND('SCH N'!E22*(+CUR_RS_ENERGY),2),ROUND(1000*(CUR_RS_ENERGY),2))</f>
        <v>55.82</v>
      </c>
      <c r="D9" s="129">
        <v>0</v>
      </c>
      <c r="E9" s="129">
        <v>0</v>
      </c>
      <c r="F9" s="5">
        <f t="shared" si="1"/>
        <v>68.819999999999993</v>
      </c>
      <c r="H9" s="5">
        <f t="shared" si="2"/>
        <v>16</v>
      </c>
      <c r="I9" s="5">
        <f>IF('SCH N'!E22&lt;=1000,ROUND('SCH N'!E22*(PRO_RS_ENERGY),2),ROUND(1000*(PRO_RS_ENERGY),2))</f>
        <v>65.06</v>
      </c>
      <c r="J9" s="129">
        <v>0</v>
      </c>
      <c r="K9" s="129">
        <v>0</v>
      </c>
      <c r="L9" s="5">
        <f t="shared" si="3"/>
        <v>81.06</v>
      </c>
    </row>
    <row r="10" spans="2:18">
      <c r="B10" s="5">
        <f t="shared" si="0"/>
        <v>13</v>
      </c>
      <c r="C10" s="5">
        <f>IF('SCH N'!E23&lt;=1000,ROUND('SCH N'!E23*(+CUR_RS_ENERGY),2),ROUND(1000*(CUR_RS_ENERGY),2))</f>
        <v>89.31</v>
      </c>
      <c r="D10" s="129">
        <v>0</v>
      </c>
      <c r="E10" s="129">
        <v>0</v>
      </c>
      <c r="F10" s="5">
        <f t="shared" si="1"/>
        <v>102.31</v>
      </c>
      <c r="H10" s="5">
        <f t="shared" si="2"/>
        <v>16</v>
      </c>
      <c r="I10" s="5">
        <f>IF('SCH N'!E23&lt;=1000,ROUND('SCH N'!E23*(PRO_RS_ENERGY),2),ROUND(1000*(PRO_RS_ENERGY),2))</f>
        <v>104.09</v>
      </c>
      <c r="J10" s="129">
        <v>0</v>
      </c>
      <c r="K10" s="129">
        <v>0</v>
      </c>
      <c r="L10" s="5">
        <f t="shared" si="3"/>
        <v>120.09</v>
      </c>
    </row>
    <row r="11" spans="2:18">
      <c r="B11" s="5">
        <f t="shared" si="0"/>
        <v>13</v>
      </c>
      <c r="C11" s="5">
        <f>IF('SCH N'!E24&lt;=1000,ROUND('SCH N'!E24*(+CUR_RS_ENERGY),2),ROUND(1000*(CUR_RS_ENERGY),2))</f>
        <v>111.64</v>
      </c>
      <c r="D11" s="129">
        <v>0</v>
      </c>
      <c r="E11" s="129">
        <v>0</v>
      </c>
      <c r="F11" s="5">
        <f t="shared" si="1"/>
        <v>124.64</v>
      </c>
      <c r="H11" s="5">
        <f t="shared" si="2"/>
        <v>16</v>
      </c>
      <c r="I11" s="5">
        <f>IF('SCH N'!E24&lt;=1000,ROUND('SCH N'!E24*(PRO_RS_ENERGY),2),ROUND(1000*(PRO_RS_ENERGY),2))</f>
        <v>130.11000000000001</v>
      </c>
      <c r="J11" s="129">
        <v>0</v>
      </c>
      <c r="K11" s="129">
        <v>0</v>
      </c>
      <c r="L11" s="5">
        <f t="shared" si="3"/>
        <v>146.11000000000001</v>
      </c>
    </row>
    <row r="12" spans="2:18">
      <c r="B12" s="5">
        <f t="shared" si="0"/>
        <v>13</v>
      </c>
      <c r="C12" s="5">
        <f>IF('SCH N'!E25&lt;=1000,ROUND('SCH N'!E25*(+CUR_RS_ENERGY),2),ROUND(1000*(CUR_RS_ENERGY),2))</f>
        <v>111.64</v>
      </c>
      <c r="D12" s="129">
        <v>0</v>
      </c>
      <c r="E12" s="129">
        <v>0</v>
      </c>
      <c r="F12" s="5">
        <f t="shared" si="1"/>
        <v>124.64</v>
      </c>
      <c r="H12" s="5">
        <f t="shared" si="2"/>
        <v>16</v>
      </c>
      <c r="I12" s="5">
        <f>IF('SCH N'!E25&lt;=1000,ROUND('SCH N'!E25*(PRO_RS_ENERGY),2),ROUND(1000*(PRO_RS_ENERGY),2))</f>
        <v>130.11000000000001</v>
      </c>
      <c r="J12" s="129">
        <v>0</v>
      </c>
      <c r="K12" s="129">
        <v>0</v>
      </c>
      <c r="L12" s="5">
        <f t="shared" si="3"/>
        <v>146.11000000000001</v>
      </c>
    </row>
    <row r="13" spans="2:18">
      <c r="B13" s="5">
        <f t="shared" si="0"/>
        <v>13</v>
      </c>
      <c r="C13" s="5">
        <f>IF('SCH N'!E26&lt;=1000,ROUND('SCH N'!E26*(+CUR_RS_ENERGY),2),ROUND(1000*(CUR_RS_ENERGY),2))</f>
        <v>111.64</v>
      </c>
      <c r="D13" s="129">
        <v>0</v>
      </c>
      <c r="E13" s="129">
        <v>0</v>
      </c>
      <c r="F13" s="5">
        <f t="shared" si="1"/>
        <v>124.64</v>
      </c>
      <c r="H13" s="5">
        <f t="shared" si="2"/>
        <v>16</v>
      </c>
      <c r="I13" s="5">
        <f>IF('SCH N'!E26&lt;=1000,ROUND('SCH N'!E26*(PRO_RS_ENERGY),2),ROUND(1000*(PRO_RS_ENERGY),2))</f>
        <v>130.11000000000001</v>
      </c>
      <c r="J13" s="129">
        <v>0</v>
      </c>
      <c r="K13" s="129">
        <v>0</v>
      </c>
      <c r="L13" s="5">
        <f t="shared" si="3"/>
        <v>146.11000000000001</v>
      </c>
    </row>
    <row r="14" spans="2:18">
      <c r="F14" s="5"/>
      <c r="L14" s="5"/>
    </row>
    <row r="15" spans="2:18" s="15" customFormat="1"/>
    <row r="16" spans="2:18" ht="15.75">
      <c r="B16" s="12" t="s">
        <v>176</v>
      </c>
      <c r="C16" s="10"/>
      <c r="D16" s="10"/>
      <c r="E16" s="10"/>
      <c r="F16" s="10"/>
      <c r="G16" s="10"/>
      <c r="H16" s="10"/>
      <c r="I16" s="10"/>
      <c r="K16" s="12" t="s">
        <v>177</v>
      </c>
      <c r="L16" s="10"/>
      <c r="M16" s="10"/>
      <c r="N16" s="10"/>
      <c r="O16" s="10"/>
      <c r="P16" s="10"/>
      <c r="Q16" s="10"/>
      <c r="R16" s="10"/>
    </row>
    <row r="17" spans="1:18">
      <c r="C17" s="2" t="s">
        <v>108</v>
      </c>
      <c r="D17" s="2" t="s">
        <v>108</v>
      </c>
      <c r="E17" s="2" t="s">
        <v>108</v>
      </c>
      <c r="F17" s="2" t="s">
        <v>107</v>
      </c>
      <c r="G17" s="2" t="s">
        <v>107</v>
      </c>
      <c r="H17" s="2" t="s">
        <v>107</v>
      </c>
      <c r="L17" s="2" t="s">
        <v>108</v>
      </c>
      <c r="M17" s="2" t="s">
        <v>108</v>
      </c>
      <c r="N17" s="2" t="s">
        <v>108</v>
      </c>
      <c r="O17" s="2" t="s">
        <v>107</v>
      </c>
      <c r="P17" s="2" t="s">
        <v>107</v>
      </c>
      <c r="Q17" s="2" t="s">
        <v>107</v>
      </c>
    </row>
    <row r="18" spans="1:18">
      <c r="B18" s="2" t="s">
        <v>20</v>
      </c>
      <c r="C18" s="2" t="s">
        <v>112</v>
      </c>
      <c r="D18" s="2" t="s">
        <v>113</v>
      </c>
      <c r="E18" s="2" t="s">
        <v>114</v>
      </c>
      <c r="F18" s="2" t="s">
        <v>112</v>
      </c>
      <c r="G18" s="2" t="s">
        <v>113</v>
      </c>
      <c r="H18" s="2" t="s">
        <v>114</v>
      </c>
      <c r="I18" s="2" t="s">
        <v>11</v>
      </c>
      <c r="K18" s="2" t="s">
        <v>20</v>
      </c>
      <c r="L18" s="2" t="s">
        <v>112</v>
      </c>
      <c r="M18" s="2" t="s">
        <v>113</v>
      </c>
      <c r="N18" s="2" t="s">
        <v>114</v>
      </c>
      <c r="O18" s="2" t="s">
        <v>112</v>
      </c>
      <c r="P18" s="2" t="s">
        <v>113</v>
      </c>
      <c r="Q18" s="2" t="s">
        <v>114</v>
      </c>
      <c r="R18" s="2" t="s">
        <v>11</v>
      </c>
    </row>
    <row r="19" spans="1:18">
      <c r="B19" s="9" t="s">
        <v>115</v>
      </c>
      <c r="C19" s="9" t="s">
        <v>116</v>
      </c>
      <c r="D19" s="9" t="s">
        <v>116</v>
      </c>
      <c r="E19" s="9" t="s">
        <v>116</v>
      </c>
      <c r="F19" s="9" t="s">
        <v>116</v>
      </c>
      <c r="G19" s="9" t="s">
        <v>116</v>
      </c>
      <c r="H19" s="9" t="s">
        <v>116</v>
      </c>
      <c r="I19" s="9" t="s">
        <v>106</v>
      </c>
      <c r="J19" s="8"/>
      <c r="K19" s="9" t="s">
        <v>115</v>
      </c>
      <c r="L19" s="9" t="s">
        <v>116</v>
      </c>
      <c r="M19" s="9" t="s">
        <v>116</v>
      </c>
      <c r="N19" s="9" t="s">
        <v>116</v>
      </c>
      <c r="O19" s="9" t="s">
        <v>116</v>
      </c>
      <c r="P19" s="9" t="s">
        <v>116</v>
      </c>
      <c r="Q19" s="9" t="s">
        <v>116</v>
      </c>
      <c r="R19" s="9" t="s">
        <v>106</v>
      </c>
    </row>
    <row r="20" spans="1:18">
      <c r="B20" s="131" t="s">
        <v>354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</row>
    <row r="21" spans="1:18">
      <c r="A21" s="1" t="s">
        <v>91</v>
      </c>
      <c r="B21" s="5">
        <f>CUR_DS_CST_2</f>
        <v>30</v>
      </c>
      <c r="C21" s="5">
        <f>IF('SCH N'!$D53&lt;=15,ROUND('SCH N'!$D53*CUR_DS_DEM_1,2),ROUND(15*CUR_DS_DEM_1,2))</f>
        <v>0</v>
      </c>
      <c r="D21" s="5">
        <f>IF('SCH N'!$D53&lt;=15,0,ROUND(('SCH N'!$D53-15)*CUR_DS_DEM_3,2))</f>
        <v>0</v>
      </c>
      <c r="E21" s="13">
        <v>0</v>
      </c>
      <c r="F21" s="5">
        <f>IF('SCH N'!$E53&lt;=6000,ROUND('SCH N'!$E53*(CUR_DS_KWH_1),2),ROUND(6000*(CUR_DS_KWH_1),2))</f>
        <v>229.58</v>
      </c>
      <c r="G21" s="5">
        <f>IF('SCH N'!$E53&lt;=6000,0,IF(('SCH N'!$D53*300)&lt;=('SCH N'!$E53-6000),ROUND(('SCH N'!$D53*300)*(CUR_DS_KWH_2),2),ROUND(('SCH N'!$E53-6000)*(CUR_DS_KWH_2),2)))</f>
        <v>0</v>
      </c>
      <c r="H21" s="5">
        <f>IF('SCH N'!$E53&lt;=(6000+('SCH N'!$D53*300)),0,ROUND(('SCH N'!$E53-(6000+('SCH N'!$D53*300)))*(CUR_DS_KWH_3),2))</f>
        <v>0</v>
      </c>
      <c r="I21" s="5">
        <f t="shared" ref="I21:I41" si="4">SUM(B21:H21)</f>
        <v>259.58000000000004</v>
      </c>
      <c r="J21" s="5"/>
      <c r="K21" s="5">
        <f>PRO_DS_CST_2</f>
        <v>30</v>
      </c>
      <c r="L21" s="5">
        <f>IF('SCH N'!$D53&lt;=15,ROUND('SCH N'!$D53*PRO_DS_DEM_1,2),ROUND(15*PRO_DS_DEM_1,2))</f>
        <v>0</v>
      </c>
      <c r="M21" s="5">
        <f>IF('SCH N'!$D53&lt;=15,0,ROUND(('SCH N'!$D53-15)*PRO_DS_DEM_3,2))</f>
        <v>0</v>
      </c>
      <c r="N21" s="13">
        <v>0</v>
      </c>
      <c r="O21" s="5">
        <f>IF('SCH N'!$E53&lt;=6000,ROUND('SCH N'!$E53*(PRO_DS_KWH_1),2),ROUND(6000*(PRO_DS_KWH_1),2))</f>
        <v>248.98</v>
      </c>
      <c r="P21" s="5">
        <f>IF('SCH N'!$E53&lt;=6000,0,IF(('SCH N'!$D53*300)&lt;=('SCH N'!$E53-6000),ROUND(('SCH N'!$D53*300)*(PRO_DS_KWH_2),2),ROUND(('SCH N'!$E53-6000)*(PRO_DS_KWH_2),2)))</f>
        <v>0</v>
      </c>
      <c r="Q21" s="5">
        <f>IF('SCH N'!$E53&lt;=(6000+('SCH N'!$D53*300)),0,ROUND(('SCH N'!$E53-(6000+('SCH N'!$D53*300)))*(PRO_DS_KWH_3),2))</f>
        <v>0</v>
      </c>
      <c r="R21" s="5">
        <f t="shared" ref="R21:R41" si="5">SUM(K21:Q21)</f>
        <v>278.98</v>
      </c>
    </row>
    <row r="22" spans="1:18">
      <c r="B22" s="5">
        <f t="shared" ref="B22:B41" si="6">CUR_DS_CST_2</f>
        <v>30</v>
      </c>
      <c r="C22" s="5">
        <f>IF('SCH N'!$D54&lt;=15,ROUND('SCH N'!$D54*CUR_DS_DEM_1,2),ROUND(15*CUR_DS_DEM_1,2))</f>
        <v>0</v>
      </c>
      <c r="D22" s="5">
        <f>IF('SCH N'!$D54&lt;=15,0,ROUND(('SCH N'!$D54-15)*CUR_DS_DEM_3,2))</f>
        <v>0</v>
      </c>
      <c r="E22" s="13">
        <v>0</v>
      </c>
      <c r="F22" s="5">
        <f>IF('SCH N'!$E54&lt;=6000,ROUND('SCH N'!$E54*(CUR_DS_KWH_1),2),ROUND(6000*(CUR_DS_KWH_1),2))</f>
        <v>459.15</v>
      </c>
      <c r="G22" s="5">
        <f>IF('SCH N'!$E54&lt;=6000,0,IF(('SCH N'!$D54*300)&lt;=('SCH N'!$E54-6000),ROUND(('SCH N'!$D54*300)*(CUR_DS_KWH_2),2),ROUND(('SCH N'!$E54-6000)*(CUR_DS_KWH_2),2)))</f>
        <v>0</v>
      </c>
      <c r="H22" s="5">
        <f>IF('SCH N'!$E54&lt;=(6000+('SCH N'!$D54*300)),0,ROUND(('SCH N'!$E54-(6000+('SCH N'!$D54*300)))*(CUR_DS_KWH_3),2))</f>
        <v>0</v>
      </c>
      <c r="I22" s="5">
        <f t="shared" si="4"/>
        <v>489.15</v>
      </c>
      <c r="J22" s="5"/>
      <c r="K22" s="5">
        <f t="shared" ref="K22:K41" si="7">PRO_DS_CST_2</f>
        <v>30</v>
      </c>
      <c r="L22" s="5">
        <f>IF('SCH N'!$D54&lt;=15,ROUND('SCH N'!$D54*PRO_DS_DEM_1,2),ROUND(15*PRO_DS_DEM_1,2))</f>
        <v>0</v>
      </c>
      <c r="M22" s="5">
        <f>IF('SCH N'!$D54&lt;=15,0,ROUND(('SCH N'!$D54-15)*PRO_DS_DEM_3,2))</f>
        <v>0</v>
      </c>
      <c r="N22" s="13">
        <v>0</v>
      </c>
      <c r="O22" s="5">
        <f>IF('SCH N'!$E54&lt;=6000,ROUND('SCH N'!$E54*(PRO_DS_KWH_1),2),ROUND(6000*(PRO_DS_KWH_1),2))</f>
        <v>497.97</v>
      </c>
      <c r="P22" s="5">
        <f>IF('SCH N'!$E54&lt;=6000,0,IF(('SCH N'!$D54*300)&lt;=('SCH N'!$E54-6000),ROUND(('SCH N'!$D54*300)*(PRO_DS_KWH_2),2),ROUND(('SCH N'!$E54-6000)*(PRO_DS_KWH_2),2)))</f>
        <v>0</v>
      </c>
      <c r="Q22" s="5">
        <f>IF('SCH N'!$E54&lt;=(6000+('SCH N'!$D54*300)),0,ROUND(('SCH N'!$E54-(6000+('SCH N'!$D54*300)))*(PRO_DS_KWH_3),2))</f>
        <v>0</v>
      </c>
      <c r="R22" s="5">
        <f t="shared" si="5"/>
        <v>527.97</v>
      </c>
    </row>
    <row r="23" spans="1:18">
      <c r="B23" s="5">
        <f t="shared" si="6"/>
        <v>30</v>
      </c>
      <c r="C23" s="5">
        <f>IF('SCH N'!$D55&lt;=15,ROUND('SCH N'!$D55*CUR_DS_DEM_1,2),ROUND(15*CUR_DS_DEM_1,2))</f>
        <v>0</v>
      </c>
      <c r="D23" s="5">
        <f>IF('SCH N'!$D55&lt;=15,0,ROUND(('SCH N'!$D55-15)*CUR_DS_DEM_3,2))</f>
        <v>0</v>
      </c>
      <c r="E23" s="13">
        <v>0</v>
      </c>
      <c r="F23" s="5">
        <f>IF('SCH N'!$E55&lt;=6000,ROUND('SCH N'!$E55*(CUR_DS_KWH_1),2),ROUND(6000*(CUR_DS_KWH_1),2))</f>
        <v>688.73</v>
      </c>
      <c r="G23" s="5">
        <f>IF('SCH N'!$E55&lt;=6000,0,IF(('SCH N'!$D55*300)&lt;=('SCH N'!$E55-6000),ROUND(('SCH N'!$D55*300)*(CUR_DS_KWH_2),2),ROUND(('SCH N'!$E55-6000)*(CUR_DS_KWH_2),2)))</f>
        <v>0</v>
      </c>
      <c r="H23" s="5">
        <f>IF('SCH N'!$E55&lt;=(6000+('SCH N'!$D55*300)),0,ROUND(('SCH N'!$E55-(6000+('SCH N'!$D55*300)))*(CUR_DS_KWH_3),2))</f>
        <v>0</v>
      </c>
      <c r="I23" s="5">
        <f t="shared" si="4"/>
        <v>718.73</v>
      </c>
      <c r="J23" s="5"/>
      <c r="K23" s="5">
        <f t="shared" si="7"/>
        <v>30</v>
      </c>
      <c r="L23" s="5">
        <f>IF('SCH N'!$D55&lt;=15,ROUND('SCH N'!$D55*PRO_DS_DEM_1,2),ROUND(15*PRO_DS_DEM_1,2))</f>
        <v>0</v>
      </c>
      <c r="M23" s="5">
        <f>IF('SCH N'!$D55&lt;=15,0,ROUND(('SCH N'!$D55-15)*PRO_DS_DEM_3,2))</f>
        <v>0</v>
      </c>
      <c r="N23" s="13">
        <v>0</v>
      </c>
      <c r="O23" s="5">
        <f>IF('SCH N'!$E55&lt;=6000,ROUND('SCH N'!$E55*(PRO_DS_KWH_1),2),ROUND(6000*(PRO_DS_KWH_1),2))</f>
        <v>746.95</v>
      </c>
      <c r="P23" s="5">
        <f>IF('SCH N'!$E55&lt;=6000,0,IF(('SCH N'!$D55*300)&lt;=('SCH N'!$E55-6000),ROUND(('SCH N'!$D55*300)*(PRO_DS_KWH_2),2),ROUND(('SCH N'!$E55-6000)*(PRO_DS_KWH_2),2)))</f>
        <v>0</v>
      </c>
      <c r="Q23" s="5">
        <f>IF('SCH N'!$E55&lt;=(6000+('SCH N'!$D55*300)),0,ROUND(('SCH N'!$E55-(6000+('SCH N'!$D55*300)))*(PRO_DS_KWH_3),2))</f>
        <v>0</v>
      </c>
      <c r="R23" s="5">
        <f t="shared" si="5"/>
        <v>776.95</v>
      </c>
    </row>
    <row r="24" spans="1:18">
      <c r="B24" s="5">
        <f t="shared" si="6"/>
        <v>30</v>
      </c>
      <c r="C24" s="5">
        <f>IF('SCH N'!$D56&lt;=15,ROUND('SCH N'!$D56*CUR_DS_DEM_1,2),ROUND(15*CUR_DS_DEM_1,2))</f>
        <v>0</v>
      </c>
      <c r="D24" s="5">
        <f>IF('SCH N'!$D56&lt;=15,0,ROUND(('SCH N'!$D56-15)*CUR_DS_DEM_3,2))</f>
        <v>160.19999999999999</v>
      </c>
      <c r="E24" s="13">
        <v>0</v>
      </c>
      <c r="F24" s="5">
        <f>IF('SCH N'!$E56&lt;=6000,ROUND('SCH N'!$E56*(CUR_DS_KWH_1),2),ROUND(6000*(CUR_DS_KWH_1),2))</f>
        <v>688.73</v>
      </c>
      <c r="G24" s="5">
        <f>IF('SCH N'!$E56&lt;=6000,0,IF(('SCH N'!$D56*300)&lt;=('SCH N'!$E56-6000),ROUND(('SCH N'!$D56*300)*(CUR_DS_KWH_2),2),ROUND(('SCH N'!$E56-6000)*(CUR_DS_KWH_2),2)))</f>
        <v>0</v>
      </c>
      <c r="H24" s="5">
        <f>IF('SCH N'!$E56&lt;=(6000+('SCH N'!$D56*300)),0,ROUND(('SCH N'!$E56-(6000+('SCH N'!$D56*300)))*(CUR_DS_KWH_3),2))</f>
        <v>0</v>
      </c>
      <c r="I24" s="5">
        <f t="shared" si="4"/>
        <v>878.93000000000006</v>
      </c>
      <c r="J24" s="5"/>
      <c r="K24" s="5">
        <f t="shared" si="7"/>
        <v>30</v>
      </c>
      <c r="L24" s="5">
        <f>IF('SCH N'!$D56&lt;=15,ROUND('SCH N'!$D56*PRO_DS_DEM_1,2),ROUND(15*PRO_DS_DEM_1,2))</f>
        <v>0</v>
      </c>
      <c r="M24" s="5">
        <f>IF('SCH N'!$D56&lt;=15,0,ROUND(('SCH N'!$D56-15)*PRO_DS_DEM_3,2))</f>
        <v>237.75</v>
      </c>
      <c r="N24" s="13">
        <v>0</v>
      </c>
      <c r="O24" s="5">
        <f>IF('SCH N'!$E56&lt;=6000,ROUND('SCH N'!$E56*(PRO_DS_KWH_1),2),ROUND(6000*(PRO_DS_KWH_1),2))</f>
        <v>746.95</v>
      </c>
      <c r="P24" s="5">
        <f>IF('SCH N'!$E56&lt;=6000,0,IF(('SCH N'!$D56*300)&lt;=('SCH N'!$E56-6000),ROUND(('SCH N'!$D56*300)*(PRO_DS_KWH_2),2),ROUND(('SCH N'!$E56-6000)*(PRO_DS_KWH_2),2)))</f>
        <v>0</v>
      </c>
      <c r="Q24" s="5">
        <f>IF('SCH N'!$E56&lt;=(6000+('SCH N'!$D56*300)),0,ROUND(('SCH N'!$E56-(6000+('SCH N'!$D56*300)))*(PRO_DS_KWH_3),2))</f>
        <v>0</v>
      </c>
      <c r="R24" s="5">
        <f t="shared" si="5"/>
        <v>1014.7</v>
      </c>
    </row>
    <row r="25" spans="1:18">
      <c r="B25" s="5">
        <f t="shared" si="6"/>
        <v>30</v>
      </c>
      <c r="C25" s="5">
        <f>IF('SCH N'!$D57&lt;=15,ROUND('SCH N'!$D57*CUR_DS_DEM_1,2),ROUND(15*CUR_DS_DEM_1,2))</f>
        <v>0</v>
      </c>
      <c r="D25" s="5">
        <f>IF('SCH N'!$D57&lt;=15,0,ROUND(('SCH N'!$D57-15)*CUR_DS_DEM_3,2))</f>
        <v>160.19999999999999</v>
      </c>
      <c r="E25" s="13">
        <v>0</v>
      </c>
      <c r="F25" s="5">
        <f>IF('SCH N'!$E57&lt;=6000,ROUND('SCH N'!$E57*(CUR_DS_KWH_1),2),ROUND(6000*(CUR_DS_KWH_1),2))</f>
        <v>688.73</v>
      </c>
      <c r="G25" s="5">
        <f>IF('SCH N'!$E57&lt;=6000,0,IF(('SCH N'!$D57*300)&lt;=('SCH N'!$E57-6000),ROUND(('SCH N'!$D57*300)*(CUR_DS_KWH_2),2),ROUND(('SCH N'!$E57-6000)*(CUR_DS_KWH_2),2)))</f>
        <v>223.86</v>
      </c>
      <c r="H25" s="5">
        <f>IF('SCH N'!$E57&lt;=(6000+('SCH N'!$D57*300)),0,ROUND(('SCH N'!$E57-(6000+('SCH N'!$D57*300)))*(CUR_DS_KWH_3),2))</f>
        <v>0</v>
      </c>
      <c r="I25" s="5">
        <f t="shared" si="4"/>
        <v>1102.79</v>
      </c>
      <c r="J25" s="5"/>
      <c r="K25" s="5">
        <f t="shared" si="7"/>
        <v>30</v>
      </c>
      <c r="L25" s="5">
        <f>IF('SCH N'!$D57&lt;=15,ROUND('SCH N'!$D57*PRO_DS_DEM_1,2),ROUND(15*PRO_DS_DEM_1,2))</f>
        <v>0</v>
      </c>
      <c r="M25" s="5">
        <f>IF('SCH N'!$D57&lt;=15,0,ROUND(('SCH N'!$D57-15)*PRO_DS_DEM_3,2))</f>
        <v>237.75</v>
      </c>
      <c r="N25" s="13">
        <v>0</v>
      </c>
      <c r="O25" s="5">
        <f>IF('SCH N'!$E57&lt;=6000,ROUND('SCH N'!$E57*(PRO_DS_KWH_1),2),ROUND(6000*(PRO_DS_KWH_1),2))</f>
        <v>746.95</v>
      </c>
      <c r="P25" s="5">
        <f>IF('SCH N'!$E57&lt;=6000,0,IF(('SCH N'!$D57*300)&lt;=('SCH N'!$E57-6000),ROUND(('SCH N'!$D57*300)*(PRO_DS_KWH_2),2),ROUND(('SCH N'!$E57-6000)*(PRO_DS_KWH_2),2)))</f>
        <v>233.98</v>
      </c>
      <c r="Q25" s="5">
        <f>IF('SCH N'!$E57&lt;=(6000+('SCH N'!$D57*300)),0,ROUND(('SCH N'!$E57-(6000+('SCH N'!$D57*300)))*(PRO_DS_KWH_3),2))</f>
        <v>0</v>
      </c>
      <c r="R25" s="5">
        <f t="shared" si="5"/>
        <v>1248.68</v>
      </c>
    </row>
    <row r="26" spans="1:18">
      <c r="B26" s="5">
        <f t="shared" si="6"/>
        <v>30</v>
      </c>
      <c r="C26" s="5">
        <f>IF('SCH N'!$D58&lt;=15,ROUND('SCH N'!$D58*CUR_DS_DEM_1,2),ROUND(15*CUR_DS_DEM_1,2))</f>
        <v>0</v>
      </c>
      <c r="D26" s="5">
        <f>IF('SCH N'!$D58&lt;=15,0,ROUND(('SCH N'!$D58-15)*CUR_DS_DEM_3,2))</f>
        <v>160.19999999999999</v>
      </c>
      <c r="E26" s="13">
        <v>0</v>
      </c>
      <c r="F26" s="5">
        <f>IF('SCH N'!$E58&lt;=6000,ROUND('SCH N'!$E58*(CUR_DS_KWH_1),2),ROUND(6000*(CUR_DS_KWH_1),2))</f>
        <v>688.73</v>
      </c>
      <c r="G26" s="5">
        <f>IF('SCH N'!$E58&lt;=6000,0,IF(('SCH N'!$D58*300)&lt;=('SCH N'!$E58-6000),ROUND(('SCH N'!$D58*300)*(CUR_DS_KWH_2),2),ROUND(('SCH N'!$E58-6000)*(CUR_DS_KWH_2),2)))</f>
        <v>447.71</v>
      </c>
      <c r="H26" s="5">
        <f>IF('SCH N'!$E58&lt;=(6000+('SCH N'!$D58*300)),0,ROUND(('SCH N'!$E58-(6000+('SCH N'!$D58*300)))*(CUR_DS_KWH_3),2))</f>
        <v>0</v>
      </c>
      <c r="I26" s="5">
        <f t="shared" si="4"/>
        <v>1326.64</v>
      </c>
      <c r="J26" s="5"/>
      <c r="K26" s="5">
        <f t="shared" si="7"/>
        <v>30</v>
      </c>
      <c r="L26" s="5">
        <f>IF('SCH N'!$D58&lt;=15,ROUND('SCH N'!$D58*PRO_DS_DEM_1,2),ROUND(15*PRO_DS_DEM_1,2))</f>
        <v>0</v>
      </c>
      <c r="M26" s="5">
        <f>IF('SCH N'!$D58&lt;=15,0,ROUND(('SCH N'!$D58-15)*PRO_DS_DEM_3,2))</f>
        <v>237.75</v>
      </c>
      <c r="N26" s="13">
        <v>0</v>
      </c>
      <c r="O26" s="5">
        <f>IF('SCH N'!$E58&lt;=6000,ROUND('SCH N'!$E58*(PRO_DS_KWH_1),2),ROUND(6000*(PRO_DS_KWH_1),2))</f>
        <v>746.95</v>
      </c>
      <c r="P26" s="5">
        <f>IF('SCH N'!$E58&lt;=6000,0,IF(('SCH N'!$D58*300)&lt;=('SCH N'!$E58-6000),ROUND(('SCH N'!$D58*300)*(PRO_DS_KWH_2),2),ROUND(('SCH N'!$E58-6000)*(PRO_DS_KWH_2),2)))</f>
        <v>467.96</v>
      </c>
      <c r="Q26" s="5">
        <f>IF('SCH N'!$E58&lt;=(6000+('SCH N'!$D58*300)),0,ROUND(('SCH N'!$E58-(6000+('SCH N'!$D58*300)))*(PRO_DS_KWH_3),2))</f>
        <v>0</v>
      </c>
      <c r="R26" s="5">
        <f t="shared" si="5"/>
        <v>1482.66</v>
      </c>
    </row>
    <row r="27" spans="1:18">
      <c r="B27" s="5">
        <f t="shared" si="6"/>
        <v>30</v>
      </c>
      <c r="C27" s="5">
        <f>IF('SCH N'!$D59&lt;=15,ROUND('SCH N'!$D59*CUR_DS_DEM_1,2),ROUND(15*CUR_DS_DEM_1,2))</f>
        <v>0</v>
      </c>
      <c r="D27" s="5">
        <f>IF('SCH N'!$D59&lt;=15,0,ROUND(('SCH N'!$D59-15)*CUR_DS_DEM_3,2))</f>
        <v>373.8</v>
      </c>
      <c r="E27" s="13">
        <v>0</v>
      </c>
      <c r="F27" s="5">
        <f>IF('SCH N'!$E59&lt;=6000,ROUND('SCH N'!$E59*(CUR_DS_KWH_1),2),ROUND(6000*(CUR_DS_KWH_1),2))</f>
        <v>688.73</v>
      </c>
      <c r="G27" s="5">
        <f>IF('SCH N'!$E59&lt;=6000,0,IF(('SCH N'!$D59*300)&lt;=('SCH N'!$E59-6000),ROUND(('SCH N'!$D59*300)*(CUR_DS_KWH_2),2),ROUND(('SCH N'!$E59-6000)*(CUR_DS_KWH_2),2)))</f>
        <v>298.48</v>
      </c>
      <c r="H27" s="5">
        <f>IF('SCH N'!$E59&lt;=(6000+('SCH N'!$D59*300)),0,ROUND(('SCH N'!$E59-(6000+('SCH N'!$D59*300)))*(CUR_DS_KWH_3),2))</f>
        <v>0</v>
      </c>
      <c r="I27" s="5">
        <f t="shared" si="4"/>
        <v>1391.01</v>
      </c>
      <c r="J27" s="5"/>
      <c r="K27" s="5">
        <f t="shared" si="7"/>
        <v>30</v>
      </c>
      <c r="L27" s="5">
        <f>IF('SCH N'!$D59&lt;=15,ROUND('SCH N'!$D59*PRO_DS_DEM_1,2),ROUND(15*PRO_DS_DEM_1,2))</f>
        <v>0</v>
      </c>
      <c r="M27" s="5">
        <f>IF('SCH N'!$D59&lt;=15,0,ROUND(('SCH N'!$D59-15)*PRO_DS_DEM_3,2))</f>
        <v>554.75</v>
      </c>
      <c r="N27" s="13">
        <v>0</v>
      </c>
      <c r="O27" s="5">
        <f>IF('SCH N'!$E59&lt;=6000,ROUND('SCH N'!$E59*(PRO_DS_KWH_1),2),ROUND(6000*(PRO_DS_KWH_1),2))</f>
        <v>746.95</v>
      </c>
      <c r="P27" s="5">
        <f>IF('SCH N'!$E59&lt;=6000,0,IF(('SCH N'!$D59*300)&lt;=('SCH N'!$E59-6000),ROUND(('SCH N'!$D59*300)*(PRO_DS_KWH_2),2),ROUND(('SCH N'!$E59-6000)*(PRO_DS_KWH_2),2)))</f>
        <v>311.98</v>
      </c>
      <c r="Q27" s="5">
        <f>IF('SCH N'!$E59&lt;=(6000+('SCH N'!$D59*300)),0,ROUND(('SCH N'!$E59-(6000+('SCH N'!$D59*300)))*(PRO_DS_KWH_3),2))</f>
        <v>0</v>
      </c>
      <c r="R27" s="5">
        <f t="shared" si="5"/>
        <v>1643.68</v>
      </c>
    </row>
    <row r="28" spans="1:18">
      <c r="B28" s="5">
        <f t="shared" si="6"/>
        <v>30</v>
      </c>
      <c r="C28" s="5">
        <f>IF('SCH N'!$D60&lt;=15,ROUND('SCH N'!$D60*CUR_DS_DEM_1,2),ROUND(15*CUR_DS_DEM_1,2))</f>
        <v>0</v>
      </c>
      <c r="D28" s="5">
        <f>IF('SCH N'!$D60&lt;=15,0,ROUND(('SCH N'!$D60-15)*CUR_DS_DEM_3,2))</f>
        <v>373.8</v>
      </c>
      <c r="E28" s="13">
        <v>0</v>
      </c>
      <c r="F28" s="5">
        <f>IF('SCH N'!$E60&lt;=6000,ROUND('SCH N'!$E60*(CUR_DS_KWH_1),2),ROUND(6000*(CUR_DS_KWH_1),2))</f>
        <v>688.73</v>
      </c>
      <c r="G28" s="5">
        <f>IF('SCH N'!$E60&lt;=6000,0,IF(('SCH N'!$D60*300)&lt;=('SCH N'!$E60-6000),ROUND(('SCH N'!$D60*300)*(CUR_DS_KWH_2),2),ROUND(('SCH N'!$E60-6000)*(CUR_DS_KWH_2),2)))</f>
        <v>671.57</v>
      </c>
      <c r="H28" s="5">
        <f>IF('SCH N'!$E60&lt;=(6000+('SCH N'!$D60*300)),0,ROUND(('SCH N'!$E60-(6000+('SCH N'!$D60*300)))*(CUR_DS_KWH_3),2))</f>
        <v>0</v>
      </c>
      <c r="I28" s="5">
        <f t="shared" si="4"/>
        <v>1764.1</v>
      </c>
      <c r="J28" s="5"/>
      <c r="K28" s="5">
        <f t="shared" si="7"/>
        <v>30</v>
      </c>
      <c r="L28" s="5">
        <f>IF('SCH N'!$D60&lt;=15,ROUND('SCH N'!$D60*PRO_DS_DEM_1,2),ROUND(15*PRO_DS_DEM_1,2))</f>
        <v>0</v>
      </c>
      <c r="M28" s="5">
        <f>IF('SCH N'!$D60&lt;=15,0,ROUND(('SCH N'!$D60-15)*PRO_DS_DEM_3,2))</f>
        <v>554.75</v>
      </c>
      <c r="N28" s="13">
        <v>0</v>
      </c>
      <c r="O28" s="5">
        <f>IF('SCH N'!$E60&lt;=6000,ROUND('SCH N'!$E60*(PRO_DS_KWH_1),2),ROUND(6000*(PRO_DS_KWH_1),2))</f>
        <v>746.95</v>
      </c>
      <c r="P28" s="5">
        <f>IF('SCH N'!$E60&lt;=6000,0,IF(('SCH N'!$D60*300)&lt;=('SCH N'!$E60-6000),ROUND(('SCH N'!$D60*300)*(PRO_DS_KWH_2),2),ROUND(('SCH N'!$E60-6000)*(PRO_DS_KWH_2),2)))</f>
        <v>701.95</v>
      </c>
      <c r="Q28" s="5">
        <f>IF('SCH N'!$E60&lt;=(6000+('SCH N'!$D60*300)),0,ROUND(('SCH N'!$E60-(6000+('SCH N'!$D60*300)))*(PRO_DS_KWH_3),2))</f>
        <v>0</v>
      </c>
      <c r="R28" s="5">
        <f t="shared" si="5"/>
        <v>2033.65</v>
      </c>
    </row>
    <row r="29" spans="1:18">
      <c r="B29" s="5">
        <f t="shared" si="6"/>
        <v>30</v>
      </c>
      <c r="C29" s="5">
        <f>IF('SCH N'!$D61&lt;=15,ROUND('SCH N'!$D61*CUR_DS_DEM_1,2),ROUND(15*CUR_DS_DEM_1,2))</f>
        <v>0</v>
      </c>
      <c r="D29" s="5">
        <f>IF('SCH N'!$D61&lt;=15,0,ROUND(('SCH N'!$D61-15)*CUR_DS_DEM_3,2))</f>
        <v>373.8</v>
      </c>
      <c r="E29" s="13">
        <v>0</v>
      </c>
      <c r="F29" s="5">
        <f>IF('SCH N'!$E61&lt;=6000,ROUND('SCH N'!$E61*(CUR_DS_KWH_1),2),ROUND(6000*(CUR_DS_KWH_1),2))</f>
        <v>688.73</v>
      </c>
      <c r="G29" s="5">
        <f>IF('SCH N'!$E61&lt;=6000,0,IF(('SCH N'!$D61*300)&lt;=('SCH N'!$E61-6000),ROUND(('SCH N'!$D61*300)*(CUR_DS_KWH_2),2),ROUND(('SCH N'!$E61-6000)*(CUR_DS_KWH_2),2)))</f>
        <v>1044.67</v>
      </c>
      <c r="H29" s="5">
        <f>IF('SCH N'!$E61&lt;=(6000+('SCH N'!$D61*300)),0,ROUND(('SCH N'!$E61-(6000+('SCH N'!$D61*300)))*(CUR_DS_KWH_3),2))</f>
        <v>0</v>
      </c>
      <c r="I29" s="5">
        <f t="shared" si="4"/>
        <v>2137.1999999999998</v>
      </c>
      <c r="J29" s="5"/>
      <c r="K29" s="5">
        <f t="shared" si="7"/>
        <v>30</v>
      </c>
      <c r="L29" s="5">
        <f>IF('SCH N'!$D61&lt;=15,ROUND('SCH N'!$D61*PRO_DS_DEM_1,2),ROUND(15*PRO_DS_DEM_1,2))</f>
        <v>0</v>
      </c>
      <c r="M29" s="5">
        <f>IF('SCH N'!$D61&lt;=15,0,ROUND(('SCH N'!$D61-15)*PRO_DS_DEM_3,2))</f>
        <v>554.75</v>
      </c>
      <c r="N29" s="13">
        <v>0</v>
      </c>
      <c r="O29" s="5">
        <f>IF('SCH N'!$E61&lt;=6000,ROUND('SCH N'!$E61*(PRO_DS_KWH_1),2),ROUND(6000*(PRO_DS_KWH_1),2))</f>
        <v>746.95</v>
      </c>
      <c r="P29" s="5">
        <f>IF('SCH N'!$E61&lt;=6000,0,IF(('SCH N'!$D61*300)&lt;=('SCH N'!$E61-6000),ROUND(('SCH N'!$D61*300)*(PRO_DS_KWH_2),2),ROUND(('SCH N'!$E61-6000)*(PRO_DS_KWH_2),2)))</f>
        <v>1091.92</v>
      </c>
      <c r="Q29" s="5">
        <f>IF('SCH N'!$E61&lt;=(6000+('SCH N'!$D61*300)),0,ROUND(('SCH N'!$E61-(6000+('SCH N'!$D61*300)))*(PRO_DS_KWH_3),2))</f>
        <v>0</v>
      </c>
      <c r="R29" s="5">
        <f t="shared" si="5"/>
        <v>2423.62</v>
      </c>
    </row>
    <row r="30" spans="1:18">
      <c r="B30" s="5">
        <f t="shared" si="6"/>
        <v>30</v>
      </c>
      <c r="C30" s="5">
        <f>IF('SCH N'!$D62&lt;=15,ROUND('SCH N'!$D62*CUR_DS_DEM_1,2),ROUND(15*CUR_DS_DEM_1,2))</f>
        <v>0</v>
      </c>
      <c r="D30" s="5">
        <f>IF('SCH N'!$D62&lt;=15,0,ROUND(('SCH N'!$D62-15)*CUR_DS_DEM_3,2))</f>
        <v>640.79999999999995</v>
      </c>
      <c r="E30" s="13">
        <v>0</v>
      </c>
      <c r="F30" s="5">
        <f>IF('SCH N'!$E62&lt;=6000,ROUND('SCH N'!$E62*(CUR_DS_KWH_1),2),ROUND(6000*(CUR_DS_KWH_1),2))</f>
        <v>688.73</v>
      </c>
      <c r="G30" s="5">
        <f>IF('SCH N'!$E62&lt;=6000,0,IF(('SCH N'!$D62*300)&lt;=('SCH N'!$E62-6000),ROUND(('SCH N'!$D62*300)*(CUR_DS_KWH_2),2),ROUND(('SCH N'!$E62-6000)*(CUR_DS_KWH_2),2)))</f>
        <v>671.57</v>
      </c>
      <c r="H30" s="5">
        <f>IF('SCH N'!$E62&lt;=(6000+('SCH N'!$D62*300)),0,ROUND(('SCH N'!$E62-(6000+('SCH N'!$D62*300)))*(CUR_DS_KWH_3),2))</f>
        <v>0</v>
      </c>
      <c r="I30" s="5">
        <f t="shared" si="4"/>
        <v>2031.1</v>
      </c>
      <c r="J30" s="5"/>
      <c r="K30" s="5">
        <f t="shared" si="7"/>
        <v>30</v>
      </c>
      <c r="L30" s="5">
        <f>IF('SCH N'!$D62&lt;=15,ROUND('SCH N'!$D62*PRO_DS_DEM_1,2),ROUND(15*PRO_DS_DEM_1,2))</f>
        <v>0</v>
      </c>
      <c r="M30" s="5">
        <f>IF('SCH N'!$D62&lt;=15,0,ROUND(('SCH N'!$D62-15)*PRO_DS_DEM_3,2))</f>
        <v>951</v>
      </c>
      <c r="N30" s="13">
        <v>0</v>
      </c>
      <c r="O30" s="5">
        <f>IF('SCH N'!$E62&lt;=6000,ROUND('SCH N'!$E62*(PRO_DS_KWH_1),2),ROUND(6000*(PRO_DS_KWH_1),2))</f>
        <v>746.95</v>
      </c>
      <c r="P30" s="5">
        <f>IF('SCH N'!$E62&lt;=6000,0,IF(('SCH N'!$D62*300)&lt;=('SCH N'!$E62-6000),ROUND(('SCH N'!$D62*300)*(PRO_DS_KWH_2),2),ROUND(('SCH N'!$E62-6000)*(PRO_DS_KWH_2),2)))</f>
        <v>701.95</v>
      </c>
      <c r="Q30" s="5">
        <f>IF('SCH N'!$E62&lt;=(6000+('SCH N'!$D62*300)),0,ROUND(('SCH N'!$E62-(6000+('SCH N'!$D62*300)))*(PRO_DS_KWH_3),2))</f>
        <v>0</v>
      </c>
      <c r="R30" s="5">
        <f t="shared" si="5"/>
        <v>2429.9</v>
      </c>
    </row>
    <row r="31" spans="1:18">
      <c r="B31" s="5">
        <f t="shared" si="6"/>
        <v>30</v>
      </c>
      <c r="C31" s="5">
        <f>IF('SCH N'!$D63&lt;=15,ROUND('SCH N'!$D63*CUR_DS_DEM_1,2),ROUND(15*CUR_DS_DEM_1,2))</f>
        <v>0</v>
      </c>
      <c r="D31" s="5">
        <f>IF('SCH N'!$D63&lt;=15,0,ROUND(('SCH N'!$D63-15)*CUR_DS_DEM_3,2))</f>
        <v>640.79999999999995</v>
      </c>
      <c r="E31" s="13">
        <v>0</v>
      </c>
      <c r="F31" s="5">
        <f>IF('SCH N'!$E63&lt;=6000,ROUND('SCH N'!$E63*(CUR_DS_KWH_1),2),ROUND(6000*(CUR_DS_KWH_1),2))</f>
        <v>688.73</v>
      </c>
      <c r="G31" s="5">
        <f>IF('SCH N'!$E63&lt;=6000,0,IF(('SCH N'!$D63*300)&lt;=('SCH N'!$E63-6000),ROUND(('SCH N'!$D63*300)*(CUR_DS_KWH_2),2),ROUND(('SCH N'!$E63-6000)*(CUR_DS_KWH_2),2)))</f>
        <v>1044.67</v>
      </c>
      <c r="H31" s="5">
        <f>IF('SCH N'!$E63&lt;=(6000+('SCH N'!$D63*300)),0,ROUND(('SCH N'!$E63-(6000+('SCH N'!$D63*300)))*(CUR_DS_KWH_3),2))</f>
        <v>0</v>
      </c>
      <c r="I31" s="5">
        <f t="shared" si="4"/>
        <v>2404.1999999999998</v>
      </c>
      <c r="J31" s="5"/>
      <c r="K31" s="5">
        <f t="shared" si="7"/>
        <v>30</v>
      </c>
      <c r="L31" s="5">
        <f>IF('SCH N'!$D63&lt;=15,ROUND('SCH N'!$D63*PRO_DS_DEM_1,2),ROUND(15*PRO_DS_DEM_1,2))</f>
        <v>0</v>
      </c>
      <c r="M31" s="5">
        <f>IF('SCH N'!$D63&lt;=15,0,ROUND(('SCH N'!$D63-15)*PRO_DS_DEM_3,2))</f>
        <v>951</v>
      </c>
      <c r="N31" s="13">
        <v>0</v>
      </c>
      <c r="O31" s="5">
        <f>IF('SCH N'!$E63&lt;=6000,ROUND('SCH N'!$E63*(PRO_DS_KWH_1),2),ROUND(6000*(PRO_DS_KWH_1),2))</f>
        <v>746.95</v>
      </c>
      <c r="P31" s="5">
        <f>IF('SCH N'!$E63&lt;=6000,0,IF(('SCH N'!$D63*300)&lt;=('SCH N'!$E63-6000),ROUND(('SCH N'!$D63*300)*(PRO_DS_KWH_2),2),ROUND(('SCH N'!$E63-6000)*(PRO_DS_KWH_2),2)))</f>
        <v>1091.92</v>
      </c>
      <c r="Q31" s="5">
        <f>IF('SCH N'!$E63&lt;=(6000+('SCH N'!$D63*300)),0,ROUND(('SCH N'!$E63-(6000+('SCH N'!$D63*300)))*(PRO_DS_KWH_3),2))</f>
        <v>0</v>
      </c>
      <c r="R31" s="5">
        <f t="shared" si="5"/>
        <v>2819.87</v>
      </c>
    </row>
    <row r="32" spans="1:18">
      <c r="B32" s="5">
        <f t="shared" si="6"/>
        <v>30</v>
      </c>
      <c r="C32" s="5">
        <f>IF('SCH N'!$D64&lt;=15,ROUND('SCH N'!$D64*CUR_DS_DEM_1,2),ROUND(15*CUR_DS_DEM_1,2))</f>
        <v>0</v>
      </c>
      <c r="D32" s="5">
        <f>IF('SCH N'!$D64&lt;=15,0,ROUND(('SCH N'!$D64-15)*CUR_DS_DEM_3,2))</f>
        <v>640.79999999999995</v>
      </c>
      <c r="E32" s="13">
        <v>0</v>
      </c>
      <c r="F32" s="5">
        <f>IF('SCH N'!$E64&lt;=6000,ROUND('SCH N'!$E64*(CUR_DS_KWH_1),2),ROUND(6000*(CUR_DS_KWH_1),2))</f>
        <v>688.73</v>
      </c>
      <c r="G32" s="5">
        <f>IF('SCH N'!$E64&lt;=6000,0,IF(('SCH N'!$D64*300)&lt;=('SCH N'!$E64-6000),ROUND(('SCH N'!$D64*300)*(CUR_DS_KWH_2),2),ROUND(('SCH N'!$E64-6000)*(CUR_DS_KWH_2),2)))</f>
        <v>1678.93</v>
      </c>
      <c r="H32" s="5">
        <f>IF('SCH N'!$E64&lt;=(6000+('SCH N'!$D64*300)),0,ROUND(('SCH N'!$E64-(6000+('SCH N'!$D64*300)))*(CUR_DS_KWH_3),2))</f>
        <v>94.58</v>
      </c>
      <c r="I32" s="5">
        <f t="shared" si="4"/>
        <v>3133.04</v>
      </c>
      <c r="J32" s="5"/>
      <c r="K32" s="5">
        <f t="shared" si="7"/>
        <v>30</v>
      </c>
      <c r="L32" s="5">
        <f>IF('SCH N'!$D64&lt;=15,ROUND('SCH N'!$D64*PRO_DS_DEM_1,2),ROUND(15*PRO_DS_DEM_1,2))</f>
        <v>0</v>
      </c>
      <c r="M32" s="5">
        <f>IF('SCH N'!$D64&lt;=15,0,ROUND(('SCH N'!$D64-15)*PRO_DS_DEM_3,2))</f>
        <v>951</v>
      </c>
      <c r="N32" s="13">
        <v>0</v>
      </c>
      <c r="O32" s="5">
        <f>IF('SCH N'!$E64&lt;=6000,ROUND('SCH N'!$E64*(PRO_DS_KWH_1),2),ROUND(6000*(PRO_DS_KWH_1),2))</f>
        <v>746.95</v>
      </c>
      <c r="P32" s="5">
        <f>IF('SCH N'!$E64&lt;=6000,0,IF(('SCH N'!$D64*300)&lt;=('SCH N'!$E64-6000),ROUND(('SCH N'!$D64*300)*(PRO_DS_KWH_2),2),ROUND(('SCH N'!$E64-6000)*(PRO_DS_KWH_2),2)))</f>
        <v>1754.87</v>
      </c>
      <c r="Q32" s="5">
        <f>IF('SCH N'!$E64&lt;=(6000+('SCH N'!$D64*300)),0,ROUND(('SCH N'!$E64-(6000+('SCH N'!$D64*300)))*(PRO_DS_KWH_3),2))</f>
        <v>96.91</v>
      </c>
      <c r="R32" s="5">
        <f t="shared" si="5"/>
        <v>3579.7299999999996</v>
      </c>
    </row>
    <row r="33" spans="1:18">
      <c r="B33" s="5">
        <f t="shared" si="6"/>
        <v>30</v>
      </c>
      <c r="C33" s="5">
        <f>IF('SCH N'!$D65&lt;=15,ROUND('SCH N'!$D65*CUR_DS_DEM_1,2),ROUND(15*CUR_DS_DEM_1,2))</f>
        <v>0</v>
      </c>
      <c r="D33" s="5">
        <f>IF('SCH N'!$D65&lt;=15,0,ROUND(('SCH N'!$D65-15)*CUR_DS_DEM_3,2))</f>
        <v>907.8</v>
      </c>
      <c r="E33" s="13">
        <v>0</v>
      </c>
      <c r="F33" s="5">
        <f>IF('SCH N'!$E65&lt;=6000,ROUND('SCH N'!$E65*(CUR_DS_KWH_1),2),ROUND(6000*(CUR_DS_KWH_1),2))</f>
        <v>688.73</v>
      </c>
      <c r="G33" s="5">
        <f>IF('SCH N'!$E65&lt;=6000,0,IF(('SCH N'!$D65*300)&lt;=('SCH N'!$E65-6000),ROUND(('SCH N'!$D65*300)*(CUR_DS_KWH_2),2),ROUND(('SCH N'!$E65-6000)*(CUR_DS_KWH_2),2)))</f>
        <v>1044.67</v>
      </c>
      <c r="H33" s="5">
        <f>IF('SCH N'!$E65&lt;=(6000+('SCH N'!$D65*300)),0,ROUND(('SCH N'!$E65-(6000+('SCH N'!$D65*300)))*(CUR_DS_KWH_3),2))</f>
        <v>0</v>
      </c>
      <c r="I33" s="5">
        <f t="shared" si="4"/>
        <v>2671.2</v>
      </c>
      <c r="J33" s="5"/>
      <c r="K33" s="5">
        <f t="shared" si="7"/>
        <v>30</v>
      </c>
      <c r="L33" s="5">
        <f>IF('SCH N'!$D65&lt;=15,ROUND('SCH N'!$D65*PRO_DS_DEM_1,2),ROUND(15*PRO_DS_DEM_1,2))</f>
        <v>0</v>
      </c>
      <c r="M33" s="5">
        <f>IF('SCH N'!$D65&lt;=15,0,ROUND(('SCH N'!$D65-15)*PRO_DS_DEM_3,2))</f>
        <v>1347.25</v>
      </c>
      <c r="N33" s="13">
        <v>0</v>
      </c>
      <c r="O33" s="5">
        <f>IF('SCH N'!$E65&lt;=6000,ROUND('SCH N'!$E65*(PRO_DS_KWH_1),2),ROUND(6000*(PRO_DS_KWH_1),2))</f>
        <v>746.95</v>
      </c>
      <c r="P33" s="5">
        <f>IF('SCH N'!$E65&lt;=6000,0,IF(('SCH N'!$D65*300)&lt;=('SCH N'!$E65-6000),ROUND(('SCH N'!$D65*300)*(PRO_DS_KWH_2),2),ROUND(('SCH N'!$E65-6000)*(PRO_DS_KWH_2),2)))</f>
        <v>1091.92</v>
      </c>
      <c r="Q33" s="5">
        <f>IF('SCH N'!$E65&lt;=(6000+('SCH N'!$D65*300)),0,ROUND(('SCH N'!$E65-(6000+('SCH N'!$D65*300)))*(PRO_DS_KWH_3),2))</f>
        <v>0</v>
      </c>
      <c r="R33" s="5">
        <f t="shared" si="5"/>
        <v>3216.12</v>
      </c>
    </row>
    <row r="34" spans="1:18">
      <c r="B34" s="5">
        <f t="shared" si="6"/>
        <v>30</v>
      </c>
      <c r="C34" s="5">
        <f>IF('SCH N'!$D66&lt;=15,ROUND('SCH N'!$D66*CUR_DS_DEM_1,2),ROUND(15*CUR_DS_DEM_1,2))</f>
        <v>0</v>
      </c>
      <c r="D34" s="5">
        <f>IF('SCH N'!$D66&lt;=15,0,ROUND(('SCH N'!$D66-15)*CUR_DS_DEM_3,2))</f>
        <v>907.8</v>
      </c>
      <c r="E34" s="13">
        <v>0</v>
      </c>
      <c r="F34" s="5">
        <f>IF('SCH N'!$E66&lt;=6000,ROUND('SCH N'!$E66*(CUR_DS_KWH_1),2),ROUND(6000*(CUR_DS_KWH_1),2))</f>
        <v>688.73</v>
      </c>
      <c r="G34" s="5">
        <f>IF('SCH N'!$E66&lt;=6000,0,IF(('SCH N'!$D66*300)&lt;=('SCH N'!$E66-6000),ROUND(('SCH N'!$D66*300)*(CUR_DS_KWH_2),2),ROUND(('SCH N'!$E66-6000)*(CUR_DS_KWH_2),2)))</f>
        <v>1790.86</v>
      </c>
      <c r="H34" s="5">
        <f>IF('SCH N'!$E66&lt;=(6000+('SCH N'!$D66*300)),0,ROUND(('SCH N'!$E66-(6000+('SCH N'!$D66*300)))*(CUR_DS_KWH_3),2))</f>
        <v>0</v>
      </c>
      <c r="I34" s="5">
        <f t="shared" si="4"/>
        <v>3417.39</v>
      </c>
      <c r="J34" s="5"/>
      <c r="K34" s="5">
        <f t="shared" si="7"/>
        <v>30</v>
      </c>
      <c r="L34" s="5">
        <f>IF('SCH N'!$D66&lt;=15,ROUND('SCH N'!$D66*PRO_DS_DEM_1,2),ROUND(15*PRO_DS_DEM_1,2))</f>
        <v>0</v>
      </c>
      <c r="M34" s="5">
        <f>IF('SCH N'!$D66&lt;=15,0,ROUND(('SCH N'!$D66-15)*PRO_DS_DEM_3,2))</f>
        <v>1347.25</v>
      </c>
      <c r="N34" s="13">
        <v>0</v>
      </c>
      <c r="O34" s="5">
        <f>IF('SCH N'!$E66&lt;=6000,ROUND('SCH N'!$E66*(PRO_DS_KWH_1),2),ROUND(6000*(PRO_DS_KWH_1),2))</f>
        <v>746.95</v>
      </c>
      <c r="P34" s="5">
        <f>IF('SCH N'!$E66&lt;=6000,0,IF(('SCH N'!$D66*300)&lt;=('SCH N'!$E66-6000),ROUND(('SCH N'!$D66*300)*(PRO_DS_KWH_2),2),ROUND(('SCH N'!$E66-6000)*(PRO_DS_KWH_2),2)))</f>
        <v>1871.86</v>
      </c>
      <c r="Q34" s="5">
        <f>IF('SCH N'!$E66&lt;=(6000+('SCH N'!$D66*300)),0,ROUND(('SCH N'!$E66-(6000+('SCH N'!$D66*300)))*(PRO_DS_KWH_3),2))</f>
        <v>0</v>
      </c>
      <c r="R34" s="5">
        <f t="shared" si="5"/>
        <v>3996.0599999999995</v>
      </c>
    </row>
    <row r="35" spans="1:18">
      <c r="B35" s="5">
        <f t="shared" si="6"/>
        <v>30</v>
      </c>
      <c r="C35" s="5">
        <f>IF('SCH N'!$D67&lt;=15,ROUND('SCH N'!$D67*CUR_DS_DEM_1,2),ROUND(15*CUR_DS_DEM_1,2))</f>
        <v>0</v>
      </c>
      <c r="D35" s="5">
        <f>IF('SCH N'!$D67&lt;=15,0,ROUND(('SCH N'!$D67-15)*CUR_DS_DEM_3,2))</f>
        <v>907.8</v>
      </c>
      <c r="E35" s="13">
        <v>0</v>
      </c>
      <c r="F35" s="5">
        <f>IF('SCH N'!$E67&lt;=6000,ROUND('SCH N'!$E67*(CUR_DS_KWH_1),2),ROUND(6000*(CUR_DS_KWH_1),2))</f>
        <v>688.73</v>
      </c>
      <c r="G35" s="5">
        <f>IF('SCH N'!$E67&lt;=6000,0,IF(('SCH N'!$D67*300)&lt;=('SCH N'!$E67-6000),ROUND(('SCH N'!$D67*300)*(CUR_DS_KWH_2),2),ROUND(('SCH N'!$E67-6000)*(CUR_DS_KWH_2),2)))</f>
        <v>2238.5700000000002</v>
      </c>
      <c r="H35" s="5">
        <f>IF('SCH N'!$E67&lt;=(6000+('SCH N'!$D67*300)),0,ROUND(('SCH N'!$E67-(6000+('SCH N'!$D67*300)))*(CUR_DS_KWH_3),2))</f>
        <v>252.22</v>
      </c>
      <c r="I35" s="5">
        <f t="shared" si="4"/>
        <v>4117.3200000000006</v>
      </c>
      <c r="J35" s="5"/>
      <c r="K35" s="5">
        <f t="shared" si="7"/>
        <v>30</v>
      </c>
      <c r="L35" s="5">
        <f>IF('SCH N'!$D67&lt;=15,ROUND('SCH N'!$D67*PRO_DS_DEM_1,2),ROUND(15*PRO_DS_DEM_1,2))</f>
        <v>0</v>
      </c>
      <c r="M35" s="5">
        <f>IF('SCH N'!$D67&lt;=15,0,ROUND(('SCH N'!$D67-15)*PRO_DS_DEM_3,2))</f>
        <v>1347.25</v>
      </c>
      <c r="N35" s="13">
        <v>0</v>
      </c>
      <c r="O35" s="5">
        <f>IF('SCH N'!$E67&lt;=6000,ROUND('SCH N'!$E67*(PRO_DS_KWH_1),2),ROUND(6000*(PRO_DS_KWH_1),2))</f>
        <v>746.95</v>
      </c>
      <c r="P35" s="5">
        <f>IF('SCH N'!$E67&lt;=6000,0,IF(('SCH N'!$D67*300)&lt;=('SCH N'!$E67-6000),ROUND(('SCH N'!$D67*300)*(PRO_DS_KWH_2),2),ROUND(('SCH N'!$E67-6000)*(PRO_DS_KWH_2),2)))</f>
        <v>2339.8200000000002</v>
      </c>
      <c r="Q35" s="5">
        <f>IF('SCH N'!$E67&lt;=(6000+('SCH N'!$D67*300)),0,ROUND(('SCH N'!$E67-(6000+('SCH N'!$D67*300)))*(PRO_DS_KWH_3),2))</f>
        <v>258.43</v>
      </c>
      <c r="R35" s="5">
        <f t="shared" si="5"/>
        <v>4722.4500000000007</v>
      </c>
    </row>
    <row r="36" spans="1:18">
      <c r="B36" s="5">
        <f t="shared" si="6"/>
        <v>30</v>
      </c>
      <c r="C36" s="5">
        <f>IF('SCH N'!$D68&lt;=15,ROUND('SCH N'!$D68*CUR_DS_DEM_1,2),ROUND(15*CUR_DS_DEM_1,2))</f>
        <v>0</v>
      </c>
      <c r="D36" s="5">
        <f>IF('SCH N'!$D68&lt;=15,0,ROUND(('SCH N'!$D68-15)*CUR_DS_DEM_3,2))</f>
        <v>3043.8</v>
      </c>
      <c r="E36" s="13">
        <v>0</v>
      </c>
      <c r="F36" s="5">
        <f>IF('SCH N'!$E68&lt;=6000,ROUND('SCH N'!$E68*(CUR_DS_KWH_1),2),ROUND(6000*(CUR_DS_KWH_1),2))</f>
        <v>688.73</v>
      </c>
      <c r="G36" s="5">
        <f>IF('SCH N'!$E68&lt;=6000,0,IF(('SCH N'!$D68*300)&lt;=('SCH N'!$E68-6000),ROUND(('SCH N'!$D68*300)*(CUR_DS_KWH_2),2),ROUND(('SCH N'!$E68-6000)*(CUR_DS_KWH_2),2)))</f>
        <v>4029.43</v>
      </c>
      <c r="H36" s="5">
        <f>IF('SCH N'!$E68&lt;=(6000+('SCH N'!$D68*300)),0,ROUND(('SCH N'!$E68-(6000+('SCH N'!$D68*300)))*(CUR_DS_KWH_3),2))</f>
        <v>0</v>
      </c>
      <c r="I36" s="5">
        <f t="shared" si="4"/>
        <v>7791.96</v>
      </c>
      <c r="J36" s="5"/>
      <c r="K36" s="5">
        <f t="shared" si="7"/>
        <v>30</v>
      </c>
      <c r="L36" s="5">
        <f>IF('SCH N'!$D68&lt;=15,ROUND('SCH N'!$D68*PRO_DS_DEM_1,2),ROUND(15*PRO_DS_DEM_1,2))</f>
        <v>0</v>
      </c>
      <c r="M36" s="5">
        <f>IF('SCH N'!$D68&lt;=15,0,ROUND(('SCH N'!$D68-15)*PRO_DS_DEM_3,2))</f>
        <v>4517.25</v>
      </c>
      <c r="N36" s="13">
        <v>0</v>
      </c>
      <c r="O36" s="5">
        <f>IF('SCH N'!$E68&lt;=6000,ROUND('SCH N'!$E68*(PRO_DS_KWH_1),2),ROUND(6000*(PRO_DS_KWH_1),2))</f>
        <v>746.95</v>
      </c>
      <c r="P36" s="5">
        <f>IF('SCH N'!$E68&lt;=6000,0,IF(('SCH N'!$D68*300)&lt;=('SCH N'!$E68-6000),ROUND(('SCH N'!$D68*300)*(PRO_DS_KWH_2),2),ROUND(('SCH N'!$E68-6000)*(PRO_DS_KWH_2),2)))</f>
        <v>4211.68</v>
      </c>
      <c r="Q36" s="5">
        <f>IF('SCH N'!$E68&lt;=(6000+('SCH N'!$D68*300)),0,ROUND(('SCH N'!$E68-(6000+('SCH N'!$D68*300)))*(PRO_DS_KWH_3),2))</f>
        <v>0</v>
      </c>
      <c r="R36" s="5">
        <f t="shared" si="5"/>
        <v>9505.880000000001</v>
      </c>
    </row>
    <row r="37" spans="1:18">
      <c r="B37" s="5">
        <f t="shared" si="6"/>
        <v>30</v>
      </c>
      <c r="C37" s="5">
        <f>IF('SCH N'!$D69&lt;=15,ROUND('SCH N'!$D69*CUR_DS_DEM_1,2),ROUND(15*CUR_DS_DEM_1,2))</f>
        <v>0</v>
      </c>
      <c r="D37" s="5">
        <f>IF('SCH N'!$D69&lt;=15,0,ROUND(('SCH N'!$D69-15)*CUR_DS_DEM_3,2))</f>
        <v>3043.8</v>
      </c>
      <c r="E37" s="13">
        <v>0</v>
      </c>
      <c r="F37" s="5">
        <f>IF('SCH N'!$E69&lt;=6000,ROUND('SCH N'!$E69*(CUR_DS_KWH_1),2),ROUND(6000*(CUR_DS_KWH_1),2))</f>
        <v>688.73</v>
      </c>
      <c r="G37" s="5">
        <f>IF('SCH N'!$E69&lt;=6000,0,IF(('SCH N'!$D69*300)&lt;=('SCH N'!$E69-6000),ROUND(('SCH N'!$D69*300)*(CUR_DS_KWH_2),2),ROUND(('SCH N'!$E69-6000)*(CUR_DS_KWH_2),2)))</f>
        <v>6268</v>
      </c>
      <c r="H37" s="5">
        <f>IF('SCH N'!$E69&lt;=(6000+('SCH N'!$D69*300)),0,ROUND(('SCH N'!$E69-(6000+('SCH N'!$D69*300)))*(CUR_DS_KWH_3),2))</f>
        <v>0</v>
      </c>
      <c r="I37" s="5">
        <f t="shared" si="4"/>
        <v>10030.530000000001</v>
      </c>
      <c r="J37" s="5"/>
      <c r="K37" s="5">
        <f t="shared" si="7"/>
        <v>30</v>
      </c>
      <c r="L37" s="5">
        <f>IF('SCH N'!$D69&lt;=15,ROUND('SCH N'!$D69*PRO_DS_DEM_1,2),ROUND(15*PRO_DS_DEM_1,2))</f>
        <v>0</v>
      </c>
      <c r="M37" s="5">
        <f>IF('SCH N'!$D69&lt;=15,0,ROUND(('SCH N'!$D69-15)*PRO_DS_DEM_3,2))</f>
        <v>4517.25</v>
      </c>
      <c r="N37" s="13">
        <v>0</v>
      </c>
      <c r="O37" s="5">
        <f>IF('SCH N'!$E69&lt;=6000,ROUND('SCH N'!$E69*(PRO_DS_KWH_1),2),ROUND(6000*(PRO_DS_KWH_1),2))</f>
        <v>746.95</v>
      </c>
      <c r="P37" s="5">
        <f>IF('SCH N'!$E69&lt;=6000,0,IF(('SCH N'!$D69*300)&lt;=('SCH N'!$E69-6000),ROUND(('SCH N'!$D69*300)*(PRO_DS_KWH_2),2),ROUND(('SCH N'!$E69-6000)*(PRO_DS_KWH_2),2)))</f>
        <v>6551.5</v>
      </c>
      <c r="Q37" s="5">
        <f>IF('SCH N'!$E69&lt;=(6000+('SCH N'!$D69*300)),0,ROUND(('SCH N'!$E69-(6000+('SCH N'!$D69*300)))*(PRO_DS_KWH_3),2))</f>
        <v>0</v>
      </c>
      <c r="R37" s="5">
        <f t="shared" si="5"/>
        <v>11845.7</v>
      </c>
    </row>
    <row r="38" spans="1:18">
      <c r="B38" s="5">
        <f t="shared" si="6"/>
        <v>30</v>
      </c>
      <c r="C38" s="5">
        <f>IF('SCH N'!$D70&lt;=15,ROUND('SCH N'!$D70*CUR_DS_DEM_1,2),ROUND(15*CUR_DS_DEM_1,2))</f>
        <v>0</v>
      </c>
      <c r="D38" s="5">
        <f>IF('SCH N'!$D70&lt;=15,0,ROUND(('SCH N'!$D70-15)*CUR_DS_DEM_3,2))</f>
        <v>3043.8</v>
      </c>
      <c r="E38" s="13">
        <v>0</v>
      </c>
      <c r="F38" s="5">
        <f>IF('SCH N'!$E70&lt;=6000,ROUND('SCH N'!$E70*(CUR_DS_KWH_1),2),ROUND(6000*(CUR_DS_KWH_1),2))</f>
        <v>688.73</v>
      </c>
      <c r="G38" s="5">
        <f>IF('SCH N'!$E70&lt;=6000,0,IF(('SCH N'!$D70*300)&lt;=('SCH N'!$E70-6000),ROUND(('SCH N'!$D70*300)*(CUR_DS_KWH_2),2),ROUND(('SCH N'!$E70-6000)*(CUR_DS_KWH_2),2)))</f>
        <v>6715.71</v>
      </c>
      <c r="H38" s="5">
        <f>IF('SCH N'!$E70&lt;=(6000+('SCH N'!$D70*300)),0,ROUND(('SCH N'!$E70-(6000+('SCH N'!$D70*300)))*(CUR_DS_KWH_3),2))</f>
        <v>1513.34</v>
      </c>
      <c r="I38" s="5">
        <f t="shared" si="4"/>
        <v>11991.58</v>
      </c>
      <c r="J38" s="5"/>
      <c r="K38" s="5">
        <f t="shared" si="7"/>
        <v>30</v>
      </c>
      <c r="L38" s="5">
        <f>IF('SCH N'!$D70&lt;=15,ROUND('SCH N'!$D70*PRO_DS_DEM_1,2),ROUND(15*PRO_DS_DEM_1,2))</f>
        <v>0</v>
      </c>
      <c r="M38" s="5">
        <f>IF('SCH N'!$D70&lt;=15,0,ROUND(('SCH N'!$D70-15)*PRO_DS_DEM_3,2))</f>
        <v>4517.25</v>
      </c>
      <c r="N38" s="13">
        <v>0</v>
      </c>
      <c r="O38" s="5">
        <f>IF('SCH N'!$E70&lt;=6000,ROUND('SCH N'!$E70*(PRO_DS_KWH_1),2),ROUND(6000*(PRO_DS_KWH_1),2))</f>
        <v>746.95</v>
      </c>
      <c r="P38" s="5">
        <f>IF('SCH N'!$E70&lt;=6000,0,IF(('SCH N'!$D70*300)&lt;=('SCH N'!$E70-6000),ROUND(('SCH N'!$D70*300)*(PRO_DS_KWH_2),2),ROUND(('SCH N'!$E70-6000)*(PRO_DS_KWH_2),2)))</f>
        <v>7019.47</v>
      </c>
      <c r="Q38" s="5">
        <f>IF('SCH N'!$E70&lt;=(6000+('SCH N'!$D70*300)),0,ROUND(('SCH N'!$E70-(6000+('SCH N'!$D70*300)))*(PRO_DS_KWH_3),2))</f>
        <v>1550.57</v>
      </c>
      <c r="R38" s="5">
        <f t="shared" si="5"/>
        <v>13864.24</v>
      </c>
    </row>
    <row r="39" spans="1:18">
      <c r="B39" s="5">
        <f t="shared" si="6"/>
        <v>30</v>
      </c>
      <c r="C39" s="5">
        <f>IF('SCH N'!$D71&lt;=15,ROUND('SCH N'!$D71*CUR_DS_DEM_1,2),ROUND(15*CUR_DS_DEM_1,2))</f>
        <v>0</v>
      </c>
      <c r="D39" s="5">
        <f>IF('SCH N'!$D71&lt;=15,0,ROUND(('SCH N'!$D71-15)*CUR_DS_DEM_3,2))</f>
        <v>5179.8</v>
      </c>
      <c r="E39" s="13">
        <v>0</v>
      </c>
      <c r="F39" s="5">
        <f>IF('SCH N'!$E71&lt;=6000,ROUND('SCH N'!$E71*(CUR_DS_KWH_1),2),ROUND(6000*(CUR_DS_KWH_1),2))</f>
        <v>688.73</v>
      </c>
      <c r="G39" s="5">
        <f>IF('SCH N'!$E71&lt;=6000,0,IF(('SCH N'!$D71*300)&lt;=('SCH N'!$E71-6000),ROUND(('SCH N'!$D71*300)*(CUR_DS_KWH_2),2),ROUND(('SCH N'!$E71-6000)*(CUR_DS_KWH_2),2)))</f>
        <v>7014.19</v>
      </c>
      <c r="H39" s="5">
        <f>IF('SCH N'!$E71&lt;=(6000+('SCH N'!$D71*300)),0,ROUND(('SCH N'!$E71-(6000+('SCH N'!$D71*300)))*(CUR_DS_KWH_3),2))</f>
        <v>0</v>
      </c>
      <c r="I39" s="5">
        <f t="shared" si="4"/>
        <v>12912.720000000001</v>
      </c>
      <c r="J39" s="5"/>
      <c r="K39" s="5">
        <f t="shared" si="7"/>
        <v>30</v>
      </c>
      <c r="L39" s="5">
        <f>IF('SCH N'!$D71&lt;=15,ROUND('SCH N'!$D71*PRO_DS_DEM_1,2),ROUND(15*PRO_DS_DEM_1,2))</f>
        <v>0</v>
      </c>
      <c r="M39" s="5">
        <f>IF('SCH N'!$D71&lt;=15,0,ROUND(('SCH N'!$D71-15)*PRO_DS_DEM_3,2))</f>
        <v>7687.25</v>
      </c>
      <c r="N39" s="13">
        <v>0</v>
      </c>
      <c r="O39" s="5">
        <f>IF('SCH N'!$E71&lt;=6000,ROUND('SCH N'!$E71*(PRO_DS_KWH_1),2),ROUND(6000*(PRO_DS_KWH_1),2))</f>
        <v>746.95</v>
      </c>
      <c r="P39" s="5">
        <f>IF('SCH N'!$E71&lt;=6000,0,IF(('SCH N'!$D71*300)&lt;=('SCH N'!$E71-6000),ROUND(('SCH N'!$D71*300)*(PRO_DS_KWH_2),2),ROUND(('SCH N'!$E71-6000)*(PRO_DS_KWH_2),2)))</f>
        <v>7331.45</v>
      </c>
      <c r="Q39" s="5">
        <f>IF('SCH N'!$E71&lt;=(6000+('SCH N'!$D71*300)),0,ROUND(('SCH N'!$E71-(6000+('SCH N'!$D71*300)))*(PRO_DS_KWH_3),2))</f>
        <v>0</v>
      </c>
      <c r="R39" s="5">
        <f t="shared" si="5"/>
        <v>15795.650000000001</v>
      </c>
    </row>
    <row r="40" spans="1:18">
      <c r="B40" s="5">
        <f t="shared" si="6"/>
        <v>30</v>
      </c>
      <c r="C40" s="5">
        <f>IF('SCH N'!$D72&lt;=15,ROUND('SCH N'!$D72*CUR_DS_DEM_1,2),ROUND(15*CUR_DS_DEM_1,2))</f>
        <v>0</v>
      </c>
      <c r="D40" s="5">
        <f>IF('SCH N'!$D72&lt;=15,0,ROUND(('SCH N'!$D72-15)*CUR_DS_DEM_3,2))</f>
        <v>5179.8</v>
      </c>
      <c r="E40" s="13">
        <v>0</v>
      </c>
      <c r="F40" s="5">
        <f>IF('SCH N'!$E72&lt;=6000,ROUND('SCH N'!$E72*(CUR_DS_KWH_1),2),ROUND(6000*(CUR_DS_KWH_1),2))</f>
        <v>688.73</v>
      </c>
      <c r="G40" s="5">
        <f>IF('SCH N'!$E72&lt;=6000,0,IF(('SCH N'!$D72*300)&lt;=('SCH N'!$E72-6000),ROUND(('SCH N'!$D72*300)*(CUR_DS_KWH_2),2),ROUND(('SCH N'!$E72-6000)*(CUR_DS_KWH_2),2)))</f>
        <v>11192.85</v>
      </c>
      <c r="H40" s="5">
        <f>IF('SCH N'!$E72&lt;=(6000+('SCH N'!$D72*300)),0,ROUND(('SCH N'!$E72-(6000+('SCH N'!$D72*300)))*(CUR_DS_KWH_3),2))</f>
        <v>2774.46</v>
      </c>
      <c r="I40" s="5">
        <f t="shared" si="4"/>
        <v>19865.84</v>
      </c>
      <c r="J40" s="5"/>
      <c r="K40" s="5">
        <f t="shared" si="7"/>
        <v>30</v>
      </c>
      <c r="L40" s="5">
        <f>IF('SCH N'!$D72&lt;=15,ROUND('SCH N'!$D72*PRO_DS_DEM_1,2),ROUND(15*PRO_DS_DEM_1,2))</f>
        <v>0</v>
      </c>
      <c r="M40" s="5">
        <f>IF('SCH N'!$D72&lt;=15,0,ROUND(('SCH N'!$D72-15)*PRO_DS_DEM_3,2))</f>
        <v>7687.25</v>
      </c>
      <c r="N40" s="13">
        <v>0</v>
      </c>
      <c r="O40" s="5">
        <f>IF('SCH N'!$E72&lt;=6000,ROUND('SCH N'!$E72*(PRO_DS_KWH_1),2),ROUND(6000*(PRO_DS_KWH_1),2))</f>
        <v>746.95</v>
      </c>
      <c r="P40" s="5">
        <f>IF('SCH N'!$E72&lt;=6000,0,IF(('SCH N'!$D72*300)&lt;=('SCH N'!$E72-6000),ROUND(('SCH N'!$D72*300)*(PRO_DS_KWH_2),2),ROUND(('SCH N'!$E72-6000)*(PRO_DS_KWH_2),2)))</f>
        <v>11699.11</v>
      </c>
      <c r="Q40" s="5">
        <f>IF('SCH N'!$E72&lt;=(6000+('SCH N'!$D72*300)),0,ROUND(('SCH N'!$E72-(6000+('SCH N'!$D72*300)))*(PRO_DS_KWH_3),2))</f>
        <v>2842.71</v>
      </c>
      <c r="R40" s="5">
        <f t="shared" si="5"/>
        <v>23006.02</v>
      </c>
    </row>
    <row r="41" spans="1:18">
      <c r="B41" s="5">
        <f t="shared" si="6"/>
        <v>30</v>
      </c>
      <c r="C41" s="5">
        <f>IF('SCH N'!$D73&lt;=15,ROUND('SCH N'!$D73*CUR_DS_DEM_1,2),ROUND(15*CUR_DS_DEM_1,2))</f>
        <v>0</v>
      </c>
      <c r="D41" s="5">
        <f>IF('SCH N'!$D73&lt;=15,0,ROUND(('SCH N'!$D73-15)*CUR_DS_DEM_3,2))</f>
        <v>5179.8</v>
      </c>
      <c r="E41" s="13">
        <v>0</v>
      </c>
      <c r="F41" s="5">
        <f>IF('SCH N'!$E73&lt;=6000,ROUND('SCH N'!$E73*(CUR_DS_KWH_1),2),ROUND(6000*(CUR_DS_KWH_1),2))</f>
        <v>688.73</v>
      </c>
      <c r="G41" s="5">
        <f>IF('SCH N'!$E73&lt;=6000,0,IF(('SCH N'!$D73*300)&lt;=('SCH N'!$E73-6000),ROUND(('SCH N'!$D73*300)*(CUR_DS_KWH_2),2),ROUND(('SCH N'!$E73-6000)*(CUR_DS_KWH_2),2)))</f>
        <v>11192.85</v>
      </c>
      <c r="H41" s="5">
        <f>IF('SCH N'!$E73&lt;=(6000+('SCH N'!$D73*300)),0,ROUND(('SCH N'!$E73-(6000+('SCH N'!$D73*300)))*(CUR_DS_KWH_3),2))</f>
        <v>9080.06</v>
      </c>
      <c r="I41" s="5">
        <f t="shared" si="4"/>
        <v>26171.440000000002</v>
      </c>
      <c r="J41" s="5"/>
      <c r="K41" s="5">
        <f t="shared" si="7"/>
        <v>30</v>
      </c>
      <c r="L41" s="5">
        <f>IF('SCH N'!$D73&lt;=15,ROUND('SCH N'!$D73*PRO_DS_DEM_1,2),ROUND(15*PRO_DS_DEM_1,2))</f>
        <v>0</v>
      </c>
      <c r="M41" s="5">
        <f>IF('SCH N'!$D73&lt;=15,0,ROUND(('SCH N'!$D73-15)*PRO_DS_DEM_3,2))</f>
        <v>7687.25</v>
      </c>
      <c r="N41" s="13">
        <v>0</v>
      </c>
      <c r="O41" s="5">
        <f>IF('SCH N'!$E73&lt;=6000,ROUND('SCH N'!$E73*(PRO_DS_KWH_1),2),ROUND(6000*(PRO_DS_KWH_1),2))</f>
        <v>746.95</v>
      </c>
      <c r="P41" s="5">
        <f>IF('SCH N'!$E73&lt;=6000,0,IF(('SCH N'!$D73*300)&lt;=('SCH N'!$E73-6000),ROUND(('SCH N'!$D73*300)*(PRO_DS_KWH_2),2),ROUND(('SCH N'!$E73-6000)*(PRO_DS_KWH_2),2)))</f>
        <v>11699.11</v>
      </c>
      <c r="Q41" s="5">
        <f>IF('SCH N'!$E73&lt;=(6000+('SCH N'!$D73*300)),0,ROUND(('SCH N'!$E73-(6000+('SCH N'!$D73*300)))*(PRO_DS_KWH_3),2))</f>
        <v>9303.42</v>
      </c>
      <c r="R41" s="5">
        <f t="shared" si="5"/>
        <v>29466.730000000003</v>
      </c>
    </row>
    <row r="42" spans="1:18" s="15" customFormat="1">
      <c r="B42" s="16"/>
      <c r="C42" s="16"/>
      <c r="D42" s="16"/>
      <c r="E42" s="17"/>
      <c r="F42" s="16"/>
      <c r="G42" s="16"/>
      <c r="H42" s="16"/>
      <c r="I42" s="16"/>
      <c r="J42" s="16"/>
      <c r="K42" s="16"/>
      <c r="L42" s="16"/>
      <c r="M42" s="16"/>
      <c r="N42" s="17"/>
      <c r="O42" s="16"/>
      <c r="P42" s="16"/>
      <c r="Q42" s="16"/>
      <c r="R42" s="16"/>
    </row>
    <row r="43" spans="1:18" ht="15.75">
      <c r="B43" s="12" t="s">
        <v>178</v>
      </c>
      <c r="C43" s="10"/>
      <c r="D43" s="10"/>
      <c r="E43" s="10"/>
      <c r="F43" s="10"/>
      <c r="G43" s="10"/>
      <c r="H43" s="10"/>
      <c r="I43" s="10"/>
      <c r="J43" s="5"/>
      <c r="K43" s="12" t="s">
        <v>179</v>
      </c>
      <c r="L43" s="10"/>
      <c r="M43" s="10"/>
      <c r="N43" s="10"/>
      <c r="O43" s="10"/>
      <c r="P43" s="10"/>
      <c r="Q43" s="10"/>
      <c r="R43" s="10"/>
    </row>
    <row r="44" spans="1:18">
      <c r="B44" s="11" t="s">
        <v>121</v>
      </c>
      <c r="C44" s="5"/>
      <c r="D44" s="5"/>
      <c r="E44" s="5"/>
      <c r="F44" s="11" t="s">
        <v>122</v>
      </c>
      <c r="G44" s="14"/>
      <c r="H44" s="5"/>
      <c r="I44" s="11" t="s">
        <v>11</v>
      </c>
      <c r="J44" s="5"/>
      <c r="K44" s="11" t="s">
        <v>121</v>
      </c>
      <c r="L44" s="5"/>
      <c r="M44" s="5"/>
      <c r="N44" s="5"/>
      <c r="O44" s="11" t="s">
        <v>122</v>
      </c>
      <c r="P44" s="14"/>
      <c r="Q44" s="5"/>
      <c r="R44" s="11" t="s">
        <v>11</v>
      </c>
    </row>
    <row r="45" spans="1:18">
      <c r="A45" s="1" t="s">
        <v>94</v>
      </c>
      <c r="B45" s="5">
        <f>CUR_EH_CST_2</f>
        <v>30</v>
      </c>
      <c r="C45" s="5"/>
      <c r="D45" s="5"/>
      <c r="E45" s="5"/>
      <c r="F45" s="5">
        <f>ROUND('SCH N'!E76*(CUR_EH_KWH_1),2)</f>
        <v>851.98</v>
      </c>
      <c r="G45" s="14"/>
      <c r="H45" s="5"/>
      <c r="I45" s="5">
        <f>SUM(B45:H45)</f>
        <v>881.98</v>
      </c>
      <c r="J45" s="5"/>
      <c r="K45" s="5">
        <f>PRO_EH_CST_2</f>
        <v>30</v>
      </c>
      <c r="L45" s="5"/>
      <c r="M45" s="5"/>
      <c r="N45" s="5"/>
      <c r="O45" s="5">
        <f>ROUND('SCH N'!E76*(PRO_EH_KWH_1),2)</f>
        <v>985.44</v>
      </c>
      <c r="P45" s="14"/>
      <c r="Q45" s="5"/>
      <c r="R45" s="5">
        <f>SUM(K45:Q45)</f>
        <v>1015.44</v>
      </c>
    </row>
    <row r="46" spans="1:18">
      <c r="B46" s="5">
        <f>CUR_EH_CST_2</f>
        <v>30</v>
      </c>
      <c r="C46" s="5"/>
      <c r="D46" s="5"/>
      <c r="E46" s="5"/>
      <c r="F46" s="5">
        <f>ROUND('SCH N'!E77*(CUR_EH_KWH_1),2)</f>
        <v>2139.0100000000002</v>
      </c>
      <c r="G46" s="14"/>
      <c r="H46" s="5"/>
      <c r="I46" s="5">
        <f>SUM(B46:H46)</f>
        <v>2169.0100000000002</v>
      </c>
      <c r="J46" s="5"/>
      <c r="K46" s="5">
        <f>PRO_EH_CST_2</f>
        <v>30</v>
      </c>
      <c r="L46" s="5"/>
      <c r="M46" s="5"/>
      <c r="N46" s="5"/>
      <c r="O46" s="5">
        <f>ROUND('SCH N'!E77*(PRO_EH_KWH_1),2)</f>
        <v>2474.08</v>
      </c>
      <c r="P46" s="14"/>
      <c r="Q46" s="5"/>
      <c r="R46" s="5">
        <f>SUM(K46:Q46)</f>
        <v>2504.08</v>
      </c>
    </row>
    <row r="47" spans="1:18">
      <c r="B47" s="5">
        <f>CUR_EH_CST_2</f>
        <v>30</v>
      </c>
      <c r="C47" s="5"/>
      <c r="D47" s="5"/>
      <c r="E47" s="5"/>
      <c r="F47" s="5">
        <f>ROUND('SCH N'!E78*(CUR_EH_KWH_1),2)</f>
        <v>3426.04</v>
      </c>
      <c r="G47" s="14"/>
      <c r="H47" s="5"/>
      <c r="I47" s="5">
        <f>SUM(B47:H47)</f>
        <v>3456.04</v>
      </c>
      <c r="J47" s="5"/>
      <c r="K47" s="5">
        <f>PRO_EH_CST_2</f>
        <v>30</v>
      </c>
      <c r="L47" s="5"/>
      <c r="M47" s="5"/>
      <c r="N47" s="5"/>
      <c r="O47" s="5">
        <f>ROUND('SCH N'!E78*(PRO_EH_KWH_1),2)</f>
        <v>3962.73</v>
      </c>
      <c r="P47" s="14"/>
      <c r="Q47" s="5"/>
      <c r="R47" s="5">
        <f>SUM(K47:Q47)</f>
        <v>3992.73</v>
      </c>
    </row>
    <row r="48" spans="1:18" s="15" customFormat="1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2:14" ht="15.75">
      <c r="B49" s="12"/>
      <c r="C49" s="10"/>
      <c r="D49" s="10"/>
      <c r="E49" s="10"/>
      <c r="F49" s="10"/>
      <c r="H49" s="12"/>
      <c r="I49" s="10"/>
      <c r="J49" s="10"/>
      <c r="K49" s="10"/>
      <c r="L49" s="10"/>
    </row>
    <row r="50" spans="2:14">
      <c r="C50" s="2"/>
      <c r="D50" s="2"/>
      <c r="I50" s="2"/>
      <c r="J50" s="2"/>
    </row>
    <row r="51" spans="2:14">
      <c r="B51" s="2"/>
      <c r="C51" s="2"/>
      <c r="D51" s="2"/>
      <c r="E51" s="2"/>
      <c r="F51" s="2"/>
      <c r="H51" s="2"/>
      <c r="I51" s="2"/>
      <c r="J51" s="2"/>
      <c r="K51" s="2"/>
      <c r="L51" s="2"/>
    </row>
    <row r="52" spans="2:14">
      <c r="B52" s="9"/>
      <c r="C52" s="9"/>
      <c r="D52" s="9"/>
      <c r="E52" s="9"/>
      <c r="F52" s="9"/>
      <c r="H52" s="9"/>
      <c r="I52" s="9"/>
      <c r="J52" s="9"/>
      <c r="K52" s="9"/>
      <c r="L52" s="9"/>
    </row>
    <row r="53" spans="2:14">
      <c r="B53" s="131"/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2:14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2:14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2:14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2:14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2:14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2:14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2:14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2:14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2:14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2:14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2:14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2:14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2:14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2:14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2:14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2:14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</row>
    <row r="70" spans="2:14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</row>
    <row r="71" spans="2:14"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</row>
    <row r="72" spans="2:14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</row>
    <row r="73" spans="2:14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2:14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2:14"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2:14"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2:14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2:14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2:14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2:14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2:12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2:12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2:12"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2:12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2:12"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2:12"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2:12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2:12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2:12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2:12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</row>
  </sheetData>
  <customSheetViews>
    <customSheetView guid="{F562D92E-120C-4AE9-9663-89E64D41DC53}" scale="75">
      <pane xSplit="12.426470588235293" topLeftCell="M1"/>
      <selection activeCell="H7" sqref="H7"/>
      <pageMargins left="0.75" right="0.75" top="1" bottom="1" header="0.5" footer="0.5"/>
      <pageSetup orientation="portrait" r:id="rId1"/>
      <headerFooter alignWithMargins="0"/>
    </customSheetView>
    <customSheetView guid="{35F19056-2E6F-4935-B863-78836FE990BF}" scale="75" showRuler="0">
      <pane xSplit="12.426470588235293" topLeftCell="M1"/>
      <pageMargins left="0.75" right="0.75" top="1" bottom="1" header="0.5" footer="0.5"/>
      <pageSetup orientation="portrait" r:id="rId2"/>
      <headerFooter alignWithMargins="0"/>
    </customSheetView>
    <customSheetView guid="{18BDED73-BFA0-442E-87EC-CED86EE4CF94}" scale="75" showRuler="0">
      <pane xSplit="12.426470588235293" topLeftCell="M1"/>
      <pageMargins left="0.75" right="0.75" top="1" bottom="1" header="0.5" footer="0.5"/>
      <pageSetup orientation="portrait" r:id="rId3"/>
      <headerFooter alignWithMargins="0"/>
    </customSheetView>
    <customSheetView guid="{0BC1F393-8A13-47D5-BC6C-0C99615B5AB9}" scale="75" showRuler="0">
      <pane xSplit="12.426470588235293" topLeftCell="M1"/>
      <pageMargins left="0.75" right="0.75" top="1" bottom="1" header="0.5" footer="0.5"/>
      <pageSetup orientation="portrait" r:id="rId4"/>
      <headerFooter alignWithMargins="0"/>
    </customSheetView>
    <customSheetView guid="{6B3D5C27-2FDE-4561-9575-1E98BFB869D0}" scale="75" showRuler="0">
      <pane xSplit="12.426470588235293" topLeftCell="M1"/>
      <selection activeCell="H1" sqref="H1"/>
      <pageMargins left="0.75" right="0.75" top="1" bottom="1" header="0.5" footer="0.5"/>
      <pageSetup orientation="portrait" r:id="rId5"/>
      <headerFooter alignWithMargins="0"/>
    </customSheetView>
    <customSheetView guid="{8FB94551-8874-4095-B8FB-5316E0D2FD2C}" scale="75" showRuler="0">
      <pane xSplit="12.426470588235293" topLeftCell="M1"/>
      <pageMargins left="0.75" right="0.75" top="1" bottom="1" header="0.5" footer="0.5"/>
      <pageSetup orientation="portrait" r:id="rId6"/>
      <headerFooter alignWithMargins="0"/>
    </customSheetView>
    <customSheetView guid="{8FC77C99-DBF7-40B8-99B8-01B75826CDCB}" scale="75" showRuler="0">
      <pane xSplit="12.426470588235293" topLeftCell="M1"/>
      <selection activeCell="I13" sqref="I13"/>
      <pageMargins left="0.75" right="0.75" top="1" bottom="1" header="0.5" footer="0.5"/>
      <pageSetup orientation="portrait" r:id="rId7"/>
      <headerFooter alignWithMargins="0"/>
    </customSheetView>
    <customSheetView guid="{2EA35095-1ADC-4CC7-8C3C-B487D65FA247}" scale="75" showRuler="0">
      <pane xSplit="11.712962962962964" topLeftCell="M1"/>
      <selection activeCell="I13" sqref="I13"/>
      <pageMargins left="0.75" right="0.75" top="1" bottom="1" header="0.5" footer="0.5"/>
      <pageSetup orientation="portrait" r:id="rId8"/>
      <headerFooter alignWithMargins="0"/>
    </customSheetView>
    <customSheetView guid="{2431C9E5-7CC2-4B8D-99C3-962247B1DBF5}" scale="75" showRuler="0">
      <pane xSplit="9.8591549295774641" topLeftCell="M1"/>
      <pageMargins left="0.75" right="0.75" top="1" bottom="1" header="0.5" footer="0.5"/>
      <pageSetup orientation="portrait" r:id="rId9"/>
      <headerFooter alignWithMargins="0"/>
    </customSheetView>
    <customSheetView guid="{4BC93440-BA85-4935-A8C9-66DC6AE5DE5E}" scale="75" showRuler="0">
      <pane xSplit="9.8591549295774641" topLeftCell="M1"/>
      <pageMargins left="0.75" right="0.75" top="1" bottom="1" header="0.5" footer="0.5"/>
      <pageSetup orientation="portrait" r:id="rId10"/>
      <headerFooter alignWithMargins="0"/>
    </customSheetView>
    <customSheetView guid="{0C49E549-011E-46F4-A82E-2CC8951A9C1E}" scale="75" showRuler="0">
      <pane xSplit="6.8555555555555552" topLeftCell="M1"/>
      <selection activeCell="I13" sqref="I13"/>
      <pageMargins left="0.75" right="0.75" top="1" bottom="1" header="0.5" footer="0.5"/>
      <pageSetup orientation="portrait" r:id="rId11"/>
      <headerFooter alignWithMargins="0"/>
    </customSheetView>
    <customSheetView guid="{195DF303-1BBD-4236-94B5-47432850B006}" scale="75" showRuler="0">
      <pane xSplit="6.4558823529411766" topLeftCell="M1"/>
      <pageMargins left="0.75" right="0.75" top="1" bottom="1" header="0.5" footer="0.5"/>
      <pageSetup orientation="portrait" r:id="rId12"/>
      <headerFooter alignWithMargins="0"/>
    </customSheetView>
  </customSheetViews>
  <phoneticPr fontId="12" type="noConversion"/>
  <pageMargins left="0.75" right="0.75" top="1" bottom="1" header="0.5" footer="0.5"/>
  <pageSetup orientation="portrait" r:id="rId1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>
    <pageSetUpPr fitToPage="1"/>
  </sheetPr>
  <dimension ref="A1:R48"/>
  <sheetViews>
    <sheetView workbookViewId="0"/>
  </sheetViews>
  <sheetFormatPr defaultColWidth="8.69921875" defaultRowHeight="15.75"/>
  <cols>
    <col min="1" max="1" width="8.69921875" style="193"/>
    <col min="2" max="2" width="22.59765625" style="193" customWidth="1"/>
    <col min="3" max="3" width="15.09765625" style="193" bestFit="1" customWidth="1"/>
    <col min="4" max="4" width="17.09765625" style="193" customWidth="1"/>
    <col min="5" max="6" width="8.69921875" style="193"/>
    <col min="7" max="7" width="24.3984375" style="193" customWidth="1"/>
    <col min="8" max="8" width="13.09765625" style="193" bestFit="1" customWidth="1"/>
    <col min="9" max="9" width="14.09765625" style="193" bestFit="1" customWidth="1"/>
    <col min="10" max="10" width="11" style="193" bestFit="1" customWidth="1"/>
    <col min="11" max="11" width="16.09765625" style="193" bestFit="1" customWidth="1"/>
    <col min="12" max="12" width="26.3984375" style="193" bestFit="1" customWidth="1"/>
    <col min="13" max="13" width="24.3984375" style="193" customWidth="1"/>
    <col min="14" max="14" width="19.09765625" style="193" bestFit="1" customWidth="1"/>
    <col min="15" max="15" width="11" style="193" bestFit="1" customWidth="1"/>
    <col min="16" max="16" width="33.69921875" style="193" bestFit="1" customWidth="1"/>
    <col min="17" max="17" width="22.69921875" style="193" customWidth="1"/>
    <col min="18" max="18" width="33.69921875" style="193" bestFit="1" customWidth="1"/>
    <col min="19" max="16384" width="8.69921875" style="193"/>
  </cols>
  <sheetData>
    <row r="1" spans="1:18" ht="19.5">
      <c r="A1" s="425" t="s">
        <v>541</v>
      </c>
    </row>
    <row r="3" spans="1:18">
      <c r="B3" s="193" t="str">
        <f>NAME</f>
        <v>DUKE ENERGY KENTUCKY, INC.</v>
      </c>
    </row>
    <row r="4" spans="1:18">
      <c r="B4" s="193" t="str">
        <f>CASE_NO</f>
        <v>CASE NO.   2024-00354</v>
      </c>
    </row>
    <row r="5" spans="1:18">
      <c r="B5" s="193" t="s">
        <v>664</v>
      </c>
      <c r="Q5" s="193" t="s">
        <v>656</v>
      </c>
    </row>
    <row r="6" spans="1:18">
      <c r="B6" s="193" t="s">
        <v>665</v>
      </c>
      <c r="G6" s="193" t="s">
        <v>544</v>
      </c>
      <c r="Q6" s="193" t="str">
        <f>B4</f>
        <v>CASE NO.   2024-00354</v>
      </c>
    </row>
    <row r="7" spans="1:18">
      <c r="G7" s="193" t="str">
        <f>B4</f>
        <v>CASE NO.   2024-00354</v>
      </c>
      <c r="M7" s="193" t="s">
        <v>637</v>
      </c>
    </row>
    <row r="8" spans="1:18">
      <c r="O8" s="426"/>
      <c r="Q8" s="427" t="s">
        <v>639</v>
      </c>
      <c r="R8" s="428" t="s">
        <v>657</v>
      </c>
    </row>
    <row r="9" spans="1:18" ht="47.25">
      <c r="C9" s="193" t="s">
        <v>549</v>
      </c>
      <c r="D9" s="200" t="s">
        <v>666</v>
      </c>
      <c r="G9" s="193" t="s">
        <v>639</v>
      </c>
      <c r="H9" s="200" t="s">
        <v>670</v>
      </c>
      <c r="I9" s="200" t="s">
        <v>669</v>
      </c>
      <c r="J9" s="200" t="s">
        <v>667</v>
      </c>
      <c r="K9" s="200" t="s">
        <v>786</v>
      </c>
      <c r="M9" s="193" t="s">
        <v>638</v>
      </c>
      <c r="N9" s="429" t="s">
        <v>668</v>
      </c>
      <c r="O9" s="430" t="s">
        <v>608</v>
      </c>
      <c r="P9" s="430" t="s">
        <v>789</v>
      </c>
      <c r="Q9" s="193" t="s">
        <v>52</v>
      </c>
      <c r="R9" s="431">
        <f>'Proposed Rates'!C21</f>
        <v>213</v>
      </c>
    </row>
    <row r="10" spans="1:18">
      <c r="B10" s="193" t="s">
        <v>52</v>
      </c>
      <c r="C10" s="432">
        <f>'SCH M-2.3'!F23</f>
        <v>1689991</v>
      </c>
      <c r="D10" s="432">
        <f>+'Rate RS'!AN69+'Rate RS'!AN75</f>
        <v>197851566</v>
      </c>
      <c r="G10" s="193" t="s">
        <v>52</v>
      </c>
      <c r="H10" s="432">
        <v>31301526</v>
      </c>
      <c r="I10" s="432">
        <v>231141541</v>
      </c>
      <c r="J10" s="430">
        <f>(I10-D10)/D10</f>
        <v>0.16825732377574409</v>
      </c>
      <c r="K10" s="202">
        <f>I10-D10</f>
        <v>33289975</v>
      </c>
      <c r="L10" s="433"/>
      <c r="M10" s="193" t="s">
        <v>77</v>
      </c>
      <c r="N10" s="434">
        <f>'Rate SL'!AO265+'Rate SL'!AO196+'Rate SL'!AO282+'Rate SL'!AO292</f>
        <v>1418514</v>
      </c>
      <c r="O10" s="430">
        <f t="shared" ref="O10:O16" si="0">N10/$N$17</f>
        <v>0.56823795495642015</v>
      </c>
      <c r="P10" s="202">
        <f>'SCH M'!G47</f>
        <v>1641861</v>
      </c>
      <c r="Q10" s="193" t="s">
        <v>91</v>
      </c>
      <c r="R10" s="431">
        <f>'Proposed Rates'!G50</f>
        <v>-152</v>
      </c>
    </row>
    <row r="11" spans="1:18">
      <c r="B11" s="193" t="s">
        <v>91</v>
      </c>
      <c r="C11" s="432">
        <f>'SCH M-2.3'!F26</f>
        <v>155005</v>
      </c>
      <c r="D11" s="432">
        <f>+'Rate DS'!AO97+'Rate DS'!AO102</f>
        <v>128944821</v>
      </c>
      <c r="G11" s="193" t="s">
        <v>91</v>
      </c>
      <c r="H11" s="432">
        <v>2844514</v>
      </c>
      <c r="I11" s="432">
        <f>148047701-38535</f>
        <v>148009166</v>
      </c>
      <c r="J11" s="430">
        <f>(I11-D11)/D11</f>
        <v>0.14784886164602143</v>
      </c>
      <c r="K11" s="202"/>
      <c r="L11" s="433"/>
      <c r="M11" s="193" t="s">
        <v>81</v>
      </c>
      <c r="N11" s="434">
        <f>'Rate TL'!AO65</f>
        <v>101597</v>
      </c>
      <c r="O11" s="430">
        <f t="shared" si="0"/>
        <v>4.0698415038348174E-2</v>
      </c>
      <c r="P11" s="202">
        <f>'SCH M'!G48</f>
        <v>119312</v>
      </c>
      <c r="Q11" s="193" t="s">
        <v>260</v>
      </c>
      <c r="R11" s="193" t="s">
        <v>118</v>
      </c>
    </row>
    <row r="12" spans="1:18">
      <c r="B12" s="193" t="s">
        <v>260</v>
      </c>
      <c r="C12" s="432">
        <f>'SCH M-2.3'!F42</f>
        <v>12</v>
      </c>
      <c r="D12" s="432">
        <f>+'Rate DS RTP'!AO83</f>
        <v>2021</v>
      </c>
      <c r="G12" s="193" t="s">
        <v>260</v>
      </c>
      <c r="H12" s="432"/>
      <c r="I12" s="432"/>
      <c r="J12" s="430"/>
      <c r="M12" s="193" t="s">
        <v>239</v>
      </c>
      <c r="N12" s="434">
        <f>'Rate UOLS'!AO56</f>
        <v>597561</v>
      </c>
      <c r="O12" s="430">
        <f t="shared" si="0"/>
        <v>0.23937503655354364</v>
      </c>
      <c r="P12" s="202">
        <f>'SCH M'!G49</f>
        <v>701919</v>
      </c>
    </row>
    <row r="13" spans="1:18">
      <c r="B13" s="193" t="s">
        <v>538</v>
      </c>
      <c r="C13" s="432">
        <f>'SCH M-2.3'!F28</f>
        <v>1363</v>
      </c>
      <c r="D13" s="432">
        <f>+'Rate DT-Sec'!AO124+'Rate DT-Sec'!AO129</f>
        <v>57138458</v>
      </c>
      <c r="G13" s="193" t="s">
        <v>538</v>
      </c>
      <c r="H13" s="432">
        <v>224550</v>
      </c>
      <c r="I13" s="432">
        <v>65387908</v>
      </c>
      <c r="J13" s="430">
        <f>(I13-D13)/D13</f>
        <v>0.14437648982406912</v>
      </c>
      <c r="K13" s="434"/>
      <c r="M13" s="193" t="s">
        <v>86</v>
      </c>
      <c r="N13" s="434">
        <f>'Rate NSU'!AO88</f>
        <v>95798</v>
      </c>
      <c r="O13" s="430">
        <f t="shared" si="0"/>
        <v>3.8375412303942813E-2</v>
      </c>
      <c r="P13" s="202">
        <f>'SCH M'!G50</f>
        <v>110771</v>
      </c>
      <c r="Q13" s="193" t="s">
        <v>545</v>
      </c>
      <c r="R13" s="193" t="s">
        <v>118</v>
      </c>
    </row>
    <row r="14" spans="1:18">
      <c r="B14" s="193" t="s">
        <v>545</v>
      </c>
      <c r="C14" s="432">
        <f>'SCH M-2.3'!F41</f>
        <v>12</v>
      </c>
      <c r="D14" s="432">
        <f>+'Rate DT RTP-S'!AO75</f>
        <v>68302</v>
      </c>
      <c r="G14" s="193" t="s">
        <v>545</v>
      </c>
      <c r="H14" s="432"/>
      <c r="I14" s="432"/>
      <c r="J14" s="430"/>
      <c r="K14" s="202"/>
      <c r="M14" s="193" t="s">
        <v>73</v>
      </c>
      <c r="N14" s="434">
        <f>'Rate SC'!AO138</f>
        <v>6346</v>
      </c>
      <c r="O14" s="430">
        <f t="shared" si="0"/>
        <v>2.5421237027998611E-3</v>
      </c>
      <c r="P14" s="202">
        <f>'SCH M'!G51</f>
        <v>7456</v>
      </c>
      <c r="Q14" s="193" t="s">
        <v>1128</v>
      </c>
      <c r="R14" s="431">
        <f>'Proposed Rates'!O41</f>
        <v>-16</v>
      </c>
    </row>
    <row r="15" spans="1:18">
      <c r="B15" s="193" t="s">
        <v>537</v>
      </c>
      <c r="C15" s="432">
        <f>'SCH M-2.3'!F27</f>
        <v>395</v>
      </c>
      <c r="D15" s="432">
        <f>+'Rate DT-Pri'!AO128+'Rate DT-Pri'!AO133</f>
        <v>44398656</v>
      </c>
      <c r="G15" s="193" t="s">
        <v>537</v>
      </c>
      <c r="H15" s="432">
        <v>142589</v>
      </c>
      <c r="I15" s="432">
        <f>51390855-L26</f>
        <v>51533083</v>
      </c>
      <c r="J15" s="430">
        <f>(I15-D15)/D15</f>
        <v>0.16069015692727276</v>
      </c>
      <c r="M15" s="193" t="s">
        <v>70</v>
      </c>
      <c r="N15" s="434">
        <f>'Rate SE'!AO101</f>
        <v>256678</v>
      </c>
      <c r="O15" s="430">
        <f t="shared" si="0"/>
        <v>0.10282181339225697</v>
      </c>
      <c r="P15" s="202">
        <f>'SCH M'!G52</f>
        <v>297074</v>
      </c>
      <c r="Q15" s="193" t="s">
        <v>546</v>
      </c>
      <c r="R15" s="193" t="s">
        <v>118</v>
      </c>
    </row>
    <row r="16" spans="1:18">
      <c r="B16" s="193" t="s">
        <v>546</v>
      </c>
      <c r="C16" s="432">
        <f>'SCH M-2.3'!F40</f>
        <v>0</v>
      </c>
      <c r="D16" s="432">
        <v>0</v>
      </c>
      <c r="G16" s="193" t="s">
        <v>546</v>
      </c>
      <c r="H16" s="432"/>
      <c r="I16" s="432"/>
      <c r="J16" s="430"/>
      <c r="M16" s="193" t="s">
        <v>795</v>
      </c>
      <c r="N16" s="434">
        <f>'Rate LED'!AO684</f>
        <v>19844</v>
      </c>
      <c r="O16" s="430">
        <f t="shared" si="0"/>
        <v>7.9492440526883774E-3</v>
      </c>
      <c r="P16" s="202">
        <f>'SCH M'!G53</f>
        <v>22874.429167999999</v>
      </c>
      <c r="Q16" s="193" t="s">
        <v>94</v>
      </c>
      <c r="R16" s="431">
        <f>'Proposed Rates'!W24</f>
        <v>-3</v>
      </c>
    </row>
    <row r="17" spans="2:18">
      <c r="B17" s="193" t="s">
        <v>94</v>
      </c>
      <c r="C17" s="432">
        <f>'SCH M-2.3'!F29</f>
        <v>1006</v>
      </c>
      <c r="D17" s="432">
        <f>+'Rate EH'!AO82+'Rate EH'!AO87</f>
        <v>1829152</v>
      </c>
      <c r="G17" s="193" t="s">
        <v>94</v>
      </c>
      <c r="H17" s="432">
        <v>30621</v>
      </c>
      <c r="I17" s="432">
        <v>2273990</v>
      </c>
      <c r="J17" s="430">
        <f>(I17-D17)/D17</f>
        <v>0.24319356729238467</v>
      </c>
      <c r="M17" s="193" t="s">
        <v>542</v>
      </c>
      <c r="N17" s="434">
        <f>SUM(N10:N16)</f>
        <v>2496338</v>
      </c>
      <c r="P17" s="434">
        <f>SUM(P10:P16)</f>
        <v>2901267.4291679999</v>
      </c>
      <c r="Q17" s="193" t="s">
        <v>95</v>
      </c>
      <c r="R17" s="431">
        <f>'Proposed Rates'!AA24</f>
        <v>0</v>
      </c>
    </row>
    <row r="18" spans="2:18">
      <c r="B18" s="193" t="s">
        <v>95</v>
      </c>
      <c r="C18" s="432">
        <f>'SCH M-2.3'!F30</f>
        <v>166</v>
      </c>
      <c r="D18" s="432">
        <f>+'Rate SP GSFL'!AO92+'Rate SP GSFL'!AO97</f>
        <v>50918</v>
      </c>
      <c r="G18" s="193" t="s">
        <v>95</v>
      </c>
      <c r="H18" s="432">
        <v>2517</v>
      </c>
      <c r="I18" s="432">
        <v>52824</v>
      </c>
      <c r="J18" s="430">
        <f>(I18-D18)/D18</f>
        <v>3.743273498566322E-2</v>
      </c>
      <c r="K18" s="434">
        <f>I18-D18</f>
        <v>1906</v>
      </c>
      <c r="Q18" s="193" t="s">
        <v>93</v>
      </c>
      <c r="R18" s="431">
        <f>'Proposed Rates'!AE22</f>
        <v>0</v>
      </c>
    </row>
    <row r="19" spans="2:18">
      <c r="B19" s="193" t="s">
        <v>93</v>
      </c>
      <c r="C19" s="432">
        <f>'SCH M-2.3'!F31</f>
        <v>275</v>
      </c>
      <c r="D19" s="432">
        <f>+'Rate SP GSFL'!AO111+'Rate SP GSFL'!AO116</f>
        <v>800742</v>
      </c>
      <c r="G19" s="193" t="s">
        <v>93</v>
      </c>
      <c r="H19" s="432">
        <v>5850</v>
      </c>
      <c r="I19" s="432">
        <v>850522</v>
      </c>
      <c r="J19" s="430">
        <f>(I19-D19)/D19</f>
        <v>6.2167339792342603E-2</v>
      </c>
      <c r="M19" s="193" t="s">
        <v>640</v>
      </c>
      <c r="N19" s="434">
        <f>I23</f>
        <v>2843207</v>
      </c>
      <c r="Q19" s="193" t="s">
        <v>92</v>
      </c>
      <c r="R19" s="431">
        <f>'Proposed Rates'!AJ36</f>
        <v>-1</v>
      </c>
    </row>
    <row r="20" spans="2:18">
      <c r="B20" s="193" t="s">
        <v>92</v>
      </c>
      <c r="C20" s="432">
        <f>'SCH M-2.3'!F32</f>
        <v>120</v>
      </c>
      <c r="D20" s="432">
        <f>+'Rate DP'!AO89+'Rate DP'!AO94</f>
        <v>846253</v>
      </c>
      <c r="G20" s="193" t="s">
        <v>92</v>
      </c>
      <c r="H20" s="432">
        <v>14419</v>
      </c>
      <c r="I20" s="432">
        <v>899851</v>
      </c>
      <c r="J20" s="430">
        <f>(I20-D20)/D20</f>
        <v>6.3335669120227645E-2</v>
      </c>
      <c r="K20" s="434">
        <f>I20-D20</f>
        <v>53598</v>
      </c>
      <c r="N20" s="430"/>
      <c r="Q20" s="193" t="s">
        <v>60</v>
      </c>
      <c r="R20" s="431">
        <f>'Proposed Rates'!AO38</f>
        <v>-43</v>
      </c>
    </row>
    <row r="21" spans="2:18">
      <c r="B21" s="193" t="s">
        <v>60</v>
      </c>
      <c r="C21" s="432">
        <f>'SCH M-2.3'!F36</f>
        <v>156</v>
      </c>
      <c r="D21" s="432">
        <f>+'Rate TT'!AO111+'Rate TT'!AO116</f>
        <v>14977027</v>
      </c>
      <c r="G21" s="193" t="s">
        <v>60</v>
      </c>
      <c r="H21" s="432">
        <v>49918</v>
      </c>
      <c r="I21" s="432">
        <v>16766906</v>
      </c>
      <c r="J21" s="430">
        <f>(I21-D21-D22)/(D21+D22)</f>
        <v>8.315193489087927E-2</v>
      </c>
      <c r="K21" s="434">
        <f>I21-D21-D22</f>
        <v>1287170</v>
      </c>
      <c r="Q21" s="193" t="s">
        <v>547</v>
      </c>
      <c r="R21" s="193" t="s">
        <v>118</v>
      </c>
    </row>
    <row r="22" spans="2:18" ht="16.5" thickBot="1">
      <c r="B22" s="193" t="s">
        <v>547</v>
      </c>
      <c r="C22" s="432">
        <f>'SCH M-2.3'!F43</f>
        <v>24</v>
      </c>
      <c r="D22" s="432">
        <f>+'Rate TT RTP'!AO77</f>
        <v>502709</v>
      </c>
      <c r="G22" s="193" t="s">
        <v>547</v>
      </c>
      <c r="H22" s="432"/>
      <c r="I22" s="432"/>
      <c r="J22" s="430"/>
      <c r="Q22" s="193" t="s">
        <v>548</v>
      </c>
      <c r="R22" s="202">
        <f>'Proposed Rates'!AT9</f>
        <v>0.42916799988597631</v>
      </c>
    </row>
    <row r="23" spans="2:18">
      <c r="B23" s="193" t="s">
        <v>548</v>
      </c>
      <c r="C23" s="432">
        <f>'SCH M-2.3'!F54</f>
        <v>168482</v>
      </c>
      <c r="D23" s="432">
        <f>+N17</f>
        <v>2496338</v>
      </c>
      <c r="G23" s="193" t="s">
        <v>548</v>
      </c>
      <c r="H23" s="432">
        <v>1061548</v>
      </c>
      <c r="I23" s="432">
        <v>2843207</v>
      </c>
      <c r="J23" s="430">
        <f>(I23-D23)/D23</f>
        <v>0.13895113562346126</v>
      </c>
      <c r="L23" s="435" t="s">
        <v>973</v>
      </c>
    </row>
    <row r="24" spans="2:18">
      <c r="B24" s="193" t="s">
        <v>672</v>
      </c>
      <c r="C24" s="432">
        <f>'SCH M-2.2'!F63</f>
        <v>12</v>
      </c>
      <c r="D24" s="432">
        <v>907583</v>
      </c>
      <c r="G24" s="193" t="s">
        <v>672</v>
      </c>
      <c r="H24" s="432">
        <v>2767</v>
      </c>
      <c r="I24" s="432">
        <v>1043118</v>
      </c>
      <c r="J24" s="430">
        <f>(I24-D24)/D24</f>
        <v>0.14933620396151095</v>
      </c>
      <c r="K24" s="434"/>
      <c r="L24" s="436">
        <f>(I13+51390855)/(D13+D14+D15+D16)-1</f>
        <v>0.14933600586803375</v>
      </c>
      <c r="Q24" s="193" t="s">
        <v>662</v>
      </c>
      <c r="R24" s="242">
        <f>SUM(R9:R22)</f>
        <v>-1.5708320001140237</v>
      </c>
    </row>
    <row r="25" spans="2:18">
      <c r="C25" s="432"/>
      <c r="D25" s="432"/>
      <c r="H25" s="432"/>
      <c r="I25" s="429"/>
      <c r="J25" s="430"/>
      <c r="L25" s="437">
        <f>ROUND(D24*(1+L24),0)</f>
        <v>1043118</v>
      </c>
      <c r="R25" s="202"/>
    </row>
    <row r="26" spans="2:18" ht="16.5" thickBot="1">
      <c r="B26" s="193" t="s">
        <v>825</v>
      </c>
      <c r="C26" s="432"/>
      <c r="D26" s="432">
        <f>+'SCH M-2.2'!V57</f>
        <v>33541</v>
      </c>
      <c r="G26" s="193" t="s">
        <v>825</v>
      </c>
      <c r="H26" s="432"/>
      <c r="I26" s="432">
        <v>38535</v>
      </c>
      <c r="J26" s="430">
        <f>(I26-D26)/D26</f>
        <v>0.14889240034584539</v>
      </c>
      <c r="L26" s="438">
        <f>+L25-1185346</f>
        <v>-142228</v>
      </c>
      <c r="N26" s="429"/>
    </row>
    <row r="27" spans="2:18">
      <c r="C27" s="432"/>
      <c r="D27" s="432"/>
      <c r="H27" s="432"/>
      <c r="I27" s="432"/>
      <c r="J27" s="430"/>
      <c r="L27" s="435" t="s">
        <v>825</v>
      </c>
      <c r="N27" s="431"/>
      <c r="O27" s="439"/>
      <c r="P27" s="242"/>
    </row>
    <row r="28" spans="2:18" ht="16.5" thickBot="1">
      <c r="B28" s="193" t="s">
        <v>543</v>
      </c>
      <c r="C28" s="432">
        <f>'SCH M-2.2'!F63</f>
        <v>12</v>
      </c>
      <c r="D28" s="432"/>
      <c r="G28" s="193" t="s">
        <v>543</v>
      </c>
      <c r="H28" s="432">
        <v>0</v>
      </c>
      <c r="I28" s="432">
        <f>'SCH M-2.3'!R65-'SCH M-2.3'!R57-'SCH M-2.3'!R63</f>
        <v>3590465</v>
      </c>
      <c r="J28" s="430" t="e">
        <f>(I28-D28)/D28</f>
        <v>#DIV/0!</v>
      </c>
      <c r="L28" s="440">
        <f>ROUND(D26*(1+J31),0)</f>
        <v>38526</v>
      </c>
      <c r="N28" s="431"/>
      <c r="O28" s="439"/>
      <c r="P28" s="242"/>
    </row>
    <row r="29" spans="2:18">
      <c r="B29" s="193" t="s">
        <v>11</v>
      </c>
      <c r="C29" s="434">
        <f>SUM(C10:C28)</f>
        <v>2017031</v>
      </c>
      <c r="D29" s="434">
        <f>SUM(D10:D28)</f>
        <v>450848087</v>
      </c>
      <c r="G29" s="193" t="s">
        <v>11</v>
      </c>
      <c r="H29" s="434">
        <f>SUM(H10:H24)+H28</f>
        <v>35680819</v>
      </c>
      <c r="I29" s="434">
        <f>SUM(I10:I24)+I28+I26</f>
        <v>524431116</v>
      </c>
      <c r="J29" s="430">
        <f>(I29-D29)/D29</f>
        <v>0.16321025001931527</v>
      </c>
      <c r="N29" s="431"/>
      <c r="O29" s="439"/>
      <c r="P29" s="242"/>
    </row>
    <row r="30" spans="2:18">
      <c r="I30" s="434">
        <f>I29-D29</f>
        <v>73583029</v>
      </c>
      <c r="K30" s="434"/>
      <c r="L30" s="434"/>
      <c r="N30" s="431"/>
      <c r="O30" s="439"/>
      <c r="P30" s="242"/>
    </row>
    <row r="31" spans="2:18">
      <c r="B31" s="441" t="s">
        <v>978</v>
      </c>
      <c r="C31" s="434">
        <f>C11+C19+C17+C18</f>
        <v>156452</v>
      </c>
      <c r="D31" s="434">
        <f>D11+D19+D17+D26+D18</f>
        <v>131659174</v>
      </c>
      <c r="G31" s="441" t="s">
        <v>978</v>
      </c>
      <c r="H31" s="434">
        <f>H11+H19+H17+H18+H24</f>
        <v>2886269</v>
      </c>
      <c r="I31" s="434">
        <f>I11+I19+I17+I18+I26</f>
        <v>151225037</v>
      </c>
      <c r="J31" s="430">
        <f>(I31-D31)/D31</f>
        <v>0.1486099479858502</v>
      </c>
      <c r="N31" s="431"/>
      <c r="O31" s="439"/>
      <c r="P31" s="242"/>
    </row>
    <row r="32" spans="2:18">
      <c r="G32" s="441"/>
      <c r="N32" s="431"/>
      <c r="O32" s="439"/>
      <c r="P32" s="242"/>
    </row>
    <row r="33" spans="4:16">
      <c r="D33" s="434"/>
      <c r="N33" s="431"/>
      <c r="O33" s="439"/>
      <c r="P33" s="242"/>
    </row>
    <row r="34" spans="4:16">
      <c r="G34" s="193" t="s">
        <v>91</v>
      </c>
      <c r="I34" s="434">
        <f>I31-I35-I36-I38-I39-I37</f>
        <v>148107295</v>
      </c>
      <c r="J34" s="430">
        <f>K34/(D11+D12)</f>
        <v>0.14859187478201288</v>
      </c>
      <c r="K34" s="434">
        <f>I34-D11-D12</f>
        <v>19160453</v>
      </c>
      <c r="N34" s="242"/>
      <c r="O34" s="439"/>
      <c r="P34" s="242"/>
    </row>
    <row r="35" spans="4:16">
      <c r="G35" s="193" t="s">
        <v>356</v>
      </c>
      <c r="I35" s="432">
        <f>ROUND(D19*(1+$J$31),0)</f>
        <v>919740</v>
      </c>
      <c r="J35" s="430">
        <f>K35/D19</f>
        <v>0.14860966453614272</v>
      </c>
      <c r="K35" s="434">
        <f>I35-D19</f>
        <v>118998</v>
      </c>
      <c r="O35" s="288"/>
      <c r="P35" s="242"/>
    </row>
    <row r="36" spans="4:16">
      <c r="G36" s="193" t="s">
        <v>94</v>
      </c>
      <c r="I36" s="432">
        <f>ROUND(D17*(1+$J$31),0)</f>
        <v>2100982</v>
      </c>
      <c r="J36" s="430">
        <f>K36/D17</f>
        <v>0.14860984762337959</v>
      </c>
      <c r="K36" s="434">
        <f>I36-D17</f>
        <v>271830</v>
      </c>
    </row>
    <row r="37" spans="4:16">
      <c r="G37" s="193" t="s">
        <v>95</v>
      </c>
      <c r="I37" s="432">
        <f>ROUND(D18*(1+$J$31),0)</f>
        <v>58485</v>
      </c>
      <c r="J37" s="430">
        <f>K37/D18</f>
        <v>0.14861149298872697</v>
      </c>
      <c r="K37" s="434">
        <f>I37-D18</f>
        <v>7567</v>
      </c>
      <c r="O37" s="202"/>
    </row>
    <row r="38" spans="4:16">
      <c r="I38" s="432"/>
      <c r="J38" s="430"/>
      <c r="K38" s="434"/>
    </row>
    <row r="39" spans="4:16">
      <c r="G39" s="193" t="s">
        <v>825</v>
      </c>
      <c r="I39" s="432">
        <f>I26</f>
        <v>38535</v>
      </c>
      <c r="J39" s="430">
        <f>+K39/D26</f>
        <v>0.14889240034584539</v>
      </c>
      <c r="K39" s="434">
        <f>+I39-D26</f>
        <v>4994</v>
      </c>
    </row>
    <row r="40" spans="4:16">
      <c r="G40" s="441" t="s">
        <v>978</v>
      </c>
      <c r="I40" s="434">
        <f>SUM(I34:I39)</f>
        <v>151225037</v>
      </c>
      <c r="J40" s="434">
        <f>I11+I17+I18+I19+I26-I40</f>
        <v>0</v>
      </c>
    </row>
    <row r="41" spans="4:16">
      <c r="I41" s="434"/>
    </row>
    <row r="42" spans="4:16">
      <c r="G42" s="193" t="s">
        <v>761</v>
      </c>
      <c r="J42" s="430">
        <f>((I13+I15)/(D13+D14+D15+D16))-1</f>
        <v>0.15073581313814999</v>
      </c>
      <c r="K42" s="432">
        <f>(I13+I15)-(D13+D14+D15+D16)</f>
        <v>15315575</v>
      </c>
    </row>
    <row r="44" spans="4:16">
      <c r="F44" s="193" t="s">
        <v>788</v>
      </c>
      <c r="I44" s="193" t="s">
        <v>789</v>
      </c>
      <c r="J44" s="193" t="s">
        <v>779</v>
      </c>
      <c r="K44" s="193" t="s">
        <v>786</v>
      </c>
    </row>
    <row r="45" spans="4:16">
      <c r="F45" s="202">
        <f>'Rate DS RTP'!AO75</f>
        <v>2024</v>
      </c>
      <c r="G45" s="193" t="s">
        <v>260</v>
      </c>
      <c r="I45" s="202">
        <f>'Rate DS RTP'!R31</f>
        <v>1984</v>
      </c>
      <c r="J45" s="430">
        <f>K45/F45</f>
        <v>-1.9762845849802372E-2</v>
      </c>
      <c r="K45" s="202">
        <f>I45-F45</f>
        <v>-40</v>
      </c>
    </row>
    <row r="46" spans="4:16">
      <c r="F46" s="202">
        <f>'Rate DT RTP-S'!AO75</f>
        <v>68302</v>
      </c>
      <c r="G46" s="193" t="s">
        <v>787</v>
      </c>
      <c r="I46" s="202">
        <f>'Rate DT RTP-S'!R31</f>
        <v>83228</v>
      </c>
      <c r="J46" s="430">
        <f>K46/F46</f>
        <v>0.21852947205059881</v>
      </c>
      <c r="K46" s="202">
        <f>I46-F46</f>
        <v>14926</v>
      </c>
    </row>
    <row r="47" spans="4:16">
      <c r="F47" s="202">
        <f>'Rate TT RTP'!AO77</f>
        <v>502709</v>
      </c>
      <c r="G47" s="193" t="s">
        <v>261</v>
      </c>
      <c r="I47" s="202">
        <f>'Rate TT RTP'!R31</f>
        <v>547030</v>
      </c>
      <c r="J47" s="430">
        <f>K47/F47</f>
        <v>8.8164325683447078E-2</v>
      </c>
      <c r="K47" s="202">
        <f>I47-F47</f>
        <v>44321</v>
      </c>
    </row>
    <row r="48" spans="4:16">
      <c r="F48" s="202">
        <f>SUM(F45:F47)</f>
        <v>573035</v>
      </c>
      <c r="I48" s="202">
        <f>SUM(I45:I47)</f>
        <v>632242</v>
      </c>
      <c r="J48" s="430">
        <f>K48/F48</f>
        <v>0.10332178662734388</v>
      </c>
      <c r="K48" s="202">
        <f>SUM(K45:K47)</f>
        <v>59207</v>
      </c>
    </row>
  </sheetData>
  <pageMargins left="0.7" right="0.7" top="0.75" bottom="0.75" header="0.3" footer="0.3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/>
  <dimension ref="A1:AT181"/>
  <sheetViews>
    <sheetView workbookViewId="0"/>
  </sheetViews>
  <sheetFormatPr defaultColWidth="8.69921875" defaultRowHeight="15.75"/>
  <cols>
    <col min="1" max="1" width="8.69921875" style="193"/>
    <col min="2" max="2" width="29.59765625" style="193" bestFit="1" customWidth="1"/>
    <col min="3" max="3" width="20.09765625" style="193" bestFit="1" customWidth="1"/>
    <col min="4" max="5" width="8.69921875" style="193"/>
    <col min="6" max="6" width="30.3984375" style="193" customWidth="1"/>
    <col min="7" max="7" width="14.09765625" style="193" bestFit="1" customWidth="1"/>
    <col min="8" max="9" width="8.69921875" style="193"/>
    <col min="10" max="10" width="30.59765625" style="193" customWidth="1"/>
    <col min="11" max="11" width="13.3984375" style="193" customWidth="1"/>
    <col min="12" max="13" width="8.69921875" style="193"/>
    <col min="14" max="14" width="27.3984375" style="193" bestFit="1" customWidth="1"/>
    <col min="15" max="15" width="15.09765625" style="193" bestFit="1" customWidth="1"/>
    <col min="16" max="16" width="17.09765625" style="193" bestFit="1" customWidth="1"/>
    <col min="17" max="17" width="12" style="193" bestFit="1" customWidth="1"/>
    <col min="18" max="18" width="15.3984375" style="193" customWidth="1"/>
    <col min="19" max="19" width="13.8984375" style="193" customWidth="1"/>
    <col min="20" max="21" width="8.69921875" style="193"/>
    <col min="22" max="22" width="27.3984375" style="193" bestFit="1" customWidth="1"/>
    <col min="23" max="23" width="18.8984375" style="193" customWidth="1"/>
    <col min="24" max="25" width="8.69921875" style="193"/>
    <col min="26" max="26" width="27.3984375" style="193" bestFit="1" customWidth="1"/>
    <col min="27" max="27" width="13.09765625" style="193" bestFit="1" customWidth="1"/>
    <col min="28" max="29" width="8.69921875" style="193"/>
    <col min="30" max="30" width="27.3984375" style="193" bestFit="1" customWidth="1"/>
    <col min="31" max="31" width="15.09765625" style="193" bestFit="1" customWidth="1"/>
    <col min="32" max="32" width="11" style="193" bestFit="1" customWidth="1"/>
    <col min="33" max="34" width="8.69921875" style="193"/>
    <col min="35" max="35" width="27.3984375" style="193" bestFit="1" customWidth="1"/>
    <col min="36" max="36" width="16.09765625" style="193" bestFit="1" customWidth="1"/>
    <col min="37" max="37" width="11" style="193" bestFit="1" customWidth="1"/>
    <col min="38" max="39" width="8.69921875" style="193"/>
    <col min="40" max="40" width="29.59765625" style="193" bestFit="1" customWidth="1"/>
    <col min="41" max="41" width="15.09765625" style="193" bestFit="1" customWidth="1"/>
    <col min="42" max="42" width="11" style="193" bestFit="1" customWidth="1"/>
    <col min="43" max="43" width="8.69921875" style="193"/>
    <col min="44" max="44" width="12.09765625" style="193" bestFit="1" customWidth="1"/>
    <col min="45" max="45" width="18" style="193" customWidth="1"/>
    <col min="46" max="46" width="12" style="193" bestFit="1" customWidth="1"/>
    <col min="47" max="16384" width="8.69921875" style="193"/>
  </cols>
  <sheetData>
    <row r="1" spans="1:46" ht="19.5">
      <c r="A1" s="191" t="s">
        <v>552</v>
      </c>
      <c r="B1" s="192"/>
    </row>
    <row r="2" spans="1:46">
      <c r="B2" s="193" t="str">
        <f>NAME</f>
        <v>DUKE ENERGY KENTUCKY, INC.</v>
      </c>
      <c r="F2" s="193" t="str">
        <f>NAME</f>
        <v>DUKE ENERGY KENTUCKY, INC.</v>
      </c>
      <c r="J2" s="193" t="str">
        <f>NAME</f>
        <v>DUKE ENERGY KENTUCKY, INC.</v>
      </c>
      <c r="N2" s="193" t="str">
        <f>NAME</f>
        <v>DUKE ENERGY KENTUCKY, INC.</v>
      </c>
      <c r="V2" s="193" t="str">
        <f>NAME</f>
        <v>DUKE ENERGY KENTUCKY, INC.</v>
      </c>
      <c r="Z2" s="193" t="str">
        <f>NAME</f>
        <v>DUKE ENERGY KENTUCKY, INC.</v>
      </c>
      <c r="AD2" s="193" t="str">
        <f>NAME</f>
        <v>DUKE ENERGY KENTUCKY, INC.</v>
      </c>
      <c r="AI2" s="193" t="str">
        <f>NAME</f>
        <v>DUKE ENERGY KENTUCKY, INC.</v>
      </c>
      <c r="AN2" s="193" t="str">
        <f>NAME</f>
        <v>DUKE ENERGY KENTUCKY, INC.</v>
      </c>
      <c r="AS2" s="193" t="str">
        <f>NAME</f>
        <v>DUKE ENERGY KENTUCKY, INC.</v>
      </c>
    </row>
    <row r="3" spans="1:46">
      <c r="B3" s="193" t="str">
        <f>CASE_NO</f>
        <v>CASE NO.   2024-00354</v>
      </c>
      <c r="F3" s="193" t="str">
        <f>CASE_NO</f>
        <v>CASE NO.   2024-00354</v>
      </c>
      <c r="J3" s="193" t="str">
        <f>CASE_NO</f>
        <v>CASE NO.   2024-00354</v>
      </c>
      <c r="N3" s="193" t="str">
        <f>CASE_NO</f>
        <v>CASE NO.   2024-00354</v>
      </c>
      <c r="V3" s="193" t="str">
        <f>CASE_NO</f>
        <v>CASE NO.   2024-00354</v>
      </c>
      <c r="Z3" s="193" t="str">
        <f>CASE_NO</f>
        <v>CASE NO.   2024-00354</v>
      </c>
      <c r="AD3" s="193" t="str">
        <f>CASE_NO</f>
        <v>CASE NO.   2024-00354</v>
      </c>
      <c r="AI3" s="193" t="str">
        <f>CASE_NO</f>
        <v>CASE NO.   2024-00354</v>
      </c>
      <c r="AN3" s="193" t="str">
        <f>CASE_NO</f>
        <v>CASE NO.   2024-00354</v>
      </c>
      <c r="AS3" s="193" t="str">
        <f>CASE_NO</f>
        <v>CASE NO.   2024-00354</v>
      </c>
    </row>
    <row r="4" spans="1:46">
      <c r="B4" s="193" t="s">
        <v>646</v>
      </c>
      <c r="F4" s="193" t="str">
        <f>$B$4</f>
        <v>PROPOSED RATE CALCULATION</v>
      </c>
      <c r="J4" s="193" t="str">
        <f>$B$4</f>
        <v>PROPOSED RATE CALCULATION</v>
      </c>
      <c r="N4" s="193" t="str">
        <f>$B$4</f>
        <v>PROPOSED RATE CALCULATION</v>
      </c>
      <c r="V4" s="193" t="str">
        <f>$B$4</f>
        <v>PROPOSED RATE CALCULATION</v>
      </c>
      <c r="Z4" s="193" t="str">
        <f>$B$4</f>
        <v>PROPOSED RATE CALCULATION</v>
      </c>
      <c r="AD4" s="193" t="str">
        <f>$B$4</f>
        <v>PROPOSED RATE CALCULATION</v>
      </c>
      <c r="AI4" s="193" t="str">
        <f>$B$4</f>
        <v>PROPOSED RATE CALCULATION</v>
      </c>
      <c r="AN4" s="193" t="str">
        <f>$B$4</f>
        <v>PROPOSED RATE CALCULATION</v>
      </c>
      <c r="AS4" s="193" t="str">
        <f>$B$4</f>
        <v>PROPOSED RATE CALCULATION</v>
      </c>
    </row>
    <row r="5" spans="1:46">
      <c r="B5" s="194" t="s">
        <v>554</v>
      </c>
      <c r="F5" s="194" t="s">
        <v>561</v>
      </c>
      <c r="G5" s="193" t="s">
        <v>555</v>
      </c>
      <c r="J5" s="194" t="s">
        <v>582</v>
      </c>
      <c r="K5" s="193" t="s">
        <v>555</v>
      </c>
      <c r="N5" s="194" t="s">
        <v>584</v>
      </c>
      <c r="O5" s="193" t="s">
        <v>555</v>
      </c>
      <c r="V5" s="194" t="s">
        <v>598</v>
      </c>
      <c r="W5" s="193" t="s">
        <v>555</v>
      </c>
      <c r="Z5" s="194" t="s">
        <v>604</v>
      </c>
      <c r="AA5" s="193" t="s">
        <v>555</v>
      </c>
      <c r="AD5" s="194" t="s">
        <v>607</v>
      </c>
      <c r="AI5" s="194" t="s">
        <v>617</v>
      </c>
      <c r="AN5" s="194" t="s">
        <v>628</v>
      </c>
      <c r="AS5" s="194" t="s">
        <v>641</v>
      </c>
    </row>
    <row r="6" spans="1:46" ht="16.5" thickBot="1">
      <c r="C6" s="193" t="s">
        <v>555</v>
      </c>
      <c r="AD6" s="195"/>
      <c r="AE6" s="196" t="s">
        <v>612</v>
      </c>
      <c r="AF6" s="197" t="s">
        <v>608</v>
      </c>
      <c r="AI6" s="195"/>
      <c r="AJ6" s="196" t="s">
        <v>612</v>
      </c>
      <c r="AK6" s="197" t="s">
        <v>608</v>
      </c>
      <c r="AN6" s="195"/>
      <c r="AO6" s="196" t="s">
        <v>612</v>
      </c>
      <c r="AP6" s="197" t="s">
        <v>608</v>
      </c>
      <c r="AS6" s="193" t="s">
        <v>642</v>
      </c>
    </row>
    <row r="7" spans="1:46" ht="31.5">
      <c r="B7" s="198" t="s">
        <v>549</v>
      </c>
      <c r="C7" s="199">
        <f>'Rate RS'!F23</f>
        <v>1689991</v>
      </c>
      <c r="F7" s="198" t="s">
        <v>564</v>
      </c>
      <c r="G7" s="199">
        <f>'Rate DS'!F25</f>
        <v>79682</v>
      </c>
      <c r="J7" s="200" t="s">
        <v>583</v>
      </c>
      <c r="N7" s="198" t="s">
        <v>644</v>
      </c>
      <c r="O7" s="199">
        <f>'Rate DT-Sec'!F23</f>
        <v>0</v>
      </c>
      <c r="V7" s="198" t="s">
        <v>703</v>
      </c>
      <c r="W7" s="199">
        <f>'Rate EH'!F24</f>
        <v>204</v>
      </c>
      <c r="Z7" s="198" t="s">
        <v>605</v>
      </c>
      <c r="AA7" s="199">
        <f>'Rate SP GSFL'!F25</f>
        <v>166</v>
      </c>
      <c r="AD7" s="201" t="s">
        <v>609</v>
      </c>
      <c r="AE7" s="202">
        <f>'Rate SP GSFL'!AO106</f>
        <v>1042</v>
      </c>
      <c r="AF7" s="203">
        <f>AE7/SUM($AE$7:$AE$9)</f>
        <v>1.335746736265652E-3</v>
      </c>
      <c r="AI7" s="201" t="s">
        <v>618</v>
      </c>
      <c r="AJ7" s="202">
        <f>'Rate DP'!AO81</f>
        <v>260443</v>
      </c>
      <c r="AK7" s="203">
        <f>AJ7/SUM($AJ$7:$AJ$10)</f>
        <v>0.32347260810758782</v>
      </c>
      <c r="AN7" s="201" t="s">
        <v>717</v>
      </c>
      <c r="AO7" s="202">
        <f>'Rate TT'!AO88</f>
        <v>1199464</v>
      </c>
      <c r="AP7" s="203">
        <f>AO7/SUM($AO$7:$AO$10)</f>
        <v>8.4159458579182916E-2</v>
      </c>
      <c r="AS7" s="193" t="s">
        <v>663</v>
      </c>
    </row>
    <row r="8" spans="1:46" ht="31.5">
      <c r="B8" s="204" t="s">
        <v>553</v>
      </c>
      <c r="C8" s="205">
        <f>'Revenue Requirements'!H10</f>
        <v>31301526</v>
      </c>
      <c r="F8" s="206" t="s">
        <v>562</v>
      </c>
      <c r="G8" s="207">
        <f>'Rate DS'!F26</f>
        <v>75323</v>
      </c>
      <c r="J8" s="200" t="s">
        <v>688</v>
      </c>
      <c r="N8" s="206" t="s">
        <v>587</v>
      </c>
      <c r="O8" s="207">
        <f>'Rate DT-Sec'!F24</f>
        <v>458</v>
      </c>
      <c r="V8" s="206" t="s">
        <v>704</v>
      </c>
      <c r="W8" s="207">
        <f>'Rate EH'!F25</f>
        <v>802</v>
      </c>
      <c r="Z8" s="206"/>
      <c r="AA8" s="207"/>
      <c r="AD8" s="201" t="s">
        <v>610</v>
      </c>
      <c r="AE8" s="202">
        <f>'Rate SP GSFL'!AO109</f>
        <v>1346</v>
      </c>
      <c r="AF8" s="203">
        <f>AE8/SUM($AE$7:$AE$9)</f>
        <v>1.7254463598978577E-3</v>
      </c>
      <c r="AI8" s="201" t="s">
        <v>619</v>
      </c>
      <c r="AJ8" s="202">
        <f>'Rate DP'!AO85</f>
        <v>490745</v>
      </c>
      <c r="AK8" s="203">
        <f>AJ8/SUM($AJ$7:$AJ$10)</f>
        <v>0.6095098162198952</v>
      </c>
      <c r="AN8" s="201" t="s">
        <v>718</v>
      </c>
      <c r="AO8" s="208">
        <f>'Rate TT'!AO102</f>
        <v>1983592</v>
      </c>
      <c r="AP8" s="203">
        <f>AO8/SUM($AO$7:$AO$10)</f>
        <v>0.13917718977976715</v>
      </c>
    </row>
    <row r="9" spans="1:46" ht="32.25" thickBot="1">
      <c r="B9" s="206" t="s">
        <v>673</v>
      </c>
      <c r="C9" s="209">
        <f>ROUND(C8/C7,2)</f>
        <v>18.52</v>
      </c>
      <c r="F9" s="206" t="s">
        <v>563</v>
      </c>
      <c r="G9" s="207">
        <f>G7+G8</f>
        <v>155005</v>
      </c>
      <c r="J9" s="200"/>
      <c r="N9" s="206" t="s">
        <v>586</v>
      </c>
      <c r="O9" s="207">
        <f>'Rate DT-Pri'!F23</f>
        <v>131</v>
      </c>
      <c r="V9" s="206" t="s">
        <v>563</v>
      </c>
      <c r="W9" s="207">
        <f>SUM(W7:W8)</f>
        <v>1006</v>
      </c>
      <c r="Z9" s="206"/>
      <c r="AA9" s="207"/>
      <c r="AD9" s="201" t="s">
        <v>611</v>
      </c>
      <c r="AE9" s="202">
        <f>'Rate SP GSFL'!AO110</f>
        <v>777700</v>
      </c>
      <c r="AF9" s="210">
        <f>AE9/SUM($AE$7:$AE$9)</f>
        <v>0.99693880690383652</v>
      </c>
      <c r="AI9" s="201" t="s">
        <v>620</v>
      </c>
      <c r="AJ9" s="202">
        <f>'Rate DP'!AO86</f>
        <v>53959</v>
      </c>
      <c r="AK9" s="203">
        <f>AJ9/SUM($AJ$7:$AJ$10)</f>
        <v>6.7017575672516941E-2</v>
      </c>
      <c r="AN9" s="201" t="s">
        <v>719</v>
      </c>
      <c r="AO9" s="211">
        <f>'Rate TT'!AO89+'Rate TT'!AO103</f>
        <v>19782</v>
      </c>
      <c r="AP9" s="203">
        <f>AO9/SUM($AO$7:$AO$10)</f>
        <v>1.3879886429383429E-3</v>
      </c>
      <c r="AS9" s="200" t="s">
        <v>655</v>
      </c>
      <c r="AT9" s="212">
        <f>'Rate SL'!R42+'Rate SL'!R111+'Rate SL'!R128+'Rate SL'!R138+'Rate TL'!R27+'Rate UOLS'!R21+'Rate NSU'!R38+'Rate SC'!R65+'Rate SE'!R45+'Rate LED'!R332+'Rate LED'!R336-'Revenue Requirements'!I23</f>
        <v>0.42916799988597631</v>
      </c>
    </row>
    <row r="10" spans="1:46" ht="16.5" thickBot="1">
      <c r="B10" s="206" t="s">
        <v>556</v>
      </c>
      <c r="C10" s="213">
        <f>INPUT!C43</f>
        <v>13</v>
      </c>
      <c r="F10" s="206"/>
      <c r="G10" s="214"/>
      <c r="J10" s="200"/>
      <c r="N10" s="206" t="s">
        <v>563</v>
      </c>
      <c r="O10" s="207">
        <f>SUM(O7:O9)</f>
        <v>589</v>
      </c>
      <c r="V10" s="204"/>
      <c r="W10" s="214"/>
      <c r="Z10" s="204"/>
      <c r="AA10" s="214"/>
      <c r="AD10" s="215"/>
      <c r="AE10" s="216" t="s">
        <v>555</v>
      </c>
      <c r="AI10" s="201" t="s">
        <v>621</v>
      </c>
      <c r="AJ10" s="202">
        <f>'Rate DP'!AO87</f>
        <v>0</v>
      </c>
      <c r="AK10" s="210">
        <f>AJ10/SUM($AJ$7:$AJ$10)</f>
        <v>0</v>
      </c>
      <c r="AN10" s="201" t="s">
        <v>720</v>
      </c>
      <c r="AO10" s="211">
        <f>'Rate TT'!AO93+'Rate TT'!AO94+'Rate TT'!AO107+'Rate TT'!AO108</f>
        <v>11049440</v>
      </c>
      <c r="AP10" s="210">
        <f>AO10/SUM($AO$7:$AO$10)</f>
        <v>0.77527536299811162</v>
      </c>
    </row>
    <row r="11" spans="1:46" ht="31.5">
      <c r="B11" s="206" t="s">
        <v>551</v>
      </c>
      <c r="C11" s="209">
        <f>C9-C10</f>
        <v>5.52</v>
      </c>
      <c r="F11" s="206" t="s">
        <v>674</v>
      </c>
      <c r="G11" s="205">
        <f>'Revenue Requirements'!H11-'Rate DS RTP'!L25</f>
        <v>2842318</v>
      </c>
      <c r="J11" s="200" t="s">
        <v>689</v>
      </c>
      <c r="N11" s="206" t="s">
        <v>690</v>
      </c>
      <c r="O11" s="205">
        <f>'Revenue Requirements'!H13-'Rate DT RTP-S'!L25</f>
        <v>222354</v>
      </c>
      <c r="V11" s="206" t="s">
        <v>705</v>
      </c>
      <c r="W11" s="205">
        <f>'Revenue Requirements'!H17</f>
        <v>30621</v>
      </c>
      <c r="Z11" s="206" t="s">
        <v>705</v>
      </c>
      <c r="AA11" s="205">
        <f>'Revenue Requirements'!H18</f>
        <v>2517</v>
      </c>
      <c r="AD11" s="206" t="s">
        <v>733</v>
      </c>
      <c r="AE11" s="205">
        <f>'Revenue Requirements'!I35-'Rate SP GSFL'!R53</f>
        <v>899086</v>
      </c>
      <c r="AI11" s="198"/>
      <c r="AJ11" s="216" t="s">
        <v>555</v>
      </c>
      <c r="AN11" s="198"/>
      <c r="AO11" s="216" t="s">
        <v>555</v>
      </c>
      <c r="AS11" s="193" t="s">
        <v>786</v>
      </c>
      <c r="AT11" s="288">
        <v>0.14260999999999999</v>
      </c>
    </row>
    <row r="12" spans="1:46" ht="31.5">
      <c r="A12" s="217">
        <v>0.5</v>
      </c>
      <c r="B12" s="206" t="s">
        <v>854</v>
      </c>
      <c r="C12" s="213">
        <f>ROUND(C10*'Revenue Requirements'!J10,2)</f>
        <v>2.19</v>
      </c>
      <c r="F12" s="206" t="s">
        <v>691</v>
      </c>
      <c r="G12" s="209">
        <f>ROUND(G11/G9,2)</f>
        <v>18.34</v>
      </c>
      <c r="J12" s="200"/>
      <c r="N12" s="206" t="s">
        <v>692</v>
      </c>
      <c r="O12" s="213">
        <f>ROUND(O11/(O8+O7),2)</f>
        <v>485.49</v>
      </c>
      <c r="V12" s="206" t="s">
        <v>691</v>
      </c>
      <c r="W12" s="213">
        <f>ROUND(W11/W9,2)</f>
        <v>30.44</v>
      </c>
      <c r="Z12" s="206" t="s">
        <v>673</v>
      </c>
      <c r="AA12" s="213">
        <f>ROUND(AA11/AA7,2)</f>
        <v>15.16</v>
      </c>
      <c r="AD12" s="206" t="s">
        <v>707</v>
      </c>
      <c r="AE12" s="205">
        <f>ROUND($AE$11*AF7,0)</f>
        <v>1201</v>
      </c>
      <c r="AI12" s="206" t="s">
        <v>648</v>
      </c>
      <c r="AJ12" s="218">
        <f>'Rate DP'!F26</f>
        <v>120</v>
      </c>
      <c r="AN12" s="206" t="s">
        <v>629</v>
      </c>
      <c r="AO12" s="207">
        <f>'Rate TT'!F47</f>
        <v>156</v>
      </c>
    </row>
    <row r="13" spans="1:46" ht="32.25" thickBot="1">
      <c r="B13" s="206" t="s">
        <v>855</v>
      </c>
      <c r="C13" s="209">
        <f>C10+C12</f>
        <v>15.19</v>
      </c>
      <c r="F13" s="206" t="s">
        <v>550</v>
      </c>
      <c r="G13" s="213">
        <f>ROUND(((G7*INPUT!C48)+(G8*INPUT!C49))/G9,2)</f>
        <v>22.29</v>
      </c>
      <c r="J13" s="200"/>
      <c r="N13" s="206" t="s">
        <v>697</v>
      </c>
      <c r="O13" s="213">
        <f>INPUT!C69</f>
        <v>127</v>
      </c>
      <c r="V13" s="206" t="s">
        <v>599</v>
      </c>
      <c r="W13" s="213">
        <f>ROUND('Rate EH'!AO75/'Rate EH'!Y75,2)</f>
        <v>26.96</v>
      </c>
      <c r="Z13" s="206" t="s">
        <v>556</v>
      </c>
      <c r="AA13" s="213">
        <f>INPUT!C96</f>
        <v>15</v>
      </c>
      <c r="AD13" s="206" t="s">
        <v>610</v>
      </c>
      <c r="AE13" s="205">
        <f>ROUND($AE$11*AF8,0)</f>
        <v>1551</v>
      </c>
      <c r="AI13" s="206" t="s">
        <v>705</v>
      </c>
      <c r="AJ13" s="205">
        <f>'Revenue Requirements'!H20</f>
        <v>14419</v>
      </c>
      <c r="AN13" s="206" t="s">
        <v>721</v>
      </c>
      <c r="AO13" s="205">
        <f>'Revenue Requirements'!H21-'Rate TT RTP'!L25</f>
        <v>45526</v>
      </c>
    </row>
    <row r="14" spans="1:46" ht="32.25" thickBot="1">
      <c r="B14" s="219" t="s">
        <v>557</v>
      </c>
      <c r="C14" s="220">
        <v>16</v>
      </c>
      <c r="D14" s="217">
        <f>(C14-C10)/C10</f>
        <v>0.23076923076923078</v>
      </c>
      <c r="F14" s="206" t="s">
        <v>675</v>
      </c>
      <c r="G14" s="221">
        <f>(G12-G13)/G13</f>
        <v>-0.17720951099147597</v>
      </c>
      <c r="J14" s="200"/>
      <c r="N14" s="206" t="s">
        <v>551</v>
      </c>
      <c r="O14" s="209">
        <f>O12-O13</f>
        <v>358.49</v>
      </c>
      <c r="V14" s="206"/>
      <c r="W14" s="209"/>
      <c r="Z14" s="206" t="s">
        <v>551</v>
      </c>
      <c r="AA14" s="209">
        <f>AA12-AA13</f>
        <v>0.16000000000000014</v>
      </c>
      <c r="AD14" s="206" t="s">
        <v>611</v>
      </c>
      <c r="AE14" s="205">
        <f>AE11-AE12-AE13</f>
        <v>896334</v>
      </c>
      <c r="AI14" s="206" t="s">
        <v>673</v>
      </c>
      <c r="AJ14" s="213">
        <f>ROUND(AJ13/AJ12,2)</f>
        <v>120.16</v>
      </c>
      <c r="AM14" s="222">
        <f>A12</f>
        <v>0.5</v>
      </c>
      <c r="AN14" s="206" t="s">
        <v>673</v>
      </c>
      <c r="AO14" s="213">
        <f>ROUND(AO13/AO12,2)</f>
        <v>291.83</v>
      </c>
    </row>
    <row r="15" spans="1:46" ht="32.25" thickBot="1">
      <c r="B15" s="198" t="s">
        <v>558</v>
      </c>
      <c r="C15" s="223">
        <f>'Rate RS'!L23</f>
        <v>27039856</v>
      </c>
      <c r="E15" s="222">
        <v>1</v>
      </c>
      <c r="F15" s="206" t="s">
        <v>676</v>
      </c>
      <c r="G15" s="221">
        <f>G14*E15</f>
        <v>-0.17720951099147597</v>
      </c>
      <c r="J15" s="200"/>
      <c r="N15" s="206" t="s">
        <v>851</v>
      </c>
      <c r="O15" s="209">
        <f>ROUND(O13+(1+'Revenue Requirements'!J13),2)</f>
        <v>128.13999999999999</v>
      </c>
      <c r="V15" s="206"/>
      <c r="W15" s="209"/>
      <c r="Z15" s="206" t="s">
        <v>706</v>
      </c>
      <c r="AA15" s="209">
        <f>ROUND(AA13+(Migration_CC*AA14),2)</f>
        <v>15.08</v>
      </c>
      <c r="AD15" s="206" t="s">
        <v>616</v>
      </c>
      <c r="AE15" s="207">
        <f>'Rate SP GSFL'!F43</f>
        <v>275</v>
      </c>
      <c r="AI15" s="206" t="s">
        <v>556</v>
      </c>
      <c r="AJ15" s="213">
        <f>INPUT!C113</f>
        <v>117</v>
      </c>
      <c r="AN15" s="206" t="s">
        <v>556</v>
      </c>
      <c r="AO15" s="213">
        <f>INPUT!C123</f>
        <v>500</v>
      </c>
    </row>
    <row r="16" spans="1:46" ht="32.25" thickBot="1">
      <c r="B16" s="206"/>
      <c r="C16" s="209"/>
      <c r="F16" s="206" t="s">
        <v>566</v>
      </c>
      <c r="G16" s="213">
        <f>ROUND(INPUT!C48*(1+'Proposed Rates'!$G$15),2)</f>
        <v>12.34</v>
      </c>
      <c r="J16" s="200"/>
      <c r="N16" s="198" t="s">
        <v>693</v>
      </c>
      <c r="O16" s="224">
        <v>128</v>
      </c>
      <c r="P16" s="217">
        <f>(O16-O13)/O13</f>
        <v>7.874015748031496E-3</v>
      </c>
      <c r="V16" s="198" t="s">
        <v>600</v>
      </c>
      <c r="W16" s="224">
        <f>G19</f>
        <v>30</v>
      </c>
      <c r="X16" s="222">
        <f>(W16-INPUT!C87)/INPUT!C87</f>
        <v>0</v>
      </c>
      <c r="Z16" s="206"/>
      <c r="AA16" s="225"/>
      <c r="AD16" s="206" t="s">
        <v>660</v>
      </c>
      <c r="AE16" s="207">
        <f>'Rate SP GSFL'!H46</f>
        <v>11644</v>
      </c>
      <c r="AI16" s="206" t="s">
        <v>551</v>
      </c>
      <c r="AJ16" s="209">
        <f>AJ14-AJ15</f>
        <v>3.1599999999999966</v>
      </c>
      <c r="AN16" s="206" t="s">
        <v>551</v>
      </c>
      <c r="AO16" s="209">
        <f>AO14-AO15</f>
        <v>-208.17000000000002</v>
      </c>
    </row>
    <row r="17" spans="2:44" ht="32.25" thickBot="1">
      <c r="B17" s="206" t="s">
        <v>559</v>
      </c>
      <c r="C17" s="205">
        <f>'Revenue Requirements'!I10</f>
        <v>231141541</v>
      </c>
      <c r="F17" s="206" t="s">
        <v>567</v>
      </c>
      <c r="G17" s="213">
        <f>ROUND(INPUT!C49*(1+'Proposed Rates'!$G$15),2)</f>
        <v>24.68</v>
      </c>
      <c r="J17" s="200"/>
      <c r="N17" s="226" t="s">
        <v>694</v>
      </c>
      <c r="O17" s="227">
        <f>+O16/2</f>
        <v>64</v>
      </c>
      <c r="V17" s="226" t="s">
        <v>601</v>
      </c>
      <c r="W17" s="227">
        <f>G18</f>
        <v>15</v>
      </c>
      <c r="X17" s="222">
        <f>(W17-INPUT!C86)/INPUT!C86</f>
        <v>0</v>
      </c>
      <c r="Z17" s="219" t="s">
        <v>606</v>
      </c>
      <c r="AA17" s="228">
        <f>W17</f>
        <v>15</v>
      </c>
      <c r="AB17" s="222">
        <f>(AA17-AA13)/AA13</f>
        <v>0</v>
      </c>
      <c r="AD17" s="206" t="s">
        <v>661</v>
      </c>
      <c r="AE17" s="207">
        <f>'Rate SP GSFL'!H47</f>
        <v>5911099</v>
      </c>
      <c r="AI17" s="206" t="s">
        <v>1127</v>
      </c>
      <c r="AJ17" s="209">
        <f>ROUND(AJ15*(1+'Revenue Requirements'!J20),2)</f>
        <v>124.41</v>
      </c>
      <c r="AN17" s="206"/>
      <c r="AO17" s="209"/>
    </row>
    <row r="18" spans="2:44" ht="32.25" thickBot="1">
      <c r="B18" s="206" t="s">
        <v>727</v>
      </c>
      <c r="C18" s="229">
        <f>C17-C15-'Rate RS'!R34</f>
        <v>198774168</v>
      </c>
      <c r="F18" s="198" t="s">
        <v>565</v>
      </c>
      <c r="G18" s="224">
        <v>15</v>
      </c>
      <c r="J18" s="200"/>
      <c r="N18" s="206" t="s">
        <v>695</v>
      </c>
      <c r="O18" s="205">
        <f>'Revenue Requirements'!H15</f>
        <v>142589</v>
      </c>
      <c r="V18" s="206" t="s">
        <v>602</v>
      </c>
      <c r="W18" s="229">
        <f>'Rate EH'!R27</f>
        <v>27120</v>
      </c>
      <c r="Z18" s="198" t="s">
        <v>602</v>
      </c>
      <c r="AA18" s="223">
        <f>'Rate SP GSFL'!R25</f>
        <v>2490</v>
      </c>
      <c r="AD18" s="198" t="s">
        <v>613</v>
      </c>
      <c r="AE18" s="230">
        <f>ROUND(AE12/AE15,2)</f>
        <v>4.37</v>
      </c>
      <c r="AI18" s="206"/>
      <c r="AJ18" s="225"/>
      <c r="AN18" s="219" t="s">
        <v>630</v>
      </c>
      <c r="AO18" s="228">
        <v>500</v>
      </c>
    </row>
    <row r="19" spans="2:44" ht="32.25" thickBot="1">
      <c r="B19" s="206" t="s">
        <v>654</v>
      </c>
      <c r="C19" s="207">
        <f>'Rate RS'!H26</f>
        <v>1527729253</v>
      </c>
      <c r="F19" s="226" t="s">
        <v>568</v>
      </c>
      <c r="G19" s="227">
        <v>30</v>
      </c>
      <c r="J19" s="200"/>
      <c r="N19" s="206" t="s">
        <v>696</v>
      </c>
      <c r="O19" s="213">
        <f>ROUND(O18/O9,2)</f>
        <v>1088.47</v>
      </c>
      <c r="V19" s="219" t="s">
        <v>649</v>
      </c>
      <c r="W19" s="228">
        <f>AJ19</f>
        <v>120</v>
      </c>
      <c r="X19" s="222">
        <f>(W19-INPUT!C88)/INPUT!C88</f>
        <v>2.564102564102564E-2</v>
      </c>
      <c r="Z19" s="204"/>
      <c r="AA19" s="214"/>
      <c r="AD19" s="206" t="s">
        <v>614</v>
      </c>
      <c r="AE19" s="231">
        <f>ROUND(AE13/AE16,6)-0.0002</f>
        <v>0.13300199999999998</v>
      </c>
      <c r="AI19" s="219" t="s">
        <v>708</v>
      </c>
      <c r="AJ19" s="228">
        <v>120</v>
      </c>
      <c r="AN19" s="198" t="s">
        <v>631</v>
      </c>
      <c r="AO19" s="232">
        <f>AO18*AO12</f>
        <v>78000</v>
      </c>
    </row>
    <row r="20" spans="2:44" ht="32.25" thickBot="1">
      <c r="B20" s="219" t="s">
        <v>560</v>
      </c>
      <c r="C20" s="233">
        <f>ROUND(C18/C19,6)</f>
        <v>0.130111</v>
      </c>
      <c r="F20" s="200"/>
      <c r="J20" s="200"/>
      <c r="N20" s="206" t="s">
        <v>588</v>
      </c>
      <c r="O20" s="213">
        <f>INPUT!C70</f>
        <v>138</v>
      </c>
      <c r="P20" s="193">
        <f>ROUND(O20*(1+'Revenue Requirements'!J15),2)</f>
        <v>160.18</v>
      </c>
      <c r="V20" s="198" t="s">
        <v>732</v>
      </c>
      <c r="W20" s="223">
        <f>'Revenue Requirements'!I36-'Proposed Rates'!W18-'Rate EH'!R39</f>
        <v>2007098</v>
      </c>
      <c r="Z20" s="206" t="s">
        <v>732</v>
      </c>
      <c r="AA20" s="229">
        <f>'Revenue Requirements'!I37-'Proposed Rates'!AA18-'Rate SP GSFL'!R34</f>
        <v>54854</v>
      </c>
      <c r="AD20" s="226" t="s">
        <v>615</v>
      </c>
      <c r="AE20" s="234">
        <f>ROUND(AE14/AE17,6)</f>
        <v>0.15163599999999999</v>
      </c>
      <c r="AI20" s="198" t="s">
        <v>602</v>
      </c>
      <c r="AJ20" s="223">
        <f>'Rate DP'!L26</f>
        <v>14520</v>
      </c>
      <c r="AN20" s="206" t="s">
        <v>722</v>
      </c>
      <c r="AO20" s="205">
        <f>'Revenue Requirements'!I21</f>
        <v>16766906</v>
      </c>
    </row>
    <row r="21" spans="2:44" ht="62.25" customHeight="1" thickBot="1">
      <c r="B21" s="200" t="s">
        <v>655</v>
      </c>
      <c r="C21" s="235">
        <f>'Rate RS'!L28+'Rate RS'!R34-C17</f>
        <v>213</v>
      </c>
      <c r="F21" s="198" t="s">
        <v>677</v>
      </c>
      <c r="G21" s="236">
        <f>'Rate DS'!AT88</f>
        <v>0.23189527103039187</v>
      </c>
      <c r="J21" s="200"/>
      <c r="N21" s="206" t="s">
        <v>551</v>
      </c>
      <c r="O21" s="209">
        <f>O19-O20</f>
        <v>950.47</v>
      </c>
      <c r="V21" s="206" t="s">
        <v>107</v>
      </c>
      <c r="W21" s="207">
        <f>'Rate EH'!H33</f>
        <v>19145457</v>
      </c>
      <c r="Z21" s="206" t="s">
        <v>107</v>
      </c>
      <c r="AA21" s="207">
        <f>'Rate SP GSFL'!H28</f>
        <v>327203</v>
      </c>
      <c r="AD21" s="200"/>
      <c r="AE21" s="202"/>
      <c r="AI21" s="206" t="s">
        <v>734</v>
      </c>
      <c r="AJ21" s="205">
        <f>'Revenue Requirements'!I20</f>
        <v>899851</v>
      </c>
      <c r="AN21" s="206" t="s">
        <v>632</v>
      </c>
      <c r="AO21" s="207">
        <f>'Rate TT RTP'!R31</f>
        <v>547030</v>
      </c>
    </row>
    <row r="22" spans="2:44" ht="32.25" thickBot="1">
      <c r="F22" s="206" t="s">
        <v>728</v>
      </c>
      <c r="G22" s="229">
        <f>'Revenue Requirements'!I34-'Rate DS'!L27-'Rate DS RTP'!L31-'Rate DS'!R46</f>
        <v>140815998</v>
      </c>
      <c r="J22" s="200"/>
      <c r="N22" s="206" t="s">
        <v>1126</v>
      </c>
      <c r="O22" s="193">
        <f>ROUND(O20*(1+'Revenue Requirements'!J15),2)</f>
        <v>160.18</v>
      </c>
      <c r="V22" s="219" t="s">
        <v>603</v>
      </c>
      <c r="W22" s="237">
        <f>ROUND(W20/W21,6)</f>
        <v>0.104834</v>
      </c>
      <c r="Z22" s="219" t="s">
        <v>603</v>
      </c>
      <c r="AA22" s="237">
        <f>ROUND(AA20/AA21,6)</f>
        <v>0.16764499999999999</v>
      </c>
      <c r="AD22" s="200" t="s">
        <v>655</v>
      </c>
      <c r="AE22" s="235">
        <f>'Rate SP GSFL'!R48+'Rate SP GSFL'!R53-'Revenue Requirements'!I35</f>
        <v>0</v>
      </c>
      <c r="AI22" s="206" t="s">
        <v>735</v>
      </c>
      <c r="AJ22" s="205">
        <f>AJ21-AJ20-'Rate DP'!R42</f>
        <v>858385</v>
      </c>
      <c r="AN22" s="206" t="s">
        <v>736</v>
      </c>
      <c r="AO22" s="229">
        <f>AO20-AO21-AO19-'Rate TT'!R52</f>
        <v>15495127</v>
      </c>
    </row>
    <row r="23" spans="2:44" ht="32.25" thickBot="1">
      <c r="F23" s="206" t="s">
        <v>678</v>
      </c>
      <c r="G23" s="205">
        <f>ROUND(G22*G21,0)</f>
        <v>32654564</v>
      </c>
      <c r="J23" s="200"/>
      <c r="N23" s="198" t="s">
        <v>659</v>
      </c>
      <c r="O23" s="224">
        <v>160</v>
      </c>
      <c r="P23" s="217">
        <f>(O23-O20)/O20</f>
        <v>0.15942028985507245</v>
      </c>
      <c r="AI23" s="206" t="s">
        <v>709</v>
      </c>
      <c r="AJ23" s="205">
        <f>ROUND($AJ$22*AK7,0)</f>
        <v>277664</v>
      </c>
      <c r="AN23" s="204"/>
      <c r="AO23" s="214"/>
    </row>
    <row r="24" spans="2:44" ht="32.25" thickBot="1">
      <c r="F24" s="206" t="s">
        <v>569</v>
      </c>
      <c r="G24" s="207">
        <f>'Rate DS'!H31</f>
        <v>2641511</v>
      </c>
      <c r="J24" s="200"/>
      <c r="N24" s="198" t="s">
        <v>698</v>
      </c>
      <c r="O24" s="238">
        <f>'Rate DT-Pri'!L24+'Rate DT-Pri'!L42+'Rate DT-Sec'!L25+'Rate DT-Sec'!L42</f>
        <v>237664</v>
      </c>
      <c r="P24" s="239"/>
      <c r="Q24" s="239"/>
      <c r="R24" s="239"/>
      <c r="S24" s="216"/>
      <c r="V24" s="200" t="s">
        <v>655</v>
      </c>
      <c r="W24" s="235">
        <f>'Rate EH'!R34+'Rate EH'!R39-'Revenue Requirements'!I36</f>
        <v>-3</v>
      </c>
      <c r="Z24" s="200" t="s">
        <v>655</v>
      </c>
      <c r="AA24" s="235">
        <f>'Rate SP GSFL'!R29+'Rate SP GSFL'!R34-'Revenue Requirements'!I37</f>
        <v>0</v>
      </c>
      <c r="AI24" s="206" t="s">
        <v>710</v>
      </c>
      <c r="AJ24" s="205">
        <f>AJ22-AJ23-AJ25-AJ26</f>
        <v>523194</v>
      </c>
      <c r="AN24" s="206"/>
      <c r="AO24" s="240"/>
    </row>
    <row r="25" spans="2:44" ht="32.25" thickBot="1">
      <c r="F25" s="219" t="s">
        <v>570</v>
      </c>
      <c r="G25" s="220">
        <f>ROUND(G23/G24,2)</f>
        <v>12.36</v>
      </c>
      <c r="J25" s="200"/>
      <c r="N25" s="206" t="s">
        <v>699</v>
      </c>
      <c r="O25" s="208">
        <f>'Revenue Requirements'!I13+'Revenue Requirements'!I15</f>
        <v>116920991</v>
      </c>
      <c r="S25" s="214"/>
      <c r="AI25" s="206" t="s">
        <v>711</v>
      </c>
      <c r="AJ25" s="205">
        <f>ROUND($AJ$22*AK9,0)</f>
        <v>57527</v>
      </c>
      <c r="AN25" s="206"/>
      <c r="AO25" s="240"/>
    </row>
    <row r="26" spans="2:44" ht="16.5" thickBot="1">
      <c r="F26" s="226" t="s">
        <v>658</v>
      </c>
      <c r="G26" s="241">
        <f>'Rate DS'!L32</f>
        <v>41867949</v>
      </c>
      <c r="J26" s="200"/>
      <c r="N26" s="206" t="s">
        <v>585</v>
      </c>
      <c r="O26" s="202">
        <f>'Rate DT RTP-S'!R31</f>
        <v>83228</v>
      </c>
      <c r="S26" s="214"/>
      <c r="AI26" s="206" t="s">
        <v>712</v>
      </c>
      <c r="AJ26" s="205">
        <f>ROUND($AJ$22*AK10,0)</f>
        <v>0</v>
      </c>
      <c r="AN26" s="206" t="s">
        <v>826</v>
      </c>
      <c r="AO26" s="207">
        <f>'Rate TT'!AA93</f>
        <v>16346458</v>
      </c>
    </row>
    <row r="27" spans="2:44" ht="16.5" thickBot="1">
      <c r="F27" s="200"/>
      <c r="J27" s="200"/>
      <c r="N27" s="206" t="s">
        <v>731</v>
      </c>
      <c r="O27" s="242">
        <f>'Rate DT-Pri'!R61+'Rate DT-Sec'!R59</f>
        <v>3748801</v>
      </c>
      <c r="S27" s="214"/>
      <c r="AI27" s="206" t="s">
        <v>713</v>
      </c>
      <c r="AJ27" s="218">
        <f>'Rate DP'!H29</f>
        <v>27415</v>
      </c>
      <c r="AN27" s="206" t="s">
        <v>827</v>
      </c>
      <c r="AO27" s="207">
        <f>'Rate TT'!AA107</f>
        <v>32710232</v>
      </c>
    </row>
    <row r="28" spans="2:44" ht="31.5">
      <c r="F28" s="198" t="s">
        <v>679</v>
      </c>
      <c r="G28" s="223">
        <f>'Proposed Rates'!G22-'Proposed Rates'!G26</f>
        <v>98948049</v>
      </c>
      <c r="J28" s="200"/>
      <c r="N28" s="206" t="s">
        <v>729</v>
      </c>
      <c r="O28" s="242">
        <f>O25-O26-O24-O27</f>
        <v>112851298</v>
      </c>
      <c r="Q28" s="243"/>
      <c r="S28" s="214"/>
      <c r="AI28" s="206" t="s">
        <v>714</v>
      </c>
      <c r="AJ28" s="218">
        <f>'Rate DP'!H33</f>
        <v>6857618</v>
      </c>
      <c r="AN28" s="206" t="s">
        <v>828</v>
      </c>
      <c r="AO28" s="207">
        <f>'Rate TT'!AA94+'Rate TT'!AA108</f>
        <v>136406367</v>
      </c>
      <c r="AP28" s="217"/>
    </row>
    <row r="29" spans="2:44" ht="32.25" thickBot="1">
      <c r="F29" s="206" t="s">
        <v>680</v>
      </c>
      <c r="G29" s="221">
        <f>'Rate DS'!AT91</f>
        <v>0.42754931177034039</v>
      </c>
      <c r="J29" s="200"/>
      <c r="N29" s="206" t="s">
        <v>977</v>
      </c>
      <c r="O29" s="208">
        <f>P37</f>
        <v>17100179</v>
      </c>
      <c r="P29" s="200" t="s">
        <v>702</v>
      </c>
      <c r="Q29" s="245" t="s">
        <v>730</v>
      </c>
      <c r="R29" s="200" t="s">
        <v>700</v>
      </c>
      <c r="S29" s="246" t="s">
        <v>701</v>
      </c>
      <c r="AI29" s="206" t="s">
        <v>715</v>
      </c>
      <c r="AJ29" s="218">
        <f>'Rate DP'!H34</f>
        <v>869355</v>
      </c>
      <c r="AN29" s="274"/>
      <c r="AO29" s="258"/>
      <c r="AP29" s="217"/>
    </row>
    <row r="30" spans="2:44" ht="16.5" thickBot="1">
      <c r="F30" s="206" t="s">
        <v>681</v>
      </c>
      <c r="G30" s="205">
        <f>ROUND(G28*G29,0)</f>
        <v>42305170</v>
      </c>
      <c r="J30" s="200"/>
      <c r="N30" s="198" t="s">
        <v>589</v>
      </c>
      <c r="O30" s="293">
        <f>S30-0.000001</f>
        <v>6.4528000000000002E-2</v>
      </c>
      <c r="P30" s="208">
        <f>ROUND(($O$28-$O$29)*R30,0)</f>
        <v>7199807</v>
      </c>
      <c r="Q30" s="202">
        <f>'Rate DT-Pri'!AO107+'Rate DT-Sec'!AO104</f>
        <v>6331521</v>
      </c>
      <c r="R30" s="244">
        <f t="shared" ref="R30:R36" si="0">Q30/(SUM($Q$30:$Q$39))</f>
        <v>7.5192931310727976E-2</v>
      </c>
      <c r="S30" s="214">
        <f>ROUND(P30/('Rate DT-Pri'!H35+'Rate DT-Sec'!H34),6)</f>
        <v>6.4529000000000003E-2</v>
      </c>
      <c r="AI30" s="206" t="s">
        <v>716</v>
      </c>
      <c r="AJ30" s="218">
        <f>'Rate DP'!H35</f>
        <v>0</v>
      </c>
      <c r="AN30" s="198" t="s">
        <v>723</v>
      </c>
      <c r="AO30" s="230">
        <f>ROUND($AO$22*AP7/'Rate TT'!H24,2)</f>
        <v>10.23</v>
      </c>
      <c r="AP30" s="217"/>
    </row>
    <row r="31" spans="2:44" ht="16.5" thickBot="1">
      <c r="F31" s="206" t="s">
        <v>571</v>
      </c>
      <c r="G31" s="207">
        <f>'Rate DS'!H35</f>
        <v>348050244</v>
      </c>
      <c r="J31" s="200"/>
      <c r="N31" s="206" t="s">
        <v>590</v>
      </c>
      <c r="O31" s="297">
        <f>S31-0</f>
        <v>6.2133000000000001E-2</v>
      </c>
      <c r="P31" s="208">
        <f>ROUND(($O$28-$O$29)*R31,0)</f>
        <v>11993758</v>
      </c>
      <c r="Q31" s="202">
        <f>'Rate DT-Pri'!AO125+'Rate DT-Sec'!AO121</f>
        <v>10547328</v>
      </c>
      <c r="R31" s="244">
        <f t="shared" si="0"/>
        <v>0.12525971402696412</v>
      </c>
      <c r="S31" s="247">
        <f>ROUND(P31/('Rate DT-Pri'!H53+'Rate DT-Sec'!H51),6)</f>
        <v>6.2133000000000001E-2</v>
      </c>
      <c r="AI31" s="198" t="s">
        <v>622</v>
      </c>
      <c r="AJ31" s="224">
        <f>ROUND(AJ23/AJ27,2)</f>
        <v>10.130000000000001</v>
      </c>
      <c r="AK31" s="193">
        <f>+AJ31/INPUT!C119</f>
        <v>1.0663157894736843</v>
      </c>
      <c r="AN31" s="206" t="s">
        <v>724</v>
      </c>
      <c r="AO31" s="248">
        <f>ROUND($AO$22*AP8/'Rate TT'!H38,2)</f>
        <v>8.39</v>
      </c>
    </row>
    <row r="32" spans="2:44" ht="32.25" thickBot="1">
      <c r="F32" s="219" t="s">
        <v>572</v>
      </c>
      <c r="G32" s="249">
        <f>ROUND(G30/G31,6)-0</f>
        <v>0.121549</v>
      </c>
      <c r="J32" s="200"/>
      <c r="N32" s="206" t="s">
        <v>591</v>
      </c>
      <c r="O32" s="251">
        <f>S32-0.000002</f>
        <v>5.4975999999999997E-2</v>
      </c>
      <c r="P32" s="208">
        <f>O28-O29-P30-P31-P33-P34-P35-P36-P38-P39</f>
        <v>42355594</v>
      </c>
      <c r="Q32" s="202">
        <f>'Rate DT-Pri'!AO108+'Rate DT-Pri'!AO126+'Rate DT-Sec'!AO105+'Rate DT-Sec'!AO122</f>
        <v>37247571</v>
      </c>
      <c r="R32" s="244">
        <f t="shared" si="0"/>
        <v>0.44235090552403811</v>
      </c>
      <c r="S32" s="214">
        <f>ROUND(P32/('Rate DT-Pri'!H54+'Rate DT-Pri'!H36+'Rate DT-Sec'!H52+'Rate DT-Sec'!H35),6)</f>
        <v>5.4977999999999999E-2</v>
      </c>
      <c r="AI32" s="206" t="s">
        <v>623</v>
      </c>
      <c r="AJ32" s="231">
        <f>ROUND(AJ24/AJ28,6)</f>
        <v>7.6294000000000001E-2</v>
      </c>
      <c r="AK32" s="193">
        <f>+AJ32/INPUT!C115</f>
        <v>1.0661244794723457</v>
      </c>
      <c r="AN32" s="226" t="s">
        <v>725</v>
      </c>
      <c r="AO32" s="250">
        <f>ROUND($AO$22*AP9/('Rate TT'!H25+'Rate TT'!H39),2)</f>
        <v>1.55</v>
      </c>
      <c r="AR32" s="242">
        <f>AO22-AO33</f>
        <v>12013954</v>
      </c>
    </row>
    <row r="33" spans="6:45" ht="16.5" thickBot="1">
      <c r="F33" s="206"/>
      <c r="G33" s="221"/>
      <c r="J33" s="200"/>
      <c r="N33" s="206" t="s">
        <v>592</v>
      </c>
      <c r="O33" s="251">
        <f t="shared" ref="O33:O39" si="1">S33</f>
        <v>16.73</v>
      </c>
      <c r="P33" s="208">
        <f>ROUND(($O$28-$O$29)*R33,0)</f>
        <v>12842943</v>
      </c>
      <c r="Q33" s="202">
        <f>'Rate DT-Pri'!AO98+'Rate DT-Sec'!AO98</f>
        <v>11294103</v>
      </c>
      <c r="R33" s="244">
        <f t="shared" si="0"/>
        <v>0.13412838891244092</v>
      </c>
      <c r="S33" s="214">
        <f>ROUND(P33/('Rate DT-Pri'!H26+'Rate DT-Sec'!H28),2)</f>
        <v>16.73</v>
      </c>
      <c r="AI33" s="206" t="s">
        <v>624</v>
      </c>
      <c r="AJ33" s="252">
        <f>ROUND(AJ25/AJ29,6)-0.00006</f>
        <v>6.611199999999999E-2</v>
      </c>
      <c r="AK33" s="193">
        <f>+AJ33/INPUT!C116</f>
        <v>1.0651543468453952</v>
      </c>
      <c r="AN33" s="206" t="s">
        <v>726</v>
      </c>
      <c r="AO33" s="207">
        <f>'Rate TT'!L26+'Rate TT'!L40</f>
        <v>3481173</v>
      </c>
      <c r="AP33" s="217" t="s">
        <v>852</v>
      </c>
      <c r="AQ33" s="193" t="s">
        <v>741</v>
      </c>
      <c r="AR33" s="193" t="s">
        <v>853</v>
      </c>
      <c r="AS33" s="193" t="s">
        <v>639</v>
      </c>
    </row>
    <row r="34" spans="6:45" ht="16.5" thickBot="1">
      <c r="F34" s="206" t="s">
        <v>682</v>
      </c>
      <c r="G34" s="205">
        <f>G28-G30-G38-G42-G46</f>
        <v>41065640</v>
      </c>
      <c r="J34" s="200"/>
      <c r="N34" s="206" t="s">
        <v>593</v>
      </c>
      <c r="O34" s="251">
        <f t="shared" si="1"/>
        <v>1.5</v>
      </c>
      <c r="P34" s="208">
        <f>ROUND(($O$28-$O$29)*R34,0)</f>
        <v>18680</v>
      </c>
      <c r="Q34" s="202">
        <f>'Rate DT-Pri'!AO99+'Rate DT-Sec'!AO99</f>
        <v>16427</v>
      </c>
      <c r="R34" s="244">
        <f t="shared" si="0"/>
        <v>1.9508650174915765E-4</v>
      </c>
      <c r="S34" s="214">
        <f>ROUND(P34/('Rate DT-Pri'!H27+'Rate DT-Sec'!H29),2)</f>
        <v>1.5</v>
      </c>
      <c r="AI34" s="226" t="s">
        <v>625</v>
      </c>
      <c r="AJ34" s="234">
        <f>ROUND(+INPUT!C117*AVERAGE('Proposed Rates'!AK32:AK33),6)</f>
        <v>0.308166</v>
      </c>
      <c r="AN34" s="198" t="s">
        <v>633</v>
      </c>
      <c r="AO34" s="295">
        <f>AS34+0.000001</f>
        <v>7.3557999999999998E-2</v>
      </c>
      <c r="AP34" s="202">
        <f>'Rate TT'!AE93</f>
        <v>1105871</v>
      </c>
      <c r="AQ34" s="193">
        <f>AP34/SUM($AP$34:$AP$36)</f>
        <v>0.10008389565444041</v>
      </c>
      <c r="AR34" s="261">
        <f>ROUND(AQ34*$AR$32,0)</f>
        <v>1202403</v>
      </c>
      <c r="AS34" s="275">
        <f>ROUND(AR34/AO26,6)</f>
        <v>7.3556999999999997E-2</v>
      </c>
    </row>
    <row r="35" spans="6:45" ht="16.5" thickBot="1">
      <c r="F35" s="206" t="s">
        <v>573</v>
      </c>
      <c r="G35" s="207">
        <f>'Rate DS'!H36</f>
        <v>519725648</v>
      </c>
      <c r="J35" s="200"/>
      <c r="N35" s="206" t="s">
        <v>594</v>
      </c>
      <c r="O35" s="251">
        <f t="shared" si="1"/>
        <v>15.83</v>
      </c>
      <c r="P35" s="208">
        <f>ROUND(($O$28-$O$29)*R35,0)</f>
        <v>22004027</v>
      </c>
      <c r="Q35" s="202">
        <f>'Rate DT-Pri'!AO116+'Rate DT-Sec'!AO115</f>
        <v>19350373</v>
      </c>
      <c r="R35" s="244">
        <f t="shared" si="0"/>
        <v>0.22980438157371116</v>
      </c>
      <c r="S35" s="214">
        <f>ROUND(P35/('Rate DT-Pri'!H44+'Rate DT-Sec'!H45),2)</f>
        <v>15.83</v>
      </c>
      <c r="AI35" s="200"/>
      <c r="AN35" s="206" t="s">
        <v>634</v>
      </c>
      <c r="AO35" s="253">
        <f>AS35</f>
        <v>7.0735999999999993E-2</v>
      </c>
      <c r="AP35" s="202">
        <f>'Rate TT'!AE107</f>
        <v>2128030</v>
      </c>
      <c r="AQ35" s="193">
        <f>AP35/SUM($AP$34:$AP$36)</f>
        <v>0.19259166075384815</v>
      </c>
      <c r="AR35" s="261">
        <f>ROUND(AQ35*$AR$32,0)</f>
        <v>2313787</v>
      </c>
      <c r="AS35" s="275">
        <f>ROUND(AR35/AO27,6)</f>
        <v>7.0735999999999993E-2</v>
      </c>
    </row>
    <row r="36" spans="6:45" ht="32.25" thickBot="1">
      <c r="F36" s="219" t="s">
        <v>574</v>
      </c>
      <c r="G36" s="249">
        <f>ROUND(G34/G35,6)-0</f>
        <v>7.9014000000000001E-2</v>
      </c>
      <c r="J36" s="200"/>
      <c r="N36" s="206" t="s">
        <v>595</v>
      </c>
      <c r="O36" s="251">
        <f t="shared" si="1"/>
        <v>1.5</v>
      </c>
      <c r="P36" s="208">
        <f>ROUND(($O$28-$O$29)*R36,0)</f>
        <v>45266</v>
      </c>
      <c r="Q36" s="202">
        <f>'Rate DT-Pri'!AO117+'Rate DT-Sec'!AO116</f>
        <v>39807</v>
      </c>
      <c r="R36" s="244">
        <f t="shared" si="0"/>
        <v>4.7274659859552684E-4</v>
      </c>
      <c r="S36" s="214">
        <f>ROUND(P36/('Rate DT-Pri'!H45+'Rate DT-Sec'!H46),2)</f>
        <v>1.5</v>
      </c>
      <c r="AI36" s="200" t="s">
        <v>655</v>
      </c>
      <c r="AJ36" s="235">
        <f>'Rate DP'!R37+'Rate DP'!R42-'Revenue Requirements'!I20</f>
        <v>-1</v>
      </c>
      <c r="AN36" s="226" t="s">
        <v>635</v>
      </c>
      <c r="AO36" s="294">
        <f>AS36</f>
        <v>6.2296999999999998E-2</v>
      </c>
      <c r="AP36" s="202">
        <f>'Rate TT'!AE94+'Rate TT'!AE108</f>
        <v>7815539</v>
      </c>
      <c r="AQ36" s="193">
        <f>AP36/SUM($AP$34:$AP$36)</f>
        <v>0.70732444359171143</v>
      </c>
      <c r="AR36" s="242">
        <f>AR32-AR34-AR35</f>
        <v>8497764</v>
      </c>
      <c r="AS36" s="275">
        <f>ROUND(AR36/AO28,6)</f>
        <v>6.2296999999999998E-2</v>
      </c>
    </row>
    <row r="37" spans="6:45" ht="31.5">
      <c r="F37" s="206" t="s">
        <v>683</v>
      </c>
      <c r="G37" s="221">
        <f>'Rate DS'!AT93</f>
        <v>0.15424000069517446</v>
      </c>
      <c r="J37" s="200"/>
      <c r="N37" s="206" t="s">
        <v>976</v>
      </c>
      <c r="O37" s="251">
        <f>S37-0</f>
        <v>7.77</v>
      </c>
      <c r="P37" s="208">
        <f>'RTP Worksheet'!E10+'RTP Worksheet'!G10</f>
        <v>17100179</v>
      </c>
      <c r="Q37" s="202"/>
      <c r="R37" s="244"/>
      <c r="S37" s="214">
        <f>ROUND(P37/('Rate DT-Pri'!H47+'Rate DT-Sec'!H48+'Rate DT-Pri'!H28+'Rate DT-Sec'!H30),2)</f>
        <v>7.77</v>
      </c>
      <c r="AN37" s="200"/>
    </row>
    <row r="38" spans="6:45" ht="31.5">
      <c r="F38" s="206" t="s">
        <v>684</v>
      </c>
      <c r="G38" s="205">
        <f>ROUND($G$28*G37,0)</f>
        <v>15261747</v>
      </c>
      <c r="J38" s="200"/>
      <c r="N38" s="206" t="s">
        <v>596</v>
      </c>
      <c r="O38" s="251">
        <f t="shared" si="1"/>
        <v>-0.85</v>
      </c>
      <c r="P38" s="208">
        <f>ROUND(($O$28-$O$29)*R38,0)</f>
        <v>-299387</v>
      </c>
      <c r="Q38" s="202">
        <f>'Rate DT-Pri'!AO103+'Rate DT-Pri'!AO121</f>
        <v>-263281</v>
      </c>
      <c r="R38" s="244">
        <f>Q38/(SUM($Q$30:$Q$39))</f>
        <v>-3.1267163369464892E-3</v>
      </c>
      <c r="S38" s="214">
        <f>IF('Rate DT-Pri'!H31+'Rate DT-Pri'!H49=0,0,ROUND(P38/('Rate DT-Pri'!H31+'Rate DT-Pri'!H49),2))</f>
        <v>-0.85</v>
      </c>
      <c r="AN38" s="200" t="s">
        <v>655</v>
      </c>
      <c r="AO38" s="212">
        <f>'Rate TT'!R47+'Rate TT'!R52+'Rate TT RTP'!R31-AO20</f>
        <v>-43</v>
      </c>
    </row>
    <row r="39" spans="6:45" ht="16.5" thickBot="1">
      <c r="F39" s="206" t="s">
        <v>575</v>
      </c>
      <c r="G39" s="207">
        <f>'Rate DS'!H37</f>
        <v>228571887</v>
      </c>
      <c r="J39" s="200"/>
      <c r="N39" s="226" t="s">
        <v>597</v>
      </c>
      <c r="O39" s="254">
        <f t="shared" si="1"/>
        <v>-0.66</v>
      </c>
      <c r="P39" s="255">
        <f>ROUND(($O$28-$O$29)*R39,0)</f>
        <v>-409569</v>
      </c>
      <c r="Q39" s="256">
        <f>'Rate DT-Pri'!AO104+'Rate DT-Pri'!AO122</f>
        <v>-360176</v>
      </c>
      <c r="R39" s="257">
        <f>Q39/(SUM($Q$30:$Q$39))</f>
        <v>-4.2774381112804898E-3</v>
      </c>
      <c r="S39" s="258">
        <f>IF('Rate DT-Pri'!H32+'Rate DT-Pri'!H50=0,0,ROUND(P39/('Rate DT-Pri'!H32+'Rate DT-Pri'!H50),2))</f>
        <v>-0.66</v>
      </c>
    </row>
    <row r="40" spans="6:45" ht="16.5" thickBot="1">
      <c r="F40" s="219" t="s">
        <v>576</v>
      </c>
      <c r="G40" s="259">
        <f>ROUND(G38/G39,6)-0.000002</f>
        <v>6.6767999999999994E-2</v>
      </c>
      <c r="J40" s="200"/>
      <c r="N40" s="200"/>
    </row>
    <row r="41" spans="6:45" ht="31.5">
      <c r="F41" s="206" t="s">
        <v>685</v>
      </c>
      <c r="G41" s="221">
        <f>'Rate DS'!AT94</f>
        <v>3.0546688674673995E-3</v>
      </c>
      <c r="J41" s="200"/>
      <c r="N41" s="200" t="s">
        <v>655</v>
      </c>
      <c r="O41" s="235">
        <f>'Rate DT-Pri'!R56+'Rate DT-Pri'!R61+'Rate DT-Sec'!R54+'Rate DT-Sec'!R59-(O25-O26)</f>
        <v>-16</v>
      </c>
    </row>
    <row r="42" spans="6:45">
      <c r="F42" s="206" t="s">
        <v>686</v>
      </c>
      <c r="G42" s="205">
        <f>ROUND($G$28*G41,0)</f>
        <v>302254</v>
      </c>
      <c r="J42" s="200"/>
      <c r="N42" s="200"/>
    </row>
    <row r="43" spans="6:45" ht="16.5" thickBot="1">
      <c r="F43" s="206" t="s">
        <v>577</v>
      </c>
      <c r="G43" s="207">
        <f>'Rate DS'!H38</f>
        <v>928876</v>
      </c>
      <c r="J43" s="200"/>
      <c r="N43" s="200"/>
    </row>
    <row r="44" spans="6:45" ht="32.25" thickBot="1">
      <c r="F44" s="219" t="s">
        <v>578</v>
      </c>
      <c r="G44" s="249">
        <f>ROUND(G42/G43,6)</f>
        <v>0.32539800000000002</v>
      </c>
      <c r="J44" s="200"/>
      <c r="N44" s="200"/>
      <c r="O44" s="202"/>
    </row>
    <row r="45" spans="6:45">
      <c r="F45" s="206" t="s">
        <v>580</v>
      </c>
      <c r="G45" s="260">
        <f>'Rate DS'!AT95</f>
        <v>1.3379111683702562E-4</v>
      </c>
      <c r="J45" s="200"/>
      <c r="N45" s="200"/>
    </row>
    <row r="46" spans="6:45">
      <c r="F46" s="206" t="s">
        <v>687</v>
      </c>
      <c r="G46" s="205">
        <f>ROUND($G$28*G45,0)</f>
        <v>13238</v>
      </c>
      <c r="J46" s="200"/>
      <c r="N46" s="200"/>
    </row>
    <row r="47" spans="6:45" ht="16.5" thickBot="1">
      <c r="F47" s="206" t="s">
        <v>579</v>
      </c>
      <c r="G47" s="207">
        <f>'Rate DS'!H39</f>
        <v>66268</v>
      </c>
      <c r="J47" s="200"/>
      <c r="N47" s="200"/>
    </row>
    <row r="48" spans="6:45" ht="16.5" thickBot="1">
      <c r="F48" s="219" t="s">
        <v>581</v>
      </c>
      <c r="G48" s="249">
        <f>ROUND(G46/G47,6)-0</f>
        <v>0.199765</v>
      </c>
      <c r="J48" s="200"/>
      <c r="N48" s="200"/>
    </row>
    <row r="49" spans="6:14">
      <c r="J49" s="200"/>
      <c r="N49" s="200"/>
    </row>
    <row r="50" spans="6:14">
      <c r="F50" s="200" t="s">
        <v>655</v>
      </c>
      <c r="G50" s="235">
        <f>'Rate DS'!L41+'Rate DS'!R46-('Revenue Requirements'!I34-'Rate DS RTP'!L31)</f>
        <v>-152</v>
      </c>
      <c r="J50" s="200"/>
    </row>
    <row r="51" spans="6:14">
      <c r="J51" s="200"/>
    </row>
    <row r="52" spans="6:14">
      <c r="J52" s="200"/>
    </row>
    <row r="53" spans="6:14">
      <c r="J53" s="200"/>
    </row>
    <row r="54" spans="6:14">
      <c r="J54" s="200"/>
    </row>
    <row r="70" spans="2:2">
      <c r="B70" s="200"/>
    </row>
    <row r="71" spans="2:2">
      <c r="B71" s="200"/>
    </row>
    <row r="72" spans="2:2">
      <c r="B72" s="200"/>
    </row>
    <row r="73" spans="2:2">
      <c r="B73" s="200"/>
    </row>
    <row r="74" spans="2:2">
      <c r="B74" s="200"/>
    </row>
    <row r="75" spans="2:2">
      <c r="B75" s="200"/>
    </row>
    <row r="76" spans="2:2">
      <c r="B76" s="200"/>
    </row>
    <row r="77" spans="2:2">
      <c r="B77" s="200"/>
    </row>
    <row r="78" spans="2:2">
      <c r="B78" s="200"/>
    </row>
    <row r="79" spans="2:2">
      <c r="B79" s="200"/>
    </row>
    <row r="80" spans="2:2">
      <c r="B80" s="200"/>
    </row>
    <row r="81" spans="2:2">
      <c r="B81" s="200"/>
    </row>
    <row r="82" spans="2:2">
      <c r="B82" s="200"/>
    </row>
    <row r="83" spans="2:2">
      <c r="B83" s="200"/>
    </row>
    <row r="84" spans="2:2">
      <c r="B84" s="200"/>
    </row>
    <row r="85" spans="2:2">
      <c r="B85" s="200"/>
    </row>
    <row r="86" spans="2:2">
      <c r="B86" s="200"/>
    </row>
    <row r="87" spans="2:2">
      <c r="B87" s="200"/>
    </row>
    <row r="88" spans="2:2">
      <c r="B88" s="200"/>
    </row>
    <row r="89" spans="2:2">
      <c r="B89" s="200"/>
    </row>
    <row r="90" spans="2:2">
      <c r="B90" s="200"/>
    </row>
    <row r="91" spans="2:2">
      <c r="B91" s="200"/>
    </row>
    <row r="92" spans="2:2">
      <c r="B92" s="200"/>
    </row>
    <row r="93" spans="2:2">
      <c r="B93" s="200"/>
    </row>
    <row r="94" spans="2:2">
      <c r="B94" s="200"/>
    </row>
    <row r="95" spans="2:2">
      <c r="B95" s="200"/>
    </row>
    <row r="96" spans="2:2">
      <c r="B96" s="200"/>
    </row>
    <row r="97" spans="2:2">
      <c r="B97" s="200"/>
    </row>
    <row r="98" spans="2:2">
      <c r="B98" s="200"/>
    </row>
    <row r="99" spans="2:2">
      <c r="B99" s="200"/>
    </row>
    <row r="100" spans="2:2">
      <c r="B100" s="200"/>
    </row>
    <row r="101" spans="2:2">
      <c r="B101" s="200"/>
    </row>
    <row r="102" spans="2:2">
      <c r="B102" s="200"/>
    </row>
    <row r="103" spans="2:2">
      <c r="B103" s="200"/>
    </row>
    <row r="104" spans="2:2">
      <c r="B104" s="200"/>
    </row>
    <row r="105" spans="2:2">
      <c r="B105" s="200"/>
    </row>
    <row r="106" spans="2:2">
      <c r="B106" s="200"/>
    </row>
    <row r="107" spans="2:2">
      <c r="B107" s="200"/>
    </row>
    <row r="108" spans="2:2">
      <c r="B108" s="200"/>
    </row>
    <row r="109" spans="2:2">
      <c r="B109" s="200"/>
    </row>
    <row r="110" spans="2:2">
      <c r="B110" s="200"/>
    </row>
    <row r="111" spans="2:2">
      <c r="B111" s="200"/>
    </row>
    <row r="112" spans="2:2">
      <c r="B112" s="200"/>
    </row>
    <row r="113" spans="2:2">
      <c r="B113" s="200"/>
    </row>
    <row r="114" spans="2:2">
      <c r="B114" s="200"/>
    </row>
    <row r="115" spans="2:2">
      <c r="B115" s="200"/>
    </row>
    <row r="116" spans="2:2">
      <c r="B116" s="200"/>
    </row>
    <row r="117" spans="2:2">
      <c r="B117" s="200"/>
    </row>
    <row r="118" spans="2:2">
      <c r="B118" s="200"/>
    </row>
    <row r="119" spans="2:2">
      <c r="B119" s="200"/>
    </row>
    <row r="120" spans="2:2">
      <c r="B120" s="200"/>
    </row>
    <row r="121" spans="2:2">
      <c r="B121" s="200"/>
    </row>
    <row r="122" spans="2:2">
      <c r="B122" s="200"/>
    </row>
    <row r="123" spans="2:2">
      <c r="B123" s="200"/>
    </row>
    <row r="124" spans="2:2">
      <c r="B124" s="200"/>
    </row>
    <row r="125" spans="2:2">
      <c r="B125" s="200"/>
    </row>
    <row r="126" spans="2:2">
      <c r="B126" s="200"/>
    </row>
    <row r="127" spans="2:2">
      <c r="B127" s="200"/>
    </row>
    <row r="128" spans="2:2">
      <c r="B128" s="200"/>
    </row>
    <row r="129" spans="2:2">
      <c r="B129" s="200"/>
    </row>
    <row r="130" spans="2:2">
      <c r="B130" s="200"/>
    </row>
    <row r="131" spans="2:2">
      <c r="B131" s="200"/>
    </row>
    <row r="132" spans="2:2">
      <c r="B132" s="200"/>
    </row>
    <row r="133" spans="2:2">
      <c r="B133" s="200"/>
    </row>
    <row r="134" spans="2:2">
      <c r="B134" s="200"/>
    </row>
    <row r="135" spans="2:2">
      <c r="B135" s="200"/>
    </row>
    <row r="136" spans="2:2">
      <c r="B136" s="200"/>
    </row>
    <row r="137" spans="2:2">
      <c r="B137" s="200"/>
    </row>
    <row r="138" spans="2:2">
      <c r="B138" s="200"/>
    </row>
    <row r="139" spans="2:2">
      <c r="B139" s="200"/>
    </row>
    <row r="140" spans="2:2">
      <c r="B140" s="200"/>
    </row>
    <row r="141" spans="2:2">
      <c r="B141" s="200"/>
    </row>
    <row r="142" spans="2:2">
      <c r="B142" s="200"/>
    </row>
    <row r="143" spans="2:2">
      <c r="B143" s="200"/>
    </row>
    <row r="144" spans="2:2">
      <c r="B144" s="200"/>
    </row>
    <row r="145" spans="2:2">
      <c r="B145" s="200"/>
    </row>
    <row r="146" spans="2:2">
      <c r="B146" s="200"/>
    </row>
    <row r="147" spans="2:2">
      <c r="B147" s="200"/>
    </row>
    <row r="148" spans="2:2">
      <c r="B148" s="200"/>
    </row>
    <row r="149" spans="2:2">
      <c r="B149" s="200"/>
    </row>
    <row r="150" spans="2:2">
      <c r="B150" s="200"/>
    </row>
    <row r="151" spans="2:2">
      <c r="B151" s="200"/>
    </row>
    <row r="152" spans="2:2">
      <c r="B152" s="200"/>
    </row>
    <row r="153" spans="2:2">
      <c r="B153" s="200"/>
    </row>
    <row r="154" spans="2:2">
      <c r="B154" s="200"/>
    </row>
    <row r="155" spans="2:2">
      <c r="B155" s="200"/>
    </row>
    <row r="156" spans="2:2">
      <c r="B156" s="200"/>
    </row>
    <row r="157" spans="2:2">
      <c r="B157" s="200"/>
    </row>
    <row r="158" spans="2:2">
      <c r="B158" s="200"/>
    </row>
    <row r="159" spans="2:2">
      <c r="B159" s="200"/>
    </row>
    <row r="160" spans="2:2">
      <c r="B160" s="200"/>
    </row>
    <row r="161" spans="2:2">
      <c r="B161" s="200"/>
    </row>
    <row r="162" spans="2:2">
      <c r="B162" s="200"/>
    </row>
    <row r="163" spans="2:2">
      <c r="B163" s="200"/>
    </row>
    <row r="164" spans="2:2">
      <c r="B164" s="200"/>
    </row>
    <row r="165" spans="2:2">
      <c r="B165" s="200"/>
    </row>
    <row r="166" spans="2:2">
      <c r="B166" s="200"/>
    </row>
    <row r="167" spans="2:2">
      <c r="B167" s="200"/>
    </row>
    <row r="168" spans="2:2">
      <c r="B168" s="200"/>
    </row>
    <row r="169" spans="2:2">
      <c r="B169" s="200"/>
    </row>
    <row r="170" spans="2:2">
      <c r="B170" s="200"/>
    </row>
    <row r="171" spans="2:2">
      <c r="B171" s="200"/>
    </row>
    <row r="172" spans="2:2">
      <c r="B172" s="200"/>
    </row>
    <row r="173" spans="2:2">
      <c r="B173" s="200"/>
    </row>
    <row r="174" spans="2:2">
      <c r="B174" s="200"/>
    </row>
    <row r="175" spans="2:2">
      <c r="B175" s="200"/>
    </row>
    <row r="176" spans="2:2">
      <c r="B176" s="200"/>
    </row>
    <row r="177" spans="2:2">
      <c r="B177" s="200"/>
    </row>
    <row r="178" spans="2:2">
      <c r="B178" s="200"/>
    </row>
    <row r="179" spans="2:2">
      <c r="B179" s="200"/>
    </row>
    <row r="180" spans="2:2">
      <c r="B180" s="200"/>
    </row>
    <row r="181" spans="2:2">
      <c r="B181" s="200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/>
  <dimension ref="A1:M24"/>
  <sheetViews>
    <sheetView workbookViewId="0"/>
  </sheetViews>
  <sheetFormatPr defaultColWidth="8.8984375" defaultRowHeight="15"/>
  <cols>
    <col min="1" max="1" width="22.69921875" style="1" customWidth="1"/>
    <col min="2" max="3" width="11.3984375" style="1" customWidth="1"/>
    <col min="4" max="4" width="11.09765625" style="1" bestFit="1" customWidth="1"/>
    <col min="5" max="5" width="9" style="1" bestFit="1" customWidth="1"/>
    <col min="6" max="7" width="8.8984375" style="1"/>
    <col min="8" max="8" width="9" style="1" bestFit="1" customWidth="1"/>
    <col min="9" max="9" width="12.296875" style="1" bestFit="1" customWidth="1"/>
    <col min="10" max="10" width="12.3984375" style="1" bestFit="1" customWidth="1"/>
    <col min="11" max="11" width="9" style="1" bestFit="1" customWidth="1"/>
    <col min="12" max="16384" width="8.8984375" style="1"/>
  </cols>
  <sheetData>
    <row r="1" spans="1:13">
      <c r="A1" s="1" t="s">
        <v>737</v>
      </c>
    </row>
    <row r="3" spans="1:13">
      <c r="B3" s="767" t="s">
        <v>739</v>
      </c>
      <c r="C3" s="767"/>
      <c r="H3" s="1" t="s">
        <v>960</v>
      </c>
      <c r="I3" s="1" t="s">
        <v>961</v>
      </c>
      <c r="J3" s="1" t="s">
        <v>962</v>
      </c>
    </row>
    <row r="4" spans="1:13">
      <c r="A4" s="1" t="s">
        <v>738</v>
      </c>
      <c r="B4" s="2" t="s">
        <v>740</v>
      </c>
      <c r="C4" s="2" t="s">
        <v>741</v>
      </c>
    </row>
    <row r="5" spans="1:13">
      <c r="A5" s="1" t="s">
        <v>759</v>
      </c>
      <c r="B5" s="5">
        <f>'SCH N'!H24</f>
        <v>21.470000000000027</v>
      </c>
      <c r="C5" s="442">
        <f>'SCH N'!R24</f>
        <v>16.100000000000001</v>
      </c>
      <c r="H5" s="125">
        <f>+'Rate RS'!F38</f>
        <v>1689991</v>
      </c>
      <c r="I5" s="125">
        <f>+'Rate RS'!H38</f>
        <v>1527729253</v>
      </c>
      <c r="J5" s="443">
        <f t="shared" ref="J5:J24" si="0">+I5/H5</f>
        <v>903.98662063880818</v>
      </c>
    </row>
    <row r="6" spans="1:13">
      <c r="A6" s="1" t="s">
        <v>742</v>
      </c>
      <c r="B6" s="5">
        <f>'SCH N'!H57</f>
        <v>145.8900000000001</v>
      </c>
      <c r="C6" s="442">
        <f>'SCH N'!R57</f>
        <v>12.2</v>
      </c>
      <c r="H6" s="125">
        <f>+'Rate DS'!F50</f>
        <v>155005</v>
      </c>
      <c r="I6" s="125">
        <f>+'Rate DS'!H50</f>
        <v>1097342923</v>
      </c>
      <c r="J6" s="443">
        <f t="shared" si="0"/>
        <v>7079.4033934389217</v>
      </c>
    </row>
    <row r="7" spans="1:13">
      <c r="A7" s="1" t="s">
        <v>743</v>
      </c>
      <c r="B7" s="5">
        <f>'SCH N'!H119</f>
        <v>6030.3399999999965</v>
      </c>
      <c r="C7" s="442">
        <f>'SCH N'!R119</f>
        <v>13.900000000000002</v>
      </c>
      <c r="H7" s="3">
        <f>+'Rate DT-Pri'!F65</f>
        <v>395</v>
      </c>
      <c r="I7" s="3">
        <f>+'Rate DT-Pri'!H65</f>
        <v>474967440</v>
      </c>
      <c r="J7" s="443">
        <f t="shared" si="0"/>
        <v>1202449.2151898735</v>
      </c>
    </row>
    <row r="8" spans="1:13">
      <c r="A8" s="1" t="s">
        <v>744</v>
      </c>
      <c r="B8" s="5">
        <f>B7</f>
        <v>6030.3399999999965</v>
      </c>
      <c r="C8" s="442">
        <f>C7</f>
        <v>13.900000000000002</v>
      </c>
      <c r="H8" s="125">
        <f>+'Rate DT-Sec'!F63</f>
        <v>1363</v>
      </c>
      <c r="I8" s="125">
        <f>+'Rate DT-Sec'!H63</f>
        <v>600045849</v>
      </c>
      <c r="J8" s="443">
        <f t="shared" si="0"/>
        <v>440239.06749816582</v>
      </c>
      <c r="K8" s="125">
        <f>+(I7+I8)/(H7+H8)</f>
        <v>611497.88907849824</v>
      </c>
    </row>
    <row r="9" spans="1:13">
      <c r="A9" s="1" t="s">
        <v>745</v>
      </c>
      <c r="B9" s="5">
        <f>'SCH N'!H76</f>
        <v>133.46000000000004</v>
      </c>
      <c r="C9" s="442">
        <f>'SCH N'!R76</f>
        <v>13.700000000000001</v>
      </c>
      <c r="H9" s="3">
        <f>+'Rate EH'!F43</f>
        <v>1006</v>
      </c>
      <c r="I9" s="3">
        <f>+'Rate EH'!H43</f>
        <v>19145457</v>
      </c>
      <c r="J9" s="443">
        <f t="shared" si="0"/>
        <v>19031.269383697814</v>
      </c>
    </row>
    <row r="10" spans="1:13">
      <c r="A10" s="1" t="s">
        <v>746</v>
      </c>
      <c r="B10" s="1">
        <f>ROUND(('Rate SP GSFL'!J25+('Rate SP GSFL'!J28*TBI!D10)),2)-ROUND(('Rate SP GSFL'!AC88+('Rate SP GSFL'!AC91*TBI!D10)),2)</f>
        <v>35.659999999999997</v>
      </c>
      <c r="C10" s="444">
        <f>ROUND(B10/ROUND(('Rate SP GSFL'!AC88+('Rate SP GSFL'!AC91*TBI!D10)),2),3)*100</f>
        <v>15</v>
      </c>
      <c r="D10" s="1">
        <v>1542</v>
      </c>
      <c r="H10" s="3">
        <f>+'Rate SP GSFL'!F38</f>
        <v>166</v>
      </c>
      <c r="I10" s="3">
        <f>+'Rate SP GSFL'!H38</f>
        <v>327203</v>
      </c>
      <c r="J10" s="443">
        <f t="shared" si="0"/>
        <v>1971.1024096385543</v>
      </c>
    </row>
    <row r="11" spans="1:13">
      <c r="A11" s="1" t="s">
        <v>747</v>
      </c>
      <c r="B11" s="1">
        <f>ROUND(D11*'Rate SP GSFL'!J47,2)-ROUND(D11*'Rate SP GSFL'!AC110,2)</f>
        <v>10.920000000000002</v>
      </c>
      <c r="C11" s="442">
        <f>ROUND(B11/ROUND(D11*'Rate SP GSFL'!AC110,2),3)*100</f>
        <v>15.299999999999999</v>
      </c>
      <c r="D11" s="3">
        <v>544</v>
      </c>
      <c r="H11" s="3">
        <f>919*12</f>
        <v>11028</v>
      </c>
      <c r="I11" s="3">
        <f>+'Rate SP GSFL'!H57</f>
        <v>5922743</v>
      </c>
      <c r="J11" s="443">
        <f t="shared" si="0"/>
        <v>537.06410953935438</v>
      </c>
    </row>
    <row r="12" spans="1:13">
      <c r="A12" s="1" t="s">
        <v>748</v>
      </c>
      <c r="B12" s="5">
        <f>'SCH N'!H165</f>
        <v>1597.252800000002</v>
      </c>
      <c r="C12" s="442">
        <f>'SCH N'!R165</f>
        <v>6</v>
      </c>
      <c r="H12" s="3">
        <f>+'Rate DP'!F46</f>
        <v>120</v>
      </c>
      <c r="I12" s="3">
        <f>+'Rate DP'!H46</f>
        <v>7726973</v>
      </c>
      <c r="J12" s="443">
        <f t="shared" si="0"/>
        <v>64391.441666666666</v>
      </c>
    </row>
    <row r="13" spans="1:13">
      <c r="A13" s="1" t="s">
        <v>749</v>
      </c>
      <c r="B13" s="5">
        <f>'SCH N'!H225</f>
        <v>8442.8000000000175</v>
      </c>
      <c r="C13" s="442">
        <f>'SCH N'!R225</f>
        <v>8.1</v>
      </c>
      <c r="H13" s="3">
        <f>+'Rate TT'!F56</f>
        <v>156</v>
      </c>
      <c r="I13" s="3">
        <f>+'Rate TT'!H56</f>
        <v>185463057</v>
      </c>
      <c r="J13" s="443">
        <f t="shared" si="0"/>
        <v>1188865.75</v>
      </c>
    </row>
    <row r="14" spans="1:13">
      <c r="A14" s="1" t="s">
        <v>750</v>
      </c>
      <c r="B14" s="1">
        <f>ROUND(D14*SUM('Rate DT RTP-S'!J28:J29),2)-ROUND(D14*SUM('Rate DT RTP-S'!AC72:AC73),2)</f>
        <v>904.94999999999982</v>
      </c>
      <c r="C14" s="442">
        <f>ROUND(B14/ROUND(D14*SUM('Rate DT RTP-S'!AC72:AC73),2),3)*100</f>
        <v>22.6</v>
      </c>
      <c r="D14" s="3">
        <v>67113</v>
      </c>
      <c r="E14" s="1">
        <f>D14/SUM($D$14:$D$16)</f>
        <v>9.6768751622112639E-2</v>
      </c>
      <c r="H14" s="3">
        <f>+'Rate DT RTP-S'!F39</f>
        <v>12</v>
      </c>
      <c r="I14" s="3">
        <f>+'Rate DT RTP-S'!H39</f>
        <v>1106948</v>
      </c>
      <c r="J14" s="443">
        <f t="shared" si="0"/>
        <v>92245.666666666672</v>
      </c>
    </row>
    <row r="15" spans="1:13">
      <c r="A15" s="1" t="s">
        <v>751</v>
      </c>
      <c r="B15" s="1">
        <f>ROUND(D15*SUM('Rate DS RTP'!J28:J29),2)-ROUND(D15*SUM('Rate DS RTP'!AC72:AC73),2)</f>
        <v>302.80000000000018</v>
      </c>
      <c r="C15" s="442">
        <f>ROUND(B15/ROUND(D15*SUM('Rate DS RTP'!AC72:AC73),2),3)*100</f>
        <v>23.200000000000003</v>
      </c>
      <c r="D15" s="1">
        <v>22456</v>
      </c>
      <c r="E15" s="1">
        <f>D15/SUM($D$14:$D$16)</f>
        <v>3.2378810162355449E-2</v>
      </c>
      <c r="H15" s="3">
        <f>+'Rate DS RTP'!F39</f>
        <v>12</v>
      </c>
      <c r="I15" s="3">
        <f>+'Rate DS RTP'!H39</f>
        <v>-2961</v>
      </c>
      <c r="J15" s="443">
        <f t="shared" si="0"/>
        <v>-246.75</v>
      </c>
    </row>
    <row r="16" spans="1:13">
      <c r="A16" s="1" t="s">
        <v>752</v>
      </c>
      <c r="B16" s="1">
        <f>ROUND(D16*SUM('Rate TT RTP'!J28:J29),2)-ROUND(D16*SUM('Rate TT RTP'!AC74:AC75),2)</f>
        <v>2206.2999999999993</v>
      </c>
      <c r="C16" s="442">
        <f>ROUND(B16/ROUND(D16*SUM('Rate TT RTP'!AC74:AC75),2),3)*100</f>
        <v>8.9</v>
      </c>
      <c r="D16" s="1">
        <v>603971</v>
      </c>
      <c r="E16" s="1">
        <f>D16/SUM($D$14:$D$16)</f>
        <v>0.87085243821553193</v>
      </c>
      <c r="H16" s="3">
        <f>+'Rate TT RTP'!F39</f>
        <v>24</v>
      </c>
      <c r="I16" s="3">
        <f>+'Rate TT RTP'!H39</f>
        <v>12132774</v>
      </c>
      <c r="J16" s="443">
        <f t="shared" si="0"/>
        <v>505532.25</v>
      </c>
      <c r="K16" s="125">
        <f>(I14+I15+I16)/(H14+H15+H16)</f>
        <v>275765.85416666669</v>
      </c>
      <c r="L16" s="1">
        <f>SUMPRODUCT(H14:H16,B14:B16)/SUM(H14:H16)</f>
        <v>1405.0874999999996</v>
      </c>
      <c r="M16" s="1">
        <f>SUMPRODUCT(H14:H16,C14:C16)/SUM(H14:H16)</f>
        <v>15.900000000000004</v>
      </c>
    </row>
    <row r="17" spans="1:10">
      <c r="A17" s="1" t="s">
        <v>753</v>
      </c>
      <c r="B17" s="1">
        <f>ROUND(('Rate SL'!R139/'Rate SL'!F139),2)-ROUND(('Rate SL'!AO293/'Rate SL'!Y293),2)</f>
        <v>1.92</v>
      </c>
      <c r="C17" s="442">
        <f>ROUND(B17/ROUND(('Rate SL'!AO293/'Rate SL'!Y293),2),3)*100</f>
        <v>13.700000000000001</v>
      </c>
      <c r="D17" s="1" t="s">
        <v>760</v>
      </c>
      <c r="H17" s="125">
        <f>+'Rate SL'!F139</f>
        <v>103310</v>
      </c>
      <c r="I17" s="125">
        <f>+'Rate SL'!H139</f>
        <v>6857780</v>
      </c>
      <c r="J17" s="443">
        <f t="shared" si="0"/>
        <v>66.38060207143549</v>
      </c>
    </row>
    <row r="18" spans="1:10">
      <c r="A18" s="1" t="s">
        <v>754</v>
      </c>
      <c r="B18" s="1">
        <f>ROUND('Rate TL'!R34/'Rate TL'!F34,2)-ROUND('Rate TL'!AO72/'Rate TL'!Y72,2)</f>
        <v>8.8400000000000034</v>
      </c>
      <c r="C18" s="442">
        <f>ROUND(B18/ROUND('Rate TL'!AO72/'Rate TL'!Y72,2),3)*100</f>
        <v>13.100000000000001</v>
      </c>
      <c r="D18" s="1" t="s">
        <v>760</v>
      </c>
      <c r="H18" s="125">
        <f>+'Rate TL'!F34</f>
        <v>1560</v>
      </c>
      <c r="I18" s="125">
        <f>+'Rate TL'!H34</f>
        <v>1436827.8010000002</v>
      </c>
      <c r="J18" s="443">
        <f t="shared" si="0"/>
        <v>921.04346217948728</v>
      </c>
    </row>
    <row r="19" spans="1:10">
      <c r="A19" s="1" t="s">
        <v>755</v>
      </c>
      <c r="B19" s="1">
        <f>ROUND('Rate UOLS'!R28/'Rate UOLS'!F28,2)-ROUND('Rate UOLS'!AO63/'Rate UOLS'!Y63,2)</f>
        <v>2.6400000000000006</v>
      </c>
      <c r="C19" s="442">
        <f>ROUND(B19/ROUND('Rate UOLS'!AO63/'Rate UOLS'!Y63,2),3)*100</f>
        <v>13</v>
      </c>
      <c r="D19" s="1" t="s">
        <v>760</v>
      </c>
      <c r="H19" s="125">
        <f>+'Rate UOLS'!F28</f>
        <v>30661</v>
      </c>
      <c r="I19" s="125">
        <f>+'Rate UOLS'!H28</f>
        <v>8542179</v>
      </c>
      <c r="J19" s="443">
        <f t="shared" si="0"/>
        <v>278.60079579922376</v>
      </c>
    </row>
    <row r="20" spans="1:10">
      <c r="A20" s="1" t="s">
        <v>756</v>
      </c>
      <c r="B20" s="1">
        <f>ROUND('Rate NSU'!R45/'Rate NSU'!F45,2)-ROUND('Rate NSU'!AO95/'Rate NSU'!Y95,2)</f>
        <v>1.67</v>
      </c>
      <c r="C20" s="442">
        <f>ROUND(B20/ROUND('Rate NSU'!AO95/'Rate NSU'!Y95,2),3)*100</f>
        <v>13.900000000000002</v>
      </c>
      <c r="D20" s="1" t="s">
        <v>760</v>
      </c>
      <c r="H20" s="125">
        <f>+'Rate NSU'!F45</f>
        <v>8073</v>
      </c>
      <c r="I20" s="125">
        <f>+'Rate NSU'!H45</f>
        <v>392374</v>
      </c>
      <c r="J20" s="443">
        <f t="shared" si="0"/>
        <v>48.60324538585408</v>
      </c>
    </row>
    <row r="21" spans="1:10">
      <c r="A21" s="1" t="s">
        <v>757</v>
      </c>
      <c r="B21" s="1">
        <f>ROUND('Rate SC'!R72/'Rate SC'!F72,2)-ROUND('Rate SC'!AO145/'Rate SC'!Y145,2)</f>
        <v>0.4099999999999997</v>
      </c>
      <c r="C21" s="442">
        <f>ROUND(B21/ROUND('Rate SC'!AO145/'Rate SC'!Y145,2),3)*100</f>
        <v>12.8</v>
      </c>
      <c r="D21" s="1" t="s">
        <v>760</v>
      </c>
      <c r="H21" s="125">
        <f>+'Rate SC'!F72</f>
        <v>2064</v>
      </c>
      <c r="I21" s="125">
        <f>+'Rate SC'!H72</f>
        <v>91284</v>
      </c>
      <c r="J21" s="443">
        <f t="shared" si="0"/>
        <v>44.22674418604651</v>
      </c>
    </row>
    <row r="22" spans="1:10">
      <c r="A22" s="1" t="s">
        <v>758</v>
      </c>
      <c r="B22" s="1">
        <f>ROUND('Rate SE'!R52/'Rate SE'!F52,2)-ROUND('Rate SE'!AO108/'Rate SE'!Y108,2)</f>
        <v>1.75</v>
      </c>
      <c r="C22" s="442">
        <f>ROUND(B22/ROUND('Rate SE'!AO108/'Rate SE'!Y108,2),3)*100</f>
        <v>13.8</v>
      </c>
      <c r="D22" s="1" t="s">
        <v>760</v>
      </c>
      <c r="H22" s="125">
        <f>+'Rate SE'!F52</f>
        <v>20531</v>
      </c>
      <c r="I22" s="125">
        <f>+'Rate SE'!H52</f>
        <v>1209602</v>
      </c>
      <c r="J22" s="443">
        <f t="shared" si="0"/>
        <v>58.91588329842677</v>
      </c>
    </row>
    <row r="23" spans="1:10">
      <c r="A23" s="1" t="s">
        <v>790</v>
      </c>
      <c r="B23" s="1">
        <f>ROUND(SUMPRODUCT(B14:B16,E14:E16),2)</f>
        <v>2018.74</v>
      </c>
      <c r="C23" s="442">
        <f>SUMPRODUCT(C14:C16,E14:E16)</f>
        <v>10.688748882544626</v>
      </c>
    </row>
    <row r="24" spans="1:10">
      <c r="A24" s="1" t="s">
        <v>1125</v>
      </c>
      <c r="B24" s="1">
        <f>ROUND('Rate LED'!R340/'Rate LED'!F340,2)-ROUND('Rate LED'!AO692/'Rate LED'!Y692,2)</f>
        <v>1.2300000000000004</v>
      </c>
      <c r="C24" s="442">
        <f>ROUND(B24/ROUND('Rate LED'!AO692/'Rate LED'!Y692,2),3)*100</f>
        <v>14.000000000000002</v>
      </c>
      <c r="D24" s="1" t="s">
        <v>760</v>
      </c>
      <c r="H24" s="3">
        <f>'Rate LED'!F340</f>
        <v>2283</v>
      </c>
      <c r="I24" s="3">
        <f>'Rate LED'!AA692</f>
        <v>42161</v>
      </c>
      <c r="J24" s="443">
        <f t="shared" si="0"/>
        <v>18.467367498904949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pageSetUpPr fitToPage="1"/>
  </sheetPr>
  <dimension ref="A1:K33"/>
  <sheetViews>
    <sheetView workbookViewId="0"/>
  </sheetViews>
  <sheetFormatPr defaultRowHeight="16.5"/>
  <cols>
    <col min="2" max="2" width="34.8984375" bestFit="1" customWidth="1"/>
    <col min="3" max="3" width="1.69921875" customWidth="1"/>
    <col min="4" max="4" width="11.59765625" customWidth="1"/>
    <col min="5" max="5" width="9.8984375" customWidth="1"/>
    <col min="6" max="6" width="11.69921875" bestFit="1" customWidth="1"/>
    <col min="7" max="7" width="9.69921875" customWidth="1"/>
    <col min="8" max="8" width="9.3984375" customWidth="1"/>
    <col min="9" max="9" width="9.8984375" bestFit="1" customWidth="1"/>
    <col min="10" max="10" width="10.8984375" bestFit="1" customWidth="1"/>
    <col min="11" max="11" width="11.59765625" customWidth="1"/>
  </cols>
  <sheetData>
    <row r="1" spans="1:11">
      <c r="A1" s="445" t="s">
        <v>763</v>
      </c>
      <c r="B1" s="445"/>
      <c r="C1" s="445"/>
      <c r="D1" s="445"/>
      <c r="E1" s="445"/>
      <c r="F1" s="445"/>
      <c r="G1" s="445"/>
      <c r="H1" s="445"/>
      <c r="I1" s="445"/>
      <c r="J1" s="445"/>
    </row>
    <row r="2" spans="1:11">
      <c r="A2" s="445" t="s">
        <v>764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1">
      <c r="A3" s="445" t="str">
        <f>+CASE_NO</f>
        <v>CASE NO.   2024-00354</v>
      </c>
      <c r="B3" s="445"/>
      <c r="C3" s="445"/>
      <c r="D3" s="445"/>
      <c r="E3" s="445"/>
      <c r="F3" s="445"/>
      <c r="G3" s="445"/>
      <c r="H3" s="445"/>
      <c r="I3" s="445"/>
      <c r="J3" s="445"/>
    </row>
    <row r="4" spans="1:11">
      <c r="A4" s="445" t="s">
        <v>765</v>
      </c>
      <c r="B4" s="445"/>
      <c r="C4" s="445"/>
      <c r="D4" s="445"/>
      <c r="E4" s="445"/>
      <c r="F4" s="445"/>
      <c r="G4" s="445"/>
      <c r="H4" s="445"/>
      <c r="I4" s="445"/>
      <c r="J4" s="445"/>
    </row>
    <row r="5" spans="1:11">
      <c r="A5" s="445" t="s">
        <v>766</v>
      </c>
      <c r="B5" s="445"/>
      <c r="C5" s="445"/>
      <c r="D5" s="445"/>
      <c r="E5" s="445"/>
      <c r="F5" s="445"/>
      <c r="G5" s="445"/>
      <c r="H5" s="445"/>
      <c r="I5" s="445"/>
      <c r="J5" s="445"/>
    </row>
    <row r="6" spans="1:11">
      <c r="A6" s="445"/>
      <c r="B6" s="445"/>
      <c r="C6" s="445"/>
      <c r="D6" s="445"/>
      <c r="E6" s="445"/>
      <c r="F6" s="445"/>
      <c r="G6" s="445"/>
      <c r="H6" s="445"/>
      <c r="I6" s="445"/>
      <c r="J6" s="445"/>
    </row>
    <row r="7" spans="1:11">
      <c r="A7" s="445"/>
      <c r="B7" s="445"/>
      <c r="C7" s="445"/>
      <c r="D7" s="445"/>
      <c r="E7" s="445"/>
      <c r="F7" s="445"/>
      <c r="G7" s="445"/>
      <c r="H7" s="445"/>
      <c r="I7" s="445"/>
      <c r="J7" s="445"/>
    </row>
    <row r="8" spans="1:11">
      <c r="A8" s="446" t="s">
        <v>767</v>
      </c>
      <c r="B8" s="446" t="s">
        <v>768</v>
      </c>
      <c r="C8" s="445"/>
      <c r="D8" s="447" t="s">
        <v>742</v>
      </c>
      <c r="E8" s="447" t="s">
        <v>781</v>
      </c>
      <c r="F8" s="447" t="s">
        <v>782</v>
      </c>
      <c r="G8" s="447" t="s">
        <v>783</v>
      </c>
      <c r="H8" s="447" t="s">
        <v>748</v>
      </c>
      <c r="I8" s="447" t="s">
        <v>784</v>
      </c>
      <c r="J8" s="447" t="s">
        <v>749</v>
      </c>
      <c r="K8" s="447" t="s">
        <v>785</v>
      </c>
    </row>
    <row r="9" spans="1:11">
      <c r="A9" s="448">
        <v>1</v>
      </c>
      <c r="B9" s="445" t="s">
        <v>769</v>
      </c>
      <c r="C9" s="445"/>
      <c r="D9" s="449">
        <v>0</v>
      </c>
      <c r="E9" s="449">
        <v>0</v>
      </c>
      <c r="F9" s="449">
        <f>D9+E9</f>
        <v>0</v>
      </c>
      <c r="G9" s="449">
        <v>0</v>
      </c>
      <c r="H9" s="449">
        <v>0</v>
      </c>
      <c r="I9" s="449">
        <f>G9+H9</f>
        <v>0</v>
      </c>
      <c r="J9" s="449">
        <v>0</v>
      </c>
      <c r="K9" s="449">
        <f>E9+G9</f>
        <v>0</v>
      </c>
    </row>
    <row r="10" spans="1:11">
      <c r="A10" s="448">
        <v>2</v>
      </c>
      <c r="B10" s="445" t="s">
        <v>770</v>
      </c>
      <c r="C10" s="445"/>
      <c r="D10" s="449">
        <v>23461128</v>
      </c>
      <c r="E10" s="449">
        <v>9462737</v>
      </c>
      <c r="F10" s="449">
        <f>D10+E10</f>
        <v>32923865</v>
      </c>
      <c r="G10" s="449">
        <v>7637442</v>
      </c>
      <c r="H10" s="449">
        <v>113170</v>
      </c>
      <c r="I10" s="449">
        <f>G10+H10</f>
        <v>7750612</v>
      </c>
      <c r="J10" s="449">
        <v>127700</v>
      </c>
      <c r="K10" s="449">
        <f>E10+G10</f>
        <v>17100179</v>
      </c>
    </row>
    <row r="11" spans="1:11">
      <c r="A11" s="448">
        <v>3</v>
      </c>
      <c r="B11" s="445" t="s">
        <v>771</v>
      </c>
      <c r="C11" s="445"/>
      <c r="D11" s="449">
        <v>0</v>
      </c>
      <c r="E11" s="449">
        <v>0</v>
      </c>
      <c r="F11" s="449">
        <f>D11+E11</f>
        <v>0</v>
      </c>
      <c r="G11" s="449">
        <v>0</v>
      </c>
      <c r="H11" s="449">
        <v>0</v>
      </c>
      <c r="I11" s="449">
        <f>G11+H11</f>
        <v>0</v>
      </c>
      <c r="J11" s="449">
        <v>0</v>
      </c>
      <c r="K11" s="449">
        <f>E11+G11</f>
        <v>0</v>
      </c>
    </row>
    <row r="12" spans="1:11">
      <c r="A12" s="448">
        <v>4</v>
      </c>
      <c r="B12" s="445" t="s">
        <v>772</v>
      </c>
      <c r="C12" s="445"/>
      <c r="D12" s="449">
        <v>16650301</v>
      </c>
      <c r="E12" s="449">
        <v>7356572</v>
      </c>
      <c r="F12" s="449">
        <f>D12+E12</f>
        <v>24006873</v>
      </c>
      <c r="G12" s="449">
        <v>5928190</v>
      </c>
      <c r="H12" s="449">
        <v>79892</v>
      </c>
      <c r="I12" s="449">
        <f>G12+H12</f>
        <v>6008082</v>
      </c>
      <c r="J12" s="449">
        <v>1960397</v>
      </c>
      <c r="K12" s="449">
        <f>E12+G12</f>
        <v>13284762</v>
      </c>
    </row>
    <row r="13" spans="1:11">
      <c r="A13" s="448">
        <v>5</v>
      </c>
      <c r="B13" s="445" t="s">
        <v>773</v>
      </c>
      <c r="C13" s="445"/>
      <c r="D13" s="449">
        <f>SUM(D9:D12)</f>
        <v>40111429</v>
      </c>
      <c r="E13" s="449">
        <f t="shared" ref="E13:J13" si="0">SUM(E9:E12)</f>
        <v>16819309</v>
      </c>
      <c r="F13" s="449">
        <f>D13+E13</f>
        <v>56930738</v>
      </c>
      <c r="G13" s="449">
        <f t="shared" si="0"/>
        <v>13565632</v>
      </c>
      <c r="H13" s="449">
        <f t="shared" si="0"/>
        <v>193062</v>
      </c>
      <c r="I13" s="449">
        <f>G13+H13</f>
        <v>13758694</v>
      </c>
      <c r="J13" s="449">
        <f t="shared" si="0"/>
        <v>2088097</v>
      </c>
      <c r="K13" s="449">
        <f>E13+G13</f>
        <v>30384941</v>
      </c>
    </row>
    <row r="14" spans="1:11">
      <c r="A14" s="448">
        <v>6</v>
      </c>
      <c r="B14" s="445"/>
      <c r="C14" s="445"/>
      <c r="D14" s="445"/>
      <c r="E14" s="445"/>
      <c r="F14" s="445"/>
      <c r="G14" s="445"/>
      <c r="H14" s="445"/>
      <c r="I14" s="445"/>
      <c r="J14" s="445"/>
      <c r="K14" s="445"/>
    </row>
    <row r="15" spans="1:11">
      <c r="A15" s="448">
        <v>7</v>
      </c>
      <c r="B15" s="445" t="s">
        <v>774</v>
      </c>
      <c r="C15" s="445"/>
      <c r="D15" s="450">
        <f>'Rate DS'!H50+'Rate DS RTP'!H39</f>
        <v>1097339962</v>
      </c>
      <c r="E15" s="450">
        <f>'Rate DT-Sec'!H63+'Rate DT RTP-S'!H39</f>
        <v>601152797</v>
      </c>
      <c r="F15" s="450">
        <f>D15+E15</f>
        <v>1698492759</v>
      </c>
      <c r="G15" s="450">
        <f>'Rate DT-Pri'!H65</f>
        <v>474967440</v>
      </c>
      <c r="H15" s="450">
        <f>'Rate DP'!H46</f>
        <v>7726973</v>
      </c>
      <c r="I15" s="450">
        <f>G15+H15</f>
        <v>482694413</v>
      </c>
      <c r="J15" s="450">
        <f>'Rate TT'!H56+'Rate TT RTP'!H39</f>
        <v>197595831</v>
      </c>
      <c r="K15" s="450">
        <f>E15+G15</f>
        <v>1076120237</v>
      </c>
    </row>
    <row r="16" spans="1:11">
      <c r="A16" s="448">
        <v>8</v>
      </c>
      <c r="B16" s="445" t="s">
        <v>777</v>
      </c>
      <c r="C16" s="445"/>
      <c r="D16" s="177">
        <f>ROUND(D13/D15,6)</f>
        <v>3.6553000000000002E-2</v>
      </c>
      <c r="E16" s="177">
        <f t="shared" ref="E16:J16" si="1">ROUND(E13/E15,6)</f>
        <v>2.7977999999999999E-2</v>
      </c>
      <c r="F16" s="177">
        <f t="shared" si="1"/>
        <v>3.3517999999999999E-2</v>
      </c>
      <c r="G16" s="177">
        <f t="shared" si="1"/>
        <v>2.8561E-2</v>
      </c>
      <c r="H16" s="177">
        <f t="shared" si="1"/>
        <v>2.4985E-2</v>
      </c>
      <c r="I16" s="177">
        <f t="shared" si="1"/>
        <v>2.8504000000000002E-2</v>
      </c>
      <c r="J16" s="177">
        <f t="shared" si="1"/>
        <v>1.0567999999999999E-2</v>
      </c>
      <c r="K16" s="177"/>
    </row>
    <row r="17" spans="1:11">
      <c r="A17" s="448">
        <v>9</v>
      </c>
      <c r="B17" s="445"/>
      <c r="C17" s="445"/>
      <c r="D17" s="445"/>
      <c r="E17" s="445"/>
      <c r="F17" s="445"/>
      <c r="G17" s="445"/>
      <c r="H17" s="445"/>
      <c r="I17" s="445"/>
      <c r="J17" s="445"/>
      <c r="K17" s="445"/>
    </row>
    <row r="18" spans="1:11">
      <c r="A18" s="448">
        <v>10</v>
      </c>
      <c r="B18" s="445" t="s">
        <v>775</v>
      </c>
      <c r="C18" s="445"/>
      <c r="D18" s="450">
        <f>'Rate DS'!H32</f>
        <v>3996687</v>
      </c>
      <c r="E18" s="450">
        <f>'Rate DT-Sec'!H31+'Rate DT-Sec'!H48</f>
        <v>1228464</v>
      </c>
      <c r="F18" s="450">
        <f>D18+E18</f>
        <v>5225151</v>
      </c>
      <c r="G18" s="450">
        <f>'Rate DT-Pri'!H51+'Rate DT-Pri'!H33</f>
        <v>972035</v>
      </c>
      <c r="H18" s="450">
        <f>'Rate DP'!H30</f>
        <v>27415</v>
      </c>
      <c r="I18" s="450">
        <f>G18+H18</f>
        <v>999450</v>
      </c>
      <c r="J18" s="450">
        <f>'Rate TT'!H40+'Rate TT'!H26</f>
        <v>398243</v>
      </c>
      <c r="K18" s="450">
        <f>E18+G18</f>
        <v>2200499</v>
      </c>
    </row>
    <row r="19" spans="1:11">
      <c r="A19" s="448">
        <v>11</v>
      </c>
      <c r="B19" s="445" t="s">
        <v>776</v>
      </c>
      <c r="C19" s="445"/>
      <c r="D19" s="177">
        <f t="shared" ref="D19:K19" si="2">ROUND(D13/D18,6)</f>
        <v>10.03617</v>
      </c>
      <c r="E19" s="177">
        <f t="shared" si="2"/>
        <v>13.691331999999999</v>
      </c>
      <c r="F19" s="177">
        <f t="shared" si="2"/>
        <v>10.895519999999999</v>
      </c>
      <c r="G19" s="177">
        <f t="shared" si="2"/>
        <v>13.955909</v>
      </c>
      <c r="H19" s="177">
        <f t="shared" si="2"/>
        <v>7.0422029999999998</v>
      </c>
      <c r="I19" s="177">
        <f t="shared" si="2"/>
        <v>13.766265000000001</v>
      </c>
      <c r="J19" s="177">
        <f t="shared" si="2"/>
        <v>5.2432740000000004</v>
      </c>
      <c r="K19" s="177">
        <f t="shared" si="2"/>
        <v>13.808204999999999</v>
      </c>
    </row>
    <row r="20" spans="1:11">
      <c r="A20" s="448"/>
      <c r="B20" s="445"/>
      <c r="C20" s="445"/>
      <c r="D20" s="445"/>
      <c r="E20" s="445"/>
      <c r="F20" s="445"/>
      <c r="G20" s="445"/>
      <c r="H20" s="445"/>
      <c r="I20" s="445"/>
      <c r="J20" s="445"/>
      <c r="K20" s="445"/>
    </row>
    <row r="21" spans="1:11">
      <c r="A21" s="448"/>
      <c r="B21" s="445" t="s">
        <v>778</v>
      </c>
      <c r="C21" s="445"/>
      <c r="D21" s="177">
        <f>INPUT!C156</f>
        <v>2.0034E-2</v>
      </c>
      <c r="E21" s="177">
        <f>D21</f>
        <v>2.0034E-2</v>
      </c>
      <c r="F21" s="177">
        <f>D21</f>
        <v>2.0034E-2</v>
      </c>
      <c r="G21" s="177">
        <f>INPUT!C157</f>
        <v>1.6479000000000001E-2</v>
      </c>
      <c r="H21" s="177">
        <f>G21</f>
        <v>1.6479000000000001E-2</v>
      </c>
      <c r="I21" s="177">
        <f>G21</f>
        <v>1.6479000000000001E-2</v>
      </c>
      <c r="J21" s="177">
        <f>INPUT!C158</f>
        <v>6.9150000000000001E-3</v>
      </c>
      <c r="K21" s="177"/>
    </row>
    <row r="22" spans="1:11">
      <c r="A22" s="448"/>
      <c r="B22" s="445" t="s">
        <v>779</v>
      </c>
      <c r="C22" s="445"/>
      <c r="D22" s="451">
        <f t="shared" ref="D22:J22" si="3">(D16/D21)-1</f>
        <v>0.82454826794449443</v>
      </c>
      <c r="E22" s="451">
        <f t="shared" si="3"/>
        <v>0.39652590595986825</v>
      </c>
      <c r="F22" s="451">
        <f t="shared" si="3"/>
        <v>0.67305580513127672</v>
      </c>
      <c r="G22" s="451">
        <f t="shared" si="3"/>
        <v>0.7331755567692213</v>
      </c>
      <c r="H22" s="451">
        <f t="shared" si="3"/>
        <v>0.51617209782146967</v>
      </c>
      <c r="I22" s="451">
        <f t="shared" si="3"/>
        <v>0.72971660901753754</v>
      </c>
      <c r="J22" s="451">
        <f t="shared" si="3"/>
        <v>0.5282718727404192</v>
      </c>
      <c r="K22" s="451"/>
    </row>
    <row r="23" spans="1:11">
      <c r="A23" s="448"/>
      <c r="B23" s="445"/>
      <c r="C23" s="445"/>
      <c r="D23" s="445"/>
      <c r="E23" s="445"/>
      <c r="F23" s="445"/>
      <c r="G23" s="445"/>
      <c r="H23" s="445"/>
      <c r="I23" s="445"/>
      <c r="J23" s="445"/>
      <c r="K23" s="445"/>
    </row>
    <row r="24" spans="1:11">
      <c r="A24" s="448"/>
      <c r="B24" s="445" t="s">
        <v>780</v>
      </c>
      <c r="C24" s="445"/>
      <c r="D24" s="445">
        <v>6.2092219999999996</v>
      </c>
      <c r="E24" s="445">
        <v>7.8550880000000003</v>
      </c>
      <c r="F24" s="445"/>
      <c r="G24" s="445">
        <f>E24</f>
        <v>7.8550880000000003</v>
      </c>
      <c r="H24" s="445">
        <v>8.173019</v>
      </c>
      <c r="I24" s="445"/>
      <c r="J24" s="445">
        <v>3.2675519999999998</v>
      </c>
      <c r="K24" s="445">
        <f>E24</f>
        <v>7.8550880000000003</v>
      </c>
    </row>
    <row r="25" spans="1:11">
      <c r="A25" s="448"/>
      <c r="B25" s="445" t="s">
        <v>779</v>
      </c>
      <c r="C25" s="445"/>
      <c r="D25" s="451">
        <f>(D19/D24)-1</f>
        <v>0.61633293188744109</v>
      </c>
      <c r="E25" s="451">
        <f>(E19/E24)-1</f>
        <v>0.74298900279665858</v>
      </c>
      <c r="F25" s="451"/>
      <c r="G25" s="451">
        <f>(G19/G24)-1</f>
        <v>0.77667124798601872</v>
      </c>
      <c r="H25" s="451">
        <f>(H19/H24)-1</f>
        <v>-0.13835964409234824</v>
      </c>
      <c r="I25" s="451"/>
      <c r="J25" s="451">
        <f>(J19/J24)-1</f>
        <v>0.60464898492816666</v>
      </c>
      <c r="K25" s="451">
        <f>(K19/K24)-1</f>
        <v>0.75786763942046198</v>
      </c>
    </row>
    <row r="26" spans="1:11">
      <c r="A26" s="448"/>
      <c r="B26" s="445"/>
      <c r="C26" s="445"/>
      <c r="D26" s="445"/>
      <c r="E26" s="445"/>
      <c r="F26" s="445"/>
      <c r="G26" s="445"/>
      <c r="H26" s="445"/>
      <c r="I26" s="445"/>
      <c r="J26" s="445"/>
    </row>
    <row r="27" spans="1:11">
      <c r="A27" s="448"/>
      <c r="B27" s="445"/>
      <c r="C27" s="445"/>
      <c r="D27" s="445"/>
      <c r="E27" s="445"/>
      <c r="F27" s="445"/>
      <c r="G27" s="445"/>
      <c r="H27" s="445"/>
      <c r="I27" s="445"/>
      <c r="J27" s="445"/>
    </row>
    <row r="28" spans="1:11">
      <c r="A28" s="448"/>
      <c r="B28" s="445"/>
      <c r="C28" s="445"/>
      <c r="D28" s="445"/>
      <c r="E28" s="445"/>
      <c r="F28" s="445"/>
      <c r="G28" s="445"/>
      <c r="H28" s="445"/>
      <c r="I28" s="445"/>
      <c r="J28" s="445"/>
    </row>
    <row r="29" spans="1:11">
      <c r="A29" s="448"/>
      <c r="B29" s="445"/>
      <c r="C29" s="445"/>
      <c r="D29" s="445"/>
      <c r="E29" s="445"/>
      <c r="F29" s="445"/>
      <c r="G29" s="445"/>
      <c r="H29" s="445"/>
      <c r="I29" s="445"/>
      <c r="J29" s="445"/>
    </row>
    <row r="30" spans="1:11">
      <c r="A30" s="448"/>
      <c r="B30" s="445"/>
      <c r="C30" s="445"/>
      <c r="D30" s="445"/>
      <c r="E30" s="445"/>
      <c r="F30" s="445"/>
      <c r="G30" s="445"/>
      <c r="H30" s="445"/>
      <c r="I30" s="445"/>
      <c r="J30" s="445"/>
    </row>
    <row r="31" spans="1:11">
      <c r="A31" s="448"/>
      <c r="B31" s="445"/>
      <c r="C31" s="445"/>
      <c r="D31" s="445"/>
      <c r="E31" s="445"/>
      <c r="F31" s="445"/>
      <c r="G31" s="445"/>
      <c r="H31" s="445"/>
      <c r="I31" s="445"/>
      <c r="J31" s="445"/>
    </row>
    <row r="32" spans="1:11">
      <c r="A32" s="448"/>
      <c r="B32" s="445"/>
      <c r="C32" s="445"/>
      <c r="D32" s="445"/>
      <c r="E32" s="445"/>
      <c r="F32" s="445"/>
      <c r="G32" s="445"/>
      <c r="H32" s="445"/>
      <c r="I32" s="445"/>
      <c r="J32" s="445"/>
    </row>
    <row r="33" spans="1:10">
      <c r="A33" s="448"/>
      <c r="B33" s="445"/>
      <c r="C33" s="445"/>
      <c r="D33" s="445"/>
      <c r="E33" s="445"/>
      <c r="F33" s="445"/>
      <c r="G33" s="445"/>
      <c r="H33" s="445"/>
      <c r="I33" s="445"/>
      <c r="J33" s="445"/>
    </row>
  </sheetData>
  <pageMargins left="0.7" right="0.7" top="0.75" bottom="0.75" header="0.3" footer="0.3"/>
  <pageSetup scale="7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transitionEntry="1" codeName="Sheet41">
    <pageSetUpPr fitToPage="1"/>
  </sheetPr>
  <dimension ref="A1:Y52"/>
  <sheetViews>
    <sheetView workbookViewId="0"/>
  </sheetViews>
  <sheetFormatPr defaultColWidth="9.69921875" defaultRowHeight="15.75"/>
  <cols>
    <col min="1" max="1" width="4.09765625" style="41" customWidth="1"/>
    <col min="2" max="2" width="0.3984375" style="41" customWidth="1"/>
    <col min="3" max="3" width="11.8984375" style="41" customWidth="1"/>
    <col min="4" max="4" width="29.69921875" style="41" customWidth="1"/>
    <col min="5" max="5" width="0.296875" style="41" customWidth="1"/>
    <col min="6" max="6" width="12.3984375" style="41" customWidth="1"/>
    <col min="7" max="7" width="0.3984375" style="41" customWidth="1"/>
    <col min="8" max="8" width="14.69921875" style="41" customWidth="1"/>
    <col min="9" max="9" width="0.296875" style="41" customWidth="1"/>
    <col min="10" max="10" width="15.69921875" style="41" customWidth="1"/>
    <col min="11" max="11" width="0.296875" style="41" customWidth="1"/>
    <col min="12" max="12" width="10.09765625" style="41" customWidth="1"/>
    <col min="13" max="13" width="0.3984375" style="41" customWidth="1"/>
    <col min="14" max="14" width="12.59765625" style="41" customWidth="1"/>
    <col min="15" max="15" width="0.296875" style="41" customWidth="1"/>
    <col min="16" max="16" width="14.69921875" style="41" customWidth="1"/>
    <col min="17" max="17" width="0.3984375" style="41" customWidth="1"/>
    <col min="18" max="18" width="15.69921875" style="41" customWidth="1"/>
    <col min="19" max="19" width="0.3984375" style="41" customWidth="1"/>
    <col min="20" max="20" width="9.69921875" style="41" customWidth="1"/>
    <col min="21" max="22" width="9.69921875" style="41"/>
    <col min="23" max="23" width="14.8984375" style="41" bestFit="1" customWidth="1"/>
    <col min="24" max="24" width="9.69921875" style="41"/>
    <col min="25" max="25" width="13.296875" style="41" bestFit="1" customWidth="1"/>
    <col min="26" max="72" width="9.69921875" style="41"/>
    <col min="73" max="73" width="20.69921875" style="41" customWidth="1"/>
    <col min="74" max="16384" width="9.69921875" style="41"/>
  </cols>
  <sheetData>
    <row r="1" spans="1:20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20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</row>
    <row r="3" spans="1:20">
      <c r="A3" s="40" t="s">
        <v>636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1:20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</row>
    <row r="5" spans="1:20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</row>
    <row r="6" spans="1:20">
      <c r="A6" s="41" t="str">
        <f>DATA_PERIOD</f>
        <v>DATA: ____ BASE PERIOD   __X__FORECASTED PERIOD</v>
      </c>
      <c r="R6" s="42" t="s">
        <v>187</v>
      </c>
      <c r="S6" s="42"/>
    </row>
    <row r="7" spans="1:20">
      <c r="A7" s="41" t="str">
        <f>TYPE</f>
        <v>TYPE OF FILING: _X_ ORIGINAL   ___UPDATED  ___ REVISED</v>
      </c>
      <c r="R7" s="42" t="s">
        <v>158</v>
      </c>
      <c r="S7" s="42"/>
    </row>
    <row r="8" spans="1:20">
      <c r="A8" s="42" t="s">
        <v>170</v>
      </c>
      <c r="R8" s="42" t="s">
        <v>3</v>
      </c>
      <c r="S8" s="42"/>
    </row>
    <row r="9" spans="1:20">
      <c r="A9" s="133" t="str">
        <f>TIME</f>
        <v>12 Months Projected with Riders</v>
      </c>
      <c r="R9" s="41" t="str">
        <f>WIT</f>
        <v>B. L. Sailers</v>
      </c>
      <c r="S9" s="42"/>
    </row>
    <row r="10" spans="1:20" s="130" customFormat="1" ht="15">
      <c r="A10" s="133" t="str">
        <f>INPUT!B5</f>
        <v xml:space="preserve"> </v>
      </c>
      <c r="S10" s="133"/>
    </row>
    <row r="11" spans="1:20">
      <c r="A11" s="40" t="s">
        <v>636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</row>
    <row r="12" spans="1:20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</row>
    <row r="13" spans="1:20" ht="18" customHeight="1">
      <c r="J13" s="44" t="s">
        <v>645</v>
      </c>
      <c r="K13" s="44"/>
      <c r="L13" s="44"/>
      <c r="M13" s="44"/>
      <c r="N13" s="44" t="s">
        <v>190</v>
      </c>
      <c r="O13" s="44"/>
      <c r="R13" s="44"/>
      <c r="S13" s="44"/>
      <c r="T13" s="44"/>
    </row>
    <row r="14" spans="1:20">
      <c r="J14" s="44" t="s">
        <v>12</v>
      </c>
      <c r="K14" s="44"/>
      <c r="L14" s="44"/>
      <c r="M14" s="44"/>
      <c r="N14" s="44" t="s">
        <v>191</v>
      </c>
      <c r="O14" s="44"/>
      <c r="R14" s="44" t="s">
        <v>645</v>
      </c>
      <c r="S14" s="44"/>
      <c r="T14" s="44"/>
    </row>
    <row r="15" spans="1:20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841</v>
      </c>
      <c r="K15" s="44"/>
      <c r="L15" s="44" t="s">
        <v>188</v>
      </c>
      <c r="M15" s="44"/>
      <c r="N15" s="44" t="s">
        <v>192</v>
      </c>
      <c r="O15" s="44"/>
      <c r="P15" s="44" t="s">
        <v>841</v>
      </c>
      <c r="Q15" s="44"/>
      <c r="R15" s="44" t="s">
        <v>9</v>
      </c>
      <c r="S15" s="44"/>
      <c r="T15" s="44" t="s">
        <v>190</v>
      </c>
    </row>
    <row r="16" spans="1:20">
      <c r="A16" s="44" t="s">
        <v>22</v>
      </c>
      <c r="C16" s="44" t="s">
        <v>23</v>
      </c>
      <c r="D16" s="44" t="s">
        <v>24</v>
      </c>
      <c r="E16" s="44"/>
      <c r="F16" s="44" t="s">
        <v>55</v>
      </c>
      <c r="H16" s="44" t="s">
        <v>26</v>
      </c>
      <c r="I16" s="44"/>
      <c r="J16" s="44" t="s">
        <v>9</v>
      </c>
      <c r="K16" s="44"/>
      <c r="L16" s="44" t="s">
        <v>18</v>
      </c>
      <c r="M16" s="44"/>
      <c r="N16" s="44" t="s">
        <v>841</v>
      </c>
      <c r="O16" s="44"/>
      <c r="P16" s="44" t="s">
        <v>9</v>
      </c>
      <c r="Q16" s="44"/>
      <c r="R16" s="44" t="s">
        <v>11</v>
      </c>
      <c r="S16" s="44"/>
      <c r="T16" s="44" t="s">
        <v>191</v>
      </c>
    </row>
    <row r="17" spans="1:25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7" t="s">
        <v>37</v>
      </c>
      <c r="K17" s="304"/>
      <c r="L17" s="307" t="s">
        <v>189</v>
      </c>
      <c r="M17" s="304"/>
      <c r="N17" s="307" t="s">
        <v>39</v>
      </c>
      <c r="O17" s="304"/>
      <c r="P17" s="304" t="s">
        <v>40</v>
      </c>
      <c r="Q17" s="304"/>
      <c r="R17" s="307" t="s">
        <v>41</v>
      </c>
      <c r="S17" s="304"/>
      <c r="T17" s="307" t="s">
        <v>42</v>
      </c>
    </row>
    <row r="18" spans="1:25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</row>
    <row r="19" spans="1:25" s="130" customFormat="1" ht="17.100000000000001" customHeight="1">
      <c r="H19" s="304" t="s">
        <v>49</v>
      </c>
      <c r="I19" s="304"/>
      <c r="J19" s="304" t="s">
        <v>50</v>
      </c>
      <c r="K19" s="304"/>
      <c r="L19" s="307" t="s">
        <v>197</v>
      </c>
      <c r="M19" s="304"/>
      <c r="N19" s="304" t="s">
        <v>51</v>
      </c>
      <c r="O19" s="304"/>
      <c r="P19" s="304" t="s">
        <v>50</v>
      </c>
      <c r="Q19" s="304"/>
      <c r="R19" s="304" t="s">
        <v>50</v>
      </c>
      <c r="S19" s="304"/>
      <c r="T19" s="304" t="s">
        <v>51</v>
      </c>
    </row>
    <row r="20" spans="1:25">
      <c r="A20" s="44">
        <v>1</v>
      </c>
      <c r="C20" s="42" t="s">
        <v>52</v>
      </c>
      <c r="D20" s="48" t="s">
        <v>242</v>
      </c>
      <c r="E20" s="42"/>
      <c r="F20" s="3">
        <f>'Rate RS'!X79</f>
        <v>1689991</v>
      </c>
      <c r="G20" s="1"/>
      <c r="H20" s="3">
        <f>'Rate RS'!Z79</f>
        <v>1527729253</v>
      </c>
      <c r="I20" s="3"/>
      <c r="J20" s="3">
        <f>'Rate RS'!AD79</f>
        <v>199737729</v>
      </c>
      <c r="K20" s="3"/>
      <c r="L20" s="135">
        <f t="shared" ref="L20:L49" si="0">IF(H20=0,"-",ROUND(J20/H20*100,6))</f>
        <v>13.074158000000001</v>
      </c>
      <c r="M20" s="7"/>
      <c r="N20" s="85">
        <f>IF(ABS(J20/$J$49*100)&lt;0.005,"-   ",ROUND(J20/$J$49*100,2))</f>
        <v>43.15</v>
      </c>
      <c r="O20" s="6"/>
      <c r="P20" s="3">
        <f>'Rate RS'!AL79</f>
        <v>5327517</v>
      </c>
      <c r="Q20" s="3"/>
      <c r="R20" s="3">
        <f>'Rate RS'!AN79</f>
        <v>205065246</v>
      </c>
      <c r="S20" s="3"/>
      <c r="T20" s="85">
        <f t="shared" ref="T20:T44" si="1">IF(ABS(R20/$R$49*100)&lt;0.005,"-    ",ROUND(R20/$R$49*100,2))</f>
        <v>43.02</v>
      </c>
    </row>
    <row r="21" spans="1:25">
      <c r="A21" s="44">
        <v>2</v>
      </c>
      <c r="C21" s="42"/>
      <c r="D21" s="48"/>
      <c r="E21" s="42"/>
      <c r="F21" s="3"/>
      <c r="G21" s="1"/>
      <c r="H21" s="3"/>
      <c r="I21" s="3"/>
      <c r="J21" s="3"/>
      <c r="K21" s="3"/>
      <c r="L21" s="135"/>
      <c r="M21" s="7"/>
      <c r="N21" s="85"/>
      <c r="O21" s="6"/>
      <c r="P21" s="3"/>
      <c r="Q21" s="3"/>
      <c r="R21" s="3"/>
      <c r="S21" s="3"/>
      <c r="T21" s="85"/>
    </row>
    <row r="22" spans="1:25">
      <c r="A22" s="44">
        <v>3</v>
      </c>
      <c r="C22" s="42" t="s">
        <v>91</v>
      </c>
      <c r="D22" s="48" t="s">
        <v>243</v>
      </c>
      <c r="E22" s="42"/>
      <c r="F22" s="3">
        <f>'Rate DS'!Y106</f>
        <v>155005</v>
      </c>
      <c r="G22" s="1"/>
      <c r="H22" s="3">
        <f>'Rate DS'!AA106</f>
        <v>1097342923</v>
      </c>
      <c r="I22" s="3"/>
      <c r="J22" s="3">
        <f>'Rate DS'!AE106</f>
        <v>132292480</v>
      </c>
      <c r="K22" s="3"/>
      <c r="L22" s="135">
        <f t="shared" si="0"/>
        <v>12.055709999999999</v>
      </c>
      <c r="M22" s="7"/>
      <c r="N22" s="85">
        <f t="shared" ref="N22:N42" si="2">IF(ABS(J22/$J$49*100)&lt;0.005,"-   ",ROUND(J22/$J$49*100,2))</f>
        <v>28.58</v>
      </c>
      <c r="O22" s="6"/>
      <c r="P22" s="3">
        <f>'Rate DS'!AM106</f>
        <v>3826668</v>
      </c>
      <c r="Q22" s="3"/>
      <c r="R22" s="3">
        <f>'Rate DS'!AO106</f>
        <v>136119148</v>
      </c>
      <c r="S22" s="3"/>
      <c r="T22" s="85">
        <f t="shared" si="1"/>
        <v>28.56</v>
      </c>
    </row>
    <row r="23" spans="1:25">
      <c r="A23" s="44">
        <v>4</v>
      </c>
      <c r="C23" s="42" t="s">
        <v>378</v>
      </c>
      <c r="D23" s="42" t="s">
        <v>61</v>
      </c>
      <c r="E23" s="42"/>
      <c r="F23" s="3">
        <f>'Rate DT-Pri'!Y137</f>
        <v>395</v>
      </c>
      <c r="G23" s="1"/>
      <c r="H23" s="3">
        <f>'Rate DT-Pri'!AA137</f>
        <v>474967440</v>
      </c>
      <c r="I23" s="3"/>
      <c r="J23" s="3">
        <f>'Rate DT-Pri'!AE137</f>
        <v>45773518</v>
      </c>
      <c r="K23" s="3"/>
      <c r="L23" s="135">
        <f t="shared" si="0"/>
        <v>9.6371909999999996</v>
      </c>
      <c r="M23" s="7"/>
      <c r="N23" s="85">
        <f t="shared" si="2"/>
        <v>9.89</v>
      </c>
      <c r="O23" s="6"/>
      <c r="P23" s="3">
        <f>'Rate DT-Pri'!AM137</f>
        <v>1656313</v>
      </c>
      <c r="Q23" s="3"/>
      <c r="R23" s="3">
        <f>'Rate DT-Pri'!AO137</f>
        <v>47429831</v>
      </c>
      <c r="S23" s="3"/>
      <c r="T23" s="85">
        <f t="shared" si="1"/>
        <v>9.9499999999999993</v>
      </c>
    </row>
    <row r="24" spans="1:25">
      <c r="A24" s="44">
        <v>5</v>
      </c>
      <c r="C24" s="42" t="s">
        <v>376</v>
      </c>
      <c r="D24" s="42" t="s">
        <v>61</v>
      </c>
      <c r="E24" s="42"/>
      <c r="F24" s="3">
        <f>'Rate DT-Sec'!Y133</f>
        <v>1363</v>
      </c>
      <c r="G24" s="1"/>
      <c r="H24" s="3">
        <f>'Rate DT-Sec'!AA133</f>
        <v>600045849</v>
      </c>
      <c r="I24" s="3"/>
      <c r="J24" s="3">
        <f>'Rate DT-Sec'!AE133</f>
        <v>58882183</v>
      </c>
      <c r="K24" s="3"/>
      <c r="L24" s="135">
        <f t="shared" si="0"/>
        <v>9.8129469999999994</v>
      </c>
      <c r="M24" s="7"/>
      <c r="N24" s="85">
        <f t="shared" si="2"/>
        <v>12.72</v>
      </c>
      <c r="O24" s="6"/>
      <c r="P24" s="3">
        <f>'Rate DT-Sec'!AM133</f>
        <v>2092488</v>
      </c>
      <c r="Q24" s="3"/>
      <c r="R24" s="3">
        <f>J24+P24</f>
        <v>60974671</v>
      </c>
      <c r="S24" s="3"/>
      <c r="T24" s="85">
        <f t="shared" si="1"/>
        <v>12.79</v>
      </c>
    </row>
    <row r="25" spans="1:25">
      <c r="A25" s="44">
        <v>6</v>
      </c>
      <c r="C25" s="42" t="s">
        <v>94</v>
      </c>
      <c r="D25" s="42" t="s">
        <v>245</v>
      </c>
      <c r="E25" s="42"/>
      <c r="F25" s="3">
        <f>'Rate EH'!Y91</f>
        <v>1006</v>
      </c>
      <c r="G25" s="1"/>
      <c r="H25" s="3">
        <f>'Rate EH'!AA91</f>
        <v>19145457</v>
      </c>
      <c r="I25" s="3"/>
      <c r="J25" s="3">
        <f>'Rate EH'!AE91</f>
        <v>1884829</v>
      </c>
      <c r="K25" s="3"/>
      <c r="L25" s="135">
        <f t="shared" si="0"/>
        <v>9.8447849999999999</v>
      </c>
      <c r="M25" s="7"/>
      <c r="N25" s="85">
        <f t="shared" si="2"/>
        <v>0.41</v>
      </c>
      <c r="O25" s="6"/>
      <c r="P25" s="3">
        <f>'Rate EH'!AM91</f>
        <v>66764</v>
      </c>
      <c r="Q25" s="3"/>
      <c r="R25" s="3">
        <f>'Rate EH'!AO91</f>
        <v>1951593</v>
      </c>
      <c r="S25" s="3"/>
      <c r="T25" s="85">
        <f t="shared" si="1"/>
        <v>0.41</v>
      </c>
    </row>
    <row r="26" spans="1:25">
      <c r="A26" s="44">
        <v>7</v>
      </c>
      <c r="C26" s="42" t="s">
        <v>95</v>
      </c>
      <c r="D26" s="48" t="s">
        <v>244</v>
      </c>
      <c r="E26" s="42"/>
      <c r="F26" s="3">
        <f>'Rate SP GSFL'!Y101</f>
        <v>166</v>
      </c>
      <c r="G26" s="1"/>
      <c r="H26" s="3">
        <f>'Rate SP GSFL'!AA101</f>
        <v>327203</v>
      </c>
      <c r="I26" s="3"/>
      <c r="J26" s="3">
        <f>'Rate SP GSFL'!AE101</f>
        <v>51997</v>
      </c>
      <c r="K26" s="3"/>
      <c r="L26" s="135">
        <f t="shared" si="0"/>
        <v>15.891358</v>
      </c>
      <c r="M26" s="7"/>
      <c r="N26" s="85">
        <f t="shared" si="2"/>
        <v>0.01</v>
      </c>
      <c r="O26" s="6"/>
      <c r="P26" s="3">
        <f>'Rate SP GSFL'!AM101</f>
        <v>1141</v>
      </c>
      <c r="Q26" s="3"/>
      <c r="R26" s="3">
        <f>'Rate SP GSFL'!AO101</f>
        <v>53138</v>
      </c>
      <c r="S26" s="3"/>
      <c r="T26" s="85">
        <f t="shared" si="1"/>
        <v>0.01</v>
      </c>
      <c r="Y26" s="45"/>
    </row>
    <row r="27" spans="1:25">
      <c r="A27" s="44">
        <v>8</v>
      </c>
      <c r="C27" s="42" t="s">
        <v>93</v>
      </c>
      <c r="D27" s="42" t="s">
        <v>152</v>
      </c>
      <c r="E27" s="42"/>
      <c r="F27" s="3">
        <f>'Rate SP GSFL'!Y120</f>
        <v>275</v>
      </c>
      <c r="G27" s="1"/>
      <c r="H27" s="3">
        <f>'Rate SP GSFL'!AA120</f>
        <v>5922743</v>
      </c>
      <c r="I27" s="3"/>
      <c r="J27" s="3">
        <f>'Rate SP GSFL'!AE120</f>
        <v>819491</v>
      </c>
      <c r="K27" s="3"/>
      <c r="L27" s="135">
        <f t="shared" si="0"/>
        <v>13.836342</v>
      </c>
      <c r="M27" s="7"/>
      <c r="N27" s="85">
        <f t="shared" si="2"/>
        <v>0.18</v>
      </c>
      <c r="O27" s="6"/>
      <c r="P27" s="3">
        <f>'Rate SP GSFL'!AM120</f>
        <v>20654</v>
      </c>
      <c r="Q27" s="3"/>
      <c r="R27" s="3">
        <f>J27+P27</f>
        <v>840145</v>
      </c>
      <c r="S27" s="3"/>
      <c r="T27" s="85">
        <f t="shared" si="1"/>
        <v>0.18</v>
      </c>
    </row>
    <row r="28" spans="1:25">
      <c r="A28" s="44">
        <v>9</v>
      </c>
      <c r="C28" s="42" t="s">
        <v>92</v>
      </c>
      <c r="D28" s="48" t="s">
        <v>181</v>
      </c>
      <c r="E28" s="42"/>
      <c r="F28" s="3">
        <f>'Rate DP'!Y98</f>
        <v>120</v>
      </c>
      <c r="G28" s="1"/>
      <c r="H28" s="3">
        <f>'Rate DP'!AA98</f>
        <v>7726973</v>
      </c>
      <c r="I28" s="3"/>
      <c r="J28" s="3">
        <f>'Rate DP'!AE98</f>
        <v>869425</v>
      </c>
      <c r="K28" s="3"/>
      <c r="L28" s="135">
        <f t="shared" si="0"/>
        <v>11.251818999999999</v>
      </c>
      <c r="M28" s="7"/>
      <c r="N28" s="85">
        <f t="shared" si="2"/>
        <v>0.19</v>
      </c>
      <c r="O28" s="6"/>
      <c r="P28" s="3">
        <f>'Rate DP'!AM98</f>
        <v>26946</v>
      </c>
      <c r="Q28" s="3"/>
      <c r="R28" s="3">
        <f>'Rate DP'!AO98</f>
        <v>896371</v>
      </c>
      <c r="S28" s="3"/>
      <c r="T28" s="85">
        <f t="shared" si="1"/>
        <v>0.19</v>
      </c>
      <c r="Y28" s="45"/>
    </row>
    <row r="29" spans="1:25">
      <c r="A29" s="44">
        <v>10</v>
      </c>
      <c r="C29" s="42" t="s">
        <v>60</v>
      </c>
      <c r="D29" s="42" t="s">
        <v>61</v>
      </c>
      <c r="E29" s="42"/>
      <c r="F29" s="3">
        <f>'Rate TT'!Y120</f>
        <v>156</v>
      </c>
      <c r="G29" s="1"/>
      <c r="H29" s="3">
        <f>'Rate TT'!AA120</f>
        <v>185463057</v>
      </c>
      <c r="I29" s="3"/>
      <c r="J29" s="3">
        <f>'Rate TT'!AE120</f>
        <v>14940605</v>
      </c>
      <c r="K29" s="3"/>
      <c r="L29" s="135">
        <f t="shared" si="0"/>
        <v>8.0558390000000006</v>
      </c>
      <c r="M29" s="7"/>
      <c r="N29" s="85">
        <f t="shared" si="2"/>
        <v>3.23</v>
      </c>
      <c r="O29" s="6"/>
      <c r="P29" s="3">
        <f>'Rate TT'!AM120</f>
        <v>646749</v>
      </c>
      <c r="Q29" s="3"/>
      <c r="R29" s="3">
        <f>'Rate TT'!AO120</f>
        <v>15587354</v>
      </c>
      <c r="S29" s="3"/>
      <c r="T29" s="85">
        <f t="shared" si="1"/>
        <v>3.27</v>
      </c>
    </row>
    <row r="30" spans="1:25">
      <c r="A30" s="44">
        <v>11</v>
      </c>
      <c r="C30" s="41" t="s">
        <v>368</v>
      </c>
      <c r="D30" s="41" t="s">
        <v>257</v>
      </c>
      <c r="E30" s="42"/>
      <c r="F30" s="3">
        <f>'Rate DT RTP-P'!Y82</f>
        <v>0</v>
      </c>
      <c r="G30" s="1"/>
      <c r="H30" s="3">
        <f>'Rate DT RTP-P'!AA82</f>
        <v>0</v>
      </c>
      <c r="I30" s="3"/>
      <c r="J30" s="3">
        <f>'Rate DT RTP-P'!AE82</f>
        <v>0</v>
      </c>
      <c r="K30" s="3"/>
      <c r="L30" s="135" t="str">
        <f>IF(H30=0,"-",ROUND(J30/H30*100,6))</f>
        <v>-</v>
      </c>
      <c r="M30" s="7"/>
      <c r="N30" s="85" t="str">
        <f t="shared" si="2"/>
        <v xml:space="preserve">-   </v>
      </c>
      <c r="O30" s="6"/>
      <c r="P30" s="3">
        <f>'Rate DT RTP-P'!AM82</f>
        <v>0</v>
      </c>
      <c r="Q30" s="3"/>
      <c r="R30" s="3">
        <f>'Rate DT RTP-P'!AO82</f>
        <v>0</v>
      </c>
      <c r="S30" s="3"/>
      <c r="T30" s="85" t="str">
        <f t="shared" si="1"/>
        <v xml:space="preserve">-    </v>
      </c>
      <c r="W30" s="168"/>
    </row>
    <row r="31" spans="1:25">
      <c r="A31" s="44">
        <v>12</v>
      </c>
      <c r="C31" s="41" t="s">
        <v>369</v>
      </c>
      <c r="D31" s="41" t="s">
        <v>257</v>
      </c>
      <c r="E31" s="42"/>
      <c r="F31" s="3">
        <f>'Rate DT RTP-S'!Y83</f>
        <v>12</v>
      </c>
      <c r="G31" s="1"/>
      <c r="H31" s="3">
        <f>'Rate DT RTP-S'!AA83</f>
        <v>1106948</v>
      </c>
      <c r="I31" s="3"/>
      <c r="J31" s="3">
        <f>'Rate DT RTP-S'!AE83</f>
        <v>74934</v>
      </c>
      <c r="K31" s="3"/>
      <c r="L31" s="135">
        <f t="shared" si="0"/>
        <v>6.7694239999999999</v>
      </c>
      <c r="M31" s="7"/>
      <c r="N31" s="85">
        <f t="shared" si="2"/>
        <v>0.02</v>
      </c>
      <c r="O31" s="6"/>
      <c r="P31" s="3">
        <f>'Rate DT RTP-S'!AM83</f>
        <v>0</v>
      </c>
      <c r="Q31" s="3"/>
      <c r="R31" s="3">
        <f>'Rate DT RTP-S'!AO83</f>
        <v>74934</v>
      </c>
      <c r="S31" s="3"/>
      <c r="T31" s="85">
        <f t="shared" si="1"/>
        <v>0.02</v>
      </c>
    </row>
    <row r="32" spans="1:25">
      <c r="A32" s="44">
        <v>13</v>
      </c>
      <c r="C32" s="41" t="s">
        <v>260</v>
      </c>
      <c r="D32" s="41" t="s">
        <v>257</v>
      </c>
      <c r="E32" s="42"/>
      <c r="F32" s="3">
        <f>'Rate DS RTP'!Y83</f>
        <v>12</v>
      </c>
      <c r="G32" s="1"/>
      <c r="H32" s="3">
        <f>'Rate DS RTP'!AA83</f>
        <v>-2961</v>
      </c>
      <c r="I32" s="3"/>
      <c r="J32" s="3">
        <f>'Rate DS RTP'!AE83</f>
        <v>2021</v>
      </c>
      <c r="K32" s="3"/>
      <c r="L32" s="135">
        <f t="shared" si="0"/>
        <v>-68.253968</v>
      </c>
      <c r="M32" s="7"/>
      <c r="N32" s="85" t="str">
        <f t="shared" si="2"/>
        <v xml:space="preserve">-   </v>
      </c>
      <c r="O32" s="6"/>
      <c r="P32" s="3">
        <f>'Rate DS RTP'!AM83</f>
        <v>0</v>
      </c>
      <c r="Q32" s="3"/>
      <c r="R32" s="3">
        <f>'Rate DS RTP'!AO83</f>
        <v>2021</v>
      </c>
      <c r="S32" s="3"/>
      <c r="T32" s="85" t="str">
        <f t="shared" si="1"/>
        <v xml:space="preserve">-    </v>
      </c>
      <c r="W32" s="124"/>
    </row>
    <row r="33" spans="1:24">
      <c r="A33" s="44">
        <v>14</v>
      </c>
      <c r="C33" s="41" t="s">
        <v>261</v>
      </c>
      <c r="D33" s="41" t="s">
        <v>257</v>
      </c>
      <c r="E33" s="42"/>
      <c r="F33" s="3">
        <f>'Rate TT RTP'!Y85</f>
        <v>24</v>
      </c>
      <c r="G33" s="1"/>
      <c r="H33" s="3">
        <f>'Rate TT RTP'!AA85</f>
        <v>12132774</v>
      </c>
      <c r="I33" s="3"/>
      <c r="J33" s="3">
        <f>'Rate TT RTP'!AE85</f>
        <v>539003</v>
      </c>
      <c r="K33" s="3"/>
      <c r="L33" s="135">
        <f t="shared" si="0"/>
        <v>4.4425369999999997</v>
      </c>
      <c r="M33" s="7"/>
      <c r="N33" s="85">
        <f t="shared" si="2"/>
        <v>0.12</v>
      </c>
      <c r="O33" s="6"/>
      <c r="P33" s="3">
        <f>'Rate TT RTP'!AM85</f>
        <v>0</v>
      </c>
      <c r="Q33" s="3"/>
      <c r="R33" s="3">
        <f>'Rate TT RTP'!AO85</f>
        <v>539003</v>
      </c>
      <c r="S33" s="3"/>
      <c r="T33" s="85">
        <f t="shared" si="1"/>
        <v>0.11</v>
      </c>
      <c r="W33" s="169"/>
    </row>
    <row r="34" spans="1:24">
      <c r="A34" s="44">
        <v>15</v>
      </c>
      <c r="C34" s="42" t="s">
        <v>77</v>
      </c>
      <c r="D34" s="48" t="s">
        <v>78</v>
      </c>
      <c r="E34" s="42"/>
      <c r="F34" s="3">
        <f>'Rate SL'!Y293</f>
        <v>103310</v>
      </c>
      <c r="G34" s="1"/>
      <c r="H34" s="3">
        <f>'Rate SL'!AA293</f>
        <v>6857780</v>
      </c>
      <c r="I34" s="3"/>
      <c r="J34" s="3">
        <f>'Rate SL'!AE293</f>
        <v>1419233</v>
      </c>
      <c r="K34" s="3"/>
      <c r="L34" s="135">
        <f t="shared" si="0"/>
        <v>20.695225000000001</v>
      </c>
      <c r="M34" s="7"/>
      <c r="N34" s="85">
        <f t="shared" si="2"/>
        <v>0.31</v>
      </c>
      <c r="O34" s="6"/>
      <c r="P34" s="3">
        <f>'Rate SL'!AM293</f>
        <v>23917</v>
      </c>
      <c r="Q34" s="3"/>
      <c r="R34" s="3">
        <f>'Rate SL'!AO293</f>
        <v>1443150</v>
      </c>
      <c r="S34" s="3"/>
      <c r="T34" s="85">
        <f t="shared" si="1"/>
        <v>0.3</v>
      </c>
      <c r="W34" s="45"/>
    </row>
    <row r="35" spans="1:24">
      <c r="A35" s="44">
        <v>16</v>
      </c>
      <c r="C35" s="42" t="s">
        <v>81</v>
      </c>
      <c r="D35" s="48" t="s">
        <v>82</v>
      </c>
      <c r="E35" s="42"/>
      <c r="F35" s="3">
        <f>'Rate TL'!Y72</f>
        <v>1560</v>
      </c>
      <c r="G35" s="1"/>
      <c r="H35" s="3">
        <f>'Rate TL'!AA72</f>
        <v>1436827.8010000002</v>
      </c>
      <c r="I35" s="3"/>
      <c r="J35" s="3">
        <f>'Rate TL'!AE72</f>
        <v>100510</v>
      </c>
      <c r="K35" s="3"/>
      <c r="L35" s="135">
        <f t="shared" si="0"/>
        <v>6.9952709999999998</v>
      </c>
      <c r="M35" s="7"/>
      <c r="N35" s="85">
        <f t="shared" si="2"/>
        <v>0.02</v>
      </c>
      <c r="O35" s="6"/>
      <c r="P35" s="3">
        <f>'Rate TL'!AM72</f>
        <v>5011</v>
      </c>
      <c r="Q35" s="3"/>
      <c r="R35" s="3">
        <f>'Rate TL'!AO72</f>
        <v>105521</v>
      </c>
      <c r="S35" s="3"/>
      <c r="T35" s="85">
        <f t="shared" si="1"/>
        <v>0.02</v>
      </c>
    </row>
    <row r="36" spans="1:24">
      <c r="A36" s="44">
        <v>17</v>
      </c>
      <c r="C36" s="42" t="s">
        <v>239</v>
      </c>
      <c r="D36" s="42" t="s">
        <v>246</v>
      </c>
      <c r="E36" s="42"/>
      <c r="F36" s="3">
        <f>'Rate UOLS'!Y63</f>
        <v>30661</v>
      </c>
      <c r="G36" s="1"/>
      <c r="H36" s="3">
        <f>'Rate UOLS'!AA63</f>
        <v>8542179</v>
      </c>
      <c r="I36" s="3"/>
      <c r="J36" s="3">
        <f>'Rate UOLS'!AE63</f>
        <v>591059</v>
      </c>
      <c r="K36" s="3"/>
      <c r="L36" s="135">
        <f t="shared" si="0"/>
        <v>6.9192999999999998</v>
      </c>
      <c r="M36" s="7"/>
      <c r="N36" s="85">
        <f t="shared" si="2"/>
        <v>0.13</v>
      </c>
      <c r="O36" s="6"/>
      <c r="P36" s="3">
        <f>'Rate UOLS'!AM63</f>
        <v>29788</v>
      </c>
      <c r="Q36" s="3"/>
      <c r="R36" s="3">
        <f>'Rate UOLS'!AO63</f>
        <v>620847</v>
      </c>
      <c r="S36" s="3"/>
      <c r="T36" s="85">
        <f t="shared" si="1"/>
        <v>0.13</v>
      </c>
    </row>
    <row r="37" spans="1:24">
      <c r="A37" s="44">
        <v>18</v>
      </c>
      <c r="C37" s="42" t="s">
        <v>86</v>
      </c>
      <c r="D37" s="48" t="s">
        <v>247</v>
      </c>
      <c r="E37" s="42"/>
      <c r="F37" s="3">
        <f>'Rate NSU'!Y95</f>
        <v>8073</v>
      </c>
      <c r="G37" s="1"/>
      <c r="H37" s="3">
        <f>'Rate NSU'!AA95</f>
        <v>392374</v>
      </c>
      <c r="I37" s="3"/>
      <c r="J37" s="3">
        <f>'Rate NSU'!AE95</f>
        <v>95943</v>
      </c>
      <c r="K37" s="3"/>
      <c r="L37" s="135">
        <f t="shared" si="0"/>
        <v>24.451926</v>
      </c>
      <c r="M37" s="7"/>
      <c r="N37" s="85">
        <f t="shared" si="2"/>
        <v>0.02</v>
      </c>
      <c r="O37" s="6"/>
      <c r="P37" s="3">
        <f>'Rate NSU'!AM95</f>
        <v>1368</v>
      </c>
      <c r="Q37" s="3"/>
      <c r="R37" s="3">
        <f>'Rate NSU'!AO95</f>
        <v>97311</v>
      </c>
      <c r="S37" s="3"/>
      <c r="T37" s="85">
        <f t="shared" si="1"/>
        <v>0.02</v>
      </c>
    </row>
    <row r="38" spans="1:24">
      <c r="A38" s="44">
        <v>19</v>
      </c>
      <c r="C38" s="42" t="s">
        <v>73</v>
      </c>
      <c r="D38" s="42" t="s">
        <v>424</v>
      </c>
      <c r="E38" s="42"/>
      <c r="F38" s="3">
        <f>'Rate SC'!Y145</f>
        <v>2064</v>
      </c>
      <c r="G38" s="3"/>
      <c r="H38" s="3">
        <f>'Rate SC'!AA145</f>
        <v>91284</v>
      </c>
      <c r="I38" s="3"/>
      <c r="J38" s="3">
        <f>'Rate SC'!AE145</f>
        <v>6277</v>
      </c>
      <c r="K38" s="3"/>
      <c r="L38" s="135">
        <f t="shared" si="0"/>
        <v>6.8763420000000002</v>
      </c>
      <c r="M38" s="7"/>
      <c r="N38" s="85" t="str">
        <f t="shared" si="2"/>
        <v xml:space="preserve">-   </v>
      </c>
      <c r="O38" s="6"/>
      <c r="P38" s="3">
        <f>'Rate SC'!AM145</f>
        <v>318</v>
      </c>
      <c r="Q38" s="3"/>
      <c r="R38" s="3">
        <f>'Rate SC'!AO145</f>
        <v>6595</v>
      </c>
      <c r="S38" s="3"/>
      <c r="T38" s="85" t="str">
        <f t="shared" si="1"/>
        <v xml:space="preserve">-    </v>
      </c>
    </row>
    <row r="39" spans="1:24">
      <c r="A39" s="44">
        <v>20</v>
      </c>
      <c r="C39" s="42" t="s">
        <v>70</v>
      </c>
      <c r="D39" s="42" t="s">
        <v>425</v>
      </c>
      <c r="E39" s="42"/>
      <c r="F39" s="3">
        <f>'Rate SE'!Y108</f>
        <v>20531</v>
      </c>
      <c r="G39" s="3"/>
      <c r="H39" s="3">
        <f>'Rate SE'!AA108</f>
        <v>1209602</v>
      </c>
      <c r="I39" s="3"/>
      <c r="J39" s="3">
        <f>'Rate SE'!AE108</f>
        <v>256875</v>
      </c>
      <c r="K39" s="3"/>
      <c r="L39" s="135">
        <f t="shared" si="0"/>
        <v>21.236324</v>
      </c>
      <c r="M39" s="7"/>
      <c r="N39" s="85">
        <f t="shared" si="2"/>
        <v>0.06</v>
      </c>
      <c r="O39" s="6"/>
      <c r="P39" s="3">
        <f>'Rate SE'!AM108</f>
        <v>4218</v>
      </c>
      <c r="Q39" s="3"/>
      <c r="R39" s="3">
        <f>'Rate SE'!AO108</f>
        <v>261093</v>
      </c>
      <c r="S39" s="3"/>
      <c r="T39" s="85">
        <f t="shared" si="1"/>
        <v>0.05</v>
      </c>
    </row>
    <row r="40" spans="1:24">
      <c r="A40" s="44">
        <v>21</v>
      </c>
      <c r="C40" s="42" t="s">
        <v>795</v>
      </c>
      <c r="D40" s="42" t="s">
        <v>823</v>
      </c>
      <c r="E40" s="42"/>
      <c r="F40" s="3">
        <f>'Rate LED'!Y692</f>
        <v>2283</v>
      </c>
      <c r="G40" s="3"/>
      <c r="H40" s="3">
        <f>'Rate LED'!AA692</f>
        <v>42161</v>
      </c>
      <c r="I40" s="3"/>
      <c r="J40" s="3">
        <f>'Rate LED'!AE692</f>
        <v>19920</v>
      </c>
      <c r="K40" s="3"/>
      <c r="L40" s="135">
        <f t="shared" si="0"/>
        <v>47.247456</v>
      </c>
      <c r="M40" s="7"/>
      <c r="N40" s="85" t="str">
        <f t="shared" si="2"/>
        <v xml:space="preserve">-   </v>
      </c>
      <c r="O40" s="6"/>
      <c r="P40" s="3">
        <f>'Rate LED'!AM692</f>
        <v>147</v>
      </c>
      <c r="Q40" s="3"/>
      <c r="R40" s="3">
        <f>'Rate LED'!AO692</f>
        <v>20067</v>
      </c>
      <c r="S40" s="3"/>
      <c r="T40" s="85" t="str">
        <f t="shared" si="1"/>
        <v xml:space="preserve">-    </v>
      </c>
    </row>
    <row r="41" spans="1:24">
      <c r="A41" s="44">
        <v>22</v>
      </c>
      <c r="C41" s="41" t="s">
        <v>352</v>
      </c>
      <c r="D41" s="41" t="s">
        <v>326</v>
      </c>
      <c r="E41" s="42"/>
      <c r="F41" s="3">
        <f>'SCH M-2.2'!F57</f>
        <v>12</v>
      </c>
      <c r="G41" s="3"/>
      <c r="H41" s="3">
        <f>'SCH M-2.2'!H57</f>
        <v>328933</v>
      </c>
      <c r="I41" s="3"/>
      <c r="J41" s="3">
        <f>'SCH M-2.2'!L57</f>
        <v>32393.940632057602</v>
      </c>
      <c r="K41" s="3"/>
      <c r="L41" s="135">
        <f t="shared" si="0"/>
        <v>9.8481880000000004</v>
      </c>
      <c r="M41" s="7"/>
      <c r="N41" s="85">
        <f t="shared" si="2"/>
        <v>0.01</v>
      </c>
      <c r="O41" s="6"/>
      <c r="P41" s="3">
        <f>'SCH M-2.2'!T57</f>
        <v>1147.0593679423998</v>
      </c>
      <c r="Q41" s="3"/>
      <c r="R41" s="3">
        <f>'SCH M-2.2'!V57</f>
        <v>33541</v>
      </c>
      <c r="S41" s="3"/>
      <c r="T41" s="85">
        <f t="shared" si="1"/>
        <v>0.01</v>
      </c>
    </row>
    <row r="42" spans="1:24">
      <c r="A42" s="44">
        <v>23</v>
      </c>
      <c r="C42" s="42" t="s">
        <v>96</v>
      </c>
      <c r="D42" s="42" t="s">
        <v>519</v>
      </c>
      <c r="E42" s="42"/>
      <c r="F42" s="3">
        <f>'SCH M-2.2'!F58</f>
        <v>0</v>
      </c>
      <c r="G42" s="3"/>
      <c r="H42" s="3">
        <f>'SCH M-2.2'!H58</f>
        <v>0</v>
      </c>
      <c r="I42" s="3"/>
      <c r="J42" s="3">
        <f>'SCH M-2.2'!L58</f>
        <v>169500</v>
      </c>
      <c r="K42" s="3"/>
      <c r="L42" s="135" t="str">
        <f t="shared" ref="L42:L48" si="3">IF(H42=0,"-",ROUND(J42/H42*100,6))</f>
        <v>-</v>
      </c>
      <c r="M42" s="7"/>
      <c r="N42" s="85">
        <f t="shared" si="2"/>
        <v>0.04</v>
      </c>
      <c r="O42" s="6"/>
      <c r="P42" s="3">
        <f>'SCH M-2.2'!T58</f>
        <v>0</v>
      </c>
      <c r="Q42" s="3"/>
      <c r="R42" s="3">
        <f>'SCH M-2.2'!V58</f>
        <v>169500</v>
      </c>
      <c r="S42" s="3"/>
      <c r="T42" s="85">
        <f t="shared" si="1"/>
        <v>0.04</v>
      </c>
      <c r="W42" s="168"/>
    </row>
    <row r="43" spans="1:24">
      <c r="A43" s="44">
        <v>24</v>
      </c>
      <c r="D43" s="48" t="s">
        <v>248</v>
      </c>
      <c r="E43" s="42"/>
      <c r="F43" s="3">
        <f>'SCH M-2.2'!F59</f>
        <v>0</v>
      </c>
      <c r="G43" s="3"/>
      <c r="H43" s="3">
        <f>'SCH M-2.2'!H59</f>
        <v>0</v>
      </c>
      <c r="I43" s="3"/>
      <c r="J43" s="3">
        <f>'SCH M-2.2'!L59</f>
        <v>55176</v>
      </c>
      <c r="K43" s="3"/>
      <c r="L43" s="135" t="str">
        <f t="shared" si="3"/>
        <v>-</v>
      </c>
      <c r="M43" s="7"/>
      <c r="N43" s="85">
        <f t="shared" ref="N43:N48" si="4">IF(ABS(J43/$J$49*100)&lt;0.005,"-   ",ROUND(J43/$J$49*100,2))</f>
        <v>0.01</v>
      </c>
      <c r="O43" s="6"/>
      <c r="P43" s="3">
        <f>'SCH M-2.2'!T59</f>
        <v>0</v>
      </c>
      <c r="Q43" s="3"/>
      <c r="R43" s="3">
        <f>'SCH M-2.2'!V59</f>
        <v>55176</v>
      </c>
      <c r="S43" s="3"/>
      <c r="T43" s="85">
        <f t="shared" si="1"/>
        <v>0.01</v>
      </c>
      <c r="W43" s="124"/>
    </row>
    <row r="44" spans="1:24">
      <c r="A44" s="44">
        <v>25</v>
      </c>
      <c r="D44" s="42" t="s">
        <v>251</v>
      </c>
      <c r="E44" s="42"/>
      <c r="F44" s="3">
        <f>'SCH M-2.2'!F60</f>
        <v>0</v>
      </c>
      <c r="G44" s="3"/>
      <c r="H44" s="3">
        <f>'SCH M-2.2'!H60</f>
        <v>0</v>
      </c>
      <c r="I44" s="3"/>
      <c r="J44" s="3">
        <f>'SCH M-2.2'!L60</f>
        <v>55068</v>
      </c>
      <c r="K44" s="3"/>
      <c r="L44" s="135" t="str">
        <f t="shared" si="3"/>
        <v>-</v>
      </c>
      <c r="M44" s="7"/>
      <c r="N44" s="85">
        <f t="shared" si="4"/>
        <v>0.01</v>
      </c>
      <c r="O44" s="6"/>
      <c r="P44" s="3">
        <f>'SCH M-2.2'!T60</f>
        <v>0</v>
      </c>
      <c r="Q44" s="3"/>
      <c r="R44" s="3">
        <f>'SCH M-2.2'!V60</f>
        <v>55068</v>
      </c>
      <c r="S44" s="3"/>
      <c r="T44" s="85">
        <f t="shared" si="1"/>
        <v>0.01</v>
      </c>
      <c r="W44" s="169"/>
    </row>
    <row r="45" spans="1:24">
      <c r="A45" s="44">
        <v>26</v>
      </c>
      <c r="D45" s="42" t="s">
        <v>478</v>
      </c>
      <c r="E45" s="42"/>
      <c r="F45" s="3">
        <f>'SCH M-2.2'!F61</f>
        <v>0</v>
      </c>
      <c r="G45" s="3"/>
      <c r="H45" s="3">
        <f>'SCH M-2.2'!H61</f>
        <v>0</v>
      </c>
      <c r="I45" s="3"/>
      <c r="J45" s="3">
        <f>'SCH M-2.2'!L61</f>
        <v>699996</v>
      </c>
      <c r="K45" s="3"/>
      <c r="L45" s="135" t="str">
        <f>IF(H45=0,"-",ROUND(J45/H45*100,6))</f>
        <v>-</v>
      </c>
      <c r="M45" s="7"/>
      <c r="N45" s="85">
        <f t="shared" si="4"/>
        <v>0.15</v>
      </c>
      <c r="O45" s="6"/>
      <c r="P45" s="3">
        <f>'SCH M-2.2'!T61</f>
        <v>0</v>
      </c>
      <c r="Q45" s="3"/>
      <c r="R45" s="3">
        <f>'SCH M-2.2'!V61</f>
        <v>699996</v>
      </c>
      <c r="S45" s="3"/>
      <c r="T45" s="85">
        <f>IF(ABS(R45/$R$49*100)&lt;0.005,"-    ",ROUND(R45/$R$49*100,2))</f>
        <v>0.15</v>
      </c>
    </row>
    <row r="46" spans="1:24">
      <c r="A46" s="44">
        <v>27</v>
      </c>
      <c r="D46" s="42" t="s">
        <v>250</v>
      </c>
      <c r="E46" s="42"/>
      <c r="F46" s="3">
        <f>'SCH M-2.2'!F62</f>
        <v>0</v>
      </c>
      <c r="G46" s="3"/>
      <c r="H46" s="3">
        <f>'SCH M-2.2'!H62</f>
        <v>0</v>
      </c>
      <c r="I46" s="3"/>
      <c r="J46" s="3">
        <f>'SCH M-2.2'!L62</f>
        <v>1299996</v>
      </c>
      <c r="K46" s="3"/>
      <c r="L46" s="135" t="str">
        <f t="shared" si="3"/>
        <v>-</v>
      </c>
      <c r="M46" s="68"/>
      <c r="N46" s="85">
        <f t="shared" si="4"/>
        <v>0.28000000000000003</v>
      </c>
      <c r="O46" s="7"/>
      <c r="P46" s="3">
        <f>'SCH M-2.2'!T62</f>
        <v>0</v>
      </c>
      <c r="Q46" s="3"/>
      <c r="R46" s="3">
        <f>'SCH M-2.2'!V62</f>
        <v>1299996</v>
      </c>
      <c r="S46" s="6"/>
      <c r="T46" s="85">
        <f>IF(ABS(R46/$R$49*100)&lt;0.005,"-    ",ROUND(R46/$R$49*100,2))</f>
        <v>0.27</v>
      </c>
      <c r="U46" s="45"/>
      <c r="V46" s="45"/>
      <c r="W46" s="45"/>
      <c r="X46" s="46"/>
    </row>
    <row r="47" spans="1:24">
      <c r="A47" s="44">
        <v>28</v>
      </c>
      <c r="C47" s="41" t="s">
        <v>329</v>
      </c>
      <c r="D47" s="42" t="s">
        <v>327</v>
      </c>
      <c r="E47" s="42"/>
      <c r="F47" s="3">
        <f>'SCH M-2.2'!F63</f>
        <v>12</v>
      </c>
      <c r="G47" s="3"/>
      <c r="H47" s="3">
        <f>'SCH M-2.2'!H63</f>
        <v>13976789</v>
      </c>
      <c r="I47" s="3"/>
      <c r="J47" s="3">
        <f>'SCH M-2.2'!L63</f>
        <v>942396.00085330079</v>
      </c>
      <c r="K47" s="3"/>
      <c r="L47" s="135">
        <f t="shared" si="3"/>
        <v>6.7425790000000001</v>
      </c>
      <c r="M47" s="68"/>
      <c r="N47" s="85">
        <f t="shared" si="4"/>
        <v>0.2</v>
      </c>
      <c r="O47" s="7"/>
      <c r="P47" s="3">
        <f>'SCH M-2.2'!T63</f>
        <v>48740.037503699197</v>
      </c>
      <c r="Q47" s="3"/>
      <c r="R47" s="3">
        <f>'SCH M-2.2'!V63</f>
        <v>991136.03835699998</v>
      </c>
      <c r="S47" s="6"/>
      <c r="T47" s="85">
        <f>IF(ABS(R47/$R$49*100)&lt;0.005,"-    ",ROUND(R47/$R$49*100,2))</f>
        <v>0.21</v>
      </c>
      <c r="U47" s="45"/>
      <c r="V47" s="45"/>
      <c r="W47" s="45"/>
      <c r="X47" s="46"/>
    </row>
    <row r="48" spans="1:24">
      <c r="A48" s="44">
        <v>29</v>
      </c>
      <c r="D48" s="42" t="s">
        <v>97</v>
      </c>
      <c r="E48" s="42"/>
      <c r="F48" s="3">
        <f>'SCH M-2.2'!F64</f>
        <v>0</v>
      </c>
      <c r="G48" s="3"/>
      <c r="H48" s="3">
        <f>'SCH M-2.2'!H64</f>
        <v>0</v>
      </c>
      <c r="I48" s="3"/>
      <c r="J48" s="3">
        <f>'SCH M-2.2'!L64</f>
        <v>1294812</v>
      </c>
      <c r="K48" s="3"/>
      <c r="L48" s="136" t="str">
        <f t="shared" si="3"/>
        <v>-</v>
      </c>
      <c r="M48" s="68"/>
      <c r="N48" s="85">
        <f t="shared" si="4"/>
        <v>0.28000000000000003</v>
      </c>
      <c r="O48" s="7"/>
      <c r="P48" s="3">
        <f>'SCH M-2.2'!T64</f>
        <v>0</v>
      </c>
      <c r="Q48" s="3"/>
      <c r="R48" s="3">
        <f>'SCH M-2.2'!V64</f>
        <v>1294812</v>
      </c>
      <c r="S48" s="6"/>
      <c r="T48" s="85">
        <f>IF(ABS(R48/$R$49*100)&lt;0.005,"-    ",ROUND(R48/$R$49*100,2))</f>
        <v>0.27</v>
      </c>
      <c r="U48" s="45"/>
      <c r="V48" s="45"/>
      <c r="W48" s="45"/>
      <c r="X48" s="46"/>
    </row>
    <row r="49" spans="1:20" ht="20.100000000000001" customHeight="1" thickBot="1">
      <c r="A49" s="44">
        <v>30</v>
      </c>
      <c r="C49" s="42" t="s">
        <v>98</v>
      </c>
      <c r="F49" s="83">
        <f>SUM(F20:F48)</f>
        <v>2017031</v>
      </c>
      <c r="G49" s="1"/>
      <c r="H49" s="83">
        <f>SUM(H20:H48)</f>
        <v>3964785588.8010001</v>
      </c>
      <c r="I49" s="3"/>
      <c r="J49" s="83">
        <f>SUM(J20:J48)</f>
        <v>462907369.94148535</v>
      </c>
      <c r="K49" s="3"/>
      <c r="L49" s="137">
        <f t="shared" si="0"/>
        <v>11.675470000000001</v>
      </c>
      <c r="M49" s="7"/>
      <c r="N49" s="86">
        <v>100</v>
      </c>
      <c r="O49" s="6"/>
      <c r="P49" s="83">
        <f>SUM(P20:P48)</f>
        <v>13779894.096871641</v>
      </c>
      <c r="Q49" s="3"/>
      <c r="R49" s="83">
        <f>SUM(R20:R48)</f>
        <v>476687264.03835702</v>
      </c>
      <c r="S49" s="3"/>
      <c r="T49" s="86">
        <v>100</v>
      </c>
    </row>
    <row r="50" spans="1:20" ht="16.5" thickTop="1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>
      <c r="C51" s="48" t="s">
        <v>193</v>
      </c>
    </row>
    <row r="52" spans="1:20">
      <c r="A52" s="42"/>
    </row>
  </sheetData>
  <customSheetViews>
    <customSheetView guid="{F562D92E-120C-4AE9-9663-89E64D41DC53}" scale="75" fitToPage="1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"/>
      <headerFooter alignWithMargins="0"/>
    </customSheetView>
    <customSheetView guid="{35F19056-2E6F-4935-B863-78836FE990BF}" scale="75" fitToPage="1" showRuler="0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2"/>
      <headerFooter alignWithMargins="0"/>
    </customSheetView>
    <customSheetView guid="{18BDED73-BFA0-442E-87EC-CED86EE4CF94}" scale="75" fitToPage="1" showRuler="0" topLeftCell="A10">
      <selection activeCell="H28" sqref="H28:H31"/>
      <pageMargins left="0.5" right="0.5" top="1" bottom="0" header="0.5" footer="0.5"/>
      <printOptions horizontalCentered="1"/>
      <pageSetup scale="63" orientation="landscape" horizontalDpi="300" verticalDpi="300" r:id="rId3"/>
      <headerFooter alignWithMargins="0"/>
    </customSheetView>
    <customSheetView guid="{0BC1F393-8A13-47D5-BC6C-0C99615B5AB9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4"/>
      <headerFooter alignWithMargins="0"/>
    </customSheetView>
    <customSheetView guid="{6B3D5C27-2FDE-4561-9575-1E98BFB869D0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5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63" orientation="landscape" horizontalDpi="300" verticalDpi="300" r:id="rId6"/>
      <headerFooter alignWithMargins="0"/>
    </customSheetView>
    <customSheetView guid="{8FC77C99-DBF7-40B8-99B8-01B75826CDCB}" scale="75" showPageBreaks="1" fitToPage="1" printArea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7"/>
      <headerFooter alignWithMargins="0"/>
    </customSheetView>
    <customSheetView guid="{2EA35095-1ADC-4CC7-8C3C-B487D65FA247}" scale="75" fitToPage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8"/>
      <headerFooter alignWithMargins="0"/>
    </customSheetView>
    <customSheetView guid="{2431C9E5-7CC2-4B8D-99C3-962247B1DBF5}" scale="75" fitToPage="1" showRuler="0">
      <selection activeCell="R40" sqref="R40"/>
      <pageMargins left="0.5" right="0.5" top="1" bottom="0" header="0.5" footer="0.5"/>
      <printOptions horizontalCentered="1"/>
      <pageSetup scale="63" orientation="landscape" horizontalDpi="300" verticalDpi="300" r:id="rId9"/>
      <headerFooter alignWithMargins="0"/>
    </customSheetView>
    <customSheetView guid="{4BC93440-BA85-4935-A8C9-66DC6AE5DE5E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10"/>
      <headerFooter alignWithMargins="0"/>
    </customSheetView>
    <customSheetView guid="{0C49E549-011E-46F4-A82E-2CC8951A9C1E}" scale="75" fitToPage="1" showRuler="0">
      <selection activeCell="L9" sqref="L9"/>
      <pageMargins left="0.5" right="0.5" top="1" bottom="0" header="0.5" footer="0.5"/>
      <printOptions horizontalCentered="1"/>
      <pageSetup scale="63" orientation="landscape" horizontalDpi="300" verticalDpi="300" r:id="rId11"/>
      <headerFooter alignWithMargins="0"/>
    </customSheetView>
    <customSheetView guid="{195DF303-1BBD-4236-94B5-47432850B006}" scale="75" fitToPage="1" showRuler="0">
      <pageMargins left="0.5" right="0.5" top="1" bottom="0" header="0.5" footer="0.5"/>
      <printOptions horizontalCentered="1"/>
      <pageSetup scale="63" orientation="landscape" horizontalDpi="300" verticalDpi="300" r:id="rId12"/>
      <headerFooter alignWithMargins="0"/>
    </customSheetView>
  </customSheetViews>
  <phoneticPr fontId="12" type="noConversion"/>
  <printOptions horizontalCentered="1"/>
  <pageMargins left="0.5" right="0.5" top="1" bottom="0" header="0.5" footer="0.5"/>
  <pageSetup scale="56" orientation="landscape" horizontalDpi="300" verticalDpi="300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A1" transitionEvaluation="1" transitionEntry="1" codeName="Sheet4">
    <pageSetUpPr fitToPage="1"/>
  </sheetPr>
  <dimension ref="A1:AC97"/>
  <sheetViews>
    <sheetView workbookViewId="0">
      <selection sqref="A1:X1"/>
    </sheetView>
  </sheetViews>
  <sheetFormatPr defaultColWidth="9.69921875" defaultRowHeight="15.75"/>
  <cols>
    <col min="1" max="1" width="4.09765625" style="41" customWidth="1"/>
    <col min="2" max="2" width="0.3984375" style="41" customWidth="1"/>
    <col min="3" max="3" width="11.09765625" style="41" customWidth="1"/>
    <col min="4" max="4" width="28.09765625" style="41" customWidth="1"/>
    <col min="5" max="5" width="0.296875" style="41" customWidth="1"/>
    <col min="6" max="6" width="13.69921875" style="41" customWidth="1"/>
    <col min="7" max="7" width="0.3984375" style="41" customWidth="1"/>
    <col min="8" max="8" width="15.69921875" style="41" customWidth="1"/>
    <col min="9" max="9" width="0.296875" style="41" customWidth="1"/>
    <col min="10" max="10" width="10" style="41" bestFit="1" customWidth="1"/>
    <col min="11" max="11" width="0.296875" style="41" customWidth="1"/>
    <col min="12" max="12" width="15.69921875" style="41" customWidth="1"/>
    <col min="13" max="13" width="0.296875" style="41" customWidth="1"/>
    <col min="14" max="14" width="11.69921875" style="41" customWidth="1"/>
    <col min="15" max="15" width="0.3984375" style="41" customWidth="1"/>
    <col min="16" max="16" width="15.69921875" style="41" customWidth="1"/>
    <col min="17" max="17" width="0.296875" style="41" customWidth="1"/>
    <col min="18" max="18" width="13.8984375" style="99" customWidth="1"/>
    <col min="19" max="19" width="0.296875" style="41" customWidth="1"/>
    <col min="20" max="20" width="14.3984375" style="41" customWidth="1"/>
    <col min="21" max="21" width="0.3984375" style="41" customWidth="1"/>
    <col min="22" max="22" width="14.3984375" style="41" customWidth="1"/>
    <col min="23" max="23" width="0.3984375" style="41" customWidth="1"/>
    <col min="24" max="24" width="11.69921875" style="99" customWidth="1"/>
    <col min="25" max="25" width="13.09765625" style="41" customWidth="1"/>
    <col min="26" max="26" width="9.69921875" style="41" customWidth="1"/>
    <col min="27" max="27" width="11.69921875" style="45" bestFit="1" customWidth="1"/>
    <col min="28" max="28" width="9.69921875" style="41"/>
    <col min="29" max="29" width="11.69921875" style="45" bestFit="1" customWidth="1"/>
    <col min="30" max="76" width="9.69921875" style="41"/>
    <col min="77" max="77" width="20.69921875" style="41" customWidth="1"/>
    <col min="78" max="16384" width="9.69921875" style="41"/>
  </cols>
  <sheetData>
    <row r="1" spans="1:26">
      <c r="A1" s="760" t="str">
        <f>NAME</f>
        <v>DUKE ENERGY KENTUCKY, INC.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Z1" s="44"/>
    </row>
    <row r="2" spans="1:26">
      <c r="A2" s="760" t="str">
        <f>CASE_NO</f>
        <v>CASE NO.   2024-00354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Z2" s="44"/>
    </row>
    <row r="3" spans="1:26">
      <c r="A3" s="760" t="str">
        <f>TITLE</f>
        <v>ANNUALIZED TEST YEAR REVENUES AT PROPOSED VS. MOST CURRENT RATES</v>
      </c>
      <c r="B3" s="760"/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Z3" s="44"/>
    </row>
    <row r="4" spans="1:26">
      <c r="A4" s="760" t="str">
        <f>DATE</f>
        <v>FOR THE TWELVE MONTHS ENDED June 30, 2026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760"/>
      <c r="S4" s="760"/>
      <c r="T4" s="760"/>
      <c r="U4" s="760"/>
      <c r="V4" s="760"/>
      <c r="W4" s="760"/>
      <c r="X4" s="760"/>
      <c r="Z4" s="44"/>
    </row>
    <row r="5" spans="1:26">
      <c r="A5" s="760" t="str">
        <f>SERVICE</f>
        <v>(ELECTRIC SERVICE)</v>
      </c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760"/>
      <c r="X5" s="760"/>
      <c r="Z5" s="44"/>
    </row>
    <row r="6" spans="1:26">
      <c r="A6" s="41" t="str">
        <f>DATA_PERIOD</f>
        <v>DATA: ____ BASE PERIOD   __X__FORECASTED PERIOD</v>
      </c>
      <c r="V6" s="42" t="s">
        <v>157</v>
      </c>
      <c r="W6" s="42"/>
      <c r="Z6" s="44"/>
    </row>
    <row r="7" spans="1:26">
      <c r="A7" s="41" t="str">
        <f>TYPE</f>
        <v>TYPE OF FILING: _X_ ORIGINAL   ___UPDATED  ___ REVISED</v>
      </c>
      <c r="V7" s="48" t="str">
        <f>"PAGE 1 OF "&amp;TEXT(Page_Num_2.2,"00")</f>
        <v>PAGE 1 OF 24</v>
      </c>
      <c r="W7" s="42"/>
      <c r="Z7" s="44"/>
    </row>
    <row r="8" spans="1:26">
      <c r="A8" s="42" t="s">
        <v>170</v>
      </c>
      <c r="V8" s="42" t="s">
        <v>3</v>
      </c>
      <c r="W8" s="42"/>
      <c r="Z8" s="44"/>
    </row>
    <row r="9" spans="1:26">
      <c r="A9" s="133" t="str">
        <f>TIME</f>
        <v>12 Months Projected with Riders</v>
      </c>
      <c r="V9" s="41" t="str">
        <f>WIT</f>
        <v>B. L. Sailers</v>
      </c>
      <c r="W9" s="42"/>
      <c r="Z9" s="44"/>
    </row>
    <row r="10" spans="1:26">
      <c r="A10" s="133" t="str">
        <f>INPUT!B5</f>
        <v xml:space="preserve"> </v>
      </c>
      <c r="W10" s="42"/>
      <c r="Z10" s="44"/>
    </row>
    <row r="11" spans="1:26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100"/>
      <c r="S11" s="40"/>
      <c r="T11" s="40"/>
      <c r="U11" s="40"/>
      <c r="V11" s="40"/>
      <c r="W11" s="40"/>
      <c r="X11" s="100"/>
      <c r="Z11" s="44"/>
    </row>
    <row r="12" spans="1:26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101"/>
      <c r="S12" s="43"/>
      <c r="T12" s="43"/>
      <c r="U12" s="43"/>
      <c r="V12" s="43"/>
      <c r="W12" s="43"/>
      <c r="X12" s="101"/>
      <c r="Z12" s="44"/>
    </row>
    <row r="13" spans="1:26" ht="18" customHeight="1">
      <c r="L13" s="44" t="s">
        <v>8</v>
      </c>
      <c r="M13" s="44"/>
      <c r="N13" s="44" t="s">
        <v>7</v>
      </c>
      <c r="O13" s="44"/>
      <c r="P13" s="44" t="s">
        <v>9</v>
      </c>
      <c r="Q13" s="44"/>
      <c r="R13" s="102" t="s">
        <v>10</v>
      </c>
      <c r="S13" s="44"/>
      <c r="V13" s="44" t="s">
        <v>8</v>
      </c>
      <c r="W13" s="44"/>
      <c r="X13" s="102" t="s">
        <v>11</v>
      </c>
      <c r="Z13" s="44"/>
    </row>
    <row r="14" spans="1:26">
      <c r="J14" s="44" t="s">
        <v>14</v>
      </c>
      <c r="K14" s="44"/>
      <c r="L14" s="44" t="s">
        <v>12</v>
      </c>
      <c r="M14" s="44"/>
      <c r="N14" s="44" t="s">
        <v>13</v>
      </c>
      <c r="O14" s="44"/>
      <c r="P14" s="44" t="s">
        <v>15</v>
      </c>
      <c r="Q14" s="44"/>
      <c r="R14" s="102" t="s">
        <v>16</v>
      </c>
      <c r="S14" s="44"/>
      <c r="V14" s="44" t="s">
        <v>11</v>
      </c>
      <c r="W14" s="44"/>
      <c r="X14" s="102" t="s">
        <v>9</v>
      </c>
      <c r="Z14" s="44"/>
    </row>
    <row r="15" spans="1:26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8</v>
      </c>
      <c r="K15" s="44"/>
      <c r="L15" s="44" t="s">
        <v>841</v>
      </c>
      <c r="M15" s="44"/>
      <c r="N15" s="44" t="s">
        <v>841</v>
      </c>
      <c r="O15" s="44"/>
      <c r="P15" s="60" t="s">
        <v>964</v>
      </c>
      <c r="Q15" s="44"/>
      <c r="R15" s="277" t="s">
        <v>964</v>
      </c>
      <c r="S15" s="44"/>
      <c r="T15" s="44" t="s">
        <v>841</v>
      </c>
      <c r="U15" s="44"/>
      <c r="V15" s="44" t="s">
        <v>9</v>
      </c>
      <c r="W15" s="44"/>
      <c r="X15" s="102" t="s">
        <v>21</v>
      </c>
      <c r="Z15" s="44"/>
    </row>
    <row r="16" spans="1:26">
      <c r="A16" s="44" t="s">
        <v>22</v>
      </c>
      <c r="C16" s="44" t="s">
        <v>23</v>
      </c>
      <c r="D16" s="44" t="s">
        <v>24</v>
      </c>
      <c r="E16" s="44"/>
      <c r="F16" s="44" t="s">
        <v>55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304" t="s">
        <v>29</v>
      </c>
      <c r="Q16" s="44"/>
      <c r="R16" s="311" t="s">
        <v>30</v>
      </c>
      <c r="S16" s="44"/>
      <c r="T16" s="44" t="s">
        <v>9</v>
      </c>
      <c r="U16" s="44"/>
      <c r="V16" s="304" t="s">
        <v>31</v>
      </c>
      <c r="W16" s="44"/>
      <c r="X16" s="311" t="s">
        <v>32</v>
      </c>
      <c r="Z16" s="44"/>
    </row>
    <row r="17" spans="1:26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42</v>
      </c>
      <c r="K17" s="304"/>
      <c r="L17" s="304" t="s">
        <v>43</v>
      </c>
      <c r="M17" s="304"/>
      <c r="N17" s="304" t="s">
        <v>44</v>
      </c>
      <c r="O17" s="304"/>
      <c r="P17" s="304" t="s">
        <v>45</v>
      </c>
      <c r="Q17" s="304"/>
      <c r="R17" s="311" t="s">
        <v>46</v>
      </c>
      <c r="S17" s="304"/>
      <c r="T17" s="304" t="s">
        <v>40</v>
      </c>
      <c r="U17" s="304"/>
      <c r="V17" s="304" t="s">
        <v>47</v>
      </c>
      <c r="W17" s="304"/>
      <c r="X17" s="311" t="s">
        <v>48</v>
      </c>
      <c r="Y17" s="44"/>
      <c r="Z17" s="44"/>
    </row>
    <row r="18" spans="1:26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101"/>
      <c r="S18" s="43"/>
      <c r="T18" s="43"/>
      <c r="U18" s="43"/>
      <c r="V18" s="43"/>
      <c r="W18" s="43"/>
      <c r="X18" s="101"/>
      <c r="Y18" s="44"/>
      <c r="Z18" s="44"/>
    </row>
    <row r="19" spans="1:26" ht="17.100000000000001" customHeight="1">
      <c r="H19" s="308" t="s">
        <v>49</v>
      </c>
      <c r="I19" s="308"/>
      <c r="J19" s="309" t="s">
        <v>197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12" t="s">
        <v>51</v>
      </c>
      <c r="S19" s="308"/>
      <c r="T19" s="308" t="s">
        <v>50</v>
      </c>
      <c r="U19" s="308"/>
      <c r="V19" s="308" t="s">
        <v>50</v>
      </c>
      <c r="W19" s="308"/>
      <c r="X19" s="312" t="s">
        <v>51</v>
      </c>
      <c r="Y19" s="45"/>
      <c r="Z19" s="44"/>
    </row>
    <row r="20" spans="1:26">
      <c r="C20" s="759" t="s">
        <v>53</v>
      </c>
      <c r="D20" s="759"/>
      <c r="H20" s="44"/>
      <c r="I20" s="44"/>
      <c r="J20" s="60"/>
      <c r="K20" s="44"/>
      <c r="L20" s="44"/>
      <c r="M20" s="44"/>
      <c r="N20" s="44"/>
      <c r="O20" s="44"/>
      <c r="P20" s="44"/>
      <c r="Q20" s="44"/>
      <c r="R20" s="102"/>
      <c r="S20" s="44"/>
      <c r="T20" s="44"/>
      <c r="U20" s="44"/>
      <c r="V20" s="44"/>
      <c r="W20" s="44"/>
      <c r="X20" s="102"/>
      <c r="Y20" s="45"/>
      <c r="Z20" s="44"/>
    </row>
    <row r="21" spans="1:26">
      <c r="A21" s="44">
        <v>1</v>
      </c>
      <c r="C21" s="42" t="s">
        <v>52</v>
      </c>
      <c r="D21" s="48" t="s">
        <v>242</v>
      </c>
      <c r="E21" s="42"/>
      <c r="F21" s="3">
        <f>'Rate RS'!X79</f>
        <v>1689991</v>
      </c>
      <c r="G21" s="1"/>
      <c r="H21" s="3">
        <f>'Rate RS'!Z79</f>
        <v>1527729253</v>
      </c>
      <c r="I21" s="3"/>
      <c r="J21" s="139">
        <f>IF(H21=0,"-",ROUND((L21/H21)*100,6))</f>
        <v>13.074158000000001</v>
      </c>
      <c r="K21" s="7"/>
      <c r="L21" s="3">
        <f>'Rate RS'!AD79</f>
        <v>199737729</v>
      </c>
      <c r="M21" s="3"/>
      <c r="N21" s="5">
        <f>ROUND((L21/L$23)*100,2)</f>
        <v>100</v>
      </c>
      <c r="O21" s="7"/>
      <c r="P21" s="3">
        <f>'Rate RS'!AH79</f>
        <v>33271203</v>
      </c>
      <c r="Q21" s="3"/>
      <c r="R21" s="103">
        <f>ROUND((P21/L21)*100,1)</f>
        <v>16.7</v>
      </c>
      <c r="S21" s="6"/>
      <c r="T21" s="3">
        <f>'Rate RS'!AL79</f>
        <v>5327517</v>
      </c>
      <c r="U21" s="3"/>
      <c r="V21" s="3">
        <f>'Rate RS'!AN79</f>
        <v>205065246</v>
      </c>
      <c r="W21" s="3"/>
      <c r="X21" s="103">
        <f>ROUND((P21/V21)*100,1)</f>
        <v>16.2</v>
      </c>
      <c r="Y21" s="45"/>
      <c r="Z21" s="44"/>
    </row>
    <row r="22" spans="1:26">
      <c r="A22" s="44">
        <v>2</v>
      </c>
      <c r="C22" s="42"/>
      <c r="D22" s="48"/>
      <c r="E22" s="42"/>
      <c r="F22" s="66"/>
      <c r="G22" s="1"/>
      <c r="H22" s="66"/>
      <c r="I22" s="3"/>
      <c r="J22" s="139"/>
      <c r="K22" s="7"/>
      <c r="L22" s="66"/>
      <c r="M22" s="3"/>
      <c r="N22" s="87"/>
      <c r="O22" s="7"/>
      <c r="P22" s="66"/>
      <c r="Q22" s="3"/>
      <c r="R22" s="103"/>
      <c r="S22" s="6"/>
      <c r="T22" s="66"/>
      <c r="U22" s="3"/>
      <c r="V22" s="66"/>
      <c r="W22" s="3"/>
      <c r="X22" s="104"/>
      <c r="Y22" s="45"/>
      <c r="Z22" s="44"/>
    </row>
    <row r="23" spans="1:26" ht="20.100000000000001" customHeight="1">
      <c r="A23" s="44">
        <v>3</v>
      </c>
      <c r="C23" s="310" t="s">
        <v>195</v>
      </c>
      <c r="F23" s="72">
        <f>F21</f>
        <v>1689991</v>
      </c>
      <c r="G23" s="1"/>
      <c r="H23" s="72">
        <f>H21</f>
        <v>1527729253</v>
      </c>
      <c r="I23" s="3"/>
      <c r="J23" s="139">
        <f>IF(H23=0,"-",ROUND((L23/H23)*100,6))</f>
        <v>13.074158000000001</v>
      </c>
      <c r="K23" s="7"/>
      <c r="L23" s="72">
        <f>L21</f>
        <v>199737729</v>
      </c>
      <c r="M23" s="3"/>
      <c r="N23" s="95">
        <f>ROUND((L23/L$67)*100,2)</f>
        <v>43.15</v>
      </c>
      <c r="O23" s="7"/>
      <c r="P23" s="72">
        <f>P21</f>
        <v>33271203</v>
      </c>
      <c r="Q23" s="3"/>
      <c r="R23" s="103">
        <f>ROUND((P23/L23)*100,1)</f>
        <v>16.7</v>
      </c>
      <c r="S23" s="6"/>
      <c r="T23" s="72">
        <f>T21</f>
        <v>5327517</v>
      </c>
      <c r="U23" s="3"/>
      <c r="V23" s="72">
        <f>V21</f>
        <v>205065246</v>
      </c>
      <c r="W23" s="3"/>
      <c r="X23" s="105">
        <f>ROUND((P23/V23)*100,1)</f>
        <v>16.2</v>
      </c>
      <c r="Y23" s="45"/>
      <c r="Z23" s="44"/>
    </row>
    <row r="24" spans="1:26">
      <c r="A24" s="44"/>
      <c r="F24" s="3"/>
      <c r="G24" s="1"/>
      <c r="H24" s="3"/>
      <c r="I24" s="3"/>
      <c r="J24" s="139"/>
      <c r="K24" s="7"/>
      <c r="L24" s="3"/>
      <c r="M24" s="3"/>
      <c r="N24" s="5"/>
      <c r="O24" s="7"/>
      <c r="P24" s="1"/>
      <c r="Q24" s="1"/>
      <c r="R24" s="103"/>
      <c r="S24" s="6"/>
      <c r="T24" s="3"/>
      <c r="U24" s="3"/>
      <c r="V24" s="3"/>
      <c r="W24" s="3"/>
      <c r="X24" s="103"/>
      <c r="Y24" s="45"/>
      <c r="Z24" s="44"/>
    </row>
    <row r="25" spans="1:26">
      <c r="A25" s="44"/>
      <c r="C25" s="759" t="s">
        <v>253</v>
      </c>
      <c r="D25" s="759"/>
      <c r="F25" s="3"/>
      <c r="G25" s="1"/>
      <c r="H25" s="3"/>
      <c r="I25" s="3"/>
      <c r="J25" s="139"/>
      <c r="K25" s="7"/>
      <c r="L25" s="3"/>
      <c r="M25" s="3"/>
      <c r="N25" s="5"/>
      <c r="O25" s="7"/>
      <c r="P25" s="1"/>
      <c r="Q25" s="1"/>
      <c r="R25" s="103"/>
      <c r="S25" s="6"/>
      <c r="T25" s="3"/>
      <c r="U25" s="3"/>
      <c r="V25" s="3"/>
      <c r="W25" s="3"/>
      <c r="X25" s="103"/>
      <c r="Y25" s="45"/>
      <c r="Z25" s="44"/>
    </row>
    <row r="26" spans="1:26">
      <c r="A26" s="44">
        <v>4</v>
      </c>
      <c r="C26" s="42" t="s">
        <v>91</v>
      </c>
      <c r="D26" s="48" t="s">
        <v>243</v>
      </c>
      <c r="E26" s="42"/>
      <c r="F26" s="3">
        <f>'Rate DS'!Y106</f>
        <v>155005</v>
      </c>
      <c r="G26" s="1"/>
      <c r="H26" s="3">
        <f>'Rate DS'!AA106</f>
        <v>1097342923</v>
      </c>
      <c r="I26" s="3"/>
      <c r="J26" s="139">
        <f t="shared" ref="J26:J32" si="0">IF(H26=0,"-",ROUND((L26/H26)*100,6))</f>
        <v>12.055709999999999</v>
      </c>
      <c r="K26" s="7"/>
      <c r="L26" s="3">
        <f>'Rate DS'!AE106</f>
        <v>132292480</v>
      </c>
      <c r="M26" s="3"/>
      <c r="N26" s="5">
        <f t="shared" ref="N26:N31" si="1">ROUND((L26/L$33)*100,2)</f>
        <v>54.99</v>
      </c>
      <c r="O26" s="7"/>
      <c r="P26" s="3">
        <f>'Rate DS'!AI106</f>
        <v>19167181</v>
      </c>
      <c r="Q26" s="3"/>
      <c r="R26" s="103">
        <f t="shared" ref="R26:R32" si="2">ROUND((P26/L26)*100,1)</f>
        <v>14.5</v>
      </c>
      <c r="S26" s="6"/>
      <c r="T26" s="3">
        <f>'Rate DS'!AM106</f>
        <v>3826668</v>
      </c>
      <c r="U26" s="3"/>
      <c r="V26" s="3">
        <f>'Rate DS'!AO106</f>
        <v>136119148</v>
      </c>
      <c r="W26" s="3"/>
      <c r="X26" s="103">
        <f t="shared" ref="X26:X32" si="3">ROUND((P26/V26)*100,1)</f>
        <v>14.1</v>
      </c>
      <c r="Y26" s="45"/>
      <c r="Z26" s="44"/>
    </row>
    <row r="27" spans="1:26">
      <c r="A27" s="44">
        <v>5</v>
      </c>
      <c r="C27" s="42" t="s">
        <v>378</v>
      </c>
      <c r="D27" s="42" t="s">
        <v>61</v>
      </c>
      <c r="E27" s="42"/>
      <c r="F27" s="3">
        <f>'Rate DT-Pri'!Y137</f>
        <v>395</v>
      </c>
      <c r="G27" s="1"/>
      <c r="H27" s="3">
        <f>'Rate DT-Pri'!AA137</f>
        <v>474967440</v>
      </c>
      <c r="I27" s="3"/>
      <c r="J27" s="139">
        <f t="shared" si="0"/>
        <v>9.6371909999999996</v>
      </c>
      <c r="K27" s="7"/>
      <c r="L27" s="3">
        <f>'Rate DT-Pri'!AE137</f>
        <v>45773518</v>
      </c>
      <c r="M27" s="3"/>
      <c r="N27" s="5">
        <f t="shared" si="1"/>
        <v>19.03</v>
      </c>
      <c r="O27" s="7"/>
      <c r="P27" s="3">
        <f>'Rate DT-Pri'!AI137</f>
        <v>6713587</v>
      </c>
      <c r="Q27" s="3"/>
      <c r="R27" s="103">
        <f t="shared" si="2"/>
        <v>14.7</v>
      </c>
      <c r="S27" s="6"/>
      <c r="T27" s="3">
        <f>'Rate DT-Pri'!AM137</f>
        <v>1656313</v>
      </c>
      <c r="U27" s="3"/>
      <c r="V27" s="3">
        <f>'Rate DT-Pri'!AO137</f>
        <v>47429831</v>
      </c>
      <c r="W27" s="3"/>
      <c r="X27" s="103">
        <f t="shared" si="3"/>
        <v>14.2</v>
      </c>
      <c r="Y27" s="45"/>
      <c r="Z27" s="44"/>
    </row>
    <row r="28" spans="1:26">
      <c r="A28" s="44">
        <v>6</v>
      </c>
      <c r="C28" s="42" t="s">
        <v>376</v>
      </c>
      <c r="D28" s="42" t="s">
        <v>61</v>
      </c>
      <c r="E28" s="42"/>
      <c r="F28" s="3">
        <f>'Rate DT-Sec'!Y133</f>
        <v>1363</v>
      </c>
      <c r="G28" s="1"/>
      <c r="H28" s="3">
        <f>'Rate DT-Sec'!AA133</f>
        <v>600045849</v>
      </c>
      <c r="I28" s="3"/>
      <c r="J28" s="139">
        <f t="shared" si="0"/>
        <v>9.8129469999999994</v>
      </c>
      <c r="K28" s="7"/>
      <c r="L28" s="3">
        <f>'Rate DT-Sec'!AE133</f>
        <v>58882183</v>
      </c>
      <c r="M28" s="3"/>
      <c r="N28" s="5">
        <f t="shared" si="1"/>
        <v>24.48</v>
      </c>
      <c r="O28" s="7"/>
      <c r="P28" s="3">
        <f>'Rate DT-Sec'!AI133</f>
        <v>8600418</v>
      </c>
      <c r="Q28" s="3"/>
      <c r="R28" s="103">
        <f t="shared" si="2"/>
        <v>14.6</v>
      </c>
      <c r="S28" s="6"/>
      <c r="T28" s="3">
        <f>'Rate DT-Sec'!AM133</f>
        <v>2092488</v>
      </c>
      <c r="U28" s="3"/>
      <c r="V28" s="3">
        <f>'Rate DT-Sec'!AO133</f>
        <v>60974671</v>
      </c>
      <c r="W28" s="3"/>
      <c r="X28" s="103">
        <f>ROUND((P28/V28)*100,1)</f>
        <v>14.1</v>
      </c>
      <c r="Y28" s="45"/>
      <c r="Z28" s="44"/>
    </row>
    <row r="29" spans="1:26">
      <c r="A29" s="44">
        <v>7</v>
      </c>
      <c r="C29" s="42" t="s">
        <v>94</v>
      </c>
      <c r="D29" s="48" t="s">
        <v>245</v>
      </c>
      <c r="E29" s="42"/>
      <c r="F29" s="3">
        <f>'Rate EH'!Y91</f>
        <v>1006</v>
      </c>
      <c r="G29" s="1"/>
      <c r="H29" s="3">
        <f>'Rate EH'!AA91</f>
        <v>19145457</v>
      </c>
      <c r="I29" s="3"/>
      <c r="J29" s="139">
        <f t="shared" si="0"/>
        <v>9.8447849999999999</v>
      </c>
      <c r="K29" s="7"/>
      <c r="L29" s="3">
        <f>'Rate EH'!AE91</f>
        <v>1884829</v>
      </c>
      <c r="M29" s="3"/>
      <c r="N29" s="5">
        <f t="shared" si="1"/>
        <v>0.78</v>
      </c>
      <c r="O29" s="7"/>
      <c r="P29" s="3">
        <f>'Rate EH'!AI91</f>
        <v>272039</v>
      </c>
      <c r="Q29" s="3"/>
      <c r="R29" s="103">
        <f>ROUND((P29/L29)*100,1)</f>
        <v>14.4</v>
      </c>
      <c r="S29" s="6"/>
      <c r="T29" s="3">
        <f>'Rate EH'!AM91</f>
        <v>66764</v>
      </c>
      <c r="U29" s="3"/>
      <c r="V29" s="3">
        <f>'Rate EH'!AO91</f>
        <v>1951593</v>
      </c>
      <c r="W29" s="3"/>
      <c r="X29" s="103">
        <f>ROUND((P29/V29)*100,1)</f>
        <v>13.9</v>
      </c>
      <c r="Y29" s="45"/>
      <c r="Z29" s="44"/>
    </row>
    <row r="30" spans="1:26">
      <c r="A30" s="44">
        <v>8</v>
      </c>
      <c r="C30" s="42" t="s">
        <v>95</v>
      </c>
      <c r="D30" s="48" t="s">
        <v>244</v>
      </c>
      <c r="E30" s="42"/>
      <c r="F30" s="3">
        <f>'Rate SP GSFL'!Y101</f>
        <v>166</v>
      </c>
      <c r="G30" s="1"/>
      <c r="H30" s="3">
        <f>'Rate SP GSFL'!AA101</f>
        <v>327203</v>
      </c>
      <c r="I30" s="3"/>
      <c r="J30" s="139">
        <f t="shared" si="0"/>
        <v>15.891358</v>
      </c>
      <c r="K30" s="7"/>
      <c r="L30" s="3">
        <f>'Rate SP GSFL'!AE101</f>
        <v>51997</v>
      </c>
      <c r="M30" s="3"/>
      <c r="N30" s="5">
        <f t="shared" si="1"/>
        <v>0.02</v>
      </c>
      <c r="O30" s="7"/>
      <c r="P30" s="3">
        <f>'Rate SP GSFL'!AI101</f>
        <v>7566</v>
      </c>
      <c r="Q30" s="3"/>
      <c r="R30" s="103">
        <f>ROUND((P30/L30)*100,1)</f>
        <v>14.6</v>
      </c>
      <c r="S30" s="6"/>
      <c r="T30" s="3">
        <f>'Rate SP GSFL'!AM101</f>
        <v>1141</v>
      </c>
      <c r="U30" s="3"/>
      <c r="V30" s="3">
        <f>'Rate SP GSFL'!AO101</f>
        <v>53138</v>
      </c>
      <c r="W30" s="3"/>
      <c r="X30" s="103">
        <f>ROUND((P30/V30)*100,1)</f>
        <v>14.2</v>
      </c>
      <c r="Y30" s="45"/>
      <c r="Z30" s="44"/>
    </row>
    <row r="31" spans="1:26">
      <c r="A31" s="44">
        <v>9</v>
      </c>
      <c r="C31" s="42" t="s">
        <v>93</v>
      </c>
      <c r="D31" s="42" t="s">
        <v>152</v>
      </c>
      <c r="E31" s="42"/>
      <c r="F31" s="3">
        <f>'Rate SP GSFL'!Y120</f>
        <v>275</v>
      </c>
      <c r="G31" s="1"/>
      <c r="H31" s="3">
        <f>'Rate SP GSFL'!AA120</f>
        <v>5922743</v>
      </c>
      <c r="I31" s="3"/>
      <c r="J31" s="139">
        <f t="shared" si="0"/>
        <v>13.836342</v>
      </c>
      <c r="K31" s="7"/>
      <c r="L31" s="3">
        <f>'Rate SP GSFL'!AE120</f>
        <v>819491</v>
      </c>
      <c r="M31" s="3"/>
      <c r="N31" s="5">
        <f t="shared" si="1"/>
        <v>0.34</v>
      </c>
      <c r="O31" s="7"/>
      <c r="P31" s="3">
        <f>'Rate SP GSFL'!AI120</f>
        <v>119011</v>
      </c>
      <c r="Q31" s="3"/>
      <c r="R31" s="103">
        <f>ROUND((P31/L31)*100,1)</f>
        <v>14.5</v>
      </c>
      <c r="S31" s="6"/>
      <c r="T31" s="3">
        <f>'Rate SP GSFL'!AM120</f>
        <v>20654</v>
      </c>
      <c r="U31" s="3"/>
      <c r="V31" s="3">
        <f>'Rate SP GSFL'!AO120</f>
        <v>840145</v>
      </c>
      <c r="W31" s="3"/>
      <c r="X31" s="103">
        <f>ROUND((P31/V31)*100,1)</f>
        <v>14.2</v>
      </c>
      <c r="Y31" s="45"/>
      <c r="Z31" s="44"/>
    </row>
    <row r="32" spans="1:26">
      <c r="A32" s="44">
        <v>10</v>
      </c>
      <c r="C32" s="42" t="s">
        <v>92</v>
      </c>
      <c r="D32" s="48" t="s">
        <v>181</v>
      </c>
      <c r="E32" s="42"/>
      <c r="F32" s="3">
        <f>'Rate DP'!Y98</f>
        <v>120</v>
      </c>
      <c r="G32" s="1"/>
      <c r="H32" s="3">
        <f>'Rate DP'!AA98</f>
        <v>7726973</v>
      </c>
      <c r="I32" s="3"/>
      <c r="J32" s="139">
        <f t="shared" si="0"/>
        <v>11.251818999999999</v>
      </c>
      <c r="K32" s="7"/>
      <c r="L32" s="3">
        <f>'Rate DP'!AE98</f>
        <v>869425</v>
      </c>
      <c r="M32" s="3"/>
      <c r="N32" s="5">
        <f>ROUND((L32/L$33)*100,2)</f>
        <v>0.36</v>
      </c>
      <c r="O32" s="7"/>
      <c r="P32" s="3">
        <f>'Rate DP'!AI98</f>
        <v>53265</v>
      </c>
      <c r="Q32" s="3"/>
      <c r="R32" s="103">
        <f t="shared" si="2"/>
        <v>6.1</v>
      </c>
      <c r="S32" s="6"/>
      <c r="T32" s="3">
        <f>'Rate DP'!AM98</f>
        <v>26946</v>
      </c>
      <c r="U32" s="3"/>
      <c r="V32" s="3">
        <f>'Rate DP'!AO98</f>
        <v>896371</v>
      </c>
      <c r="W32" s="3"/>
      <c r="X32" s="104">
        <f t="shared" si="3"/>
        <v>5.9</v>
      </c>
      <c r="Y32" s="45"/>
      <c r="Z32" s="44"/>
    </row>
    <row r="33" spans="1:26" ht="20.100000000000001" customHeight="1">
      <c r="A33" s="44">
        <v>11</v>
      </c>
      <c r="C33" s="310" t="s">
        <v>166</v>
      </c>
      <c r="F33" s="72">
        <f>SUM(F26:F32)</f>
        <v>158330</v>
      </c>
      <c r="G33" s="1"/>
      <c r="H33" s="72">
        <f>SUM(H26:H32)</f>
        <v>2205478588</v>
      </c>
      <c r="I33" s="3"/>
      <c r="J33" s="139">
        <f>IF(H33=0,"-",ROUND((L33/H33)*100,6))</f>
        <v>10.908014</v>
      </c>
      <c r="K33" s="7"/>
      <c r="L33" s="72">
        <f>SUM(L26:L32)</f>
        <v>240573923</v>
      </c>
      <c r="M33" s="3"/>
      <c r="N33" s="95">
        <f>ROUND((L33/L$67)*100,2)</f>
        <v>51.97</v>
      </c>
      <c r="O33" s="7"/>
      <c r="P33" s="72">
        <f>SUM(P26:P32)</f>
        <v>34933067</v>
      </c>
      <c r="Q33" s="3"/>
      <c r="R33" s="103">
        <f>ROUND((P33/L33)*100,1)</f>
        <v>14.5</v>
      </c>
      <c r="S33" s="6"/>
      <c r="T33" s="72">
        <f>SUM(T26:T32)</f>
        <v>7690974</v>
      </c>
      <c r="U33" s="3"/>
      <c r="V33" s="72">
        <f>SUM(V26:V32)</f>
        <v>248264897</v>
      </c>
      <c r="W33" s="3"/>
      <c r="X33" s="105">
        <f>ROUND((P33/V33)*100,1)</f>
        <v>14.1</v>
      </c>
      <c r="Y33" s="45"/>
      <c r="Z33" s="44"/>
    </row>
    <row r="34" spans="1:26">
      <c r="A34" s="44"/>
      <c r="F34" s="3"/>
      <c r="G34" s="1"/>
      <c r="H34" s="3"/>
      <c r="I34" s="3"/>
      <c r="J34" s="139"/>
      <c r="K34" s="7"/>
      <c r="L34" s="3"/>
      <c r="M34" s="3"/>
      <c r="N34" s="5"/>
      <c r="O34" s="7"/>
      <c r="P34" s="1"/>
      <c r="Q34" s="1"/>
      <c r="R34" s="103"/>
      <c r="S34" s="6"/>
      <c r="T34" s="3"/>
      <c r="U34" s="3"/>
      <c r="V34" s="3"/>
      <c r="W34" s="3"/>
      <c r="X34" s="103"/>
      <c r="Y34" s="45"/>
      <c r="Z34" s="44"/>
    </row>
    <row r="35" spans="1:26">
      <c r="A35" s="44"/>
      <c r="C35" s="759" t="s">
        <v>254</v>
      </c>
      <c r="D35" s="759"/>
      <c r="F35" s="3"/>
      <c r="G35" s="1"/>
      <c r="H35" s="3"/>
      <c r="I35" s="3"/>
      <c r="J35" s="139"/>
      <c r="K35" s="7"/>
      <c r="L35" s="3"/>
      <c r="M35" s="3"/>
      <c r="N35" s="5"/>
      <c r="O35" s="7"/>
      <c r="P35" s="1"/>
      <c r="Q35" s="1"/>
      <c r="R35" s="103"/>
      <c r="S35" s="6"/>
      <c r="T35" s="3"/>
      <c r="U35" s="3"/>
      <c r="V35" s="3"/>
      <c r="W35" s="3"/>
      <c r="X35" s="103"/>
      <c r="Y35" s="45"/>
      <c r="Z35" s="44"/>
    </row>
    <row r="36" spans="1:26">
      <c r="A36" s="44">
        <v>12</v>
      </c>
      <c r="C36" s="42" t="s">
        <v>60</v>
      </c>
      <c r="D36" s="42" t="s">
        <v>61</v>
      </c>
      <c r="E36" s="42"/>
      <c r="F36" s="3">
        <f>'Rate TT'!Y120</f>
        <v>156</v>
      </c>
      <c r="G36" s="1"/>
      <c r="H36" s="3">
        <f>'Rate TT'!AA120</f>
        <v>185463057</v>
      </c>
      <c r="I36" s="3"/>
      <c r="J36" s="139">
        <f>IF(H36=0,"-",ROUND((L36/H36)*100,6))</f>
        <v>8.0558390000000006</v>
      </c>
      <c r="K36" s="7"/>
      <c r="L36" s="3">
        <f>'Rate TT'!AE120</f>
        <v>14940605</v>
      </c>
      <c r="M36" s="3"/>
      <c r="N36" s="5">
        <f>ROUND((L36/L$37)*100,2)</f>
        <v>100</v>
      </c>
      <c r="O36" s="7"/>
      <c r="P36" s="3">
        <f>'Rate TT'!AI120</f>
        <v>1240683</v>
      </c>
      <c r="Q36" s="3"/>
      <c r="R36" s="103">
        <f>ROUND((P36/L36)*100,1)</f>
        <v>8.3000000000000007</v>
      </c>
      <c r="S36" s="6"/>
      <c r="T36" s="3">
        <f>'Rate TT'!AM120</f>
        <v>646749</v>
      </c>
      <c r="U36" s="3"/>
      <c r="V36" s="3">
        <f>'Rate TT'!AO120</f>
        <v>15587354</v>
      </c>
      <c r="W36" s="3"/>
      <c r="X36" s="104">
        <f>'Rate TT'!AQ120</f>
        <v>8</v>
      </c>
      <c r="Y36" s="45"/>
      <c r="Z36" s="44"/>
    </row>
    <row r="37" spans="1:26" ht="20.100000000000001" customHeight="1">
      <c r="A37" s="44">
        <v>13</v>
      </c>
      <c r="C37" s="310" t="s">
        <v>167</v>
      </c>
      <c r="F37" s="72">
        <f>F36</f>
        <v>156</v>
      </c>
      <c r="G37" s="1"/>
      <c r="H37" s="72">
        <f>H36</f>
        <v>185463057</v>
      </c>
      <c r="I37" s="3"/>
      <c r="J37" s="139">
        <f>IF(H37=0,"-",ROUND((L37/H37)*100,6))</f>
        <v>8.0558390000000006</v>
      </c>
      <c r="K37" s="7"/>
      <c r="L37" s="72">
        <f>L36</f>
        <v>14940605</v>
      </c>
      <c r="M37" s="3"/>
      <c r="N37" s="95">
        <f>ROUND((L37/L$67)*100,2)</f>
        <v>3.23</v>
      </c>
      <c r="O37" s="7"/>
      <c r="P37" s="72">
        <f>P36</f>
        <v>1240683</v>
      </c>
      <c r="Q37" s="3"/>
      <c r="R37" s="103">
        <f>ROUND((P37/L37)*100,1)</f>
        <v>8.3000000000000007</v>
      </c>
      <c r="S37" s="6"/>
      <c r="T37" s="72">
        <f>T36</f>
        <v>646749</v>
      </c>
      <c r="U37" s="3"/>
      <c r="V37" s="72">
        <f>V36</f>
        <v>15587354</v>
      </c>
      <c r="W37" s="3"/>
      <c r="X37" s="105">
        <f>ROUND((P37/V37)*100,1)</f>
        <v>8</v>
      </c>
      <c r="Y37" s="45"/>
      <c r="Z37" s="44"/>
    </row>
    <row r="38" spans="1:26">
      <c r="A38" s="44"/>
      <c r="F38" s="3"/>
      <c r="G38" s="1"/>
      <c r="H38" s="3"/>
      <c r="I38" s="3"/>
      <c r="J38" s="139"/>
      <c r="K38" s="7"/>
      <c r="L38" s="3"/>
      <c r="M38" s="3"/>
      <c r="N38" s="5"/>
      <c r="O38" s="7"/>
      <c r="P38" s="1"/>
      <c r="Q38" s="1"/>
      <c r="R38" s="103"/>
      <c r="S38" s="6"/>
      <c r="T38" s="3"/>
      <c r="U38" s="3"/>
      <c r="V38" s="3"/>
      <c r="W38" s="3"/>
      <c r="X38" s="103"/>
      <c r="Y38" s="45"/>
      <c r="Z38" s="44"/>
    </row>
    <row r="39" spans="1:26">
      <c r="A39" s="44"/>
      <c r="C39" s="759" t="s">
        <v>257</v>
      </c>
      <c r="D39" s="759"/>
      <c r="F39" s="3"/>
      <c r="G39" s="1"/>
      <c r="H39" s="3"/>
      <c r="I39" s="3"/>
      <c r="J39" s="139"/>
      <c r="K39" s="7"/>
      <c r="L39" s="3"/>
      <c r="M39" s="3"/>
      <c r="N39" s="5"/>
      <c r="O39" s="7"/>
      <c r="P39" s="1"/>
      <c r="Q39" s="1"/>
      <c r="R39" s="103"/>
      <c r="S39" s="6"/>
      <c r="T39" s="3"/>
      <c r="U39" s="3"/>
      <c r="V39" s="3"/>
      <c r="W39" s="3"/>
      <c r="X39" s="103"/>
      <c r="Y39" s="45"/>
      <c r="Z39" s="44"/>
    </row>
    <row r="40" spans="1:26">
      <c r="A40" s="44">
        <v>14</v>
      </c>
      <c r="C40" s="41" t="s">
        <v>368</v>
      </c>
      <c r="D40" s="41" t="s">
        <v>257</v>
      </c>
      <c r="F40" s="3">
        <f>'Rate DT RTP-P'!Y82</f>
        <v>0</v>
      </c>
      <c r="G40" s="1"/>
      <c r="H40" s="3">
        <f>'Rate DT RTP-P'!AA82</f>
        <v>0</v>
      </c>
      <c r="I40" s="3"/>
      <c r="J40" s="139" t="str">
        <f>IF(H40=0,"-",ROUND((L40/H40)*100,6))</f>
        <v>-</v>
      </c>
      <c r="K40" s="7"/>
      <c r="L40" s="3">
        <f>'Rate DT RTP-P'!AE82</f>
        <v>0</v>
      </c>
      <c r="M40" s="3"/>
      <c r="N40" s="5">
        <f>IFERROR(ROUND((L40/L$44)*100,2),0)</f>
        <v>0</v>
      </c>
      <c r="O40" s="7"/>
      <c r="P40" s="3">
        <f>'Rate DT RTP-P'!AI82</f>
        <v>0</v>
      </c>
      <c r="Q40" s="1"/>
      <c r="R40" s="103">
        <f>IFERROR(ROUND((P40/L40)*100,1),0)</f>
        <v>0</v>
      </c>
      <c r="S40" s="6"/>
      <c r="T40" s="3">
        <f>'Rate DT RTP-P'!AM82</f>
        <v>0</v>
      </c>
      <c r="U40" s="3"/>
      <c r="V40" s="3">
        <f>'Rate DT RTP-P'!AO82</f>
        <v>0</v>
      </c>
      <c r="W40" s="3"/>
      <c r="X40" s="103">
        <f>IFERROR(ROUND((P40/V40)*100,1),0)</f>
        <v>0</v>
      </c>
      <c r="Y40" s="45"/>
      <c r="Z40" s="44"/>
    </row>
    <row r="41" spans="1:26">
      <c r="A41" s="44">
        <v>15</v>
      </c>
      <c r="C41" s="41" t="s">
        <v>369</v>
      </c>
      <c r="D41" s="41" t="s">
        <v>257</v>
      </c>
      <c r="F41" s="3">
        <f>'Rate DT RTP-S'!Y83</f>
        <v>12</v>
      </c>
      <c r="G41" s="1"/>
      <c r="H41" s="3">
        <f>'Rate DT RTP-S'!AA83</f>
        <v>1106948</v>
      </c>
      <c r="I41" s="3"/>
      <c r="J41" s="139">
        <f>IF(H41=0,"-",ROUND((L41/H41)*100,6))</f>
        <v>6.7694239999999999</v>
      </c>
      <c r="K41" s="7"/>
      <c r="L41" s="3">
        <f>'Rate DT RTP-S'!AE83</f>
        <v>74934</v>
      </c>
      <c r="M41" s="3"/>
      <c r="N41" s="5">
        <f>ROUND((L41/L$44)*100,2)</f>
        <v>12.17</v>
      </c>
      <c r="O41" s="7"/>
      <c r="P41" s="3">
        <f>'Rate DT RTP-S'!AI83</f>
        <v>15198</v>
      </c>
      <c r="Q41" s="1"/>
      <c r="R41" s="103">
        <f>ROUND((P41/L41)*100,1)</f>
        <v>20.3</v>
      </c>
      <c r="S41" s="6"/>
      <c r="T41" s="3">
        <f>'Rate DT RTP-S'!AM83</f>
        <v>0</v>
      </c>
      <c r="U41" s="3"/>
      <c r="V41" s="3">
        <f>'Rate DT RTP-S'!AO83</f>
        <v>74934</v>
      </c>
      <c r="W41" s="3"/>
      <c r="X41" s="103">
        <f>ROUND((P41/V41)*100,1)</f>
        <v>20.3</v>
      </c>
      <c r="Y41" s="45"/>
      <c r="Z41" s="44"/>
    </row>
    <row r="42" spans="1:26">
      <c r="A42" s="44">
        <v>16</v>
      </c>
      <c r="C42" s="41" t="s">
        <v>260</v>
      </c>
      <c r="D42" s="41" t="s">
        <v>257</v>
      </c>
      <c r="F42" s="3">
        <f>'Rate DS RTP'!Y83</f>
        <v>12</v>
      </c>
      <c r="G42" s="1"/>
      <c r="H42" s="3">
        <f>'Rate DS RTP'!AA83</f>
        <v>-2961</v>
      </c>
      <c r="I42" s="3"/>
      <c r="J42" s="139">
        <f>IF(H42=0,"-",ROUND((L42/H42)*100,6))</f>
        <v>-68.253968</v>
      </c>
      <c r="K42" s="7"/>
      <c r="L42" s="3">
        <f>'Rate DS RTP'!AE83</f>
        <v>2021</v>
      </c>
      <c r="M42" s="3"/>
      <c r="N42" s="5">
        <f>ROUND((L42/L$44)*100,2)</f>
        <v>0.33</v>
      </c>
      <c r="O42" s="7"/>
      <c r="P42" s="3">
        <f>'Rate DS RTP'!AI83</f>
        <v>-43</v>
      </c>
      <c r="Q42" s="1"/>
      <c r="R42" s="103">
        <f>ROUND((P42/L42)*100,1)</f>
        <v>-2.1</v>
      </c>
      <c r="S42" s="6"/>
      <c r="T42" s="3">
        <f>'Rate DS RTP'!AM83</f>
        <v>0</v>
      </c>
      <c r="U42" s="3"/>
      <c r="V42" s="3">
        <f>'Rate DS RTP'!AO83</f>
        <v>2021</v>
      </c>
      <c r="W42" s="3"/>
      <c r="X42" s="103">
        <f>ROUND((P42/V42)*100,1)</f>
        <v>-2.1</v>
      </c>
      <c r="Y42" s="45"/>
      <c r="Z42" s="44"/>
    </row>
    <row r="43" spans="1:26">
      <c r="A43" s="44">
        <v>17</v>
      </c>
      <c r="C43" s="41" t="s">
        <v>261</v>
      </c>
      <c r="D43" s="41" t="s">
        <v>257</v>
      </c>
      <c r="F43" s="66">
        <f>'Rate TT RTP'!Y85</f>
        <v>24</v>
      </c>
      <c r="G43" s="1"/>
      <c r="H43" s="66">
        <f>'Rate TT RTP'!AA85</f>
        <v>12132774</v>
      </c>
      <c r="I43" s="3"/>
      <c r="J43" s="139">
        <f>IF(H43=0,"-",ROUND((L43/H43)*100,6))</f>
        <v>4.4425369999999997</v>
      </c>
      <c r="K43" s="7"/>
      <c r="L43" s="66">
        <f>'Rate TT RTP'!AE85</f>
        <v>539003</v>
      </c>
      <c r="M43" s="3"/>
      <c r="N43" s="5">
        <f>ROUND((L43/L$44)*100,2)</f>
        <v>87.51</v>
      </c>
      <c r="O43" s="7"/>
      <c r="P43" s="66">
        <f>'Rate TT RTP'!AI85</f>
        <v>45239</v>
      </c>
      <c r="Q43" s="1"/>
      <c r="R43" s="103">
        <f>ROUND((P43/L43)*100,1)</f>
        <v>8.4</v>
      </c>
      <c r="S43" s="6"/>
      <c r="T43" s="66">
        <f>'Rate TT RTP'!AM85</f>
        <v>0</v>
      </c>
      <c r="U43" s="3"/>
      <c r="V43" s="66">
        <f>'Rate TT RTP'!AO85</f>
        <v>539003</v>
      </c>
      <c r="W43" s="3"/>
      <c r="X43" s="104">
        <f>ROUND((P43/V43)*100,1)</f>
        <v>8.4</v>
      </c>
      <c r="Y43" s="45"/>
      <c r="Z43" s="44"/>
    </row>
    <row r="44" spans="1:26" ht="20.100000000000001" customHeight="1">
      <c r="A44" s="44">
        <v>18</v>
      </c>
      <c r="C44" s="310" t="s">
        <v>262</v>
      </c>
      <c r="F44" s="72">
        <f>SUM(F40:F43)</f>
        <v>48</v>
      </c>
      <c r="G44" s="1"/>
      <c r="H44" s="72">
        <f>SUM(H40:H43)</f>
        <v>13236761</v>
      </c>
      <c r="I44" s="3"/>
      <c r="J44" s="139">
        <f>IF(H44=0,"-",ROUND((L44/H44)*100,6))</f>
        <v>4.6533889999999998</v>
      </c>
      <c r="K44" s="7"/>
      <c r="L44" s="72">
        <f>SUM(L40:L43)</f>
        <v>615958</v>
      </c>
      <c r="M44" s="3"/>
      <c r="N44" s="95">
        <f>ROUND((L44/L$67)*100,2)</f>
        <v>0.13</v>
      </c>
      <c r="O44" s="7"/>
      <c r="P44" s="72">
        <f>SUM(P40:P43)</f>
        <v>60394</v>
      </c>
      <c r="Q44" s="1"/>
      <c r="R44" s="103">
        <f>ROUND((P44/L44)*100,1)</f>
        <v>9.8000000000000007</v>
      </c>
      <c r="S44" s="6"/>
      <c r="T44" s="72">
        <f>SUM(T40:T43)</f>
        <v>0</v>
      </c>
      <c r="U44" s="3"/>
      <c r="V44" s="72">
        <f>SUM(V40:V43)</f>
        <v>615958</v>
      </c>
      <c r="W44" s="3"/>
      <c r="X44" s="105">
        <f>ROUND((P44/V44)*100,1)</f>
        <v>9.8000000000000007</v>
      </c>
      <c r="Y44" s="45"/>
      <c r="Z44" s="44"/>
    </row>
    <row r="45" spans="1:26">
      <c r="A45" s="44"/>
      <c r="F45" s="3"/>
      <c r="G45" s="1"/>
      <c r="H45" s="3"/>
      <c r="I45" s="3"/>
      <c r="J45" s="139"/>
      <c r="K45" s="7"/>
      <c r="L45" s="3"/>
      <c r="M45" s="3"/>
      <c r="N45" s="5"/>
      <c r="O45" s="7"/>
      <c r="P45" s="1"/>
      <c r="Q45" s="1"/>
      <c r="R45" s="103"/>
      <c r="S45" s="6"/>
      <c r="T45" s="3"/>
      <c r="U45" s="3"/>
      <c r="V45" s="3"/>
      <c r="W45" s="3"/>
      <c r="X45" s="103"/>
      <c r="Y45" s="45"/>
      <c r="Z45" s="44"/>
    </row>
    <row r="46" spans="1:26">
      <c r="A46" s="44"/>
      <c r="C46" s="759" t="s">
        <v>411</v>
      </c>
      <c r="D46" s="759"/>
      <c r="F46" s="3"/>
      <c r="G46" s="1"/>
      <c r="H46" s="3"/>
      <c r="I46" s="3"/>
      <c r="J46" s="139"/>
      <c r="K46" s="7"/>
      <c r="L46" s="3"/>
      <c r="M46" s="3"/>
      <c r="N46" s="5"/>
      <c r="O46" s="7"/>
      <c r="P46" s="1"/>
      <c r="Q46" s="1"/>
      <c r="R46" s="103"/>
      <c r="S46" s="6"/>
      <c r="T46" s="3"/>
      <c r="U46" s="3"/>
      <c r="V46" s="3"/>
      <c r="W46" s="3"/>
      <c r="X46" s="103"/>
      <c r="Y46" s="45"/>
      <c r="Z46" s="44"/>
    </row>
    <row r="47" spans="1:26">
      <c r="A47" s="44">
        <v>19</v>
      </c>
      <c r="C47" s="42" t="s">
        <v>77</v>
      </c>
      <c r="D47" s="48" t="s">
        <v>78</v>
      </c>
      <c r="E47" s="42"/>
      <c r="F47" s="3">
        <f>'Rate SL'!Y293</f>
        <v>103310</v>
      </c>
      <c r="G47" s="1"/>
      <c r="H47" s="3">
        <f>'Rate SL'!AA293</f>
        <v>6857780</v>
      </c>
      <c r="I47" s="3"/>
      <c r="J47" s="139">
        <f t="shared" ref="J47:J53" si="4">IF(H47=0,"-",ROUND((L47/H47)*100,6))</f>
        <v>20.695225000000001</v>
      </c>
      <c r="K47" s="7"/>
      <c r="L47" s="3">
        <f>'Rate SL'!AE293</f>
        <v>1419233</v>
      </c>
      <c r="M47" s="3"/>
      <c r="N47" s="5">
        <f t="shared" ref="N47:N53" si="5">ROUND((L47/L$54)*100,2)</f>
        <v>57</v>
      </c>
      <c r="O47" s="7"/>
      <c r="P47" s="3">
        <f>'Rate SL'!AI293</f>
        <v>198711</v>
      </c>
      <c r="Q47" s="3"/>
      <c r="R47" s="103">
        <f t="shared" ref="R47:R54" si="6">ROUND((P47/L47)*100,1)</f>
        <v>14</v>
      </c>
      <c r="S47" s="6"/>
      <c r="T47" s="3">
        <f>'Rate SL'!AM293</f>
        <v>23917</v>
      </c>
      <c r="U47" s="3"/>
      <c r="V47" s="3">
        <f>'Rate SL'!AO293</f>
        <v>1443150</v>
      </c>
      <c r="W47" s="3"/>
      <c r="X47" s="103">
        <f t="shared" ref="X47:X54" si="7">ROUND((P47/V47)*100,1)</f>
        <v>13.8</v>
      </c>
      <c r="Y47" s="45"/>
      <c r="Z47" s="44"/>
    </row>
    <row r="48" spans="1:26">
      <c r="A48" s="44">
        <v>20</v>
      </c>
      <c r="C48" s="42" t="s">
        <v>81</v>
      </c>
      <c r="D48" s="48" t="s">
        <v>82</v>
      </c>
      <c r="E48" s="42"/>
      <c r="F48" s="3">
        <f>'Rate TL'!Y72</f>
        <v>1560</v>
      </c>
      <c r="G48" s="1"/>
      <c r="H48" s="3">
        <f>'Rate TL'!AA72</f>
        <v>1436827.8010000002</v>
      </c>
      <c r="I48" s="3"/>
      <c r="J48" s="139">
        <f t="shared" si="4"/>
        <v>6.9952709999999998</v>
      </c>
      <c r="K48" s="7"/>
      <c r="L48" s="3">
        <f>'Rate TL'!AE72</f>
        <v>100510</v>
      </c>
      <c r="M48" s="3"/>
      <c r="N48" s="5">
        <f t="shared" si="5"/>
        <v>4.04</v>
      </c>
      <c r="O48" s="7"/>
      <c r="P48" s="3">
        <f>'Rate TL'!AI72</f>
        <v>13791</v>
      </c>
      <c r="Q48" s="3"/>
      <c r="R48" s="103">
        <f t="shared" si="6"/>
        <v>13.7</v>
      </c>
      <c r="S48" s="6"/>
      <c r="T48" s="3">
        <f>'Rate TL'!AM72</f>
        <v>5011</v>
      </c>
      <c r="U48" s="3"/>
      <c r="V48" s="3">
        <f>'Rate TL'!AO72</f>
        <v>105521</v>
      </c>
      <c r="W48" s="3"/>
      <c r="X48" s="103">
        <f t="shared" si="7"/>
        <v>13.1</v>
      </c>
      <c r="Y48" s="45"/>
      <c r="Z48" s="44"/>
    </row>
    <row r="49" spans="1:26">
      <c r="A49" s="44">
        <v>21</v>
      </c>
      <c r="C49" s="42" t="s">
        <v>239</v>
      </c>
      <c r="D49" s="48" t="s">
        <v>246</v>
      </c>
      <c r="E49" s="42"/>
      <c r="F49" s="3">
        <f>'Rate UOLS'!Y63</f>
        <v>30661</v>
      </c>
      <c r="G49" s="1"/>
      <c r="H49" s="3">
        <f>'Rate UOLS'!AA63</f>
        <v>8542179</v>
      </c>
      <c r="I49" s="3"/>
      <c r="J49" s="139">
        <f t="shared" si="4"/>
        <v>6.9192999999999998</v>
      </c>
      <c r="K49" s="7"/>
      <c r="L49" s="3">
        <f>'Rate UOLS'!AE63</f>
        <v>591059</v>
      </c>
      <c r="M49" s="3"/>
      <c r="N49" s="5">
        <f t="shared" si="5"/>
        <v>23.74</v>
      </c>
      <c r="O49" s="7"/>
      <c r="P49" s="3">
        <f>'Rate UOLS'!AI63</f>
        <v>81072</v>
      </c>
      <c r="Q49" s="3"/>
      <c r="R49" s="113">
        <f>IF(L49=0,"0.0 ",ROUND((P49/L49)*100,1))</f>
        <v>13.7</v>
      </c>
      <c r="S49" s="6"/>
      <c r="T49" s="3">
        <f>'Rate UOLS'!AM63</f>
        <v>29788</v>
      </c>
      <c r="U49" s="3"/>
      <c r="V49" s="3">
        <f>'Rate UOLS'!AO63</f>
        <v>620847</v>
      </c>
      <c r="W49" s="3"/>
      <c r="X49" s="113">
        <f>IF(V49=0,"0.0 ",ROUND((P49/V49)*100,1))</f>
        <v>13.1</v>
      </c>
      <c r="Y49" s="45"/>
      <c r="Z49" s="44"/>
    </row>
    <row r="50" spans="1:26">
      <c r="A50" s="44">
        <v>22</v>
      </c>
      <c r="C50" s="42" t="s">
        <v>86</v>
      </c>
      <c r="D50" s="48" t="s">
        <v>247</v>
      </c>
      <c r="E50" s="42"/>
      <c r="F50" s="3">
        <f>'Rate NSU'!Y95</f>
        <v>8073</v>
      </c>
      <c r="G50" s="1"/>
      <c r="H50" s="3">
        <f>'Rate NSU'!AA95</f>
        <v>392374</v>
      </c>
      <c r="I50" s="3"/>
      <c r="J50" s="139">
        <f t="shared" si="4"/>
        <v>24.451926</v>
      </c>
      <c r="K50" s="7"/>
      <c r="L50" s="3">
        <f>'Rate NSU'!AE95</f>
        <v>95943</v>
      </c>
      <c r="M50" s="3"/>
      <c r="N50" s="5">
        <f t="shared" si="5"/>
        <v>3.85</v>
      </c>
      <c r="O50" s="7"/>
      <c r="P50" s="3">
        <f>'Rate NSU'!AI95</f>
        <v>13460</v>
      </c>
      <c r="Q50" s="3"/>
      <c r="R50" s="103">
        <f t="shared" si="6"/>
        <v>14</v>
      </c>
      <c r="S50" s="6"/>
      <c r="T50" s="3">
        <f>'Rate NSU'!AM95</f>
        <v>1368</v>
      </c>
      <c r="U50" s="3"/>
      <c r="V50" s="3">
        <f>'Rate NSU'!AO95</f>
        <v>97311</v>
      </c>
      <c r="W50" s="3"/>
      <c r="X50" s="103">
        <f t="shared" si="7"/>
        <v>13.8</v>
      </c>
      <c r="Y50" s="45"/>
      <c r="Z50" s="44"/>
    </row>
    <row r="51" spans="1:26">
      <c r="A51" s="44">
        <v>23</v>
      </c>
      <c r="C51" s="42" t="s">
        <v>73</v>
      </c>
      <c r="D51" s="42" t="s">
        <v>424</v>
      </c>
      <c r="E51" s="42"/>
      <c r="F51" s="3">
        <f>'Rate SC'!Y145</f>
        <v>2064</v>
      </c>
      <c r="G51" s="3"/>
      <c r="H51" s="3">
        <f>'Rate SC'!AA145</f>
        <v>91284</v>
      </c>
      <c r="I51" s="3"/>
      <c r="J51" s="139">
        <f t="shared" si="4"/>
        <v>6.8763420000000002</v>
      </c>
      <c r="K51" s="7"/>
      <c r="L51" s="3">
        <f>'Rate SC'!AE145</f>
        <v>6277</v>
      </c>
      <c r="M51" s="3"/>
      <c r="N51" s="5">
        <f t="shared" si="5"/>
        <v>0.25</v>
      </c>
      <c r="O51" s="7"/>
      <c r="P51" s="3">
        <f>'Rate SC'!AI145</f>
        <v>861</v>
      </c>
      <c r="Q51" s="3"/>
      <c r="R51" s="103">
        <f t="shared" si="6"/>
        <v>13.7</v>
      </c>
      <c r="S51" s="6"/>
      <c r="T51" s="3">
        <f>'Rate SC'!AM145</f>
        <v>318</v>
      </c>
      <c r="U51" s="3"/>
      <c r="V51" s="3">
        <f>'Rate SC'!AO145</f>
        <v>6595</v>
      </c>
      <c r="W51" s="3"/>
      <c r="X51" s="103">
        <f t="shared" si="7"/>
        <v>13.1</v>
      </c>
      <c r="Y51" s="45"/>
      <c r="Z51" s="44"/>
    </row>
    <row r="52" spans="1:26">
      <c r="A52" s="44">
        <v>24</v>
      </c>
      <c r="C52" s="42" t="s">
        <v>70</v>
      </c>
      <c r="D52" s="42" t="s">
        <v>425</v>
      </c>
      <c r="E52" s="42"/>
      <c r="F52" s="3">
        <f>'Rate SE'!Y108</f>
        <v>20531</v>
      </c>
      <c r="G52" s="3"/>
      <c r="H52" s="3">
        <f>'Rate SE'!AA108</f>
        <v>1209602</v>
      </c>
      <c r="I52" s="3"/>
      <c r="J52" s="139">
        <f t="shared" si="4"/>
        <v>21.236324</v>
      </c>
      <c r="K52" s="7"/>
      <c r="L52" s="3">
        <f>'Rate SE'!AE108</f>
        <v>256875</v>
      </c>
      <c r="M52" s="3"/>
      <c r="N52" s="5">
        <f t="shared" si="5"/>
        <v>10.32</v>
      </c>
      <c r="O52" s="7"/>
      <c r="P52" s="3">
        <f>'Rate SE'!AI108</f>
        <v>35981</v>
      </c>
      <c r="Q52" s="3"/>
      <c r="R52" s="103">
        <f t="shared" si="6"/>
        <v>14</v>
      </c>
      <c r="S52" s="6"/>
      <c r="T52" s="3">
        <f>'Rate SE'!AM108</f>
        <v>4218</v>
      </c>
      <c r="U52" s="3"/>
      <c r="V52" s="3">
        <f>'Rate SE'!AO108</f>
        <v>261093</v>
      </c>
      <c r="W52" s="3"/>
      <c r="X52" s="103">
        <f t="shared" si="7"/>
        <v>13.8</v>
      </c>
      <c r="Y52" s="45"/>
      <c r="Z52" s="44"/>
    </row>
    <row r="53" spans="1:26">
      <c r="A53" s="44">
        <v>25</v>
      </c>
      <c r="C53" s="42" t="s">
        <v>795</v>
      </c>
      <c r="D53" s="42" t="s">
        <v>823</v>
      </c>
      <c r="E53" s="42"/>
      <c r="F53" s="3">
        <f>'Rate LED'!Y692</f>
        <v>2283</v>
      </c>
      <c r="G53" s="3"/>
      <c r="H53" s="3">
        <f>'Rate LED'!AA692</f>
        <v>42161</v>
      </c>
      <c r="I53" s="3"/>
      <c r="J53" s="139">
        <f t="shared" si="4"/>
        <v>47.247456</v>
      </c>
      <c r="K53" s="7"/>
      <c r="L53" s="3">
        <f>'Rate LED'!AE692</f>
        <v>19920</v>
      </c>
      <c r="M53" s="3"/>
      <c r="N53" s="5">
        <f t="shared" si="5"/>
        <v>0.8</v>
      </c>
      <c r="O53" s="7"/>
      <c r="P53" s="3">
        <f>'Rate LED'!AI692</f>
        <v>2852.4291680000001</v>
      </c>
      <c r="Q53" s="3"/>
      <c r="R53" s="103">
        <f>IFERROR(ROUND((P53/L53)*100,1),0)</f>
        <v>14.3</v>
      </c>
      <c r="S53" s="6"/>
      <c r="T53" s="3">
        <f>'Rate LED'!AM692</f>
        <v>147</v>
      </c>
      <c r="U53" s="3"/>
      <c r="V53" s="3">
        <f>'Rate LED'!AO692</f>
        <v>20067</v>
      </c>
      <c r="W53" s="3"/>
      <c r="X53" s="104">
        <f>IFERROR(ROUND((P53/V53)*100,1),0)</f>
        <v>14.2</v>
      </c>
      <c r="Y53" s="45"/>
      <c r="Z53" s="44"/>
    </row>
    <row r="54" spans="1:26" ht="20.100000000000001" customHeight="1">
      <c r="A54" s="44">
        <v>26</v>
      </c>
      <c r="C54" s="310" t="s">
        <v>168</v>
      </c>
      <c r="F54" s="72">
        <f>SUM(F47:F53)</f>
        <v>168482</v>
      </c>
      <c r="G54" s="1"/>
      <c r="H54" s="72">
        <f>SUM(H47:H53)</f>
        <v>18572207.800999999</v>
      </c>
      <c r="I54" s="3"/>
      <c r="J54" s="139">
        <f>IF(H54=0,"-",ROUND((L54/H54)*100,6))</f>
        <v>13.406143999999999</v>
      </c>
      <c r="K54" s="7"/>
      <c r="L54" s="72">
        <f>SUM(L47:L53)</f>
        <v>2489817</v>
      </c>
      <c r="M54" s="3"/>
      <c r="N54" s="95">
        <f>ROUND((L54/L$67)*100,2)</f>
        <v>0.54</v>
      </c>
      <c r="O54" s="7"/>
      <c r="P54" s="72">
        <f>SUM(P47:P53)</f>
        <v>346728.429168</v>
      </c>
      <c r="Q54" s="3"/>
      <c r="R54" s="103">
        <f t="shared" si="6"/>
        <v>13.9</v>
      </c>
      <c r="S54" s="6"/>
      <c r="T54" s="72">
        <f>SUM(T47:T53)</f>
        <v>64767</v>
      </c>
      <c r="U54" s="3"/>
      <c r="V54" s="72">
        <f>SUM(V47:V53)</f>
        <v>2554584</v>
      </c>
      <c r="W54" s="3"/>
      <c r="X54" s="105">
        <f t="shared" si="7"/>
        <v>13.6</v>
      </c>
      <c r="Y54" s="45"/>
      <c r="Z54" s="44"/>
    </row>
    <row r="55" spans="1:26">
      <c r="A55" s="44"/>
      <c r="F55" s="3"/>
      <c r="G55" s="1"/>
      <c r="H55" s="3"/>
      <c r="I55" s="3"/>
      <c r="J55" s="313"/>
      <c r="K55" s="314"/>
      <c r="L55" s="3"/>
      <c r="M55" s="3"/>
      <c r="N55" s="5"/>
      <c r="O55" s="3"/>
      <c r="P55" s="3"/>
      <c r="Q55" s="3"/>
      <c r="R55" s="103"/>
      <c r="S55" s="1"/>
      <c r="T55" s="3"/>
      <c r="U55" s="3"/>
      <c r="V55" s="3"/>
      <c r="W55" s="3"/>
      <c r="X55" s="103"/>
      <c r="Y55" s="45"/>
      <c r="Z55" s="44"/>
    </row>
    <row r="56" spans="1:26">
      <c r="A56" s="44"/>
      <c r="C56" s="759" t="s">
        <v>412</v>
      </c>
      <c r="D56" s="759"/>
      <c r="F56" s="3"/>
      <c r="G56" s="1"/>
      <c r="H56" s="3"/>
      <c r="I56" s="3"/>
      <c r="J56" s="313"/>
      <c r="K56" s="314"/>
      <c r="L56" s="3"/>
      <c r="M56" s="3"/>
      <c r="N56" s="5"/>
      <c r="O56" s="3"/>
      <c r="P56" s="3"/>
      <c r="Q56" s="3"/>
      <c r="R56" s="103"/>
      <c r="S56" s="1"/>
      <c r="T56" s="3"/>
      <c r="U56" s="3"/>
      <c r="V56" s="3"/>
      <c r="W56" s="3"/>
      <c r="X56" s="103"/>
      <c r="Y56" s="45"/>
      <c r="Z56" s="44"/>
    </row>
    <row r="57" spans="1:26">
      <c r="A57" s="44">
        <v>27</v>
      </c>
      <c r="C57" s="41" t="s">
        <v>352</v>
      </c>
      <c r="D57" s="41" t="s">
        <v>326</v>
      </c>
      <c r="E57" s="42"/>
      <c r="F57" s="45">
        <v>12</v>
      </c>
      <c r="G57" s="45"/>
      <c r="H57" s="45">
        <v>328933</v>
      </c>
      <c r="I57" s="1"/>
      <c r="J57" s="139">
        <f t="shared" ref="J57:J64" si="8">IF(H57=0,"-",ROUND((L57/H57)*100,6))</f>
        <v>9.8481880000000004</v>
      </c>
      <c r="K57" s="1"/>
      <c r="L57" s="45">
        <f>33541-(H57*INPUT!F19)</f>
        <v>32393.940632057602</v>
      </c>
      <c r="M57" s="3"/>
      <c r="N57" s="5">
        <f>ROUND((L57/L$65)*100,2)</f>
        <v>0.71</v>
      </c>
      <c r="O57" s="7"/>
      <c r="P57" s="45">
        <f>'SCH M-2.3'!L57-'SCH M-2.2'!L57</f>
        <v>4994</v>
      </c>
      <c r="Q57" s="3"/>
      <c r="R57" s="103">
        <f t="shared" ref="R57:R65" si="9">ROUND((P57/L57)*100,1)</f>
        <v>15.4</v>
      </c>
      <c r="S57" s="6"/>
      <c r="T57" s="164">
        <f>H57*CUR_FAC</f>
        <v>1147.0593679423998</v>
      </c>
      <c r="U57" s="1"/>
      <c r="V57" s="3">
        <f t="shared" ref="V57:V64" si="10">L57+T57</f>
        <v>33541</v>
      </c>
      <c r="W57" s="3"/>
      <c r="X57" s="103">
        <f t="shared" ref="X57:X65" si="11">ROUND((P57/V57)*100,1)</f>
        <v>14.9</v>
      </c>
      <c r="Y57" s="45"/>
      <c r="Z57" s="170"/>
    </row>
    <row r="58" spans="1:26">
      <c r="A58" s="44">
        <v>28</v>
      </c>
      <c r="C58" s="42"/>
      <c r="D58" s="42" t="s">
        <v>519</v>
      </c>
      <c r="E58" s="42"/>
      <c r="F58" s="3">
        <v>0</v>
      </c>
      <c r="G58" s="1"/>
      <c r="H58" s="3">
        <v>0</v>
      </c>
      <c r="I58" s="3"/>
      <c r="J58" s="139" t="str">
        <f t="shared" si="8"/>
        <v>-</v>
      </c>
      <c r="K58" s="7"/>
      <c r="L58" s="45">
        <v>169500</v>
      </c>
      <c r="M58" s="3"/>
      <c r="N58" s="5">
        <f t="shared" ref="N58:N63" si="12">ROUND((L58/L$65)*100,2)</f>
        <v>3.73</v>
      </c>
      <c r="O58" s="7"/>
      <c r="P58" s="45">
        <f>'SCH M-2.3'!L58-'SCH M-2.2'!L58</f>
        <v>0</v>
      </c>
      <c r="Q58" s="3"/>
      <c r="R58" s="103">
        <f>IF(L58=0,0,ROUND((P58/L58)*100,1))</f>
        <v>0</v>
      </c>
      <c r="S58" s="6"/>
      <c r="T58" s="3">
        <v>0</v>
      </c>
      <c r="U58" s="3"/>
      <c r="V58" s="3">
        <f t="shared" si="10"/>
        <v>169500</v>
      </c>
      <c r="W58" s="3"/>
      <c r="X58" s="103">
        <f>IF(V58=0,0,ROUND((P58/V58)*100,1))</f>
        <v>0</v>
      </c>
      <c r="Y58" s="42"/>
      <c r="Z58" s="44"/>
    </row>
    <row r="59" spans="1:26">
      <c r="A59" s="44">
        <v>29</v>
      </c>
      <c r="D59" s="48" t="s">
        <v>248</v>
      </c>
      <c r="F59" s="3">
        <v>0</v>
      </c>
      <c r="G59" s="1"/>
      <c r="H59" s="3">
        <v>0</v>
      </c>
      <c r="I59" s="3"/>
      <c r="J59" s="139" t="str">
        <f t="shared" si="8"/>
        <v>-</v>
      </c>
      <c r="K59" s="7"/>
      <c r="L59" s="45">
        <v>55176</v>
      </c>
      <c r="M59" s="3"/>
      <c r="N59" s="5">
        <f t="shared" si="12"/>
        <v>1.21</v>
      </c>
      <c r="O59" s="7"/>
      <c r="P59" s="45">
        <f>'SCH M-2.3'!L59-'SCH M-2.2'!L59</f>
        <v>0</v>
      </c>
      <c r="Q59" s="1"/>
      <c r="R59" s="103">
        <f t="shared" si="9"/>
        <v>0</v>
      </c>
      <c r="S59" s="6"/>
      <c r="T59" s="3">
        <v>0</v>
      </c>
      <c r="U59" s="3"/>
      <c r="V59" s="3">
        <f t="shared" si="10"/>
        <v>55176</v>
      </c>
      <c r="W59" s="3"/>
      <c r="X59" s="103">
        <f t="shared" si="11"/>
        <v>0</v>
      </c>
      <c r="Y59" s="42"/>
      <c r="Z59" s="44"/>
    </row>
    <row r="60" spans="1:26">
      <c r="A60" s="44">
        <v>30</v>
      </c>
      <c r="D60" s="42" t="s">
        <v>251</v>
      </c>
      <c r="F60" s="3">
        <v>0</v>
      </c>
      <c r="G60" s="1"/>
      <c r="H60" s="3">
        <v>0</v>
      </c>
      <c r="I60" s="3"/>
      <c r="J60" s="139" t="str">
        <f t="shared" si="8"/>
        <v>-</v>
      </c>
      <c r="K60" s="7"/>
      <c r="L60" s="45">
        <v>55068</v>
      </c>
      <c r="M60" s="3"/>
      <c r="N60" s="5">
        <f t="shared" si="12"/>
        <v>1.21</v>
      </c>
      <c r="O60" s="7"/>
      <c r="P60" s="45">
        <f>'SCH M-2.3'!L60-'SCH M-2.2'!L60</f>
        <v>8323</v>
      </c>
      <c r="Q60" s="1"/>
      <c r="R60" s="103">
        <f t="shared" si="9"/>
        <v>15.1</v>
      </c>
      <c r="S60" s="6"/>
      <c r="T60" s="3">
        <v>0</v>
      </c>
      <c r="U60" s="3"/>
      <c r="V60" s="3">
        <f t="shared" si="10"/>
        <v>55068</v>
      </c>
      <c r="W60" s="3"/>
      <c r="X60" s="103">
        <f t="shared" si="11"/>
        <v>15.1</v>
      </c>
      <c r="Y60" s="42"/>
      <c r="Z60" s="44"/>
    </row>
    <row r="61" spans="1:26">
      <c r="A61" s="44">
        <v>31</v>
      </c>
      <c r="D61" s="42" t="s">
        <v>478</v>
      </c>
      <c r="F61" s="3">
        <v>0</v>
      </c>
      <c r="G61" s="1"/>
      <c r="H61" s="3">
        <v>0</v>
      </c>
      <c r="I61" s="3"/>
      <c r="J61" s="139" t="str">
        <f t="shared" si="8"/>
        <v>-</v>
      </c>
      <c r="K61" s="7"/>
      <c r="L61" s="45">
        <v>699996</v>
      </c>
      <c r="M61" s="3"/>
      <c r="N61" s="5">
        <f>ROUND((L61/L$65)*100,2)</f>
        <v>15.39</v>
      </c>
      <c r="O61" s="7"/>
      <c r="P61" s="45">
        <f>'SCH M-2.3'!L61-'SCH M-2.2'!L61</f>
        <v>7594</v>
      </c>
      <c r="Q61" s="1"/>
      <c r="R61" s="103">
        <f>ROUND((P61/L61)*100,1)</f>
        <v>1.1000000000000001</v>
      </c>
      <c r="S61" s="6"/>
      <c r="T61" s="3">
        <v>0</v>
      </c>
      <c r="U61" s="3"/>
      <c r="V61" s="3">
        <f>L61+T61</f>
        <v>699996</v>
      </c>
      <c r="W61" s="3"/>
      <c r="X61" s="103">
        <f>ROUND((P61/V61)*100,1)</f>
        <v>1.1000000000000001</v>
      </c>
      <c r="Y61" s="42"/>
      <c r="Z61" s="44"/>
    </row>
    <row r="62" spans="1:26">
      <c r="A62" s="44">
        <v>32</v>
      </c>
      <c r="D62" s="42" t="s">
        <v>250</v>
      </c>
      <c r="F62" s="3">
        <v>0</v>
      </c>
      <c r="G62" s="1"/>
      <c r="H62" s="3">
        <v>0</v>
      </c>
      <c r="I62" s="3"/>
      <c r="J62" s="139" t="str">
        <f t="shared" si="8"/>
        <v>-</v>
      </c>
      <c r="K62" s="7"/>
      <c r="L62" s="45">
        <v>1299996</v>
      </c>
      <c r="M62" s="3"/>
      <c r="N62" s="5">
        <f t="shared" si="12"/>
        <v>28.58</v>
      </c>
      <c r="O62" s="7"/>
      <c r="P62" s="45">
        <f>'SCH M-2.3'!L62-'SCH M-2.2'!L62</f>
        <v>0</v>
      </c>
      <c r="Q62" s="1"/>
      <c r="R62" s="103">
        <f t="shared" si="9"/>
        <v>0</v>
      </c>
      <c r="S62" s="6"/>
      <c r="T62" s="3">
        <v>0</v>
      </c>
      <c r="U62" s="3"/>
      <c r="V62" s="3">
        <f t="shared" si="10"/>
        <v>1299996</v>
      </c>
      <c r="W62" s="3"/>
      <c r="X62" s="103">
        <f t="shared" si="11"/>
        <v>0</v>
      </c>
      <c r="Y62" s="42"/>
      <c r="Z62" s="44"/>
    </row>
    <row r="63" spans="1:26">
      <c r="A63" s="44">
        <v>33</v>
      </c>
      <c r="C63" s="41" t="s">
        <v>329</v>
      </c>
      <c r="D63" s="42" t="s">
        <v>327</v>
      </c>
      <c r="E63" s="42"/>
      <c r="F63" s="45">
        <v>12</v>
      </c>
      <c r="H63" s="45">
        <f>'[8]Forecast KWH'!$B$70</f>
        <v>13976789</v>
      </c>
      <c r="I63" s="3"/>
      <c r="J63" s="139">
        <f t="shared" si="8"/>
        <v>6.7425790000000001</v>
      </c>
      <c r="K63" s="7"/>
      <c r="L63" s="45">
        <f>IF(INPUT!$C$29&gt;0,$H$63*(INPUT!$C$204-CUR_FAC),$H$63*(INPUT!$C$204-INPUT!F19)-($H$63*(INPUT!$F$30+INPUT!$F$34)))</f>
        <v>942396.00085330079</v>
      </c>
      <c r="M63" s="68"/>
      <c r="N63" s="5">
        <f t="shared" si="12"/>
        <v>20.72</v>
      </c>
      <c r="O63" s="7"/>
      <c r="P63" s="45">
        <f>'SCH M-2.3'!L63-'SCH M-2.2'!L63</f>
        <v>135534.9616429999</v>
      </c>
      <c r="Q63" s="3"/>
      <c r="R63" s="103">
        <f t="shared" si="9"/>
        <v>14.4</v>
      </c>
      <c r="S63" s="6"/>
      <c r="T63" s="164">
        <f>H63*CUR_FAC</f>
        <v>48740.037503699197</v>
      </c>
      <c r="U63" s="3"/>
      <c r="V63" s="3">
        <f t="shared" si="10"/>
        <v>991136.03835699998</v>
      </c>
      <c r="W63" s="3"/>
      <c r="X63" s="103">
        <f t="shared" si="11"/>
        <v>13.7</v>
      </c>
      <c r="Y63" s="45"/>
      <c r="Z63" s="44"/>
    </row>
    <row r="64" spans="1:26">
      <c r="A64" s="44">
        <v>34</v>
      </c>
      <c r="D64" s="42" t="s">
        <v>97</v>
      </c>
      <c r="E64" s="42"/>
      <c r="F64" s="3">
        <v>0</v>
      </c>
      <c r="G64" s="1"/>
      <c r="H64" s="3">
        <v>0</v>
      </c>
      <c r="I64" s="3"/>
      <c r="J64" s="139" t="str">
        <f t="shared" si="8"/>
        <v>-</v>
      </c>
      <c r="K64" s="7"/>
      <c r="L64" s="164">
        <f>139752+1155060+0</f>
        <v>1294812</v>
      </c>
      <c r="M64" s="68"/>
      <c r="N64" s="5">
        <f>ROUND((L64/L$65)*100,2)</f>
        <v>28.46</v>
      </c>
      <c r="O64" s="7"/>
      <c r="P64" s="45">
        <f>'SCH M-2.3'!L64-'SCH M-2.2'!L64</f>
        <v>0</v>
      </c>
      <c r="Q64" s="3"/>
      <c r="R64" s="103">
        <f t="shared" si="9"/>
        <v>0</v>
      </c>
      <c r="S64" s="6"/>
      <c r="T64" s="3">
        <v>0</v>
      </c>
      <c r="U64" s="3"/>
      <c r="V64" s="3">
        <f t="shared" si="10"/>
        <v>1294812</v>
      </c>
      <c r="W64" s="3"/>
      <c r="X64" s="104">
        <f t="shared" si="11"/>
        <v>0</v>
      </c>
      <c r="Y64" s="42"/>
      <c r="Z64" s="44"/>
    </row>
    <row r="65" spans="1:26" ht="20.100000000000001" customHeight="1">
      <c r="A65" s="44">
        <v>35</v>
      </c>
      <c r="C65" s="133" t="s">
        <v>413</v>
      </c>
      <c r="F65" s="72">
        <f>SUM(F57:F64)</f>
        <v>24</v>
      </c>
      <c r="G65" s="1"/>
      <c r="H65" s="72">
        <f>SUM(H57:H64)</f>
        <v>14305722</v>
      </c>
      <c r="I65" s="3"/>
      <c r="J65" s="139"/>
      <c r="K65" s="7"/>
      <c r="L65" s="72">
        <f>SUM(L57:L64)</f>
        <v>4549337.9414853584</v>
      </c>
      <c r="M65" s="3"/>
      <c r="N65" s="95">
        <f>ROUND((L65/L$67)*100,2)</f>
        <v>0.98</v>
      </c>
      <c r="O65" s="7"/>
      <c r="P65" s="72">
        <f>SUM(P57:P64)</f>
        <v>156445.9616429999</v>
      </c>
      <c r="Q65" s="3"/>
      <c r="R65" s="103">
        <f t="shared" si="9"/>
        <v>3.4</v>
      </c>
      <c r="S65" s="6"/>
      <c r="T65" s="72">
        <f>SUM(T57:T64)</f>
        <v>49887.096871641595</v>
      </c>
      <c r="U65" s="3"/>
      <c r="V65" s="72">
        <f>SUM(V57:V64)</f>
        <v>4599225.0383569999</v>
      </c>
      <c r="W65" s="3"/>
      <c r="X65" s="105">
        <f t="shared" si="11"/>
        <v>3.4</v>
      </c>
      <c r="Y65" s="45"/>
      <c r="Z65" s="44"/>
    </row>
    <row r="66" spans="1:26">
      <c r="A66" s="44"/>
      <c r="F66" s="3"/>
      <c r="G66" s="1"/>
      <c r="H66" s="3"/>
      <c r="I66" s="3"/>
      <c r="J66" s="139"/>
      <c r="K66" s="7"/>
      <c r="L66" s="3"/>
      <c r="M66" s="3"/>
      <c r="N66" s="5"/>
      <c r="O66" s="7"/>
      <c r="P66" s="1"/>
      <c r="Q66" s="1"/>
      <c r="R66" s="103"/>
      <c r="S66" s="6"/>
      <c r="T66" s="3"/>
      <c r="U66" s="3"/>
      <c r="V66" s="3"/>
      <c r="W66" s="3"/>
      <c r="X66" s="103"/>
      <c r="Y66" s="45"/>
      <c r="Z66" s="44"/>
    </row>
    <row r="67" spans="1:26" ht="20.100000000000001" customHeight="1" thickBot="1">
      <c r="A67" s="44">
        <v>36</v>
      </c>
      <c r="C67" s="133" t="s">
        <v>98</v>
      </c>
      <c r="F67" s="67">
        <f>F65+F54+F44+F37+F33+F23</f>
        <v>2017031</v>
      </c>
      <c r="G67" s="1"/>
      <c r="H67" s="67">
        <f>H65+H54+H44+H37+H33+H23</f>
        <v>3964785588.8010001</v>
      </c>
      <c r="I67" s="3"/>
      <c r="J67" s="139">
        <f>IF(H67=0,"-",ROUND((L67/H67)*100,6))</f>
        <v>11.675470000000001</v>
      </c>
      <c r="K67" s="7"/>
      <c r="L67" s="67">
        <f>L65+L54+L44+L37+L33+L23</f>
        <v>462907369.94148535</v>
      </c>
      <c r="M67" s="3"/>
      <c r="N67" s="88">
        <v>100</v>
      </c>
      <c r="O67" s="7"/>
      <c r="P67" s="67">
        <f>P65+P54+P44+P37+P33+P23</f>
        <v>70008521.390810996</v>
      </c>
      <c r="Q67" s="3"/>
      <c r="R67" s="103">
        <f>ROUND((P67/L67)*100,1)</f>
        <v>15.1</v>
      </c>
      <c r="S67" s="6"/>
      <c r="T67" s="67">
        <f>T65+T54+T44+T37+T33+T23</f>
        <v>13779894.096871642</v>
      </c>
      <c r="U67" s="3"/>
      <c r="V67" s="67">
        <f>V65+V54+V44+V37+V33+V23</f>
        <v>476687264.03835702</v>
      </c>
      <c r="W67" s="3"/>
      <c r="X67" s="106">
        <f>ROUND((P67/V67)*100,1)</f>
        <v>14.7</v>
      </c>
      <c r="Y67" s="45"/>
      <c r="Z67" s="44"/>
    </row>
    <row r="68" spans="1:26" ht="16.5" thickTop="1">
      <c r="F68" s="1"/>
      <c r="G68" s="1"/>
      <c r="H68" s="1"/>
      <c r="I68" s="1"/>
      <c r="J68" s="2"/>
      <c r="K68" s="1"/>
      <c r="L68" s="1"/>
      <c r="M68" s="1"/>
      <c r="N68" s="5"/>
      <c r="O68" s="1"/>
      <c r="P68" s="1"/>
      <c r="Q68" s="1"/>
      <c r="R68" s="103"/>
      <c r="S68" s="1"/>
      <c r="T68" s="1"/>
      <c r="U68" s="1"/>
      <c r="V68" s="1"/>
      <c r="W68" s="1"/>
      <c r="X68" s="103"/>
      <c r="Y68" s="45"/>
      <c r="Z68" s="44"/>
    </row>
    <row r="69" spans="1:26">
      <c r="C69" s="48" t="str">
        <f>"NOTE: DETAIL CONTAINED ON SCHEDULES M-2.2 PAGES 2 THROUGH "&amp;TEXT(Page_Num_2.2,"00")&amp;"."</f>
        <v>NOTE: DETAIL CONTAINED ON SCHEDULES M-2.2 PAGES 2 THROUGH 24.</v>
      </c>
      <c r="J69" s="44"/>
      <c r="N69" s="56"/>
      <c r="Y69" s="45"/>
      <c r="Z69" s="44"/>
    </row>
    <row r="70" spans="1:26">
      <c r="C70" s="48"/>
      <c r="J70" s="44"/>
      <c r="N70" s="56"/>
      <c r="Y70" s="45"/>
      <c r="Z70" s="44"/>
    </row>
    <row r="71" spans="1:26">
      <c r="C71" s="48"/>
      <c r="J71" s="44"/>
      <c r="L71" s="45"/>
      <c r="N71" s="56"/>
      <c r="V71" s="45"/>
      <c r="Y71" s="45"/>
      <c r="Z71" s="44"/>
    </row>
    <row r="72" spans="1:26">
      <c r="C72" s="48"/>
      <c r="J72" s="44"/>
      <c r="N72" s="56"/>
      <c r="Y72" s="45"/>
      <c r="Z72" s="44"/>
    </row>
    <row r="73" spans="1:26">
      <c r="C73" s="48"/>
      <c r="J73" s="44"/>
      <c r="N73" s="56"/>
      <c r="Y73" s="45"/>
      <c r="Z73" s="44"/>
    </row>
    <row r="74" spans="1:26">
      <c r="C74" s="48"/>
      <c r="J74" s="44"/>
      <c r="N74" s="56"/>
      <c r="Y74" s="45"/>
      <c r="Z74" s="44"/>
    </row>
    <row r="75" spans="1:26">
      <c r="A75" s="42"/>
      <c r="J75" s="44"/>
      <c r="N75" s="56"/>
      <c r="Y75" s="45"/>
      <c r="Z75" s="44"/>
    </row>
    <row r="76" spans="1:26">
      <c r="H76" s="45"/>
      <c r="Y76" s="45"/>
      <c r="Z76" s="44"/>
    </row>
    <row r="77" spans="1:26" ht="25.5">
      <c r="L77" s="123"/>
      <c r="Y77" s="45"/>
      <c r="Z77" s="44"/>
    </row>
    <row r="78" spans="1:26">
      <c r="H78" s="124"/>
      <c r="L78" s="124"/>
      <c r="Y78" s="45"/>
      <c r="Z78" s="44"/>
    </row>
    <row r="79" spans="1:26">
      <c r="L79" s="124"/>
      <c r="Y79" s="45"/>
      <c r="Z79" s="44"/>
    </row>
    <row r="80" spans="1:26">
      <c r="H80" s="45"/>
      <c r="L80" s="124"/>
      <c r="Y80" s="45"/>
      <c r="Z80" s="44"/>
    </row>
    <row r="81" spans="8:26">
      <c r="H81" s="45"/>
      <c r="Y81" s="45"/>
      <c r="Z81" s="44"/>
    </row>
    <row r="82" spans="8:26">
      <c r="H82" s="45"/>
      <c r="L82" s="315"/>
      <c r="Y82" s="45"/>
      <c r="Z82" s="44"/>
    </row>
    <row r="83" spans="8:26">
      <c r="Y83" s="45"/>
      <c r="Z83" s="44"/>
    </row>
    <row r="84" spans="8:26">
      <c r="Y84" s="45"/>
      <c r="Z84" s="44"/>
    </row>
    <row r="85" spans="8:26">
      <c r="Y85" s="45"/>
      <c r="Z85" s="44"/>
    </row>
    <row r="86" spans="8:26">
      <c r="Z86" s="44"/>
    </row>
    <row r="87" spans="8:26">
      <c r="Z87" s="44"/>
    </row>
    <row r="88" spans="8:26">
      <c r="Z88" s="44"/>
    </row>
    <row r="89" spans="8:26">
      <c r="Z89" s="44"/>
    </row>
    <row r="90" spans="8:26">
      <c r="Z90" s="44"/>
    </row>
    <row r="91" spans="8:26">
      <c r="Z91" s="44"/>
    </row>
    <row r="92" spans="8:26">
      <c r="Z92" s="44"/>
    </row>
    <row r="93" spans="8:26">
      <c r="Z93" s="44"/>
    </row>
    <row r="94" spans="8:26">
      <c r="Z94" s="44"/>
    </row>
    <row r="95" spans="8:26">
      <c r="Z95" s="44"/>
    </row>
    <row r="96" spans="8:26">
      <c r="Z96" s="44"/>
    </row>
    <row r="97" spans="26:26">
      <c r="Z97" s="44"/>
    </row>
  </sheetData>
  <customSheetViews>
    <customSheetView guid="{F562D92E-120C-4AE9-9663-89E64D41DC53}" scale="75" fitToPage="1" topLeftCell="G16">
      <selection activeCell="T19" sqref="T19"/>
      <pageMargins left="0.5" right="0.5" top="1" bottom="0" header="0.5" footer="0.5"/>
      <printOptions horizontalCentered="1"/>
      <pageSetup scale="54" orientation="landscape" horizontalDpi="300" verticalDpi="300" r:id="rId1"/>
      <headerFooter alignWithMargins="0"/>
    </customSheetView>
    <customSheetView guid="{35F19056-2E6F-4935-B863-78836FE990BF}" scale="75" fitToPage="1" showRuler="0" topLeftCell="G33">
      <selection activeCell="V55" sqref="V55"/>
      <pageMargins left="0.5" right="0.5" top="1" bottom="0" header="0.5" footer="0.5"/>
      <printOptions horizontalCentered="1"/>
      <pageSetup scale="54" orientation="landscape" horizontalDpi="300" verticalDpi="300" r:id="rId2"/>
      <headerFooter alignWithMargins="0"/>
    </customSheetView>
    <customSheetView guid="{18BDED73-BFA0-442E-87EC-CED86EE4CF94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3"/>
      <headerFooter alignWithMargins="0"/>
    </customSheetView>
    <customSheetView guid="{0BC1F393-8A13-47D5-BC6C-0C99615B5AB9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4"/>
      <headerFooter alignWithMargins="0"/>
    </customSheetView>
    <customSheetView guid="{6B3D5C27-2FDE-4561-9575-1E98BFB869D0}" scale="75" fitToPage="1" showRuler="0">
      <selection activeCell="D33" sqref="D33"/>
      <pageMargins left="0.5" right="0.5" top="1" bottom="0" header="0.5" footer="0.5"/>
      <printOptions horizontalCentered="1"/>
      <pageSetup scale="48" orientation="landscape" horizontalDpi="300" verticalDpi="300" r:id="rId5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52" orientation="landscape" horizontalDpi="300" verticalDpi="300" r:id="rId6"/>
      <headerFooter alignWithMargins="0"/>
    </customSheetView>
    <customSheetView guid="{8FC77C99-DBF7-40B8-99B8-01B75826CDCB}" scale="75" fitToPage="1" showRuler="0" topLeftCell="I46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7"/>
      <headerFooter alignWithMargins="0"/>
    </customSheetView>
    <customSheetView guid="{2EA35095-1ADC-4CC7-8C3C-B487D65FA247}" scale="75" fitToPage="1" showRuler="0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8"/>
      <headerFooter alignWithMargins="0"/>
    </customSheetView>
    <customSheetView guid="{2431C9E5-7CC2-4B8D-99C3-962247B1DBF5}" scale="75" fitToPage="1" showRuler="0">
      <pane xSplit="5" ySplit="18" topLeftCell="F19" activePane="bottomRight" state="frozen"/>
      <selection pane="bottomRight" activeCell="L50" sqref="L50"/>
      <pageMargins left="0.5" right="0.5" top="1" bottom="0" header="0.5" footer="0.5"/>
      <printOptions horizontalCentered="1"/>
      <pageSetup scale="53" orientation="landscape" horizontalDpi="300" verticalDpi="300" r:id="rId9"/>
      <headerFooter alignWithMargins="0"/>
    </customSheetView>
    <customSheetView guid="{4BC93440-BA85-4935-A8C9-66DC6AE5DE5E}" scale="75" fitToPage="1" showRuler="0">
      <pane xSplit="5" ySplit="18" topLeftCell="G64" activePane="bottomRight" state="frozen"/>
      <selection pane="bottomRight" activeCell="L68" sqref="L68"/>
      <pageMargins left="0.5" right="0.5" top="1" bottom="0" header="0.5" footer="0.5"/>
      <printOptions horizontalCentered="1"/>
      <pageSetup scale="53" orientation="landscape" horizontalDpi="300" verticalDpi="300" r:id="rId10"/>
      <headerFooter alignWithMargins="0"/>
    </customSheetView>
    <customSheetView guid="{0C49E549-011E-46F4-A82E-2CC8951A9C1E}" scale="75" fitToPage="1" showRuler="0" topLeftCell="A4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11"/>
      <headerFooter alignWithMargins="0"/>
    </customSheetView>
    <customSheetView guid="{195DF303-1BBD-4236-94B5-47432850B006}" scale="75" fitToPage="1" showRuler="0">
      <pageMargins left="0.5" right="0.5" top="1" bottom="0" header="0.5" footer="0.5"/>
      <printOptions horizontalCentered="1"/>
      <pageSetup scale="52" orientation="landscape" horizontalDpi="300" verticalDpi="300" r:id="rId12"/>
      <headerFooter alignWithMargins="0"/>
    </customSheetView>
  </customSheetViews>
  <mergeCells count="11">
    <mergeCell ref="A1:X1"/>
    <mergeCell ref="A2:X2"/>
    <mergeCell ref="A3:X3"/>
    <mergeCell ref="A4:X4"/>
    <mergeCell ref="A5:X5"/>
    <mergeCell ref="C56:D56"/>
    <mergeCell ref="C20:D20"/>
    <mergeCell ref="C25:D25"/>
    <mergeCell ref="C35:D35"/>
    <mergeCell ref="C39:D39"/>
    <mergeCell ref="C46:D46"/>
  </mergeCells>
  <phoneticPr fontId="12" type="noConversion"/>
  <printOptions horizontalCentered="1"/>
  <pageMargins left="0.5" right="0.5" top="1" bottom="0" header="0.5" footer="0.5"/>
  <pageSetup scale="44" orientation="landscape" horizontalDpi="300" verticalDpi="300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A1" transitionEvaluation="1" transitionEntry="1" codeName="Sheet5">
    <pageSetUpPr fitToPage="1"/>
  </sheetPr>
  <dimension ref="A1:X80"/>
  <sheetViews>
    <sheetView workbookViewId="0"/>
  </sheetViews>
  <sheetFormatPr defaultColWidth="9.69921875" defaultRowHeight="15.75"/>
  <cols>
    <col min="1" max="1" width="5.69921875" style="41" customWidth="1"/>
    <col min="2" max="2" width="0.296875" style="41" customWidth="1"/>
    <col min="3" max="3" width="13.59765625" style="41" customWidth="1"/>
    <col min="4" max="4" width="32" style="41" customWidth="1"/>
    <col min="5" max="5" width="0.59765625" style="41" customWidth="1"/>
    <col min="6" max="6" width="15.59765625" style="41" customWidth="1"/>
    <col min="7" max="7" width="0.59765625" style="41" customWidth="1"/>
    <col min="8" max="8" width="19.296875" style="41" customWidth="1"/>
    <col min="9" max="9" width="0.69921875" style="41" customWidth="1"/>
    <col min="10" max="10" width="12.09765625" style="41" customWidth="1"/>
    <col min="11" max="11" width="0.3984375" style="41" customWidth="1"/>
    <col min="12" max="12" width="15.69921875" style="41" customWidth="1"/>
    <col min="13" max="13" width="0.8984375" style="41" customWidth="1"/>
    <col min="14" max="14" width="12.69921875" style="41" customWidth="1"/>
    <col min="15" max="15" width="0.69921875" style="41" customWidth="1"/>
    <col min="16" max="16" width="15.3984375" style="41" customWidth="1"/>
    <col min="17" max="17" width="0.69921875" style="41" customWidth="1"/>
    <col min="18" max="18" width="22.296875" style="41" customWidth="1"/>
    <col min="19" max="70" width="9.69921875" style="41"/>
    <col min="71" max="71" width="20.69921875" style="41" customWidth="1"/>
    <col min="72" max="16384" width="9.69921875" style="41"/>
  </cols>
  <sheetData>
    <row r="1" spans="1:18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8">
      <c r="A6" s="41" t="str">
        <f>DATA_PERIOD</f>
        <v>DATA: ____ BASE PERIOD   __X__FORECASTED PERIOD</v>
      </c>
      <c r="R6" s="42" t="s">
        <v>156</v>
      </c>
    </row>
    <row r="7" spans="1:18">
      <c r="A7" s="41" t="str">
        <f>TYPE</f>
        <v>TYPE OF FILING: _X_ ORIGINAL   ___UPDATED  ___ REVISED</v>
      </c>
      <c r="R7" s="48" t="str">
        <f>"PAGE 1 OF "&amp;TEXT(Page_Num_2.3,"00")</f>
        <v>PAGE 1 OF 24</v>
      </c>
    </row>
    <row r="8" spans="1:18">
      <c r="A8" s="42" t="s">
        <v>186</v>
      </c>
      <c r="R8" s="42" t="s">
        <v>3</v>
      </c>
    </row>
    <row r="9" spans="1:18">
      <c r="A9" s="133" t="str">
        <f>TIME</f>
        <v>12 Months Projected with Riders</v>
      </c>
      <c r="R9" s="41" t="str">
        <f>WIT</f>
        <v>B. L. Sailers</v>
      </c>
    </row>
    <row r="10" spans="1:18">
      <c r="A10" s="133" t="str">
        <f>INPUT!B5</f>
        <v xml:space="preserve"> </v>
      </c>
    </row>
    <row r="11" spans="1:18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spans="1:18" ht="12.75" customHeight="1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spans="1:18" ht="18" customHeight="1">
      <c r="L13" s="44" t="s">
        <v>6</v>
      </c>
      <c r="M13" s="44"/>
      <c r="N13" s="44" t="s">
        <v>7</v>
      </c>
      <c r="O13" s="44"/>
      <c r="R13" s="44" t="s">
        <v>6</v>
      </c>
    </row>
    <row r="14" spans="1:18">
      <c r="L14" s="44" t="s">
        <v>12</v>
      </c>
      <c r="M14" s="44"/>
      <c r="N14" s="44" t="s">
        <v>13</v>
      </c>
      <c r="O14" s="44"/>
      <c r="R14" s="44" t="s">
        <v>11</v>
      </c>
    </row>
    <row r="15" spans="1:18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</row>
    <row r="16" spans="1:18">
      <c r="A16" s="44" t="s">
        <v>22</v>
      </c>
      <c r="C16" s="44" t="s">
        <v>23</v>
      </c>
      <c r="D16" s="44" t="s">
        <v>24</v>
      </c>
      <c r="E16" s="44"/>
      <c r="F16" s="44" t="s">
        <v>55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9</v>
      </c>
      <c r="Q16" s="44"/>
      <c r="R16" s="304" t="s">
        <v>28</v>
      </c>
    </row>
    <row r="17" spans="1:18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</row>
    <row r="18" spans="1:18" ht="9.7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</row>
    <row r="19" spans="1:18" ht="17.100000000000001" customHeight="1">
      <c r="H19" s="308" t="s">
        <v>49</v>
      </c>
      <c r="I19" s="308"/>
      <c r="J19" s="309" t="s">
        <v>197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</row>
    <row r="20" spans="1:18">
      <c r="C20" s="759" t="s">
        <v>53</v>
      </c>
      <c r="D20" s="759"/>
      <c r="H20" s="44"/>
      <c r="I20" s="44"/>
      <c r="J20" s="60"/>
      <c r="K20" s="44"/>
      <c r="L20" s="44"/>
      <c r="M20" s="44"/>
      <c r="N20" s="44"/>
      <c r="O20" s="44"/>
      <c r="P20" s="44"/>
      <c r="Q20" s="44"/>
      <c r="R20" s="44"/>
    </row>
    <row r="21" spans="1:18">
      <c r="A21" s="44">
        <v>1</v>
      </c>
      <c r="C21" s="42" t="s">
        <v>52</v>
      </c>
      <c r="D21" s="48" t="s">
        <v>242</v>
      </c>
      <c r="E21" s="42"/>
      <c r="F21" s="3">
        <f>'Rate RS'!F38</f>
        <v>1689991</v>
      </c>
      <c r="G21" s="1"/>
      <c r="H21" s="3">
        <f>'Rate RS'!H38</f>
        <v>1527729253</v>
      </c>
      <c r="I21" s="3"/>
      <c r="J21" s="139">
        <f>IF(H21=0,"-",ROUND((L21/H21)*100,6))</f>
        <v>15.251977999999999</v>
      </c>
      <c r="K21" s="7"/>
      <c r="L21" s="3">
        <f>'Rate RS'!L38</f>
        <v>233008932</v>
      </c>
      <c r="M21" s="3"/>
      <c r="N21" s="5">
        <f>ROUND((L21/L$23)*100,2)</f>
        <v>100</v>
      </c>
      <c r="O21" s="7"/>
      <c r="P21" s="3">
        <f>'Rate RS'!P38</f>
        <v>5327517</v>
      </c>
      <c r="Q21" s="3"/>
      <c r="R21" s="3">
        <f>'Rate RS'!R38</f>
        <v>238336449</v>
      </c>
    </row>
    <row r="22" spans="1:18">
      <c r="A22" s="44">
        <v>2</v>
      </c>
      <c r="C22" s="42"/>
      <c r="D22" s="48"/>
      <c r="E22" s="42"/>
      <c r="F22" s="3"/>
      <c r="G22" s="1"/>
      <c r="H22" s="3"/>
      <c r="I22" s="3"/>
      <c r="J22" s="139"/>
      <c r="K22" s="7"/>
      <c r="L22" s="3"/>
      <c r="M22" s="3"/>
      <c r="N22" s="5"/>
      <c r="O22" s="7"/>
      <c r="P22" s="3"/>
      <c r="Q22" s="3"/>
      <c r="R22" s="3"/>
    </row>
    <row r="23" spans="1:18" ht="20.100000000000001" customHeight="1">
      <c r="A23" s="44">
        <v>3</v>
      </c>
      <c r="C23" s="310" t="s">
        <v>195</v>
      </c>
      <c r="F23" s="72">
        <f>F21</f>
        <v>1689991</v>
      </c>
      <c r="G23" s="1"/>
      <c r="H23" s="72">
        <f>H21</f>
        <v>1527729253</v>
      </c>
      <c r="I23" s="3"/>
      <c r="J23" s="139">
        <f>IF(H23=0,"-",ROUND((L23/H23)*100,6))</f>
        <v>15.251977999999999</v>
      </c>
      <c r="K23" s="7"/>
      <c r="L23" s="72">
        <f>L21</f>
        <v>233008932</v>
      </c>
      <c r="M23" s="3"/>
      <c r="N23" s="95">
        <f>ROUND((L23/L$67)*100,2)</f>
        <v>43.72</v>
      </c>
      <c r="O23" s="7"/>
      <c r="P23" s="72">
        <f>P21</f>
        <v>5327517</v>
      </c>
      <c r="Q23" s="3"/>
      <c r="R23" s="72">
        <f>R21</f>
        <v>238336449</v>
      </c>
    </row>
    <row r="24" spans="1:18" ht="12" customHeight="1">
      <c r="A24" s="44"/>
      <c r="F24" s="3"/>
      <c r="G24" s="1"/>
      <c r="H24" s="3"/>
      <c r="I24" s="3"/>
      <c r="J24" s="139"/>
      <c r="K24" s="7"/>
      <c r="L24" s="3"/>
      <c r="M24" s="3"/>
      <c r="N24" s="5"/>
      <c r="O24" s="7"/>
      <c r="P24" s="3"/>
      <c r="Q24" s="3"/>
      <c r="R24" s="3"/>
    </row>
    <row r="25" spans="1:18" ht="15.75" customHeight="1">
      <c r="A25" s="44"/>
      <c r="C25" s="759" t="s">
        <v>253</v>
      </c>
      <c r="D25" s="759"/>
      <c r="F25" s="3"/>
      <c r="G25" s="1"/>
      <c r="H25" s="3"/>
      <c r="I25" s="3"/>
      <c r="J25" s="139"/>
      <c r="K25" s="7"/>
      <c r="L25" s="3"/>
      <c r="M25" s="3"/>
      <c r="N25" s="5"/>
      <c r="O25" s="7"/>
      <c r="P25" s="3"/>
      <c r="Q25" s="3"/>
      <c r="R25" s="3"/>
    </row>
    <row r="26" spans="1:18">
      <c r="A26" s="44">
        <v>4</v>
      </c>
      <c r="C26" s="42" t="s">
        <v>91</v>
      </c>
      <c r="D26" s="48" t="s">
        <v>243</v>
      </c>
      <c r="E26" s="42"/>
      <c r="F26" s="3">
        <f>'Rate DS'!F50</f>
        <v>155005</v>
      </c>
      <c r="G26" s="1"/>
      <c r="H26" s="3">
        <f>'Rate DS'!H50</f>
        <v>1097342923</v>
      </c>
      <c r="I26" s="3"/>
      <c r="J26" s="139">
        <f t="shared" ref="J26:J33" si="0">IF(H26=0,"-",ROUND((L26/H26)*100,6))</f>
        <v>13.8024</v>
      </c>
      <c r="K26" s="7"/>
      <c r="L26" s="3">
        <f>'Rate DS'!L50</f>
        <v>151459661</v>
      </c>
      <c r="M26" s="3"/>
      <c r="N26" s="5">
        <f t="shared" ref="N26:N31" si="1">ROUND((L26/L$33)*100,2)</f>
        <v>54.97</v>
      </c>
      <c r="O26" s="7"/>
      <c r="P26" s="3">
        <f>'Rate DS'!P50</f>
        <v>3826668</v>
      </c>
      <c r="Q26" s="3"/>
      <c r="R26" s="3">
        <f>'Rate DS'!R50</f>
        <v>155286329</v>
      </c>
    </row>
    <row r="27" spans="1:18">
      <c r="A27" s="44">
        <v>5</v>
      </c>
      <c r="C27" s="42" t="s">
        <v>378</v>
      </c>
      <c r="D27" s="42" t="s">
        <v>61</v>
      </c>
      <c r="E27" s="42"/>
      <c r="F27" s="3">
        <f>'Rate DT-Pri'!F65</f>
        <v>395</v>
      </c>
      <c r="G27" s="1"/>
      <c r="H27" s="3">
        <f>'Rate DT-Pri'!H65</f>
        <v>474967440</v>
      </c>
      <c r="I27" s="3"/>
      <c r="J27" s="139">
        <f t="shared" si="0"/>
        <v>11.050674000000001</v>
      </c>
      <c r="K27" s="7"/>
      <c r="L27" s="3">
        <f>'Rate DT-Pri'!L65</f>
        <v>52487105</v>
      </c>
      <c r="M27" s="3"/>
      <c r="N27" s="5">
        <f t="shared" si="1"/>
        <v>19.05</v>
      </c>
      <c r="O27" s="7"/>
      <c r="P27" s="3">
        <f>'Rate DT-Pri'!P65</f>
        <v>1656313</v>
      </c>
      <c r="Q27" s="3"/>
      <c r="R27" s="3">
        <f>'Rate DT-Pri'!R65</f>
        <v>54143418</v>
      </c>
    </row>
    <row r="28" spans="1:18">
      <c r="A28" s="44">
        <v>6</v>
      </c>
      <c r="C28" s="42" t="s">
        <v>376</v>
      </c>
      <c r="D28" s="42" t="s">
        <v>61</v>
      </c>
      <c r="E28" s="42"/>
      <c r="F28" s="3">
        <f>'Rate DT-Sec'!F63</f>
        <v>1363</v>
      </c>
      <c r="G28" s="1"/>
      <c r="H28" s="3">
        <f>'Rate DT-Sec'!H63</f>
        <v>600045849</v>
      </c>
      <c r="I28" s="3"/>
      <c r="J28" s="139">
        <f t="shared" si="0"/>
        <v>11.246240999999999</v>
      </c>
      <c r="K28" s="7"/>
      <c r="L28" s="3">
        <f>'Rate DT-Sec'!L63</f>
        <v>67482601</v>
      </c>
      <c r="M28" s="3"/>
      <c r="N28" s="5">
        <f t="shared" si="1"/>
        <v>24.49</v>
      </c>
      <c r="O28" s="7"/>
      <c r="P28" s="3">
        <f>'Rate DT-Sec'!P63</f>
        <v>2092488</v>
      </c>
      <c r="Q28" s="3"/>
      <c r="R28" s="3">
        <f>'Rate DT-Sec'!R63</f>
        <v>69575089</v>
      </c>
    </row>
    <row r="29" spans="1:18">
      <c r="A29" s="44">
        <v>7</v>
      </c>
      <c r="C29" s="42" t="s">
        <v>94</v>
      </c>
      <c r="D29" s="42" t="s">
        <v>245</v>
      </c>
      <c r="E29" s="42"/>
      <c r="F29" s="3">
        <f>'Rate EH'!F43</f>
        <v>1006</v>
      </c>
      <c r="G29" s="1"/>
      <c r="H29" s="3">
        <f>'Rate EH'!H43</f>
        <v>19145457</v>
      </c>
      <c r="I29" s="3"/>
      <c r="J29" s="139">
        <f t="shared" si="0"/>
        <v>11.265691</v>
      </c>
      <c r="K29" s="7"/>
      <c r="L29" s="3">
        <f>'Rate EH'!L43</f>
        <v>2156868</v>
      </c>
      <c r="M29" s="3"/>
      <c r="N29" s="5">
        <f t="shared" si="1"/>
        <v>0.78</v>
      </c>
      <c r="O29" s="7"/>
      <c r="P29" s="3">
        <f>'Rate EH'!P43</f>
        <v>66764</v>
      </c>
      <c r="Q29" s="3"/>
      <c r="R29" s="3">
        <f>'Rate EH'!R43</f>
        <v>2223632</v>
      </c>
    </row>
    <row r="30" spans="1:18">
      <c r="A30" s="44">
        <v>8</v>
      </c>
      <c r="B30" s="62"/>
      <c r="C30" s="42" t="s">
        <v>95</v>
      </c>
      <c r="D30" s="48" t="s">
        <v>244</v>
      </c>
      <c r="E30" s="42"/>
      <c r="F30" s="3">
        <f>'Rate SP GSFL'!F38</f>
        <v>166</v>
      </c>
      <c r="G30" s="1"/>
      <c r="H30" s="3">
        <f>'Rate SP GSFL'!H38</f>
        <v>327203</v>
      </c>
      <c r="I30" s="3"/>
      <c r="J30" s="139">
        <f t="shared" si="0"/>
        <v>18.203683999999999</v>
      </c>
      <c r="K30" s="7"/>
      <c r="L30" s="3">
        <f>'Rate SP GSFL'!L38</f>
        <v>59563</v>
      </c>
      <c r="M30" s="3"/>
      <c r="N30" s="5">
        <f t="shared" si="1"/>
        <v>0.02</v>
      </c>
      <c r="O30" s="7"/>
      <c r="P30" s="3">
        <f>'Rate SP GSFL'!P38</f>
        <v>1141</v>
      </c>
      <c r="Q30" s="3"/>
      <c r="R30" s="3">
        <f>'Rate SP GSFL'!R38</f>
        <v>60704</v>
      </c>
    </row>
    <row r="31" spans="1:18">
      <c r="A31" s="44">
        <v>9</v>
      </c>
      <c r="C31" s="42" t="s">
        <v>93</v>
      </c>
      <c r="D31" s="42" t="s">
        <v>152</v>
      </c>
      <c r="E31" s="42"/>
      <c r="F31" s="3">
        <f>'Rate SP GSFL'!F57</f>
        <v>275</v>
      </c>
      <c r="G31" s="1"/>
      <c r="H31" s="3">
        <f>'Rate SP GSFL'!H57</f>
        <v>5922743</v>
      </c>
      <c r="I31" s="3"/>
      <c r="J31" s="139">
        <f t="shared" si="0"/>
        <v>15.845732</v>
      </c>
      <c r="K31" s="7"/>
      <c r="L31" s="3">
        <f>'Rate SP GSFL'!L57</f>
        <v>938502</v>
      </c>
      <c r="M31" s="3"/>
      <c r="N31" s="5">
        <f t="shared" si="1"/>
        <v>0.34</v>
      </c>
      <c r="O31" s="7"/>
      <c r="P31" s="3">
        <f>'Rate SP GSFL'!P57</f>
        <v>20654</v>
      </c>
      <c r="Q31" s="3"/>
      <c r="R31" s="3">
        <f>'Rate SP GSFL'!R57</f>
        <v>959156</v>
      </c>
    </row>
    <row r="32" spans="1:18">
      <c r="A32" s="44">
        <v>10</v>
      </c>
      <c r="C32" s="42" t="s">
        <v>92</v>
      </c>
      <c r="D32" s="48" t="s">
        <v>181</v>
      </c>
      <c r="E32" s="42"/>
      <c r="F32" s="3">
        <f>'Rate DP'!F46</f>
        <v>120</v>
      </c>
      <c r="G32" s="1"/>
      <c r="H32" s="3">
        <f>'Rate DP'!H46</f>
        <v>7726973</v>
      </c>
      <c r="I32" s="3"/>
      <c r="J32" s="139">
        <f t="shared" si="0"/>
        <v>11.941157</v>
      </c>
      <c r="K32" s="7"/>
      <c r="L32" s="3">
        <f>'Rate DP'!L46</f>
        <v>922690</v>
      </c>
      <c r="M32" s="3"/>
      <c r="N32" s="5">
        <f>ROUND((L32/L$33)*100,2)</f>
        <v>0.33</v>
      </c>
      <c r="O32" s="7"/>
      <c r="P32" s="3">
        <f>'Rate DP'!P46</f>
        <v>26946</v>
      </c>
      <c r="Q32" s="3"/>
      <c r="R32" s="3">
        <f>'Rate DP'!R46</f>
        <v>949636</v>
      </c>
    </row>
    <row r="33" spans="1:18" ht="20.100000000000001" customHeight="1">
      <c r="A33" s="44">
        <v>11</v>
      </c>
      <c r="C33" s="310" t="s">
        <v>166</v>
      </c>
      <c r="F33" s="72">
        <f>SUM(F26:F32)</f>
        <v>158330</v>
      </c>
      <c r="G33" s="1"/>
      <c r="H33" s="72">
        <f>SUM(H26:H32)</f>
        <v>2205478588</v>
      </c>
      <c r="I33" s="3"/>
      <c r="J33" s="139">
        <f t="shared" si="0"/>
        <v>12.491937</v>
      </c>
      <c r="K33" s="7"/>
      <c r="L33" s="72">
        <f>SUM(L26:L32)</f>
        <v>275506990</v>
      </c>
      <c r="M33" s="3"/>
      <c r="N33" s="95">
        <f>ROUND((L33/L$67)*100,2)+0.01</f>
        <v>51.71</v>
      </c>
      <c r="O33" s="7"/>
      <c r="P33" s="72">
        <f>SUM(P26:P32)</f>
        <v>7690974</v>
      </c>
      <c r="Q33" s="3"/>
      <c r="R33" s="72">
        <f>SUM(R26:R32)</f>
        <v>283197964</v>
      </c>
    </row>
    <row r="34" spans="1:18" ht="16.5" customHeight="1">
      <c r="A34" s="44"/>
      <c r="F34" s="3"/>
      <c r="G34" s="1"/>
      <c r="H34" s="3"/>
      <c r="I34" s="3"/>
      <c r="J34" s="139"/>
      <c r="K34" s="7"/>
      <c r="L34" s="3"/>
      <c r="M34" s="3"/>
      <c r="N34" s="5"/>
      <c r="O34" s="7"/>
      <c r="P34" s="3"/>
      <c r="Q34" s="3"/>
      <c r="R34" s="3"/>
    </row>
    <row r="35" spans="1:18" ht="15.75" customHeight="1">
      <c r="A35" s="44"/>
      <c r="C35" s="759" t="s">
        <v>254</v>
      </c>
      <c r="D35" s="759"/>
      <c r="F35" s="3"/>
      <c r="G35" s="1"/>
      <c r="H35" s="3"/>
      <c r="I35" s="3"/>
      <c r="J35" s="139"/>
      <c r="K35" s="7"/>
      <c r="L35" s="3"/>
      <c r="M35" s="3"/>
      <c r="N35" s="5"/>
      <c r="O35" s="7"/>
      <c r="P35" s="3"/>
      <c r="Q35" s="3"/>
      <c r="R35" s="3"/>
    </row>
    <row r="36" spans="1:18">
      <c r="A36" s="44">
        <v>12</v>
      </c>
      <c r="C36" s="42" t="s">
        <v>60</v>
      </c>
      <c r="D36" s="42" t="s">
        <v>61</v>
      </c>
      <c r="E36" s="42"/>
      <c r="F36" s="66">
        <f>'Rate TT'!F56</f>
        <v>156</v>
      </c>
      <c r="G36" s="1"/>
      <c r="H36" s="66">
        <f>'Rate TT'!H56</f>
        <v>185463057</v>
      </c>
      <c r="I36" s="3"/>
      <c r="J36" s="139">
        <f>IF(H36=0,"-",ROUND((L36/H36)*100,6))</f>
        <v>8.7248040000000007</v>
      </c>
      <c r="K36" s="7"/>
      <c r="L36" s="66">
        <f>'Rate TT'!L56</f>
        <v>16181288</v>
      </c>
      <c r="M36" s="3"/>
      <c r="N36" s="87">
        <f>ROUND((L36/L$37)*100,2)</f>
        <v>100</v>
      </c>
      <c r="O36" s="7"/>
      <c r="P36" s="66">
        <f>'Rate TT'!P56</f>
        <v>646749</v>
      </c>
      <c r="Q36" s="3"/>
      <c r="R36" s="66">
        <f>'Rate TT'!R56</f>
        <v>16828037</v>
      </c>
    </row>
    <row r="37" spans="1:18" ht="20.100000000000001" customHeight="1">
      <c r="A37" s="44">
        <v>13</v>
      </c>
      <c r="C37" s="310" t="s">
        <v>167</v>
      </c>
      <c r="D37" s="130"/>
      <c r="F37" s="72">
        <f>F36</f>
        <v>156</v>
      </c>
      <c r="G37" s="1"/>
      <c r="H37" s="72">
        <f>H36</f>
        <v>185463057</v>
      </c>
      <c r="I37" s="3"/>
      <c r="J37" s="139">
        <f>IF(H37=0,"-",ROUND((L37/H37)*100,6))</f>
        <v>8.7248040000000007</v>
      </c>
      <c r="K37" s="7"/>
      <c r="L37" s="72">
        <f>L36</f>
        <v>16181288</v>
      </c>
      <c r="M37" s="3"/>
      <c r="N37" s="95">
        <f>ROUND((L37/L$67)*100,2)</f>
        <v>3.04</v>
      </c>
      <c r="O37" s="7"/>
      <c r="P37" s="72">
        <f>P36</f>
        <v>646749</v>
      </c>
      <c r="Q37" s="3"/>
      <c r="R37" s="72">
        <f>R36</f>
        <v>16828037</v>
      </c>
    </row>
    <row r="38" spans="1:18" ht="12" customHeight="1">
      <c r="A38" s="44"/>
      <c r="F38" s="3"/>
      <c r="G38" s="1"/>
      <c r="H38" s="3"/>
      <c r="I38" s="3"/>
      <c r="J38" s="139"/>
      <c r="K38" s="7"/>
      <c r="L38" s="3"/>
      <c r="M38" s="3"/>
      <c r="N38" s="5"/>
      <c r="O38" s="7"/>
      <c r="P38" s="3"/>
      <c r="Q38" s="3"/>
      <c r="R38" s="3"/>
    </row>
    <row r="39" spans="1:18" ht="15.75" customHeight="1">
      <c r="A39" s="44"/>
      <c r="C39" s="759" t="s">
        <v>257</v>
      </c>
      <c r="D39" s="759"/>
      <c r="F39" s="3"/>
      <c r="G39" s="1"/>
      <c r="H39" s="3"/>
      <c r="I39" s="3"/>
      <c r="J39" s="139"/>
      <c r="K39" s="7"/>
      <c r="L39" s="3"/>
      <c r="M39" s="3"/>
      <c r="N39" s="5"/>
      <c r="O39" s="7"/>
      <c r="P39" s="3"/>
      <c r="Q39" s="3"/>
      <c r="R39" s="3"/>
    </row>
    <row r="40" spans="1:18">
      <c r="A40" s="44">
        <v>14</v>
      </c>
      <c r="C40" s="41" t="s">
        <v>368</v>
      </c>
      <c r="D40" s="41" t="s">
        <v>257</v>
      </c>
      <c r="F40" s="3">
        <f>'Rate DT RTP-P'!F38</f>
        <v>0</v>
      </c>
      <c r="G40" s="1"/>
      <c r="H40" s="3">
        <f>'Rate DT RTP-P'!H38</f>
        <v>0</v>
      </c>
      <c r="I40" s="3"/>
      <c r="J40" s="139" t="str">
        <f>IF(H40=0,"-",ROUND((L40/H40)*100,6))</f>
        <v>-</v>
      </c>
      <c r="K40" s="7"/>
      <c r="L40" s="3">
        <f>'Rate DT RTP-P'!L38</f>
        <v>0</v>
      </c>
      <c r="M40" s="3"/>
      <c r="N40" s="5">
        <f>IFERROR(ROUND((L40/L$44)*100,2),0)</f>
        <v>0</v>
      </c>
      <c r="O40" s="7"/>
      <c r="P40" s="3">
        <f>'Rate DT RTP-P'!P38</f>
        <v>0</v>
      </c>
      <c r="Q40" s="3"/>
      <c r="R40" s="3">
        <f>'Rate DT RTP-P'!R38</f>
        <v>0</v>
      </c>
    </row>
    <row r="41" spans="1:18">
      <c r="A41" s="44">
        <v>15</v>
      </c>
      <c r="C41" s="41" t="s">
        <v>369</v>
      </c>
      <c r="D41" s="41" t="s">
        <v>257</v>
      </c>
      <c r="F41" s="3">
        <f>'Rate DT RTP-S'!F39</f>
        <v>12</v>
      </c>
      <c r="G41" s="1"/>
      <c r="H41" s="3">
        <f>'Rate DT RTP-S'!H39</f>
        <v>1106948</v>
      </c>
      <c r="I41" s="3"/>
      <c r="J41" s="139">
        <f>IF(H41=0,"-",ROUND((L41/H41)*100,6))</f>
        <v>8.1423880000000004</v>
      </c>
      <c r="K41" s="7"/>
      <c r="L41" s="3">
        <f>'Rate DT RTP-S'!L39</f>
        <v>90132</v>
      </c>
      <c r="M41" s="3"/>
      <c r="N41" s="5">
        <f>IFERROR(ROUND((L41/L$44)*100,2),0)</f>
        <v>13.33</v>
      </c>
      <c r="O41" s="7"/>
      <c r="P41" s="3">
        <f>'Rate DT RTP-S'!P39</f>
        <v>0</v>
      </c>
      <c r="Q41" s="3"/>
      <c r="R41" s="3">
        <f>'Rate DT RTP-S'!R39</f>
        <v>90132</v>
      </c>
    </row>
    <row r="42" spans="1:18">
      <c r="A42" s="44">
        <v>16</v>
      </c>
      <c r="C42" s="41" t="s">
        <v>260</v>
      </c>
      <c r="D42" s="41" t="s">
        <v>257</v>
      </c>
      <c r="F42" s="3">
        <f>'Rate DS RTP'!F39</f>
        <v>12</v>
      </c>
      <c r="G42" s="1"/>
      <c r="H42" s="3">
        <f>'Rate DS RTP'!H39</f>
        <v>-2961</v>
      </c>
      <c r="I42" s="3"/>
      <c r="J42" s="139">
        <f>IF(H42=0,"-",ROUND((L42/H42)*100,6))</f>
        <v>-66.801755999999997</v>
      </c>
      <c r="K42" s="7"/>
      <c r="L42" s="3">
        <f>'Rate DS RTP'!L39</f>
        <v>1978</v>
      </c>
      <c r="M42" s="3"/>
      <c r="N42" s="5">
        <f>IFERROR(ROUND((L42/L$44)*100,2),0)</f>
        <v>0.28999999999999998</v>
      </c>
      <c r="O42" s="7"/>
      <c r="P42" s="3">
        <f>'Rate DS RTP'!P39</f>
        <v>0</v>
      </c>
      <c r="Q42" s="3"/>
      <c r="R42" s="3">
        <f>'Rate DS RTP'!R39</f>
        <v>1978</v>
      </c>
    </row>
    <row r="43" spans="1:18">
      <c r="A43" s="44">
        <v>17</v>
      </c>
      <c r="C43" s="41" t="s">
        <v>261</v>
      </c>
      <c r="D43" s="41" t="s">
        <v>257</v>
      </c>
      <c r="F43" s="66">
        <f>'Rate TT RTP'!F39</f>
        <v>24</v>
      </c>
      <c r="G43" s="1"/>
      <c r="H43" s="66">
        <f>'Rate TT RTP'!H39</f>
        <v>12132774</v>
      </c>
      <c r="I43" s="3"/>
      <c r="J43" s="139">
        <f>IF(H43=0,"-",ROUND((L43/H43)*100,6))</f>
        <v>4.8154029999999999</v>
      </c>
      <c r="K43" s="7"/>
      <c r="L43" s="66">
        <f>'Rate TT RTP'!L39</f>
        <v>584242</v>
      </c>
      <c r="M43" s="3"/>
      <c r="N43" s="87">
        <f>IFERROR(ROUND((L43/L$44)*100,2),0)</f>
        <v>86.38</v>
      </c>
      <c r="O43" s="7"/>
      <c r="P43" s="66">
        <f>'Rate TT RTP'!P39</f>
        <v>0</v>
      </c>
      <c r="Q43" s="3"/>
      <c r="R43" s="66">
        <f>'Rate TT RTP'!R39</f>
        <v>584242</v>
      </c>
    </row>
    <row r="44" spans="1:18" ht="20.100000000000001" customHeight="1">
      <c r="A44" s="44">
        <v>18</v>
      </c>
      <c r="C44" s="310" t="s">
        <v>262</v>
      </c>
      <c r="F44" s="72">
        <f>SUM(F40:F43)</f>
        <v>48</v>
      </c>
      <c r="G44" s="1"/>
      <c r="H44" s="72">
        <f>SUM(H40:H43)</f>
        <v>13236761</v>
      </c>
      <c r="I44" s="3"/>
      <c r="J44" s="139">
        <f>IF(H44=0,"-",ROUND((L44/H44)*100,6))</f>
        <v>5.1096490000000001</v>
      </c>
      <c r="K44" s="7"/>
      <c r="L44" s="72">
        <f>SUM(L40:L43)</f>
        <v>676352</v>
      </c>
      <c r="M44" s="3"/>
      <c r="N44" s="95">
        <f>ROUND((L44/L$67)*100,2)</f>
        <v>0.13</v>
      </c>
      <c r="O44" s="7"/>
      <c r="P44" s="72">
        <f>SUM(P40:P43)</f>
        <v>0</v>
      </c>
      <c r="Q44" s="3"/>
      <c r="R44" s="72">
        <f>SUM(R40:R43)</f>
        <v>676352</v>
      </c>
    </row>
    <row r="45" spans="1:18" ht="10.5" customHeight="1">
      <c r="A45" s="44"/>
      <c r="C45" s="48"/>
      <c r="F45" s="3"/>
      <c r="G45" s="1"/>
      <c r="H45" s="3"/>
      <c r="I45" s="3"/>
      <c r="J45" s="139"/>
      <c r="K45" s="7"/>
      <c r="L45" s="3"/>
      <c r="M45" s="3"/>
      <c r="N45" s="5"/>
      <c r="O45" s="7"/>
      <c r="P45" s="3"/>
      <c r="Q45" s="3"/>
      <c r="R45" s="3"/>
    </row>
    <row r="46" spans="1:18" ht="15.75" customHeight="1">
      <c r="A46" s="44"/>
      <c r="C46" s="759" t="s">
        <v>411</v>
      </c>
      <c r="D46" s="759"/>
      <c r="F46" s="3"/>
      <c r="G46" s="1"/>
      <c r="H46" s="3"/>
      <c r="I46" s="3"/>
      <c r="J46" s="139"/>
      <c r="K46" s="7"/>
      <c r="L46" s="3"/>
      <c r="M46" s="3"/>
      <c r="N46" s="5"/>
      <c r="O46" s="7"/>
      <c r="P46" s="3"/>
      <c r="Q46" s="3"/>
      <c r="R46" s="3"/>
    </row>
    <row r="47" spans="1:18">
      <c r="A47" s="44">
        <v>19</v>
      </c>
      <c r="C47" s="42" t="s">
        <v>77</v>
      </c>
      <c r="D47" s="48" t="s">
        <v>78</v>
      </c>
      <c r="E47" s="42"/>
      <c r="F47" s="3">
        <f>'Rate SL'!F139</f>
        <v>103310</v>
      </c>
      <c r="G47" s="1"/>
      <c r="H47" s="3">
        <f>'Rate SL'!H139</f>
        <v>6857780</v>
      </c>
      <c r="I47" s="3"/>
      <c r="J47" s="139">
        <f t="shared" ref="J47:J54" si="2">IF(H47=0,"-",ROUND((L47/H47)*100,6))</f>
        <v>23.592825000000001</v>
      </c>
      <c r="K47" s="7"/>
      <c r="L47" s="3">
        <f>'Rate SL'!L139</f>
        <v>1617944</v>
      </c>
      <c r="M47" s="3"/>
      <c r="N47" s="5">
        <f t="shared" ref="N47:N53" si="3">ROUND((L47/L$54)*100,2)</f>
        <v>57.04</v>
      </c>
      <c r="O47" s="7"/>
      <c r="P47" s="3">
        <f>'Rate SL'!P139</f>
        <v>23915</v>
      </c>
      <c r="Q47" s="3"/>
      <c r="R47" s="3">
        <f>'Rate SL'!R139</f>
        <v>1641861</v>
      </c>
    </row>
    <row r="48" spans="1:18">
      <c r="A48" s="44">
        <v>20</v>
      </c>
      <c r="C48" s="42" t="s">
        <v>81</v>
      </c>
      <c r="D48" s="48" t="s">
        <v>82</v>
      </c>
      <c r="E48" s="42"/>
      <c r="F48" s="3">
        <f>'Rate TL'!F34</f>
        <v>1560</v>
      </c>
      <c r="G48" s="1"/>
      <c r="H48" s="3">
        <f>'Rate TL'!H34</f>
        <v>1436827.8010000002</v>
      </c>
      <c r="I48" s="3"/>
      <c r="J48" s="139">
        <f t="shared" si="2"/>
        <v>7.9550939999999999</v>
      </c>
      <c r="K48" s="7"/>
      <c r="L48" s="3">
        <f>'Rate TL'!L34</f>
        <v>114301</v>
      </c>
      <c r="M48" s="3"/>
      <c r="N48" s="5">
        <f t="shared" si="3"/>
        <v>4.03</v>
      </c>
      <c r="O48" s="7"/>
      <c r="P48" s="3">
        <f>'Rate TL'!P34</f>
        <v>5011</v>
      </c>
      <c r="Q48" s="3"/>
      <c r="R48" s="3">
        <f>'Rate TL'!R34</f>
        <v>119312</v>
      </c>
    </row>
    <row r="49" spans="1:24">
      <c r="A49" s="44">
        <v>21</v>
      </c>
      <c r="C49" s="42" t="s">
        <v>249</v>
      </c>
      <c r="D49" s="42" t="s">
        <v>246</v>
      </c>
      <c r="E49" s="42"/>
      <c r="F49" s="3">
        <f>'Rate UOLS'!F28</f>
        <v>30661</v>
      </c>
      <c r="G49" s="1"/>
      <c r="H49" s="3">
        <f>'Rate UOLS'!H28</f>
        <v>8542179</v>
      </c>
      <c r="I49" s="3"/>
      <c r="J49" s="139">
        <f t="shared" si="2"/>
        <v>7.868379</v>
      </c>
      <c r="K49" s="7"/>
      <c r="L49" s="3">
        <f>'Rate UOLS'!L28</f>
        <v>672131</v>
      </c>
      <c r="M49" s="3"/>
      <c r="N49" s="5">
        <f t="shared" si="3"/>
        <v>23.7</v>
      </c>
      <c r="O49" s="7"/>
      <c r="P49" s="3">
        <f>'Rate UOLS'!P28</f>
        <v>29788</v>
      </c>
      <c r="Q49" s="3"/>
      <c r="R49" s="3">
        <f>'Rate UOLS'!R28</f>
        <v>701919</v>
      </c>
    </row>
    <row r="50" spans="1:24">
      <c r="A50" s="44">
        <v>22</v>
      </c>
      <c r="C50" s="48" t="s">
        <v>86</v>
      </c>
      <c r="D50" s="48" t="s">
        <v>247</v>
      </c>
      <c r="E50" s="42"/>
      <c r="F50" s="3">
        <f>'Rate NSU'!F45</f>
        <v>8073</v>
      </c>
      <c r="G50" s="1"/>
      <c r="H50" s="3">
        <f>'Rate NSU'!H45</f>
        <v>392374</v>
      </c>
      <c r="I50" s="3"/>
      <c r="J50" s="139">
        <f t="shared" si="2"/>
        <v>27.882327</v>
      </c>
      <c r="K50" s="7"/>
      <c r="L50" s="3">
        <f>'Rate NSU'!L45</f>
        <v>109403</v>
      </c>
      <c r="M50" s="3"/>
      <c r="N50" s="5">
        <f t="shared" si="3"/>
        <v>3.86</v>
      </c>
      <c r="O50" s="7"/>
      <c r="P50" s="3">
        <f>'Rate NSU'!P45</f>
        <v>1368</v>
      </c>
      <c r="Q50" s="3"/>
      <c r="R50" s="3">
        <f>'Rate NSU'!R45</f>
        <v>110771</v>
      </c>
    </row>
    <row r="51" spans="1:24">
      <c r="A51" s="44">
        <v>23</v>
      </c>
      <c r="C51" s="42" t="s">
        <v>73</v>
      </c>
      <c r="D51" s="42" t="s">
        <v>424</v>
      </c>
      <c r="E51" s="42"/>
      <c r="F51" s="3">
        <f>'Rate SC'!F72</f>
        <v>2064</v>
      </c>
      <c r="G51" s="3"/>
      <c r="H51" s="3">
        <f>'Rate SC'!H72</f>
        <v>91284</v>
      </c>
      <c r="I51" s="3"/>
      <c r="J51" s="139">
        <f t="shared" si="2"/>
        <v>7.8195519999999998</v>
      </c>
      <c r="K51" s="7"/>
      <c r="L51" s="3">
        <f>'Rate SC'!L72</f>
        <v>7138</v>
      </c>
      <c r="M51" s="3"/>
      <c r="N51" s="5">
        <f t="shared" si="3"/>
        <v>0.25</v>
      </c>
      <c r="O51" s="7"/>
      <c r="P51" s="3">
        <f>'Rate SC'!P72</f>
        <v>318</v>
      </c>
      <c r="Q51" s="3"/>
      <c r="R51" s="3">
        <f>'Rate SC'!R72</f>
        <v>7456</v>
      </c>
    </row>
    <row r="52" spans="1:24">
      <c r="A52" s="44">
        <v>24</v>
      </c>
      <c r="C52" s="42" t="s">
        <v>70</v>
      </c>
      <c r="D52" s="42" t="s">
        <v>425</v>
      </c>
      <c r="E52" s="42"/>
      <c r="F52" s="3">
        <f>'Rate SE'!F52</f>
        <v>20531</v>
      </c>
      <c r="G52" s="3"/>
      <c r="H52" s="3">
        <f>'Rate SE'!H52</f>
        <v>1209602</v>
      </c>
      <c r="I52" s="3"/>
      <c r="J52" s="139">
        <f t="shared" si="2"/>
        <v>24.210939</v>
      </c>
      <c r="K52" s="7"/>
      <c r="L52" s="3">
        <f>'Rate SE'!L52</f>
        <v>292856</v>
      </c>
      <c r="M52" s="3"/>
      <c r="N52" s="5">
        <f t="shared" si="3"/>
        <v>10.32</v>
      </c>
      <c r="O52" s="7"/>
      <c r="P52" s="3">
        <f>'Rate SE'!P52</f>
        <v>4218</v>
      </c>
      <c r="Q52" s="3"/>
      <c r="R52" s="3">
        <f>'Rate SE'!R52</f>
        <v>297074</v>
      </c>
    </row>
    <row r="53" spans="1:24">
      <c r="A53" s="44">
        <v>25</v>
      </c>
      <c r="C53" s="42" t="s">
        <v>795</v>
      </c>
      <c r="D53" s="42" t="s">
        <v>823</v>
      </c>
      <c r="E53" s="42"/>
      <c r="F53" s="66">
        <f>'Rate LED'!F340</f>
        <v>2283</v>
      </c>
      <c r="G53" s="3"/>
      <c r="H53" s="66">
        <f>'Rate LED'!H340</f>
        <v>42161</v>
      </c>
      <c r="I53" s="3"/>
      <c r="J53" s="139">
        <f t="shared" si="2"/>
        <v>53.906286000000001</v>
      </c>
      <c r="K53" s="7"/>
      <c r="L53" s="66">
        <f>'Rate LED'!L340</f>
        <v>22727.429167999999</v>
      </c>
      <c r="M53" s="3"/>
      <c r="N53" s="5">
        <f t="shared" si="3"/>
        <v>0.8</v>
      </c>
      <c r="O53" s="7"/>
      <c r="P53" s="66">
        <f>'Rate LED'!P340</f>
        <v>147</v>
      </c>
      <c r="Q53" s="3"/>
      <c r="R53" s="66">
        <f>'Rate LED'!R340</f>
        <v>22874.429167999999</v>
      </c>
    </row>
    <row r="54" spans="1:24" ht="20.100000000000001" customHeight="1">
      <c r="A54" s="44">
        <v>26</v>
      </c>
      <c r="C54" s="310" t="s">
        <v>168</v>
      </c>
      <c r="D54" s="130"/>
      <c r="F54" s="72">
        <f>SUM(F47:F53)</f>
        <v>168482</v>
      </c>
      <c r="G54" s="1"/>
      <c r="H54" s="72">
        <f>SUM(H47:H53)</f>
        <v>18572207.800999999</v>
      </c>
      <c r="I54" s="3"/>
      <c r="J54" s="139">
        <f t="shared" si="2"/>
        <v>15.272823000000001</v>
      </c>
      <c r="K54" s="7"/>
      <c r="L54" s="72">
        <f>SUM(L47:L53)</f>
        <v>2836500.4291679999</v>
      </c>
      <c r="M54" s="3"/>
      <c r="N54" s="95">
        <f>ROUND((L54/L$67)*100,2)</f>
        <v>0.53</v>
      </c>
      <c r="O54" s="7"/>
      <c r="P54" s="72">
        <f>SUM(P47:P53)</f>
        <v>64765</v>
      </c>
      <c r="Q54" s="3"/>
      <c r="R54" s="72">
        <f>SUM(R47:R53)</f>
        <v>2901267.4291679999</v>
      </c>
    </row>
    <row r="55" spans="1:24" ht="16.5" customHeight="1">
      <c r="A55" s="44"/>
      <c r="F55" s="1"/>
      <c r="G55" s="1"/>
      <c r="H55" s="1"/>
      <c r="I55" s="1"/>
      <c r="J55" s="139"/>
      <c r="K55" s="1"/>
      <c r="L55" s="1"/>
      <c r="M55" s="1"/>
      <c r="N55" s="5"/>
      <c r="O55" s="1"/>
      <c r="P55" s="1"/>
      <c r="Q55" s="1"/>
      <c r="R55" s="1"/>
    </row>
    <row r="56" spans="1:24" ht="15.75" customHeight="1">
      <c r="A56" s="44"/>
      <c r="C56" s="759" t="s">
        <v>412</v>
      </c>
      <c r="D56" s="759"/>
      <c r="F56" s="1"/>
      <c r="G56" s="1"/>
      <c r="H56" s="1"/>
      <c r="I56" s="1"/>
      <c r="J56" s="139"/>
      <c r="K56" s="1"/>
      <c r="L56" s="1"/>
      <c r="M56" s="1"/>
      <c r="N56" s="5"/>
      <c r="O56" s="1"/>
      <c r="P56" s="1"/>
      <c r="Q56" s="1"/>
      <c r="R56" s="1"/>
    </row>
    <row r="57" spans="1:24">
      <c r="A57" s="44">
        <v>27</v>
      </c>
      <c r="C57" s="41" t="s">
        <v>352</v>
      </c>
      <c r="D57" s="41" t="s">
        <v>326</v>
      </c>
      <c r="E57" s="42"/>
      <c r="F57" s="45">
        <f>'SCH M-2.2'!F57</f>
        <v>12</v>
      </c>
      <c r="G57" s="3"/>
      <c r="H57" s="45">
        <f>'SCH M-2.2'!H57</f>
        <v>328933</v>
      </c>
      <c r="I57" s="1"/>
      <c r="J57" s="139">
        <f t="shared" ref="J57:J67" si="4">IF(H57=0,"-",ROUND((L57/H57)*100,2))</f>
        <v>11.37</v>
      </c>
      <c r="K57" s="1"/>
      <c r="L57" s="45">
        <f>'Revenue Requirements'!I39-P57</f>
        <v>37387.940632057602</v>
      </c>
      <c r="M57" s="3"/>
      <c r="N57" s="5">
        <f t="shared" ref="N57:N63" si="5">ROUND((L57/L$65)*100,2)</f>
        <v>0.79</v>
      </c>
      <c r="O57" s="7"/>
      <c r="P57" s="45">
        <f>'SCH M-2.2'!T57</f>
        <v>1147.0593679423998</v>
      </c>
      <c r="Q57" s="1"/>
      <c r="R57" s="3">
        <f>L57+P57</f>
        <v>38535</v>
      </c>
    </row>
    <row r="58" spans="1:24">
      <c r="A58" s="44">
        <v>28</v>
      </c>
      <c r="C58" s="42"/>
      <c r="D58" s="42" t="s">
        <v>519</v>
      </c>
      <c r="E58" s="42"/>
      <c r="F58" s="45">
        <f>'SCH M-2.2'!F58</f>
        <v>0</v>
      </c>
      <c r="G58" s="3"/>
      <c r="H58" s="45">
        <f>'SCH M-2.2'!H58</f>
        <v>0</v>
      </c>
      <c r="I58" s="68"/>
      <c r="J58" s="139" t="str">
        <f t="shared" si="4"/>
        <v>-</v>
      </c>
      <c r="K58" s="7"/>
      <c r="L58" s="45">
        <f>'SCH M-2.2'!L58</f>
        <v>169500</v>
      </c>
      <c r="M58" s="3"/>
      <c r="N58" s="5">
        <f t="shared" si="5"/>
        <v>3.6</v>
      </c>
      <c r="O58" s="7"/>
      <c r="P58" s="45">
        <f>'SCH M-2.2'!T58</f>
        <v>0</v>
      </c>
      <c r="Q58" s="68"/>
      <c r="R58" s="3">
        <f t="shared" ref="R58:R64" si="6">L58+P58</f>
        <v>169500</v>
      </c>
    </row>
    <row r="59" spans="1:24" ht="18" customHeight="1">
      <c r="A59" s="44">
        <v>29</v>
      </c>
      <c r="D59" s="48" t="s">
        <v>248</v>
      </c>
      <c r="F59" s="45">
        <f>'SCH M-2.2'!F59</f>
        <v>0</v>
      </c>
      <c r="G59" s="3"/>
      <c r="H59" s="45">
        <f>'SCH M-2.2'!H59</f>
        <v>0</v>
      </c>
      <c r="I59" s="3"/>
      <c r="J59" s="139" t="str">
        <f t="shared" si="4"/>
        <v>-</v>
      </c>
      <c r="K59" s="7"/>
      <c r="L59" s="45">
        <f>'SCH M-2.2'!L59</f>
        <v>55176</v>
      </c>
      <c r="M59" s="3"/>
      <c r="N59" s="5">
        <f t="shared" si="5"/>
        <v>1.17</v>
      </c>
      <c r="O59" s="7"/>
      <c r="P59" s="45">
        <f>'SCH M-2.2'!T59</f>
        <v>0</v>
      </c>
      <c r="Q59" s="3"/>
      <c r="R59" s="3">
        <f t="shared" si="6"/>
        <v>55176</v>
      </c>
    </row>
    <row r="60" spans="1:24" ht="18" customHeight="1">
      <c r="A60" s="44">
        <v>30</v>
      </c>
      <c r="D60" s="42" t="s">
        <v>251</v>
      </c>
      <c r="F60" s="45">
        <f>'SCH M-2.2'!F60</f>
        <v>0</v>
      </c>
      <c r="G60" s="3"/>
      <c r="H60" s="45">
        <f>'SCH M-2.2'!H60</f>
        <v>0</v>
      </c>
      <c r="I60" s="3"/>
      <c r="J60" s="139" t="str">
        <f t="shared" si="4"/>
        <v>-</v>
      </c>
      <c r="K60" s="7"/>
      <c r="L60" s="45">
        <v>63391</v>
      </c>
      <c r="M60" s="3"/>
      <c r="N60" s="5">
        <f t="shared" si="5"/>
        <v>1.35</v>
      </c>
      <c r="O60" s="7"/>
      <c r="P60" s="45">
        <f>'SCH M-2.2'!T60</f>
        <v>0</v>
      </c>
      <c r="Q60" s="3"/>
      <c r="R60" s="3">
        <f t="shared" si="6"/>
        <v>63391</v>
      </c>
    </row>
    <row r="61" spans="1:24" ht="18" customHeight="1">
      <c r="A61" s="44">
        <v>31</v>
      </c>
      <c r="D61" s="42" t="s">
        <v>478</v>
      </c>
      <c r="F61" s="45">
        <f>'SCH M-2.2'!F61</f>
        <v>0</v>
      </c>
      <c r="G61" s="3"/>
      <c r="H61" s="45">
        <f>'SCH M-2.2'!H61</f>
        <v>0</v>
      </c>
      <c r="I61" s="3"/>
      <c r="J61" s="139" t="str">
        <f>IF(H61=0,"-",ROUND((L61/H61)*100,2))</f>
        <v>-</v>
      </c>
      <c r="K61" s="7"/>
      <c r="L61" s="45">
        <v>707590</v>
      </c>
      <c r="M61" s="3"/>
      <c r="N61" s="5">
        <f>ROUND((L61/L$65)*100,2)</f>
        <v>15.04</v>
      </c>
      <c r="O61" s="7"/>
      <c r="P61" s="45">
        <f>'SCH M-2.2'!T61</f>
        <v>0</v>
      </c>
      <c r="Q61" s="3"/>
      <c r="R61" s="3">
        <f>L61+P61</f>
        <v>707590</v>
      </c>
      <c r="S61" s="6"/>
      <c r="T61" s="3"/>
      <c r="U61" s="3"/>
      <c r="V61" s="3"/>
      <c r="W61" s="3"/>
      <c r="X61" s="103"/>
    </row>
    <row r="62" spans="1:24" ht="18" customHeight="1">
      <c r="A62" s="44">
        <v>32</v>
      </c>
      <c r="D62" s="42" t="s">
        <v>250</v>
      </c>
      <c r="F62" s="45">
        <f>'SCH M-2.2'!F62</f>
        <v>0</v>
      </c>
      <c r="G62" s="3"/>
      <c r="H62" s="45">
        <f>'SCH M-2.2'!H62</f>
        <v>0</v>
      </c>
      <c r="I62" s="3"/>
      <c r="J62" s="139" t="str">
        <f t="shared" si="4"/>
        <v>-</v>
      </c>
      <c r="K62" s="7"/>
      <c r="L62" s="45">
        <f>'SCH M-2.2'!L62</f>
        <v>1299996</v>
      </c>
      <c r="M62" s="3"/>
      <c r="N62" s="5">
        <f t="shared" si="5"/>
        <v>27.63</v>
      </c>
      <c r="O62" s="7"/>
      <c r="P62" s="45">
        <f>'SCH M-2.2'!T62</f>
        <v>0</v>
      </c>
      <c r="Q62" s="3"/>
      <c r="R62" s="3">
        <f t="shared" si="6"/>
        <v>1299996</v>
      </c>
    </row>
    <row r="63" spans="1:24">
      <c r="A63" s="44">
        <v>33</v>
      </c>
      <c r="C63" s="41" t="s">
        <v>329</v>
      </c>
      <c r="D63" s="42" t="s">
        <v>327</v>
      </c>
      <c r="E63" s="42"/>
      <c r="F63" s="45">
        <f>'SCH M-2.2'!F63</f>
        <v>12</v>
      </c>
      <c r="G63" s="3"/>
      <c r="H63" s="45">
        <f>'SCH M-2.2'!H63</f>
        <v>13976789</v>
      </c>
      <c r="I63" s="3"/>
      <c r="J63" s="139">
        <f t="shared" si="4"/>
        <v>7.71</v>
      </c>
      <c r="K63" s="7"/>
      <c r="L63" s="45">
        <f>IF(DSM_RES&gt;0,'Revenue Requirements'!I24-P63+ROUND($H$63*(INPUT!$F$30+INPUT!$F$34),0),'Revenue Requirements'!I24-P63-1)</f>
        <v>1077930.9624963007</v>
      </c>
      <c r="M63" s="68"/>
      <c r="N63" s="5">
        <f t="shared" si="5"/>
        <v>22.91</v>
      </c>
      <c r="O63" s="7"/>
      <c r="P63" s="45">
        <f>'SCH M-2.2'!T63</f>
        <v>48740.037503699197</v>
      </c>
      <c r="Q63" s="3"/>
      <c r="R63" s="3">
        <f t="shared" si="6"/>
        <v>1126671</v>
      </c>
    </row>
    <row r="64" spans="1:24">
      <c r="A64" s="44">
        <v>34</v>
      </c>
      <c r="D64" s="42" t="s">
        <v>97</v>
      </c>
      <c r="E64" s="42"/>
      <c r="F64" s="45">
        <f>'SCH M-2.2'!F64</f>
        <v>0</v>
      </c>
      <c r="G64" s="3"/>
      <c r="H64" s="45">
        <f>'SCH M-2.2'!H64</f>
        <v>0</v>
      </c>
      <c r="I64" s="3"/>
      <c r="J64" s="139" t="str">
        <f t="shared" si="4"/>
        <v>-</v>
      </c>
      <c r="K64" s="7"/>
      <c r="L64" s="45">
        <f>'SCH M-2.2'!L64</f>
        <v>1294812</v>
      </c>
      <c r="M64" s="68"/>
      <c r="N64" s="5">
        <f>ROUND((L64/L$65)*100,2)</f>
        <v>27.52</v>
      </c>
      <c r="O64" s="7"/>
      <c r="P64" s="45">
        <f>'SCH M-2.2'!T64</f>
        <v>0</v>
      </c>
      <c r="Q64" s="3"/>
      <c r="R64" s="3">
        <f t="shared" si="6"/>
        <v>1294812</v>
      </c>
    </row>
    <row r="65" spans="1:18" ht="20.100000000000001" customHeight="1">
      <c r="A65" s="44">
        <v>35</v>
      </c>
      <c r="C65" s="133" t="s">
        <v>413</v>
      </c>
      <c r="F65" s="72">
        <f>SUM(F57:F64)</f>
        <v>24</v>
      </c>
      <c r="G65" s="1"/>
      <c r="H65" s="72">
        <f>SUM(H57:H64)</f>
        <v>14305722</v>
      </c>
      <c r="I65" s="3"/>
      <c r="J65" s="139"/>
      <c r="K65" s="7"/>
      <c r="L65" s="72">
        <f>SUM(L57:L64)</f>
        <v>4705783.9031283576</v>
      </c>
      <c r="M65" s="3"/>
      <c r="N65" s="95">
        <f>ROUND((L65/L$67)*100,2)</f>
        <v>0.88</v>
      </c>
      <c r="O65" s="7"/>
      <c r="P65" s="72">
        <f>SUM(P57:P64)</f>
        <v>49887.096871641595</v>
      </c>
      <c r="Q65" s="3"/>
      <c r="R65" s="72">
        <f>SUM(R57:R64)</f>
        <v>4755671</v>
      </c>
    </row>
    <row r="66" spans="1:18" ht="10.5" customHeight="1">
      <c r="A66" s="44"/>
      <c r="F66" s="3"/>
      <c r="G66" s="1"/>
      <c r="H66" s="3"/>
      <c r="I66" s="3"/>
      <c r="J66" s="139"/>
      <c r="K66" s="7"/>
      <c r="L66" s="3"/>
      <c r="M66" s="3"/>
      <c r="N66" s="5"/>
      <c r="O66" s="7"/>
      <c r="P66" s="3"/>
      <c r="Q66" s="3"/>
      <c r="R66" s="3"/>
    </row>
    <row r="67" spans="1:18" ht="20.100000000000001" customHeight="1" thickBot="1">
      <c r="A67" s="44">
        <v>36</v>
      </c>
      <c r="C67" s="133" t="s">
        <v>98</v>
      </c>
      <c r="F67" s="67">
        <f>F65+F54+F44+F37+F33+F23</f>
        <v>2017031</v>
      </c>
      <c r="G67" s="1"/>
      <c r="H67" s="67">
        <f>H65+H54+H44+H37+H33+H23</f>
        <v>3964785588.8010001</v>
      </c>
      <c r="I67" s="3"/>
      <c r="J67" s="139">
        <f t="shared" si="4"/>
        <v>13.44</v>
      </c>
      <c r="K67" s="7"/>
      <c r="L67" s="67">
        <f>L65+L54+L44+L37+L33+L23</f>
        <v>532915846.33229637</v>
      </c>
      <c r="M67" s="3"/>
      <c r="N67" s="88">
        <v>100</v>
      </c>
      <c r="O67" s="7"/>
      <c r="P67" s="67">
        <f>P65+P54+P44+P37+P33+P23</f>
        <v>13779892.096871642</v>
      </c>
      <c r="Q67" s="3"/>
      <c r="R67" s="67">
        <f>R65+R54+R44+R37+R33+R23</f>
        <v>546695740.42916799</v>
      </c>
    </row>
    <row r="68" spans="1:18" ht="24" customHeight="1" thickTop="1">
      <c r="C68" s="48" t="str">
        <f>"NOTE: DETAIL CONTAINED ON SCHEDULES M-2.3 PAGES 2 THROUGH "&amp;TEXT(Page_Num_2.3,"00")&amp;"."</f>
        <v>NOTE: DETAIL CONTAINED ON SCHEDULES M-2.3 PAGES 2 THROUGH 24.</v>
      </c>
      <c r="F68" s="1"/>
      <c r="G68" s="1"/>
      <c r="H68" s="1"/>
      <c r="I68" s="1"/>
      <c r="J68" s="2"/>
      <c r="K68" s="1"/>
      <c r="L68" s="1"/>
      <c r="M68" s="1"/>
      <c r="N68" s="5"/>
      <c r="O68" s="1"/>
      <c r="P68" s="1"/>
      <c r="Q68" s="1"/>
      <c r="R68" s="1"/>
    </row>
    <row r="69" spans="1:18">
      <c r="J69" s="44"/>
      <c r="L69" s="45"/>
      <c r="M69" s="45"/>
      <c r="N69" s="56"/>
      <c r="P69" s="45"/>
      <c r="Q69" s="45"/>
      <c r="R69" s="45"/>
    </row>
    <row r="70" spans="1:18">
      <c r="A70" s="42"/>
      <c r="J70" s="44"/>
      <c r="L70" s="45"/>
      <c r="M70" s="45"/>
      <c r="N70" s="56"/>
      <c r="P70" s="45"/>
      <c r="Q70" s="45"/>
      <c r="R70" s="45"/>
    </row>
    <row r="71" spans="1:18">
      <c r="J71" s="44"/>
      <c r="L71" s="45"/>
      <c r="M71" s="45"/>
      <c r="P71" s="45"/>
      <c r="Q71" s="45"/>
      <c r="R71" s="45"/>
    </row>
    <row r="72" spans="1:18">
      <c r="J72" s="44"/>
      <c r="L72" s="45"/>
      <c r="M72" s="45"/>
      <c r="P72" s="45"/>
      <c r="Q72" s="45"/>
      <c r="R72" s="45"/>
    </row>
    <row r="73" spans="1:18">
      <c r="J73" s="44"/>
      <c r="L73" s="45"/>
      <c r="M73" s="45"/>
      <c r="P73" s="45"/>
      <c r="Q73" s="45"/>
      <c r="R73" s="45"/>
    </row>
    <row r="74" spans="1:18">
      <c r="J74" s="44"/>
      <c r="L74" s="45"/>
      <c r="M74" s="45"/>
      <c r="P74" s="45"/>
      <c r="Q74" s="45"/>
      <c r="R74" s="45"/>
    </row>
    <row r="75" spans="1:18">
      <c r="J75" s="44"/>
      <c r="L75" s="45"/>
      <c r="M75" s="45"/>
      <c r="P75" s="45"/>
      <c r="Q75" s="45"/>
      <c r="R75" s="45"/>
    </row>
    <row r="76" spans="1:18">
      <c r="J76" s="44"/>
    </row>
    <row r="77" spans="1:18">
      <c r="J77" s="44"/>
    </row>
    <row r="78" spans="1:18">
      <c r="J78" s="44"/>
    </row>
    <row r="79" spans="1:18">
      <c r="J79" s="44"/>
    </row>
    <row r="80" spans="1:18">
      <c r="J80" s="44"/>
    </row>
  </sheetData>
  <customSheetViews>
    <customSheetView guid="{F562D92E-120C-4AE9-9663-89E64D41DC53}" scale="75" fitToPage="1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"/>
      <headerFooter alignWithMargins="0"/>
    </customSheetView>
    <customSheetView guid="{35F19056-2E6F-4935-B863-78836FE990BF}" scale="75" fitToPage="1" showRuler="0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2"/>
      <headerFooter alignWithMargins="0"/>
    </customSheetView>
    <customSheetView guid="{18BDED73-BFA0-442E-87EC-CED86EE4CF94}" scale="75" fitToPage="1" showRuler="0" topLeftCell="A33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3"/>
      <headerFooter alignWithMargins="0"/>
    </customSheetView>
    <customSheetView guid="{0BC1F393-8A13-47D5-BC6C-0C99615B5AB9}" scale="75" fitToPage="1" showRuler="0" topLeftCell="A33">
      <selection activeCell="H55" sqref="H55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4"/>
      <headerFooter alignWithMargins="0"/>
    </customSheetView>
    <customSheetView guid="{6B3D5C27-2FDE-4561-9575-1E98BFB869D0}" scale="75" fitToPage="1" showRuler="0" topLeftCell="F9">
      <selection activeCell="D33" sqref="D33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5"/>
      <headerFooter alignWithMargins="0"/>
    </customSheetView>
    <customSheetView guid="{8FB94551-8874-4095-B8FB-5316E0D2FD2C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6"/>
      <headerFooter alignWithMargins="0"/>
    </customSheetView>
    <customSheetView guid="{8FC77C99-DBF7-40B8-99B8-01B75826CDCB}" scale="75" showPageBreaks="1" fitToPage="1" printArea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7"/>
      <headerFooter alignWithMargins="0"/>
    </customSheetView>
    <customSheetView guid="{2EA35095-1ADC-4CC7-8C3C-B487D65FA247}" scale="75" fitToPage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8"/>
      <headerFooter alignWithMargins="0"/>
    </customSheetView>
    <customSheetView guid="{2431C9E5-7CC2-4B8D-99C3-962247B1DBF5}" scale="75" fitToPage="1" showRuler="0">
      <selection activeCell="L50" sqref="L50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9"/>
      <headerFooter alignWithMargins="0"/>
    </customSheetView>
    <customSheetView guid="{4BC93440-BA85-4935-A8C9-66DC6AE5DE5E}" scale="75" fitToPage="1" showRuler="0">
      <selection sqref="A1:R65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10"/>
      <headerFooter alignWithMargins="0"/>
    </customSheetView>
    <customSheetView guid="{0C49E549-011E-46F4-A82E-2CC8951A9C1E}" scale="75" fitToPage="1" showRuler="0" topLeftCell="D36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1"/>
      <headerFooter alignWithMargins="0"/>
    </customSheetView>
    <customSheetView guid="{195DF303-1BBD-4236-94B5-47432850B006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2"/>
      <headerFooter alignWithMargins="0"/>
    </customSheetView>
  </customSheetViews>
  <mergeCells count="6">
    <mergeCell ref="C56:D56"/>
    <mergeCell ref="C20:D20"/>
    <mergeCell ref="C25:D25"/>
    <mergeCell ref="C35:D35"/>
    <mergeCell ref="C39:D39"/>
    <mergeCell ref="C46:D46"/>
  </mergeCells>
  <phoneticPr fontId="12" type="noConversion"/>
  <printOptions horizontalCentered="1"/>
  <pageMargins left="0.5" right="0.5" top="1" bottom="0" header="0.5" footer="0.5"/>
  <pageSetup scale="43" orientation="landscape" horizontalDpi="300" verticalDpi="300" r:id="rId13"/>
  <headerFooter alignWithMargins="0"/>
  <rowBreaks count="1" manualBreakCount="1">
    <brk id="69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transitionEntry="1" codeName="Sheet6">
    <pageSetUpPr fitToPage="1"/>
  </sheetPr>
  <dimension ref="A1:CW288"/>
  <sheetViews>
    <sheetView workbookViewId="0"/>
  </sheetViews>
  <sheetFormatPr defaultColWidth="9.69921875" defaultRowHeight="15.75"/>
  <cols>
    <col min="1" max="1" width="5.69921875" style="41" customWidth="1"/>
    <col min="2" max="2" width="0.69921875" style="41" customWidth="1"/>
    <col min="3" max="3" width="6.69921875" style="41" customWidth="1"/>
    <col min="4" max="4" width="35.69921875" style="41" customWidth="1"/>
    <col min="5" max="5" width="0.3984375" style="41" customWidth="1"/>
    <col min="6" max="6" width="12.296875" style="41" customWidth="1"/>
    <col min="7" max="7" width="0.8984375" style="41" customWidth="1"/>
    <col min="8" max="8" width="15.69921875" style="41" customWidth="1"/>
    <col min="9" max="9" width="0.69921875" style="41" customWidth="1"/>
    <col min="10" max="10" width="13" style="41" customWidth="1"/>
    <col min="11" max="11" width="0.69921875" style="41" customWidth="1"/>
    <col min="12" max="12" width="15.69921875" style="41" customWidth="1"/>
    <col min="13" max="13" width="0.69921875" style="41" customWidth="1"/>
    <col min="14" max="14" width="12.69921875" style="41" customWidth="1"/>
    <col min="15" max="15" width="0.69921875" style="41" customWidth="1"/>
    <col min="16" max="16" width="14.69921875" style="41" customWidth="1"/>
    <col min="17" max="17" width="0.8984375" style="41" customWidth="1"/>
    <col min="18" max="18" width="18.09765625" style="41" customWidth="1"/>
    <col min="19" max="19" width="13.69921875" style="41" customWidth="1"/>
    <col min="20" max="20" width="5.69921875" style="41" customWidth="1"/>
    <col min="21" max="21" width="0.8984375" style="41" customWidth="1"/>
    <col min="22" max="22" width="6.69921875" style="41" customWidth="1"/>
    <col min="23" max="23" width="37.69921875" style="41" customWidth="1"/>
    <col min="24" max="24" width="12.69921875" style="41" customWidth="1"/>
    <col min="25" max="25" width="1" style="41" customWidth="1"/>
    <col min="26" max="26" width="14.09765625" style="41" customWidth="1"/>
    <col min="27" max="27" width="1" style="41" customWidth="1"/>
    <col min="28" max="28" width="11.69921875" style="41" customWidth="1"/>
    <col min="29" max="29" width="0.8984375" style="41" customWidth="1"/>
    <col min="30" max="30" width="15.59765625" style="41" customWidth="1"/>
    <col min="31" max="31" width="0.69921875" style="41" customWidth="1"/>
    <col min="32" max="32" width="11.69921875" style="99" customWidth="1"/>
    <col min="33" max="33" width="0.8984375" style="41" customWidth="1"/>
    <col min="34" max="34" width="15" style="41" customWidth="1"/>
    <col min="35" max="35" width="0.59765625" style="41" customWidth="1"/>
    <col min="36" max="36" width="13.69921875" style="99" customWidth="1"/>
    <col min="37" max="37" width="0.3984375" style="41" customWidth="1"/>
    <col min="38" max="38" width="14.3984375" style="41" customWidth="1"/>
    <col min="39" max="39" width="0.69921875" style="41" customWidth="1"/>
    <col min="40" max="40" width="15.3984375" style="41" customWidth="1"/>
    <col min="41" max="41" width="0.69921875" style="41" customWidth="1"/>
    <col min="42" max="42" width="10.69921875" style="99" customWidth="1"/>
    <col min="43" max="99" width="9.69921875" style="41"/>
    <col min="100" max="100" width="20.69921875" style="41" customWidth="1"/>
    <col min="101" max="16384" width="9.69921875" style="41"/>
  </cols>
  <sheetData>
    <row r="1" spans="1:18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8">
      <c r="A6" s="41" t="str">
        <f>DATA_PERIOD</f>
        <v>DATA: ____ BASE PERIOD   __X__FORECASTED PERIOD</v>
      </c>
      <c r="R6" s="42" t="s">
        <v>156</v>
      </c>
    </row>
    <row r="7" spans="1:18">
      <c r="A7" s="41" t="str">
        <f>TYPE</f>
        <v>TYPE OF FILING: _X_ ORIGINAL   ___UPDATED  ___ REVISED</v>
      </c>
      <c r="R7" s="48" t="str">
        <f>"PAGE 2 OF "&amp;TEXT(Page_Num_2.3,"00")</f>
        <v>PAGE 2 OF 24</v>
      </c>
    </row>
    <row r="8" spans="1:18">
      <c r="A8" s="42" t="s">
        <v>170</v>
      </c>
      <c r="R8" s="42" t="s">
        <v>3</v>
      </c>
    </row>
    <row r="9" spans="1:18">
      <c r="A9" s="133" t="str">
        <f>TIME</f>
        <v>12 Months Projected with Riders</v>
      </c>
      <c r="R9" s="41" t="str">
        <f>WIT</f>
        <v>B. L. Sailers</v>
      </c>
    </row>
    <row r="10" spans="1:18">
      <c r="A10" s="133" t="str">
        <f>INPUT!B5</f>
        <v xml:space="preserve"> </v>
      </c>
    </row>
    <row r="11" spans="1:18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spans="1:18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spans="1:18" ht="18" customHeight="1">
      <c r="L13" s="44" t="s">
        <v>6</v>
      </c>
      <c r="M13" s="44"/>
      <c r="N13" s="44" t="s">
        <v>7</v>
      </c>
      <c r="O13" s="44"/>
      <c r="R13" s="44" t="s">
        <v>6</v>
      </c>
    </row>
    <row r="14" spans="1:18">
      <c r="L14" s="44" t="s">
        <v>12</v>
      </c>
      <c r="M14" s="44"/>
      <c r="N14" s="44" t="s">
        <v>13</v>
      </c>
      <c r="O14" s="44"/>
      <c r="R14" s="44" t="s">
        <v>11</v>
      </c>
    </row>
    <row r="15" spans="1:18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</row>
    <row r="16" spans="1:18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</row>
    <row r="17" spans="1:22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</row>
    <row r="18" spans="1:22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</row>
    <row r="19" spans="1:22" ht="17.100000000000001" customHeight="1">
      <c r="H19" s="308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</row>
    <row r="20" spans="1:22">
      <c r="A20" s="41">
        <v>1</v>
      </c>
      <c r="C20" s="133" t="s">
        <v>52</v>
      </c>
      <c r="D20" s="133" t="s">
        <v>53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22">
      <c r="C21" s="42"/>
      <c r="D21" s="42"/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22">
      <c r="A22" s="41">
        <v>2</v>
      </c>
      <c r="C22" s="130" t="s">
        <v>133</v>
      </c>
      <c r="F22" s="68"/>
      <c r="G22" s="1"/>
      <c r="H22" s="68"/>
      <c r="I22" s="68"/>
      <c r="J22" s="314"/>
      <c r="K22" s="314"/>
      <c r="L22" s="3"/>
      <c r="M22" s="3"/>
      <c r="N22" s="4"/>
      <c r="O22" s="4"/>
      <c r="P22" s="3"/>
      <c r="Q22" s="3"/>
      <c r="R22" s="3"/>
      <c r="S22" s="45"/>
    </row>
    <row r="23" spans="1:22">
      <c r="A23" s="41">
        <v>3</v>
      </c>
      <c r="C23" s="128" t="s">
        <v>55</v>
      </c>
      <c r="F23" s="164">
        <f>'[9]Forecast BILLS'!$I$71</f>
        <v>1689991</v>
      </c>
      <c r="G23" s="1"/>
      <c r="H23" s="68"/>
      <c r="I23" s="68"/>
      <c r="J23" s="316">
        <f>INPUT!D43</f>
        <v>16</v>
      </c>
      <c r="K23" s="76"/>
      <c r="L23" s="3">
        <f>ROUND(F23*J23,0)-P23</f>
        <v>27039856</v>
      </c>
      <c r="M23" s="3"/>
      <c r="N23" s="103">
        <f>ROUND((L23/$L$38)*100,1)</f>
        <v>11.6</v>
      </c>
      <c r="O23" s="4"/>
      <c r="P23" s="3"/>
      <c r="Q23" s="3"/>
      <c r="R23" s="3">
        <f>L23+P23</f>
        <v>27039856</v>
      </c>
      <c r="S23" s="45"/>
      <c r="V23" s="45"/>
    </row>
    <row r="24" spans="1:22">
      <c r="C24" s="42"/>
      <c r="F24" s="68"/>
      <c r="G24" s="1"/>
      <c r="H24" s="68"/>
      <c r="I24" s="68"/>
      <c r="J24" s="76"/>
      <c r="K24" s="76"/>
      <c r="L24" s="3"/>
      <c r="M24" s="3"/>
      <c r="N24" s="103"/>
      <c r="O24" s="4"/>
      <c r="P24" s="3"/>
      <c r="Q24" s="3"/>
      <c r="R24" s="3"/>
      <c r="S24" s="45"/>
    </row>
    <row r="25" spans="1:22">
      <c r="A25" s="41">
        <v>4</v>
      </c>
      <c r="C25" s="310" t="s">
        <v>371</v>
      </c>
      <c r="F25" s="317"/>
      <c r="G25" s="1"/>
      <c r="H25" s="317"/>
      <c r="I25" s="317"/>
      <c r="J25" s="314"/>
      <c r="K25" s="314"/>
      <c r="L25" s="3"/>
      <c r="M25" s="3"/>
      <c r="N25" s="103"/>
      <c r="O25" s="4"/>
      <c r="P25" s="1"/>
      <c r="Q25" s="1"/>
      <c r="R25" s="3"/>
    </row>
    <row r="26" spans="1:22">
      <c r="A26" s="41">
        <v>5</v>
      </c>
      <c r="C26" s="128" t="s">
        <v>122</v>
      </c>
      <c r="F26" s="69"/>
      <c r="G26" s="1"/>
      <c r="H26" s="318">
        <f>'[9]Forecast KWH'!$I$70+3</f>
        <v>1527729253</v>
      </c>
      <c r="I26" s="68"/>
      <c r="J26" s="134">
        <f>INPUT!D44</f>
        <v>0.130111</v>
      </c>
      <c r="K26" s="319"/>
      <c r="L26" s="66">
        <f>ROUND(H26*J26,0)-P26</f>
        <v>198774381</v>
      </c>
      <c r="M26" s="3"/>
      <c r="N26" s="104">
        <f>ROUND((L26/$L$38)*100,1)</f>
        <v>85.3</v>
      </c>
      <c r="O26" s="4"/>
      <c r="P26" s="66"/>
      <c r="Q26" s="3"/>
      <c r="R26" s="66">
        <f>L26+P26</f>
        <v>198774381</v>
      </c>
      <c r="S26" s="45"/>
      <c r="V26" s="45"/>
    </row>
    <row r="27" spans="1:22">
      <c r="C27" s="128"/>
      <c r="F27" s="68"/>
      <c r="G27" s="1"/>
      <c r="H27" s="164"/>
      <c r="I27" s="68"/>
      <c r="J27" s="320"/>
      <c r="K27" s="319"/>
      <c r="L27" s="3"/>
      <c r="M27" s="3"/>
      <c r="N27" s="103"/>
      <c r="O27" s="4"/>
      <c r="P27" s="3"/>
      <c r="Q27" s="3"/>
      <c r="R27" s="3"/>
      <c r="S27" s="45"/>
    </row>
    <row r="28" spans="1:22" ht="17.100000000000001" customHeight="1">
      <c r="A28" s="41">
        <v>6</v>
      </c>
      <c r="C28" s="310" t="s">
        <v>431</v>
      </c>
      <c r="F28" s="69">
        <f>F23</f>
        <v>1689991</v>
      </c>
      <c r="G28" s="1"/>
      <c r="H28" s="69">
        <f>H26</f>
        <v>1527729253</v>
      </c>
      <c r="I28" s="68"/>
      <c r="J28" s="320"/>
      <c r="K28" s="319"/>
      <c r="L28" s="66">
        <f>SUM(L23:L26)</f>
        <v>225814237</v>
      </c>
      <c r="M28" s="3"/>
      <c r="N28" s="104">
        <f>ROUND((L28/$L$38)*100,1)</f>
        <v>96.9</v>
      </c>
      <c r="O28" s="4"/>
      <c r="P28" s="66"/>
      <c r="Q28" s="3"/>
      <c r="R28" s="66">
        <f>SUM(R23:R26)</f>
        <v>225814237</v>
      </c>
      <c r="S28" s="45"/>
      <c r="V28" s="45"/>
    </row>
    <row r="29" spans="1:22">
      <c r="C29" s="128"/>
      <c r="F29" s="68"/>
      <c r="G29" s="1"/>
      <c r="H29" s="164"/>
      <c r="I29" s="68"/>
      <c r="J29" s="320"/>
      <c r="K29" s="319"/>
      <c r="L29" s="3"/>
      <c r="M29" s="3"/>
      <c r="N29" s="103"/>
      <c r="O29" s="4"/>
      <c r="P29" s="3"/>
      <c r="Q29" s="3"/>
      <c r="R29" s="3"/>
      <c r="S29" s="45"/>
    </row>
    <row r="30" spans="1:22">
      <c r="A30" s="41">
        <v>7</v>
      </c>
      <c r="C30" s="133" t="s">
        <v>430</v>
      </c>
      <c r="F30" s="68"/>
      <c r="G30" s="1"/>
      <c r="H30" s="164"/>
      <c r="I30" s="68"/>
      <c r="J30" s="320"/>
      <c r="K30" s="319"/>
      <c r="L30" s="3"/>
      <c r="M30" s="3"/>
      <c r="N30" s="103"/>
      <c r="O30" s="4"/>
      <c r="P30" s="3"/>
      <c r="Q30" s="3"/>
      <c r="R30" s="3"/>
      <c r="S30" s="45"/>
    </row>
    <row r="31" spans="1:22">
      <c r="A31" s="41">
        <v>8</v>
      </c>
      <c r="C31" s="128" t="str">
        <f>HEA_Name</f>
        <v>HOME ENERGY ASSISTANCE (HEA)</v>
      </c>
      <c r="F31" s="68"/>
      <c r="G31" s="1"/>
      <c r="H31" s="164"/>
      <c r="I31" s="68"/>
      <c r="J31" s="316">
        <f>DSM_RS_CUST</f>
        <v>0.3</v>
      </c>
      <c r="K31" s="319"/>
      <c r="L31" s="3">
        <f>ROUND(F23*J31,0)</f>
        <v>506997</v>
      </c>
      <c r="M31" s="3"/>
      <c r="N31" s="103">
        <f t="shared" ref="N31:N36" si="0">ROUND((L31/$L$38)*100,1)</f>
        <v>0.2</v>
      </c>
      <c r="O31" s="4"/>
      <c r="P31" s="3"/>
      <c r="Q31" s="3"/>
      <c r="R31" s="3">
        <f>L31+P31</f>
        <v>506997</v>
      </c>
      <c r="S31" s="45"/>
      <c r="V31" s="45"/>
    </row>
    <row r="32" spans="1:22">
      <c r="A32" s="41">
        <v>9</v>
      </c>
      <c r="C32" s="128" t="str">
        <f>DSMR_Name</f>
        <v>DEMAND SIDE MANAGEMENT RIDER (DSMR)</v>
      </c>
      <c r="F32" s="68"/>
      <c r="G32" s="1"/>
      <c r="H32" s="164"/>
      <c r="I32" s="68"/>
      <c r="J32" s="134">
        <f>PRO_DSM_RES</f>
        <v>1.3519999999999999E-3</v>
      </c>
      <c r="K32" s="319"/>
      <c r="L32" s="3">
        <f>ROUND(H26*J32,0)</f>
        <v>2065490</v>
      </c>
      <c r="M32" s="3"/>
      <c r="N32" s="103">
        <f t="shared" si="0"/>
        <v>0.9</v>
      </c>
      <c r="O32" s="4"/>
      <c r="P32" s="3"/>
      <c r="Q32" s="3"/>
      <c r="R32" s="3">
        <f>L32+P32</f>
        <v>2065490</v>
      </c>
      <c r="S32" s="45"/>
      <c r="V32" s="45"/>
    </row>
    <row r="33" spans="1:42">
      <c r="A33" s="41">
        <v>10</v>
      </c>
      <c r="C33" s="128" t="str">
        <f>ESM_Name</f>
        <v>ENVIRONMENTAL SURCHARGE MECHANISM RIDER (ESM)</v>
      </c>
      <c r="F33" s="68"/>
      <c r="G33" s="1"/>
      <c r="H33" s="164"/>
      <c r="I33" s="68"/>
      <c r="J33" s="321">
        <f>PRO_ESM</f>
        <v>3.5414520000000001E-3</v>
      </c>
      <c r="K33" s="319"/>
      <c r="L33" s="3">
        <f>ROUND((R28+R31+R32+R34+R35)*J33,0)</f>
        <v>841078</v>
      </c>
      <c r="M33" s="3"/>
      <c r="N33" s="103">
        <f t="shared" si="0"/>
        <v>0.4</v>
      </c>
      <c r="O33" s="4"/>
      <c r="P33" s="3"/>
      <c r="Q33" s="3"/>
      <c r="R33" s="3">
        <f>L33+P33</f>
        <v>841078</v>
      </c>
      <c r="S33" s="45"/>
      <c r="V33" s="45"/>
    </row>
    <row r="34" spans="1:42">
      <c r="A34" s="41">
        <v>11</v>
      </c>
      <c r="C34" s="128" t="str">
        <f>FAC_Name</f>
        <v>FUEL ADJUSTMENT CLAUSE (FAC)</v>
      </c>
      <c r="F34" s="68"/>
      <c r="G34" s="1"/>
      <c r="H34" s="164"/>
      <c r="I34" s="68"/>
      <c r="J34" s="134">
        <f>PRO_FAC</f>
        <v>3.4872127999999998E-3</v>
      </c>
      <c r="K34" s="319"/>
      <c r="L34" s="3"/>
      <c r="M34" s="3"/>
      <c r="N34" s="103">
        <f t="shared" si="0"/>
        <v>0</v>
      </c>
      <c r="O34" s="4"/>
      <c r="P34" s="3">
        <f>ROUND($H$26*PRO_FAC,0)</f>
        <v>5327517</v>
      </c>
      <c r="Q34" s="3"/>
      <c r="R34" s="3">
        <f>L34+P34</f>
        <v>5327517</v>
      </c>
      <c r="S34" s="45"/>
      <c r="V34" s="45"/>
    </row>
    <row r="35" spans="1:42">
      <c r="A35" s="41">
        <v>12</v>
      </c>
      <c r="C35" s="128" t="str">
        <f>PSM_Name</f>
        <v>PROFIT SHARING MECHANISM (PSM)</v>
      </c>
      <c r="F35" s="68"/>
      <c r="G35" s="1"/>
      <c r="H35" s="164"/>
      <c r="I35" s="68"/>
      <c r="J35" s="134">
        <f>PRO_PSM</f>
        <v>2.4750000000000002E-3</v>
      </c>
      <c r="K35" s="319"/>
      <c r="L35" s="3">
        <f>ROUND(H26*J35,0)</f>
        <v>3781130</v>
      </c>
      <c r="M35" s="3"/>
      <c r="N35" s="103">
        <f t="shared" si="0"/>
        <v>1.6</v>
      </c>
      <c r="O35" s="4"/>
      <c r="P35" s="3"/>
      <c r="Q35" s="3"/>
      <c r="R35" s="3">
        <f>L35+P35</f>
        <v>3781130</v>
      </c>
      <c r="S35" s="45"/>
      <c r="V35" s="45"/>
    </row>
    <row r="36" spans="1:42" ht="18" customHeight="1">
      <c r="A36" s="41">
        <v>13</v>
      </c>
      <c r="C36" s="133" t="s">
        <v>435</v>
      </c>
      <c r="F36" s="69"/>
      <c r="G36" s="1"/>
      <c r="H36" s="318"/>
      <c r="I36" s="68"/>
      <c r="J36" s="320"/>
      <c r="K36" s="319"/>
      <c r="L36" s="72">
        <f>SUM(L31:L35)</f>
        <v>7194695</v>
      </c>
      <c r="M36" s="3"/>
      <c r="N36" s="105">
        <f t="shared" si="0"/>
        <v>3.1</v>
      </c>
      <c r="O36" s="4"/>
      <c r="P36" s="72">
        <f>SUM(P31:P35)</f>
        <v>5327517</v>
      </c>
      <c r="Q36" s="3"/>
      <c r="R36" s="72">
        <f>SUM(R31:R35)</f>
        <v>12522212</v>
      </c>
      <c r="S36" s="45"/>
    </row>
    <row r="37" spans="1:42">
      <c r="C37" s="42"/>
      <c r="F37" s="1"/>
      <c r="G37" s="1"/>
      <c r="H37" s="1"/>
      <c r="I37" s="1"/>
      <c r="J37" s="7"/>
      <c r="K37" s="7"/>
      <c r="L37" s="3"/>
      <c r="M37" s="3"/>
      <c r="N37" s="103"/>
      <c r="O37" s="4"/>
      <c r="P37" s="3"/>
      <c r="Q37" s="3"/>
      <c r="R37" s="3"/>
      <c r="S37" s="45"/>
    </row>
    <row r="38" spans="1:42" ht="24.95" customHeight="1" thickBot="1">
      <c r="A38" s="41">
        <v>14</v>
      </c>
      <c r="C38" s="310" t="s">
        <v>436</v>
      </c>
      <c r="F38" s="67">
        <f>F23</f>
        <v>1689991</v>
      </c>
      <c r="G38" s="1"/>
      <c r="H38" s="67">
        <f>H26</f>
        <v>1527729253</v>
      </c>
      <c r="I38" s="3"/>
      <c r="J38" s="7"/>
      <c r="K38" s="7"/>
      <c r="L38" s="67">
        <f>L28+L36</f>
        <v>233008932</v>
      </c>
      <c r="M38" s="3"/>
      <c r="N38" s="106">
        <v>100</v>
      </c>
      <c r="O38" s="4"/>
      <c r="P38" s="67">
        <f>P36+P28</f>
        <v>5327517</v>
      </c>
      <c r="Q38" s="68"/>
      <c r="R38" s="67">
        <f>R28+R36</f>
        <v>238336449</v>
      </c>
      <c r="S38" s="45"/>
    </row>
    <row r="39" spans="1:42" ht="24.95" customHeight="1" thickTop="1">
      <c r="C39" s="48"/>
      <c r="F39" s="3"/>
      <c r="G39" s="1"/>
      <c r="H39" s="3"/>
      <c r="I39" s="3"/>
      <c r="J39" s="7"/>
      <c r="K39" s="7"/>
      <c r="L39" s="3"/>
      <c r="M39" s="3"/>
      <c r="N39" s="4"/>
      <c r="O39" s="4"/>
      <c r="P39" s="3"/>
      <c r="Q39" s="68"/>
      <c r="R39" s="3"/>
      <c r="S39" s="45"/>
    </row>
    <row r="40" spans="1:42">
      <c r="C40" s="140" t="s">
        <v>59</v>
      </c>
      <c r="L40" s="45"/>
      <c r="M40" s="45"/>
      <c r="N40" s="45"/>
      <c r="O40" s="45"/>
      <c r="P40" s="45"/>
      <c r="Q40" s="45"/>
      <c r="R40" s="45"/>
      <c r="S40" s="45"/>
    </row>
    <row r="41" spans="1:42">
      <c r="C41" s="140" t="str">
        <f>"(2) REFLECTS FUEL COMPONENT OF "&amp;TEXT(PRO_FAC,"$0.000000;($0.000000)")&amp;"  PER KWH."</f>
        <v>(2) REFLECTS FUEL COMPONENT OF $0.003487  PER KWH.</v>
      </c>
    </row>
    <row r="42" spans="1:42">
      <c r="C42" s="140" t="str">
        <f>"(3) REFLECTS FUEL COST RECOVERY INCLUDED IN BASE RATES OF "&amp;TEXT(PRO_BASE_FUEL,"$0.000000;($0.000000)")&amp;"  PER KWH."</f>
        <v>(3) REFLECTS FUEL COST RECOVERY INCLUDED IN BASE RATES OF $0.033780  PER KWH.</v>
      </c>
      <c r="T42" s="40" t="str">
        <f>NAME</f>
        <v>DUKE ENERGY KENTUCKY, INC.</v>
      </c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100"/>
      <c r="AG42" s="40"/>
      <c r="AH42" s="40"/>
      <c r="AI42" s="40"/>
      <c r="AJ42" s="100"/>
      <c r="AK42" s="40"/>
      <c r="AL42" s="40"/>
      <c r="AM42" s="40"/>
      <c r="AN42" s="40"/>
      <c r="AO42" s="40"/>
      <c r="AP42" s="100"/>
    </row>
    <row r="43" spans="1:42">
      <c r="T43" s="40" t="str">
        <f>CASE_NO</f>
        <v>CASE NO.   2024-00354</v>
      </c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100"/>
      <c r="AG43" s="40"/>
      <c r="AH43" s="40"/>
      <c r="AI43" s="40"/>
      <c r="AJ43" s="100"/>
      <c r="AK43" s="40"/>
      <c r="AL43" s="40"/>
      <c r="AM43" s="40"/>
      <c r="AN43" s="40"/>
      <c r="AO43" s="40"/>
      <c r="AP43" s="100"/>
    </row>
    <row r="44" spans="1:42">
      <c r="F44" s="45"/>
      <c r="G44" s="45"/>
      <c r="H44" s="45"/>
      <c r="T44" s="40" t="str">
        <f>TITLE</f>
        <v>ANNUALIZED TEST YEAR REVENUES AT PROPOSED VS. MOST CURRENT RATES</v>
      </c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100"/>
      <c r="AG44" s="40"/>
      <c r="AH44" s="40"/>
      <c r="AI44" s="40"/>
      <c r="AJ44" s="100"/>
      <c r="AK44" s="40"/>
      <c r="AL44" s="40"/>
      <c r="AM44" s="40"/>
      <c r="AN44" s="40"/>
      <c r="AO44" s="40"/>
      <c r="AP44" s="100"/>
    </row>
    <row r="45" spans="1:42">
      <c r="T45" s="40" t="str">
        <f>DATE</f>
        <v>FOR THE TWELVE MONTHS ENDED June 30, 2026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100"/>
      <c r="AG45" s="40"/>
      <c r="AH45" s="40"/>
      <c r="AI45" s="40"/>
      <c r="AJ45" s="100"/>
      <c r="AK45" s="40"/>
      <c r="AL45" s="40"/>
      <c r="AM45" s="40"/>
      <c r="AN45" s="40"/>
      <c r="AO45" s="40"/>
      <c r="AP45" s="100"/>
    </row>
    <row r="46" spans="1:42">
      <c r="F46" s="160"/>
      <c r="T46" s="40" t="str">
        <f>SERVICE</f>
        <v>(ELECTRIC SERVICE)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100"/>
      <c r="AG46" s="40"/>
      <c r="AH46" s="40"/>
      <c r="AI46" s="40"/>
      <c r="AJ46" s="100"/>
      <c r="AK46" s="40"/>
      <c r="AL46" s="40"/>
      <c r="AM46" s="40"/>
      <c r="AN46" s="40"/>
      <c r="AO46" s="40"/>
      <c r="AP46" s="100"/>
    </row>
    <row r="47" spans="1:42">
      <c r="T47" s="41" t="str">
        <f>DATA_PERIOD</f>
        <v>DATA: ____ BASE PERIOD   __X__FORECASTED PERIOD</v>
      </c>
      <c r="AN47" s="42" t="s">
        <v>157</v>
      </c>
      <c r="AO47" s="42"/>
    </row>
    <row r="48" spans="1:42">
      <c r="C48" s="128"/>
      <c r="T48" s="41" t="str">
        <f>TYPE</f>
        <v>TYPE OF FILING: _X_ ORIGINAL   ___UPDATED  ___ REVISED</v>
      </c>
      <c r="AN48" s="48" t="str">
        <f>"PAGE 2 OF "&amp;TEXT(Page_Num_2.2,"00")</f>
        <v>PAGE 2 OF 24</v>
      </c>
      <c r="AO48" s="42"/>
    </row>
    <row r="49" spans="20:42">
      <c r="T49" s="42" t="s">
        <v>170</v>
      </c>
      <c r="AN49" s="42" t="s">
        <v>3</v>
      </c>
      <c r="AO49" s="42"/>
    </row>
    <row r="50" spans="20:42">
      <c r="T50" s="133" t="str">
        <f>TIME</f>
        <v>12 Months Projected with Riders</v>
      </c>
      <c r="AN50" s="42" t="str">
        <f>WIT</f>
        <v>B. L. Sailers</v>
      </c>
      <c r="AO50" s="42"/>
    </row>
    <row r="51" spans="20:42">
      <c r="T51" s="133" t="str">
        <f>INPUT!B5</f>
        <v xml:space="preserve"> </v>
      </c>
      <c r="AN51" s="42"/>
      <c r="AO51" s="42"/>
    </row>
    <row r="52" spans="20:42">
      <c r="AD52" s="42" t="s">
        <v>5</v>
      </c>
      <c r="AE52" s="42"/>
    </row>
    <row r="53" spans="20:42"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101"/>
      <c r="AG53" s="43"/>
      <c r="AH53" s="43"/>
      <c r="AI53" s="43"/>
      <c r="AJ53" s="101"/>
      <c r="AK53" s="43"/>
      <c r="AL53" s="43"/>
      <c r="AM53" s="43"/>
      <c r="AN53" s="43"/>
      <c r="AO53" s="43"/>
      <c r="AP53" s="101"/>
    </row>
    <row r="54" spans="20:42" ht="18" customHeight="1">
      <c r="AD54" s="44" t="s">
        <v>8</v>
      </c>
      <c r="AE54" s="44"/>
      <c r="AF54" s="102" t="s">
        <v>7</v>
      </c>
      <c r="AG54" s="44"/>
      <c r="AH54" s="44" t="s">
        <v>9</v>
      </c>
      <c r="AI54" s="44"/>
      <c r="AJ54" s="102" t="s">
        <v>10</v>
      </c>
      <c r="AK54" s="44"/>
      <c r="AN54" s="44" t="s">
        <v>8</v>
      </c>
      <c r="AO54" s="44"/>
      <c r="AP54" s="102" t="s">
        <v>11</v>
      </c>
    </row>
    <row r="55" spans="20:42">
      <c r="AB55" s="44" t="s">
        <v>14</v>
      </c>
      <c r="AC55" s="44"/>
      <c r="AD55" s="44" t="s">
        <v>12</v>
      </c>
      <c r="AE55" s="44"/>
      <c r="AF55" s="102" t="s">
        <v>13</v>
      </c>
      <c r="AG55" s="44"/>
      <c r="AH55" s="44" t="s">
        <v>15</v>
      </c>
      <c r="AI55" s="44"/>
      <c r="AJ55" s="102" t="s">
        <v>16</v>
      </c>
      <c r="AK55" s="44"/>
      <c r="AN55" s="44" t="s">
        <v>11</v>
      </c>
      <c r="AO55" s="44"/>
      <c r="AP55" s="102" t="s">
        <v>9</v>
      </c>
    </row>
    <row r="56" spans="20:42">
      <c r="T56" s="44" t="s">
        <v>17</v>
      </c>
      <c r="V56" s="44" t="s">
        <v>18</v>
      </c>
      <c r="W56" s="44" t="s">
        <v>19</v>
      </c>
      <c r="X56" s="44" t="s">
        <v>20</v>
      </c>
      <c r="AB56" s="44" t="s">
        <v>8</v>
      </c>
      <c r="AC56" s="44"/>
      <c r="AD56" s="44" t="s">
        <v>841</v>
      </c>
      <c r="AE56" s="44"/>
      <c r="AF56" s="102" t="s">
        <v>841</v>
      </c>
      <c r="AG56" s="44"/>
      <c r="AH56" s="44" t="s">
        <v>964</v>
      </c>
      <c r="AI56" s="44"/>
      <c r="AJ56" s="102" t="s">
        <v>964</v>
      </c>
      <c r="AK56" s="44"/>
      <c r="AL56" s="44" t="s">
        <v>841</v>
      </c>
      <c r="AM56" s="44"/>
      <c r="AN56" s="44" t="s">
        <v>9</v>
      </c>
      <c r="AO56" s="44"/>
      <c r="AP56" s="102" t="s">
        <v>21</v>
      </c>
    </row>
    <row r="57" spans="20:42">
      <c r="T57" s="44" t="s">
        <v>22</v>
      </c>
      <c r="V57" s="44" t="s">
        <v>23</v>
      </c>
      <c r="W57" s="44" t="s">
        <v>24</v>
      </c>
      <c r="X57" s="44" t="s">
        <v>25</v>
      </c>
      <c r="Z57" s="44" t="s">
        <v>26</v>
      </c>
      <c r="AA57" s="44"/>
      <c r="AB57" s="44" t="s">
        <v>27</v>
      </c>
      <c r="AC57" s="44"/>
      <c r="AD57" s="44" t="s">
        <v>9</v>
      </c>
      <c r="AE57" s="44"/>
      <c r="AF57" s="102" t="s">
        <v>9</v>
      </c>
      <c r="AG57" s="44"/>
      <c r="AH57" s="304" t="s">
        <v>29</v>
      </c>
      <c r="AI57" s="304"/>
      <c r="AJ57" s="311" t="s">
        <v>30</v>
      </c>
      <c r="AK57" s="44"/>
      <c r="AL57" s="44" t="s">
        <v>323</v>
      </c>
      <c r="AM57" s="44"/>
      <c r="AN57" s="304" t="s">
        <v>31</v>
      </c>
      <c r="AO57" s="304"/>
      <c r="AP57" s="311" t="s">
        <v>32</v>
      </c>
    </row>
    <row r="58" spans="20:42">
      <c r="V58" s="304" t="s">
        <v>33</v>
      </c>
      <c r="W58" s="304" t="s">
        <v>34</v>
      </c>
      <c r="X58" s="304" t="s">
        <v>35</v>
      </c>
      <c r="Y58" s="130"/>
      <c r="Z58" s="304" t="s">
        <v>36</v>
      </c>
      <c r="AA58" s="304"/>
      <c r="AB58" s="304" t="s">
        <v>42</v>
      </c>
      <c r="AC58" s="304"/>
      <c r="AD58" s="304" t="s">
        <v>43</v>
      </c>
      <c r="AE58" s="304"/>
      <c r="AF58" s="311" t="s">
        <v>44</v>
      </c>
      <c r="AG58" s="304"/>
      <c r="AH58" s="304" t="s">
        <v>45</v>
      </c>
      <c r="AI58" s="304"/>
      <c r="AJ58" s="311" t="s">
        <v>46</v>
      </c>
      <c r="AK58" s="304"/>
      <c r="AL58" s="304" t="s">
        <v>40</v>
      </c>
      <c r="AM58" s="304"/>
      <c r="AN58" s="304" t="s">
        <v>47</v>
      </c>
      <c r="AO58" s="304"/>
      <c r="AP58" s="311" t="s">
        <v>48</v>
      </c>
    </row>
    <row r="59" spans="20:42" ht="17.100000000000001" customHeight="1"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101"/>
      <c r="AG59" s="43"/>
      <c r="AH59" s="43"/>
      <c r="AI59" s="43"/>
      <c r="AJ59" s="101"/>
      <c r="AK59" s="43"/>
      <c r="AL59" s="43"/>
      <c r="AM59" s="43"/>
      <c r="AN59" s="43"/>
      <c r="AO59" s="43"/>
      <c r="AP59" s="101"/>
    </row>
    <row r="60" spans="20:42" ht="17.100000000000001" customHeight="1">
      <c r="Z60" s="308" t="s">
        <v>49</v>
      </c>
      <c r="AA60" s="308"/>
      <c r="AB60" s="309" t="s">
        <v>312</v>
      </c>
      <c r="AC60" s="308"/>
      <c r="AD60" s="308" t="s">
        <v>50</v>
      </c>
      <c r="AE60" s="308"/>
      <c r="AF60" s="312" t="s">
        <v>51</v>
      </c>
      <c r="AG60" s="308"/>
      <c r="AH60" s="308" t="s">
        <v>50</v>
      </c>
      <c r="AI60" s="308"/>
      <c r="AJ60" s="312" t="s">
        <v>51</v>
      </c>
      <c r="AK60" s="308"/>
      <c r="AL60" s="308" t="s">
        <v>50</v>
      </c>
      <c r="AM60" s="308"/>
      <c r="AN60" s="308" t="s">
        <v>50</v>
      </c>
      <c r="AO60" s="308"/>
      <c r="AP60" s="312" t="s">
        <v>51</v>
      </c>
    </row>
    <row r="61" spans="20:42">
      <c r="T61" s="41">
        <v>1</v>
      </c>
      <c r="V61" s="133" t="s">
        <v>52</v>
      </c>
      <c r="W61" s="133" t="s">
        <v>53</v>
      </c>
      <c r="X61" s="1"/>
      <c r="Y61" s="1"/>
      <c r="Z61" s="1"/>
      <c r="AA61" s="1"/>
      <c r="AB61" s="1"/>
      <c r="AC61" s="1"/>
      <c r="AD61" s="1"/>
      <c r="AE61" s="1"/>
      <c r="AF61" s="103"/>
      <c r="AG61" s="1"/>
      <c r="AH61" s="1"/>
      <c r="AI61" s="1"/>
      <c r="AJ61" s="103"/>
      <c r="AK61" s="1"/>
      <c r="AL61" s="1"/>
      <c r="AM61" s="1"/>
      <c r="AN61" s="1"/>
      <c r="AO61" s="1"/>
      <c r="AP61" s="103"/>
    </row>
    <row r="62" spans="20:42">
      <c r="V62" s="42"/>
      <c r="W62" s="42"/>
      <c r="X62" s="1"/>
      <c r="Y62" s="1"/>
      <c r="Z62" s="1"/>
      <c r="AA62" s="1"/>
      <c r="AB62" s="1"/>
      <c r="AC62" s="1"/>
      <c r="AD62" s="1"/>
      <c r="AE62" s="1"/>
      <c r="AF62" s="103"/>
      <c r="AG62" s="1"/>
      <c r="AH62" s="1"/>
      <c r="AI62" s="1"/>
      <c r="AJ62" s="103"/>
      <c r="AK62" s="1"/>
      <c r="AL62" s="1"/>
      <c r="AM62" s="1"/>
      <c r="AN62" s="1"/>
      <c r="AO62" s="1"/>
      <c r="AP62" s="103"/>
    </row>
    <row r="63" spans="20:42">
      <c r="T63" s="41">
        <v>2</v>
      </c>
      <c r="V63" s="130" t="s">
        <v>133</v>
      </c>
      <c r="X63" s="68"/>
      <c r="Y63" s="1"/>
      <c r="Z63" s="68"/>
      <c r="AA63" s="68"/>
      <c r="AB63" s="314"/>
      <c r="AC63" s="314"/>
      <c r="AD63" s="3"/>
      <c r="AE63" s="3"/>
      <c r="AF63" s="103"/>
      <c r="AG63" s="4"/>
      <c r="AH63" s="3"/>
      <c r="AI63" s="3"/>
      <c r="AJ63" s="103"/>
      <c r="AK63" s="1"/>
      <c r="AL63" s="3"/>
      <c r="AM63" s="3"/>
      <c r="AN63" s="3"/>
      <c r="AO63" s="3"/>
      <c r="AP63" s="103"/>
    </row>
    <row r="64" spans="20:42">
      <c r="T64" s="41">
        <v>3</v>
      </c>
      <c r="V64" s="128" t="s">
        <v>55</v>
      </c>
      <c r="X64" s="3">
        <f>F23</f>
        <v>1689991</v>
      </c>
      <c r="Y64" s="1"/>
      <c r="Z64" s="68"/>
      <c r="AA64" s="68"/>
      <c r="AB64" s="316">
        <f>INPUT!C43</f>
        <v>13</v>
      </c>
      <c r="AC64" s="76"/>
      <c r="AD64" s="3">
        <f>ROUND(X64*AB64,0)</f>
        <v>21969883</v>
      </c>
      <c r="AE64" s="3"/>
      <c r="AF64" s="103">
        <f>ROUND((AD64/$AD$79)*100,1)</f>
        <v>11</v>
      </c>
      <c r="AG64" s="4"/>
      <c r="AH64" s="3">
        <f>L23-AD64</f>
        <v>5069973</v>
      </c>
      <c r="AI64" s="3"/>
      <c r="AJ64" s="103">
        <f>ROUND((AH64/AD64)*100,1)</f>
        <v>23.1</v>
      </c>
      <c r="AK64" s="4"/>
      <c r="AL64" s="3"/>
      <c r="AM64" s="3"/>
      <c r="AN64" s="3">
        <f>AD64+AL64</f>
        <v>21969883</v>
      </c>
      <c r="AO64" s="3"/>
      <c r="AP64" s="103">
        <f>ROUND((AH64/AN64)*100,1)</f>
        <v>23.1</v>
      </c>
    </row>
    <row r="65" spans="20:42">
      <c r="V65" s="42"/>
      <c r="X65" s="3"/>
      <c r="Y65" s="1"/>
      <c r="Z65" s="68"/>
      <c r="AA65" s="68"/>
      <c r="AB65" s="76"/>
      <c r="AC65" s="76"/>
      <c r="AD65" s="3"/>
      <c r="AE65" s="3"/>
      <c r="AF65" s="103"/>
      <c r="AG65" s="4"/>
      <c r="AH65" s="3"/>
      <c r="AI65" s="3"/>
      <c r="AJ65" s="103"/>
      <c r="AK65" s="4"/>
      <c r="AL65" s="3"/>
      <c r="AM65" s="3"/>
      <c r="AN65" s="3"/>
      <c r="AO65" s="3"/>
      <c r="AP65" s="103"/>
    </row>
    <row r="66" spans="20:42">
      <c r="T66" s="41">
        <v>4</v>
      </c>
      <c r="V66" s="310" t="s">
        <v>371</v>
      </c>
      <c r="X66" s="317"/>
      <c r="Y66" s="1"/>
      <c r="Z66" s="317"/>
      <c r="AA66" s="317"/>
      <c r="AB66" s="314"/>
      <c r="AC66" s="314"/>
      <c r="AD66" s="3"/>
      <c r="AE66" s="3"/>
      <c r="AF66" s="103"/>
      <c r="AG66" s="4"/>
      <c r="AH66" s="3"/>
      <c r="AI66" s="3"/>
      <c r="AJ66" s="103"/>
      <c r="AK66" s="4"/>
      <c r="AL66" s="1"/>
      <c r="AM66" s="1"/>
      <c r="AN66" s="3"/>
      <c r="AO66" s="3"/>
      <c r="AP66" s="103"/>
    </row>
    <row r="67" spans="20:42">
      <c r="T67" s="41">
        <v>5</v>
      </c>
      <c r="V67" s="128" t="s">
        <v>122</v>
      </c>
      <c r="X67" s="69"/>
      <c r="Y67" s="1"/>
      <c r="Z67" s="66">
        <f>H26</f>
        <v>1527729253</v>
      </c>
      <c r="AA67" s="3"/>
      <c r="AB67" s="134">
        <f>INPUT!C44</f>
        <v>0.111639</v>
      </c>
      <c r="AC67" s="322"/>
      <c r="AD67" s="66">
        <f>ROUND((Z67*AB67),0)-AL67</f>
        <v>170554166</v>
      </c>
      <c r="AE67" s="3"/>
      <c r="AF67" s="104">
        <f>ROUND((AD67/$AD$79)*100,1)</f>
        <v>85.4</v>
      </c>
      <c r="AG67" s="4"/>
      <c r="AH67" s="66">
        <f>L26-AD67</f>
        <v>28220215</v>
      </c>
      <c r="AI67" s="3"/>
      <c r="AJ67" s="104">
        <f>ROUND((AH67/AD67)*100,1)</f>
        <v>16.5</v>
      </c>
      <c r="AK67" s="4"/>
      <c r="AL67" s="66"/>
      <c r="AM67" s="3"/>
      <c r="AN67" s="66">
        <f>AD67+AL67</f>
        <v>170554166</v>
      </c>
      <c r="AO67" s="3"/>
      <c r="AP67" s="104">
        <f>ROUND((AH67/AN67)*100,1)</f>
        <v>16.5</v>
      </c>
    </row>
    <row r="68" spans="20:42">
      <c r="V68" s="42"/>
      <c r="X68" s="1"/>
      <c r="Y68" s="1"/>
      <c r="Z68" s="1"/>
      <c r="AA68" s="1"/>
      <c r="AB68" s="314"/>
      <c r="AC68" s="314"/>
      <c r="AD68" s="3"/>
      <c r="AE68" s="3"/>
      <c r="AF68" s="103"/>
      <c r="AG68" s="4"/>
      <c r="AH68" s="3"/>
      <c r="AI68" s="3"/>
      <c r="AJ68" s="103"/>
      <c r="AK68" s="4"/>
      <c r="AL68" s="3"/>
      <c r="AM68" s="3"/>
      <c r="AN68" s="3"/>
      <c r="AO68" s="3"/>
      <c r="AP68" s="103"/>
    </row>
    <row r="69" spans="20:42">
      <c r="T69" s="41">
        <v>6</v>
      </c>
      <c r="V69" s="310" t="s">
        <v>431</v>
      </c>
      <c r="X69" s="66">
        <f>X64</f>
        <v>1689991</v>
      </c>
      <c r="Y69" s="1"/>
      <c r="Z69" s="66">
        <f>Z67</f>
        <v>1527729253</v>
      </c>
      <c r="AA69" s="1"/>
      <c r="AB69" s="314"/>
      <c r="AC69" s="314"/>
      <c r="AD69" s="66">
        <f>SUM(AD64:AD67)</f>
        <v>192524049</v>
      </c>
      <c r="AE69" s="3"/>
      <c r="AF69" s="104">
        <f>ROUND((AD69/$AD$79)*100,1)</f>
        <v>96.4</v>
      </c>
      <c r="AG69" s="4"/>
      <c r="AH69" s="66">
        <f>SUM(AH64:AH67)</f>
        <v>33290188</v>
      </c>
      <c r="AI69" s="3"/>
      <c r="AJ69" s="104">
        <f>ROUND((AH69/AD69)*100,1)</f>
        <v>17.3</v>
      </c>
      <c r="AK69" s="4"/>
      <c r="AL69" s="66"/>
      <c r="AM69" s="3"/>
      <c r="AN69" s="66">
        <f>SUM(AN64:AN67)</f>
        <v>192524049</v>
      </c>
      <c r="AO69" s="3"/>
      <c r="AP69" s="104">
        <f>ROUND((AH69/AN69)*100,1)</f>
        <v>17.3</v>
      </c>
    </row>
    <row r="70" spans="20:42">
      <c r="V70" s="128"/>
      <c r="X70" s="1"/>
      <c r="Y70" s="1"/>
      <c r="Z70" s="1"/>
      <c r="AA70" s="1"/>
      <c r="AB70" s="314"/>
      <c r="AC70" s="314"/>
      <c r="AD70" s="3"/>
      <c r="AE70" s="3"/>
      <c r="AF70" s="103"/>
      <c r="AG70" s="4"/>
      <c r="AH70" s="3"/>
      <c r="AI70" s="3"/>
      <c r="AJ70" s="103"/>
      <c r="AK70" s="4"/>
      <c r="AL70" s="3"/>
      <c r="AM70" s="3"/>
      <c r="AN70" s="3"/>
      <c r="AO70" s="3"/>
      <c r="AP70" s="103"/>
    </row>
    <row r="71" spans="20:42">
      <c r="T71" s="41">
        <v>7</v>
      </c>
      <c r="V71" s="133" t="s">
        <v>430</v>
      </c>
      <c r="X71" s="1"/>
      <c r="Y71" s="1"/>
      <c r="Z71" s="1"/>
      <c r="AA71" s="1"/>
      <c r="AB71" s="314"/>
      <c r="AC71" s="314"/>
      <c r="AD71" s="3"/>
      <c r="AE71" s="3"/>
      <c r="AF71" s="103"/>
      <c r="AG71" s="4"/>
      <c r="AH71" s="3"/>
      <c r="AI71" s="3"/>
      <c r="AJ71" s="103"/>
      <c r="AK71" s="4"/>
      <c r="AL71" s="3"/>
      <c r="AM71" s="3"/>
      <c r="AN71" s="3"/>
      <c r="AO71" s="3"/>
      <c r="AP71" s="103"/>
    </row>
    <row r="72" spans="20:42">
      <c r="T72" s="41">
        <f t="shared" ref="T72:T77" si="1">A31</f>
        <v>8</v>
      </c>
      <c r="V72" s="128" t="str">
        <f>C31</f>
        <v>HOME ENERGY ASSISTANCE (HEA)</v>
      </c>
      <c r="X72" s="1"/>
      <c r="Y72" s="1"/>
      <c r="Z72" s="1"/>
      <c r="AA72" s="1"/>
      <c r="AB72" s="316">
        <f>DSM_RS_CUST</f>
        <v>0.3</v>
      </c>
      <c r="AC72" s="314"/>
      <c r="AD72" s="3">
        <f>ROUND(X64*AB72,0)</f>
        <v>506997</v>
      </c>
      <c r="AE72" s="3"/>
      <c r="AF72" s="103">
        <f>ROUND((AD72/$AD$79)*100,1)</f>
        <v>0.3</v>
      </c>
      <c r="AG72" s="4"/>
      <c r="AH72" s="3">
        <f>L31-AD72</f>
        <v>0</v>
      </c>
      <c r="AI72" s="3"/>
      <c r="AJ72" s="103">
        <f>IFERROR(ROUND((AH72/AD72)*100,1),0)</f>
        <v>0</v>
      </c>
      <c r="AK72" s="4"/>
      <c r="AL72" s="3"/>
      <c r="AM72" s="3"/>
      <c r="AN72" s="3">
        <f>AD72+AL72</f>
        <v>506997</v>
      </c>
      <c r="AO72" s="3"/>
      <c r="AP72" s="103">
        <f>IFERROR(ROUND((AH72/AN72)*100,1),0)</f>
        <v>0</v>
      </c>
    </row>
    <row r="73" spans="20:42">
      <c r="T73" s="41">
        <f t="shared" si="1"/>
        <v>9</v>
      </c>
      <c r="V73" s="128" t="str">
        <f>C32</f>
        <v>DEMAND SIDE MANAGEMENT RIDER (DSMR)</v>
      </c>
      <c r="X73" s="1"/>
      <c r="Y73" s="1"/>
      <c r="Z73" s="1"/>
      <c r="AA73" s="1"/>
      <c r="AB73" s="323">
        <f>DSM_RES</f>
        <v>1.3519999999999999E-3</v>
      </c>
      <c r="AC73" s="314"/>
      <c r="AD73" s="3">
        <f>ROUND(Z67*AB73,0)</f>
        <v>2065490</v>
      </c>
      <c r="AE73" s="3"/>
      <c r="AF73" s="103">
        <f>ROUND((AD73/$AD$79)*100,1)</f>
        <v>1</v>
      </c>
      <c r="AG73" s="4"/>
      <c r="AH73" s="3">
        <f>L32-AD73</f>
        <v>0</v>
      </c>
      <c r="AI73" s="3"/>
      <c r="AJ73" s="103">
        <f>IFERROR(ROUND((AH73/AD73)*100,1),0)</f>
        <v>0</v>
      </c>
      <c r="AK73" s="4"/>
      <c r="AL73" s="3"/>
      <c r="AM73" s="3"/>
      <c r="AN73" s="3">
        <f>AD73+AL73</f>
        <v>2065490</v>
      </c>
      <c r="AO73" s="3"/>
      <c r="AP73" s="103">
        <f>IFERROR(ROUND((AH73/AN73)*100,1),0)</f>
        <v>0</v>
      </c>
    </row>
    <row r="74" spans="20:42">
      <c r="T74" s="41">
        <f t="shared" si="1"/>
        <v>10</v>
      </c>
      <c r="V74" s="128" t="str">
        <f>C33</f>
        <v>ENVIRONMENTAL SURCHARGE MECHANISM RIDER (ESM)</v>
      </c>
      <c r="X74" s="1"/>
      <c r="Y74" s="1"/>
      <c r="Z74" s="1"/>
      <c r="AA74" s="1"/>
      <c r="AB74" s="321">
        <f>CUR_ESM</f>
        <v>4.2117566880979784E-3</v>
      </c>
      <c r="AC74" s="314"/>
      <c r="AD74" s="3">
        <f>ROUND((AN69+AN72+AN73+AN75+AN76)*AB74,0)</f>
        <v>860063</v>
      </c>
      <c r="AE74" s="3"/>
      <c r="AF74" s="103">
        <f>ROUND((AD74/$AD$79)*100,1)</f>
        <v>0.4</v>
      </c>
      <c r="AG74" s="4"/>
      <c r="AH74" s="3">
        <f>L33-AD74</f>
        <v>-18985</v>
      </c>
      <c r="AI74" s="3"/>
      <c r="AJ74" s="103">
        <f>IFERROR(ROUND((AH74/AD74)*100,1),0)</f>
        <v>-2.2000000000000002</v>
      </c>
      <c r="AK74" s="4"/>
      <c r="AL74" s="3"/>
      <c r="AM74" s="3"/>
      <c r="AN74" s="3">
        <f>AD74+AL74</f>
        <v>860063</v>
      </c>
      <c r="AO74" s="3"/>
      <c r="AP74" s="103">
        <f>IFERROR(ROUND((AH74/AN74)*100,1),0)</f>
        <v>-2.2000000000000002</v>
      </c>
    </row>
    <row r="75" spans="20:42">
      <c r="T75" s="41">
        <f t="shared" si="1"/>
        <v>11</v>
      </c>
      <c r="V75" s="128" t="str">
        <f>C34</f>
        <v>FUEL ADJUSTMENT CLAUSE (FAC)</v>
      </c>
      <c r="X75" s="1"/>
      <c r="Y75" s="1"/>
      <c r="Z75" s="1"/>
      <c r="AA75" s="1"/>
      <c r="AB75" s="323">
        <f>CUR_FAC</f>
        <v>3.4872127999999998E-3</v>
      </c>
      <c r="AC75" s="314"/>
      <c r="AD75" s="3"/>
      <c r="AE75" s="3"/>
      <c r="AF75" s="103"/>
      <c r="AG75" s="4"/>
      <c r="AH75" s="3"/>
      <c r="AI75" s="3"/>
      <c r="AJ75" s="103"/>
      <c r="AK75" s="4"/>
      <c r="AL75" s="3">
        <f>ROUND(Z67*CUR_FAC,0)</f>
        <v>5327517</v>
      </c>
      <c r="AM75" s="3"/>
      <c r="AN75" s="3">
        <f>AD75+AL75</f>
        <v>5327517</v>
      </c>
      <c r="AO75" s="3"/>
      <c r="AP75" s="103">
        <f>IFERROR(ROUND((AH75/AN75)*100,1),0)</f>
        <v>0</v>
      </c>
    </row>
    <row r="76" spans="20:42">
      <c r="T76" s="41">
        <f t="shared" si="1"/>
        <v>12</v>
      </c>
      <c r="V76" s="128" t="str">
        <f>C35</f>
        <v>PROFIT SHARING MECHANISM (PSM)</v>
      </c>
      <c r="X76" s="1"/>
      <c r="Y76" s="1"/>
      <c r="Z76" s="1"/>
      <c r="AA76" s="1"/>
      <c r="AB76" s="323">
        <f>RS_PSM</f>
        <v>2.4750000000000002E-3</v>
      </c>
      <c r="AC76" s="314"/>
      <c r="AD76" s="66">
        <f>ROUND(Z67*AB76,0)</f>
        <v>3781130</v>
      </c>
      <c r="AE76" s="3"/>
      <c r="AF76" s="104">
        <f>ROUND((AD76/$AD$79)*100,1)</f>
        <v>1.9</v>
      </c>
      <c r="AG76" s="4"/>
      <c r="AH76" s="66">
        <f>L35-AD76</f>
        <v>0</v>
      </c>
      <c r="AI76" s="3"/>
      <c r="AJ76" s="103">
        <f>IFERROR(ROUND((AH76/AD76)*100,1),0)</f>
        <v>0</v>
      </c>
      <c r="AK76" s="4"/>
      <c r="AL76" s="66"/>
      <c r="AM76" s="3"/>
      <c r="AN76" s="66">
        <f>AD76+AL76</f>
        <v>3781130</v>
      </c>
      <c r="AO76" s="3"/>
      <c r="AP76" s="104">
        <f>IFERROR(ROUND((AH76/AN76)*100,1),0)</f>
        <v>0</v>
      </c>
    </row>
    <row r="77" spans="20:42" ht="18" customHeight="1">
      <c r="T77" s="41">
        <f t="shared" si="1"/>
        <v>13</v>
      </c>
      <c r="V77" s="133" t="s">
        <v>435</v>
      </c>
      <c r="X77" s="8"/>
      <c r="Y77" s="1"/>
      <c r="Z77" s="8"/>
      <c r="AA77" s="1"/>
      <c r="AB77" s="314"/>
      <c r="AC77" s="314"/>
      <c r="AD77" s="72">
        <f>SUM(AD72:AD76)</f>
        <v>7213680</v>
      </c>
      <c r="AE77" s="3"/>
      <c r="AF77" s="105">
        <f>ROUND((AD77/$AD$79)*100,1)</f>
        <v>3.6</v>
      </c>
      <c r="AG77" s="4"/>
      <c r="AH77" s="72">
        <f>SUM(AH72:AH76)</f>
        <v>-18985</v>
      </c>
      <c r="AI77" s="3"/>
      <c r="AJ77" s="105">
        <v>0</v>
      </c>
      <c r="AK77" s="4"/>
      <c r="AL77" s="72">
        <f>SUM(AL72:AL76)</f>
        <v>5327517</v>
      </c>
      <c r="AM77" s="3"/>
      <c r="AN77" s="72">
        <f>SUM(AN72:AN76)</f>
        <v>12541197</v>
      </c>
      <c r="AO77" s="3"/>
      <c r="AP77" s="104">
        <f>ROUND((AH77/AN77)*100,1)</f>
        <v>-0.2</v>
      </c>
    </row>
    <row r="78" spans="20:42">
      <c r="V78" s="42"/>
      <c r="X78" s="1"/>
      <c r="Y78" s="1"/>
      <c r="Z78" s="1"/>
      <c r="AA78" s="1"/>
      <c r="AB78" s="314"/>
      <c r="AC78" s="314"/>
      <c r="AD78" s="3"/>
      <c r="AE78" s="3"/>
      <c r="AF78" s="103"/>
      <c r="AG78" s="4"/>
      <c r="AH78" s="3"/>
      <c r="AI78" s="3"/>
      <c r="AJ78" s="103"/>
      <c r="AK78" s="4"/>
      <c r="AL78" s="3"/>
      <c r="AM78" s="3"/>
      <c r="AN78" s="3"/>
      <c r="AO78" s="3"/>
      <c r="AP78" s="103"/>
    </row>
    <row r="79" spans="20:42" ht="24.95" customHeight="1" thickBot="1">
      <c r="T79" s="41">
        <f>A38</f>
        <v>14</v>
      </c>
      <c r="V79" s="310" t="s">
        <v>436</v>
      </c>
      <c r="X79" s="67">
        <f>X64</f>
        <v>1689991</v>
      </c>
      <c r="Y79" s="1"/>
      <c r="Z79" s="67">
        <f>Z67</f>
        <v>1527729253</v>
      </c>
      <c r="AA79" s="3"/>
      <c r="AB79" s="314"/>
      <c r="AC79" s="314"/>
      <c r="AD79" s="67">
        <f>AD69+AD77</f>
        <v>199737729</v>
      </c>
      <c r="AE79" s="3"/>
      <c r="AF79" s="106">
        <v>100</v>
      </c>
      <c r="AG79" s="4"/>
      <c r="AH79" s="67">
        <f>AH69+AH77</f>
        <v>33271203</v>
      </c>
      <c r="AI79" s="3"/>
      <c r="AJ79" s="106">
        <f>ROUND((AH79/AD79)*100,1)</f>
        <v>16.7</v>
      </c>
      <c r="AK79" s="4"/>
      <c r="AL79" s="67">
        <f>AL69+AL77</f>
        <v>5327517</v>
      </c>
      <c r="AM79" s="3"/>
      <c r="AN79" s="67">
        <f>AN69+AN77</f>
        <v>205065246</v>
      </c>
      <c r="AO79" s="3"/>
      <c r="AP79" s="106">
        <f>ROUND((AH79/AN79)*100,1)</f>
        <v>16.2</v>
      </c>
    </row>
    <row r="80" spans="20:42" ht="24.95" customHeight="1" thickTop="1">
      <c r="V80" s="48"/>
      <c r="X80" s="3"/>
      <c r="Y80" s="1"/>
      <c r="Z80" s="3"/>
      <c r="AA80" s="3"/>
      <c r="AB80" s="314"/>
      <c r="AC80" s="314"/>
      <c r="AD80" s="3"/>
      <c r="AE80" s="3"/>
      <c r="AF80" s="103"/>
      <c r="AG80" s="4"/>
      <c r="AH80" s="3"/>
      <c r="AI80" s="3"/>
      <c r="AJ80" s="103"/>
      <c r="AK80" s="4"/>
      <c r="AL80" s="3"/>
      <c r="AM80" s="3"/>
      <c r="AN80" s="3"/>
      <c r="AO80" s="3"/>
      <c r="AP80" s="103"/>
    </row>
    <row r="81" spans="22:41">
      <c r="V81" s="140" t="s">
        <v>59</v>
      </c>
      <c r="AD81" s="45"/>
      <c r="AE81" s="45"/>
      <c r="AG81" s="45"/>
      <c r="AL81" s="45"/>
      <c r="AM81" s="45"/>
      <c r="AN81" s="45"/>
      <c r="AO81" s="45"/>
    </row>
    <row r="82" spans="22:41">
      <c r="V82" s="140" t="str">
        <f>"(2) REFLECTS FUEL COMPONENT OF "&amp;TEXT(CUR_FAC,"$0.000000;($0.000000)")&amp;"  PER KWH."</f>
        <v>(2) REFLECTS FUEL COMPONENT OF $0.003487  PER KWH.</v>
      </c>
    </row>
    <row r="83" spans="22:41">
      <c r="V83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96" spans="1:101">
      <c r="A196" s="42"/>
    </row>
    <row r="197" spans="1:101">
      <c r="A197" s="42"/>
    </row>
    <row r="198" spans="1:101">
      <c r="A198" s="42"/>
    </row>
    <row r="199" spans="1:101">
      <c r="A199" s="42"/>
    </row>
    <row r="200" spans="1:101">
      <c r="A200" s="42"/>
    </row>
    <row r="201" spans="1:101">
      <c r="A201" s="42"/>
    </row>
    <row r="202" spans="1:101">
      <c r="A202" s="42"/>
    </row>
    <row r="203" spans="1:101">
      <c r="A203" s="42"/>
    </row>
    <row r="204" spans="1:101">
      <c r="A204" s="42"/>
      <c r="CV204" s="42"/>
      <c r="CW204" s="42"/>
    </row>
    <row r="205" spans="1:101">
      <c r="A205" s="42"/>
      <c r="CV205" s="42"/>
      <c r="CW205" s="42"/>
    </row>
    <row r="206" spans="1:101">
      <c r="A206" s="42"/>
      <c r="CV206" s="42"/>
      <c r="CW206" s="42"/>
    </row>
    <row r="207" spans="1:101">
      <c r="CV207" s="42"/>
      <c r="CW207" s="42"/>
    </row>
    <row r="208" spans="1:101">
      <c r="CV208" s="42"/>
      <c r="CW208" s="42"/>
    </row>
    <row r="209" spans="1:101">
      <c r="CV209" s="42"/>
      <c r="CW209" s="42"/>
    </row>
    <row r="210" spans="1:101">
      <c r="CV210" s="42"/>
      <c r="CW210" s="42"/>
    </row>
    <row r="211" spans="1:101">
      <c r="A211" s="42"/>
      <c r="CV211" s="42"/>
      <c r="CW211" s="42"/>
    </row>
    <row r="212" spans="1:101">
      <c r="A212" s="42"/>
      <c r="CV212" s="42"/>
      <c r="CW212" s="42"/>
    </row>
    <row r="213" spans="1:101">
      <c r="CV213" s="42"/>
      <c r="CW213" s="42"/>
    </row>
    <row r="214" spans="1:101">
      <c r="CV214" s="42"/>
      <c r="CW214" s="42"/>
    </row>
    <row r="215" spans="1:101">
      <c r="A215" s="42"/>
      <c r="CV215" s="42"/>
      <c r="CW215" s="42"/>
    </row>
    <row r="216" spans="1:101">
      <c r="CV216" s="42"/>
      <c r="CW216" s="42"/>
    </row>
    <row r="217" spans="1:101">
      <c r="A217" s="42"/>
      <c r="CV217" s="42"/>
      <c r="CW217" s="42"/>
    </row>
    <row r="218" spans="1:101">
      <c r="CV218" s="42"/>
      <c r="CW218" s="42"/>
    </row>
    <row r="219" spans="1:101">
      <c r="A219" s="42"/>
      <c r="CV219" s="42"/>
      <c r="CW219" s="42"/>
    </row>
    <row r="220" spans="1:101">
      <c r="CV220" s="42"/>
      <c r="CW220" s="42"/>
    </row>
    <row r="221" spans="1:101">
      <c r="A221" s="42"/>
      <c r="CV221" s="42"/>
      <c r="CW221" s="42"/>
    </row>
    <row r="222" spans="1:101">
      <c r="CV222" s="42"/>
      <c r="CW222" s="42"/>
    </row>
    <row r="223" spans="1:101">
      <c r="CV223" s="42"/>
      <c r="CW223" s="42"/>
    </row>
    <row r="224" spans="1:101">
      <c r="A224" s="42"/>
      <c r="CV224" s="42"/>
      <c r="CW224" s="42"/>
    </row>
    <row r="225" spans="1:101">
      <c r="A225" s="42"/>
      <c r="CV225" s="42"/>
      <c r="CW225" s="42"/>
    </row>
    <row r="226" spans="1:101">
      <c r="A226" s="42"/>
      <c r="CV226" s="42"/>
      <c r="CW226" s="42"/>
    </row>
    <row r="227" spans="1:101">
      <c r="A227" s="42"/>
      <c r="CV227" s="42"/>
      <c r="CW227" s="42"/>
    </row>
    <row r="228" spans="1:101">
      <c r="A228" s="42"/>
      <c r="CV228" s="42"/>
      <c r="CW228" s="42"/>
    </row>
    <row r="229" spans="1:101">
      <c r="A229" s="42"/>
      <c r="CV229" s="42"/>
      <c r="CW229" s="42"/>
    </row>
    <row r="230" spans="1:101">
      <c r="A230" s="42"/>
      <c r="CV230" s="42"/>
      <c r="CW230" s="42"/>
    </row>
    <row r="231" spans="1:101">
      <c r="A231" s="42"/>
      <c r="CV231" s="42"/>
      <c r="CW231" s="42"/>
    </row>
    <row r="232" spans="1:101">
      <c r="CV232" s="42"/>
      <c r="CW232" s="42"/>
    </row>
    <row r="233" spans="1:101">
      <c r="CV233" s="42"/>
      <c r="CW233" s="42"/>
    </row>
    <row r="234" spans="1:101">
      <c r="CV234" s="42"/>
      <c r="CW234" s="42"/>
    </row>
    <row r="235" spans="1:101">
      <c r="CV235" s="42"/>
      <c r="CW235" s="42"/>
    </row>
    <row r="236" spans="1:101">
      <c r="CV236" s="42"/>
      <c r="CW236" s="42"/>
    </row>
    <row r="237" spans="1:101">
      <c r="CV237" s="42"/>
      <c r="CW237" s="42"/>
    </row>
    <row r="238" spans="1:101">
      <c r="CV238" s="42"/>
      <c r="CW238" s="42"/>
    </row>
    <row r="239" spans="1:101">
      <c r="CV239" s="42"/>
      <c r="CW239" s="42"/>
    </row>
    <row r="240" spans="1:101">
      <c r="CV240" s="42"/>
      <c r="CW240" s="42"/>
    </row>
    <row r="241" spans="100:101">
      <c r="CV241" s="42"/>
      <c r="CW241" s="42"/>
    </row>
    <row r="242" spans="100:101">
      <c r="CV242" s="42"/>
      <c r="CW242" s="42"/>
    </row>
    <row r="243" spans="100:101">
      <c r="CV243" s="42"/>
      <c r="CW243" s="42"/>
    </row>
    <row r="244" spans="100:101">
      <c r="CV244" s="42"/>
      <c r="CW244" s="42"/>
    </row>
    <row r="245" spans="100:101">
      <c r="CV245" s="42"/>
      <c r="CW245" s="42"/>
    </row>
    <row r="246" spans="100:101">
      <c r="CV246" s="42"/>
      <c r="CW246" s="42"/>
    </row>
    <row r="247" spans="100:101">
      <c r="CV247" s="42"/>
      <c r="CW247" s="42"/>
    </row>
    <row r="248" spans="100:101">
      <c r="CV248" s="42"/>
      <c r="CW248" s="42"/>
    </row>
    <row r="249" spans="100:101">
      <c r="CV249" s="42"/>
      <c r="CW249" s="42"/>
    </row>
    <row r="250" spans="100:101">
      <c r="CV250" s="42"/>
      <c r="CW250" s="42"/>
    </row>
    <row r="251" spans="100:101">
      <c r="CV251" s="42"/>
      <c r="CW251" s="42"/>
    </row>
    <row r="252" spans="100:101">
      <c r="CV252" s="42"/>
      <c r="CW252" s="42"/>
    </row>
    <row r="253" spans="100:101">
      <c r="CV253" s="42"/>
      <c r="CW253" s="42"/>
    </row>
    <row r="254" spans="100:101">
      <c r="CV254" s="42"/>
      <c r="CW254" s="42"/>
    </row>
    <row r="255" spans="100:101">
      <c r="CV255" s="42"/>
      <c r="CW255" s="42"/>
    </row>
    <row r="256" spans="100:101">
      <c r="CV256" s="42"/>
      <c r="CW256" s="42"/>
    </row>
    <row r="257" spans="100:101">
      <c r="CV257" s="42"/>
      <c r="CW257" s="42"/>
    </row>
    <row r="258" spans="100:101">
      <c r="CV258" s="42"/>
      <c r="CW258" s="42"/>
    </row>
    <row r="259" spans="100:101">
      <c r="CV259" s="42"/>
      <c r="CW259" s="42"/>
    </row>
    <row r="260" spans="100:101">
      <c r="CV260" s="42"/>
      <c r="CW260" s="42"/>
    </row>
    <row r="261" spans="100:101">
      <c r="CV261" s="42"/>
      <c r="CW261" s="42"/>
    </row>
    <row r="262" spans="100:101">
      <c r="CV262" s="42"/>
      <c r="CW262" s="42"/>
    </row>
    <row r="263" spans="100:101">
      <c r="CV263" s="42"/>
      <c r="CW263" s="42"/>
    </row>
    <row r="264" spans="100:101">
      <c r="CV264" s="42"/>
      <c r="CW264" s="42"/>
    </row>
    <row r="265" spans="100:101">
      <c r="CV265" s="42"/>
      <c r="CW265" s="42"/>
    </row>
    <row r="266" spans="100:101">
      <c r="CV266" s="42"/>
      <c r="CW266" s="42"/>
    </row>
    <row r="267" spans="100:101">
      <c r="CV267" s="42"/>
      <c r="CW267" s="42"/>
    </row>
    <row r="268" spans="100:101">
      <c r="CV268" s="42"/>
      <c r="CW268" s="42"/>
    </row>
    <row r="269" spans="100:101">
      <c r="CV269" s="42"/>
      <c r="CW269" s="42"/>
    </row>
    <row r="270" spans="100:101">
      <c r="CV270" s="42"/>
      <c r="CW270" s="42"/>
    </row>
    <row r="271" spans="100:101">
      <c r="CV271" s="42"/>
      <c r="CW271" s="42"/>
    </row>
    <row r="272" spans="100:101">
      <c r="CV272" s="42"/>
      <c r="CW272" s="42"/>
    </row>
    <row r="273" spans="100:101">
      <c r="CV273" s="42"/>
      <c r="CW273" s="42"/>
    </row>
    <row r="274" spans="100:101">
      <c r="CV274" s="42"/>
      <c r="CW274" s="42"/>
    </row>
    <row r="275" spans="100:101">
      <c r="CV275" s="42"/>
      <c r="CW275" s="42"/>
    </row>
    <row r="276" spans="100:101">
      <c r="CV276" s="42"/>
      <c r="CW276" s="42"/>
    </row>
    <row r="277" spans="100:101">
      <c r="CV277" s="42"/>
      <c r="CW277" s="42"/>
    </row>
    <row r="278" spans="100:101">
      <c r="CV278" s="42"/>
      <c r="CW278" s="42"/>
    </row>
    <row r="279" spans="100:101">
      <c r="CV279" s="42"/>
      <c r="CW279" s="42"/>
    </row>
    <row r="280" spans="100:101">
      <c r="CV280" s="42"/>
      <c r="CW280" s="42"/>
    </row>
    <row r="281" spans="100:101">
      <c r="CV281" s="42"/>
      <c r="CW281" s="42"/>
    </row>
    <row r="282" spans="100:101">
      <c r="CV282" s="42"/>
      <c r="CW282" s="42"/>
    </row>
    <row r="283" spans="100:101">
      <c r="CV283" s="42"/>
      <c r="CW283" s="42"/>
    </row>
    <row r="284" spans="100:101">
      <c r="CV284" s="42"/>
      <c r="CW284" s="42"/>
    </row>
    <row r="285" spans="100:101">
      <c r="CV285" s="42"/>
      <c r="CW285" s="42"/>
    </row>
    <row r="286" spans="100:101">
      <c r="CV286" s="42"/>
      <c r="CW286" s="42"/>
    </row>
    <row r="287" spans="100:101">
      <c r="CV287" s="42"/>
      <c r="CW287" s="42"/>
    </row>
    <row r="288" spans="100:101">
      <c r="CV288" s="42"/>
      <c r="CW288" s="42"/>
    </row>
  </sheetData>
  <customSheetViews>
    <customSheetView guid="{F562D92E-120C-4AE9-9663-89E64D41DC53}" scale="75" fitToPage="1" printArea="1">
      <selection activeCell="L16" sqref="L16"/>
      <rowBreaks count="3" manualBreakCount="3">
        <brk id="30" max="17" man="1"/>
        <brk id="69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"/>
      <headerFooter alignWithMargins="0"/>
    </customSheetView>
    <customSheetView guid="{35F19056-2E6F-4935-B863-78836FE990BF}" scale="75" fitToPage="1" showRuler="0" topLeftCell="A16">
      <selection activeCell="J22" sqref="J22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2"/>
      <headerFooter alignWithMargins="0"/>
    </customSheetView>
    <customSheetView guid="{18BDED73-BFA0-442E-87EC-CED86EE4CF94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3"/>
      <headerFooter alignWithMargins="0"/>
    </customSheetView>
    <customSheetView guid="{0BC1F393-8A13-47D5-BC6C-0C99615B5AB9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4"/>
      <headerFooter alignWithMargins="0"/>
    </customSheetView>
    <customSheetView guid="{6B3D5C27-2FDE-4561-9575-1E98BFB869D0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5"/>
      <headerFooter alignWithMargins="0"/>
    </customSheetView>
    <customSheetView guid="{8FB94551-8874-4095-B8FB-5316E0D2FD2C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6"/>
      <headerFooter alignWithMargins="0"/>
    </customSheetView>
    <customSheetView guid="{8FC77C99-DBF7-40B8-99B8-01B75826CDCB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7"/>
      <headerFooter alignWithMargins="0"/>
    </customSheetView>
    <customSheetView guid="{2EA35095-1ADC-4CC7-8C3C-B487D65FA247}" scale="75" fitToPage="1" showRuler="0" topLeftCell="A26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8"/>
      <headerFooter alignWithMargins="0"/>
    </customSheetView>
    <customSheetView guid="{2431C9E5-7CC2-4B8D-99C3-962247B1DBF5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9"/>
      <headerFooter alignWithMargins="0"/>
    </customSheetView>
    <customSheetView guid="{4BC93440-BA85-4935-A8C9-66DC6AE5DE5E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10"/>
      <headerFooter alignWithMargins="0"/>
    </customSheetView>
    <customSheetView guid="{0C49E549-011E-46F4-A82E-2CC8951A9C1E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1"/>
      <headerFooter alignWithMargins="0"/>
    </customSheetView>
    <customSheetView guid="{195DF303-1BBD-4236-94B5-47432850B006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2"/>
      <headerFooter alignWithMargins="0"/>
    </customSheetView>
  </customSheetViews>
  <phoneticPr fontId="12" type="noConversion"/>
  <pageMargins left="0.5" right="0.5" top="1" bottom="1" header="0.5" footer="0.5"/>
  <pageSetup scale="61" orientation="landscape" horizontalDpi="300" verticalDpi="300" r:id="rId13"/>
  <headerFooter alignWithMargins="0"/>
  <rowBreaks count="2" manualBreakCount="2">
    <brk id="41" max="17" man="1"/>
    <brk id="133" max="65535" man="1"/>
  </rowBreaks>
  <colBreaks count="1" manualBreakCount="1">
    <brk id="1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753F0-3578-4901-B9A9-ED46F1CC57C2}">
  <sheetPr codeName="Sheet21">
    <tabColor rgb="FFFFFF00"/>
    <pageSetUpPr fitToPage="1"/>
  </sheetPr>
  <dimension ref="A1:N1036"/>
  <sheetViews>
    <sheetView workbookViewId="0"/>
  </sheetViews>
  <sheetFormatPr defaultColWidth="7.8984375" defaultRowHeight="12.75"/>
  <cols>
    <col min="1" max="1" width="5.796875" style="547" customWidth="1"/>
    <col min="2" max="2" width="3.09765625" style="547" customWidth="1"/>
    <col min="3" max="3" width="36" style="547" customWidth="1"/>
    <col min="4" max="4" width="7.3984375" style="565" customWidth="1"/>
    <col min="5" max="5" width="7.8984375" style="547" customWidth="1"/>
    <col min="6" max="6" width="12.59765625" style="547" customWidth="1"/>
    <col min="7" max="8" width="10.69921875" style="547" customWidth="1"/>
    <col min="9" max="9" width="12.3984375" style="547" customWidth="1"/>
    <col min="10" max="11" width="10.69921875" style="547" customWidth="1"/>
    <col min="12" max="16384" width="7.8984375" style="547"/>
  </cols>
  <sheetData>
    <row r="1" spans="1:11">
      <c r="A1" s="546" t="str">
        <f>co_name</f>
        <v>DUKE ENERGY KENTUCKY, INC.</v>
      </c>
      <c r="C1" s="548"/>
      <c r="D1" s="549"/>
      <c r="E1" s="548"/>
      <c r="F1" s="548"/>
      <c r="G1" s="548"/>
      <c r="H1" s="548"/>
      <c r="I1" s="548"/>
      <c r="J1" s="550" t="s">
        <v>1161</v>
      </c>
      <c r="K1" s="548"/>
    </row>
    <row r="2" spans="1:11">
      <c r="A2" s="551" t="str">
        <f>F9&amp;" "&amp;"CLASSIFIED - ELECTRIC COST OF SERVICE"</f>
        <v>DISTR. SEC. CLASSIFIED - ELECTRIC COST OF SERVICE</v>
      </c>
      <c r="C2" s="548"/>
      <c r="D2" s="549"/>
      <c r="E2" s="548"/>
      <c r="F2" s="548"/>
      <c r="G2" s="548"/>
      <c r="H2" s="548"/>
      <c r="I2" s="548"/>
      <c r="J2" s="548" t="s">
        <v>4</v>
      </c>
      <c r="K2" s="548"/>
    </row>
    <row r="3" spans="1:11">
      <c r="A3" s="546" t="str">
        <f>case_name</f>
        <v>CASE NO: 2024-00354</v>
      </c>
      <c r="C3" s="548"/>
      <c r="D3" s="549"/>
      <c r="E3" s="548"/>
      <c r="F3" s="548"/>
      <c r="G3" s="548"/>
      <c r="H3" s="548"/>
      <c r="I3" s="548"/>
      <c r="J3" s="548" t="str">
        <f>Witness</f>
        <v>JAMES E. ZIOLKOWSKI</v>
      </c>
      <c r="K3" s="548"/>
    </row>
    <row r="4" spans="1:11">
      <c r="A4" s="546" t="str">
        <f>data_filing</f>
        <v>DATA: 12 MONTHS ACTUAL  &amp; 0 MONTHS ESTIMATED</v>
      </c>
      <c r="C4" s="548"/>
      <c r="D4" s="549"/>
      <c r="E4" s="548"/>
      <c r="F4" s="548"/>
      <c r="G4" s="548"/>
      <c r="H4" s="548"/>
      <c r="I4" s="548"/>
      <c r="J4" s="548" t="str">
        <f>"PAGE "&amp;Pages2-14&amp;" OF "&amp;Pages2</f>
        <v>PAGE 1 OF 15</v>
      </c>
      <c r="K4" s="548"/>
    </row>
    <row r="5" spans="1:11">
      <c r="A5" s="546" t="str">
        <f>type</f>
        <v xml:space="preserve">TYPE OF FILING: "X" ORIGINAL   UPDATED    REVISED  </v>
      </c>
      <c r="C5" s="548"/>
      <c r="D5" s="549"/>
      <c r="E5" s="548"/>
      <c r="F5" s="548"/>
      <c r="G5" s="548"/>
      <c r="H5" s="548"/>
      <c r="I5" s="548"/>
      <c r="J5" s="548"/>
      <c r="K5" s="548"/>
    </row>
    <row r="6" spans="1:11">
      <c r="A6" s="546"/>
      <c r="C6" s="548"/>
      <c r="D6" s="549"/>
      <c r="E6" s="548"/>
      <c r="F6" s="548"/>
      <c r="G6" s="548"/>
      <c r="H6" s="548"/>
      <c r="I6" s="548"/>
      <c r="J6" s="548"/>
      <c r="K6" s="548"/>
    </row>
    <row r="7" spans="1:11">
      <c r="A7" s="546"/>
      <c r="C7" s="548"/>
      <c r="D7" s="549"/>
      <c r="E7" s="548"/>
      <c r="F7" s="548"/>
      <c r="G7" s="548"/>
      <c r="H7" s="548"/>
      <c r="I7" s="548"/>
      <c r="J7" s="548"/>
      <c r="K7" s="548"/>
    </row>
    <row r="8" spans="1:11">
      <c r="A8" s="549" t="s">
        <v>17</v>
      </c>
      <c r="B8" s="548"/>
      <c r="C8" s="548"/>
      <c r="D8" s="549"/>
      <c r="E8" s="548"/>
      <c r="F8" s="549" t="s">
        <v>11</v>
      </c>
      <c r="G8" s="552" t="s">
        <v>1162</v>
      </c>
      <c r="H8" s="553"/>
      <c r="I8" s="554"/>
      <c r="J8" s="549" t="s">
        <v>11</v>
      </c>
      <c r="K8" s="549" t="s">
        <v>1163</v>
      </c>
    </row>
    <row r="9" spans="1:11">
      <c r="A9" s="555" t="s">
        <v>1164</v>
      </c>
      <c r="B9" s="556" t="s">
        <v>1165</v>
      </c>
      <c r="C9" s="556"/>
      <c r="D9" s="555" t="s">
        <v>1166</v>
      </c>
      <c r="E9" s="556"/>
      <c r="F9" s="557" t="s">
        <v>1167</v>
      </c>
      <c r="G9" s="558" t="s">
        <v>108</v>
      </c>
      <c r="H9" s="559" t="s">
        <v>1168</v>
      </c>
      <c r="I9" s="560" t="s">
        <v>20</v>
      </c>
      <c r="J9" s="555" t="s">
        <v>1169</v>
      </c>
      <c r="K9" s="555" t="s">
        <v>543</v>
      </c>
    </row>
    <row r="10" spans="1:11">
      <c r="C10" s="561" t="s">
        <v>1170</v>
      </c>
      <c r="D10" s="549"/>
      <c r="E10" s="548"/>
      <c r="G10" s="562">
        <v>3</v>
      </c>
      <c r="H10" s="563">
        <v>4</v>
      </c>
      <c r="I10" s="564">
        <v>5</v>
      </c>
    </row>
    <row r="11" spans="1:11">
      <c r="A11" s="565">
        <v>1</v>
      </c>
      <c r="B11" s="547" t="s">
        <v>1171</v>
      </c>
      <c r="D11" s="549"/>
      <c r="E11" s="548"/>
      <c r="G11" s="566"/>
      <c r="H11" s="567"/>
      <c r="I11" s="568"/>
    </row>
    <row r="12" spans="1:11">
      <c r="A12" s="565">
        <v>2</v>
      </c>
      <c r="C12" s="547" t="str">
        <f>'[5]FR-16(7)(v)-1 Functional'!C12</f>
        <v>GROSS ELECTRIC PLANT IN SERVICE</v>
      </c>
      <c r="D12" s="549"/>
      <c r="E12" s="548"/>
      <c r="F12" s="569">
        <f>F123</f>
        <v>687300472</v>
      </c>
      <c r="G12" s="570">
        <f>G123</f>
        <v>658588358</v>
      </c>
      <c r="H12" s="571">
        <f>H123</f>
        <v>12342285</v>
      </c>
      <c r="I12" s="572">
        <f>I123</f>
        <v>16369829</v>
      </c>
      <c r="J12" s="569">
        <f>SUM(G12:I12)</f>
        <v>687300472</v>
      </c>
      <c r="K12" s="569">
        <f>F12-J12</f>
        <v>0</v>
      </c>
    </row>
    <row r="13" spans="1:11">
      <c r="A13" s="565">
        <v>3</v>
      </c>
      <c r="C13" s="547" t="str">
        <f>'[5]FR-16(7)(v)-1 Functional'!C13</f>
        <v>TOTAL DEPRECIATION RESERVE</v>
      </c>
      <c r="D13" s="549"/>
      <c r="E13" s="548"/>
      <c r="F13" s="569">
        <f>-F200</f>
        <v>-269402857</v>
      </c>
      <c r="G13" s="570">
        <f>-G200</f>
        <v>-258720795</v>
      </c>
      <c r="H13" s="571">
        <f>-H200</f>
        <v>-4808106</v>
      </c>
      <c r="I13" s="572">
        <f>-I200</f>
        <v>-5873956</v>
      </c>
      <c r="J13" s="569">
        <f>SUM(G13:I13)</f>
        <v>-269402857</v>
      </c>
      <c r="K13" s="569">
        <f>F13-J13</f>
        <v>0</v>
      </c>
    </row>
    <row r="14" spans="1:11">
      <c r="A14" s="565">
        <v>4</v>
      </c>
      <c r="C14" s="573" t="str">
        <f>'[5]FR-16(7)(v)-1 Functional'!C14</f>
        <v>TOTAL RATE BASE ADJUSTMENTS</v>
      </c>
      <c r="D14" s="549"/>
      <c r="E14" s="548"/>
      <c r="F14" s="569">
        <f>F421</f>
        <v>-59929786</v>
      </c>
      <c r="G14" s="570">
        <f>G421</f>
        <v>-65039556</v>
      </c>
      <c r="H14" s="571">
        <f>H421</f>
        <v>6175182</v>
      </c>
      <c r="I14" s="572">
        <f>I421</f>
        <v>-1065412</v>
      </c>
      <c r="J14" s="569">
        <f>SUM(G14:I14)</f>
        <v>-59929786</v>
      </c>
      <c r="K14" s="569">
        <f>F14-J14</f>
        <v>0</v>
      </c>
    </row>
    <row r="15" spans="1:11">
      <c r="A15" s="565">
        <v>5</v>
      </c>
      <c r="C15" s="547" t="str">
        <f>'[5]FR-16(7)(v)-1 Functional'!C15</f>
        <v xml:space="preserve">  TOTAL RATE BASE</v>
      </c>
      <c r="D15" s="549"/>
      <c r="E15" s="548"/>
      <c r="F15" s="574">
        <f t="shared" ref="F15:K15" si="0">SUM(F12:F14)</f>
        <v>357967829</v>
      </c>
      <c r="G15" s="575">
        <f t="shared" si="0"/>
        <v>334828007</v>
      </c>
      <c r="H15" s="576">
        <f t="shared" si="0"/>
        <v>13709361</v>
      </c>
      <c r="I15" s="577">
        <f t="shared" si="0"/>
        <v>9430461</v>
      </c>
      <c r="J15" s="574">
        <f t="shared" si="0"/>
        <v>357967829</v>
      </c>
      <c r="K15" s="574">
        <f t="shared" si="0"/>
        <v>0</v>
      </c>
    </row>
    <row r="16" spans="1:11">
      <c r="A16" s="565">
        <v>6</v>
      </c>
      <c r="D16" s="549"/>
      <c r="E16" s="548"/>
      <c r="G16" s="566"/>
      <c r="H16" s="567"/>
      <c r="I16" s="568"/>
    </row>
    <row r="17" spans="1:11">
      <c r="A17" s="565">
        <v>7</v>
      </c>
      <c r="B17" s="547" t="s">
        <v>1172</v>
      </c>
      <c r="D17" s="549"/>
      <c r="E17" s="548"/>
      <c r="G17" s="566"/>
      <c r="H17" s="567"/>
      <c r="I17" s="568"/>
    </row>
    <row r="18" spans="1:11">
      <c r="A18" s="565">
        <v>8</v>
      </c>
      <c r="C18" s="547" t="str">
        <f>'[5]FR-16(7)(v)-1 Functional'!C18</f>
        <v>TOTAL O&amp;M EXPENSE</v>
      </c>
      <c r="D18" s="549"/>
      <c r="E18" s="548"/>
      <c r="F18" s="569">
        <f>F549</f>
        <v>80854392</v>
      </c>
      <c r="G18" s="570">
        <f>G549</f>
        <v>15801624</v>
      </c>
      <c r="H18" s="571">
        <f>H549</f>
        <v>63603898</v>
      </c>
      <c r="I18" s="572">
        <f>I549</f>
        <v>1448870</v>
      </c>
      <c r="J18" s="569">
        <f>SUM(G18:I18)</f>
        <v>80854392</v>
      </c>
      <c r="K18" s="569">
        <f>F18-J18</f>
        <v>0</v>
      </c>
    </row>
    <row r="19" spans="1:11">
      <c r="A19" s="565">
        <v>9</v>
      </c>
      <c r="C19" s="547" t="str">
        <f>'[5]FR-16(7)(v)-1 Functional'!C19</f>
        <v>TOTAL DEPRECIATION EXPENSE</v>
      </c>
      <c r="D19" s="549"/>
      <c r="E19" s="548"/>
      <c r="F19" s="569">
        <f>F582</f>
        <v>25104072</v>
      </c>
      <c r="G19" s="570">
        <f>G582</f>
        <v>23858498</v>
      </c>
      <c r="H19" s="571">
        <f>H582</f>
        <v>825140</v>
      </c>
      <c r="I19" s="572">
        <f>I582</f>
        <v>420434</v>
      </c>
      <c r="J19" s="569">
        <f>SUM(G19:I19)</f>
        <v>25104072</v>
      </c>
      <c r="K19" s="569">
        <f>F19-J19</f>
        <v>0</v>
      </c>
    </row>
    <row r="20" spans="1:11">
      <c r="A20" s="565">
        <v>10</v>
      </c>
      <c r="C20" s="573" t="str">
        <f>'[5]FR-16(7)(v)-1 Functional'!C20</f>
        <v>TOTAL OTHER TAX &amp; MISC EXPENSE</v>
      </c>
      <c r="D20" s="549"/>
      <c r="E20" s="548"/>
      <c r="F20" s="569">
        <f>F612</f>
        <v>4959105</v>
      </c>
      <c r="G20" s="570">
        <f>G612</f>
        <v>4560437</v>
      </c>
      <c r="H20" s="571">
        <f>H612</f>
        <v>255412</v>
      </c>
      <c r="I20" s="572">
        <f>I612</f>
        <v>143256</v>
      </c>
      <c r="J20" s="569">
        <f>SUM(G20:I20)</f>
        <v>4959105</v>
      </c>
      <c r="K20" s="569">
        <f>F20-J20</f>
        <v>0</v>
      </c>
    </row>
    <row r="21" spans="1:11">
      <c r="A21" s="565">
        <v>11</v>
      </c>
      <c r="C21" s="547" t="str">
        <f>'[5]FR-16(7)(v)-1 Functional'!C21</f>
        <v xml:space="preserve">  TOTAL OP EXP EXCLUDING INC &amp; REV TAX</v>
      </c>
      <c r="D21" s="549"/>
      <c r="E21" s="548"/>
      <c r="F21" s="574">
        <f t="shared" ref="F21:K21" si="1">SUM(F17:F20)</f>
        <v>110917569</v>
      </c>
      <c r="G21" s="575">
        <f t="shared" si="1"/>
        <v>44220559</v>
      </c>
      <c r="H21" s="576">
        <f t="shared" si="1"/>
        <v>64684450</v>
      </c>
      <c r="I21" s="577">
        <f t="shared" si="1"/>
        <v>2012560</v>
      </c>
      <c r="J21" s="574">
        <f t="shared" si="1"/>
        <v>110917569</v>
      </c>
      <c r="K21" s="574">
        <f t="shared" si="1"/>
        <v>0</v>
      </c>
    </row>
    <row r="22" spans="1:11">
      <c r="A22" s="565">
        <v>12</v>
      </c>
      <c r="C22" s="547" t="str">
        <f>'[5]FR-16(7)(v)-1 Functional'!C22</f>
        <v>NET FED INCOME TAX EXP ALLOWABLE</v>
      </c>
      <c r="D22" s="549"/>
      <c r="E22" s="548"/>
      <c r="F22" s="569">
        <f>F676</f>
        <v>5015183</v>
      </c>
      <c r="G22" s="570">
        <f>G676</f>
        <v>4255266</v>
      </c>
      <c r="H22" s="571">
        <f>H676</f>
        <v>645279</v>
      </c>
      <c r="I22" s="572">
        <f>I676</f>
        <v>114638</v>
      </c>
      <c r="J22" s="569">
        <f>SUM(G22:I22)</f>
        <v>5015183</v>
      </c>
      <c r="K22" s="569">
        <f>F22-J22</f>
        <v>0</v>
      </c>
    </row>
    <row r="23" spans="1:11">
      <c r="A23" s="565">
        <v>13</v>
      </c>
      <c r="C23" s="547" t="s">
        <v>1173</v>
      </c>
      <c r="D23" s="549"/>
      <c r="E23" s="548"/>
      <c r="F23" s="569">
        <f>F722</f>
        <v>1116709</v>
      </c>
      <c r="G23" s="570">
        <f>G722</f>
        <v>927626</v>
      </c>
      <c r="H23" s="571">
        <f>H722</f>
        <v>150662</v>
      </c>
      <c r="I23" s="572">
        <f>I722</f>
        <v>38421</v>
      </c>
      <c r="J23" s="569">
        <f>SUM(G23:I23)</f>
        <v>1116709</v>
      </c>
      <c r="K23" s="569">
        <f>F23-J23</f>
        <v>0</v>
      </c>
    </row>
    <row r="24" spans="1:11">
      <c r="A24" s="565">
        <v>14</v>
      </c>
      <c r="C24" s="547" t="s">
        <v>1174</v>
      </c>
      <c r="D24" s="549" t="str">
        <f>'[5]FR-16(7)(v)-1 Functional'!D24</f>
        <v>CW29</v>
      </c>
      <c r="E24" s="548"/>
      <c r="F24" s="578">
        <f>'[5]FR-16(7)(v)-14 TOTAL CLASS'!H24</f>
        <v>0</v>
      </c>
      <c r="G24" s="570">
        <f>'[5]FR-16(7)(v)-3 PROD Demand'!H24+'[5]FR-16(7)(v)-7 TRANS Demand'!H24+'[5]FR-16(7)(v)-11 DIST Demand'!H24</f>
        <v>0</v>
      </c>
      <c r="H24" s="571">
        <f>'[5]FR-16(7)(v)-4 PROD Energy'!H24+'[5]FR-16(7)(v)-8 TRANS Energy'!H24+'[5]FR-16(7)(v)-12 DIST Energy'!H24</f>
        <v>0</v>
      </c>
      <c r="I24" s="572">
        <f>'[5]FR-16(7)(v)-5 PROD Cust'!H24+'[5]FR-16(7)(v)-9 TRANS Cust'!H24+'[5]FR-16(7)(v)-13 DIST Cust'!H24</f>
        <v>0</v>
      </c>
      <c r="J24" s="569">
        <f>SUM(G24:I24)</f>
        <v>0</v>
      </c>
      <c r="K24" s="569">
        <f>F24-J24</f>
        <v>0</v>
      </c>
    </row>
    <row r="25" spans="1:11">
      <c r="A25" s="565">
        <v>15</v>
      </c>
      <c r="C25" s="573" t="str">
        <f>'[5]FR-16(7)(v)-1 Functional'!C25</f>
        <v>REVENUE TAX</v>
      </c>
      <c r="D25" s="549"/>
      <c r="E25" s="548"/>
      <c r="F25" s="569">
        <f>F767</f>
        <v>0</v>
      </c>
      <c r="G25" s="570">
        <f>G767</f>
        <v>0</v>
      </c>
      <c r="H25" s="571">
        <f>H767</f>
        <v>0</v>
      </c>
      <c r="I25" s="572">
        <f>I767</f>
        <v>0</v>
      </c>
      <c r="J25" s="569">
        <f>SUM(G25:I25)</f>
        <v>0</v>
      </c>
      <c r="K25" s="569">
        <f>F25-J25</f>
        <v>0</v>
      </c>
    </row>
    <row r="26" spans="1:11">
      <c r="A26" s="565">
        <v>16</v>
      </c>
      <c r="C26" s="547" t="str">
        <f>'[5]FR-16(7)(v)-1 Functional'!C26</f>
        <v xml:space="preserve">  TOTAL OPERATING EXPENSE</v>
      </c>
      <c r="D26" s="549"/>
      <c r="E26" s="548"/>
      <c r="F26" s="574">
        <f t="shared" ref="F26:K26" si="2">SUM(F21:F25)</f>
        <v>117049461</v>
      </c>
      <c r="G26" s="575">
        <f t="shared" si="2"/>
        <v>49403451</v>
      </c>
      <c r="H26" s="576">
        <f t="shared" si="2"/>
        <v>65480391</v>
      </c>
      <c r="I26" s="577">
        <f t="shared" si="2"/>
        <v>2165619</v>
      </c>
      <c r="J26" s="574">
        <f t="shared" si="2"/>
        <v>117049461</v>
      </c>
      <c r="K26" s="574">
        <f t="shared" si="2"/>
        <v>0</v>
      </c>
    </row>
    <row r="27" spans="1:11">
      <c r="A27" s="565">
        <v>17</v>
      </c>
      <c r="D27" s="549"/>
      <c r="E27" s="548"/>
      <c r="G27" s="566"/>
      <c r="H27" s="567"/>
      <c r="I27" s="568"/>
    </row>
    <row r="28" spans="1:11">
      <c r="A28" s="565">
        <v>18</v>
      </c>
      <c r="B28" s="547" t="s">
        <v>1175</v>
      </c>
      <c r="D28" s="549"/>
      <c r="E28" s="548"/>
      <c r="F28" s="569">
        <f>F433</f>
        <v>28556116</v>
      </c>
      <c r="G28" s="570">
        <f>G433</f>
        <v>26725620</v>
      </c>
      <c r="H28" s="571">
        <f>H433</f>
        <v>1092274</v>
      </c>
      <c r="I28" s="572">
        <f>I433</f>
        <v>738222</v>
      </c>
      <c r="J28" s="569">
        <f>SUM(G28:I28)</f>
        <v>28556116</v>
      </c>
      <c r="K28" s="569">
        <f>F28-J28</f>
        <v>0</v>
      </c>
    </row>
    <row r="29" spans="1:11">
      <c r="A29" s="565">
        <v>19</v>
      </c>
      <c r="B29" s="573" t="s">
        <v>1176</v>
      </c>
      <c r="C29" s="573"/>
      <c r="D29" s="549"/>
      <c r="E29" s="548"/>
      <c r="F29" s="569">
        <f>-F750</f>
        <v>-906669</v>
      </c>
      <c r="G29" s="570">
        <f>-G750</f>
        <v>-847343</v>
      </c>
      <c r="H29" s="571">
        <f>-H750</f>
        <v>0</v>
      </c>
      <c r="I29" s="572">
        <f>-I750</f>
        <v>-59326</v>
      </c>
      <c r="J29" s="569">
        <f>SUM(G29:I29)</f>
        <v>-906669</v>
      </c>
      <c r="K29" s="569">
        <f>F29-J29</f>
        <v>0</v>
      </c>
    </row>
    <row r="30" spans="1:11">
      <c r="A30" s="565">
        <v>20</v>
      </c>
      <c r="C30" s="547" t="str">
        <f>'[5]FR-16(7)(v)-1 Functional'!C30</f>
        <v>TOTAL ELECTRIC COST OF SERVICE</v>
      </c>
      <c r="D30" s="549"/>
      <c r="E30" s="548"/>
      <c r="F30" s="574">
        <f>SUM(F26:F29)</f>
        <v>144698908</v>
      </c>
      <c r="G30" s="579">
        <f>SUM(G26:G29)</f>
        <v>75281728</v>
      </c>
      <c r="H30" s="580">
        <f>SUM(H26:H29)</f>
        <v>66572665</v>
      </c>
      <c r="I30" s="581">
        <f>SUM(I26:I29)</f>
        <v>2844515</v>
      </c>
      <c r="J30" s="574">
        <f>SUM(J26:J29)</f>
        <v>144698908</v>
      </c>
      <c r="K30" s="574">
        <f>F30-J30</f>
        <v>0</v>
      </c>
    </row>
    <row r="31" spans="1:11">
      <c r="A31" s="565">
        <v>21</v>
      </c>
      <c r="B31" s="582" t="s">
        <v>1177</v>
      </c>
      <c r="C31" s="573"/>
      <c r="D31" s="583">
        <f>1-'[5]WP FR-16(7)(v) Rate Incr'!I11</f>
        <v>0.85</v>
      </c>
      <c r="E31" s="548"/>
      <c r="F31" s="584">
        <f>SUM(G31:I31)</f>
        <v>3353314</v>
      </c>
      <c r="G31" s="585">
        <f>'[5]WP FR-16(7)(v) Rate Incr'!T16</f>
        <v>2694757</v>
      </c>
      <c r="H31" s="584">
        <f>'[5]WP FR-16(7)(v) Rate Incr'!U15</f>
        <v>0</v>
      </c>
      <c r="I31" s="586">
        <f>'[5]WP FR-16(7)(v) Rate Incr'!V16</f>
        <v>658557</v>
      </c>
      <c r="J31" s="584">
        <f>SUM(G31:I31)</f>
        <v>3353314</v>
      </c>
      <c r="K31" s="584">
        <f>F31-J31</f>
        <v>0</v>
      </c>
    </row>
    <row r="32" spans="1:11">
      <c r="A32" s="565">
        <v>22</v>
      </c>
      <c r="B32" s="587" t="str">
        <f>'[5]FR-16(7)(v)-1 Functional'!$B$32</f>
        <v>REQUESTED REVENUES (COST OF SERVICE ADJUSTED FOR SUBSIDIES)</v>
      </c>
      <c r="D32" s="549"/>
      <c r="E32" s="548"/>
      <c r="F32" s="569">
        <f t="shared" ref="F32:K32" si="3">F30+F31</f>
        <v>148052222</v>
      </c>
      <c r="G32" s="588">
        <f t="shared" si="3"/>
        <v>77976485</v>
      </c>
      <c r="H32" s="569">
        <f t="shared" si="3"/>
        <v>66572665</v>
      </c>
      <c r="I32" s="589">
        <f t="shared" si="3"/>
        <v>3503072</v>
      </c>
      <c r="J32" s="569">
        <f t="shared" si="3"/>
        <v>148052222</v>
      </c>
      <c r="K32" s="569">
        <f t="shared" si="3"/>
        <v>0</v>
      </c>
    </row>
    <row r="33" spans="1:14">
      <c r="A33" s="565">
        <v>23</v>
      </c>
      <c r="B33" s="590" t="s">
        <v>1178</v>
      </c>
      <c r="C33" s="573"/>
      <c r="D33" s="549"/>
      <c r="E33" s="548"/>
      <c r="F33" s="578">
        <f>'[5]FR-16(7)(v)-14 TOTAL CLASS'!H33</f>
        <v>128946845</v>
      </c>
      <c r="G33" s="588">
        <f>'[5]FR-16(7)(v)-3 PROD Demand'!H33+'[5]FR-16(7)(v)-7 TRANS Demand'!H33+'[5]FR-16(7)(v)-11 DIST Demand'!H33</f>
        <v>21472985</v>
      </c>
      <c r="H33" s="569">
        <f>'[5]FR-16(7)(v)-4 PROD Energy'!H33+'[5]FR-16(7)(v)-8 TRANS Energy'!H33+'[5]FR-16(7)(v)-12 DIST Energy'!H33</f>
        <v>38787354</v>
      </c>
      <c r="I33" s="589">
        <f>'[5]FR-16(7)(v)-5 PROD Cust'!H33+'[5]FR-16(7)(v)-9 TRANS Cust'!H33+'[5]FR-16(7)(v)-13 DIST Cust'!H33</f>
        <v>5544539</v>
      </c>
      <c r="J33" s="569">
        <f>SUM(G33:I33)</f>
        <v>65804878</v>
      </c>
      <c r="K33" s="569">
        <f>F33-J33</f>
        <v>63141967</v>
      </c>
    </row>
    <row r="34" spans="1:14">
      <c r="A34" s="565">
        <v>24</v>
      </c>
      <c r="B34" s="591" t="s">
        <v>1179</v>
      </c>
      <c r="C34" s="592"/>
      <c r="D34" s="593"/>
      <c r="E34" s="594"/>
      <c r="F34" s="595">
        <f t="shared" ref="F34:K34" si="4">F32-F33</f>
        <v>19105377</v>
      </c>
      <c r="G34" s="596">
        <f t="shared" si="4"/>
        <v>56503500</v>
      </c>
      <c r="H34" s="595">
        <f t="shared" si="4"/>
        <v>27785311</v>
      </c>
      <c r="I34" s="597">
        <f t="shared" si="4"/>
        <v>-2041467</v>
      </c>
      <c r="J34" s="595">
        <f t="shared" si="4"/>
        <v>82247344</v>
      </c>
      <c r="K34" s="595">
        <f t="shared" si="4"/>
        <v>-63141967</v>
      </c>
    </row>
    <row r="35" spans="1:14">
      <c r="A35" s="565">
        <v>25</v>
      </c>
      <c r="B35" s="592"/>
      <c r="C35" s="592"/>
      <c r="D35" s="593"/>
      <c r="E35" s="594"/>
      <c r="F35" s="592"/>
      <c r="G35" s="598"/>
      <c r="H35" s="592"/>
      <c r="I35" s="599"/>
      <c r="J35" s="592"/>
      <c r="K35" s="592"/>
    </row>
    <row r="36" spans="1:14">
      <c r="A36" s="565">
        <v>26</v>
      </c>
      <c r="B36" s="592" t="s">
        <v>1180</v>
      </c>
      <c r="C36" s="592"/>
      <c r="D36" s="593"/>
      <c r="E36" s="594"/>
      <c r="F36" s="600">
        <f>F777+F28</f>
        <v>-30673486</v>
      </c>
      <c r="G36" s="601">
        <f>G777+G28</f>
        <v>-13671231</v>
      </c>
      <c r="H36" s="600">
        <f>H777+H28</f>
        <v>-19767516</v>
      </c>
      <c r="I36" s="602">
        <f>I777+I28</f>
        <v>2765262</v>
      </c>
      <c r="J36" s="600">
        <f>J777+J28</f>
        <v>-30673485</v>
      </c>
      <c r="K36" s="600">
        <f>F36-J36</f>
        <v>-1</v>
      </c>
    </row>
    <row r="37" spans="1:14">
      <c r="A37" s="565">
        <v>27</v>
      </c>
      <c r="B37" s="592" t="s">
        <v>1181</v>
      </c>
      <c r="C37" s="592"/>
      <c r="D37" s="593"/>
      <c r="E37" s="594"/>
      <c r="F37" s="603">
        <f t="shared" ref="F37:K37" si="5">IF(F431=0,0,ROUND(F36/F431,5))</f>
        <v>-8.5589999999999999E-2</v>
      </c>
      <c r="G37" s="604">
        <f t="shared" si="5"/>
        <v>-4.0759999999999998E-2</v>
      </c>
      <c r="H37" s="603">
        <f t="shared" si="5"/>
        <v>-1.4420200000000001</v>
      </c>
      <c r="I37" s="605">
        <f t="shared" si="5"/>
        <v>0.29847000000000001</v>
      </c>
      <c r="J37" s="603">
        <f t="shared" si="5"/>
        <v>-8.5589999999999999E-2</v>
      </c>
      <c r="K37" s="603">
        <f t="shared" si="5"/>
        <v>0</v>
      </c>
    </row>
    <row r="38" spans="1:14">
      <c r="A38" s="565">
        <v>28</v>
      </c>
      <c r="B38" s="592" t="s">
        <v>1182</v>
      </c>
      <c r="C38" s="592"/>
      <c r="D38" s="593"/>
      <c r="E38" s="594"/>
      <c r="F38" s="603">
        <f>$F$811</f>
        <v>7.9600000000000004E-2</v>
      </c>
      <c r="G38" s="604">
        <f>F811</f>
        <v>7.9600000000000004E-2</v>
      </c>
      <c r="H38" s="603">
        <f>F811</f>
        <v>7.9600000000000004E-2</v>
      </c>
      <c r="I38" s="605">
        <f>F811</f>
        <v>7.9600000000000004E-2</v>
      </c>
      <c r="J38" s="603">
        <f>F811</f>
        <v>7.9600000000000004E-2</v>
      </c>
      <c r="K38" s="603">
        <f>IF(K37=0,0,F811)</f>
        <v>0</v>
      </c>
      <c r="N38" s="606" t="s">
        <v>1183</v>
      </c>
    </row>
    <row r="39" spans="1:14">
      <c r="A39" s="565">
        <v>29</v>
      </c>
      <c r="B39" s="592" t="s">
        <v>1184</v>
      </c>
      <c r="C39" s="592"/>
      <c r="D39" s="593"/>
      <c r="E39" s="594"/>
      <c r="F39" s="603">
        <f>IF(Equity=0,0,(F37-$F$806-$F$807-$F$809)*TotalCap/Equity)</f>
        <v>-0.20480337954927663</v>
      </c>
      <c r="G39" s="604">
        <f>IF(Equity=0,0,(G37-$F$806-$F$807-$F$809)*TotalCap/Equity)</f>
        <v>-0.1197831415161803</v>
      </c>
      <c r="H39" s="603">
        <f>IF(Equity=0,0,(H37-F806-F807-F809)*TotalCap/Equity)</f>
        <v>-2.7772772023293983</v>
      </c>
      <c r="I39" s="605">
        <f>IF(Equity=0,0,(I37-F806-F807-F809)*TotalCap/Equity)</f>
        <v>0.52356763581969445</v>
      </c>
      <c r="J39" s="603">
        <f>IF(Equity=0,0,(J37-F806-F807-F809)*TotalCap/Equity)</f>
        <v>-0.20480337954927663</v>
      </c>
      <c r="K39" s="603">
        <f>IF(OR(E793=0,K37=0)=TRUE,0,(K37-E806-E807-E809)*E796/E793)</f>
        <v>0</v>
      </c>
      <c r="N39" s="606" t="s">
        <v>1185</v>
      </c>
    </row>
    <row r="40" spans="1:14">
      <c r="A40" s="565">
        <v>30</v>
      </c>
      <c r="B40" s="592" t="s">
        <v>1186</v>
      </c>
      <c r="C40" s="592"/>
      <c r="D40" s="593"/>
      <c r="E40" s="594"/>
      <c r="F40" s="603">
        <f>IF(Equity=0,0,(F38-$F$806-$F$807-$F$809)*TotalCap/Equity)</f>
        <v>0.10847998250040397</v>
      </c>
      <c r="G40" s="604">
        <f>IF(Equity=0,0,(G38-F806-F807-F809)*TotalCap/Equity)</f>
        <v>0.10847998250040397</v>
      </c>
      <c r="H40" s="603">
        <f>IF(Equity=0,0,(H38-F806-F807-F809)*TotalCap/Equity)</f>
        <v>0.10847998250040397</v>
      </c>
      <c r="I40" s="605">
        <f>IF(Equity=0,0,(I38-F806-F807-F809)*TotalCap/Equity)</f>
        <v>0.10847998250040397</v>
      </c>
      <c r="J40" s="603">
        <f>IF(Equity=0,0,(J38-F806-F807-F809)*TotalCap/Equity)</f>
        <v>0.10847998250040397</v>
      </c>
      <c r="K40" s="603">
        <f>IF(OR(Equity=0,K38=0)=TRUE,0,(K38-F806-F807-F809)*TotalCap/Equity)</f>
        <v>0</v>
      </c>
    </row>
    <row r="41" spans="1:14">
      <c r="A41" s="565">
        <v>31</v>
      </c>
      <c r="B41" s="592"/>
      <c r="C41" s="592"/>
      <c r="D41" s="593"/>
      <c r="E41" s="594"/>
      <c r="F41" s="592" t="s">
        <v>173</v>
      </c>
      <c r="G41" s="598"/>
      <c r="H41" s="592"/>
      <c r="I41" s="599"/>
      <c r="J41" s="592"/>
      <c r="K41" s="592"/>
    </row>
    <row r="42" spans="1:14">
      <c r="A42" s="565">
        <v>32</v>
      </c>
      <c r="B42" s="592" t="s">
        <v>1187</v>
      </c>
      <c r="C42" s="592"/>
      <c r="D42" s="593"/>
      <c r="E42" s="594"/>
      <c r="F42" s="607">
        <f>'[5]FR-16(7)(v)-14 TOTAL CLASS'!H42</f>
        <v>128946845</v>
      </c>
      <c r="G42" s="601">
        <f>F42-SUM(H42:I42)</f>
        <v>68862159</v>
      </c>
      <c r="H42" s="600">
        <f>'[5]FR-16(7)(v)-4 PROD Energy'!H42</f>
        <v>57624614</v>
      </c>
      <c r="I42" s="602">
        <f>'[5]FR-16(7)(v)-13 DIST Cust'!H42</f>
        <v>2460072</v>
      </c>
      <c r="J42" s="600">
        <f>SUM(G42:I42)</f>
        <v>128946845</v>
      </c>
      <c r="K42" s="600">
        <f>F42-J42</f>
        <v>0</v>
      </c>
    </row>
    <row r="43" spans="1:14">
      <c r="A43" s="565">
        <v>33</v>
      </c>
      <c r="B43" s="592" t="s">
        <v>1188</v>
      </c>
      <c r="C43" s="592"/>
      <c r="D43" s="593"/>
      <c r="E43" s="594"/>
      <c r="F43" s="600">
        <f t="shared" ref="F43:K43" si="6">F30-F42</f>
        <v>15752063</v>
      </c>
      <c r="G43" s="601">
        <f t="shared" si="6"/>
        <v>6419569</v>
      </c>
      <c r="H43" s="600">
        <f t="shared" si="6"/>
        <v>8948051</v>
      </c>
      <c r="I43" s="602">
        <f t="shared" si="6"/>
        <v>384443</v>
      </c>
      <c r="J43" s="600">
        <f t="shared" si="6"/>
        <v>15752063</v>
      </c>
      <c r="K43" s="600">
        <f t="shared" si="6"/>
        <v>0</v>
      </c>
    </row>
    <row r="44" spans="1:14">
      <c r="A44" s="565">
        <v>34</v>
      </c>
      <c r="B44" s="592"/>
      <c r="C44" s="592" t="s">
        <v>1189</v>
      </c>
      <c r="D44" s="593"/>
      <c r="E44" s="594"/>
      <c r="F44" s="603">
        <f t="shared" ref="F44:K44" si="7">IF(F42=0,0,ROUND(F43/F42,5))</f>
        <v>0.12216</v>
      </c>
      <c r="G44" s="604">
        <f t="shared" si="7"/>
        <v>9.3219999999999997E-2</v>
      </c>
      <c r="H44" s="603">
        <f t="shared" si="7"/>
        <v>0.15528</v>
      </c>
      <c r="I44" s="605">
        <f t="shared" si="7"/>
        <v>0.15626999999999999</v>
      </c>
      <c r="J44" s="603">
        <f t="shared" si="7"/>
        <v>0.12216</v>
      </c>
      <c r="K44" s="600">
        <f t="shared" si="7"/>
        <v>0</v>
      </c>
    </row>
    <row r="45" spans="1:14">
      <c r="A45" s="565">
        <v>35</v>
      </c>
      <c r="B45" s="592" t="s">
        <v>1190</v>
      </c>
      <c r="C45" s="592"/>
      <c r="D45" s="593"/>
      <c r="E45" s="594"/>
      <c r="F45" s="600">
        <f t="shared" ref="F45:K45" si="8">F33-F42</f>
        <v>0</v>
      </c>
      <c r="G45" s="601">
        <f t="shared" si="8"/>
        <v>-47389174</v>
      </c>
      <c r="H45" s="600">
        <f t="shared" si="8"/>
        <v>-18837260</v>
      </c>
      <c r="I45" s="602">
        <f t="shared" si="8"/>
        <v>3084467</v>
      </c>
      <c r="J45" s="600">
        <f t="shared" si="8"/>
        <v>-63141967</v>
      </c>
      <c r="K45" s="600">
        <f t="shared" si="8"/>
        <v>63141967</v>
      </c>
    </row>
    <row r="46" spans="1:14">
      <c r="A46" s="565">
        <v>36</v>
      </c>
      <c r="B46" s="592"/>
      <c r="C46" s="592" t="s">
        <v>1189</v>
      </c>
      <c r="D46" s="593"/>
      <c r="E46" s="594"/>
      <c r="F46" s="603">
        <f t="shared" ref="F46:K46" si="9">IF(F42=0,0,ROUND(F45/F42,5))</f>
        <v>0</v>
      </c>
      <c r="G46" s="608">
        <f t="shared" si="9"/>
        <v>-0.68816999999999995</v>
      </c>
      <c r="H46" s="609">
        <f t="shared" si="9"/>
        <v>-0.32690000000000002</v>
      </c>
      <c r="I46" s="610">
        <f t="shared" si="9"/>
        <v>1.2538100000000001</v>
      </c>
      <c r="J46" s="603">
        <f t="shared" si="9"/>
        <v>-0.48966999999999999</v>
      </c>
      <c r="K46" s="600">
        <f t="shared" si="9"/>
        <v>0</v>
      </c>
    </row>
    <row r="47" spans="1:14">
      <c r="A47" s="546"/>
      <c r="C47" s="548"/>
      <c r="D47" s="549"/>
      <c r="E47" s="548"/>
      <c r="F47" s="548"/>
      <c r="G47" s="548"/>
      <c r="H47" s="548"/>
      <c r="I47" s="548"/>
      <c r="J47" s="548"/>
      <c r="K47" s="548"/>
    </row>
    <row r="48" spans="1:14">
      <c r="A48" s="546" t="str">
        <f>co_name</f>
        <v>DUKE ENERGY KENTUCKY, INC.</v>
      </c>
      <c r="C48" s="548"/>
      <c r="D48" s="549"/>
      <c r="E48" s="548"/>
      <c r="F48" s="548"/>
      <c r="G48" s="548"/>
      <c r="H48" s="548"/>
      <c r="I48" s="548"/>
      <c r="J48" s="548" t="str">
        <f>J1</f>
        <v>FR-16(7)(v)-16</v>
      </c>
      <c r="K48" s="548"/>
    </row>
    <row r="49" spans="1:11">
      <c r="A49" s="546" t="str">
        <f>$A$2</f>
        <v>DISTR. SEC. CLASSIFIED - ELECTRIC COST OF SERVICE</v>
      </c>
      <c r="C49" s="548"/>
      <c r="D49" s="549"/>
      <c r="E49" s="548"/>
      <c r="F49" s="548"/>
      <c r="G49" s="548"/>
      <c r="H49" s="548"/>
      <c r="I49" s="548"/>
      <c r="J49" s="548" t="str">
        <f>J2</f>
        <v>WITNESS RESPONSIBLE:</v>
      </c>
      <c r="K49" s="548"/>
    </row>
    <row r="50" spans="1:11">
      <c r="A50" s="546" t="str">
        <f>case_name</f>
        <v>CASE NO: 2024-00354</v>
      </c>
      <c r="C50" s="548"/>
      <c r="D50" s="549"/>
      <c r="E50" s="548"/>
      <c r="F50" s="548"/>
      <c r="G50" s="548"/>
      <c r="H50" s="548"/>
      <c r="I50" s="548"/>
      <c r="J50" s="548" t="str">
        <f>Witness</f>
        <v>JAMES E. ZIOLKOWSKI</v>
      </c>
      <c r="K50" s="548"/>
    </row>
    <row r="51" spans="1:11">
      <c r="A51" s="546" t="str">
        <f>data_filing</f>
        <v>DATA: 12 MONTHS ACTUAL  &amp; 0 MONTHS ESTIMATED</v>
      </c>
      <c r="C51" s="548"/>
      <c r="D51" s="549"/>
      <c r="E51" s="548"/>
      <c r="F51" s="548"/>
      <c r="G51" s="548"/>
      <c r="H51" s="548"/>
      <c r="I51" s="548"/>
      <c r="J51" s="548" t="str">
        <f>"PAGE "&amp;Pages2-13&amp;" OF "&amp;Pages2</f>
        <v>PAGE 2 OF 15</v>
      </c>
      <c r="K51" s="548"/>
    </row>
    <row r="52" spans="1:11">
      <c r="A52" s="546" t="str">
        <f>type</f>
        <v xml:space="preserve">TYPE OF FILING: "X" ORIGINAL   UPDATED    REVISED  </v>
      </c>
      <c r="C52" s="548"/>
      <c r="D52" s="549"/>
      <c r="E52" s="548"/>
      <c r="F52" s="548"/>
      <c r="G52" s="548"/>
      <c r="H52" s="548"/>
      <c r="I52" s="548"/>
      <c r="J52" s="548"/>
      <c r="K52" s="548"/>
    </row>
    <row r="53" spans="1:11">
      <c r="A53" s="546"/>
      <c r="C53" s="548"/>
      <c r="D53" s="549"/>
      <c r="E53" s="548"/>
      <c r="F53" s="548"/>
      <c r="G53" s="548"/>
      <c r="H53" s="548"/>
      <c r="I53" s="548"/>
      <c r="J53" s="548"/>
      <c r="K53" s="548"/>
    </row>
    <row r="54" spans="1:11">
      <c r="A54" s="546"/>
      <c r="C54" s="548"/>
      <c r="D54" s="549"/>
      <c r="E54" s="548"/>
      <c r="F54" s="548"/>
      <c r="G54" s="548"/>
      <c r="H54" s="548"/>
      <c r="I54" s="548"/>
      <c r="J54" s="548"/>
      <c r="K54" s="548"/>
    </row>
    <row r="55" spans="1:11">
      <c r="A55" s="549" t="s">
        <v>17</v>
      </c>
      <c r="B55" s="548"/>
      <c r="C55" s="548"/>
      <c r="D55" s="549"/>
      <c r="E55" s="548"/>
      <c r="F55" s="549" t="s">
        <v>11</v>
      </c>
      <c r="G55" s="552" t="s">
        <v>1162</v>
      </c>
      <c r="H55" s="553"/>
      <c r="I55" s="554"/>
      <c r="J55" s="549" t="s">
        <v>11</v>
      </c>
      <c r="K55" s="549" t="s">
        <v>1163</v>
      </c>
    </row>
    <row r="56" spans="1:11">
      <c r="A56" s="555" t="s">
        <v>1164</v>
      </c>
      <c r="B56" s="556" t="s">
        <v>1191</v>
      </c>
      <c r="C56" s="556"/>
      <c r="D56" s="555" t="s">
        <v>1166</v>
      </c>
      <c r="E56" s="556"/>
      <c r="F56" s="555" t="str">
        <f>$F$9</f>
        <v>DISTR. SEC.</v>
      </c>
      <c r="G56" s="611" t="str">
        <f t="shared" ref="G56:I57" si="10">G9</f>
        <v>DEMAND</v>
      </c>
      <c r="H56" s="612" t="str">
        <f t="shared" si="10"/>
        <v>ENERGY</v>
      </c>
      <c r="I56" s="613" t="str">
        <f t="shared" si="10"/>
        <v>CUSTOMER</v>
      </c>
      <c r="J56" s="555" t="s">
        <v>1169</v>
      </c>
      <c r="K56" s="555" t="s">
        <v>543</v>
      </c>
    </row>
    <row r="57" spans="1:11">
      <c r="C57" s="561" t="s">
        <v>1192</v>
      </c>
      <c r="D57" s="549"/>
      <c r="E57" s="548"/>
      <c r="G57" s="614">
        <f t="shared" si="10"/>
        <v>3</v>
      </c>
      <c r="H57" s="615">
        <f t="shared" si="10"/>
        <v>4</v>
      </c>
      <c r="I57" s="616">
        <f t="shared" si="10"/>
        <v>5</v>
      </c>
      <c r="K57" s="547" t="s">
        <v>173</v>
      </c>
    </row>
    <row r="58" spans="1:11">
      <c r="A58" s="565">
        <v>1</v>
      </c>
      <c r="B58" s="547" t="s">
        <v>1193</v>
      </c>
      <c r="E58" s="548"/>
      <c r="G58" s="566"/>
      <c r="H58" s="567"/>
      <c r="I58" s="568"/>
    </row>
    <row r="59" spans="1:11">
      <c r="A59" s="565">
        <v>2</v>
      </c>
      <c r="C59" s="547" t="s">
        <v>1194</v>
      </c>
      <c r="D59" s="549" t="str">
        <f>'[5]FR-16(7)(v)-1 Functional'!D59</f>
        <v>K201</v>
      </c>
      <c r="E59" s="548"/>
      <c r="F59" s="578">
        <f>'[5]FR-16(7)(v)-14 TOTAL CLASS'!H59</f>
        <v>273833422</v>
      </c>
      <c r="G59" s="570">
        <f>'[5]FR-16(7)(v)-3 PROD Demand'!H59+'[5]FR-16(7)(v)-7 TRANS Demand'!H59+'[5]FR-16(7)(v)-11 DIST Demand'!H59</f>
        <v>273833422</v>
      </c>
      <c r="H59" s="571">
        <f>'[5]FR-16(7)(v)-4 PROD Energy'!H59+'[5]FR-16(7)(v)-8 TRANS Energy'!H59+'[5]FR-16(7)(v)-12 DIST Energy'!H59</f>
        <v>0</v>
      </c>
      <c r="I59" s="572">
        <f>'[5]FR-16(7)(v)-5 PROD Cust'!H59+'[5]FR-16(7)(v)-9 TRANS Cust'!H59+'[5]FR-16(7)(v)-13 DIST Cust'!H59</f>
        <v>0</v>
      </c>
      <c r="J59" s="569">
        <f>SUM(G59:I59)</f>
        <v>273833422</v>
      </c>
      <c r="K59" s="569">
        <f>F59-J59</f>
        <v>0</v>
      </c>
    </row>
    <row r="60" spans="1:11">
      <c r="A60" s="565">
        <v>3</v>
      </c>
      <c r="C60" s="547" t="s">
        <v>1195</v>
      </c>
      <c r="D60" s="549" t="str">
        <f>'[5]FR-16(7)(v)-1 Functional'!D60</f>
        <v>K201</v>
      </c>
      <c r="E60" s="548"/>
      <c r="F60" s="578">
        <f>'[5]FR-16(7)(v)-14 TOTAL CLASS'!H60</f>
        <v>115988952</v>
      </c>
      <c r="G60" s="570">
        <f>'[5]FR-16(7)(v)-3 PROD Demand'!H60+'[5]FR-16(7)(v)-7 TRANS Demand'!H60+'[5]FR-16(7)(v)-11 DIST Demand'!H60</f>
        <v>115988952</v>
      </c>
      <c r="H60" s="571">
        <f>'[5]FR-16(7)(v)-4 PROD Energy'!H60+'[5]FR-16(7)(v)-8 TRANS Energy'!H60+'[5]FR-16(7)(v)-12 DIST Energy'!H60</f>
        <v>0</v>
      </c>
      <c r="I60" s="572">
        <f>'[5]FR-16(7)(v)-5 PROD Cust'!H60+'[5]FR-16(7)(v)-9 TRANS Cust'!H60+'[5]FR-16(7)(v)-13 DIST Cust'!H60</f>
        <v>0</v>
      </c>
      <c r="J60" s="569">
        <f>SUM(G60:I60)</f>
        <v>115988952</v>
      </c>
      <c r="K60" s="569">
        <f>F60-J60</f>
        <v>0</v>
      </c>
    </row>
    <row r="61" spans="1:11">
      <c r="A61" s="565">
        <v>4</v>
      </c>
      <c r="C61" s="573" t="str">
        <f>'[5]FR-16(7)(v)-1 Functional'!C61</f>
        <v>ADJUSTMENT</v>
      </c>
      <c r="D61" s="549" t="str">
        <f>'[5]FR-16(7)(v)-1 Functional'!D61</f>
        <v>K201</v>
      </c>
      <c r="E61" s="548"/>
      <c r="F61" s="578">
        <f>'[5]FR-16(7)(v)-14 TOTAL CLASS'!H61</f>
        <v>0</v>
      </c>
      <c r="G61" s="570">
        <f>'[5]FR-16(7)(v)-3 PROD Demand'!H61+'[5]FR-16(7)(v)-7 TRANS Demand'!H61+'[5]FR-16(7)(v)-11 DIST Demand'!H61</f>
        <v>0</v>
      </c>
      <c r="H61" s="571">
        <f>'[5]FR-16(7)(v)-4 PROD Energy'!H61+'[5]FR-16(7)(v)-8 TRANS Energy'!H61+'[5]FR-16(7)(v)-12 DIST Energy'!H61</f>
        <v>0</v>
      </c>
      <c r="I61" s="572">
        <f>'[5]FR-16(7)(v)-5 PROD Cust'!H61+'[5]FR-16(7)(v)-9 TRANS Cust'!H61+'[5]FR-16(7)(v)-13 DIST Cust'!H61</f>
        <v>0</v>
      </c>
      <c r="J61" s="569">
        <f>SUM(G61:I61)</f>
        <v>0</v>
      </c>
      <c r="K61" s="569">
        <f>F61-J61</f>
        <v>0</v>
      </c>
    </row>
    <row r="62" spans="1:11">
      <c r="A62" s="565">
        <v>5</v>
      </c>
      <c r="C62" s="547" t="str">
        <f>'[5]FR-16(7)(v)-1 Functional'!C62</f>
        <v xml:space="preserve">  PRODUCTION PLANT IN SERVICE</v>
      </c>
      <c r="D62" s="549"/>
      <c r="E62" s="548"/>
      <c r="F62" s="574">
        <f t="shared" ref="F62:K62" si="11">SUM(F59:F61)</f>
        <v>389822374</v>
      </c>
      <c r="G62" s="575">
        <f t="shared" si="11"/>
        <v>389822374</v>
      </c>
      <c r="H62" s="576">
        <f t="shared" si="11"/>
        <v>0</v>
      </c>
      <c r="I62" s="577">
        <f t="shared" si="11"/>
        <v>0</v>
      </c>
      <c r="J62" s="574">
        <f t="shared" si="11"/>
        <v>389822374</v>
      </c>
      <c r="K62" s="574">
        <f t="shared" si="11"/>
        <v>0</v>
      </c>
    </row>
    <row r="63" spans="1:11">
      <c r="A63" s="565">
        <v>6</v>
      </c>
      <c r="D63" s="549"/>
      <c r="E63" s="548"/>
      <c r="G63" s="566"/>
      <c r="H63" s="567"/>
      <c r="I63" s="568"/>
    </row>
    <row r="64" spans="1:11">
      <c r="A64" s="565">
        <v>7</v>
      </c>
      <c r="B64" s="547" t="s">
        <v>1196</v>
      </c>
      <c r="D64" s="549"/>
      <c r="E64" s="548"/>
      <c r="G64" s="566"/>
      <c r="H64" s="567"/>
      <c r="I64" s="568"/>
    </row>
    <row r="65" spans="1:11">
      <c r="A65" s="565">
        <v>8</v>
      </c>
      <c r="C65" s="547" t="s">
        <v>1197</v>
      </c>
      <c r="D65" s="549" t="str">
        <f>'[5]FR-16(7)(v)-1 Functional'!D65</f>
        <v>K202</v>
      </c>
      <c r="E65" s="548"/>
      <c r="F65" s="578">
        <f>'[5]FR-16(7)(v)-14 TOTAL CLASS'!H65</f>
        <v>0</v>
      </c>
      <c r="G65" s="570">
        <f>'[5]FR-16(7)(v)-3 PROD Demand'!H65+'[5]FR-16(7)(v)-7 TRANS Demand'!H65+'[5]FR-16(7)(v)-11 DIST Demand'!H65</f>
        <v>0</v>
      </c>
      <c r="H65" s="571">
        <f>'[5]FR-16(7)(v)-4 PROD Energy'!H65+'[5]FR-16(7)(v)-8 TRANS Energy'!H65+'[5]FR-16(7)(v)-12 DIST Energy'!H65</f>
        <v>0</v>
      </c>
      <c r="I65" s="572">
        <f>'[5]FR-16(7)(v)-5 PROD Cust'!H65+'[5]FR-16(7)(v)-9 TRANS Cust'!H65+'[5]FR-16(7)(v)-13 DIST Cust'!H65</f>
        <v>0</v>
      </c>
      <c r="J65" s="569">
        <f>SUM(G65:I65)</f>
        <v>0</v>
      </c>
      <c r="K65" s="569">
        <f>F65-J65</f>
        <v>0</v>
      </c>
    </row>
    <row r="66" spans="1:11">
      <c r="A66" s="565">
        <v>9</v>
      </c>
      <c r="C66" s="547" t="s">
        <v>1198</v>
      </c>
      <c r="D66" s="549" t="str">
        <f>'[5]FR-16(7)(v)-1 Functional'!D66</f>
        <v>K202</v>
      </c>
      <c r="E66" s="548"/>
      <c r="F66" s="578">
        <f>'[5]FR-16(7)(v)-14 TOTAL CLASS'!H66</f>
        <v>47226037</v>
      </c>
      <c r="G66" s="570">
        <f>'[5]FR-16(7)(v)-3 PROD Demand'!H66+'[5]FR-16(7)(v)-7 TRANS Demand'!H66+'[5]FR-16(7)(v)-11 DIST Demand'!H66</f>
        <v>47226037</v>
      </c>
      <c r="H66" s="571">
        <f>'[5]FR-16(7)(v)-4 PROD Energy'!H66+'[5]FR-16(7)(v)-8 TRANS Energy'!H66+'[5]FR-16(7)(v)-12 DIST Energy'!H66</f>
        <v>0</v>
      </c>
      <c r="I66" s="572">
        <f>'[5]FR-16(7)(v)-5 PROD Cust'!H66+'[5]FR-16(7)(v)-9 TRANS Cust'!H66+'[5]FR-16(7)(v)-13 DIST Cust'!H66</f>
        <v>0</v>
      </c>
      <c r="J66" s="569">
        <f>SUM(G66:I66)</f>
        <v>47226037</v>
      </c>
      <c r="K66" s="569">
        <f>F66-J66</f>
        <v>0</v>
      </c>
    </row>
    <row r="67" spans="1:11">
      <c r="A67" s="565">
        <v>10</v>
      </c>
      <c r="C67" s="573" t="s">
        <v>1199</v>
      </c>
      <c r="D67" s="549" t="str">
        <f>'[5]FR-16(7)(v)-1 Functional'!D67</f>
        <v>K202</v>
      </c>
      <c r="E67" s="548"/>
      <c r="F67" s="578">
        <f>'[5]FR-16(7)(v)-14 TOTAL CLASS'!H67</f>
        <v>0</v>
      </c>
      <c r="G67" s="570">
        <f>'[5]FR-16(7)(v)-3 PROD Demand'!H67+'[5]FR-16(7)(v)-7 TRANS Demand'!H67+'[5]FR-16(7)(v)-11 DIST Demand'!H67</f>
        <v>0</v>
      </c>
      <c r="H67" s="571">
        <f>'[5]FR-16(7)(v)-4 PROD Energy'!H67+'[5]FR-16(7)(v)-8 TRANS Energy'!H67+'[5]FR-16(7)(v)-12 DIST Energy'!H67</f>
        <v>0</v>
      </c>
      <c r="I67" s="572">
        <f>'[5]FR-16(7)(v)-5 PROD Cust'!H67+'[5]FR-16(7)(v)-9 TRANS Cust'!H67+'[5]FR-16(7)(v)-13 DIST Cust'!H67</f>
        <v>0</v>
      </c>
      <c r="J67" s="569">
        <f>SUM(G67:I67)</f>
        <v>0</v>
      </c>
      <c r="K67" s="569">
        <f>F67-J67</f>
        <v>0</v>
      </c>
    </row>
    <row r="68" spans="1:11">
      <c r="A68" s="565">
        <v>11</v>
      </c>
      <c r="C68" s="547" t="str">
        <f>'[5]FR-16(7)(v)-1 Functional'!C68</f>
        <v xml:space="preserve">  TRANSMISSION PLANT IN SERVICE</v>
      </c>
      <c r="D68" s="549"/>
      <c r="E68" s="548"/>
      <c r="F68" s="574">
        <f t="shared" ref="F68:K68" si="12">SUM(F65:F67)</f>
        <v>47226037</v>
      </c>
      <c r="G68" s="575">
        <f t="shared" si="12"/>
        <v>47226037</v>
      </c>
      <c r="H68" s="576">
        <f t="shared" si="12"/>
        <v>0</v>
      </c>
      <c r="I68" s="577">
        <f t="shared" si="12"/>
        <v>0</v>
      </c>
      <c r="J68" s="574">
        <f t="shared" si="12"/>
        <v>47226037</v>
      </c>
      <c r="K68" s="574">
        <f t="shared" si="12"/>
        <v>0</v>
      </c>
    </row>
    <row r="69" spans="1:11">
      <c r="A69" s="565">
        <v>12</v>
      </c>
      <c r="D69" s="549"/>
      <c r="E69" s="548"/>
      <c r="G69" s="566"/>
      <c r="H69" s="567"/>
      <c r="I69" s="568"/>
    </row>
    <row r="70" spans="1:11">
      <c r="A70" s="565">
        <v>13</v>
      </c>
      <c r="B70" s="547" t="s">
        <v>1200</v>
      </c>
      <c r="D70" s="549"/>
      <c r="E70" s="548"/>
      <c r="F70" s="569">
        <f t="shared" ref="F70:K70" si="13">F68+F62</f>
        <v>437048411</v>
      </c>
      <c r="G70" s="570">
        <f t="shared" si="13"/>
        <v>437048411</v>
      </c>
      <c r="H70" s="571">
        <f t="shared" si="13"/>
        <v>0</v>
      </c>
      <c r="I70" s="572">
        <f t="shared" si="13"/>
        <v>0</v>
      </c>
      <c r="J70" s="569">
        <f t="shared" si="13"/>
        <v>437048411</v>
      </c>
      <c r="K70" s="569">
        <f t="shared" si="13"/>
        <v>0</v>
      </c>
    </row>
    <row r="71" spans="1:11">
      <c r="A71" s="565">
        <v>14</v>
      </c>
      <c r="D71" s="549"/>
      <c r="E71" s="548"/>
      <c r="G71" s="566"/>
      <c r="H71" s="567"/>
      <c r="I71" s="568"/>
    </row>
    <row r="72" spans="1:11">
      <c r="A72" s="565">
        <v>15</v>
      </c>
      <c r="B72" s="547" t="s">
        <v>1201</v>
      </c>
      <c r="D72" s="549"/>
      <c r="E72" s="548"/>
      <c r="G72" s="566"/>
      <c r="H72" s="567"/>
      <c r="I72" s="568"/>
    </row>
    <row r="73" spans="1:11">
      <c r="A73" s="565">
        <v>16</v>
      </c>
      <c r="C73" s="547" t="str">
        <f>'[5]FR-16(7)(v)-1 Functional'!C73</f>
        <v>SUBSTATIONS</v>
      </c>
      <c r="D73" s="549" t="str">
        <f>'[5]FR-16(7)(v)-1 Functional'!D73</f>
        <v>K215</v>
      </c>
      <c r="E73" s="548"/>
      <c r="F73" s="578">
        <f>'[5]FR-16(7)(v)-14 TOTAL CLASS'!H73</f>
        <v>57934105</v>
      </c>
      <c r="G73" s="570">
        <f>'[5]FR-16(7)(v)-3 PROD Demand'!H73+'[5]FR-16(7)(v)-7 TRANS Demand'!H73+'[5]FR-16(7)(v)-11 DIST Demand'!H73</f>
        <v>57934105</v>
      </c>
      <c r="H73" s="571">
        <f>'[5]FR-16(7)(v)-4 PROD Energy'!H73+'[5]FR-16(7)(v)-8 TRANS Energy'!H73+'[5]FR-16(7)(v)-12 DIST Energy'!H73</f>
        <v>0</v>
      </c>
      <c r="I73" s="572">
        <f>'[5]FR-16(7)(v)-5 PROD Cust'!H73+'[5]FR-16(7)(v)-9 TRANS Cust'!H73+'[5]FR-16(7)(v)-13 DIST Cust'!H73</f>
        <v>0</v>
      </c>
      <c r="J73" s="569">
        <f>SUM(G73:I73)</f>
        <v>57934105</v>
      </c>
      <c r="K73" s="569">
        <f>F73-J73</f>
        <v>0</v>
      </c>
    </row>
    <row r="74" spans="1:11">
      <c r="A74" s="565">
        <v>17</v>
      </c>
      <c r="C74" s="547" t="str">
        <f>'[5]FR-16(7)(v)-1 Functional'!C74</f>
        <v>POLES, TOWERS  &amp; FIXTURES - PRIMARY - DEMAND</v>
      </c>
      <c r="D74" s="549" t="str">
        <f>'[5]FR-16(7)(v)-1 Functional'!D74</f>
        <v>K205</v>
      </c>
      <c r="E74" s="548"/>
      <c r="F74" s="578">
        <f>'[5]FR-16(7)(v)-14 TOTAL CLASS'!H74</f>
        <v>14316095</v>
      </c>
      <c r="G74" s="570">
        <f>'[5]FR-16(7)(v)-3 PROD Demand'!H74+'[5]FR-16(7)(v)-7 TRANS Demand'!H74+'[5]FR-16(7)(v)-11 DIST Demand'!H74</f>
        <v>14316095</v>
      </c>
      <c r="H74" s="571">
        <f>'[5]FR-16(7)(v)-4 PROD Energy'!H74+'[5]FR-16(7)(v)-8 TRANS Energy'!H74+'[5]FR-16(7)(v)-12 DIST Energy'!H74</f>
        <v>0</v>
      </c>
      <c r="I74" s="572">
        <f>'[5]FR-16(7)(v)-5 PROD Cust'!H74+'[5]FR-16(7)(v)-9 TRANS Cust'!H74+'[5]FR-16(7)(v)-13 DIST Cust'!H74</f>
        <v>0</v>
      </c>
      <c r="J74" s="569">
        <f>SUM(G74:I74)</f>
        <v>14316095</v>
      </c>
      <c r="K74" s="569">
        <f>F74-J74</f>
        <v>0</v>
      </c>
    </row>
    <row r="75" spans="1:11">
      <c r="A75" s="565">
        <v>18</v>
      </c>
      <c r="C75" s="547" t="str">
        <f>'[5]FR-16(7)(v)-1 Functional'!C75</f>
        <v>POLES, TOWERS  &amp; FIXTURES - PRIMARY - CUSTOMER</v>
      </c>
      <c r="D75" s="549" t="str">
        <f>'[5]FR-16(7)(v)-1 Functional'!D75</f>
        <v>K405</v>
      </c>
      <c r="E75" s="548"/>
      <c r="F75" s="578">
        <f>'[5]FR-16(7)(v)-14 TOTAL CLASS'!H75</f>
        <v>1694540</v>
      </c>
      <c r="G75" s="570">
        <f>'[5]FR-16(7)(v)-3 PROD Demand'!H75+'[5]FR-16(7)(v)-7 TRANS Demand'!H75+'[5]FR-16(7)(v)-11 DIST Demand'!H75</f>
        <v>0</v>
      </c>
      <c r="H75" s="571">
        <f>'[5]FR-16(7)(v)-4 PROD Energy'!H75+'[5]FR-16(7)(v)-8 TRANS Energy'!H75+'[5]FR-16(7)(v)-12 DIST Energy'!H75</f>
        <v>0</v>
      </c>
      <c r="I75" s="572">
        <f>'[5]FR-16(7)(v)-5 PROD Cust'!H75+'[5]FR-16(7)(v)-9 TRANS Cust'!H75+'[5]FR-16(7)(v)-13 DIST Cust'!H75</f>
        <v>1694540</v>
      </c>
      <c r="J75" s="569">
        <f t="shared" ref="J75:J93" si="14">SUM(G75:I75)</f>
        <v>1694540</v>
      </c>
      <c r="K75" s="569">
        <f t="shared" ref="K75:K93" si="15">F75-J75</f>
        <v>0</v>
      </c>
    </row>
    <row r="76" spans="1:11">
      <c r="A76" s="565">
        <v>19</v>
      </c>
      <c r="C76" s="547" t="str">
        <f>'[5]FR-16(7)(v)-1 Functional'!C76</f>
        <v>POLES, TOWERS  &amp; FIXTURES - SECONDARY - DEMAND</v>
      </c>
      <c r="D76" s="549" t="str">
        <f>'[5]FR-16(7)(v)-1 Functional'!D76</f>
        <v>K206</v>
      </c>
      <c r="E76" s="548"/>
      <c r="F76" s="578">
        <f>'[5]FR-16(7)(v)-14 TOTAL CLASS'!H76</f>
        <v>5665794</v>
      </c>
      <c r="G76" s="570">
        <f>'[5]FR-16(7)(v)-3 PROD Demand'!H76+'[5]FR-16(7)(v)-7 TRANS Demand'!H76+'[5]FR-16(7)(v)-11 DIST Demand'!H76</f>
        <v>5665794</v>
      </c>
      <c r="H76" s="571">
        <f>'[5]FR-16(7)(v)-4 PROD Energy'!H76+'[5]FR-16(7)(v)-8 TRANS Energy'!H76+'[5]FR-16(7)(v)-12 DIST Energy'!H76</f>
        <v>0</v>
      </c>
      <c r="I76" s="572">
        <f>'[5]FR-16(7)(v)-5 PROD Cust'!H76+'[5]FR-16(7)(v)-9 TRANS Cust'!H76+'[5]FR-16(7)(v)-13 DIST Cust'!H76</f>
        <v>0</v>
      </c>
      <c r="J76" s="569">
        <f t="shared" si="14"/>
        <v>5665794</v>
      </c>
      <c r="K76" s="569">
        <f t="shared" si="15"/>
        <v>0</v>
      </c>
    </row>
    <row r="77" spans="1:11">
      <c r="A77" s="565">
        <v>20</v>
      </c>
      <c r="C77" s="547" t="str">
        <f>'[5]FR-16(7)(v)-1 Functional'!C77</f>
        <v>POLES, TOWERS  &amp; FIXTURES - SECONDARY - CUSTOMER</v>
      </c>
      <c r="D77" s="549" t="str">
        <f>'[5]FR-16(7)(v)-1 Functional'!D77</f>
        <v>K405</v>
      </c>
      <c r="E77" s="548"/>
      <c r="F77" s="578">
        <f>'[5]FR-16(7)(v)-14 TOTAL CLASS'!H77</f>
        <v>333081</v>
      </c>
      <c r="G77" s="570">
        <f>'[5]FR-16(7)(v)-3 PROD Demand'!H77+'[5]FR-16(7)(v)-7 TRANS Demand'!H77+'[5]FR-16(7)(v)-11 DIST Demand'!H77</f>
        <v>0</v>
      </c>
      <c r="H77" s="571">
        <f>'[5]FR-16(7)(v)-4 PROD Energy'!H77+'[5]FR-16(7)(v)-8 TRANS Energy'!H77+'[5]FR-16(7)(v)-12 DIST Energy'!H77</f>
        <v>0</v>
      </c>
      <c r="I77" s="572">
        <f>'[5]FR-16(7)(v)-5 PROD Cust'!H77+'[5]FR-16(7)(v)-9 TRANS Cust'!H77+'[5]FR-16(7)(v)-13 DIST Cust'!H77</f>
        <v>333081</v>
      </c>
      <c r="J77" s="569">
        <f t="shared" si="14"/>
        <v>333081</v>
      </c>
      <c r="K77" s="569">
        <f t="shared" si="15"/>
        <v>0</v>
      </c>
    </row>
    <row r="78" spans="1:11">
      <c r="A78" s="565">
        <v>21</v>
      </c>
      <c r="C78" s="547" t="str">
        <f>'[5]FR-16(7)(v)-1 Functional'!C78</f>
        <v>CONDUCTORS - OVERHEAD / PRIMARY - DEMAND</v>
      </c>
      <c r="D78" s="549" t="str">
        <f>'[5]FR-16(7)(v)-1 Functional'!D78</f>
        <v>K205</v>
      </c>
      <c r="E78" s="548"/>
      <c r="F78" s="578">
        <f>'[5]FR-16(7)(v)-14 TOTAL CLASS'!H78</f>
        <v>32437783</v>
      </c>
      <c r="G78" s="570">
        <f>'[5]FR-16(7)(v)-3 PROD Demand'!H78+'[5]FR-16(7)(v)-7 TRANS Demand'!H78+'[5]FR-16(7)(v)-11 DIST Demand'!H78</f>
        <v>32437783</v>
      </c>
      <c r="H78" s="571">
        <f>'[5]FR-16(7)(v)-4 PROD Energy'!H78+'[5]FR-16(7)(v)-8 TRANS Energy'!H78+'[5]FR-16(7)(v)-12 DIST Energy'!H78</f>
        <v>0</v>
      </c>
      <c r="I78" s="572">
        <f>'[5]FR-16(7)(v)-5 PROD Cust'!H78+'[5]FR-16(7)(v)-9 TRANS Cust'!H78+'[5]FR-16(7)(v)-13 DIST Cust'!H78</f>
        <v>0</v>
      </c>
      <c r="J78" s="569">
        <f t="shared" si="14"/>
        <v>32437783</v>
      </c>
      <c r="K78" s="569">
        <f t="shared" si="15"/>
        <v>0</v>
      </c>
    </row>
    <row r="79" spans="1:11">
      <c r="A79" s="565">
        <v>22</v>
      </c>
      <c r="C79" s="547" t="str">
        <f>'[5]FR-16(7)(v)-1 Functional'!C79</f>
        <v>CONDUCTORS - OVERHEAD / PRIMARY - CUSTOMER</v>
      </c>
      <c r="D79" s="549" t="str">
        <f>'[5]FR-16(7)(v)-1 Functional'!D79</f>
        <v>K405</v>
      </c>
      <c r="E79" s="548"/>
      <c r="F79" s="578">
        <f>'[5]FR-16(7)(v)-14 TOTAL CLASS'!H79</f>
        <v>2044964</v>
      </c>
      <c r="G79" s="570">
        <f>'[5]FR-16(7)(v)-3 PROD Demand'!H79+'[5]FR-16(7)(v)-7 TRANS Demand'!H79+'[5]FR-16(7)(v)-11 DIST Demand'!H79</f>
        <v>0</v>
      </c>
      <c r="H79" s="571">
        <f>'[5]FR-16(7)(v)-4 PROD Energy'!H79+'[5]FR-16(7)(v)-8 TRANS Energy'!H79+'[5]FR-16(7)(v)-12 DIST Energy'!H79</f>
        <v>0</v>
      </c>
      <c r="I79" s="572">
        <f>'[5]FR-16(7)(v)-5 PROD Cust'!H79+'[5]FR-16(7)(v)-9 TRANS Cust'!H79+'[5]FR-16(7)(v)-13 DIST Cust'!H79</f>
        <v>2044964</v>
      </c>
      <c r="J79" s="569">
        <f t="shared" si="14"/>
        <v>2044964</v>
      </c>
      <c r="K79" s="569">
        <f t="shared" si="15"/>
        <v>0</v>
      </c>
    </row>
    <row r="80" spans="1:11">
      <c r="A80" s="565">
        <v>23</v>
      </c>
      <c r="C80" s="547" t="str">
        <f>'[5]FR-16(7)(v)-1 Functional'!C80</f>
        <v>CONDUCTORS - OVERHEAD / SECONDARY - DEMAND</v>
      </c>
      <c r="D80" s="549" t="str">
        <f>'[5]FR-16(7)(v)-1 Functional'!D80</f>
        <v>K206</v>
      </c>
      <c r="E80" s="548"/>
      <c r="F80" s="578">
        <f>'[5]FR-16(7)(v)-14 TOTAL CLASS'!H80</f>
        <v>13521056</v>
      </c>
      <c r="G80" s="570">
        <f>'[5]FR-16(7)(v)-3 PROD Demand'!H80+'[5]FR-16(7)(v)-7 TRANS Demand'!H80+'[5]FR-16(7)(v)-11 DIST Demand'!H80</f>
        <v>13521056</v>
      </c>
      <c r="H80" s="571">
        <f>'[5]FR-16(7)(v)-4 PROD Energy'!H80+'[5]FR-16(7)(v)-8 TRANS Energy'!H80+'[5]FR-16(7)(v)-12 DIST Energy'!H80</f>
        <v>0</v>
      </c>
      <c r="I80" s="572">
        <f>'[5]FR-16(7)(v)-5 PROD Cust'!H80+'[5]FR-16(7)(v)-9 TRANS Cust'!H80+'[5]FR-16(7)(v)-13 DIST Cust'!H80</f>
        <v>0</v>
      </c>
      <c r="J80" s="569">
        <f t="shared" si="14"/>
        <v>13521056</v>
      </c>
      <c r="K80" s="569">
        <f t="shared" si="15"/>
        <v>0</v>
      </c>
    </row>
    <row r="81" spans="1:11">
      <c r="A81" s="565">
        <v>24</v>
      </c>
      <c r="C81" s="547" t="str">
        <f>'[5]FR-16(7)(v)-1 Functional'!C81</f>
        <v>CONDUCTORS - OVERHEAD / SECONDARY - CUSTOMER</v>
      </c>
      <c r="D81" s="549" t="str">
        <f>'[5]FR-16(7)(v)-1 Functional'!D81</f>
        <v>K405</v>
      </c>
      <c r="E81" s="548"/>
      <c r="F81" s="578">
        <f>'[5]FR-16(7)(v)-14 TOTAL CLASS'!H81</f>
        <v>764780</v>
      </c>
      <c r="G81" s="570">
        <f>'[5]FR-16(7)(v)-3 PROD Demand'!H81+'[5]FR-16(7)(v)-7 TRANS Demand'!H81+'[5]FR-16(7)(v)-11 DIST Demand'!H81</f>
        <v>0</v>
      </c>
      <c r="H81" s="571">
        <f>'[5]FR-16(7)(v)-4 PROD Energy'!H81+'[5]FR-16(7)(v)-8 TRANS Energy'!H81+'[5]FR-16(7)(v)-12 DIST Energy'!H81</f>
        <v>0</v>
      </c>
      <c r="I81" s="572">
        <f>'[5]FR-16(7)(v)-5 PROD Cust'!H81+'[5]FR-16(7)(v)-9 TRANS Cust'!H81+'[5]FR-16(7)(v)-13 DIST Cust'!H81</f>
        <v>764780</v>
      </c>
      <c r="J81" s="569">
        <f t="shared" si="14"/>
        <v>764780</v>
      </c>
      <c r="K81" s="569">
        <f t="shared" si="15"/>
        <v>0</v>
      </c>
    </row>
    <row r="82" spans="1:11">
      <c r="A82" s="565">
        <v>25</v>
      </c>
      <c r="C82" s="547" t="str">
        <f>'[5]FR-16(7)(v)-1 Functional'!C82</f>
        <v>CONDUCTORS - UNDERGROUND / PRIMARY - DEMAND</v>
      </c>
      <c r="D82" s="549" t="str">
        <f>'[5]FR-16(7)(v)-1 Functional'!D82</f>
        <v>K205</v>
      </c>
      <c r="E82" s="548"/>
      <c r="F82" s="578">
        <f>'[5]FR-16(7)(v)-14 TOTAL CLASS'!H82</f>
        <v>39420686</v>
      </c>
      <c r="G82" s="570">
        <f>'[5]FR-16(7)(v)-3 PROD Demand'!H82+'[5]FR-16(7)(v)-7 TRANS Demand'!H82+'[5]FR-16(7)(v)-11 DIST Demand'!H82</f>
        <v>39420686</v>
      </c>
      <c r="H82" s="571">
        <f>'[5]FR-16(7)(v)-4 PROD Energy'!H82+'[5]FR-16(7)(v)-8 TRANS Energy'!H82+'[5]FR-16(7)(v)-12 DIST Energy'!H82</f>
        <v>0</v>
      </c>
      <c r="I82" s="572">
        <f>'[5]FR-16(7)(v)-5 PROD Cust'!H82+'[5]FR-16(7)(v)-9 TRANS Cust'!H82+'[5]FR-16(7)(v)-13 DIST Cust'!H82</f>
        <v>0</v>
      </c>
      <c r="J82" s="569">
        <f t="shared" si="14"/>
        <v>39420686</v>
      </c>
      <c r="K82" s="569">
        <f t="shared" si="15"/>
        <v>0</v>
      </c>
    </row>
    <row r="83" spans="1:11">
      <c r="A83" s="565">
        <v>26</v>
      </c>
      <c r="C83" s="547" t="str">
        <f>'[5]FR-16(7)(v)-1 Functional'!C83</f>
        <v>CONDUCTORS - UNDERGROUND / PRIMARY - CUSTOMER</v>
      </c>
      <c r="D83" s="549" t="str">
        <f>'[5]FR-16(7)(v)-1 Functional'!D83</f>
        <v>K405</v>
      </c>
      <c r="E83" s="548"/>
      <c r="F83" s="578">
        <f>'[5]FR-16(7)(v)-14 TOTAL CLASS'!H83</f>
        <v>1124289</v>
      </c>
      <c r="G83" s="570">
        <f>'[5]FR-16(7)(v)-3 PROD Demand'!H83+'[5]FR-16(7)(v)-7 TRANS Demand'!H83+'[5]FR-16(7)(v)-11 DIST Demand'!H83</f>
        <v>0</v>
      </c>
      <c r="H83" s="571">
        <f>'[5]FR-16(7)(v)-4 PROD Energy'!H83+'[5]FR-16(7)(v)-8 TRANS Energy'!H83+'[5]FR-16(7)(v)-12 DIST Energy'!H83</f>
        <v>0</v>
      </c>
      <c r="I83" s="572">
        <f>'[5]FR-16(7)(v)-5 PROD Cust'!H83+'[5]FR-16(7)(v)-9 TRANS Cust'!H83+'[5]FR-16(7)(v)-13 DIST Cust'!H83</f>
        <v>1124289</v>
      </c>
      <c r="J83" s="569">
        <f t="shared" si="14"/>
        <v>1124289</v>
      </c>
      <c r="K83" s="569">
        <f t="shared" si="15"/>
        <v>0</v>
      </c>
    </row>
    <row r="84" spans="1:11">
      <c r="A84" s="565">
        <v>27</v>
      </c>
      <c r="C84" s="547" t="str">
        <f>'[5]FR-16(7)(v)-1 Functional'!C84</f>
        <v>CONDUCTORS - UNDERGROUND / SECONDARY - DEMAND</v>
      </c>
      <c r="D84" s="549" t="str">
        <f>'[5]FR-16(7)(v)-1 Functional'!D84</f>
        <v>K206</v>
      </c>
      <c r="E84" s="548"/>
      <c r="F84" s="578">
        <f>'[5]FR-16(7)(v)-14 TOTAL CLASS'!H84</f>
        <v>7637960</v>
      </c>
      <c r="G84" s="570">
        <f>'[5]FR-16(7)(v)-3 PROD Demand'!H84+'[5]FR-16(7)(v)-7 TRANS Demand'!H84+'[5]FR-16(7)(v)-11 DIST Demand'!H84</f>
        <v>7637960</v>
      </c>
      <c r="H84" s="571">
        <f>'[5]FR-16(7)(v)-4 PROD Energy'!H84+'[5]FR-16(7)(v)-8 TRANS Energy'!H84+'[5]FR-16(7)(v)-12 DIST Energy'!H84</f>
        <v>0</v>
      </c>
      <c r="I84" s="572">
        <f>'[5]FR-16(7)(v)-5 PROD Cust'!H84+'[5]FR-16(7)(v)-9 TRANS Cust'!H84+'[5]FR-16(7)(v)-13 DIST Cust'!H84</f>
        <v>0</v>
      </c>
      <c r="J84" s="569">
        <f t="shared" si="14"/>
        <v>7637960</v>
      </c>
      <c r="K84" s="569">
        <f t="shared" si="15"/>
        <v>0</v>
      </c>
    </row>
    <row r="85" spans="1:11">
      <c r="A85" s="565">
        <v>28</v>
      </c>
      <c r="C85" s="547" t="str">
        <f>'[5]FR-16(7)(v)-1 Functional'!C85</f>
        <v>CONDUCTORS - UNDERGROUND / SECONDARY - CUSTOMER</v>
      </c>
      <c r="D85" s="549" t="str">
        <f>'[5]FR-16(7)(v)-1 Functional'!D85</f>
        <v>K405</v>
      </c>
      <c r="E85" s="548"/>
      <c r="F85" s="578">
        <f>'[5]FR-16(7)(v)-14 TOTAL CLASS'!H85</f>
        <v>343378</v>
      </c>
      <c r="G85" s="570">
        <f>'[5]FR-16(7)(v)-3 PROD Demand'!H85+'[5]FR-16(7)(v)-7 TRANS Demand'!H85+'[5]FR-16(7)(v)-11 DIST Demand'!H85</f>
        <v>0</v>
      </c>
      <c r="H85" s="571">
        <f>'[5]FR-16(7)(v)-4 PROD Energy'!H85+'[5]FR-16(7)(v)-8 TRANS Energy'!H85+'[5]FR-16(7)(v)-12 DIST Energy'!H85</f>
        <v>0</v>
      </c>
      <c r="I85" s="572">
        <f>'[5]FR-16(7)(v)-5 PROD Cust'!H85+'[5]FR-16(7)(v)-9 TRANS Cust'!H85+'[5]FR-16(7)(v)-13 DIST Cust'!H85</f>
        <v>343378</v>
      </c>
      <c r="J85" s="569">
        <f t="shared" si="14"/>
        <v>343378</v>
      </c>
      <c r="K85" s="569">
        <f t="shared" si="15"/>
        <v>0</v>
      </c>
    </row>
    <row r="86" spans="1:11">
      <c r="A86" s="565">
        <v>29</v>
      </c>
      <c r="C86" s="547" t="str">
        <f>'[5]FR-16(7)(v)-1 Functional'!C86</f>
        <v>TRANSFORMERS DEMAND RELATED</v>
      </c>
      <c r="D86" s="549" t="str">
        <f>'[5]FR-16(7)(v)-1 Functional'!D86</f>
        <v>K215</v>
      </c>
      <c r="E86" s="548"/>
      <c r="F86" s="578">
        <f>'[5]FR-16(7)(v)-14 TOTAL CLASS'!H86</f>
        <v>26806804</v>
      </c>
      <c r="G86" s="570">
        <f>'[5]FR-16(7)(v)-3 PROD Demand'!H86+'[5]FR-16(7)(v)-7 TRANS Demand'!H86+'[5]FR-16(7)(v)-11 DIST Demand'!H86</f>
        <v>26806804</v>
      </c>
      <c r="H86" s="571">
        <f>'[5]FR-16(7)(v)-4 PROD Energy'!H86+'[5]FR-16(7)(v)-8 TRANS Energy'!H86+'[5]FR-16(7)(v)-12 DIST Energy'!H86</f>
        <v>0</v>
      </c>
      <c r="I86" s="572">
        <f>'[5]FR-16(7)(v)-5 PROD Cust'!H86+'[5]FR-16(7)(v)-9 TRANS Cust'!H86+'[5]FR-16(7)(v)-13 DIST Cust'!H86</f>
        <v>0</v>
      </c>
      <c r="J86" s="569">
        <f t="shared" si="14"/>
        <v>26806804</v>
      </c>
      <c r="K86" s="569">
        <f t="shared" si="15"/>
        <v>0</v>
      </c>
    </row>
    <row r="87" spans="1:11">
      <c r="A87" s="565">
        <v>30</v>
      </c>
      <c r="C87" s="547" t="str">
        <f>'[5]FR-16(7)(v)-1 Functional'!C87</f>
        <v>TRANSFORMERS CUSTOMER RELATED</v>
      </c>
      <c r="D87" s="549" t="str">
        <f>'[5]FR-16(7)(v)-1 Functional'!D87</f>
        <v>K405</v>
      </c>
      <c r="E87" s="548"/>
      <c r="F87" s="578">
        <f>'[5]FR-16(7)(v)-14 TOTAL CLASS'!H87</f>
        <v>996030</v>
      </c>
      <c r="G87" s="570">
        <f>'[5]FR-16(7)(v)-3 PROD Demand'!H87+'[5]FR-16(7)(v)-7 TRANS Demand'!H87+'[5]FR-16(7)(v)-11 DIST Demand'!H87</f>
        <v>0</v>
      </c>
      <c r="H87" s="571">
        <f>'[5]FR-16(7)(v)-4 PROD Energy'!H87+'[5]FR-16(7)(v)-8 TRANS Energy'!H87+'[5]FR-16(7)(v)-12 DIST Energy'!H87</f>
        <v>0</v>
      </c>
      <c r="I87" s="572">
        <f>'[5]FR-16(7)(v)-5 PROD Cust'!H87+'[5]FR-16(7)(v)-9 TRANS Cust'!H87+'[5]FR-16(7)(v)-13 DIST Cust'!H87</f>
        <v>996030</v>
      </c>
      <c r="J87" s="569">
        <f t="shared" si="14"/>
        <v>996030</v>
      </c>
      <c r="K87" s="569">
        <f t="shared" si="15"/>
        <v>0</v>
      </c>
    </row>
    <row r="88" spans="1:11">
      <c r="A88" s="565">
        <v>31</v>
      </c>
      <c r="C88" s="547" t="str">
        <f>'[5]FR-16(7)(v)-1 Functional'!C88</f>
        <v>SERVICES</v>
      </c>
      <c r="D88" s="549" t="str">
        <f>'[5]FR-16(7)(v)-1 Functional'!D88</f>
        <v>K217</v>
      </c>
      <c r="E88" s="548"/>
      <c r="F88" s="578">
        <f>'[5]FR-16(7)(v)-14 TOTAL CLASS'!H88</f>
        <v>3480520</v>
      </c>
      <c r="G88" s="570">
        <f>'[5]FR-16(7)(v)-3 PROD Demand'!H88+'[5]FR-16(7)(v)-7 TRANS Demand'!H88+'[5]FR-16(7)(v)-11 DIST Demand'!H88</f>
        <v>0</v>
      </c>
      <c r="H88" s="571">
        <f>'[5]FR-16(7)(v)-4 PROD Energy'!H88+'[5]FR-16(7)(v)-8 TRANS Energy'!H88+'[5]FR-16(7)(v)-12 DIST Energy'!H88</f>
        <v>0</v>
      </c>
      <c r="I88" s="572">
        <f>'[5]FR-16(7)(v)-5 PROD Cust'!H88+'[5]FR-16(7)(v)-9 TRANS Cust'!H88+'[5]FR-16(7)(v)-13 DIST Cust'!H88</f>
        <v>3480520</v>
      </c>
      <c r="J88" s="569">
        <f t="shared" si="14"/>
        <v>3480520</v>
      </c>
      <c r="K88" s="569">
        <f t="shared" si="15"/>
        <v>0</v>
      </c>
    </row>
    <row r="89" spans="1:11">
      <c r="A89" s="565">
        <v>32</v>
      </c>
      <c r="C89" s="547" t="str">
        <f>'[5]FR-16(7)(v)-1 Functional'!C89</f>
        <v>METERS</v>
      </c>
      <c r="D89" s="549" t="str">
        <f>'[5]FR-16(7)(v)-1 Functional'!D89</f>
        <v>K407</v>
      </c>
      <c r="E89" s="548"/>
      <c r="F89" s="578">
        <f>'[5]FR-16(7)(v)-14 TOTAL CLASS'!H89</f>
        <v>3939203</v>
      </c>
      <c r="G89" s="570">
        <f>'[5]FR-16(7)(v)-3 PROD Demand'!H89+'[5]FR-16(7)(v)-7 TRANS Demand'!H89+'[5]FR-16(7)(v)-11 DIST Demand'!H89</f>
        <v>0</v>
      </c>
      <c r="H89" s="571">
        <f>'[5]FR-16(7)(v)-4 PROD Energy'!H89+'[5]FR-16(7)(v)-8 TRANS Energy'!H89+'[5]FR-16(7)(v)-12 DIST Energy'!H89</f>
        <v>0</v>
      </c>
      <c r="I89" s="572">
        <f>'[5]FR-16(7)(v)-5 PROD Cust'!H89+'[5]FR-16(7)(v)-9 TRANS Cust'!H89+'[5]FR-16(7)(v)-13 DIST Cust'!H89</f>
        <v>3939203</v>
      </c>
      <c r="J89" s="569">
        <f t="shared" si="14"/>
        <v>3939203</v>
      </c>
      <c r="K89" s="569">
        <f t="shared" si="15"/>
        <v>0</v>
      </c>
    </row>
    <row r="90" spans="1:11">
      <c r="A90" s="565">
        <v>33</v>
      </c>
      <c r="C90" s="547" t="str">
        <f>'[5]FR-16(7)(v)-1 Functional'!C90</f>
        <v>STREET LIGHTS</v>
      </c>
      <c r="D90" s="549" t="str">
        <f>'[5]FR-16(7)(v)-1 Functional'!D90</f>
        <v>K401</v>
      </c>
      <c r="E90" s="548"/>
      <c r="F90" s="578">
        <f>'[5]FR-16(7)(v)-14 TOTAL CLASS'!H90</f>
        <v>0</v>
      </c>
      <c r="G90" s="570">
        <f>'[5]FR-16(7)(v)-3 PROD Demand'!H90+'[5]FR-16(7)(v)-7 TRANS Demand'!H90+'[5]FR-16(7)(v)-11 DIST Demand'!H90</f>
        <v>0</v>
      </c>
      <c r="H90" s="571">
        <f>'[5]FR-16(7)(v)-4 PROD Energy'!H90+'[5]FR-16(7)(v)-8 TRANS Energy'!H90+'[5]FR-16(7)(v)-12 DIST Energy'!H90</f>
        <v>0</v>
      </c>
      <c r="I90" s="572">
        <f>'[5]FR-16(7)(v)-5 PROD Cust'!H90+'[5]FR-16(7)(v)-9 TRANS Cust'!H90+'[5]FR-16(7)(v)-13 DIST Cust'!H90</f>
        <v>0</v>
      </c>
      <c r="J90" s="569">
        <f t="shared" si="14"/>
        <v>0</v>
      </c>
      <c r="K90" s="569">
        <f t="shared" si="15"/>
        <v>0</v>
      </c>
    </row>
    <row r="91" spans="1:11">
      <c r="A91" s="565">
        <v>34</v>
      </c>
      <c r="C91" s="547" t="str">
        <f>'[5]FR-16(7)(v)-1 Functional'!C91</f>
        <v xml:space="preserve">ADJUSTMENT  </v>
      </c>
      <c r="D91" s="549" t="str">
        <f>'[5]FR-16(7)(v)-1 Functional'!D91</f>
        <v>K209</v>
      </c>
      <c r="E91" s="548"/>
      <c r="F91" s="578">
        <f>'[5]FR-16(7)(v)-14 TOTAL CLASS'!H91</f>
        <v>0</v>
      </c>
      <c r="G91" s="570">
        <f>'[5]FR-16(7)(v)-3 PROD Demand'!H91+'[5]FR-16(7)(v)-7 TRANS Demand'!H91+'[5]FR-16(7)(v)-11 DIST Demand'!H91</f>
        <v>0</v>
      </c>
      <c r="H91" s="571">
        <f>'[5]FR-16(7)(v)-4 PROD Energy'!H91+'[5]FR-16(7)(v)-8 TRANS Energy'!H91+'[5]FR-16(7)(v)-12 DIST Energy'!H91</f>
        <v>0</v>
      </c>
      <c r="I91" s="572">
        <f>'[5]FR-16(7)(v)-5 PROD Cust'!H91+'[5]FR-16(7)(v)-9 TRANS Cust'!H91+'[5]FR-16(7)(v)-13 DIST Cust'!H91</f>
        <v>0</v>
      </c>
      <c r="J91" s="569">
        <f t="shared" si="14"/>
        <v>0</v>
      </c>
      <c r="K91" s="569">
        <f t="shared" si="15"/>
        <v>0</v>
      </c>
    </row>
    <row r="92" spans="1:11">
      <c r="A92" s="565">
        <v>35</v>
      </c>
      <c r="C92" s="547" t="str">
        <f>'[5]FR-16(7)(v)-1 Functional'!C92</f>
        <v>CONSTRUCTION NOT CLASSIFIED</v>
      </c>
      <c r="D92" s="549" t="str">
        <f>'[5]FR-16(7)(v)-1 Functional'!D92</f>
        <v>K209</v>
      </c>
      <c r="E92" s="548"/>
      <c r="F92" s="578">
        <f>'[5]FR-16(7)(v)-14 TOTAL CLASS'!H92</f>
        <v>0</v>
      </c>
      <c r="G92" s="570">
        <f>'[5]FR-16(7)(v)-3 PROD Demand'!H92+'[5]FR-16(7)(v)-7 TRANS Demand'!H92+'[5]FR-16(7)(v)-11 DIST Demand'!H92</f>
        <v>0</v>
      </c>
      <c r="H92" s="571">
        <f>'[5]FR-16(7)(v)-4 PROD Energy'!H92+'[5]FR-16(7)(v)-8 TRANS Energy'!H92+'[5]FR-16(7)(v)-12 DIST Energy'!H92</f>
        <v>0</v>
      </c>
      <c r="I92" s="572">
        <f>'[5]FR-16(7)(v)-5 PROD Cust'!H92+'[5]FR-16(7)(v)-9 TRANS Cust'!H92+'[5]FR-16(7)(v)-13 DIST Cust'!H92</f>
        <v>0</v>
      </c>
      <c r="J92" s="569">
        <f t="shared" si="14"/>
        <v>0</v>
      </c>
      <c r="K92" s="569">
        <f t="shared" si="15"/>
        <v>0</v>
      </c>
    </row>
    <row r="93" spans="1:11">
      <c r="A93" s="565">
        <v>36</v>
      </c>
      <c r="C93" s="547" t="str">
        <f>'[5]FR-16(7)(v)-1 Functional'!C93</f>
        <v>RWIP</v>
      </c>
      <c r="D93" s="549" t="str">
        <f>'[5]FR-16(7)(v)-1 Functional'!D93</f>
        <v>K215</v>
      </c>
      <c r="E93" s="548"/>
      <c r="F93" s="578">
        <f>'[5]FR-16(7)(v)-14 TOTAL CLASS'!H93</f>
        <v>0</v>
      </c>
      <c r="G93" s="570">
        <f>'[5]FR-16(7)(v)-3 PROD Demand'!H93+'[5]FR-16(7)(v)-7 TRANS Demand'!H93+'[5]FR-16(7)(v)-11 DIST Demand'!H93</f>
        <v>0</v>
      </c>
      <c r="H93" s="571">
        <f>'[5]FR-16(7)(v)-4 PROD Energy'!H93+'[5]FR-16(7)(v)-8 TRANS Energy'!H93+'[5]FR-16(7)(v)-12 DIST Energy'!H93</f>
        <v>0</v>
      </c>
      <c r="I93" s="572">
        <f>'[5]FR-16(7)(v)-5 PROD Cust'!H93+'[5]FR-16(7)(v)-9 TRANS Cust'!H93+'[5]FR-16(7)(v)-13 DIST Cust'!H93</f>
        <v>0</v>
      </c>
      <c r="J93" s="569">
        <f t="shared" si="14"/>
        <v>0</v>
      </c>
      <c r="K93" s="569">
        <f t="shared" si="15"/>
        <v>0</v>
      </c>
    </row>
    <row r="94" spans="1:11">
      <c r="A94" s="565">
        <v>37</v>
      </c>
      <c r="C94" s="617" t="str">
        <f>'[5]FR-16(7)(v)-1 Functional'!C94</f>
        <v xml:space="preserve">  DISTRIBUTION PLANT IN SERVICE</v>
      </c>
      <c r="D94" s="549"/>
      <c r="E94" s="548"/>
      <c r="F94" s="574">
        <f>SUM(F73:F93)</f>
        <v>212461068</v>
      </c>
      <c r="G94" s="575">
        <f t="shared" ref="G94:K94" si="16">SUM(G73:G92)</f>
        <v>197740283</v>
      </c>
      <c r="H94" s="576">
        <f t="shared" si="16"/>
        <v>0</v>
      </c>
      <c r="I94" s="577">
        <f t="shared" si="16"/>
        <v>14720785</v>
      </c>
      <c r="J94" s="574">
        <f t="shared" si="16"/>
        <v>212461068</v>
      </c>
      <c r="K94" s="574">
        <f t="shared" si="16"/>
        <v>0</v>
      </c>
    </row>
    <row r="95" spans="1:11">
      <c r="A95" s="565">
        <v>38</v>
      </c>
      <c r="D95" s="549"/>
      <c r="E95" s="548"/>
      <c r="G95" s="566"/>
      <c r="H95" s="567"/>
      <c r="I95" s="568"/>
    </row>
    <row r="96" spans="1:11">
      <c r="A96" s="565">
        <v>39</v>
      </c>
      <c r="B96" s="547" t="s">
        <v>1202</v>
      </c>
      <c r="D96" s="549"/>
      <c r="E96" s="548"/>
      <c r="F96" s="569">
        <f t="shared" ref="F96:K96" si="17">F94+F68</f>
        <v>259687105</v>
      </c>
      <c r="G96" s="570">
        <f t="shared" si="17"/>
        <v>244966320</v>
      </c>
      <c r="H96" s="571">
        <f t="shared" si="17"/>
        <v>0</v>
      </c>
      <c r="I96" s="572">
        <f t="shared" si="17"/>
        <v>14720785</v>
      </c>
      <c r="J96" s="569">
        <f t="shared" si="17"/>
        <v>259687105</v>
      </c>
      <c r="K96" s="569">
        <f t="shared" si="17"/>
        <v>0</v>
      </c>
    </row>
    <row r="97" spans="1:11">
      <c r="A97" s="565">
        <v>40</v>
      </c>
      <c r="B97" s="547" t="s">
        <v>1203</v>
      </c>
      <c r="D97" s="549"/>
      <c r="E97" s="548"/>
      <c r="F97" s="569">
        <f t="shared" ref="F97:K97" si="18">F94+F70</f>
        <v>649509479</v>
      </c>
      <c r="G97" s="570">
        <f t="shared" si="18"/>
        <v>634788694</v>
      </c>
      <c r="H97" s="571">
        <f t="shared" si="18"/>
        <v>0</v>
      </c>
      <c r="I97" s="572">
        <f t="shared" si="18"/>
        <v>14720785</v>
      </c>
      <c r="J97" s="569">
        <f t="shared" si="18"/>
        <v>649509479</v>
      </c>
      <c r="K97" s="569">
        <f t="shared" si="18"/>
        <v>0</v>
      </c>
    </row>
    <row r="98" spans="1:11">
      <c r="A98" s="565">
        <v>41</v>
      </c>
      <c r="D98" s="549"/>
      <c r="E98" s="548"/>
      <c r="G98" s="566"/>
      <c r="H98" s="567"/>
      <c r="I98" s="568"/>
    </row>
    <row r="99" spans="1:11">
      <c r="A99" s="565">
        <v>42</v>
      </c>
      <c r="B99" s="547" t="s">
        <v>1204</v>
      </c>
      <c r="D99" s="549"/>
      <c r="E99" s="548"/>
      <c r="G99" s="566"/>
      <c r="H99" s="567"/>
      <c r="I99" s="568"/>
    </row>
    <row r="100" spans="1:11">
      <c r="A100" s="565">
        <v>43</v>
      </c>
      <c r="C100" s="547" t="str">
        <f>'[5]FR-16(7)(v)-1 Functional'!C100</f>
        <v>PRODUCTION - DEMAND</v>
      </c>
      <c r="D100" s="549" t="str">
        <f>'[5]FR-16(7)(v)-1 Functional'!D100</f>
        <v>K201</v>
      </c>
      <c r="E100" s="548"/>
      <c r="F100" s="578">
        <f>'[5]FR-16(7)(v)-14 TOTAL CLASS'!H100</f>
        <v>12261944</v>
      </c>
      <c r="G100" s="570">
        <f>'[5]FR-16(7)(v)-3 PROD Demand'!H100+'[5]FR-16(7)(v)-7 TRANS Demand'!H100+'[5]FR-16(7)(v)-11 DIST Demand'!H100</f>
        <v>12261944</v>
      </c>
      <c r="H100" s="571">
        <f>'[5]FR-16(7)(v)-4 PROD Energy'!H100+'[5]FR-16(7)(v)-8 TRANS Energy'!H100+'[5]FR-16(7)(v)-12 DIST Energy'!H100</f>
        <v>0</v>
      </c>
      <c r="I100" s="572">
        <f>'[5]FR-16(7)(v)-5 PROD Cust'!H100+'[5]FR-16(7)(v)-9 TRANS Cust'!H100+'[5]FR-16(7)(v)-13 DIST Cust'!H100</f>
        <v>0</v>
      </c>
      <c r="J100" s="569">
        <f>SUM(G100:I100)</f>
        <v>12261944</v>
      </c>
      <c r="K100" s="569">
        <f>F100-J100</f>
        <v>0</v>
      </c>
    </row>
    <row r="101" spans="1:11">
      <c r="A101" s="565">
        <v>44</v>
      </c>
      <c r="C101" s="547" t="str">
        <f>'[5]FR-16(7)(v)-1 Functional'!C101</f>
        <v>PRODUCTION - ENERGY</v>
      </c>
      <c r="D101" s="549" t="str">
        <f>'[5]FR-16(7)(v)-1 Functional'!D101</f>
        <v>K301</v>
      </c>
      <c r="E101" s="548"/>
      <c r="F101" s="578">
        <f>'[5]FR-16(7)(v)-14 TOTAL CLASS'!H101</f>
        <v>9241630</v>
      </c>
      <c r="G101" s="570">
        <f>'[5]FR-16(7)(v)-3 PROD Demand'!H101+'[5]FR-16(7)(v)-7 TRANS Demand'!H101+'[5]FR-16(7)(v)-11 DIST Demand'!H101</f>
        <v>0</v>
      </c>
      <c r="H101" s="571">
        <f>'[5]FR-16(7)(v)-4 PROD Energy'!H101+'[5]FR-16(7)(v)-8 TRANS Energy'!H101+'[5]FR-16(7)(v)-12 DIST Energy'!H101</f>
        <v>9241630</v>
      </c>
      <c r="I101" s="572">
        <f>'[5]FR-16(7)(v)-5 PROD Cust'!H101+'[5]FR-16(7)(v)-9 TRANS Cust'!H101+'[5]FR-16(7)(v)-13 DIST Cust'!H101</f>
        <v>0</v>
      </c>
      <c r="J101" s="569">
        <f t="shared" ref="J101:J108" si="19">SUM(G101:I101)</f>
        <v>9241630</v>
      </c>
      <c r="K101" s="569">
        <f t="shared" ref="K101:K108" si="20">F101-J101</f>
        <v>0</v>
      </c>
    </row>
    <row r="102" spans="1:11">
      <c r="A102" s="565">
        <v>45</v>
      </c>
      <c r="C102" s="547" t="str">
        <f>'[5]FR-16(7)(v)-1 Functional'!C102</f>
        <v>TRANSMISSION</v>
      </c>
      <c r="D102" s="549" t="str">
        <f>'[5]FR-16(7)(v)-1 Functional'!D102</f>
        <v>K202</v>
      </c>
      <c r="E102" s="548"/>
      <c r="F102" s="578">
        <f>'[5]FR-16(7)(v)-14 TOTAL CLASS'!H102</f>
        <v>1123809</v>
      </c>
      <c r="G102" s="570">
        <f>'[5]FR-16(7)(v)-3 PROD Demand'!H102+'[5]FR-16(7)(v)-7 TRANS Demand'!H102+'[5]FR-16(7)(v)-11 DIST Demand'!H102</f>
        <v>1123809</v>
      </c>
      <c r="H102" s="571">
        <f>'[5]FR-16(7)(v)-4 PROD Energy'!H102+'[5]FR-16(7)(v)-8 TRANS Energy'!H102+'[5]FR-16(7)(v)-12 DIST Energy'!H102</f>
        <v>0</v>
      </c>
      <c r="I102" s="572">
        <f>'[5]FR-16(7)(v)-5 PROD Cust'!H102+'[5]FR-16(7)(v)-9 TRANS Cust'!H102+'[5]FR-16(7)(v)-13 DIST Cust'!H102</f>
        <v>0</v>
      </c>
      <c r="J102" s="569">
        <f t="shared" si="19"/>
        <v>1123809</v>
      </c>
      <c r="K102" s="569">
        <f t="shared" si="20"/>
        <v>0</v>
      </c>
    </row>
    <row r="103" spans="1:11">
      <c r="A103" s="565">
        <v>46</v>
      </c>
      <c r="C103" s="547" t="str">
        <f>'[5]FR-16(7)(v)-1 Functional'!C103</f>
        <v>DISTRIBUTION - DEMAND</v>
      </c>
      <c r="D103" s="549" t="str">
        <f>'[5]FR-16(7)(v)-1 Functional'!D103</f>
        <v>K201</v>
      </c>
      <c r="E103" s="548"/>
      <c r="F103" s="578">
        <f>'[5]FR-16(7)(v)-14 TOTAL CLASS'!H103</f>
        <v>4434909</v>
      </c>
      <c r="G103" s="570">
        <f>'[5]FR-16(7)(v)-3 PROD Demand'!H103+'[5]FR-16(7)(v)-7 TRANS Demand'!H103+'[5]FR-16(7)(v)-11 DIST Demand'!H103</f>
        <v>4434909</v>
      </c>
      <c r="H103" s="571">
        <f>'[5]FR-16(7)(v)-4 PROD Energy'!H103+'[5]FR-16(7)(v)-8 TRANS Energy'!H103+'[5]FR-16(7)(v)-12 DIST Energy'!H103</f>
        <v>0</v>
      </c>
      <c r="I103" s="572">
        <f>'[5]FR-16(7)(v)-5 PROD Cust'!H103+'[5]FR-16(7)(v)-9 TRANS Cust'!H103+'[5]FR-16(7)(v)-13 DIST Cust'!H103</f>
        <v>0</v>
      </c>
      <c r="J103" s="569">
        <f t="shared" si="19"/>
        <v>4434909</v>
      </c>
      <c r="K103" s="569">
        <f t="shared" si="20"/>
        <v>0</v>
      </c>
    </row>
    <row r="104" spans="1:11">
      <c r="A104" s="565">
        <v>47</v>
      </c>
      <c r="C104" s="547" t="str">
        <f>'[5]FR-16(7)(v)-1 Functional'!C104</f>
        <v>DISTRIBUTION - CUSTOMER</v>
      </c>
      <c r="D104" s="549" t="str">
        <f>'[5]FR-16(7)(v)-1 Functional'!D104</f>
        <v>K405</v>
      </c>
      <c r="E104" s="548"/>
      <c r="F104" s="578">
        <f>'[5]FR-16(7)(v)-14 TOTAL CLASS'!H104</f>
        <v>230482</v>
      </c>
      <c r="G104" s="570">
        <f>'[5]FR-16(7)(v)-3 PROD Demand'!H104+'[5]FR-16(7)(v)-7 TRANS Demand'!H104+'[5]FR-16(7)(v)-11 DIST Demand'!H104</f>
        <v>0</v>
      </c>
      <c r="H104" s="571">
        <f>'[5]FR-16(7)(v)-4 PROD Energy'!H104+'[5]FR-16(7)(v)-8 TRANS Energy'!H104+'[5]FR-16(7)(v)-12 DIST Energy'!H104</f>
        <v>0</v>
      </c>
      <c r="I104" s="572">
        <f>'[5]FR-16(7)(v)-5 PROD Cust'!H104+'[5]FR-16(7)(v)-9 TRANS Cust'!H104+'[5]FR-16(7)(v)-13 DIST Cust'!H104</f>
        <v>230482</v>
      </c>
      <c r="J104" s="569">
        <f t="shared" si="19"/>
        <v>230482</v>
      </c>
      <c r="K104" s="569">
        <f t="shared" si="20"/>
        <v>0</v>
      </c>
    </row>
    <row r="105" spans="1:11">
      <c r="A105" s="565">
        <v>48</v>
      </c>
      <c r="C105" s="547" t="str">
        <f>'[5]FR-16(7)(v)-1 Functional'!C105</f>
        <v>CUSTOMER ACCOUNTING</v>
      </c>
      <c r="D105" s="549" t="str">
        <f>'[5]FR-16(7)(v)-1 Functional'!D105</f>
        <v>A308</v>
      </c>
      <c r="E105" s="548"/>
      <c r="F105" s="578">
        <f>'[5]FR-16(7)(v)-14 TOTAL CLASS'!H105</f>
        <v>637986</v>
      </c>
      <c r="G105" s="570">
        <f>'[5]FR-16(7)(v)-3 PROD Demand'!H105+'[5]FR-16(7)(v)-7 TRANS Demand'!H105+'[5]FR-16(7)(v)-11 DIST Demand'!H105</f>
        <v>0</v>
      </c>
      <c r="H105" s="571">
        <f>'[5]FR-16(7)(v)-4 PROD Energy'!H105+'[5]FR-16(7)(v)-8 TRANS Energy'!H105+'[5]FR-16(7)(v)-12 DIST Energy'!H105</f>
        <v>0</v>
      </c>
      <c r="I105" s="572">
        <f>'[5]FR-16(7)(v)-5 PROD Cust'!H105+'[5]FR-16(7)(v)-9 TRANS Cust'!H105+'[5]FR-16(7)(v)-13 DIST Cust'!H105</f>
        <v>637986</v>
      </c>
      <c r="J105" s="569">
        <f t="shared" si="19"/>
        <v>637986</v>
      </c>
      <c r="K105" s="569">
        <f t="shared" si="20"/>
        <v>0</v>
      </c>
    </row>
    <row r="106" spans="1:11">
      <c r="A106" s="565">
        <v>49</v>
      </c>
      <c r="C106" s="547" t="str">
        <f>'[5]FR-16(7)(v)-1 Functional'!C106</f>
        <v>CUSTOMER SERVICE &amp; INFORMATION</v>
      </c>
      <c r="D106" s="549" t="str">
        <f>'[5]FR-16(7)(v)-1 Functional'!D106</f>
        <v>A310</v>
      </c>
      <c r="E106" s="548"/>
      <c r="F106" s="578">
        <f>'[5]FR-16(7)(v)-14 TOTAL CLASS'!H106</f>
        <v>366300</v>
      </c>
      <c r="G106" s="570">
        <f>'[5]FR-16(7)(v)-3 PROD Demand'!H106+'[5]FR-16(7)(v)-7 TRANS Demand'!H106+'[5]FR-16(7)(v)-11 DIST Demand'!H106</f>
        <v>0</v>
      </c>
      <c r="H106" s="571">
        <f>'[5]FR-16(7)(v)-4 PROD Energy'!H106+'[5]FR-16(7)(v)-8 TRANS Energy'!H106+'[5]FR-16(7)(v)-12 DIST Energy'!H106</f>
        <v>0</v>
      </c>
      <c r="I106" s="572">
        <f>'[5]FR-16(7)(v)-5 PROD Cust'!H106+'[5]FR-16(7)(v)-9 TRANS Cust'!H106+'[5]FR-16(7)(v)-13 DIST Cust'!H106</f>
        <v>366300</v>
      </c>
      <c r="J106" s="569">
        <f t="shared" si="19"/>
        <v>366300</v>
      </c>
      <c r="K106" s="569">
        <f t="shared" si="20"/>
        <v>0</v>
      </c>
    </row>
    <row r="107" spans="1:11">
      <c r="A107" s="565">
        <v>50</v>
      </c>
      <c r="C107" s="547" t="str">
        <f>'[5]FR-16(7)(v)-1 Functional'!C107</f>
        <v>SALES</v>
      </c>
      <c r="D107" s="549" t="str">
        <f>'[5]FR-16(7)(v)-1 Functional'!D107</f>
        <v>A312</v>
      </c>
      <c r="E107" s="548"/>
      <c r="F107" s="578">
        <f>'[5]FR-16(7)(v)-14 TOTAL CLASS'!H107</f>
        <v>0</v>
      </c>
      <c r="G107" s="570">
        <f>'[5]FR-16(7)(v)-3 PROD Demand'!H107+'[5]FR-16(7)(v)-7 TRANS Demand'!H107+'[5]FR-16(7)(v)-11 DIST Demand'!H107</f>
        <v>0</v>
      </c>
      <c r="H107" s="571">
        <f>'[5]FR-16(7)(v)-4 PROD Energy'!H107+'[5]FR-16(7)(v)-8 TRANS Energy'!H107+'[5]FR-16(7)(v)-12 DIST Energy'!H107</f>
        <v>0</v>
      </c>
      <c r="I107" s="572">
        <f>'[5]FR-16(7)(v)-5 PROD Cust'!H107+'[5]FR-16(7)(v)-9 TRANS Cust'!H107+'[5]FR-16(7)(v)-13 DIST Cust'!H107</f>
        <v>0</v>
      </c>
      <c r="J107" s="569">
        <f t="shared" si="19"/>
        <v>0</v>
      </c>
      <c r="K107" s="569">
        <f t="shared" si="20"/>
        <v>0</v>
      </c>
    </row>
    <row r="108" spans="1:11">
      <c r="A108" s="565">
        <v>51</v>
      </c>
      <c r="C108" s="547" t="str">
        <f>'[5]FR-16(7)(v)-1 Functional'!C108</f>
        <v>ADJUSTMENT</v>
      </c>
      <c r="D108" s="549" t="str">
        <f>'[5]FR-16(7)(v)-1 Functional'!D108</f>
        <v>A315</v>
      </c>
      <c r="E108" s="548"/>
      <c r="F108" s="578">
        <f>'[5]FR-16(7)(v)-14 TOTAL CLASS'!H108</f>
        <v>0</v>
      </c>
      <c r="G108" s="570">
        <f>'[5]FR-16(7)(v)-3 PROD Demand'!H108+'[5]FR-16(7)(v)-7 TRANS Demand'!H108+'[5]FR-16(7)(v)-11 DIST Demand'!H108</f>
        <v>0</v>
      </c>
      <c r="H108" s="571">
        <f>'[5]FR-16(7)(v)-4 PROD Energy'!H108+'[5]FR-16(7)(v)-8 TRANS Energy'!H108+'[5]FR-16(7)(v)-12 DIST Energy'!H108</f>
        <v>0</v>
      </c>
      <c r="I108" s="572">
        <f>'[5]FR-16(7)(v)-5 PROD Cust'!H108+'[5]FR-16(7)(v)-9 TRANS Cust'!H108+'[5]FR-16(7)(v)-13 DIST Cust'!H108</f>
        <v>0</v>
      </c>
      <c r="J108" s="569">
        <f t="shared" si="19"/>
        <v>0</v>
      </c>
      <c r="K108" s="569">
        <f t="shared" si="20"/>
        <v>0</v>
      </c>
    </row>
    <row r="109" spans="1:11">
      <c r="A109" s="565">
        <v>52</v>
      </c>
      <c r="C109" s="617" t="str">
        <f>'[5]FR-16(7)(v)-1 Functional'!C109</f>
        <v xml:space="preserve">  GEN &amp; INTANG PLANT IN SERVICE</v>
      </c>
      <c r="D109" s="549"/>
      <c r="E109" s="548"/>
      <c r="F109" s="618">
        <f t="shared" ref="F109:K109" si="21">SUM(F100:F108)</f>
        <v>28297060</v>
      </c>
      <c r="G109" s="575">
        <f t="shared" si="21"/>
        <v>17820662</v>
      </c>
      <c r="H109" s="576">
        <f t="shared" si="21"/>
        <v>9241630</v>
      </c>
      <c r="I109" s="577">
        <f t="shared" si="21"/>
        <v>1234768</v>
      </c>
      <c r="J109" s="574">
        <f t="shared" si="21"/>
        <v>28297060</v>
      </c>
      <c r="K109" s="574">
        <f t="shared" si="21"/>
        <v>0</v>
      </c>
    </row>
    <row r="110" spans="1:11">
      <c r="A110" s="565">
        <v>53</v>
      </c>
      <c r="D110" s="549"/>
      <c r="E110" s="548"/>
      <c r="G110" s="566"/>
      <c r="H110" s="567"/>
      <c r="I110" s="568"/>
    </row>
    <row r="111" spans="1:11">
      <c r="A111" s="565">
        <v>54</v>
      </c>
      <c r="B111" s="547" t="s">
        <v>1205</v>
      </c>
      <c r="D111" s="549"/>
      <c r="E111" s="548"/>
      <c r="G111" s="566"/>
      <c r="H111" s="567"/>
      <c r="I111" s="568"/>
    </row>
    <row r="112" spans="1:11">
      <c r="A112" s="565">
        <v>55</v>
      </c>
      <c r="C112" s="547" t="str">
        <f>'[5]FR-16(7)(v)-1 Functional'!C112</f>
        <v>PRODUCTION - DEMAND</v>
      </c>
      <c r="D112" s="549" t="str">
        <f>'[5]FR-16(7)(v)-1 Functional'!D112</f>
        <v>K201</v>
      </c>
      <c r="E112" s="548"/>
      <c r="F112" s="578">
        <f>'[5]FR-16(7)(v)-14 TOTAL CLASS'!H112</f>
        <v>4114000</v>
      </c>
      <c r="G112" s="570">
        <f>'[5]FR-16(7)(v)-3 PROD Demand'!H112+'[5]FR-16(7)(v)-7 TRANS Demand'!H112+'[5]FR-16(7)(v)-11 DIST Demand'!H112</f>
        <v>4114000</v>
      </c>
      <c r="H112" s="571">
        <f>'[5]FR-16(7)(v)-4 PROD Energy'!H112+'[5]FR-16(7)(v)-8 TRANS Energy'!H112+'[5]FR-16(7)(v)-12 DIST Energy'!H112</f>
        <v>0</v>
      </c>
      <c r="I112" s="572">
        <f>'[5]FR-16(7)(v)-5 PROD Cust'!H112+'[5]FR-16(7)(v)-9 TRANS Cust'!H112+'[5]FR-16(7)(v)-13 DIST Cust'!H112</f>
        <v>0</v>
      </c>
      <c r="J112" s="569">
        <f>SUM(G112:I112)</f>
        <v>4114000</v>
      </c>
      <c r="K112" s="569">
        <f>F112-J112</f>
        <v>0</v>
      </c>
    </row>
    <row r="113" spans="1:11">
      <c r="A113" s="565">
        <v>56</v>
      </c>
      <c r="C113" s="547" t="str">
        <f>'[5]FR-16(7)(v)-1 Functional'!C113</f>
        <v>PRODUCTION - ENERGY</v>
      </c>
      <c r="D113" s="549" t="str">
        <f>'[5]FR-16(7)(v)-1 Functional'!D113</f>
        <v>K301</v>
      </c>
      <c r="E113" s="548"/>
      <c r="F113" s="578">
        <f>'[5]FR-16(7)(v)-14 TOTAL CLASS'!H113</f>
        <v>3100655</v>
      </c>
      <c r="G113" s="570">
        <f>'[5]FR-16(7)(v)-3 PROD Demand'!H113+'[5]FR-16(7)(v)-7 TRANS Demand'!H113+'[5]FR-16(7)(v)-11 DIST Demand'!H113</f>
        <v>0</v>
      </c>
      <c r="H113" s="571">
        <f>'[5]FR-16(7)(v)-4 PROD Energy'!H113+'[5]FR-16(7)(v)-8 TRANS Energy'!H113+'[5]FR-16(7)(v)-12 DIST Energy'!H113</f>
        <v>3100655</v>
      </c>
      <c r="I113" s="572">
        <f>'[5]FR-16(7)(v)-5 PROD Cust'!H113+'[5]FR-16(7)(v)-9 TRANS Cust'!H113+'[5]FR-16(7)(v)-13 DIST Cust'!H113</f>
        <v>0</v>
      </c>
      <c r="J113" s="569">
        <f t="shared" ref="J113:J120" si="22">SUM(G113:I113)</f>
        <v>3100655</v>
      </c>
      <c r="K113" s="569">
        <f t="shared" ref="K113:K120" si="23">F113-J113</f>
        <v>0</v>
      </c>
    </row>
    <row r="114" spans="1:11">
      <c r="A114" s="565">
        <v>57</v>
      </c>
      <c r="C114" s="547" t="str">
        <f>'[5]FR-16(7)(v)-1 Functional'!C114</f>
        <v>TRANSMISSION</v>
      </c>
      <c r="D114" s="549" t="str">
        <f>'[5]FR-16(7)(v)-1 Functional'!D114</f>
        <v>K202</v>
      </c>
      <c r="E114" s="548"/>
      <c r="F114" s="578">
        <f>'[5]FR-16(7)(v)-14 TOTAL CLASS'!H114</f>
        <v>377048</v>
      </c>
      <c r="G114" s="570">
        <f>'[5]FR-16(7)(v)-3 PROD Demand'!H114+'[5]FR-16(7)(v)-7 TRANS Demand'!H114+'[5]FR-16(7)(v)-11 DIST Demand'!H114</f>
        <v>377048</v>
      </c>
      <c r="H114" s="571">
        <f>'[5]FR-16(7)(v)-4 PROD Energy'!H114+'[5]FR-16(7)(v)-8 TRANS Energy'!H114+'[5]FR-16(7)(v)-12 DIST Energy'!H114</f>
        <v>0</v>
      </c>
      <c r="I114" s="572">
        <f>'[5]FR-16(7)(v)-5 PROD Cust'!H114+'[5]FR-16(7)(v)-9 TRANS Cust'!H114+'[5]FR-16(7)(v)-13 DIST Cust'!H114</f>
        <v>0</v>
      </c>
      <c r="J114" s="569">
        <f t="shared" si="22"/>
        <v>377048</v>
      </c>
      <c r="K114" s="569">
        <f t="shared" si="23"/>
        <v>0</v>
      </c>
    </row>
    <row r="115" spans="1:11">
      <c r="A115" s="565">
        <v>58</v>
      </c>
      <c r="C115" s="547" t="str">
        <f>'[5]FR-16(7)(v)-1 Functional'!C115</f>
        <v>DISTRIBUTION - DEMAND</v>
      </c>
      <c r="D115" s="549" t="str">
        <f>'[5]FR-16(7)(v)-1 Functional'!D115</f>
        <v>K201</v>
      </c>
      <c r="E115" s="548"/>
      <c r="F115" s="578">
        <f>'[5]FR-16(7)(v)-14 TOTAL CLASS'!H115</f>
        <v>1487954</v>
      </c>
      <c r="G115" s="570">
        <f>'[5]FR-16(7)(v)-3 PROD Demand'!H115+'[5]FR-16(7)(v)-7 TRANS Demand'!H115+'[5]FR-16(7)(v)-11 DIST Demand'!H115</f>
        <v>1487954</v>
      </c>
      <c r="H115" s="571">
        <f>'[5]FR-16(7)(v)-4 PROD Energy'!H115+'[5]FR-16(7)(v)-8 TRANS Energy'!H115+'[5]FR-16(7)(v)-12 DIST Energy'!H115</f>
        <v>0</v>
      </c>
      <c r="I115" s="572">
        <f>'[5]FR-16(7)(v)-5 PROD Cust'!H115+'[5]FR-16(7)(v)-9 TRANS Cust'!H115+'[5]FR-16(7)(v)-13 DIST Cust'!H115</f>
        <v>0</v>
      </c>
      <c r="J115" s="569">
        <f t="shared" si="22"/>
        <v>1487954</v>
      </c>
      <c r="K115" s="569">
        <f t="shared" si="23"/>
        <v>0</v>
      </c>
    </row>
    <row r="116" spans="1:11">
      <c r="A116" s="565">
        <v>59</v>
      </c>
      <c r="C116" s="547" t="str">
        <f>'[5]FR-16(7)(v)-1 Functional'!C116</f>
        <v>DISTRIBUTION - CUSTOMER</v>
      </c>
      <c r="D116" s="549" t="str">
        <f>'[5]FR-16(7)(v)-1 Functional'!D116</f>
        <v>K405</v>
      </c>
      <c r="E116" s="548"/>
      <c r="F116" s="578">
        <f>'[5]FR-16(7)(v)-14 TOTAL CLASS'!H116</f>
        <v>77329</v>
      </c>
      <c r="G116" s="570">
        <f>'[5]FR-16(7)(v)-3 PROD Demand'!H116+'[5]FR-16(7)(v)-7 TRANS Demand'!H116+'[5]FR-16(7)(v)-11 DIST Demand'!H116</f>
        <v>0</v>
      </c>
      <c r="H116" s="571">
        <f>'[5]FR-16(7)(v)-4 PROD Energy'!H116+'[5]FR-16(7)(v)-8 TRANS Energy'!H116+'[5]FR-16(7)(v)-12 DIST Energy'!H116</f>
        <v>0</v>
      </c>
      <c r="I116" s="572">
        <f>'[5]FR-16(7)(v)-5 PROD Cust'!H116+'[5]FR-16(7)(v)-9 TRANS Cust'!H116+'[5]FR-16(7)(v)-13 DIST Cust'!H116</f>
        <v>77329</v>
      </c>
      <c r="J116" s="569">
        <f t="shared" si="22"/>
        <v>77329</v>
      </c>
      <c r="K116" s="569">
        <f t="shared" si="23"/>
        <v>0</v>
      </c>
    </row>
    <row r="117" spans="1:11">
      <c r="A117" s="565">
        <v>60</v>
      </c>
      <c r="C117" s="547" t="str">
        <f>'[5]FR-16(7)(v)-1 Functional'!C117</f>
        <v>CUSTOMER ACCOUNTING</v>
      </c>
      <c r="D117" s="549" t="str">
        <f>'[5]FR-16(7)(v)-1 Functional'!D117</f>
        <v>A308</v>
      </c>
      <c r="E117" s="548"/>
      <c r="F117" s="578">
        <f>'[5]FR-16(7)(v)-14 TOTAL CLASS'!H117</f>
        <v>214050</v>
      </c>
      <c r="G117" s="570">
        <f>'[5]FR-16(7)(v)-3 PROD Demand'!H117+'[5]FR-16(7)(v)-7 TRANS Demand'!H117+'[5]FR-16(7)(v)-11 DIST Demand'!H117</f>
        <v>0</v>
      </c>
      <c r="H117" s="571">
        <f>'[5]FR-16(7)(v)-4 PROD Energy'!H117+'[5]FR-16(7)(v)-8 TRANS Energy'!H117+'[5]FR-16(7)(v)-12 DIST Energy'!H117</f>
        <v>0</v>
      </c>
      <c r="I117" s="572">
        <f>'[5]FR-16(7)(v)-5 PROD Cust'!H117+'[5]FR-16(7)(v)-9 TRANS Cust'!H117+'[5]FR-16(7)(v)-13 DIST Cust'!H117</f>
        <v>214050</v>
      </c>
      <c r="J117" s="569">
        <f t="shared" si="22"/>
        <v>214050</v>
      </c>
      <c r="K117" s="569">
        <f t="shared" si="23"/>
        <v>0</v>
      </c>
    </row>
    <row r="118" spans="1:11">
      <c r="A118" s="565">
        <v>61</v>
      </c>
      <c r="C118" s="547" t="str">
        <f>'[5]FR-16(7)(v)-1 Functional'!C118</f>
        <v>CUSTOMER SERVICE &amp; INFORMATION</v>
      </c>
      <c r="D118" s="549" t="str">
        <f>'[5]FR-16(7)(v)-1 Functional'!D118</f>
        <v>A310</v>
      </c>
      <c r="E118" s="548"/>
      <c r="F118" s="578">
        <f>'[5]FR-16(7)(v)-14 TOTAL CLASS'!H118</f>
        <v>122897</v>
      </c>
      <c r="G118" s="570">
        <f>'[5]FR-16(7)(v)-3 PROD Demand'!H118+'[5]FR-16(7)(v)-7 TRANS Demand'!H118+'[5]FR-16(7)(v)-11 DIST Demand'!H118</f>
        <v>0</v>
      </c>
      <c r="H118" s="571">
        <f>'[5]FR-16(7)(v)-4 PROD Energy'!H118+'[5]FR-16(7)(v)-8 TRANS Energy'!H118+'[5]FR-16(7)(v)-12 DIST Energy'!H118</f>
        <v>0</v>
      </c>
      <c r="I118" s="572">
        <f>'[5]FR-16(7)(v)-5 PROD Cust'!H118+'[5]FR-16(7)(v)-9 TRANS Cust'!H118+'[5]FR-16(7)(v)-13 DIST Cust'!H118</f>
        <v>122897</v>
      </c>
      <c r="J118" s="569">
        <f t="shared" si="22"/>
        <v>122897</v>
      </c>
      <c r="K118" s="569">
        <f t="shared" si="23"/>
        <v>0</v>
      </c>
    </row>
    <row r="119" spans="1:11">
      <c r="A119" s="565">
        <v>62</v>
      </c>
      <c r="C119" s="547" t="str">
        <f>'[5]FR-16(7)(v)-1 Functional'!C119</f>
        <v>SALES</v>
      </c>
      <c r="D119" s="549" t="str">
        <f>'[5]FR-16(7)(v)-1 Functional'!D119</f>
        <v>A312</v>
      </c>
      <c r="E119" s="548"/>
      <c r="F119" s="578">
        <f>'[5]FR-16(7)(v)-14 TOTAL CLASS'!H119</f>
        <v>0</v>
      </c>
      <c r="G119" s="570">
        <f>'[5]FR-16(7)(v)-3 PROD Demand'!H119+'[5]FR-16(7)(v)-7 TRANS Demand'!H119+'[5]FR-16(7)(v)-11 DIST Demand'!H119</f>
        <v>0</v>
      </c>
      <c r="H119" s="571">
        <f>'[5]FR-16(7)(v)-4 PROD Energy'!H119+'[5]FR-16(7)(v)-8 TRANS Energy'!H119+'[5]FR-16(7)(v)-12 DIST Energy'!H119</f>
        <v>0</v>
      </c>
      <c r="I119" s="572">
        <f>'[5]FR-16(7)(v)-5 PROD Cust'!H119+'[5]FR-16(7)(v)-9 TRANS Cust'!H119+'[5]FR-16(7)(v)-13 DIST Cust'!H119</f>
        <v>0</v>
      </c>
      <c r="J119" s="569">
        <f t="shared" si="22"/>
        <v>0</v>
      </c>
      <c r="K119" s="569">
        <f t="shared" si="23"/>
        <v>0</v>
      </c>
    </row>
    <row r="120" spans="1:11">
      <c r="A120" s="565">
        <v>63</v>
      </c>
      <c r="C120" s="547" t="str">
        <f>'[5]FR-16(7)(v)-1 Functional'!C120</f>
        <v>ADJUSTMENT</v>
      </c>
      <c r="D120" s="549" t="str">
        <f>'[5]FR-16(7)(v)-1 Functional'!D120</f>
        <v>A315</v>
      </c>
      <c r="E120" s="548"/>
      <c r="F120" s="578">
        <f>'[5]FR-16(7)(v)-14 TOTAL CLASS'!H120</f>
        <v>0</v>
      </c>
      <c r="G120" s="570">
        <f>'[5]FR-16(7)(v)-3 PROD Demand'!H120+'[5]FR-16(7)(v)-7 TRANS Demand'!H120+'[5]FR-16(7)(v)-11 DIST Demand'!H120</f>
        <v>0</v>
      </c>
      <c r="H120" s="571">
        <f>'[5]FR-16(7)(v)-4 PROD Energy'!H120+'[5]FR-16(7)(v)-8 TRANS Energy'!H120+'[5]FR-16(7)(v)-12 DIST Energy'!H120</f>
        <v>0</v>
      </c>
      <c r="I120" s="572">
        <f>'[5]FR-16(7)(v)-5 PROD Cust'!H120+'[5]FR-16(7)(v)-9 TRANS Cust'!H120+'[5]FR-16(7)(v)-13 DIST Cust'!H120</f>
        <v>0</v>
      </c>
      <c r="J120" s="569">
        <f t="shared" si="22"/>
        <v>0</v>
      </c>
      <c r="K120" s="569">
        <f t="shared" si="23"/>
        <v>0</v>
      </c>
    </row>
    <row r="121" spans="1:11">
      <c r="A121" s="565">
        <v>64</v>
      </c>
      <c r="C121" s="617" t="str">
        <f>'[5]FR-16(7)(v)-1 Functional'!C121</f>
        <v xml:space="preserve">  COMMON &amp; OTHER PLANT IN SERVICE</v>
      </c>
      <c r="E121" s="548"/>
      <c r="F121" s="574">
        <f t="shared" ref="F121:K121" si="24">SUM(F112:F120)</f>
        <v>9493933</v>
      </c>
      <c r="G121" s="575">
        <f t="shared" si="24"/>
        <v>5979002</v>
      </c>
      <c r="H121" s="576">
        <f t="shared" si="24"/>
        <v>3100655</v>
      </c>
      <c r="I121" s="577">
        <f t="shared" si="24"/>
        <v>414276</v>
      </c>
      <c r="J121" s="574">
        <f t="shared" si="24"/>
        <v>9493933</v>
      </c>
      <c r="K121" s="574">
        <f t="shared" si="24"/>
        <v>0</v>
      </c>
    </row>
    <row r="122" spans="1:11">
      <c r="A122" s="565">
        <v>65</v>
      </c>
      <c r="E122" s="548"/>
      <c r="G122" s="566"/>
      <c r="H122" s="567"/>
      <c r="I122" s="568"/>
    </row>
    <row r="123" spans="1:11">
      <c r="A123" s="565">
        <v>66</v>
      </c>
      <c r="B123" s="547" t="s">
        <v>1191</v>
      </c>
      <c r="E123" s="548"/>
      <c r="F123" s="569">
        <f t="shared" ref="F123:K123" si="25">F97+F109+F121</f>
        <v>687300472</v>
      </c>
      <c r="G123" s="619">
        <f t="shared" si="25"/>
        <v>658588358</v>
      </c>
      <c r="H123" s="620">
        <f t="shared" si="25"/>
        <v>12342285</v>
      </c>
      <c r="I123" s="621">
        <f t="shared" si="25"/>
        <v>16369829</v>
      </c>
      <c r="J123" s="569">
        <f t="shared" si="25"/>
        <v>687300472</v>
      </c>
      <c r="K123" s="569">
        <f t="shared" si="25"/>
        <v>0</v>
      </c>
    </row>
    <row r="124" spans="1:11">
      <c r="B124" s="546"/>
      <c r="C124" s="548"/>
      <c r="D124" s="549"/>
      <c r="E124" s="548"/>
      <c r="F124" s="548"/>
      <c r="G124" s="548"/>
      <c r="H124" s="548"/>
      <c r="I124" s="548"/>
      <c r="J124" s="548"/>
      <c r="K124" s="548"/>
    </row>
    <row r="125" spans="1:11">
      <c r="A125" s="546" t="str">
        <f>co_name</f>
        <v>DUKE ENERGY KENTUCKY, INC.</v>
      </c>
      <c r="C125" s="548"/>
      <c r="D125" s="549"/>
      <c r="E125" s="548"/>
      <c r="F125" s="548"/>
      <c r="G125" s="548"/>
      <c r="H125" s="548"/>
      <c r="I125" s="548"/>
      <c r="J125" s="548" t="str">
        <f>J1</f>
        <v>FR-16(7)(v)-16</v>
      </c>
      <c r="K125" s="548"/>
    </row>
    <row r="126" spans="1:11">
      <c r="A126" s="546" t="str">
        <f>$A$2</f>
        <v>DISTR. SEC. CLASSIFIED - ELECTRIC COST OF SERVICE</v>
      </c>
      <c r="C126" s="548"/>
      <c r="D126" s="549"/>
      <c r="E126" s="548"/>
      <c r="F126" s="548"/>
      <c r="G126" s="548"/>
      <c r="H126" s="548"/>
      <c r="I126" s="548"/>
      <c r="J126" s="548" t="str">
        <f>J2</f>
        <v>WITNESS RESPONSIBLE:</v>
      </c>
      <c r="K126" s="548"/>
    </row>
    <row r="127" spans="1:11">
      <c r="A127" s="546" t="str">
        <f>case_name</f>
        <v>CASE NO: 2024-00354</v>
      </c>
      <c r="C127" s="548"/>
      <c r="D127" s="549"/>
      <c r="E127" s="548"/>
      <c r="F127" s="548"/>
      <c r="G127" s="548"/>
      <c r="H127" s="548"/>
      <c r="I127" s="548"/>
      <c r="J127" s="548" t="str">
        <f>Witness</f>
        <v>JAMES E. ZIOLKOWSKI</v>
      </c>
      <c r="K127" s="548"/>
    </row>
    <row r="128" spans="1:11">
      <c r="A128" s="546" t="str">
        <f>data_filing</f>
        <v>DATA: 12 MONTHS ACTUAL  &amp; 0 MONTHS ESTIMATED</v>
      </c>
      <c r="C128" s="548"/>
      <c r="D128" s="549"/>
      <c r="E128" s="548"/>
      <c r="F128" s="548"/>
      <c r="G128" s="548"/>
      <c r="H128" s="548"/>
      <c r="I128" s="548"/>
      <c r="J128" s="548" t="str">
        <f>"PAGE "&amp;Pages2-12&amp;" OF "&amp;Pages2</f>
        <v>PAGE 3 OF 15</v>
      </c>
      <c r="K128" s="548"/>
    </row>
    <row r="129" spans="1:11">
      <c r="A129" s="546" t="str">
        <f>type</f>
        <v xml:space="preserve">TYPE OF FILING: "X" ORIGINAL   UPDATED    REVISED  </v>
      </c>
      <c r="C129" s="548"/>
      <c r="D129" s="549"/>
      <c r="E129" s="548"/>
      <c r="F129" s="548"/>
      <c r="G129" s="548"/>
      <c r="H129" s="548"/>
      <c r="I129" s="548"/>
      <c r="J129" s="548"/>
      <c r="K129" s="548"/>
    </row>
    <row r="130" spans="1:11">
      <c r="A130" s="546"/>
      <c r="C130" s="548"/>
      <c r="D130" s="549"/>
      <c r="E130" s="548"/>
      <c r="F130" s="548"/>
      <c r="G130" s="548"/>
      <c r="H130" s="548"/>
      <c r="I130" s="548"/>
      <c r="J130" s="548"/>
      <c r="K130" s="548"/>
    </row>
    <row r="131" spans="1:11">
      <c r="B131" s="546"/>
      <c r="C131" s="548"/>
      <c r="D131" s="549"/>
      <c r="E131" s="548"/>
      <c r="F131" s="548"/>
      <c r="G131" s="548"/>
      <c r="H131" s="548"/>
      <c r="I131" s="548"/>
      <c r="J131" s="548"/>
      <c r="K131" s="548"/>
    </row>
    <row r="132" spans="1:11">
      <c r="A132" s="549" t="s">
        <v>17</v>
      </c>
      <c r="B132" s="548"/>
      <c r="C132" s="548"/>
      <c r="D132" s="549"/>
      <c r="E132" s="548"/>
      <c r="F132" s="549" t="s">
        <v>11</v>
      </c>
      <c r="G132" s="552" t="s">
        <v>1162</v>
      </c>
      <c r="H132" s="553"/>
      <c r="I132" s="554"/>
      <c r="J132" s="549" t="s">
        <v>11</v>
      </c>
      <c r="K132" s="549" t="s">
        <v>1163</v>
      </c>
    </row>
    <row r="133" spans="1:11">
      <c r="A133" s="555" t="s">
        <v>1164</v>
      </c>
      <c r="B133" s="556" t="s">
        <v>1206</v>
      </c>
      <c r="C133" s="556"/>
      <c r="D133" s="555" t="s">
        <v>1166</v>
      </c>
      <c r="E133" s="556"/>
      <c r="F133" s="555" t="str">
        <f>$F$9</f>
        <v>DISTR. SEC.</v>
      </c>
      <c r="G133" s="611" t="str">
        <f t="shared" ref="G133:I134" si="26">G9</f>
        <v>DEMAND</v>
      </c>
      <c r="H133" s="612" t="str">
        <f t="shared" si="26"/>
        <v>ENERGY</v>
      </c>
      <c r="I133" s="613" t="str">
        <f t="shared" si="26"/>
        <v>CUSTOMER</v>
      </c>
      <c r="J133" s="555" t="s">
        <v>1169</v>
      </c>
      <c r="K133" s="555" t="s">
        <v>543</v>
      </c>
    </row>
    <row r="134" spans="1:11">
      <c r="C134" s="561" t="s">
        <v>1207</v>
      </c>
      <c r="D134" s="549"/>
      <c r="E134" s="548"/>
      <c r="G134" s="614">
        <f t="shared" si="26"/>
        <v>3</v>
      </c>
      <c r="H134" s="615">
        <f t="shared" si="26"/>
        <v>4</v>
      </c>
      <c r="I134" s="616">
        <f t="shared" si="26"/>
        <v>5</v>
      </c>
    </row>
    <row r="135" spans="1:11">
      <c r="A135" s="565">
        <v>1</v>
      </c>
      <c r="B135" s="547" t="s">
        <v>1193</v>
      </c>
      <c r="D135" s="549"/>
      <c r="E135" s="548"/>
      <c r="G135" s="566"/>
      <c r="H135" s="567"/>
      <c r="I135" s="568"/>
    </row>
    <row r="136" spans="1:11">
      <c r="A136" s="565">
        <v>2</v>
      </c>
      <c r="C136" s="547" t="str">
        <f>'[5]FR-16(7)(v)-1 Functional'!C136</f>
        <v>PRODUCTION STEAM</v>
      </c>
      <c r="D136" s="549" t="str">
        <f>'[5]FR-16(7)(v)-1 Functional'!D136</f>
        <v>K201</v>
      </c>
      <c r="E136" s="548"/>
      <c r="F136" s="578">
        <f>'[5]FR-16(7)(v)-14 TOTAL CLASS'!H136</f>
        <v>138691525</v>
      </c>
      <c r="G136" s="570">
        <f>'[5]FR-16(7)(v)-3 PROD Demand'!H136+'[5]FR-16(7)(v)-7 TRANS Demand'!H136+'[5]FR-16(7)(v)-11 DIST Demand'!H136</f>
        <v>138691525</v>
      </c>
      <c r="H136" s="571">
        <f>'[5]FR-16(7)(v)-4 PROD Energy'!H136+'[5]FR-16(7)(v)-8 TRANS Energy'!H136+'[5]FR-16(7)(v)-12 DIST Energy'!H136</f>
        <v>0</v>
      </c>
      <c r="I136" s="572">
        <f>'[5]FR-16(7)(v)-5 PROD Cust'!H136+'[5]FR-16(7)(v)-9 TRANS Cust'!H136+'[5]FR-16(7)(v)-13 DIST Cust'!H136</f>
        <v>0</v>
      </c>
      <c r="J136" s="569">
        <f>SUM(G136:I136)</f>
        <v>138691525</v>
      </c>
      <c r="K136" s="569">
        <f>F136-J136</f>
        <v>0</v>
      </c>
    </row>
    <row r="137" spans="1:11">
      <c r="A137" s="565">
        <v>3</v>
      </c>
      <c r="C137" s="547" t="str">
        <f>'[5]FR-16(7)(v)-1 Functional'!C137</f>
        <v>PRODUCTION OTHER</v>
      </c>
      <c r="D137" s="549" t="str">
        <f>'[5]FR-16(7)(v)-1 Functional'!D137</f>
        <v>K201</v>
      </c>
      <c r="E137" s="548"/>
      <c r="F137" s="578">
        <f>'[5]FR-16(7)(v)-14 TOTAL CLASS'!H137</f>
        <v>66745841</v>
      </c>
      <c r="G137" s="570">
        <f>'[5]FR-16(7)(v)-3 PROD Demand'!H137+'[5]FR-16(7)(v)-7 TRANS Demand'!H137+'[5]FR-16(7)(v)-11 DIST Demand'!H137</f>
        <v>66745841</v>
      </c>
      <c r="H137" s="571">
        <f>'[5]FR-16(7)(v)-4 PROD Energy'!H137+'[5]FR-16(7)(v)-8 TRANS Energy'!H137+'[5]FR-16(7)(v)-12 DIST Energy'!H137</f>
        <v>0</v>
      </c>
      <c r="I137" s="572">
        <f>'[5]FR-16(7)(v)-5 PROD Cust'!H137+'[5]FR-16(7)(v)-9 TRANS Cust'!H137+'[5]FR-16(7)(v)-13 DIST Cust'!H137</f>
        <v>0</v>
      </c>
      <c r="J137" s="569">
        <f>SUM(G137:I137)</f>
        <v>66745841</v>
      </c>
      <c r="K137" s="569">
        <f>F137-J137</f>
        <v>0</v>
      </c>
    </row>
    <row r="138" spans="1:11">
      <c r="A138" s="565">
        <v>4</v>
      </c>
      <c r="C138" s="547" t="str">
        <f>'[5]FR-16(7)(v)-1 Functional'!C138</f>
        <v>ADJUSTMENT</v>
      </c>
      <c r="D138" s="549" t="str">
        <f>'[5]FR-16(7)(v)-1 Functional'!D138</f>
        <v>K201</v>
      </c>
      <c r="E138" s="548"/>
      <c r="F138" s="578">
        <f>'[5]FR-16(7)(v)-14 TOTAL CLASS'!H138</f>
        <v>1810511</v>
      </c>
      <c r="G138" s="570">
        <f>'[5]FR-16(7)(v)-3 PROD Demand'!H138+'[5]FR-16(7)(v)-7 TRANS Demand'!H138+'[5]FR-16(7)(v)-11 DIST Demand'!H138</f>
        <v>1810511</v>
      </c>
      <c r="H138" s="571">
        <f>'[5]FR-16(7)(v)-4 PROD Energy'!H138+'[5]FR-16(7)(v)-8 TRANS Energy'!H138+'[5]FR-16(7)(v)-12 DIST Energy'!H138</f>
        <v>0</v>
      </c>
      <c r="I138" s="572">
        <f>'[5]FR-16(7)(v)-5 PROD Cust'!H138+'[5]FR-16(7)(v)-9 TRANS Cust'!H138+'[5]FR-16(7)(v)-13 DIST Cust'!H138</f>
        <v>0</v>
      </c>
      <c r="J138" s="569">
        <f>SUM(G138:I138)</f>
        <v>1810511</v>
      </c>
      <c r="K138" s="569">
        <f>F138-J138</f>
        <v>0</v>
      </c>
    </row>
    <row r="139" spans="1:11">
      <c r="A139" s="565">
        <v>5</v>
      </c>
      <c r="C139" s="617" t="str">
        <f>'[5]FR-16(7)(v)-1 Functional'!C139</f>
        <v xml:space="preserve">  TOTAL PROD DEPREC RESERVE</v>
      </c>
      <c r="D139" s="549"/>
      <c r="E139" s="548"/>
      <c r="F139" s="574">
        <f t="shared" ref="F139:K139" si="27">SUM(F136:F138)</f>
        <v>207247877</v>
      </c>
      <c r="G139" s="575">
        <f t="shared" si="27"/>
        <v>207247877</v>
      </c>
      <c r="H139" s="576">
        <f t="shared" si="27"/>
        <v>0</v>
      </c>
      <c r="I139" s="577">
        <f t="shared" si="27"/>
        <v>0</v>
      </c>
      <c r="J139" s="574">
        <f t="shared" si="27"/>
        <v>207247877</v>
      </c>
      <c r="K139" s="574">
        <f t="shared" si="27"/>
        <v>0</v>
      </c>
    </row>
    <row r="140" spans="1:11">
      <c r="A140" s="565">
        <v>6</v>
      </c>
      <c r="D140" s="549"/>
      <c r="E140" s="548"/>
      <c r="G140" s="566"/>
      <c r="H140" s="567"/>
      <c r="I140" s="568"/>
    </row>
    <row r="141" spans="1:11">
      <c r="A141" s="565">
        <v>7</v>
      </c>
      <c r="B141" s="547" t="s">
        <v>1196</v>
      </c>
      <c r="D141" s="549"/>
      <c r="E141" s="548"/>
      <c r="G141" s="566"/>
      <c r="H141" s="567"/>
      <c r="I141" s="568"/>
    </row>
    <row r="142" spans="1:11">
      <c r="A142" s="565">
        <v>8</v>
      </c>
      <c r="C142" s="547" t="str">
        <f>'[5]FR-16(7)(v)-1 Functional'!C142</f>
        <v>MAIN STEP-UP TRANSFORMERS</v>
      </c>
      <c r="D142" s="549" t="str">
        <f>'[5]FR-16(7)(v)-1 Functional'!D142</f>
        <v>K202</v>
      </c>
      <c r="E142" s="548"/>
      <c r="F142" s="578">
        <f>'[5]FR-16(7)(v)-14 TOTAL CLASS'!H142</f>
        <v>0</v>
      </c>
      <c r="G142" s="570">
        <f>'[5]FR-16(7)(v)-3 PROD Demand'!H142+'[5]FR-16(7)(v)-7 TRANS Demand'!H142+'[5]FR-16(7)(v)-11 DIST Demand'!H142</f>
        <v>0</v>
      </c>
      <c r="H142" s="571">
        <f>'[5]FR-16(7)(v)-4 PROD Energy'!H142+'[5]FR-16(7)(v)-8 TRANS Energy'!H142+'[5]FR-16(7)(v)-12 DIST Energy'!H142</f>
        <v>0</v>
      </c>
      <c r="I142" s="572">
        <f>'[5]FR-16(7)(v)-5 PROD Cust'!H142+'[5]FR-16(7)(v)-9 TRANS Cust'!H142+'[5]FR-16(7)(v)-13 DIST Cust'!H142</f>
        <v>0</v>
      </c>
      <c r="J142" s="569">
        <f>SUM(G142:I142)</f>
        <v>0</v>
      </c>
      <c r="K142" s="569">
        <f>F142-J142</f>
        <v>0</v>
      </c>
    </row>
    <row r="143" spans="1:11">
      <c r="A143" s="565">
        <v>9</v>
      </c>
      <c r="C143" s="547" t="str">
        <f>'[5]FR-16(7)(v)-1 Functional'!C143</f>
        <v>OTHER TRANSMISSION</v>
      </c>
      <c r="D143" s="549" t="str">
        <f>'[5]FR-16(7)(v)-1 Functional'!D143</f>
        <v>K202</v>
      </c>
      <c r="E143" s="548"/>
      <c r="F143" s="578">
        <f>'[5]FR-16(7)(v)-14 TOTAL CLASS'!H143</f>
        <v>3745158</v>
      </c>
      <c r="G143" s="570">
        <f>'[5]FR-16(7)(v)-3 PROD Demand'!H143+'[5]FR-16(7)(v)-7 TRANS Demand'!H143+'[5]FR-16(7)(v)-11 DIST Demand'!H143</f>
        <v>3745158</v>
      </c>
      <c r="H143" s="571">
        <f>'[5]FR-16(7)(v)-4 PROD Energy'!H143+'[5]FR-16(7)(v)-8 TRANS Energy'!H143+'[5]FR-16(7)(v)-12 DIST Energy'!H143</f>
        <v>0</v>
      </c>
      <c r="I143" s="572">
        <f>'[5]FR-16(7)(v)-5 PROD Cust'!H143+'[5]FR-16(7)(v)-9 TRANS Cust'!H143+'[5]FR-16(7)(v)-13 DIST Cust'!H143</f>
        <v>0</v>
      </c>
      <c r="J143" s="569">
        <f>SUM(G143:I143)</f>
        <v>3745158</v>
      </c>
      <c r="K143" s="569">
        <f>F143-J143</f>
        <v>0</v>
      </c>
    </row>
    <row r="144" spans="1:11">
      <c r="A144" s="565">
        <v>10</v>
      </c>
      <c r="C144" s="547" t="str">
        <f>'[5]FR-16(7)(v)-1 Functional'!C144</f>
        <v>ADJUSTMENT</v>
      </c>
      <c r="D144" s="549" t="str">
        <f>'[5]FR-16(7)(v)-1 Functional'!D144</f>
        <v>K202</v>
      </c>
      <c r="E144" s="548"/>
      <c r="F144" s="578">
        <f>'[5]FR-16(7)(v)-14 TOTAL CLASS'!H144</f>
        <v>14746</v>
      </c>
      <c r="G144" s="570">
        <f>'[5]FR-16(7)(v)-3 PROD Demand'!H144+'[5]FR-16(7)(v)-7 TRANS Demand'!H144+'[5]FR-16(7)(v)-11 DIST Demand'!H144</f>
        <v>14746</v>
      </c>
      <c r="H144" s="571">
        <f>'[5]FR-16(7)(v)-4 PROD Energy'!H144+'[5]FR-16(7)(v)-8 TRANS Energy'!H144+'[5]FR-16(7)(v)-12 DIST Energy'!H144</f>
        <v>0</v>
      </c>
      <c r="I144" s="572">
        <f>'[5]FR-16(7)(v)-5 PROD Cust'!H144+'[5]FR-16(7)(v)-9 TRANS Cust'!H144+'[5]FR-16(7)(v)-13 DIST Cust'!H144</f>
        <v>0</v>
      </c>
      <c r="J144" s="569">
        <f>SUM(G144:I144)</f>
        <v>14746</v>
      </c>
      <c r="K144" s="569">
        <f>F144-J144</f>
        <v>0</v>
      </c>
    </row>
    <row r="145" spans="1:11">
      <c r="A145" s="565">
        <v>11</v>
      </c>
      <c r="C145" s="617" t="str">
        <f>'[5]FR-16(7)(v)-1 Functional'!C145</f>
        <v xml:space="preserve">  TOTAL TRANS DEPREC RESERVE</v>
      </c>
      <c r="D145" s="549"/>
      <c r="E145" s="548"/>
      <c r="F145" s="574">
        <f t="shared" ref="F145:K145" si="28">SUM(F142:F144)</f>
        <v>3759904</v>
      </c>
      <c r="G145" s="575">
        <f t="shared" si="28"/>
        <v>3759904</v>
      </c>
      <c r="H145" s="576">
        <f t="shared" si="28"/>
        <v>0</v>
      </c>
      <c r="I145" s="577">
        <f t="shared" si="28"/>
        <v>0</v>
      </c>
      <c r="J145" s="574">
        <f t="shared" si="28"/>
        <v>3759904</v>
      </c>
      <c r="K145" s="574">
        <f t="shared" si="28"/>
        <v>0</v>
      </c>
    </row>
    <row r="146" spans="1:11">
      <c r="A146" s="565">
        <v>12</v>
      </c>
      <c r="D146" s="549"/>
      <c r="E146" s="548"/>
      <c r="G146" s="566"/>
      <c r="H146" s="567"/>
      <c r="I146" s="568"/>
    </row>
    <row r="147" spans="1:11">
      <c r="A147" s="565">
        <v>13</v>
      </c>
      <c r="C147" s="547" t="str">
        <f>'[5]FR-16(7)(v)-1 Functional'!C147</f>
        <v>TOTAL PROD &amp; TRANS DEPREC RESERVE</v>
      </c>
      <c r="D147" s="549"/>
      <c r="E147" s="548"/>
      <c r="F147" s="578">
        <f>F145+F139</f>
        <v>211007781</v>
      </c>
      <c r="G147" s="570">
        <f>G145+G139</f>
        <v>211007781</v>
      </c>
      <c r="H147" s="571">
        <f>H145+H139</f>
        <v>0</v>
      </c>
      <c r="I147" s="572">
        <f>I145+I139</f>
        <v>0</v>
      </c>
      <c r="J147" s="569">
        <f>J145+J139</f>
        <v>211007781</v>
      </c>
      <c r="K147" s="569">
        <f>F147-J147</f>
        <v>0</v>
      </c>
    </row>
    <row r="148" spans="1:11">
      <c r="A148" s="565">
        <v>14</v>
      </c>
      <c r="D148" s="549"/>
      <c r="E148" s="548"/>
      <c r="G148" s="566"/>
      <c r="H148" s="567"/>
      <c r="I148" s="568"/>
    </row>
    <row r="149" spans="1:11">
      <c r="A149" s="565">
        <v>15</v>
      </c>
      <c r="B149" s="547" t="s">
        <v>1201</v>
      </c>
      <c r="D149" s="549"/>
      <c r="E149" s="548"/>
      <c r="G149" s="566"/>
      <c r="H149" s="567"/>
      <c r="I149" s="568"/>
    </row>
    <row r="150" spans="1:11">
      <c r="A150" s="565">
        <v>16</v>
      </c>
      <c r="C150" s="547" t="str">
        <f>'[5]FR-16(7)(v)-1 Functional'!C150</f>
        <v>SUBSTATIONS</v>
      </c>
      <c r="D150" s="549" t="str">
        <f>'[5]FR-16(7)(v)-1 Functional'!D150</f>
        <v>K215</v>
      </c>
      <c r="E150" s="548"/>
      <c r="F150" s="578">
        <f>'[5]FR-16(7)(v)-14 TOTAL CLASS'!H150</f>
        <v>11389499</v>
      </c>
      <c r="G150" s="570">
        <f>'[5]FR-16(7)(v)-3 PROD Demand'!H150+'[5]FR-16(7)(v)-7 TRANS Demand'!H150+'[5]FR-16(7)(v)-11 DIST Demand'!H150</f>
        <v>11389499</v>
      </c>
      <c r="H150" s="571">
        <f>'[5]FR-16(7)(v)-4 PROD Energy'!H150+'[5]FR-16(7)(v)-8 TRANS Energy'!H150+'[5]FR-16(7)(v)-12 DIST Energy'!H150</f>
        <v>0</v>
      </c>
      <c r="I150" s="572">
        <f>'[5]FR-16(7)(v)-5 PROD Cust'!H150+'[5]FR-16(7)(v)-9 TRANS Cust'!H150+'[5]FR-16(7)(v)-13 DIST Cust'!H150</f>
        <v>0</v>
      </c>
      <c r="J150" s="569">
        <f>SUM(G150:I150)</f>
        <v>11389499</v>
      </c>
      <c r="K150" s="569">
        <f>F150-J150</f>
        <v>0</v>
      </c>
    </row>
    <row r="151" spans="1:11">
      <c r="A151" s="565">
        <v>17</v>
      </c>
      <c r="C151" s="547" t="str">
        <f>'[5]FR-16(7)(v)-1 Functional'!C151</f>
        <v>POLES, TOWERS  &amp; FIXTURES - PRIMARY - DEMAND</v>
      </c>
      <c r="D151" s="549" t="str">
        <f>'[5]FR-16(7)(v)-1 Functional'!D151</f>
        <v>K205</v>
      </c>
      <c r="E151" s="548"/>
      <c r="F151" s="578">
        <f>'[5]FR-16(7)(v)-14 TOTAL CLASS'!H151</f>
        <v>4795007</v>
      </c>
      <c r="G151" s="570">
        <f>'[5]FR-16(7)(v)-3 PROD Demand'!H151+'[5]FR-16(7)(v)-7 TRANS Demand'!H151+'[5]FR-16(7)(v)-11 DIST Demand'!H151</f>
        <v>4795007</v>
      </c>
      <c r="H151" s="571">
        <f>'[5]FR-16(7)(v)-4 PROD Energy'!H151+'[5]FR-16(7)(v)-8 TRANS Energy'!H151+'[5]FR-16(7)(v)-12 DIST Energy'!H151</f>
        <v>0</v>
      </c>
      <c r="I151" s="572">
        <f>'[5]FR-16(7)(v)-5 PROD Cust'!H151+'[5]FR-16(7)(v)-9 TRANS Cust'!H151+'[5]FR-16(7)(v)-13 DIST Cust'!H151</f>
        <v>0</v>
      </c>
      <c r="J151" s="569">
        <f>SUM(G151:I151)</f>
        <v>4795007</v>
      </c>
      <c r="K151" s="569">
        <f>F151-J151</f>
        <v>0</v>
      </c>
    </row>
    <row r="152" spans="1:11">
      <c r="A152" s="565">
        <v>18</v>
      </c>
      <c r="C152" s="547" t="str">
        <f>'[5]FR-16(7)(v)-1 Functional'!C152</f>
        <v>POLES, TOWERS  &amp; FIXTURES - PRIMARY - CUSTOMER</v>
      </c>
      <c r="D152" s="549" t="str">
        <f>'[5]FR-16(7)(v)-1 Functional'!D152</f>
        <v>K405</v>
      </c>
      <c r="E152" s="548"/>
      <c r="F152" s="578">
        <f>'[5]FR-16(7)(v)-14 TOTAL CLASS'!H152</f>
        <v>567566</v>
      </c>
      <c r="G152" s="570">
        <f>'[5]FR-16(7)(v)-3 PROD Demand'!H152+'[5]FR-16(7)(v)-7 TRANS Demand'!H152+'[5]FR-16(7)(v)-11 DIST Demand'!H152</f>
        <v>0</v>
      </c>
      <c r="H152" s="571">
        <f>'[5]FR-16(7)(v)-4 PROD Energy'!H152+'[5]FR-16(7)(v)-8 TRANS Energy'!H152+'[5]FR-16(7)(v)-12 DIST Energy'!H152</f>
        <v>0</v>
      </c>
      <c r="I152" s="572">
        <f>'[5]FR-16(7)(v)-5 PROD Cust'!H152+'[5]FR-16(7)(v)-9 TRANS Cust'!H152+'[5]FR-16(7)(v)-13 DIST Cust'!H152</f>
        <v>567566</v>
      </c>
      <c r="J152" s="569">
        <f t="shared" ref="J152:J170" si="29">SUM(G152:I152)</f>
        <v>567566</v>
      </c>
      <c r="K152" s="569">
        <f t="shared" ref="K152:K170" si="30">F152-J152</f>
        <v>0</v>
      </c>
    </row>
    <row r="153" spans="1:11">
      <c r="A153" s="565">
        <v>19</v>
      </c>
      <c r="C153" s="547" t="str">
        <f>'[5]FR-16(7)(v)-1 Functional'!C153</f>
        <v>POLES, TOWERS  &amp; FIXTURES - SECONDARY - DEMAND</v>
      </c>
      <c r="D153" s="549" t="str">
        <f>'[5]FR-16(7)(v)-1 Functional'!D153</f>
        <v>K206</v>
      </c>
      <c r="E153" s="548"/>
      <c r="F153" s="578">
        <f>'[5]FR-16(7)(v)-14 TOTAL CLASS'!H153</f>
        <v>1897691</v>
      </c>
      <c r="G153" s="570">
        <f>'[5]FR-16(7)(v)-3 PROD Demand'!H153+'[5]FR-16(7)(v)-7 TRANS Demand'!H153+'[5]FR-16(7)(v)-11 DIST Demand'!H153</f>
        <v>1897691</v>
      </c>
      <c r="H153" s="571">
        <f>'[5]FR-16(7)(v)-4 PROD Energy'!H153+'[5]FR-16(7)(v)-8 TRANS Energy'!H153+'[5]FR-16(7)(v)-12 DIST Energy'!H153</f>
        <v>0</v>
      </c>
      <c r="I153" s="572">
        <f>'[5]FR-16(7)(v)-5 PROD Cust'!H153+'[5]FR-16(7)(v)-9 TRANS Cust'!H153+'[5]FR-16(7)(v)-13 DIST Cust'!H153</f>
        <v>0</v>
      </c>
      <c r="J153" s="569">
        <f t="shared" si="29"/>
        <v>1897691</v>
      </c>
      <c r="K153" s="569">
        <f t="shared" si="30"/>
        <v>0</v>
      </c>
    </row>
    <row r="154" spans="1:11">
      <c r="A154" s="565">
        <v>20</v>
      </c>
      <c r="C154" s="547" t="str">
        <f>'[5]FR-16(7)(v)-1 Functional'!C154</f>
        <v>POLES, TOWERS  &amp; FIXTURES - SECONDARY - CUSTOMER</v>
      </c>
      <c r="D154" s="549" t="str">
        <f>'[5]FR-16(7)(v)-1 Functional'!D154</f>
        <v>K405</v>
      </c>
      <c r="E154" s="548"/>
      <c r="F154" s="578">
        <f>'[5]FR-16(7)(v)-14 TOTAL CLASS'!H154</f>
        <v>111562</v>
      </c>
      <c r="G154" s="570">
        <f>'[5]FR-16(7)(v)-3 PROD Demand'!H154+'[5]FR-16(7)(v)-7 TRANS Demand'!H154+'[5]FR-16(7)(v)-11 DIST Demand'!H154</f>
        <v>0</v>
      </c>
      <c r="H154" s="571">
        <f>'[5]FR-16(7)(v)-4 PROD Energy'!H154+'[5]FR-16(7)(v)-8 TRANS Energy'!H154+'[5]FR-16(7)(v)-12 DIST Energy'!H154</f>
        <v>0</v>
      </c>
      <c r="I154" s="572">
        <f>'[5]FR-16(7)(v)-5 PROD Cust'!H154+'[5]FR-16(7)(v)-9 TRANS Cust'!H154+'[5]FR-16(7)(v)-13 DIST Cust'!H154</f>
        <v>111562</v>
      </c>
      <c r="J154" s="569">
        <f t="shared" si="29"/>
        <v>111562</v>
      </c>
      <c r="K154" s="569">
        <f t="shared" si="30"/>
        <v>0</v>
      </c>
    </row>
    <row r="155" spans="1:11">
      <c r="A155" s="565">
        <v>21</v>
      </c>
      <c r="C155" s="547" t="str">
        <f>'[5]FR-16(7)(v)-1 Functional'!C155</f>
        <v>CONDUCTORS - OVERHEAD / PRIMARY - DEMAND</v>
      </c>
      <c r="D155" s="549" t="str">
        <f>'[5]FR-16(7)(v)-1 Functional'!D155</f>
        <v>K205</v>
      </c>
      <c r="E155" s="548"/>
      <c r="F155" s="578">
        <f>'[5]FR-16(7)(v)-14 TOTAL CLASS'!H155</f>
        <v>6713640</v>
      </c>
      <c r="G155" s="570">
        <f>'[5]FR-16(7)(v)-3 PROD Demand'!H155+'[5]FR-16(7)(v)-7 TRANS Demand'!H155+'[5]FR-16(7)(v)-11 DIST Demand'!H155</f>
        <v>6713640</v>
      </c>
      <c r="H155" s="571">
        <f>'[5]FR-16(7)(v)-4 PROD Energy'!H155+'[5]FR-16(7)(v)-8 TRANS Energy'!H155+'[5]FR-16(7)(v)-12 DIST Energy'!H155</f>
        <v>0</v>
      </c>
      <c r="I155" s="572">
        <f>'[5]FR-16(7)(v)-5 PROD Cust'!H155+'[5]FR-16(7)(v)-9 TRANS Cust'!H155+'[5]FR-16(7)(v)-13 DIST Cust'!H155</f>
        <v>0</v>
      </c>
      <c r="J155" s="569">
        <f t="shared" si="29"/>
        <v>6713640</v>
      </c>
      <c r="K155" s="569">
        <f t="shared" si="30"/>
        <v>0</v>
      </c>
    </row>
    <row r="156" spans="1:11">
      <c r="A156" s="565">
        <v>22</v>
      </c>
      <c r="C156" s="547" t="str">
        <f>'[5]FR-16(7)(v)-1 Functional'!C156</f>
        <v>CONDUCTORS - OVERHEAD / PRIMARY - CUSTOMER</v>
      </c>
      <c r="D156" s="549" t="str">
        <f>'[5]FR-16(7)(v)-1 Functional'!D156</f>
        <v>K405</v>
      </c>
      <c r="E156" s="548"/>
      <c r="F156" s="578">
        <f>'[5]FR-16(7)(v)-14 TOTAL CLASS'!H156</f>
        <v>423246</v>
      </c>
      <c r="G156" s="570">
        <f>'[5]FR-16(7)(v)-3 PROD Demand'!H156+'[5]FR-16(7)(v)-7 TRANS Demand'!H156+'[5]FR-16(7)(v)-11 DIST Demand'!H156</f>
        <v>0</v>
      </c>
      <c r="H156" s="571">
        <f>'[5]FR-16(7)(v)-4 PROD Energy'!H156+'[5]FR-16(7)(v)-8 TRANS Energy'!H156+'[5]FR-16(7)(v)-12 DIST Energy'!H156</f>
        <v>0</v>
      </c>
      <c r="I156" s="572">
        <f>'[5]FR-16(7)(v)-5 PROD Cust'!H156+'[5]FR-16(7)(v)-9 TRANS Cust'!H156+'[5]FR-16(7)(v)-13 DIST Cust'!H156</f>
        <v>423246</v>
      </c>
      <c r="J156" s="569">
        <f t="shared" si="29"/>
        <v>423246</v>
      </c>
      <c r="K156" s="569">
        <f t="shared" si="30"/>
        <v>0</v>
      </c>
    </row>
    <row r="157" spans="1:11">
      <c r="A157" s="565">
        <v>23</v>
      </c>
      <c r="C157" s="547" t="str">
        <f>'[5]FR-16(7)(v)-1 Functional'!C157</f>
        <v>CONDUCTORS - OVERHEAD / SECONDARY - DEMAND</v>
      </c>
      <c r="D157" s="549" t="str">
        <f>'[5]FR-16(7)(v)-1 Functional'!D157</f>
        <v>K206</v>
      </c>
      <c r="E157" s="548"/>
      <c r="F157" s="578">
        <f>'[5]FR-16(7)(v)-14 TOTAL CLASS'!H157</f>
        <v>2798449</v>
      </c>
      <c r="G157" s="570">
        <f>'[5]FR-16(7)(v)-3 PROD Demand'!H157+'[5]FR-16(7)(v)-7 TRANS Demand'!H157+'[5]FR-16(7)(v)-11 DIST Demand'!H157</f>
        <v>2798449</v>
      </c>
      <c r="H157" s="571">
        <f>'[5]FR-16(7)(v)-4 PROD Energy'!H157+'[5]FR-16(7)(v)-8 TRANS Energy'!H157+'[5]FR-16(7)(v)-12 DIST Energy'!H157</f>
        <v>0</v>
      </c>
      <c r="I157" s="572">
        <f>'[5]FR-16(7)(v)-5 PROD Cust'!H157+'[5]FR-16(7)(v)-9 TRANS Cust'!H157+'[5]FR-16(7)(v)-13 DIST Cust'!H157</f>
        <v>0</v>
      </c>
      <c r="J157" s="569">
        <f t="shared" si="29"/>
        <v>2798449</v>
      </c>
      <c r="K157" s="569">
        <f t="shared" si="30"/>
        <v>0</v>
      </c>
    </row>
    <row r="158" spans="1:11">
      <c r="A158" s="565">
        <v>24</v>
      </c>
      <c r="C158" s="547" t="str">
        <f>'[5]FR-16(7)(v)-1 Functional'!C158</f>
        <v>CONDUCTORS - OVERHEAD / SECONDARY - CUSTOMER</v>
      </c>
      <c r="D158" s="549" t="str">
        <f>'[5]FR-16(7)(v)-1 Functional'!D158</f>
        <v>K405</v>
      </c>
      <c r="E158" s="548"/>
      <c r="F158" s="578">
        <f>'[5]FR-16(7)(v)-14 TOTAL CLASS'!H158</f>
        <v>158286</v>
      </c>
      <c r="G158" s="570">
        <f>'[5]FR-16(7)(v)-3 PROD Demand'!H158+'[5]FR-16(7)(v)-7 TRANS Demand'!H158+'[5]FR-16(7)(v)-11 DIST Demand'!H158</f>
        <v>0</v>
      </c>
      <c r="H158" s="571">
        <f>'[5]FR-16(7)(v)-4 PROD Energy'!H158+'[5]FR-16(7)(v)-8 TRANS Energy'!H158+'[5]FR-16(7)(v)-12 DIST Energy'!H158</f>
        <v>0</v>
      </c>
      <c r="I158" s="572">
        <f>'[5]FR-16(7)(v)-5 PROD Cust'!H158+'[5]FR-16(7)(v)-9 TRANS Cust'!H158+'[5]FR-16(7)(v)-13 DIST Cust'!H158</f>
        <v>158286</v>
      </c>
      <c r="J158" s="569">
        <f t="shared" si="29"/>
        <v>158286</v>
      </c>
      <c r="K158" s="569">
        <f t="shared" si="30"/>
        <v>0</v>
      </c>
    </row>
    <row r="159" spans="1:11">
      <c r="A159" s="565">
        <v>25</v>
      </c>
      <c r="C159" s="547" t="str">
        <f>'[5]FR-16(7)(v)-1 Functional'!C159</f>
        <v>CONDUCTORS - UNDERGROUND / PRIMARY - DEMAND</v>
      </c>
      <c r="D159" s="549" t="str">
        <f>'[5]FR-16(7)(v)-1 Functional'!D159</f>
        <v>K205</v>
      </c>
      <c r="E159" s="548"/>
      <c r="F159" s="578">
        <f>'[5]FR-16(7)(v)-14 TOTAL CLASS'!H159</f>
        <v>9058768</v>
      </c>
      <c r="G159" s="570">
        <f>'[5]FR-16(7)(v)-3 PROD Demand'!H159+'[5]FR-16(7)(v)-7 TRANS Demand'!H159+'[5]FR-16(7)(v)-11 DIST Demand'!H159</f>
        <v>9058768</v>
      </c>
      <c r="H159" s="571">
        <f>'[5]FR-16(7)(v)-4 PROD Energy'!H159+'[5]FR-16(7)(v)-8 TRANS Energy'!H159+'[5]FR-16(7)(v)-12 DIST Energy'!H159</f>
        <v>0</v>
      </c>
      <c r="I159" s="572">
        <f>'[5]FR-16(7)(v)-5 PROD Cust'!H159+'[5]FR-16(7)(v)-9 TRANS Cust'!H159+'[5]FR-16(7)(v)-13 DIST Cust'!H159</f>
        <v>0</v>
      </c>
      <c r="J159" s="569">
        <f t="shared" si="29"/>
        <v>9058768</v>
      </c>
      <c r="K159" s="569">
        <f t="shared" si="30"/>
        <v>0</v>
      </c>
    </row>
    <row r="160" spans="1:11">
      <c r="A160" s="565">
        <v>26</v>
      </c>
      <c r="C160" s="547" t="str">
        <f>'[5]FR-16(7)(v)-1 Functional'!C160</f>
        <v>CONDUCTORS - UNDERGROUND / PRIMARY - CUSTOMER</v>
      </c>
      <c r="D160" s="549" t="str">
        <f>'[5]FR-16(7)(v)-1 Functional'!D160</f>
        <v>K405</v>
      </c>
      <c r="E160" s="548"/>
      <c r="F160" s="578">
        <f>'[5]FR-16(7)(v)-14 TOTAL CLASS'!H160</f>
        <v>258359</v>
      </c>
      <c r="G160" s="570">
        <f>'[5]FR-16(7)(v)-3 PROD Demand'!H160+'[5]FR-16(7)(v)-7 TRANS Demand'!H160+'[5]FR-16(7)(v)-11 DIST Demand'!H160</f>
        <v>0</v>
      </c>
      <c r="H160" s="571">
        <f>'[5]FR-16(7)(v)-4 PROD Energy'!H160+'[5]FR-16(7)(v)-8 TRANS Energy'!H160+'[5]FR-16(7)(v)-12 DIST Energy'!H160</f>
        <v>0</v>
      </c>
      <c r="I160" s="572">
        <f>'[5]FR-16(7)(v)-5 PROD Cust'!H160+'[5]FR-16(7)(v)-9 TRANS Cust'!H160+'[5]FR-16(7)(v)-13 DIST Cust'!H160</f>
        <v>258359</v>
      </c>
      <c r="J160" s="569">
        <f t="shared" si="29"/>
        <v>258359</v>
      </c>
      <c r="K160" s="569">
        <f t="shared" si="30"/>
        <v>0</v>
      </c>
    </row>
    <row r="161" spans="1:11">
      <c r="A161" s="565">
        <v>27</v>
      </c>
      <c r="C161" s="547" t="str">
        <f>'[5]FR-16(7)(v)-1 Functional'!C161</f>
        <v>CONDUCTORS - UNDERGROUND / SECONDARY - DEMAND</v>
      </c>
      <c r="D161" s="549" t="str">
        <f>'[5]FR-16(7)(v)-1 Functional'!D161</f>
        <v>K206</v>
      </c>
      <c r="E161" s="548"/>
      <c r="F161" s="578">
        <f>'[5]FR-16(7)(v)-14 TOTAL CLASS'!H161</f>
        <v>1755183</v>
      </c>
      <c r="G161" s="570">
        <f>'[5]FR-16(7)(v)-3 PROD Demand'!H161+'[5]FR-16(7)(v)-7 TRANS Demand'!H161+'[5]FR-16(7)(v)-11 DIST Demand'!H161</f>
        <v>1755183</v>
      </c>
      <c r="H161" s="571">
        <f>'[5]FR-16(7)(v)-4 PROD Energy'!H161+'[5]FR-16(7)(v)-8 TRANS Energy'!H161+'[5]FR-16(7)(v)-12 DIST Energy'!H161</f>
        <v>0</v>
      </c>
      <c r="I161" s="572">
        <f>'[5]FR-16(7)(v)-5 PROD Cust'!H161+'[5]FR-16(7)(v)-9 TRANS Cust'!H161+'[5]FR-16(7)(v)-13 DIST Cust'!H161</f>
        <v>0</v>
      </c>
      <c r="J161" s="569">
        <f t="shared" si="29"/>
        <v>1755183</v>
      </c>
      <c r="K161" s="569">
        <f t="shared" si="30"/>
        <v>0</v>
      </c>
    </row>
    <row r="162" spans="1:11">
      <c r="A162" s="565">
        <v>28</v>
      </c>
      <c r="C162" s="547" t="str">
        <f>'[5]FR-16(7)(v)-1 Functional'!C162</f>
        <v>CONDUCTORS - UNDERGROUND / SECONDARY - CUSTOMER</v>
      </c>
      <c r="D162" s="549" t="str">
        <f>'[5]FR-16(7)(v)-1 Functional'!D162</f>
        <v>K405</v>
      </c>
      <c r="E162" s="548"/>
      <c r="F162" s="578">
        <f>'[5]FR-16(7)(v)-14 TOTAL CLASS'!H162</f>
        <v>78907</v>
      </c>
      <c r="G162" s="570">
        <f>'[5]FR-16(7)(v)-3 PROD Demand'!H162+'[5]FR-16(7)(v)-7 TRANS Demand'!H162+'[5]FR-16(7)(v)-11 DIST Demand'!H162</f>
        <v>0</v>
      </c>
      <c r="H162" s="571">
        <f>'[5]FR-16(7)(v)-4 PROD Energy'!H162+'[5]FR-16(7)(v)-8 TRANS Energy'!H162+'[5]FR-16(7)(v)-12 DIST Energy'!H162</f>
        <v>0</v>
      </c>
      <c r="I162" s="572">
        <f>'[5]FR-16(7)(v)-5 PROD Cust'!H162+'[5]FR-16(7)(v)-9 TRANS Cust'!H162+'[5]FR-16(7)(v)-13 DIST Cust'!H162</f>
        <v>78907</v>
      </c>
      <c r="J162" s="569">
        <f t="shared" si="29"/>
        <v>78907</v>
      </c>
      <c r="K162" s="569">
        <f t="shared" si="30"/>
        <v>0</v>
      </c>
    </row>
    <row r="163" spans="1:11">
      <c r="A163" s="565">
        <v>29</v>
      </c>
      <c r="C163" s="547" t="str">
        <f>'[5]FR-16(7)(v)-1 Functional'!C163</f>
        <v>TRANSFORMERS DEMAND RELATED</v>
      </c>
      <c r="D163" s="549" t="str">
        <f>'[5]FR-16(7)(v)-1 Functional'!D163</f>
        <v>K215</v>
      </c>
      <c r="E163" s="548"/>
      <c r="F163" s="578">
        <f>'[5]FR-16(7)(v)-14 TOTAL CLASS'!H163</f>
        <v>7861198</v>
      </c>
      <c r="G163" s="570">
        <f>'[5]FR-16(7)(v)-3 PROD Demand'!H163+'[5]FR-16(7)(v)-7 TRANS Demand'!H163+'[5]FR-16(7)(v)-11 DIST Demand'!H163</f>
        <v>7861198</v>
      </c>
      <c r="H163" s="571">
        <f>'[5]FR-16(7)(v)-4 PROD Energy'!H163+'[5]FR-16(7)(v)-8 TRANS Energy'!H163+'[5]FR-16(7)(v)-12 DIST Energy'!H163</f>
        <v>0</v>
      </c>
      <c r="I163" s="572">
        <f>'[5]FR-16(7)(v)-5 PROD Cust'!H163+'[5]FR-16(7)(v)-9 TRANS Cust'!H163+'[5]FR-16(7)(v)-13 DIST Cust'!H163</f>
        <v>0</v>
      </c>
      <c r="J163" s="569">
        <f t="shared" si="29"/>
        <v>7861198</v>
      </c>
      <c r="K163" s="569">
        <f t="shared" si="30"/>
        <v>0</v>
      </c>
    </row>
    <row r="164" spans="1:11">
      <c r="A164" s="565">
        <v>30</v>
      </c>
      <c r="C164" s="547" t="str">
        <f>'[5]FR-16(7)(v)-1 Functional'!C164</f>
        <v>TRANSFORMERS CUSTOMER RELATED</v>
      </c>
      <c r="D164" s="549" t="str">
        <f>'[5]FR-16(7)(v)-1 Functional'!D164</f>
        <v>K405</v>
      </c>
      <c r="E164" s="548"/>
      <c r="F164" s="578">
        <f>'[5]FR-16(7)(v)-14 TOTAL CLASS'!H164</f>
        <v>292090</v>
      </c>
      <c r="G164" s="570">
        <f>'[5]FR-16(7)(v)-3 PROD Demand'!H164+'[5]FR-16(7)(v)-7 TRANS Demand'!H164+'[5]FR-16(7)(v)-11 DIST Demand'!H164</f>
        <v>0</v>
      </c>
      <c r="H164" s="571">
        <f>'[5]FR-16(7)(v)-4 PROD Energy'!H164+'[5]FR-16(7)(v)-8 TRANS Energy'!H164+'[5]FR-16(7)(v)-12 DIST Energy'!H164</f>
        <v>0</v>
      </c>
      <c r="I164" s="572">
        <f>'[5]FR-16(7)(v)-5 PROD Cust'!H164+'[5]FR-16(7)(v)-9 TRANS Cust'!H164+'[5]FR-16(7)(v)-13 DIST Cust'!H164</f>
        <v>292090</v>
      </c>
      <c r="J164" s="569">
        <f t="shared" si="29"/>
        <v>292090</v>
      </c>
      <c r="K164" s="569">
        <f t="shared" si="30"/>
        <v>0</v>
      </c>
    </row>
    <row r="165" spans="1:11">
      <c r="A165" s="565">
        <v>31</v>
      </c>
      <c r="C165" s="547" t="str">
        <f>'[5]FR-16(7)(v)-1 Functional'!C165</f>
        <v>SERVICES</v>
      </c>
      <c r="D165" s="549" t="str">
        <f>'[5]FR-16(7)(v)-1 Functional'!D165</f>
        <v>K217</v>
      </c>
      <c r="E165" s="548"/>
      <c r="F165" s="578">
        <f>'[5]FR-16(7)(v)-14 TOTAL CLASS'!H165</f>
        <v>1805096</v>
      </c>
      <c r="G165" s="570">
        <f>'[5]FR-16(7)(v)-3 PROD Demand'!H165+'[5]FR-16(7)(v)-7 TRANS Demand'!H165+'[5]FR-16(7)(v)-11 DIST Demand'!H165</f>
        <v>0</v>
      </c>
      <c r="H165" s="571">
        <f>'[5]FR-16(7)(v)-4 PROD Energy'!H165+'[5]FR-16(7)(v)-8 TRANS Energy'!H165+'[5]FR-16(7)(v)-12 DIST Energy'!H165</f>
        <v>0</v>
      </c>
      <c r="I165" s="572">
        <f>'[5]FR-16(7)(v)-5 PROD Cust'!H165+'[5]FR-16(7)(v)-9 TRANS Cust'!H165+'[5]FR-16(7)(v)-13 DIST Cust'!H165</f>
        <v>1805096</v>
      </c>
      <c r="J165" s="569">
        <f t="shared" si="29"/>
        <v>1805096</v>
      </c>
      <c r="K165" s="569">
        <f t="shared" si="30"/>
        <v>0</v>
      </c>
    </row>
    <row r="166" spans="1:11">
      <c r="A166" s="565">
        <v>32</v>
      </c>
      <c r="C166" s="547" t="str">
        <f>'[5]FR-16(7)(v)-1 Functional'!C166</f>
        <v>METERS</v>
      </c>
      <c r="D166" s="549" t="str">
        <f>'[5]FR-16(7)(v)-1 Functional'!D166</f>
        <v>K407</v>
      </c>
      <c r="E166" s="548"/>
      <c r="F166" s="578">
        <f>'[5]FR-16(7)(v)-14 TOTAL CLASS'!H166</f>
        <v>1537543</v>
      </c>
      <c r="G166" s="570">
        <f>'[5]FR-16(7)(v)-3 PROD Demand'!H166+'[5]FR-16(7)(v)-7 TRANS Demand'!H166+'[5]FR-16(7)(v)-11 DIST Demand'!H166</f>
        <v>0</v>
      </c>
      <c r="H166" s="571">
        <f>'[5]FR-16(7)(v)-4 PROD Energy'!H166+'[5]FR-16(7)(v)-8 TRANS Energy'!H166+'[5]FR-16(7)(v)-12 DIST Energy'!H166</f>
        <v>0</v>
      </c>
      <c r="I166" s="572">
        <f>'[5]FR-16(7)(v)-5 PROD Cust'!H166+'[5]FR-16(7)(v)-9 TRANS Cust'!H166+'[5]FR-16(7)(v)-13 DIST Cust'!H166</f>
        <v>1537543</v>
      </c>
      <c r="J166" s="569">
        <f t="shared" si="29"/>
        <v>1537543</v>
      </c>
      <c r="K166" s="569">
        <f t="shared" si="30"/>
        <v>0</v>
      </c>
    </row>
    <row r="167" spans="1:11">
      <c r="A167" s="565">
        <v>33</v>
      </c>
      <c r="C167" s="547" t="str">
        <f>'[5]FR-16(7)(v)-1 Functional'!C167</f>
        <v>STREET LIGHTS</v>
      </c>
      <c r="D167" s="549" t="str">
        <f>'[5]FR-16(7)(v)-1 Functional'!D167</f>
        <v>K401</v>
      </c>
      <c r="E167" s="548"/>
      <c r="F167" s="578">
        <f>'[5]FR-16(7)(v)-14 TOTAL CLASS'!H167</f>
        <v>0</v>
      </c>
      <c r="G167" s="570">
        <f>'[5]FR-16(7)(v)-3 PROD Demand'!H167+'[5]FR-16(7)(v)-7 TRANS Demand'!H167+'[5]FR-16(7)(v)-11 DIST Demand'!H167</f>
        <v>0</v>
      </c>
      <c r="H167" s="571">
        <f>'[5]FR-16(7)(v)-4 PROD Energy'!H167+'[5]FR-16(7)(v)-8 TRANS Energy'!H167+'[5]FR-16(7)(v)-12 DIST Energy'!H167</f>
        <v>0</v>
      </c>
      <c r="I167" s="572">
        <f>'[5]FR-16(7)(v)-5 PROD Cust'!H167+'[5]FR-16(7)(v)-9 TRANS Cust'!H167+'[5]FR-16(7)(v)-13 DIST Cust'!H167</f>
        <v>0</v>
      </c>
      <c r="J167" s="569">
        <f t="shared" si="29"/>
        <v>0</v>
      </c>
      <c r="K167" s="569">
        <f t="shared" si="30"/>
        <v>0</v>
      </c>
    </row>
    <row r="168" spans="1:11">
      <c r="A168" s="565">
        <v>34</v>
      </c>
      <c r="C168" s="547" t="str">
        <f>'[5]FR-16(7)(v)-1 Functional'!C168</f>
        <v xml:space="preserve">ADJUSTMENT  </v>
      </c>
      <c r="D168" s="549" t="str">
        <f>'[5]FR-16(7)(v)-1 Functional'!D168</f>
        <v>K209</v>
      </c>
      <c r="E168" s="548"/>
      <c r="F168" s="578">
        <f>'[5]FR-16(7)(v)-14 TOTAL CLASS'!H168</f>
        <v>-19015</v>
      </c>
      <c r="G168" s="570">
        <f>'[5]FR-16(7)(v)-3 PROD Demand'!H168+'[5]FR-16(7)(v)-7 TRANS Demand'!H168+'[5]FR-16(7)(v)-11 DIST Demand'!H168</f>
        <v>-17698</v>
      </c>
      <c r="H168" s="571">
        <f>'[5]FR-16(7)(v)-4 PROD Energy'!H168+'[5]FR-16(7)(v)-8 TRANS Energy'!H168+'[5]FR-16(7)(v)-12 DIST Energy'!H168</f>
        <v>0</v>
      </c>
      <c r="I168" s="572">
        <f>'[5]FR-16(7)(v)-5 PROD Cust'!H168+'[5]FR-16(7)(v)-9 TRANS Cust'!H168+'[5]FR-16(7)(v)-13 DIST Cust'!H168</f>
        <v>-1317</v>
      </c>
      <c r="J168" s="569">
        <f t="shared" si="29"/>
        <v>-19015</v>
      </c>
      <c r="K168" s="569">
        <f t="shared" si="30"/>
        <v>0</v>
      </c>
    </row>
    <row r="169" spans="1:11">
      <c r="A169" s="565">
        <v>35</v>
      </c>
      <c r="C169" s="547" t="str">
        <f>'[5]FR-16(7)(v)-1 Functional'!C169</f>
        <v>CONSTRUCTION NOT CLASSIFIED</v>
      </c>
      <c r="D169" s="549" t="str">
        <f>'[5]FR-16(7)(v)-1 Functional'!D169</f>
        <v>K209</v>
      </c>
      <c r="E169" s="548"/>
      <c r="F169" s="578">
        <f>'[5]FR-16(7)(v)-14 TOTAL CLASS'!H169</f>
        <v>0</v>
      </c>
      <c r="G169" s="570">
        <f>'[5]FR-16(7)(v)-3 PROD Demand'!H169+'[5]FR-16(7)(v)-7 TRANS Demand'!H169+'[5]FR-16(7)(v)-11 DIST Demand'!H169</f>
        <v>0</v>
      </c>
      <c r="H169" s="571">
        <f>'[5]FR-16(7)(v)-4 PROD Energy'!H169+'[5]FR-16(7)(v)-8 TRANS Energy'!H169+'[5]FR-16(7)(v)-12 DIST Energy'!H169</f>
        <v>0</v>
      </c>
      <c r="I169" s="572">
        <f>'[5]FR-16(7)(v)-5 PROD Cust'!H169+'[5]FR-16(7)(v)-9 TRANS Cust'!H169+'[5]FR-16(7)(v)-13 DIST Cust'!H169</f>
        <v>0</v>
      </c>
      <c r="J169" s="569">
        <f t="shared" si="29"/>
        <v>0</v>
      </c>
      <c r="K169" s="569">
        <f t="shared" si="30"/>
        <v>0</v>
      </c>
    </row>
    <row r="170" spans="1:11">
      <c r="A170" s="565">
        <v>36</v>
      </c>
      <c r="C170" s="547" t="str">
        <f>'[5]FR-16(7)(v)-1 Functional'!C170</f>
        <v>RWIP</v>
      </c>
      <c r="D170" s="549" t="str">
        <f>'[5]FR-16(7)(v)-1 Functional'!D170</f>
        <v>K215</v>
      </c>
      <c r="E170" s="548"/>
      <c r="F170" s="578">
        <f>'[5]FR-16(7)(v)-14 TOTAL CLASS'!H170</f>
        <v>-7770405</v>
      </c>
      <c r="G170" s="570">
        <f>'[5]FR-16(7)(v)-3 PROD Demand'!H170+'[5]FR-16(7)(v)-7 TRANS Demand'!H170+'[5]FR-16(7)(v)-11 DIST Demand'!H170</f>
        <v>-7770405</v>
      </c>
      <c r="H170" s="571">
        <f>'[5]FR-16(7)(v)-4 PROD Energy'!H170+'[5]FR-16(7)(v)-8 TRANS Energy'!H170+'[5]FR-16(7)(v)-12 DIST Energy'!H170</f>
        <v>0</v>
      </c>
      <c r="I170" s="572">
        <f>'[5]FR-16(7)(v)-5 PROD Cust'!H170+'[5]FR-16(7)(v)-9 TRANS Cust'!H170+'[5]FR-16(7)(v)-13 DIST Cust'!H170</f>
        <v>0</v>
      </c>
      <c r="J170" s="569">
        <f t="shared" si="29"/>
        <v>-7770405</v>
      </c>
      <c r="K170" s="569">
        <f t="shared" si="30"/>
        <v>0</v>
      </c>
    </row>
    <row r="171" spans="1:11">
      <c r="A171" s="565">
        <v>37</v>
      </c>
      <c r="C171" s="547" t="str">
        <f>'[5]FR-16(7)(v)-1 Functional'!C171</f>
        <v xml:space="preserve">  TOTAL DIST DEPREC RESERVE</v>
      </c>
      <c r="D171" s="549"/>
      <c r="E171" s="548"/>
      <c r="F171" s="574">
        <f>SUM(F149:F170)</f>
        <v>43712670</v>
      </c>
      <c r="G171" s="575">
        <f t="shared" ref="G171:K171" si="31">SUM(G149:G170)</f>
        <v>38481332</v>
      </c>
      <c r="H171" s="576">
        <f t="shared" si="31"/>
        <v>0</v>
      </c>
      <c r="I171" s="577">
        <f t="shared" si="31"/>
        <v>5231338</v>
      </c>
      <c r="J171" s="574">
        <f t="shared" si="31"/>
        <v>43712670</v>
      </c>
      <c r="K171" s="574">
        <f t="shared" si="31"/>
        <v>0</v>
      </c>
    </row>
    <row r="172" spans="1:11">
      <c r="A172" s="565">
        <v>38</v>
      </c>
      <c r="D172" s="549"/>
      <c r="E172" s="548"/>
      <c r="G172" s="566"/>
      <c r="H172" s="567"/>
      <c r="I172" s="568"/>
    </row>
    <row r="173" spans="1:11">
      <c r="A173" s="565">
        <v>39</v>
      </c>
      <c r="C173" s="547" t="s">
        <v>1208</v>
      </c>
      <c r="D173" s="549"/>
      <c r="E173" s="548"/>
      <c r="F173" s="578">
        <f>F171+F145</f>
        <v>47472574</v>
      </c>
      <c r="G173" s="570">
        <f>G171+G145</f>
        <v>42241236</v>
      </c>
      <c r="H173" s="571">
        <f>H171+H145</f>
        <v>0</v>
      </c>
      <c r="I173" s="572">
        <f>I171+I145</f>
        <v>5231338</v>
      </c>
      <c r="J173" s="569">
        <f>J171+J145</f>
        <v>47472574</v>
      </c>
      <c r="K173" s="569">
        <f>F173-J173</f>
        <v>0</v>
      </c>
    </row>
    <row r="174" spans="1:11">
      <c r="A174" s="565">
        <v>40</v>
      </c>
      <c r="C174" s="547" t="s">
        <v>1209</v>
      </c>
      <c r="D174" s="549"/>
      <c r="E174" s="548"/>
      <c r="F174" s="578">
        <f>F147+F171</f>
        <v>254720451</v>
      </c>
      <c r="G174" s="570">
        <f>G147+G171</f>
        <v>249489113</v>
      </c>
      <c r="H174" s="571">
        <f>H147+H171</f>
        <v>0</v>
      </c>
      <c r="I174" s="572">
        <f>I147+I171</f>
        <v>5231338</v>
      </c>
      <c r="J174" s="569">
        <f>J147+J171</f>
        <v>254720451</v>
      </c>
      <c r="K174" s="569">
        <f>F174-J174</f>
        <v>0</v>
      </c>
    </row>
    <row r="175" spans="1:11">
      <c r="A175" s="565">
        <v>41</v>
      </c>
      <c r="D175" s="549"/>
      <c r="E175" s="548"/>
      <c r="G175" s="566"/>
      <c r="H175" s="567"/>
      <c r="I175" s="568"/>
    </row>
    <row r="176" spans="1:11">
      <c r="A176" s="565">
        <v>42</v>
      </c>
      <c r="B176" s="547" t="s">
        <v>1204</v>
      </c>
      <c r="D176" s="549"/>
      <c r="E176" s="548"/>
      <c r="G176" s="566"/>
      <c r="H176" s="567"/>
      <c r="I176" s="568"/>
    </row>
    <row r="177" spans="1:11">
      <c r="A177" s="565">
        <v>43</v>
      </c>
      <c r="C177" s="547" t="str">
        <f>'[5]FR-16(7)(v)-1 Functional'!C177</f>
        <v>PRODUCTION - DEMAND</v>
      </c>
      <c r="D177" s="549" t="str">
        <f>'[5]FR-16(7)(v)-1 Functional'!D177</f>
        <v>K201</v>
      </c>
      <c r="E177" s="548"/>
      <c r="F177" s="578">
        <f>'[5]FR-16(7)(v)-14 TOTAL CLASS'!H177</f>
        <v>4179690</v>
      </c>
      <c r="G177" s="570">
        <f>'[5]FR-16(7)(v)-3 PROD Demand'!H177+'[5]FR-16(7)(v)-7 TRANS Demand'!H177+'[5]FR-16(7)(v)-11 DIST Demand'!H177</f>
        <v>4179690</v>
      </c>
      <c r="H177" s="571">
        <f>'[5]FR-16(7)(v)-4 PROD Energy'!H177+'[5]FR-16(7)(v)-8 TRANS Energy'!H177+'[5]FR-16(7)(v)-12 DIST Energy'!H177</f>
        <v>0</v>
      </c>
      <c r="I177" s="572">
        <f>'[5]FR-16(7)(v)-5 PROD Cust'!H177+'[5]FR-16(7)(v)-9 TRANS Cust'!H177+'[5]FR-16(7)(v)-13 DIST Cust'!H177</f>
        <v>0</v>
      </c>
      <c r="J177" s="569">
        <f>SUM(G177:I177)</f>
        <v>4179690</v>
      </c>
      <c r="K177" s="569">
        <f>F177-J177</f>
        <v>0</v>
      </c>
    </row>
    <row r="178" spans="1:11">
      <c r="A178" s="565">
        <v>44</v>
      </c>
      <c r="C178" s="547" t="str">
        <f>'[5]FR-16(7)(v)-1 Functional'!C178</f>
        <v>PRODUCTION - ENERGY</v>
      </c>
      <c r="D178" s="549" t="str">
        <f>'[5]FR-16(7)(v)-1 Functional'!D178</f>
        <v>K301</v>
      </c>
      <c r="E178" s="548"/>
      <c r="F178" s="578">
        <f>'[5]FR-16(7)(v)-14 TOTAL CLASS'!H178</f>
        <v>3150165</v>
      </c>
      <c r="G178" s="570">
        <f>'[5]FR-16(7)(v)-3 PROD Demand'!H178+'[5]FR-16(7)(v)-7 TRANS Demand'!H178+'[5]FR-16(7)(v)-11 DIST Demand'!H178</f>
        <v>0</v>
      </c>
      <c r="H178" s="571">
        <f>'[5]FR-16(7)(v)-4 PROD Energy'!H178+'[5]FR-16(7)(v)-8 TRANS Energy'!H178+'[5]FR-16(7)(v)-12 DIST Energy'!H178</f>
        <v>3150165</v>
      </c>
      <c r="I178" s="572">
        <f>'[5]FR-16(7)(v)-5 PROD Cust'!H178+'[5]FR-16(7)(v)-9 TRANS Cust'!H178+'[5]FR-16(7)(v)-13 DIST Cust'!H178</f>
        <v>0</v>
      </c>
      <c r="J178" s="569">
        <f t="shared" ref="J178:J185" si="32">SUM(G178:I178)</f>
        <v>3150165</v>
      </c>
      <c r="K178" s="569">
        <f t="shared" ref="K178:K185" si="33">F178-J178</f>
        <v>0</v>
      </c>
    </row>
    <row r="179" spans="1:11">
      <c r="A179" s="565">
        <v>45</v>
      </c>
      <c r="C179" s="547" t="str">
        <f>'[5]FR-16(7)(v)-1 Functional'!C179</f>
        <v>TRANSMISSION</v>
      </c>
      <c r="D179" s="549" t="str">
        <f>'[5]FR-16(7)(v)-1 Functional'!D179</f>
        <v>K202</v>
      </c>
      <c r="E179" s="548"/>
      <c r="F179" s="578">
        <f>'[5]FR-16(7)(v)-14 TOTAL CLASS'!H179</f>
        <v>383069</v>
      </c>
      <c r="G179" s="570">
        <f>'[5]FR-16(7)(v)-3 PROD Demand'!H179+'[5]FR-16(7)(v)-7 TRANS Demand'!H179+'[5]FR-16(7)(v)-11 DIST Demand'!H179</f>
        <v>383069</v>
      </c>
      <c r="H179" s="571">
        <f>'[5]FR-16(7)(v)-4 PROD Energy'!H179+'[5]FR-16(7)(v)-8 TRANS Energy'!H179+'[5]FR-16(7)(v)-12 DIST Energy'!H179</f>
        <v>0</v>
      </c>
      <c r="I179" s="572">
        <f>'[5]FR-16(7)(v)-5 PROD Cust'!H179+'[5]FR-16(7)(v)-9 TRANS Cust'!H179+'[5]FR-16(7)(v)-13 DIST Cust'!H179</f>
        <v>0</v>
      </c>
      <c r="J179" s="569">
        <f t="shared" si="32"/>
        <v>383069</v>
      </c>
      <c r="K179" s="569">
        <f t="shared" si="33"/>
        <v>0</v>
      </c>
    </row>
    <row r="180" spans="1:11">
      <c r="A180" s="565">
        <v>46</v>
      </c>
      <c r="C180" s="547" t="str">
        <f>'[5]FR-16(7)(v)-1 Functional'!C180</f>
        <v>DISTRIBUTION - DEMAND</v>
      </c>
      <c r="D180" s="549" t="str">
        <f>'[5]FR-16(7)(v)-1 Functional'!D180</f>
        <v>K201</v>
      </c>
      <c r="E180" s="548"/>
      <c r="F180" s="578">
        <f>'[5]FR-16(7)(v)-14 TOTAL CLASS'!H180</f>
        <v>1511713</v>
      </c>
      <c r="G180" s="570">
        <f>'[5]FR-16(7)(v)-3 PROD Demand'!H180+'[5]FR-16(7)(v)-7 TRANS Demand'!H180+'[5]FR-16(7)(v)-11 DIST Demand'!H180</f>
        <v>1511713</v>
      </c>
      <c r="H180" s="571">
        <f>'[5]FR-16(7)(v)-4 PROD Energy'!H180+'[5]FR-16(7)(v)-8 TRANS Energy'!H180+'[5]FR-16(7)(v)-12 DIST Energy'!H180</f>
        <v>0</v>
      </c>
      <c r="I180" s="572">
        <f>'[5]FR-16(7)(v)-5 PROD Cust'!H180+'[5]FR-16(7)(v)-9 TRANS Cust'!H180+'[5]FR-16(7)(v)-13 DIST Cust'!H180</f>
        <v>0</v>
      </c>
      <c r="J180" s="569">
        <f t="shared" si="32"/>
        <v>1511713</v>
      </c>
      <c r="K180" s="569">
        <f t="shared" si="33"/>
        <v>0</v>
      </c>
    </row>
    <row r="181" spans="1:11">
      <c r="A181" s="565">
        <v>47</v>
      </c>
      <c r="C181" s="547" t="str">
        <f>'[5]FR-16(7)(v)-1 Functional'!C181</f>
        <v>DISTRIBUTION - CUSTOMER</v>
      </c>
      <c r="D181" s="549" t="str">
        <f>'[5]FR-16(7)(v)-1 Functional'!D181</f>
        <v>K405</v>
      </c>
      <c r="E181" s="548"/>
      <c r="F181" s="578">
        <f>'[5]FR-16(7)(v)-14 TOTAL CLASS'!H181</f>
        <v>78564</v>
      </c>
      <c r="G181" s="570">
        <f>'[5]FR-16(7)(v)-3 PROD Demand'!H181+'[5]FR-16(7)(v)-7 TRANS Demand'!H181+'[5]FR-16(7)(v)-11 DIST Demand'!H181</f>
        <v>0</v>
      </c>
      <c r="H181" s="571">
        <f>'[5]FR-16(7)(v)-4 PROD Energy'!H181+'[5]FR-16(7)(v)-8 TRANS Energy'!H181+'[5]FR-16(7)(v)-12 DIST Energy'!H181</f>
        <v>0</v>
      </c>
      <c r="I181" s="572">
        <f>'[5]FR-16(7)(v)-5 PROD Cust'!H181+'[5]FR-16(7)(v)-9 TRANS Cust'!H181+'[5]FR-16(7)(v)-13 DIST Cust'!H181</f>
        <v>78564</v>
      </c>
      <c r="J181" s="569">
        <f t="shared" si="32"/>
        <v>78564</v>
      </c>
      <c r="K181" s="569">
        <f t="shared" si="33"/>
        <v>0</v>
      </c>
    </row>
    <row r="182" spans="1:11">
      <c r="A182" s="565">
        <v>48</v>
      </c>
      <c r="C182" s="547" t="str">
        <f>'[5]FR-16(7)(v)-1 Functional'!C182</f>
        <v>CUSTOMER ACCOUNTING</v>
      </c>
      <c r="D182" s="549" t="str">
        <f>'[5]FR-16(7)(v)-1 Functional'!D182</f>
        <v>A308</v>
      </c>
      <c r="E182" s="548"/>
      <c r="F182" s="578">
        <f>'[5]FR-16(7)(v)-14 TOTAL CLASS'!H182</f>
        <v>217469</v>
      </c>
      <c r="G182" s="570">
        <f>'[5]FR-16(7)(v)-3 PROD Demand'!H182+'[5]FR-16(7)(v)-7 TRANS Demand'!H182+'[5]FR-16(7)(v)-11 DIST Demand'!H182</f>
        <v>0</v>
      </c>
      <c r="H182" s="571">
        <f>'[5]FR-16(7)(v)-4 PROD Energy'!H182+'[5]FR-16(7)(v)-8 TRANS Energy'!H182+'[5]FR-16(7)(v)-12 DIST Energy'!H182</f>
        <v>0</v>
      </c>
      <c r="I182" s="572">
        <f>'[5]FR-16(7)(v)-5 PROD Cust'!H182+'[5]FR-16(7)(v)-9 TRANS Cust'!H182+'[5]FR-16(7)(v)-13 DIST Cust'!H182</f>
        <v>217469</v>
      </c>
      <c r="J182" s="569">
        <f t="shared" si="32"/>
        <v>217469</v>
      </c>
      <c r="K182" s="569">
        <f t="shared" si="33"/>
        <v>0</v>
      </c>
    </row>
    <row r="183" spans="1:11">
      <c r="A183" s="565">
        <v>49</v>
      </c>
      <c r="C183" s="547" t="str">
        <f>'[5]FR-16(7)(v)-1 Functional'!C183</f>
        <v>CUSTOMER SERVICE &amp; INFORMATION</v>
      </c>
      <c r="D183" s="549" t="str">
        <f>'[5]FR-16(7)(v)-1 Functional'!D183</f>
        <v>A310</v>
      </c>
      <c r="E183" s="548"/>
      <c r="F183" s="578">
        <f>'[5]FR-16(7)(v)-14 TOTAL CLASS'!H183</f>
        <v>124860</v>
      </c>
      <c r="G183" s="570">
        <f>'[5]FR-16(7)(v)-3 PROD Demand'!H183+'[5]FR-16(7)(v)-7 TRANS Demand'!H183+'[5]FR-16(7)(v)-11 DIST Demand'!H183</f>
        <v>0</v>
      </c>
      <c r="H183" s="571">
        <f>'[5]FR-16(7)(v)-4 PROD Energy'!H183+'[5]FR-16(7)(v)-8 TRANS Energy'!H183+'[5]FR-16(7)(v)-12 DIST Energy'!H183</f>
        <v>0</v>
      </c>
      <c r="I183" s="572">
        <f>'[5]FR-16(7)(v)-5 PROD Cust'!H183+'[5]FR-16(7)(v)-9 TRANS Cust'!H183+'[5]FR-16(7)(v)-13 DIST Cust'!H183</f>
        <v>124860</v>
      </c>
      <c r="J183" s="569">
        <f t="shared" si="32"/>
        <v>124860</v>
      </c>
      <c r="K183" s="569">
        <f t="shared" si="33"/>
        <v>0</v>
      </c>
    </row>
    <row r="184" spans="1:11">
      <c r="A184" s="565">
        <v>50</v>
      </c>
      <c r="C184" s="547" t="str">
        <f>'[5]FR-16(7)(v)-1 Functional'!C184</f>
        <v>SALES</v>
      </c>
      <c r="D184" s="549" t="str">
        <f>'[5]FR-16(7)(v)-1 Functional'!D184</f>
        <v>A312</v>
      </c>
      <c r="E184" s="548"/>
      <c r="F184" s="578">
        <f>'[5]FR-16(7)(v)-14 TOTAL CLASS'!H184</f>
        <v>0</v>
      </c>
      <c r="G184" s="570">
        <f>'[5]FR-16(7)(v)-3 PROD Demand'!H184+'[5]FR-16(7)(v)-7 TRANS Demand'!H184+'[5]FR-16(7)(v)-11 DIST Demand'!H184</f>
        <v>0</v>
      </c>
      <c r="H184" s="571">
        <f>'[5]FR-16(7)(v)-4 PROD Energy'!H184+'[5]FR-16(7)(v)-8 TRANS Energy'!H184+'[5]FR-16(7)(v)-12 DIST Energy'!H184</f>
        <v>0</v>
      </c>
      <c r="I184" s="572">
        <f>'[5]FR-16(7)(v)-5 PROD Cust'!H184+'[5]FR-16(7)(v)-9 TRANS Cust'!H184+'[5]FR-16(7)(v)-13 DIST Cust'!H184</f>
        <v>0</v>
      </c>
      <c r="J184" s="569">
        <f t="shared" si="32"/>
        <v>0</v>
      </c>
      <c r="K184" s="569">
        <f t="shared" si="33"/>
        <v>0</v>
      </c>
    </row>
    <row r="185" spans="1:11">
      <c r="A185" s="565">
        <v>51</v>
      </c>
      <c r="C185" s="547" t="str">
        <f>'[5]FR-16(7)(v)-1 Functional'!C185</f>
        <v>ADJUSTMENT</v>
      </c>
      <c r="D185" s="549" t="str">
        <f>'[5]FR-16(7)(v)-1 Functional'!D185</f>
        <v>A315</v>
      </c>
      <c r="E185" s="548"/>
      <c r="F185" s="578">
        <f>'[5]FR-16(7)(v)-14 TOTAL CLASS'!H185</f>
        <v>7045</v>
      </c>
      <c r="G185" s="570">
        <f>'[5]FR-16(7)(v)-3 PROD Demand'!H185+'[5]FR-16(7)(v)-7 TRANS Demand'!H185+'[5]FR-16(7)(v)-11 DIST Demand'!H185</f>
        <v>776</v>
      </c>
      <c r="H185" s="571">
        <f>'[5]FR-16(7)(v)-4 PROD Energy'!H185+'[5]FR-16(7)(v)-8 TRANS Energy'!H185+'[5]FR-16(7)(v)-12 DIST Energy'!H185</f>
        <v>5485</v>
      </c>
      <c r="I185" s="572">
        <f>'[5]FR-16(7)(v)-5 PROD Cust'!H185+'[5]FR-16(7)(v)-9 TRANS Cust'!H185+'[5]FR-16(7)(v)-13 DIST Cust'!H185</f>
        <v>784</v>
      </c>
      <c r="J185" s="569">
        <f t="shared" si="32"/>
        <v>7045</v>
      </c>
      <c r="K185" s="569">
        <f t="shared" si="33"/>
        <v>0</v>
      </c>
    </row>
    <row r="186" spans="1:11">
      <c r="A186" s="565">
        <v>52</v>
      </c>
      <c r="C186" s="617" t="str">
        <f>'[5]FR-16(7)(v)-1 Functional'!C186</f>
        <v xml:space="preserve">  GENERAL &amp; INTANG PLANT</v>
      </c>
      <c r="D186" s="549"/>
      <c r="E186" s="548"/>
      <c r="F186" s="574">
        <f t="shared" ref="F186:K186" si="34">SUM(F176:F185)</f>
        <v>9652575</v>
      </c>
      <c r="G186" s="575">
        <f t="shared" si="34"/>
        <v>6075248</v>
      </c>
      <c r="H186" s="576">
        <f t="shared" si="34"/>
        <v>3155650</v>
      </c>
      <c r="I186" s="577">
        <f t="shared" si="34"/>
        <v>421677</v>
      </c>
      <c r="J186" s="574">
        <f t="shared" si="34"/>
        <v>9652575</v>
      </c>
      <c r="K186" s="574">
        <f t="shared" si="34"/>
        <v>0</v>
      </c>
    </row>
    <row r="187" spans="1:11">
      <c r="A187" s="565">
        <v>53</v>
      </c>
      <c r="D187" s="549"/>
      <c r="E187" s="548"/>
      <c r="G187" s="566"/>
      <c r="H187" s="567"/>
      <c r="I187" s="568"/>
    </row>
    <row r="188" spans="1:11">
      <c r="A188" s="565">
        <v>54</v>
      </c>
      <c r="B188" s="547" t="s">
        <v>1205</v>
      </c>
      <c r="D188" s="549"/>
      <c r="E188" s="548"/>
      <c r="G188" s="566"/>
      <c r="H188" s="567"/>
      <c r="I188" s="568"/>
    </row>
    <row r="189" spans="1:11">
      <c r="A189" s="565">
        <v>55</v>
      </c>
      <c r="C189" s="547" t="str">
        <f>'[5]FR-16(7)(v)-1 Functional'!C189</f>
        <v>PRODUCTION - DEMAND</v>
      </c>
      <c r="D189" s="549" t="str">
        <f>'[5]FR-16(7)(v)-1 Functional'!D189</f>
        <v>K201</v>
      </c>
      <c r="E189" s="548"/>
      <c r="F189" s="578">
        <f>'[5]FR-16(7)(v)-14 TOTAL CLASS'!H189</f>
        <v>2170228</v>
      </c>
      <c r="G189" s="570">
        <f>'[5]FR-16(7)(v)-3 PROD Demand'!H189+'[5]FR-16(7)(v)-7 TRANS Demand'!H189+'[5]FR-16(7)(v)-11 DIST Demand'!H189</f>
        <v>2170228</v>
      </c>
      <c r="H189" s="571">
        <f>'[5]FR-16(7)(v)-4 PROD Energy'!H189+'[5]FR-16(7)(v)-8 TRANS Energy'!H189+'[5]FR-16(7)(v)-12 DIST Energy'!H189</f>
        <v>0</v>
      </c>
      <c r="I189" s="572">
        <f>'[5]FR-16(7)(v)-5 PROD Cust'!H189+'[5]FR-16(7)(v)-9 TRANS Cust'!H189+'[5]FR-16(7)(v)-13 DIST Cust'!H189</f>
        <v>0</v>
      </c>
      <c r="J189" s="569">
        <f>SUM(G189:I189)</f>
        <v>2170228</v>
      </c>
      <c r="K189" s="569">
        <f>F189-J189</f>
        <v>0</v>
      </c>
    </row>
    <row r="190" spans="1:11">
      <c r="A190" s="565">
        <v>56</v>
      </c>
      <c r="C190" s="547" t="str">
        <f>'[5]FR-16(7)(v)-1 Functional'!C190</f>
        <v>PRODUCTION - ENERGY</v>
      </c>
      <c r="D190" s="549" t="str">
        <f>'[5]FR-16(7)(v)-1 Functional'!D190</f>
        <v>K301</v>
      </c>
      <c r="E190" s="548"/>
      <c r="F190" s="578">
        <f>'[5]FR-16(7)(v)-14 TOTAL CLASS'!H190</f>
        <v>1635666</v>
      </c>
      <c r="G190" s="570">
        <f>'[5]FR-16(7)(v)-3 PROD Demand'!H190+'[5]FR-16(7)(v)-7 TRANS Demand'!H190+'[5]FR-16(7)(v)-11 DIST Demand'!H190</f>
        <v>0</v>
      </c>
      <c r="H190" s="571">
        <f>'[5]FR-16(7)(v)-4 PROD Energy'!H190+'[5]FR-16(7)(v)-8 TRANS Energy'!H190+'[5]FR-16(7)(v)-12 DIST Energy'!H190</f>
        <v>1635666</v>
      </c>
      <c r="I190" s="572">
        <f>'[5]FR-16(7)(v)-5 PROD Cust'!H190+'[5]FR-16(7)(v)-9 TRANS Cust'!H190+'[5]FR-16(7)(v)-13 DIST Cust'!H190</f>
        <v>0</v>
      </c>
      <c r="J190" s="569">
        <f t="shared" ref="J190:J197" si="35">SUM(G190:I190)</f>
        <v>1635666</v>
      </c>
      <c r="K190" s="569">
        <f t="shared" ref="K190:K197" si="36">F190-J190</f>
        <v>0</v>
      </c>
    </row>
    <row r="191" spans="1:11">
      <c r="A191" s="565">
        <v>57</v>
      </c>
      <c r="C191" s="547" t="str">
        <f>'[5]FR-16(7)(v)-1 Functional'!C191</f>
        <v>TRANSMISSION</v>
      </c>
      <c r="D191" s="549" t="str">
        <f>'[5]FR-16(7)(v)-1 Functional'!D191</f>
        <v>K202</v>
      </c>
      <c r="E191" s="548"/>
      <c r="F191" s="578">
        <f>'[5]FR-16(7)(v)-14 TOTAL CLASS'!H191</f>
        <v>198902</v>
      </c>
      <c r="G191" s="570">
        <f>'[5]FR-16(7)(v)-3 PROD Demand'!H191+'[5]FR-16(7)(v)-7 TRANS Demand'!H191+'[5]FR-16(7)(v)-11 DIST Demand'!H191</f>
        <v>198902</v>
      </c>
      <c r="H191" s="571">
        <f>'[5]FR-16(7)(v)-4 PROD Energy'!H191+'[5]FR-16(7)(v)-8 TRANS Energy'!H191+'[5]FR-16(7)(v)-12 DIST Energy'!H191</f>
        <v>0</v>
      </c>
      <c r="I191" s="572">
        <f>'[5]FR-16(7)(v)-5 PROD Cust'!H191+'[5]FR-16(7)(v)-9 TRANS Cust'!H191+'[5]FR-16(7)(v)-13 DIST Cust'!H191</f>
        <v>0</v>
      </c>
      <c r="J191" s="569">
        <f t="shared" si="35"/>
        <v>198902</v>
      </c>
      <c r="K191" s="569">
        <f t="shared" si="36"/>
        <v>0</v>
      </c>
    </row>
    <row r="192" spans="1:11">
      <c r="A192" s="565">
        <v>58</v>
      </c>
      <c r="C192" s="547" t="str">
        <f>'[5]FR-16(7)(v)-1 Functional'!C192</f>
        <v>DISTRIBUTION - DEMAND</v>
      </c>
      <c r="D192" s="549" t="str">
        <f>'[5]FR-16(7)(v)-1 Functional'!D192</f>
        <v>K201</v>
      </c>
      <c r="E192" s="548"/>
      <c r="F192" s="578">
        <f>'[5]FR-16(7)(v)-14 TOTAL CLASS'!H192</f>
        <v>784930</v>
      </c>
      <c r="G192" s="570">
        <f>'[5]FR-16(7)(v)-3 PROD Demand'!H192+'[5]FR-16(7)(v)-7 TRANS Demand'!H192+'[5]FR-16(7)(v)-11 DIST Demand'!H192</f>
        <v>784930</v>
      </c>
      <c r="H192" s="571">
        <f>'[5]FR-16(7)(v)-4 PROD Energy'!H192+'[5]FR-16(7)(v)-8 TRANS Energy'!H192+'[5]FR-16(7)(v)-12 DIST Energy'!H192</f>
        <v>0</v>
      </c>
      <c r="I192" s="572">
        <f>'[5]FR-16(7)(v)-5 PROD Cust'!H192+'[5]FR-16(7)(v)-9 TRANS Cust'!H192+'[5]FR-16(7)(v)-13 DIST Cust'!H192</f>
        <v>0</v>
      </c>
      <c r="J192" s="569">
        <f t="shared" si="35"/>
        <v>784930</v>
      </c>
      <c r="K192" s="569">
        <f t="shared" si="36"/>
        <v>0</v>
      </c>
    </row>
    <row r="193" spans="1:11">
      <c r="A193" s="565">
        <v>59</v>
      </c>
      <c r="C193" s="547" t="str">
        <f>'[5]FR-16(7)(v)-1 Functional'!C193</f>
        <v>DISTRIBUTION - CUSTOMER</v>
      </c>
      <c r="D193" s="549" t="str">
        <f>'[5]FR-16(7)(v)-1 Functional'!D193</f>
        <v>K405</v>
      </c>
      <c r="E193" s="548"/>
      <c r="F193" s="578">
        <f>'[5]FR-16(7)(v)-14 TOTAL CLASS'!H193</f>
        <v>40793</v>
      </c>
      <c r="G193" s="570">
        <f>'[5]FR-16(7)(v)-3 PROD Demand'!H193+'[5]FR-16(7)(v)-7 TRANS Demand'!H193+'[5]FR-16(7)(v)-11 DIST Demand'!H193</f>
        <v>0</v>
      </c>
      <c r="H193" s="571">
        <f>'[5]FR-16(7)(v)-4 PROD Energy'!H193+'[5]FR-16(7)(v)-8 TRANS Energy'!H193+'[5]FR-16(7)(v)-12 DIST Energy'!H193</f>
        <v>0</v>
      </c>
      <c r="I193" s="572">
        <f>'[5]FR-16(7)(v)-5 PROD Cust'!H193+'[5]FR-16(7)(v)-9 TRANS Cust'!H193+'[5]FR-16(7)(v)-13 DIST Cust'!H193</f>
        <v>40793</v>
      </c>
      <c r="J193" s="569">
        <f t="shared" si="35"/>
        <v>40793</v>
      </c>
      <c r="K193" s="569">
        <f t="shared" si="36"/>
        <v>0</v>
      </c>
    </row>
    <row r="194" spans="1:11">
      <c r="A194" s="565">
        <v>60</v>
      </c>
      <c r="C194" s="547" t="str">
        <f>'[5]FR-16(7)(v)-1 Functional'!C194</f>
        <v>CUSTOMER ACCOUNTING</v>
      </c>
      <c r="D194" s="549" t="str">
        <f>'[5]FR-16(7)(v)-1 Functional'!D194</f>
        <v>A308</v>
      </c>
      <c r="E194" s="548"/>
      <c r="F194" s="578">
        <f>'[5]FR-16(7)(v)-14 TOTAL CLASS'!H194</f>
        <v>112917</v>
      </c>
      <c r="G194" s="570">
        <f>'[5]FR-16(7)(v)-3 PROD Demand'!H194+'[5]FR-16(7)(v)-7 TRANS Demand'!H194+'[5]FR-16(7)(v)-11 DIST Demand'!H194</f>
        <v>0</v>
      </c>
      <c r="H194" s="571">
        <f>'[5]FR-16(7)(v)-4 PROD Energy'!H194+'[5]FR-16(7)(v)-8 TRANS Energy'!H194+'[5]FR-16(7)(v)-12 DIST Energy'!H194</f>
        <v>0</v>
      </c>
      <c r="I194" s="572">
        <f>'[5]FR-16(7)(v)-5 PROD Cust'!H194+'[5]FR-16(7)(v)-9 TRANS Cust'!H194+'[5]FR-16(7)(v)-13 DIST Cust'!H194</f>
        <v>112917</v>
      </c>
      <c r="J194" s="569">
        <f t="shared" si="35"/>
        <v>112917</v>
      </c>
      <c r="K194" s="569">
        <f t="shared" si="36"/>
        <v>0</v>
      </c>
    </row>
    <row r="195" spans="1:11">
      <c r="A195" s="565">
        <v>61</v>
      </c>
      <c r="C195" s="547" t="str">
        <f>'[5]FR-16(7)(v)-1 Functional'!C195</f>
        <v>CUSTOMER SERVICE &amp; INFORMATION</v>
      </c>
      <c r="D195" s="549" t="str">
        <f>'[5]FR-16(7)(v)-1 Functional'!D195</f>
        <v>A310</v>
      </c>
      <c r="E195" s="548"/>
      <c r="F195" s="578">
        <f>'[5]FR-16(7)(v)-14 TOTAL CLASS'!H195</f>
        <v>64831</v>
      </c>
      <c r="G195" s="570">
        <f>'[5]FR-16(7)(v)-3 PROD Demand'!H195+'[5]FR-16(7)(v)-7 TRANS Demand'!H195+'[5]FR-16(7)(v)-11 DIST Demand'!H195</f>
        <v>0</v>
      </c>
      <c r="H195" s="571">
        <f>'[5]FR-16(7)(v)-4 PROD Energy'!H195+'[5]FR-16(7)(v)-8 TRANS Energy'!H195+'[5]FR-16(7)(v)-12 DIST Energy'!H195</f>
        <v>0</v>
      </c>
      <c r="I195" s="572">
        <f>'[5]FR-16(7)(v)-5 PROD Cust'!H195+'[5]FR-16(7)(v)-9 TRANS Cust'!H195+'[5]FR-16(7)(v)-13 DIST Cust'!H195</f>
        <v>64831</v>
      </c>
      <c r="J195" s="569">
        <f t="shared" si="35"/>
        <v>64831</v>
      </c>
      <c r="K195" s="569">
        <f t="shared" si="36"/>
        <v>0</v>
      </c>
    </row>
    <row r="196" spans="1:11">
      <c r="A196" s="565">
        <v>62</v>
      </c>
      <c r="C196" s="547" t="str">
        <f>'[5]FR-16(7)(v)-1 Functional'!C196</f>
        <v>SALES</v>
      </c>
      <c r="D196" s="549" t="str">
        <f>'[5]FR-16(7)(v)-1 Functional'!D196</f>
        <v>A312</v>
      </c>
      <c r="E196" s="548"/>
      <c r="F196" s="578">
        <f>'[5]FR-16(7)(v)-14 TOTAL CLASS'!H196</f>
        <v>0</v>
      </c>
      <c r="G196" s="570">
        <f>'[5]FR-16(7)(v)-3 PROD Demand'!H196+'[5]FR-16(7)(v)-7 TRANS Demand'!H196+'[5]FR-16(7)(v)-11 DIST Demand'!H196</f>
        <v>0</v>
      </c>
      <c r="H196" s="571">
        <f>'[5]FR-16(7)(v)-4 PROD Energy'!H196+'[5]FR-16(7)(v)-8 TRANS Energy'!H196+'[5]FR-16(7)(v)-12 DIST Energy'!H196</f>
        <v>0</v>
      </c>
      <c r="I196" s="572">
        <f>'[5]FR-16(7)(v)-5 PROD Cust'!H196+'[5]FR-16(7)(v)-9 TRANS Cust'!H196+'[5]FR-16(7)(v)-13 DIST Cust'!H196</f>
        <v>0</v>
      </c>
      <c r="J196" s="569">
        <f t="shared" si="35"/>
        <v>0</v>
      </c>
      <c r="K196" s="569">
        <f t="shared" si="36"/>
        <v>0</v>
      </c>
    </row>
    <row r="197" spans="1:11">
      <c r="A197" s="565">
        <v>63</v>
      </c>
      <c r="C197" s="547" t="str">
        <f>'[5]FR-16(7)(v)-1 Functional'!C197</f>
        <v>ADJUSTMENT</v>
      </c>
      <c r="D197" s="549" t="str">
        <f>'[5]FR-16(7)(v)-1 Functional'!D197</f>
        <v>A315</v>
      </c>
      <c r="E197" s="548"/>
      <c r="F197" s="578">
        <f>'[5]FR-16(7)(v)-14 TOTAL CLASS'!H197</f>
        <v>21564</v>
      </c>
      <c r="G197" s="570">
        <f>'[5]FR-16(7)(v)-3 PROD Demand'!H197+'[5]FR-16(7)(v)-7 TRANS Demand'!H197+'[5]FR-16(7)(v)-11 DIST Demand'!H197</f>
        <v>2374</v>
      </c>
      <c r="H197" s="571">
        <f>'[5]FR-16(7)(v)-4 PROD Energy'!H197+'[5]FR-16(7)(v)-8 TRANS Energy'!H197+'[5]FR-16(7)(v)-12 DIST Energy'!H197</f>
        <v>16790</v>
      </c>
      <c r="I197" s="572">
        <f>'[5]FR-16(7)(v)-5 PROD Cust'!H197+'[5]FR-16(7)(v)-9 TRANS Cust'!H197+'[5]FR-16(7)(v)-13 DIST Cust'!H197</f>
        <v>2400</v>
      </c>
      <c r="J197" s="569">
        <f t="shared" si="35"/>
        <v>21564</v>
      </c>
      <c r="K197" s="569">
        <f t="shared" si="36"/>
        <v>0</v>
      </c>
    </row>
    <row r="198" spans="1:11">
      <c r="A198" s="565">
        <v>64</v>
      </c>
      <c r="C198" s="617" t="str">
        <f>'[5]FR-16(7)(v)-1 Functional'!C198</f>
        <v xml:space="preserve">  COMMON &amp; OTHER PLANT IN SERVICE</v>
      </c>
      <c r="E198" s="548"/>
      <c r="F198" s="574">
        <f>SUM(F189:F197)</f>
        <v>5029831</v>
      </c>
      <c r="G198" s="575">
        <f>SUM(G188:G197)</f>
        <v>3156434</v>
      </c>
      <c r="H198" s="576">
        <f>SUM(H188:H197)</f>
        <v>1652456</v>
      </c>
      <c r="I198" s="577">
        <f>SUM(I188:I197)</f>
        <v>220941</v>
      </c>
      <c r="J198" s="574">
        <f>SUM(J188:J197)</f>
        <v>5029831</v>
      </c>
      <c r="K198" s="574">
        <f>SUM(K188:K197)</f>
        <v>0</v>
      </c>
    </row>
    <row r="199" spans="1:11">
      <c r="A199" s="565">
        <v>65</v>
      </c>
      <c r="D199" s="549"/>
      <c r="E199" s="548"/>
      <c r="G199" s="566"/>
      <c r="H199" s="567"/>
      <c r="I199" s="568"/>
    </row>
    <row r="200" spans="1:11">
      <c r="A200" s="565">
        <v>66</v>
      </c>
      <c r="B200" s="547" t="s">
        <v>1210</v>
      </c>
      <c r="D200" s="549"/>
      <c r="E200" s="548"/>
      <c r="F200" s="569">
        <f t="shared" ref="F200:K200" si="37">F198+F186+F171+F145+F139</f>
        <v>269402857</v>
      </c>
      <c r="G200" s="619">
        <f t="shared" si="37"/>
        <v>258720795</v>
      </c>
      <c r="H200" s="620">
        <f t="shared" si="37"/>
        <v>4808106</v>
      </c>
      <c r="I200" s="621">
        <f t="shared" si="37"/>
        <v>5873956</v>
      </c>
      <c r="J200" s="569">
        <f t="shared" si="37"/>
        <v>269402857</v>
      </c>
      <c r="K200" s="569">
        <f t="shared" si="37"/>
        <v>0</v>
      </c>
    </row>
    <row r="201" spans="1:11">
      <c r="B201" s="546"/>
      <c r="C201" s="548"/>
      <c r="D201" s="549"/>
      <c r="E201" s="548"/>
      <c r="F201" s="548"/>
      <c r="G201" s="548"/>
      <c r="H201" s="548"/>
      <c r="I201" s="548"/>
      <c r="J201" s="548"/>
    </row>
    <row r="202" spans="1:11">
      <c r="A202" s="546" t="str">
        <f>co_name</f>
        <v>DUKE ENERGY KENTUCKY, INC.</v>
      </c>
      <c r="C202" s="548"/>
      <c r="D202" s="549"/>
      <c r="E202" s="548"/>
      <c r="F202" s="548"/>
      <c r="G202" s="548"/>
      <c r="H202" s="548"/>
      <c r="I202" s="548"/>
      <c r="J202" s="548" t="str">
        <f>J1</f>
        <v>FR-16(7)(v)-16</v>
      </c>
      <c r="K202" s="548"/>
    </row>
    <row r="203" spans="1:11">
      <c r="A203" s="546" t="str">
        <f>$A$2</f>
        <v>DISTR. SEC. CLASSIFIED - ELECTRIC COST OF SERVICE</v>
      </c>
      <c r="C203" s="548"/>
      <c r="D203" s="549"/>
      <c r="E203" s="548"/>
      <c r="F203" s="548"/>
      <c r="G203" s="548"/>
      <c r="H203" s="548"/>
      <c r="I203" s="548"/>
      <c r="J203" s="548" t="str">
        <f>J2</f>
        <v>WITNESS RESPONSIBLE:</v>
      </c>
      <c r="K203" s="548"/>
    </row>
    <row r="204" spans="1:11">
      <c r="A204" s="546" t="str">
        <f>case_name</f>
        <v>CASE NO: 2024-00354</v>
      </c>
      <c r="C204" s="548"/>
      <c r="D204" s="549"/>
      <c r="E204" s="548"/>
      <c r="F204" s="548"/>
      <c r="G204" s="548"/>
      <c r="H204" s="548"/>
      <c r="I204" s="548"/>
      <c r="J204" s="548" t="str">
        <f>Witness</f>
        <v>JAMES E. ZIOLKOWSKI</v>
      </c>
      <c r="K204" s="548"/>
    </row>
    <row r="205" spans="1:11">
      <c r="A205" s="546" t="str">
        <f>data_filing</f>
        <v>DATA: 12 MONTHS ACTUAL  &amp; 0 MONTHS ESTIMATED</v>
      </c>
      <c r="C205" s="548"/>
      <c r="D205" s="549"/>
      <c r="E205" s="548"/>
      <c r="F205" s="548"/>
      <c r="G205" s="548"/>
      <c r="H205" s="548"/>
      <c r="I205" s="548"/>
      <c r="J205" s="548" t="str">
        <f>"PAGE "&amp;Pages2-11&amp;" OF "&amp;Pages2</f>
        <v>PAGE 4 OF 15</v>
      </c>
      <c r="K205" s="548"/>
    </row>
    <row r="206" spans="1:11">
      <c r="A206" s="546" t="str">
        <f>type</f>
        <v xml:space="preserve">TYPE OF FILING: "X" ORIGINAL   UPDATED    REVISED  </v>
      </c>
      <c r="C206" s="548"/>
      <c r="D206" s="549"/>
      <c r="E206" s="548"/>
      <c r="F206" s="548"/>
      <c r="G206" s="548"/>
      <c r="H206" s="548"/>
      <c r="I206" s="548"/>
      <c r="J206" s="548"/>
      <c r="K206" s="548"/>
    </row>
    <row r="207" spans="1:11">
      <c r="A207" s="546"/>
      <c r="C207" s="548"/>
      <c r="D207" s="549"/>
      <c r="E207" s="548"/>
      <c r="F207" s="548"/>
      <c r="G207" s="548"/>
      <c r="H207" s="548"/>
      <c r="I207" s="548"/>
      <c r="J207" s="548"/>
      <c r="K207" s="548"/>
    </row>
    <row r="208" spans="1:11">
      <c r="B208" s="546"/>
      <c r="C208" s="548"/>
      <c r="D208" s="549"/>
      <c r="E208" s="548"/>
      <c r="F208" s="548"/>
      <c r="G208" s="548"/>
      <c r="H208" s="548"/>
      <c r="I208" s="548"/>
      <c r="J208" s="548"/>
    </row>
    <row r="209" spans="1:11">
      <c r="A209" s="549" t="s">
        <v>17</v>
      </c>
      <c r="B209" s="548"/>
      <c r="C209" s="548"/>
      <c r="D209" s="549"/>
      <c r="E209" s="548"/>
      <c r="F209" s="549" t="s">
        <v>11</v>
      </c>
      <c r="G209" s="552" t="s">
        <v>1162</v>
      </c>
      <c r="H209" s="553"/>
      <c r="I209" s="554"/>
      <c r="J209" s="549" t="s">
        <v>11</v>
      </c>
      <c r="K209" s="549" t="s">
        <v>1163</v>
      </c>
    </row>
    <row r="210" spans="1:11">
      <c r="A210" s="555" t="s">
        <v>1164</v>
      </c>
      <c r="B210" s="556" t="str">
        <f>"NET ELECTRIC PLANT"</f>
        <v>NET ELECTRIC PLANT</v>
      </c>
      <c r="C210" s="556"/>
      <c r="D210" s="555" t="s">
        <v>1166</v>
      </c>
      <c r="E210" s="556"/>
      <c r="F210" s="555" t="str">
        <f>$F$9</f>
        <v>DISTR. SEC.</v>
      </c>
      <c r="G210" s="611" t="str">
        <f t="shared" ref="G210:I211" si="38">G9</f>
        <v>DEMAND</v>
      </c>
      <c r="H210" s="612" t="str">
        <f t="shared" si="38"/>
        <v>ENERGY</v>
      </c>
      <c r="I210" s="613" t="str">
        <f t="shared" si="38"/>
        <v>CUSTOMER</v>
      </c>
      <c r="J210" s="555" t="s">
        <v>1169</v>
      </c>
      <c r="K210" s="555" t="s">
        <v>543</v>
      </c>
    </row>
    <row r="211" spans="1:11">
      <c r="C211" s="561" t="s">
        <v>1211</v>
      </c>
      <c r="D211" s="549"/>
      <c r="E211" s="548"/>
      <c r="G211" s="614">
        <f t="shared" si="38"/>
        <v>3</v>
      </c>
      <c r="H211" s="615">
        <f t="shared" si="38"/>
        <v>4</v>
      </c>
      <c r="I211" s="616">
        <f t="shared" si="38"/>
        <v>5</v>
      </c>
    </row>
    <row r="212" spans="1:11">
      <c r="A212" s="565">
        <v>1</v>
      </c>
      <c r="B212" s="547" t="s">
        <v>1193</v>
      </c>
      <c r="D212" s="549"/>
      <c r="E212" s="548"/>
      <c r="G212" s="566"/>
      <c r="H212" s="567"/>
      <c r="I212" s="568"/>
    </row>
    <row r="213" spans="1:11">
      <c r="A213" s="565">
        <v>2</v>
      </c>
      <c r="C213" s="547" t="str">
        <f>'[5]FR-16(7)(v)-1 Functional'!C213</f>
        <v>PRODUCTION STEAM</v>
      </c>
      <c r="D213" s="549"/>
      <c r="E213" s="548"/>
      <c r="F213" s="569">
        <f t="shared" ref="F213:K215" si="39">F59-F136</f>
        <v>135141897</v>
      </c>
      <c r="G213" s="570">
        <f t="shared" si="39"/>
        <v>135141897</v>
      </c>
      <c r="H213" s="571">
        <f t="shared" si="39"/>
        <v>0</v>
      </c>
      <c r="I213" s="572">
        <f t="shared" si="39"/>
        <v>0</v>
      </c>
      <c r="J213" s="569">
        <f t="shared" si="39"/>
        <v>135141897</v>
      </c>
      <c r="K213" s="569">
        <f t="shared" si="39"/>
        <v>0</v>
      </c>
    </row>
    <row r="214" spans="1:11">
      <c r="A214" s="565">
        <v>3</v>
      </c>
      <c r="C214" s="547" t="str">
        <f>'[5]FR-16(7)(v)-1 Functional'!C214</f>
        <v>PRODUCTION OTHER</v>
      </c>
      <c r="D214" s="549"/>
      <c r="E214" s="548"/>
      <c r="F214" s="569">
        <f t="shared" si="39"/>
        <v>49243111</v>
      </c>
      <c r="G214" s="570">
        <f t="shared" si="39"/>
        <v>49243111</v>
      </c>
      <c r="H214" s="571">
        <f t="shared" si="39"/>
        <v>0</v>
      </c>
      <c r="I214" s="572">
        <f t="shared" si="39"/>
        <v>0</v>
      </c>
      <c r="J214" s="569">
        <f t="shared" si="39"/>
        <v>49243111</v>
      </c>
      <c r="K214" s="569">
        <f t="shared" si="39"/>
        <v>0</v>
      </c>
    </row>
    <row r="215" spans="1:11">
      <c r="A215" s="565">
        <v>4</v>
      </c>
      <c r="C215" s="547" t="str">
        <f>'[5]FR-16(7)(v)-1 Functional'!C215</f>
        <v>ADJUSTMENT</v>
      </c>
      <c r="D215" s="549"/>
      <c r="E215" s="548"/>
      <c r="F215" s="569">
        <f t="shared" si="39"/>
        <v>-1810511</v>
      </c>
      <c r="G215" s="570">
        <f t="shared" si="39"/>
        <v>-1810511</v>
      </c>
      <c r="H215" s="571">
        <f t="shared" si="39"/>
        <v>0</v>
      </c>
      <c r="I215" s="572">
        <f t="shared" si="39"/>
        <v>0</v>
      </c>
      <c r="J215" s="569">
        <f t="shared" si="39"/>
        <v>-1810511</v>
      </c>
      <c r="K215" s="569">
        <f t="shared" si="39"/>
        <v>0</v>
      </c>
    </row>
    <row r="216" spans="1:11">
      <c r="A216" s="565">
        <v>5</v>
      </c>
      <c r="C216" s="617" t="str">
        <f>'[5]FR-16(7)(v)-1 Functional'!C216</f>
        <v xml:space="preserve">  NET PRODUCTION PLANT</v>
      </c>
      <c r="D216" s="549"/>
      <c r="E216" s="548"/>
      <c r="F216" s="574">
        <f t="shared" ref="F216:K216" si="40">SUM(F213:F215)</f>
        <v>182574497</v>
      </c>
      <c r="G216" s="575">
        <f t="shared" si="40"/>
        <v>182574497</v>
      </c>
      <c r="H216" s="576">
        <f t="shared" si="40"/>
        <v>0</v>
      </c>
      <c r="I216" s="577">
        <f t="shared" si="40"/>
        <v>0</v>
      </c>
      <c r="J216" s="574">
        <f t="shared" si="40"/>
        <v>182574497</v>
      </c>
      <c r="K216" s="574">
        <f t="shared" si="40"/>
        <v>0</v>
      </c>
    </row>
    <row r="217" spans="1:11">
      <c r="A217" s="565">
        <v>6</v>
      </c>
      <c r="D217" s="549"/>
      <c r="E217" s="548"/>
      <c r="G217" s="566"/>
      <c r="H217" s="567"/>
      <c r="I217" s="568"/>
    </row>
    <row r="218" spans="1:11">
      <c r="A218" s="565">
        <v>7</v>
      </c>
      <c r="B218" s="547" t="s">
        <v>1196</v>
      </c>
      <c r="D218" s="549"/>
      <c r="E218" s="548"/>
      <c r="F218" s="569"/>
      <c r="G218" s="570"/>
      <c r="H218" s="571"/>
      <c r="I218" s="572"/>
      <c r="J218" s="569"/>
    </row>
    <row r="219" spans="1:11">
      <c r="A219" s="565">
        <v>8</v>
      </c>
      <c r="C219" s="547" t="str">
        <f>'[5]FR-16(7)(v)-1 Functional'!C219</f>
        <v>MAIN STEP-UP TRANSFORMERS</v>
      </c>
      <c r="D219" s="549"/>
      <c r="E219" s="548"/>
      <c r="F219" s="569">
        <f t="shared" ref="F219:K221" si="41">F65-F142</f>
        <v>0</v>
      </c>
      <c r="G219" s="570">
        <f t="shared" si="41"/>
        <v>0</v>
      </c>
      <c r="H219" s="571">
        <f t="shared" si="41"/>
        <v>0</v>
      </c>
      <c r="I219" s="572">
        <f t="shared" si="41"/>
        <v>0</v>
      </c>
      <c r="J219" s="569">
        <f t="shared" si="41"/>
        <v>0</v>
      </c>
      <c r="K219" s="569">
        <f t="shared" si="41"/>
        <v>0</v>
      </c>
    </row>
    <row r="220" spans="1:11">
      <c r="A220" s="565">
        <v>9</v>
      </c>
      <c r="C220" s="547" t="str">
        <f>'[5]FR-16(7)(v)-1 Functional'!C220</f>
        <v>OTHER TRANSMISSION</v>
      </c>
      <c r="D220" s="549"/>
      <c r="E220" s="548"/>
      <c r="F220" s="569">
        <f t="shared" si="41"/>
        <v>43480879</v>
      </c>
      <c r="G220" s="570">
        <f t="shared" si="41"/>
        <v>43480879</v>
      </c>
      <c r="H220" s="571">
        <f t="shared" si="41"/>
        <v>0</v>
      </c>
      <c r="I220" s="572">
        <f t="shared" si="41"/>
        <v>0</v>
      </c>
      <c r="J220" s="569">
        <f t="shared" si="41"/>
        <v>43480879</v>
      </c>
      <c r="K220" s="569">
        <f t="shared" si="41"/>
        <v>0</v>
      </c>
    </row>
    <row r="221" spans="1:11">
      <c r="A221" s="565">
        <v>10</v>
      </c>
      <c r="C221" s="547" t="str">
        <f>'[5]FR-16(7)(v)-1 Functional'!C221</f>
        <v>ADJUSTMENT</v>
      </c>
      <c r="D221" s="549"/>
      <c r="E221" s="548"/>
      <c r="F221" s="569">
        <f t="shared" si="41"/>
        <v>-14746</v>
      </c>
      <c r="G221" s="570">
        <f t="shared" si="41"/>
        <v>-14746</v>
      </c>
      <c r="H221" s="571">
        <f t="shared" si="41"/>
        <v>0</v>
      </c>
      <c r="I221" s="572">
        <f t="shared" si="41"/>
        <v>0</v>
      </c>
      <c r="J221" s="569">
        <f t="shared" si="41"/>
        <v>-14746</v>
      </c>
      <c r="K221" s="569">
        <f t="shared" si="41"/>
        <v>0</v>
      </c>
    </row>
    <row r="222" spans="1:11">
      <c r="A222" s="565">
        <v>11</v>
      </c>
      <c r="C222" s="617" t="str">
        <f>'[5]FR-16(7)(v)-1 Functional'!C222</f>
        <v xml:space="preserve">    NET TRANSMISSION PLANT</v>
      </c>
      <c r="D222" s="549"/>
      <c r="E222" s="548"/>
      <c r="F222" s="574">
        <f t="shared" ref="F222:K222" si="42">SUM(F218:F221)</f>
        <v>43466133</v>
      </c>
      <c r="G222" s="575">
        <f t="shared" si="42"/>
        <v>43466133</v>
      </c>
      <c r="H222" s="576">
        <f t="shared" si="42"/>
        <v>0</v>
      </c>
      <c r="I222" s="577">
        <f t="shared" si="42"/>
        <v>0</v>
      </c>
      <c r="J222" s="574">
        <f t="shared" si="42"/>
        <v>43466133</v>
      </c>
      <c r="K222" s="574">
        <f t="shared" si="42"/>
        <v>0</v>
      </c>
    </row>
    <row r="223" spans="1:11">
      <c r="A223" s="565">
        <v>12</v>
      </c>
      <c r="D223" s="549"/>
      <c r="E223" s="548"/>
      <c r="G223" s="566"/>
      <c r="H223" s="567"/>
      <c r="I223" s="568"/>
    </row>
    <row r="224" spans="1:11">
      <c r="A224" s="565">
        <v>13</v>
      </c>
      <c r="B224" s="547" t="s">
        <v>1212</v>
      </c>
      <c r="D224" s="549"/>
      <c r="E224" s="548"/>
      <c r="F224" s="569">
        <f t="shared" ref="F224:K224" si="43">F70-F147</f>
        <v>226040630</v>
      </c>
      <c r="G224" s="570">
        <f t="shared" si="43"/>
        <v>226040630</v>
      </c>
      <c r="H224" s="571">
        <f t="shared" si="43"/>
        <v>0</v>
      </c>
      <c r="I224" s="572">
        <f t="shared" si="43"/>
        <v>0</v>
      </c>
      <c r="J224" s="569">
        <f t="shared" si="43"/>
        <v>226040630</v>
      </c>
      <c r="K224" s="569">
        <f t="shared" si="43"/>
        <v>0</v>
      </c>
    </row>
    <row r="225" spans="1:11">
      <c r="A225" s="565">
        <v>14</v>
      </c>
      <c r="D225" s="549"/>
      <c r="E225" s="548"/>
      <c r="G225" s="566"/>
      <c r="H225" s="567"/>
      <c r="I225" s="568"/>
    </row>
    <row r="226" spans="1:11">
      <c r="A226" s="565">
        <v>15</v>
      </c>
      <c r="B226" s="547" t="s">
        <v>1201</v>
      </c>
      <c r="D226" s="549"/>
      <c r="E226" s="548"/>
      <c r="G226" s="566"/>
      <c r="H226" s="567"/>
      <c r="I226" s="568"/>
    </row>
    <row r="227" spans="1:11">
      <c r="A227" s="565">
        <v>16</v>
      </c>
      <c r="C227" s="547" t="str">
        <f>'[5]FR-16(7)(v)-1 Functional'!C227</f>
        <v>SUBSTATIONS</v>
      </c>
      <c r="D227" s="549"/>
      <c r="E227" s="548"/>
      <c r="F227" s="569">
        <f t="shared" ref="F227:K242" si="44">F73-F150</f>
        <v>46544606</v>
      </c>
      <c r="G227" s="570">
        <f t="shared" si="44"/>
        <v>46544606</v>
      </c>
      <c r="H227" s="571">
        <f t="shared" si="44"/>
        <v>0</v>
      </c>
      <c r="I227" s="572">
        <f t="shared" si="44"/>
        <v>0</v>
      </c>
      <c r="J227" s="569">
        <f t="shared" si="44"/>
        <v>46544606</v>
      </c>
      <c r="K227" s="569">
        <f t="shared" si="44"/>
        <v>0</v>
      </c>
    </row>
    <row r="228" spans="1:11">
      <c r="A228" s="565">
        <v>17</v>
      </c>
      <c r="C228" s="547" t="str">
        <f>'[5]FR-16(7)(v)-1 Functional'!C228</f>
        <v>POLES, TOWERS  &amp; FIXTURES - PRIMARY - DEMAND</v>
      </c>
      <c r="D228" s="549"/>
      <c r="E228" s="548"/>
      <c r="F228" s="569">
        <f t="shared" si="44"/>
        <v>9521088</v>
      </c>
      <c r="G228" s="570">
        <f t="shared" si="44"/>
        <v>9521088</v>
      </c>
      <c r="H228" s="571">
        <f t="shared" si="44"/>
        <v>0</v>
      </c>
      <c r="I228" s="572">
        <f t="shared" si="44"/>
        <v>0</v>
      </c>
      <c r="J228" s="569">
        <f t="shared" si="44"/>
        <v>9521088</v>
      </c>
      <c r="K228" s="569">
        <f t="shared" si="44"/>
        <v>0</v>
      </c>
    </row>
    <row r="229" spans="1:11">
      <c r="A229" s="565">
        <v>18</v>
      </c>
      <c r="C229" s="547" t="str">
        <f>'[5]FR-16(7)(v)-1 Functional'!C229</f>
        <v>POLES, TOWERS  &amp; FIXTURES - PRIMARY - CUSTOMER</v>
      </c>
      <c r="D229" s="549"/>
      <c r="E229" s="548"/>
      <c r="F229" s="569">
        <f t="shared" si="44"/>
        <v>1126974</v>
      </c>
      <c r="G229" s="570">
        <f t="shared" si="44"/>
        <v>0</v>
      </c>
      <c r="H229" s="571">
        <f t="shared" si="44"/>
        <v>0</v>
      </c>
      <c r="I229" s="572">
        <f t="shared" si="44"/>
        <v>1126974</v>
      </c>
      <c r="J229" s="569">
        <f t="shared" si="44"/>
        <v>1126974</v>
      </c>
      <c r="K229" s="569">
        <f t="shared" si="44"/>
        <v>0</v>
      </c>
    </row>
    <row r="230" spans="1:11">
      <c r="A230" s="565">
        <v>19</v>
      </c>
      <c r="C230" s="547" t="str">
        <f>'[5]FR-16(7)(v)-1 Functional'!C230</f>
        <v>POLES, TOWERS  &amp; FIXTURES - SECONDARY - DEMAND</v>
      </c>
      <c r="D230" s="549"/>
      <c r="E230" s="548"/>
      <c r="F230" s="569">
        <f t="shared" si="44"/>
        <v>3768103</v>
      </c>
      <c r="G230" s="570">
        <f t="shared" si="44"/>
        <v>3768103</v>
      </c>
      <c r="H230" s="571">
        <f t="shared" si="44"/>
        <v>0</v>
      </c>
      <c r="I230" s="572">
        <f t="shared" si="44"/>
        <v>0</v>
      </c>
      <c r="J230" s="569">
        <f t="shared" si="44"/>
        <v>3768103</v>
      </c>
      <c r="K230" s="569">
        <f t="shared" si="44"/>
        <v>0</v>
      </c>
    </row>
    <row r="231" spans="1:11">
      <c r="A231" s="565">
        <v>20</v>
      </c>
      <c r="C231" s="547" t="str">
        <f>'[5]FR-16(7)(v)-1 Functional'!C231</f>
        <v>POLES, TOWERS  &amp; FIXTURES - SECONDARY - CUSTOMER</v>
      </c>
      <c r="D231" s="549"/>
      <c r="E231" s="548"/>
      <c r="F231" s="569">
        <f t="shared" si="44"/>
        <v>221519</v>
      </c>
      <c r="G231" s="570">
        <f t="shared" si="44"/>
        <v>0</v>
      </c>
      <c r="H231" s="571">
        <f t="shared" si="44"/>
        <v>0</v>
      </c>
      <c r="I231" s="572">
        <f t="shared" si="44"/>
        <v>221519</v>
      </c>
      <c r="J231" s="569">
        <f t="shared" si="44"/>
        <v>221519</v>
      </c>
      <c r="K231" s="569">
        <f t="shared" si="44"/>
        <v>0</v>
      </c>
    </row>
    <row r="232" spans="1:11">
      <c r="A232" s="565">
        <v>21</v>
      </c>
      <c r="C232" s="547" t="str">
        <f>'[5]FR-16(7)(v)-1 Functional'!C232</f>
        <v>CONDUCTORS - OVERHEAD / PRIMARY - DEMAND</v>
      </c>
      <c r="D232" s="549"/>
      <c r="E232" s="548"/>
      <c r="F232" s="569">
        <f t="shared" si="44"/>
        <v>25724143</v>
      </c>
      <c r="G232" s="570">
        <f t="shared" si="44"/>
        <v>25724143</v>
      </c>
      <c r="H232" s="571">
        <f t="shared" si="44"/>
        <v>0</v>
      </c>
      <c r="I232" s="572">
        <f t="shared" si="44"/>
        <v>0</v>
      </c>
      <c r="J232" s="569">
        <f t="shared" si="44"/>
        <v>25724143</v>
      </c>
      <c r="K232" s="569">
        <f t="shared" si="44"/>
        <v>0</v>
      </c>
    </row>
    <row r="233" spans="1:11">
      <c r="A233" s="565">
        <v>22</v>
      </c>
      <c r="C233" s="547" t="str">
        <f>'[5]FR-16(7)(v)-1 Functional'!C233</f>
        <v>CONDUCTORS - OVERHEAD / PRIMARY - CUSTOMER</v>
      </c>
      <c r="D233" s="549"/>
      <c r="E233" s="548"/>
      <c r="F233" s="569">
        <f t="shared" si="44"/>
        <v>1621718</v>
      </c>
      <c r="G233" s="570">
        <f t="shared" si="44"/>
        <v>0</v>
      </c>
      <c r="H233" s="571">
        <f t="shared" si="44"/>
        <v>0</v>
      </c>
      <c r="I233" s="572">
        <f t="shared" si="44"/>
        <v>1621718</v>
      </c>
      <c r="J233" s="569">
        <f t="shared" si="44"/>
        <v>1621718</v>
      </c>
      <c r="K233" s="569">
        <f t="shared" si="44"/>
        <v>0</v>
      </c>
    </row>
    <row r="234" spans="1:11">
      <c r="A234" s="565">
        <v>23</v>
      </c>
      <c r="C234" s="547" t="str">
        <f>'[5]FR-16(7)(v)-1 Functional'!C234</f>
        <v>CONDUCTORS - OVERHEAD / SECONDARY - DEMAND</v>
      </c>
      <c r="D234" s="549"/>
      <c r="E234" s="548"/>
      <c r="F234" s="569">
        <f t="shared" si="44"/>
        <v>10722607</v>
      </c>
      <c r="G234" s="570">
        <f t="shared" si="44"/>
        <v>10722607</v>
      </c>
      <c r="H234" s="571">
        <f t="shared" si="44"/>
        <v>0</v>
      </c>
      <c r="I234" s="572">
        <f t="shared" si="44"/>
        <v>0</v>
      </c>
      <c r="J234" s="569">
        <f t="shared" si="44"/>
        <v>10722607</v>
      </c>
      <c r="K234" s="569">
        <f t="shared" si="44"/>
        <v>0</v>
      </c>
    </row>
    <row r="235" spans="1:11">
      <c r="A235" s="565">
        <v>24</v>
      </c>
      <c r="C235" s="547" t="str">
        <f>'[5]FR-16(7)(v)-1 Functional'!C235</f>
        <v>CONDUCTORS - OVERHEAD / SECONDARY - CUSTOMER</v>
      </c>
      <c r="D235" s="549"/>
      <c r="E235" s="548"/>
      <c r="F235" s="569">
        <f t="shared" si="44"/>
        <v>606494</v>
      </c>
      <c r="G235" s="570">
        <f t="shared" si="44"/>
        <v>0</v>
      </c>
      <c r="H235" s="571">
        <f t="shared" si="44"/>
        <v>0</v>
      </c>
      <c r="I235" s="572">
        <f t="shared" si="44"/>
        <v>606494</v>
      </c>
      <c r="J235" s="569">
        <f t="shared" si="44"/>
        <v>606494</v>
      </c>
      <c r="K235" s="569">
        <f t="shared" si="44"/>
        <v>0</v>
      </c>
    </row>
    <row r="236" spans="1:11">
      <c r="A236" s="565">
        <v>25</v>
      </c>
      <c r="C236" s="547" t="str">
        <f>'[5]FR-16(7)(v)-1 Functional'!C236</f>
        <v>CONDUCTORS - UNDERGROUND / PRIMARY - DEMAND</v>
      </c>
      <c r="D236" s="549"/>
      <c r="E236" s="548"/>
      <c r="F236" s="569">
        <f t="shared" si="44"/>
        <v>30361918</v>
      </c>
      <c r="G236" s="570">
        <f t="shared" si="44"/>
        <v>30361918</v>
      </c>
      <c r="H236" s="571">
        <f t="shared" si="44"/>
        <v>0</v>
      </c>
      <c r="I236" s="572">
        <f t="shared" si="44"/>
        <v>0</v>
      </c>
      <c r="J236" s="569">
        <f t="shared" si="44"/>
        <v>30361918</v>
      </c>
      <c r="K236" s="569">
        <f t="shared" si="44"/>
        <v>0</v>
      </c>
    </row>
    <row r="237" spans="1:11">
      <c r="A237" s="565">
        <v>26</v>
      </c>
      <c r="C237" s="547" t="str">
        <f>'[5]FR-16(7)(v)-1 Functional'!C237</f>
        <v>CONDUCTORS - UNDERGROUND / PRIMARY - CUSTOMER</v>
      </c>
      <c r="D237" s="549"/>
      <c r="E237" s="548"/>
      <c r="F237" s="569">
        <f t="shared" si="44"/>
        <v>865930</v>
      </c>
      <c r="G237" s="570">
        <f t="shared" si="44"/>
        <v>0</v>
      </c>
      <c r="H237" s="571">
        <f t="shared" si="44"/>
        <v>0</v>
      </c>
      <c r="I237" s="572">
        <f t="shared" si="44"/>
        <v>865930</v>
      </c>
      <c r="J237" s="569">
        <f t="shared" si="44"/>
        <v>865930</v>
      </c>
      <c r="K237" s="569">
        <f t="shared" si="44"/>
        <v>0</v>
      </c>
    </row>
    <row r="238" spans="1:11">
      <c r="A238" s="565">
        <v>27</v>
      </c>
      <c r="C238" s="547" t="str">
        <f>'[5]FR-16(7)(v)-1 Functional'!C238</f>
        <v>CONDUCTORS - UNDERGROUND / SECONDARY - DEMAND</v>
      </c>
      <c r="D238" s="549"/>
      <c r="E238" s="548"/>
      <c r="F238" s="569">
        <f t="shared" si="44"/>
        <v>5882777</v>
      </c>
      <c r="G238" s="570">
        <f t="shared" si="44"/>
        <v>5882777</v>
      </c>
      <c r="H238" s="571">
        <f t="shared" si="44"/>
        <v>0</v>
      </c>
      <c r="I238" s="572">
        <f t="shared" si="44"/>
        <v>0</v>
      </c>
      <c r="J238" s="569">
        <f t="shared" si="44"/>
        <v>5882777</v>
      </c>
      <c r="K238" s="569">
        <f t="shared" si="44"/>
        <v>0</v>
      </c>
    </row>
    <row r="239" spans="1:11">
      <c r="A239" s="565">
        <v>28</v>
      </c>
      <c r="C239" s="547" t="str">
        <f>'[5]FR-16(7)(v)-1 Functional'!C239</f>
        <v>CONDUCTORS - UNDERGROUND / SECONDARY - CUSTOMER</v>
      </c>
      <c r="D239" s="549"/>
      <c r="E239" s="548"/>
      <c r="F239" s="569">
        <f t="shared" si="44"/>
        <v>264471</v>
      </c>
      <c r="G239" s="570">
        <f t="shared" si="44"/>
        <v>0</v>
      </c>
      <c r="H239" s="571">
        <f t="shared" si="44"/>
        <v>0</v>
      </c>
      <c r="I239" s="572">
        <f t="shared" si="44"/>
        <v>264471</v>
      </c>
      <c r="J239" s="569">
        <f t="shared" si="44"/>
        <v>264471</v>
      </c>
      <c r="K239" s="569">
        <f t="shared" si="44"/>
        <v>0</v>
      </c>
    </row>
    <row r="240" spans="1:11">
      <c r="A240" s="565">
        <v>29</v>
      </c>
      <c r="C240" s="547" t="str">
        <f>'[5]FR-16(7)(v)-1 Functional'!C240</f>
        <v>TRANSFORMERS DEMAND RELATED</v>
      </c>
      <c r="D240" s="549"/>
      <c r="E240" s="548"/>
      <c r="F240" s="569">
        <f t="shared" si="44"/>
        <v>18945606</v>
      </c>
      <c r="G240" s="570">
        <f t="shared" si="44"/>
        <v>18945606</v>
      </c>
      <c r="H240" s="571">
        <f t="shared" si="44"/>
        <v>0</v>
      </c>
      <c r="I240" s="572">
        <f t="shared" si="44"/>
        <v>0</v>
      </c>
      <c r="J240" s="569">
        <f t="shared" si="44"/>
        <v>18945606</v>
      </c>
      <c r="K240" s="569">
        <f t="shared" si="44"/>
        <v>0</v>
      </c>
    </row>
    <row r="241" spans="1:11">
      <c r="A241" s="565">
        <v>30</v>
      </c>
      <c r="C241" s="547" t="str">
        <f>'[5]FR-16(7)(v)-1 Functional'!C241</f>
        <v>TRANSFORMERS CUSTOMER RELATED</v>
      </c>
      <c r="D241" s="549"/>
      <c r="E241" s="548"/>
      <c r="F241" s="569">
        <f t="shared" si="44"/>
        <v>703940</v>
      </c>
      <c r="G241" s="570">
        <f t="shared" si="44"/>
        <v>0</v>
      </c>
      <c r="H241" s="571">
        <f t="shared" si="44"/>
        <v>0</v>
      </c>
      <c r="I241" s="572">
        <f t="shared" si="44"/>
        <v>703940</v>
      </c>
      <c r="J241" s="569">
        <f t="shared" si="44"/>
        <v>703940</v>
      </c>
      <c r="K241" s="569">
        <f t="shared" si="44"/>
        <v>0</v>
      </c>
    </row>
    <row r="242" spans="1:11">
      <c r="A242" s="565">
        <v>31</v>
      </c>
      <c r="C242" s="547" t="str">
        <f>'[5]FR-16(7)(v)-1 Functional'!C242</f>
        <v>SERVICES</v>
      </c>
      <c r="D242" s="549"/>
      <c r="E242" s="548"/>
      <c r="F242" s="569">
        <f t="shared" si="44"/>
        <v>1675424</v>
      </c>
      <c r="G242" s="570">
        <f t="shared" si="44"/>
        <v>0</v>
      </c>
      <c r="H242" s="571">
        <f t="shared" si="44"/>
        <v>0</v>
      </c>
      <c r="I242" s="572">
        <f t="shared" si="44"/>
        <v>1675424</v>
      </c>
      <c r="J242" s="569">
        <f t="shared" si="44"/>
        <v>1675424</v>
      </c>
      <c r="K242" s="569">
        <f t="shared" si="44"/>
        <v>0</v>
      </c>
    </row>
    <row r="243" spans="1:11">
      <c r="A243" s="565">
        <v>32</v>
      </c>
      <c r="C243" s="547" t="str">
        <f>'[5]FR-16(7)(v)-1 Functional'!C243</f>
        <v>METERS</v>
      </c>
      <c r="D243" s="549"/>
      <c r="E243" s="548"/>
      <c r="F243" s="569">
        <f t="shared" ref="F243:K247" si="45">F89-F166</f>
        <v>2401660</v>
      </c>
      <c r="G243" s="570">
        <f t="shared" si="45"/>
        <v>0</v>
      </c>
      <c r="H243" s="571">
        <f t="shared" si="45"/>
        <v>0</v>
      </c>
      <c r="I243" s="572">
        <f t="shared" si="45"/>
        <v>2401660</v>
      </c>
      <c r="J243" s="569">
        <f t="shared" si="45"/>
        <v>2401660</v>
      </c>
      <c r="K243" s="569">
        <f t="shared" si="45"/>
        <v>0</v>
      </c>
    </row>
    <row r="244" spans="1:11">
      <c r="A244" s="565">
        <v>33</v>
      </c>
      <c r="C244" s="547" t="str">
        <f>'[5]FR-16(7)(v)-1 Functional'!C244</f>
        <v>STREET LIGHTS</v>
      </c>
      <c r="D244" s="549"/>
      <c r="E244" s="548"/>
      <c r="F244" s="569">
        <f t="shared" si="45"/>
        <v>0</v>
      </c>
      <c r="G244" s="570">
        <f t="shared" si="45"/>
        <v>0</v>
      </c>
      <c r="H244" s="571">
        <f t="shared" si="45"/>
        <v>0</v>
      </c>
      <c r="I244" s="572">
        <f t="shared" si="45"/>
        <v>0</v>
      </c>
      <c r="J244" s="569">
        <f t="shared" si="45"/>
        <v>0</v>
      </c>
      <c r="K244" s="569">
        <f t="shared" si="45"/>
        <v>0</v>
      </c>
    </row>
    <row r="245" spans="1:11">
      <c r="A245" s="565">
        <v>34</v>
      </c>
      <c r="C245" s="547" t="str">
        <f>'[5]FR-16(7)(v)-1 Functional'!C245</f>
        <v xml:space="preserve">ADJUSTMENT  </v>
      </c>
      <c r="D245" s="549"/>
      <c r="E245" s="548"/>
      <c r="F245" s="569">
        <f t="shared" si="45"/>
        <v>19015</v>
      </c>
      <c r="G245" s="570">
        <f t="shared" si="45"/>
        <v>17698</v>
      </c>
      <c r="H245" s="571">
        <f t="shared" si="45"/>
        <v>0</v>
      </c>
      <c r="I245" s="572">
        <f t="shared" si="45"/>
        <v>1317</v>
      </c>
      <c r="J245" s="569">
        <f t="shared" si="45"/>
        <v>19015</v>
      </c>
      <c r="K245" s="569">
        <f t="shared" si="45"/>
        <v>0</v>
      </c>
    </row>
    <row r="246" spans="1:11">
      <c r="A246" s="565">
        <v>35</v>
      </c>
      <c r="C246" s="547" t="str">
        <f>'[5]FR-16(7)(v)-1 Functional'!C246</f>
        <v>CONSTRUCTION NOT CLASSIFIED</v>
      </c>
      <c r="D246" s="549"/>
      <c r="E246" s="548"/>
      <c r="F246" s="569">
        <f t="shared" si="45"/>
        <v>0</v>
      </c>
      <c r="G246" s="570">
        <f t="shared" si="45"/>
        <v>0</v>
      </c>
      <c r="H246" s="571">
        <f t="shared" si="45"/>
        <v>0</v>
      </c>
      <c r="I246" s="572">
        <f t="shared" si="45"/>
        <v>0</v>
      </c>
      <c r="J246" s="569">
        <f t="shared" si="45"/>
        <v>0</v>
      </c>
      <c r="K246" s="569">
        <f t="shared" si="45"/>
        <v>0</v>
      </c>
    </row>
    <row r="247" spans="1:11">
      <c r="A247" s="565">
        <v>36</v>
      </c>
      <c r="C247" s="547" t="str">
        <f>'[5]FR-16(7)(v)-1 Functional'!C247</f>
        <v>RWIP</v>
      </c>
      <c r="D247" s="549"/>
      <c r="E247" s="548"/>
      <c r="F247" s="569">
        <f t="shared" si="45"/>
        <v>7770405</v>
      </c>
      <c r="G247" s="570">
        <f t="shared" si="45"/>
        <v>7770405</v>
      </c>
      <c r="H247" s="571">
        <f t="shared" si="45"/>
        <v>0</v>
      </c>
      <c r="I247" s="572">
        <f t="shared" si="45"/>
        <v>0</v>
      </c>
      <c r="J247" s="569">
        <f t="shared" si="45"/>
        <v>7770405</v>
      </c>
      <c r="K247" s="569">
        <f t="shared" si="45"/>
        <v>0</v>
      </c>
    </row>
    <row r="248" spans="1:11">
      <c r="A248" s="565">
        <v>37</v>
      </c>
      <c r="C248" s="547" t="str">
        <f>'[5]FR-16(7)(v)-1 Functional'!C248</f>
        <v xml:space="preserve">  NET DISTRIBUTION PLANT</v>
      </c>
      <c r="D248" s="549"/>
      <c r="E248" s="548"/>
      <c r="F248" s="574">
        <f>SUM(F226:F247)</f>
        <v>168748398</v>
      </c>
      <c r="G248" s="575">
        <f t="shared" ref="G248:K248" si="46">SUM(G226:G247)</f>
        <v>159258951</v>
      </c>
      <c r="H248" s="576">
        <f t="shared" si="46"/>
        <v>0</v>
      </c>
      <c r="I248" s="577">
        <f t="shared" si="46"/>
        <v>9489447</v>
      </c>
      <c r="J248" s="574">
        <f t="shared" si="46"/>
        <v>168748398</v>
      </c>
      <c r="K248" s="574">
        <f t="shared" si="46"/>
        <v>0</v>
      </c>
    </row>
    <row r="249" spans="1:11">
      <c r="A249" s="565">
        <v>38</v>
      </c>
      <c r="D249" s="549"/>
      <c r="E249" s="548"/>
      <c r="G249" s="566"/>
      <c r="H249" s="567"/>
      <c r="I249" s="568"/>
    </row>
    <row r="250" spans="1:11">
      <c r="A250" s="565">
        <v>39</v>
      </c>
      <c r="B250" s="547" t="s">
        <v>1213</v>
      </c>
      <c r="D250" s="549"/>
      <c r="E250" s="548"/>
      <c r="F250" s="569">
        <f t="shared" ref="F250:K251" si="47">F96-F173</f>
        <v>212214531</v>
      </c>
      <c r="G250" s="570">
        <f t="shared" si="47"/>
        <v>202725084</v>
      </c>
      <c r="H250" s="571">
        <f t="shared" si="47"/>
        <v>0</v>
      </c>
      <c r="I250" s="572">
        <f t="shared" si="47"/>
        <v>9489447</v>
      </c>
      <c r="J250" s="569">
        <f t="shared" si="47"/>
        <v>212214531</v>
      </c>
      <c r="K250" s="569">
        <f t="shared" si="47"/>
        <v>0</v>
      </c>
    </row>
    <row r="251" spans="1:11">
      <c r="A251" s="565">
        <v>40</v>
      </c>
      <c r="B251" s="547" t="s">
        <v>1214</v>
      </c>
      <c r="D251" s="549"/>
      <c r="E251" s="548"/>
      <c r="F251" s="569">
        <f t="shared" si="47"/>
        <v>394789028</v>
      </c>
      <c r="G251" s="570">
        <f t="shared" si="47"/>
        <v>385299581</v>
      </c>
      <c r="H251" s="571">
        <f t="shared" si="47"/>
        <v>0</v>
      </c>
      <c r="I251" s="572">
        <f t="shared" si="47"/>
        <v>9489447</v>
      </c>
      <c r="J251" s="569">
        <f t="shared" si="47"/>
        <v>394789028</v>
      </c>
      <c r="K251" s="569">
        <f t="shared" si="47"/>
        <v>0</v>
      </c>
    </row>
    <row r="252" spans="1:11">
      <c r="A252" s="565">
        <v>41</v>
      </c>
      <c r="D252" s="549"/>
      <c r="E252" s="548"/>
      <c r="G252" s="566"/>
      <c r="H252" s="567"/>
      <c r="I252" s="568"/>
    </row>
    <row r="253" spans="1:11">
      <c r="A253" s="565">
        <v>42</v>
      </c>
      <c r="B253" s="547" t="s">
        <v>1204</v>
      </c>
      <c r="D253" s="549"/>
      <c r="E253" s="548"/>
      <c r="G253" s="566"/>
      <c r="H253" s="567"/>
      <c r="I253" s="568"/>
    </row>
    <row r="254" spans="1:11">
      <c r="A254" s="565">
        <v>43</v>
      </c>
      <c r="C254" s="547" t="str">
        <f>'[5]FR-16(7)(v)-1 Functional'!C254</f>
        <v>PRODUCTION - DEMAND</v>
      </c>
      <c r="D254" s="549"/>
      <c r="E254" s="548"/>
      <c r="F254" s="569">
        <f t="shared" ref="F254:K257" si="48">F100-F177</f>
        <v>8082254</v>
      </c>
      <c r="G254" s="570">
        <f t="shared" si="48"/>
        <v>8082254</v>
      </c>
      <c r="H254" s="571">
        <f t="shared" si="48"/>
        <v>0</v>
      </c>
      <c r="I254" s="572">
        <f t="shared" si="48"/>
        <v>0</v>
      </c>
      <c r="J254" s="569">
        <f t="shared" si="48"/>
        <v>8082254</v>
      </c>
      <c r="K254" s="569">
        <f t="shared" si="48"/>
        <v>0</v>
      </c>
    </row>
    <row r="255" spans="1:11">
      <c r="A255" s="565">
        <v>44</v>
      </c>
      <c r="C255" s="547" t="str">
        <f>'[5]FR-16(7)(v)-1 Functional'!C255</f>
        <v>PRODUCTION - ENERGY</v>
      </c>
      <c r="D255" s="549"/>
      <c r="E255" s="548"/>
      <c r="F255" s="569">
        <f t="shared" si="48"/>
        <v>6091465</v>
      </c>
      <c r="G255" s="570">
        <f t="shared" si="48"/>
        <v>0</v>
      </c>
      <c r="H255" s="571">
        <f t="shared" si="48"/>
        <v>6091465</v>
      </c>
      <c r="I255" s="572">
        <f t="shared" si="48"/>
        <v>0</v>
      </c>
      <c r="J255" s="569">
        <f t="shared" si="48"/>
        <v>6091465</v>
      </c>
      <c r="K255" s="569">
        <f t="shared" si="48"/>
        <v>0</v>
      </c>
    </row>
    <row r="256" spans="1:11">
      <c r="A256" s="565">
        <v>45</v>
      </c>
      <c r="C256" s="547" t="str">
        <f>'[5]FR-16(7)(v)-1 Functional'!C256</f>
        <v>TRANSMISSION</v>
      </c>
      <c r="D256" s="549"/>
      <c r="E256" s="548"/>
      <c r="F256" s="569">
        <f t="shared" si="48"/>
        <v>740740</v>
      </c>
      <c r="G256" s="570">
        <f t="shared" si="48"/>
        <v>740740</v>
      </c>
      <c r="H256" s="571">
        <f t="shared" si="48"/>
        <v>0</v>
      </c>
      <c r="I256" s="572">
        <f t="shared" si="48"/>
        <v>0</v>
      </c>
      <c r="J256" s="569">
        <f t="shared" si="48"/>
        <v>740740</v>
      </c>
      <c r="K256" s="569">
        <f t="shared" si="48"/>
        <v>0</v>
      </c>
    </row>
    <row r="257" spans="1:11">
      <c r="A257" s="565">
        <v>46</v>
      </c>
      <c r="C257" s="547" t="str">
        <f>'[5]FR-16(7)(v)-1 Functional'!C257</f>
        <v>DISTRIBUTION - DEMAND</v>
      </c>
      <c r="D257" s="549"/>
      <c r="E257" s="548"/>
      <c r="F257" s="569">
        <f t="shared" si="48"/>
        <v>2923196</v>
      </c>
      <c r="G257" s="570">
        <f t="shared" si="48"/>
        <v>2923196</v>
      </c>
      <c r="H257" s="571">
        <f t="shared" si="48"/>
        <v>0</v>
      </c>
      <c r="I257" s="572">
        <f t="shared" si="48"/>
        <v>0</v>
      </c>
      <c r="J257" s="569">
        <f t="shared" si="48"/>
        <v>2923196</v>
      </c>
      <c r="K257" s="569">
        <f t="shared" si="48"/>
        <v>0</v>
      </c>
    </row>
    <row r="258" spans="1:11">
      <c r="A258" s="565">
        <v>47</v>
      </c>
      <c r="C258" s="547" t="str">
        <f>'[5]FR-16(7)(v)-1 Functional'!C258</f>
        <v>DISTRIBUTION - CUSTOMER</v>
      </c>
      <c r="D258" s="549"/>
      <c r="E258" s="548"/>
      <c r="F258" s="569"/>
      <c r="G258" s="570"/>
      <c r="H258" s="571"/>
      <c r="I258" s="572"/>
      <c r="J258" s="569"/>
      <c r="K258" s="569"/>
    </row>
    <row r="259" spans="1:11">
      <c r="A259" s="565">
        <v>48</v>
      </c>
      <c r="C259" s="547" t="str">
        <f>'[5]FR-16(7)(v)-1 Functional'!C259</f>
        <v>CUSTOMER ACCOUNTING</v>
      </c>
      <c r="D259" s="549"/>
      <c r="E259" s="548"/>
      <c r="F259" s="569">
        <f t="shared" ref="F259:K262" si="49">F105-F182</f>
        <v>420517</v>
      </c>
      <c r="G259" s="570">
        <f t="shared" si="49"/>
        <v>0</v>
      </c>
      <c r="H259" s="571">
        <f t="shared" si="49"/>
        <v>0</v>
      </c>
      <c r="I259" s="572">
        <f t="shared" si="49"/>
        <v>420517</v>
      </c>
      <c r="J259" s="569">
        <f t="shared" si="49"/>
        <v>420517</v>
      </c>
      <c r="K259" s="569">
        <f t="shared" si="49"/>
        <v>0</v>
      </c>
    </row>
    <row r="260" spans="1:11">
      <c r="A260" s="565">
        <v>49</v>
      </c>
      <c r="C260" s="547" t="str">
        <f>'[5]FR-16(7)(v)-1 Functional'!C260</f>
        <v>CUSTOMER SERVICE &amp; INFORMATION</v>
      </c>
      <c r="D260" s="549"/>
      <c r="E260" s="548"/>
      <c r="F260" s="569">
        <f t="shared" si="49"/>
        <v>241440</v>
      </c>
      <c r="G260" s="570">
        <f t="shared" si="49"/>
        <v>0</v>
      </c>
      <c r="H260" s="571">
        <f t="shared" si="49"/>
        <v>0</v>
      </c>
      <c r="I260" s="572">
        <f t="shared" si="49"/>
        <v>241440</v>
      </c>
      <c r="J260" s="569">
        <f t="shared" si="49"/>
        <v>241440</v>
      </c>
      <c r="K260" s="569">
        <f t="shared" si="49"/>
        <v>0</v>
      </c>
    </row>
    <row r="261" spans="1:11">
      <c r="A261" s="565">
        <v>50</v>
      </c>
      <c r="C261" s="547" t="str">
        <f>'[5]FR-16(7)(v)-1 Functional'!C261</f>
        <v>SALES</v>
      </c>
      <c r="D261" s="549"/>
      <c r="E261" s="548"/>
      <c r="F261" s="569">
        <f t="shared" si="49"/>
        <v>0</v>
      </c>
      <c r="G261" s="570">
        <f t="shared" si="49"/>
        <v>0</v>
      </c>
      <c r="H261" s="571">
        <f t="shared" si="49"/>
        <v>0</v>
      </c>
      <c r="I261" s="572">
        <f t="shared" si="49"/>
        <v>0</v>
      </c>
      <c r="J261" s="569">
        <f t="shared" si="49"/>
        <v>0</v>
      </c>
      <c r="K261" s="569">
        <f t="shared" si="49"/>
        <v>0</v>
      </c>
    </row>
    <row r="262" spans="1:11">
      <c r="A262" s="565">
        <v>51</v>
      </c>
      <c r="C262" s="573" t="str">
        <f>'[5]FR-16(7)(v)-1 Functional'!C262</f>
        <v>ADJUSTMENT</v>
      </c>
      <c r="D262" s="549"/>
      <c r="E262" s="548"/>
      <c r="F262" s="569">
        <f t="shared" si="49"/>
        <v>-7045</v>
      </c>
      <c r="G262" s="570">
        <f t="shared" si="49"/>
        <v>-776</v>
      </c>
      <c r="H262" s="571">
        <f t="shared" si="49"/>
        <v>-5485</v>
      </c>
      <c r="I262" s="572">
        <f t="shared" si="49"/>
        <v>-784</v>
      </c>
      <c r="J262" s="569">
        <f t="shared" si="49"/>
        <v>-7045</v>
      </c>
      <c r="K262" s="569">
        <f t="shared" si="49"/>
        <v>0</v>
      </c>
    </row>
    <row r="263" spans="1:11">
      <c r="A263" s="565">
        <v>52</v>
      </c>
      <c r="C263" s="547" t="str">
        <f>'[5]FR-16(7)(v)-1 Functional'!C263</f>
        <v xml:space="preserve">  NET GENERAL &amp; INTANG PLANT</v>
      </c>
      <c r="D263" s="549"/>
      <c r="E263" s="548"/>
      <c r="F263" s="574">
        <f t="shared" ref="F263:K263" si="50">SUM(F253:F262)</f>
        <v>18492567</v>
      </c>
      <c r="G263" s="575">
        <f t="shared" si="50"/>
        <v>11745414</v>
      </c>
      <c r="H263" s="576">
        <f t="shared" si="50"/>
        <v>6085980</v>
      </c>
      <c r="I263" s="577">
        <f t="shared" si="50"/>
        <v>661173</v>
      </c>
      <c r="J263" s="574">
        <f t="shared" si="50"/>
        <v>18492567</v>
      </c>
      <c r="K263" s="574">
        <f t="shared" si="50"/>
        <v>0</v>
      </c>
    </row>
    <row r="264" spans="1:11">
      <c r="A264" s="565">
        <v>53</v>
      </c>
      <c r="D264" s="549"/>
      <c r="E264" s="548"/>
      <c r="F264" s="569"/>
      <c r="G264" s="570"/>
      <c r="H264" s="571"/>
      <c r="I264" s="572"/>
      <c r="J264" s="569"/>
    </row>
    <row r="265" spans="1:11">
      <c r="A265" s="565">
        <v>54</v>
      </c>
      <c r="B265" s="547" t="s">
        <v>1205</v>
      </c>
      <c r="D265" s="549"/>
      <c r="E265" s="548"/>
      <c r="F265" s="569"/>
      <c r="G265" s="570"/>
      <c r="H265" s="571"/>
      <c r="I265" s="572"/>
      <c r="J265" s="569"/>
    </row>
    <row r="266" spans="1:11">
      <c r="A266" s="565">
        <v>55</v>
      </c>
      <c r="C266" s="547" t="str">
        <f>'[5]FR-16(7)(v)-1 Functional'!C266</f>
        <v>PRODUCTION - DEMAND</v>
      </c>
      <c r="D266" s="549"/>
      <c r="E266" s="548"/>
      <c r="F266" s="569">
        <f t="shared" ref="F266:K269" si="51">F112-F189</f>
        <v>1943772</v>
      </c>
      <c r="G266" s="570">
        <f t="shared" si="51"/>
        <v>1943772</v>
      </c>
      <c r="H266" s="571">
        <f t="shared" si="51"/>
        <v>0</v>
      </c>
      <c r="I266" s="572">
        <f t="shared" si="51"/>
        <v>0</v>
      </c>
      <c r="J266" s="569">
        <f t="shared" si="51"/>
        <v>1943772</v>
      </c>
      <c r="K266" s="569">
        <f t="shared" si="51"/>
        <v>0</v>
      </c>
    </row>
    <row r="267" spans="1:11">
      <c r="A267" s="565">
        <v>56</v>
      </c>
      <c r="C267" s="547" t="str">
        <f>'[5]FR-16(7)(v)-1 Functional'!C267</f>
        <v>PRODUCTION - ENERGY</v>
      </c>
      <c r="D267" s="549"/>
      <c r="E267" s="548"/>
      <c r="F267" s="569">
        <f t="shared" si="51"/>
        <v>1464989</v>
      </c>
      <c r="G267" s="570">
        <f t="shared" si="51"/>
        <v>0</v>
      </c>
      <c r="H267" s="571">
        <f t="shared" si="51"/>
        <v>1464989</v>
      </c>
      <c r="I267" s="572">
        <f t="shared" si="51"/>
        <v>0</v>
      </c>
      <c r="J267" s="569">
        <f t="shared" si="51"/>
        <v>1464989</v>
      </c>
      <c r="K267" s="569">
        <f t="shared" si="51"/>
        <v>0</v>
      </c>
    </row>
    <row r="268" spans="1:11">
      <c r="A268" s="565">
        <v>57</v>
      </c>
      <c r="C268" s="547" t="str">
        <f>'[5]FR-16(7)(v)-1 Functional'!C268</f>
        <v>TRANSMISSION</v>
      </c>
      <c r="D268" s="549"/>
      <c r="E268" s="548"/>
      <c r="F268" s="569">
        <f t="shared" si="51"/>
        <v>178146</v>
      </c>
      <c r="G268" s="570">
        <f t="shared" si="51"/>
        <v>178146</v>
      </c>
      <c r="H268" s="571">
        <f t="shared" si="51"/>
        <v>0</v>
      </c>
      <c r="I268" s="572">
        <f t="shared" si="51"/>
        <v>0</v>
      </c>
      <c r="J268" s="569">
        <f t="shared" si="51"/>
        <v>178146</v>
      </c>
      <c r="K268" s="569">
        <f t="shared" si="51"/>
        <v>0</v>
      </c>
    </row>
    <row r="269" spans="1:11">
      <c r="A269" s="565">
        <v>58</v>
      </c>
      <c r="C269" s="547" t="str">
        <f>'[5]FR-16(7)(v)-1 Functional'!C269</f>
        <v>DISTRIBUTION - DEMAND</v>
      </c>
      <c r="D269" s="549"/>
      <c r="E269" s="548"/>
      <c r="F269" s="569">
        <f t="shared" si="51"/>
        <v>703024</v>
      </c>
      <c r="G269" s="570">
        <f t="shared" si="51"/>
        <v>703024</v>
      </c>
      <c r="H269" s="571">
        <f t="shared" si="51"/>
        <v>0</v>
      </c>
      <c r="I269" s="572">
        <f t="shared" si="51"/>
        <v>0</v>
      </c>
      <c r="J269" s="569">
        <f t="shared" si="51"/>
        <v>703024</v>
      </c>
      <c r="K269" s="569">
        <f t="shared" si="51"/>
        <v>0</v>
      </c>
    </row>
    <row r="270" spans="1:11">
      <c r="A270" s="565">
        <v>59</v>
      </c>
      <c r="C270" s="547" t="str">
        <f>'[5]FR-16(7)(v)-1 Functional'!C270</f>
        <v>DISTRIBUTION - CUSTOMER</v>
      </c>
      <c r="D270" s="549"/>
      <c r="E270" s="548"/>
      <c r="F270" s="569"/>
      <c r="G270" s="570"/>
      <c r="H270" s="571"/>
      <c r="I270" s="572"/>
      <c r="J270" s="569"/>
      <c r="K270" s="569"/>
    </row>
    <row r="271" spans="1:11">
      <c r="A271" s="565">
        <v>60</v>
      </c>
      <c r="C271" s="547" t="str">
        <f>'[5]FR-16(7)(v)-1 Functional'!C271</f>
        <v>CUSTOMER ACCOUNTING</v>
      </c>
      <c r="D271" s="549"/>
      <c r="E271" s="548"/>
      <c r="F271" s="569">
        <f t="shared" ref="F271:K274" si="52">F117-F194</f>
        <v>101133</v>
      </c>
      <c r="G271" s="570">
        <f t="shared" si="52"/>
        <v>0</v>
      </c>
      <c r="H271" s="571">
        <f t="shared" si="52"/>
        <v>0</v>
      </c>
      <c r="I271" s="572">
        <f t="shared" si="52"/>
        <v>101133</v>
      </c>
      <c r="J271" s="569">
        <f t="shared" si="52"/>
        <v>101133</v>
      </c>
      <c r="K271" s="569">
        <f t="shared" si="52"/>
        <v>0</v>
      </c>
    </row>
    <row r="272" spans="1:11">
      <c r="A272" s="565">
        <v>61</v>
      </c>
      <c r="C272" s="547" t="str">
        <f>'[5]FR-16(7)(v)-1 Functional'!C272</f>
        <v>CUSTOMER SERVICE &amp; INFORMATION</v>
      </c>
      <c r="D272" s="549"/>
      <c r="E272" s="548"/>
      <c r="F272" s="569">
        <f t="shared" si="52"/>
        <v>58066</v>
      </c>
      <c r="G272" s="570">
        <f t="shared" si="52"/>
        <v>0</v>
      </c>
      <c r="H272" s="571">
        <f t="shared" si="52"/>
        <v>0</v>
      </c>
      <c r="I272" s="572">
        <f t="shared" si="52"/>
        <v>58066</v>
      </c>
      <c r="J272" s="569">
        <f t="shared" si="52"/>
        <v>58066</v>
      </c>
      <c r="K272" s="569">
        <f t="shared" si="52"/>
        <v>0</v>
      </c>
    </row>
    <row r="273" spans="1:11">
      <c r="A273" s="565">
        <v>62</v>
      </c>
      <c r="C273" s="547" t="str">
        <f>'[5]FR-16(7)(v)-1 Functional'!C273</f>
        <v>SALES</v>
      </c>
      <c r="D273" s="549"/>
      <c r="E273" s="548"/>
      <c r="F273" s="569">
        <f t="shared" si="52"/>
        <v>0</v>
      </c>
      <c r="G273" s="570">
        <f t="shared" si="52"/>
        <v>0</v>
      </c>
      <c r="H273" s="571">
        <f t="shared" si="52"/>
        <v>0</v>
      </c>
      <c r="I273" s="572">
        <f t="shared" si="52"/>
        <v>0</v>
      </c>
      <c r="J273" s="569">
        <f t="shared" si="52"/>
        <v>0</v>
      </c>
      <c r="K273" s="569">
        <f t="shared" si="52"/>
        <v>0</v>
      </c>
    </row>
    <row r="274" spans="1:11">
      <c r="A274" s="565">
        <v>63</v>
      </c>
      <c r="C274" s="547" t="str">
        <f>'[5]FR-16(7)(v)-1 Functional'!C274</f>
        <v>ADJUSTMENT</v>
      </c>
      <c r="D274" s="549"/>
      <c r="E274" s="548"/>
      <c r="F274" s="569">
        <f t="shared" si="52"/>
        <v>-21564</v>
      </c>
      <c r="G274" s="570">
        <f t="shared" si="52"/>
        <v>-2374</v>
      </c>
      <c r="H274" s="571">
        <f t="shared" si="52"/>
        <v>-16790</v>
      </c>
      <c r="I274" s="572">
        <f t="shared" si="52"/>
        <v>-2400</v>
      </c>
      <c r="J274" s="569">
        <f t="shared" si="52"/>
        <v>-21564</v>
      </c>
      <c r="K274" s="569">
        <f t="shared" si="52"/>
        <v>0</v>
      </c>
    </row>
    <row r="275" spans="1:11">
      <c r="A275" s="565">
        <v>64</v>
      </c>
      <c r="C275" s="617" t="str">
        <f>'[5]FR-16(7)(v)-1 Functional'!C275</f>
        <v xml:space="preserve">  COMMON &amp; OTHER PLANT IN SERVICE</v>
      </c>
      <c r="D275" s="549"/>
      <c r="E275" s="548"/>
      <c r="F275" s="574">
        <f t="shared" ref="F275:K275" si="53">SUM(F265:F274)</f>
        <v>4427566</v>
      </c>
      <c r="G275" s="575">
        <f t="shared" si="53"/>
        <v>2822568</v>
      </c>
      <c r="H275" s="576">
        <f t="shared" si="53"/>
        <v>1448199</v>
      </c>
      <c r="I275" s="577">
        <f t="shared" si="53"/>
        <v>156799</v>
      </c>
      <c r="J275" s="574">
        <f t="shared" si="53"/>
        <v>4427566</v>
      </c>
      <c r="K275" s="574">
        <f t="shared" si="53"/>
        <v>0</v>
      </c>
    </row>
    <row r="276" spans="1:11">
      <c r="A276" s="565">
        <v>65</v>
      </c>
      <c r="D276" s="549"/>
      <c r="E276" s="548"/>
      <c r="F276" s="569"/>
      <c r="G276" s="570"/>
      <c r="H276" s="571"/>
      <c r="I276" s="572"/>
      <c r="J276" s="569"/>
      <c r="K276" s="569"/>
    </row>
    <row r="277" spans="1:11">
      <c r="A277" s="565">
        <v>66</v>
      </c>
      <c r="C277" s="547" t="str">
        <f>'[5]FR-16(7)(v)-1 Functional'!C277</f>
        <v>NET ELECTRIC PLANT IN SERVICE</v>
      </c>
      <c r="D277" s="549"/>
      <c r="E277" s="548"/>
      <c r="F277" s="569">
        <f t="shared" ref="F277:K277" si="54">F275+F263+F248+F222+F216</f>
        <v>417709161</v>
      </c>
      <c r="G277" s="619">
        <f t="shared" si="54"/>
        <v>399867563</v>
      </c>
      <c r="H277" s="620">
        <f t="shared" si="54"/>
        <v>7534179</v>
      </c>
      <c r="I277" s="621">
        <f t="shared" si="54"/>
        <v>10307419</v>
      </c>
      <c r="J277" s="569">
        <f t="shared" si="54"/>
        <v>417709161</v>
      </c>
      <c r="K277" s="569">
        <f t="shared" si="54"/>
        <v>0</v>
      </c>
    </row>
    <row r="278" spans="1:11">
      <c r="B278" s="546"/>
      <c r="C278" s="548"/>
      <c r="D278" s="549"/>
      <c r="E278" s="548"/>
      <c r="F278" s="548"/>
      <c r="G278" s="548"/>
      <c r="H278" s="548"/>
      <c r="I278" s="548"/>
      <c r="J278" s="548"/>
      <c r="K278" s="548"/>
    </row>
    <row r="279" spans="1:11">
      <c r="A279" s="546" t="str">
        <f>co_name</f>
        <v>DUKE ENERGY KENTUCKY, INC.</v>
      </c>
      <c r="C279" s="548"/>
      <c r="D279" s="549"/>
      <c r="E279" s="548"/>
      <c r="F279" s="548"/>
      <c r="G279" s="548"/>
      <c r="H279" s="548"/>
      <c r="I279" s="548"/>
      <c r="J279" s="548" t="str">
        <f>J1</f>
        <v>FR-16(7)(v)-16</v>
      </c>
      <c r="K279" s="548"/>
    </row>
    <row r="280" spans="1:11">
      <c r="A280" s="546" t="str">
        <f>$A$2</f>
        <v>DISTR. SEC. CLASSIFIED - ELECTRIC COST OF SERVICE</v>
      </c>
      <c r="C280" s="548"/>
      <c r="D280" s="549"/>
      <c r="E280" s="548"/>
      <c r="F280" s="548"/>
      <c r="G280" s="548"/>
      <c r="H280" s="548"/>
      <c r="I280" s="548"/>
      <c r="J280" s="548" t="str">
        <f>J2</f>
        <v>WITNESS RESPONSIBLE:</v>
      </c>
      <c r="K280" s="548"/>
    </row>
    <row r="281" spans="1:11">
      <c r="A281" s="546" t="str">
        <f>case_name</f>
        <v>CASE NO: 2024-00354</v>
      </c>
      <c r="C281" s="548"/>
      <c r="D281" s="549"/>
      <c r="E281" s="548"/>
      <c r="F281" s="548"/>
      <c r="G281" s="548"/>
      <c r="H281" s="548"/>
      <c r="I281" s="548"/>
      <c r="J281" s="548" t="str">
        <f>Witness</f>
        <v>JAMES E. ZIOLKOWSKI</v>
      </c>
      <c r="K281" s="548"/>
    </row>
    <row r="282" spans="1:11">
      <c r="A282" s="546" t="str">
        <f>data_filing</f>
        <v>DATA: 12 MONTHS ACTUAL  &amp; 0 MONTHS ESTIMATED</v>
      </c>
      <c r="C282" s="548"/>
      <c r="D282" s="549"/>
      <c r="E282" s="548"/>
      <c r="F282" s="548"/>
      <c r="G282" s="548"/>
      <c r="H282" s="548"/>
      <c r="I282" s="548"/>
      <c r="J282" s="548" t="str">
        <f>"PAGE "&amp;Pages2-10&amp;" OF "&amp;Pages2</f>
        <v>PAGE 5 OF 15</v>
      </c>
      <c r="K282" s="548"/>
    </row>
    <row r="283" spans="1:11">
      <c r="A283" s="546" t="str">
        <f>type</f>
        <v xml:space="preserve">TYPE OF FILING: "X" ORIGINAL   UPDATED    REVISED  </v>
      </c>
      <c r="C283" s="548"/>
      <c r="D283" s="549"/>
      <c r="E283" s="548"/>
      <c r="F283" s="548"/>
      <c r="G283" s="548"/>
      <c r="H283" s="548"/>
      <c r="I283" s="548"/>
      <c r="J283" s="548"/>
      <c r="K283" s="548"/>
    </row>
    <row r="284" spans="1:11">
      <c r="B284" s="546"/>
      <c r="C284" s="548"/>
      <c r="D284" s="549"/>
      <c r="E284" s="548"/>
      <c r="F284" s="548"/>
      <c r="G284" s="548"/>
      <c r="H284" s="548"/>
      <c r="I284" s="548"/>
      <c r="J284" s="548"/>
      <c r="K284" s="548"/>
    </row>
    <row r="285" spans="1:11">
      <c r="B285" s="546"/>
      <c r="C285" s="548"/>
      <c r="D285" s="549"/>
      <c r="E285" s="548"/>
      <c r="F285" s="548"/>
      <c r="G285" s="548"/>
      <c r="H285" s="548"/>
      <c r="I285" s="548"/>
      <c r="J285" s="548"/>
      <c r="K285" s="548"/>
    </row>
    <row r="286" spans="1:11">
      <c r="A286" s="549" t="s">
        <v>17</v>
      </c>
      <c r="B286" s="548"/>
      <c r="C286" s="548"/>
      <c r="D286" s="549"/>
      <c r="E286" s="548"/>
      <c r="F286" s="549" t="s">
        <v>11</v>
      </c>
      <c r="G286" s="552" t="s">
        <v>1162</v>
      </c>
      <c r="H286" s="553"/>
      <c r="I286" s="554"/>
      <c r="J286" s="549" t="s">
        <v>11</v>
      </c>
      <c r="K286" s="549" t="s">
        <v>1163</v>
      </c>
    </row>
    <row r="287" spans="1:11">
      <c r="A287" s="555" t="s">
        <v>1164</v>
      </c>
      <c r="B287" s="556" t="s">
        <v>1215</v>
      </c>
      <c r="C287" s="556"/>
      <c r="D287" s="555" t="s">
        <v>1166</v>
      </c>
      <c r="E287" s="556"/>
      <c r="F287" s="555" t="str">
        <f>$F$9</f>
        <v>DISTR. SEC.</v>
      </c>
      <c r="G287" s="611" t="str">
        <f t="shared" ref="G287:I288" si="55">G9</f>
        <v>DEMAND</v>
      </c>
      <c r="H287" s="612" t="str">
        <f t="shared" si="55"/>
        <v>ENERGY</v>
      </c>
      <c r="I287" s="613" t="str">
        <f t="shared" si="55"/>
        <v>CUSTOMER</v>
      </c>
      <c r="J287" s="555" t="s">
        <v>1169</v>
      </c>
      <c r="K287" s="555" t="s">
        <v>543</v>
      </c>
    </row>
    <row r="288" spans="1:11">
      <c r="C288" s="561" t="s">
        <v>1216</v>
      </c>
      <c r="D288" s="549"/>
      <c r="E288" s="548"/>
      <c r="G288" s="614">
        <f t="shared" si="55"/>
        <v>3</v>
      </c>
      <c r="H288" s="615">
        <f t="shared" si="55"/>
        <v>4</v>
      </c>
      <c r="I288" s="616">
        <f t="shared" si="55"/>
        <v>5</v>
      </c>
    </row>
    <row r="289" spans="1:11">
      <c r="A289" s="565">
        <v>1</v>
      </c>
      <c r="B289" s="547" t="s">
        <v>1217</v>
      </c>
      <c r="D289" s="549"/>
      <c r="E289" s="548"/>
      <c r="G289" s="566"/>
      <c r="H289" s="567"/>
      <c r="I289" s="568"/>
    </row>
    <row r="290" spans="1:11">
      <c r="A290" s="565">
        <v>2</v>
      </c>
      <c r="B290" s="547" t="s">
        <v>1218</v>
      </c>
      <c r="D290" s="549"/>
      <c r="E290" s="548"/>
      <c r="G290" s="566"/>
      <c r="H290" s="567"/>
      <c r="I290" s="568"/>
    </row>
    <row r="291" spans="1:11">
      <c r="A291" s="565">
        <v>3</v>
      </c>
      <c r="B291" s="547" t="s">
        <v>1219</v>
      </c>
      <c r="D291" s="549"/>
      <c r="E291" s="548"/>
      <c r="G291" s="566"/>
      <c r="H291" s="567"/>
      <c r="I291" s="568"/>
    </row>
    <row r="292" spans="1:11">
      <c r="A292" s="565">
        <v>4</v>
      </c>
      <c r="C292" s="547" t="str">
        <f>'[5]FR-16(7)(v)-1 Functional'!C292</f>
        <v>LIBERALIZED DEPRECIATION</v>
      </c>
      <c r="D292" s="549" t="str">
        <f>'[5]FR-16(7)(v)-1 Functional'!D292</f>
        <v>NP29</v>
      </c>
      <c r="E292" s="547" t="s">
        <v>173</v>
      </c>
      <c r="F292" s="578">
        <f>'[5]FR-16(7)(v)-14 TOTAL CLASS'!H292</f>
        <v>0</v>
      </c>
      <c r="G292" s="570">
        <f>'[5]FR-16(7)(v)-3 PROD Demand'!H292+'[5]FR-16(7)(v)-7 TRANS Demand'!H292+'[5]FR-16(7)(v)-11 DIST Demand'!H292</f>
        <v>0</v>
      </c>
      <c r="H292" s="571">
        <f>'[5]FR-16(7)(v)-4 PROD Energy'!H292+'[5]FR-16(7)(v)-8 TRANS Energy'!H292+'[5]FR-16(7)(v)-12 DIST Energy'!H292</f>
        <v>0</v>
      </c>
      <c r="I292" s="572">
        <f>'[5]FR-16(7)(v)-5 PROD Cust'!H292+'[5]FR-16(7)(v)-9 TRANS Cust'!H292+'[5]FR-16(7)(v)-13 DIST Cust'!H292</f>
        <v>0</v>
      </c>
      <c r="J292" s="569">
        <f t="shared" ref="J292:J300" si="56">SUM(G292:I292)</f>
        <v>0</v>
      </c>
      <c r="K292" s="569">
        <f t="shared" ref="K292:K300" si="57">F292-J292</f>
        <v>0</v>
      </c>
    </row>
    <row r="293" spans="1:11">
      <c r="A293" s="565">
        <v>5</v>
      </c>
      <c r="C293" s="547" t="str">
        <f>'[5]FR-16(7)(v)-1 Functional'!C293</f>
        <v>LEASED METERS</v>
      </c>
      <c r="D293" s="549" t="str">
        <f>'[5]FR-16(7)(v)-1 Functional'!D293</f>
        <v>NP29</v>
      </c>
      <c r="E293" s="547" t="s">
        <v>173</v>
      </c>
      <c r="F293" s="578">
        <f>'[5]FR-16(7)(v)-14 TOTAL CLASS'!H293</f>
        <v>0</v>
      </c>
      <c r="G293" s="570">
        <f>'[5]FR-16(7)(v)-3 PROD Demand'!H293+'[5]FR-16(7)(v)-7 TRANS Demand'!H293+'[5]FR-16(7)(v)-11 DIST Demand'!H293</f>
        <v>0</v>
      </c>
      <c r="H293" s="571">
        <f>'[5]FR-16(7)(v)-4 PROD Energy'!H293+'[5]FR-16(7)(v)-8 TRANS Energy'!H293+'[5]FR-16(7)(v)-12 DIST Energy'!H293</f>
        <v>0</v>
      </c>
      <c r="I293" s="572">
        <f>'[5]FR-16(7)(v)-5 PROD Cust'!H293+'[5]FR-16(7)(v)-9 TRANS Cust'!H293+'[5]FR-16(7)(v)-13 DIST Cust'!H293</f>
        <v>0</v>
      </c>
      <c r="J293" s="569">
        <f t="shared" si="56"/>
        <v>0</v>
      </c>
      <c r="K293" s="569">
        <f t="shared" si="57"/>
        <v>0</v>
      </c>
    </row>
    <row r="294" spans="1:11">
      <c r="A294" s="565">
        <v>6</v>
      </c>
      <c r="C294" s="547" t="str">
        <f>'[5]FR-16(7)(v)-1 Functional'!C294</f>
        <v>CONTRIB AID CONSTR</v>
      </c>
      <c r="D294" s="549" t="str">
        <f>'[5]FR-16(7)(v)-1 Functional'!D294</f>
        <v>NP29</v>
      </c>
      <c r="E294" s="547" t="s">
        <v>173</v>
      </c>
      <c r="F294" s="578">
        <f>'[5]FR-16(7)(v)-14 TOTAL CLASS'!H294</f>
        <v>0</v>
      </c>
      <c r="G294" s="570">
        <f>'[5]FR-16(7)(v)-3 PROD Demand'!H294+'[5]FR-16(7)(v)-7 TRANS Demand'!H294+'[5]FR-16(7)(v)-11 DIST Demand'!H294</f>
        <v>0</v>
      </c>
      <c r="H294" s="571">
        <f>'[5]FR-16(7)(v)-4 PROD Energy'!H294+'[5]FR-16(7)(v)-8 TRANS Energy'!H294+'[5]FR-16(7)(v)-12 DIST Energy'!H294</f>
        <v>0</v>
      </c>
      <c r="I294" s="572">
        <f>'[5]FR-16(7)(v)-5 PROD Cust'!H294+'[5]FR-16(7)(v)-9 TRANS Cust'!H294+'[5]FR-16(7)(v)-13 DIST Cust'!H294</f>
        <v>0</v>
      </c>
      <c r="J294" s="569">
        <f t="shared" si="56"/>
        <v>0</v>
      </c>
      <c r="K294" s="569">
        <f t="shared" si="57"/>
        <v>0</v>
      </c>
    </row>
    <row r="295" spans="1:11">
      <c r="A295" s="565">
        <v>7</v>
      </c>
      <c r="C295" s="547" t="str">
        <f>'[5]FR-16(7)(v)-1 Functional'!C295</f>
        <v>TAX INTEREST, EXPENSING, DEPR.</v>
      </c>
      <c r="D295" s="549" t="str">
        <f>'[5]FR-16(7)(v)-1 Functional'!D295</f>
        <v>NP29</v>
      </c>
      <c r="E295" s="547" t="s">
        <v>173</v>
      </c>
      <c r="F295" s="578">
        <f>'[5]FR-16(7)(v)-14 TOTAL CLASS'!H295</f>
        <v>0</v>
      </c>
      <c r="G295" s="570">
        <f>'[5]FR-16(7)(v)-3 PROD Demand'!H295+'[5]FR-16(7)(v)-7 TRANS Demand'!H295+'[5]FR-16(7)(v)-11 DIST Demand'!H295</f>
        <v>0</v>
      </c>
      <c r="H295" s="571">
        <f>'[5]FR-16(7)(v)-4 PROD Energy'!H295+'[5]FR-16(7)(v)-8 TRANS Energy'!H295+'[5]FR-16(7)(v)-12 DIST Energy'!H295</f>
        <v>0</v>
      </c>
      <c r="I295" s="572">
        <f>'[5]FR-16(7)(v)-5 PROD Cust'!H295+'[5]FR-16(7)(v)-9 TRANS Cust'!H295+'[5]FR-16(7)(v)-13 DIST Cust'!H295</f>
        <v>0</v>
      </c>
      <c r="J295" s="569">
        <f t="shared" si="56"/>
        <v>0</v>
      </c>
      <c r="K295" s="569">
        <f t="shared" si="57"/>
        <v>0</v>
      </c>
    </row>
    <row r="296" spans="1:11">
      <c r="A296" s="565">
        <v>8</v>
      </c>
      <c r="C296" s="547" t="str">
        <f>'[5]FR-16(7)(v)-1 Functional'!C296</f>
        <v>AFUDC IN DEBT</v>
      </c>
      <c r="D296" s="549" t="str">
        <f>'[5]FR-16(7)(v)-1 Functional'!D296</f>
        <v>NP29</v>
      </c>
      <c r="E296" s="547" t="s">
        <v>173</v>
      </c>
      <c r="F296" s="578">
        <f>'[5]FR-16(7)(v)-14 TOTAL CLASS'!H296</f>
        <v>0</v>
      </c>
      <c r="G296" s="570">
        <f>'[5]FR-16(7)(v)-3 PROD Demand'!H296+'[5]FR-16(7)(v)-7 TRANS Demand'!H296+'[5]FR-16(7)(v)-11 DIST Demand'!H296</f>
        <v>0</v>
      </c>
      <c r="H296" s="571">
        <f>'[5]FR-16(7)(v)-4 PROD Energy'!H296+'[5]FR-16(7)(v)-8 TRANS Energy'!H296+'[5]FR-16(7)(v)-12 DIST Energy'!H296</f>
        <v>0</v>
      </c>
      <c r="I296" s="572">
        <f>'[5]FR-16(7)(v)-5 PROD Cust'!H296+'[5]FR-16(7)(v)-9 TRANS Cust'!H296+'[5]FR-16(7)(v)-13 DIST Cust'!H296</f>
        <v>0</v>
      </c>
      <c r="J296" s="569">
        <f t="shared" si="56"/>
        <v>0</v>
      </c>
      <c r="K296" s="569">
        <f t="shared" si="57"/>
        <v>0</v>
      </c>
    </row>
    <row r="297" spans="1:11">
      <c r="A297" s="565">
        <v>9</v>
      </c>
      <c r="C297" s="547" t="str">
        <f>'[5]FR-16(7)(v)-1 Functional'!C297</f>
        <v>CASUALTY LOSS</v>
      </c>
      <c r="D297" s="549" t="str">
        <f>'[5]FR-16(7)(v)-1 Functional'!D297</f>
        <v>NP29</v>
      </c>
      <c r="E297" s="547" t="s">
        <v>173</v>
      </c>
      <c r="F297" s="578">
        <f>'[5]FR-16(7)(v)-14 TOTAL CLASS'!H297</f>
        <v>0</v>
      </c>
      <c r="G297" s="570">
        <f>'[5]FR-16(7)(v)-3 PROD Demand'!H297+'[5]FR-16(7)(v)-7 TRANS Demand'!H297+'[5]FR-16(7)(v)-11 DIST Demand'!H297</f>
        <v>0</v>
      </c>
      <c r="H297" s="571">
        <f>'[5]FR-16(7)(v)-4 PROD Energy'!H297+'[5]FR-16(7)(v)-8 TRANS Energy'!H297+'[5]FR-16(7)(v)-12 DIST Energy'!H297</f>
        <v>0</v>
      </c>
      <c r="I297" s="572">
        <f>'[5]FR-16(7)(v)-5 PROD Cust'!H297+'[5]FR-16(7)(v)-9 TRANS Cust'!H297+'[5]FR-16(7)(v)-13 DIST Cust'!H297</f>
        <v>0</v>
      </c>
      <c r="J297" s="569">
        <f t="shared" si="56"/>
        <v>0</v>
      </c>
      <c r="K297" s="569">
        <f t="shared" si="57"/>
        <v>0</v>
      </c>
    </row>
    <row r="298" spans="1:11">
      <c r="A298" s="565">
        <v>10</v>
      </c>
      <c r="C298" s="547" t="str">
        <f>'[5]FR-16(7)(v)-1 Functional'!C298</f>
        <v>NON-CASH OVERHEADS</v>
      </c>
      <c r="D298" s="549" t="str">
        <f>'[5]FR-16(7)(v)-1 Functional'!D298</f>
        <v>NP29</v>
      </c>
      <c r="E298" s="547" t="s">
        <v>173</v>
      </c>
      <c r="F298" s="578">
        <f>'[5]FR-16(7)(v)-14 TOTAL CLASS'!H298</f>
        <v>0</v>
      </c>
      <c r="G298" s="570">
        <f>'[5]FR-16(7)(v)-3 PROD Demand'!H298+'[5]FR-16(7)(v)-7 TRANS Demand'!H298+'[5]FR-16(7)(v)-11 DIST Demand'!H298</f>
        <v>0</v>
      </c>
      <c r="H298" s="571">
        <f>'[5]FR-16(7)(v)-4 PROD Energy'!H298+'[5]FR-16(7)(v)-8 TRANS Energy'!H298+'[5]FR-16(7)(v)-12 DIST Energy'!H298</f>
        <v>0</v>
      </c>
      <c r="I298" s="572">
        <f>'[5]FR-16(7)(v)-5 PROD Cust'!H298+'[5]FR-16(7)(v)-9 TRANS Cust'!H298+'[5]FR-16(7)(v)-13 DIST Cust'!H298</f>
        <v>0</v>
      </c>
      <c r="J298" s="569">
        <f t="shared" si="56"/>
        <v>0</v>
      </c>
      <c r="K298" s="569">
        <f t="shared" si="57"/>
        <v>0</v>
      </c>
    </row>
    <row r="299" spans="1:11">
      <c r="A299" s="565">
        <v>11</v>
      </c>
      <c r="C299" s="547" t="str">
        <f>'[5]FR-16(7)(v)-1 Functional'!C299</f>
        <v>PLANT FAS 109</v>
      </c>
      <c r="D299" s="549" t="str">
        <f>'[5]FR-16(7)(v)-1 Functional'!D299</f>
        <v>NP29</v>
      </c>
      <c r="E299" s="547" t="s">
        <v>173</v>
      </c>
      <c r="F299" s="578">
        <f>'[5]FR-16(7)(v)-14 TOTAL CLASS'!H299</f>
        <v>0</v>
      </c>
      <c r="G299" s="570">
        <f>'[5]FR-16(7)(v)-3 PROD Demand'!H299+'[5]FR-16(7)(v)-7 TRANS Demand'!H299+'[5]FR-16(7)(v)-11 DIST Demand'!H299</f>
        <v>0</v>
      </c>
      <c r="H299" s="571">
        <f>'[5]FR-16(7)(v)-4 PROD Energy'!H299+'[5]FR-16(7)(v)-8 TRANS Energy'!H299+'[5]FR-16(7)(v)-12 DIST Energy'!H299</f>
        <v>0</v>
      </c>
      <c r="I299" s="572">
        <f>'[5]FR-16(7)(v)-5 PROD Cust'!H299+'[5]FR-16(7)(v)-9 TRANS Cust'!H299+'[5]FR-16(7)(v)-13 DIST Cust'!H299</f>
        <v>0</v>
      </c>
      <c r="J299" s="569">
        <f t="shared" si="56"/>
        <v>0</v>
      </c>
      <c r="K299" s="569">
        <f t="shared" si="57"/>
        <v>0</v>
      </c>
    </row>
    <row r="300" spans="1:11">
      <c r="A300" s="565">
        <v>12</v>
      </c>
      <c r="C300" s="547" t="str">
        <f>'[5]FR-16(7)(v)-1 Functional'!C300</f>
        <v>PP&amp;E &amp; MISCELLANEOUS</v>
      </c>
      <c r="D300" s="549" t="str">
        <f>'[5]FR-16(7)(v)-1 Functional'!D300</f>
        <v>NP29</v>
      </c>
      <c r="F300" s="578">
        <f>'[5]FR-16(7)(v)-14 TOTAL CLASS'!H300</f>
        <v>61222613</v>
      </c>
      <c r="G300" s="570">
        <f>'[5]FR-16(7)(v)-3 PROD Demand'!H300+'[5]FR-16(7)(v)-7 TRANS Demand'!H300+'[5]FR-16(7)(v)-11 DIST Demand'!H300</f>
        <v>58608994</v>
      </c>
      <c r="H300" s="571">
        <f>'[5]FR-16(7)(v)-4 PROD Energy'!H300+'[5]FR-16(7)(v)-8 TRANS Energy'!H300+'[5]FR-16(7)(v)-12 DIST Energy'!H300</f>
        <v>1102541</v>
      </c>
      <c r="I300" s="572">
        <f>'[5]FR-16(7)(v)-5 PROD Cust'!H300+'[5]FR-16(7)(v)-9 TRANS Cust'!H300+'[5]FR-16(7)(v)-13 DIST Cust'!H300</f>
        <v>1511078</v>
      </c>
      <c r="J300" s="569">
        <f t="shared" si="56"/>
        <v>61222613</v>
      </c>
      <c r="K300" s="569">
        <f t="shared" si="57"/>
        <v>0</v>
      </c>
    </row>
    <row r="301" spans="1:11">
      <c r="A301" s="565">
        <v>13</v>
      </c>
      <c r="C301" s="617" t="str">
        <f>'[5]FR-16(7)(v)-1 Functional'!C301</f>
        <v xml:space="preserve">  TOTAL ACCOUNT 282</v>
      </c>
      <c r="D301" s="549"/>
      <c r="F301" s="574">
        <f t="shared" ref="F301:K301" si="58">SUM(F292:F300)</f>
        <v>61222613</v>
      </c>
      <c r="G301" s="575">
        <f t="shared" si="58"/>
        <v>58608994</v>
      </c>
      <c r="H301" s="576">
        <f t="shared" si="58"/>
        <v>1102541</v>
      </c>
      <c r="I301" s="577">
        <f t="shared" si="58"/>
        <v>1511078</v>
      </c>
      <c r="J301" s="574">
        <f t="shared" si="58"/>
        <v>61222613</v>
      </c>
      <c r="K301" s="574">
        <f t="shared" si="58"/>
        <v>0</v>
      </c>
    </row>
    <row r="302" spans="1:11">
      <c r="A302" s="565">
        <v>14</v>
      </c>
      <c r="D302" s="549"/>
      <c r="E302" s="548"/>
      <c r="G302" s="566"/>
      <c r="H302" s="567"/>
      <c r="I302" s="568"/>
    </row>
    <row r="303" spans="1:11">
      <c r="A303" s="565">
        <v>15</v>
      </c>
      <c r="B303" s="547" t="s">
        <v>1220</v>
      </c>
      <c r="D303" s="549"/>
      <c r="E303" s="548"/>
      <c r="G303" s="566"/>
      <c r="H303" s="567"/>
      <c r="I303" s="568"/>
    </row>
    <row r="304" spans="1:11">
      <c r="A304" s="565">
        <v>16</v>
      </c>
      <c r="C304" s="547" t="str">
        <f>'[5]FR-16(7)(v)-1 Functional'!C304</f>
        <v>TRANSITION FROM MISO TO PJM</v>
      </c>
      <c r="D304" s="549" t="str">
        <f>'[5]FR-16(7)(v)-1 Functional'!D304</f>
        <v>NP29</v>
      </c>
      <c r="F304" s="578">
        <f>'[5]FR-16(7)(v)-14 TOTAL CLASS'!H304</f>
        <v>0</v>
      </c>
      <c r="G304" s="570">
        <f>'[5]FR-16(7)(v)-3 PROD Demand'!H304+'[5]FR-16(7)(v)-7 TRANS Demand'!H304+'[5]FR-16(7)(v)-11 DIST Demand'!H304</f>
        <v>0</v>
      </c>
      <c r="H304" s="571">
        <f>'[5]FR-16(7)(v)-4 PROD Energy'!H304+'[5]FR-16(7)(v)-8 TRANS Energy'!H304+'[5]FR-16(7)(v)-12 DIST Energy'!H304</f>
        <v>0</v>
      </c>
      <c r="I304" s="572">
        <f>'[5]FR-16(7)(v)-5 PROD Cust'!H304+'[5]FR-16(7)(v)-9 TRANS Cust'!H304+'[5]FR-16(7)(v)-13 DIST Cust'!H304</f>
        <v>0</v>
      </c>
      <c r="J304" s="569">
        <f t="shared" ref="J304:J314" si="59">SUM(G304:I304)</f>
        <v>0</v>
      </c>
      <c r="K304" s="569">
        <f t="shared" ref="K304:K314" si="60">F304-J304</f>
        <v>0</v>
      </c>
    </row>
    <row r="305" spans="1:11">
      <c r="A305" s="565">
        <v>17</v>
      </c>
      <c r="C305" s="547" t="str">
        <f>'[5]FR-16(7)(v)-1 Functional'!C305</f>
        <v>DEFERRED PLANT COSTS</v>
      </c>
      <c r="D305" s="549" t="str">
        <f>'[5]FR-16(7)(v)-1 Functional'!D305</f>
        <v>K201</v>
      </c>
      <c r="F305" s="578">
        <f>'[5]FR-16(7)(v)-14 TOTAL CLASS'!H305</f>
        <v>2667461</v>
      </c>
      <c r="G305" s="570">
        <f>'[5]FR-16(7)(v)-3 PROD Demand'!H305+'[5]FR-16(7)(v)-7 TRANS Demand'!H305+'[5]FR-16(7)(v)-11 DIST Demand'!H305</f>
        <v>2667461</v>
      </c>
      <c r="H305" s="571">
        <f>'[5]FR-16(7)(v)-4 PROD Energy'!H305+'[5]FR-16(7)(v)-8 TRANS Energy'!H305+'[5]FR-16(7)(v)-12 DIST Energy'!H305</f>
        <v>0</v>
      </c>
      <c r="I305" s="572">
        <f>'[5]FR-16(7)(v)-5 PROD Cust'!H305+'[5]FR-16(7)(v)-9 TRANS Cust'!H305+'[5]FR-16(7)(v)-13 DIST Cust'!H305</f>
        <v>0</v>
      </c>
      <c r="J305" s="569">
        <f t="shared" si="59"/>
        <v>2667461</v>
      </c>
      <c r="K305" s="569">
        <f t="shared" si="60"/>
        <v>0</v>
      </c>
    </row>
    <row r="306" spans="1:11">
      <c r="A306" s="565">
        <v>18</v>
      </c>
      <c r="C306" s="547" t="str">
        <f>'[5]FR-16(7)(v)-1 Functional'!C306</f>
        <v>MISCELLANEOUS</v>
      </c>
      <c r="D306" s="549" t="str">
        <f>'[5]FR-16(7)(v)-1 Functional'!D306</f>
        <v>OM39</v>
      </c>
      <c r="F306" s="578">
        <f>'[5]FR-16(7)(v)-14 TOTAL CLASS'!H306</f>
        <v>0</v>
      </c>
      <c r="G306" s="570">
        <f>'[5]FR-16(7)(v)-3 PROD Demand'!H306+'[5]FR-16(7)(v)-7 TRANS Demand'!H306+'[5]FR-16(7)(v)-11 DIST Demand'!H306</f>
        <v>0</v>
      </c>
      <c r="H306" s="571">
        <f>'[5]FR-16(7)(v)-4 PROD Energy'!H306+'[5]FR-16(7)(v)-8 TRANS Energy'!H306+'[5]FR-16(7)(v)-12 DIST Energy'!H306</f>
        <v>0</v>
      </c>
      <c r="I306" s="572">
        <f>'[5]FR-16(7)(v)-5 PROD Cust'!H306+'[5]FR-16(7)(v)-9 TRANS Cust'!H306+'[5]FR-16(7)(v)-13 DIST Cust'!H306</f>
        <v>0</v>
      </c>
      <c r="J306" s="569">
        <f t="shared" si="59"/>
        <v>0</v>
      </c>
      <c r="K306" s="569">
        <f t="shared" si="60"/>
        <v>0</v>
      </c>
    </row>
    <row r="307" spans="1:11">
      <c r="A307" s="565">
        <v>19</v>
      </c>
      <c r="C307" s="547" t="str">
        <f>'[5]FR-16(7)(v)-1 Functional'!C307</f>
        <v>ENVIRONMENTAL RESERVE</v>
      </c>
      <c r="D307" s="549" t="str">
        <f>'[5]FR-16(7)(v)-1 Functional'!D307</f>
        <v>NP29</v>
      </c>
      <c r="F307" s="578">
        <f>'[5]FR-16(7)(v)-14 TOTAL CLASS'!H307</f>
        <v>0</v>
      </c>
      <c r="G307" s="570">
        <f>'[5]FR-16(7)(v)-3 PROD Demand'!H307+'[5]FR-16(7)(v)-7 TRANS Demand'!H307+'[5]FR-16(7)(v)-11 DIST Demand'!H307</f>
        <v>0</v>
      </c>
      <c r="H307" s="571">
        <f>'[5]FR-16(7)(v)-4 PROD Energy'!H307+'[5]FR-16(7)(v)-8 TRANS Energy'!H307+'[5]FR-16(7)(v)-12 DIST Energy'!H307</f>
        <v>0</v>
      </c>
      <c r="I307" s="572">
        <f>'[5]FR-16(7)(v)-5 PROD Cust'!H307+'[5]FR-16(7)(v)-9 TRANS Cust'!H307+'[5]FR-16(7)(v)-13 DIST Cust'!H307</f>
        <v>0</v>
      </c>
      <c r="J307" s="569">
        <f t="shared" si="59"/>
        <v>0</v>
      </c>
      <c r="K307" s="569">
        <f t="shared" si="60"/>
        <v>0</v>
      </c>
    </row>
    <row r="308" spans="1:11">
      <c r="A308" s="565">
        <v>20</v>
      </c>
      <c r="C308" s="547" t="str">
        <f>'[5]FR-16(7)(v)-1 Functional'!C308</f>
        <v>POST IN-SERVICE CARRYING COSTS</v>
      </c>
      <c r="D308" s="549" t="str">
        <f>'[5]FR-16(7)(v)-1 Functional'!D308</f>
        <v>NP29</v>
      </c>
      <c r="F308" s="578">
        <f>'[5]FR-16(7)(v)-14 TOTAL CLASS'!H308</f>
        <v>0</v>
      </c>
      <c r="G308" s="570">
        <f>'[5]FR-16(7)(v)-3 PROD Demand'!H308+'[5]FR-16(7)(v)-7 TRANS Demand'!H308+'[5]FR-16(7)(v)-11 DIST Demand'!H308</f>
        <v>0</v>
      </c>
      <c r="H308" s="571">
        <f>'[5]FR-16(7)(v)-4 PROD Energy'!H308+'[5]FR-16(7)(v)-8 TRANS Energy'!H308+'[5]FR-16(7)(v)-12 DIST Energy'!H308</f>
        <v>0</v>
      </c>
      <c r="I308" s="572">
        <f>'[5]FR-16(7)(v)-5 PROD Cust'!H308+'[5]FR-16(7)(v)-9 TRANS Cust'!H308+'[5]FR-16(7)(v)-13 DIST Cust'!H308</f>
        <v>0</v>
      </c>
      <c r="J308" s="569">
        <f t="shared" si="59"/>
        <v>0</v>
      </c>
      <c r="K308" s="569">
        <f t="shared" si="60"/>
        <v>0</v>
      </c>
    </row>
    <row r="309" spans="1:11">
      <c r="A309" s="565">
        <v>21</v>
      </c>
      <c r="C309" s="547" t="str">
        <f>'[5]FR-16(7)(v)-1 Functional'!C309</f>
        <v>ARO CUMULATIVE EFFECT</v>
      </c>
      <c r="D309" s="549" t="str">
        <f>'[5]FR-16(7)(v)-1 Functional'!D309</f>
        <v>NP29</v>
      </c>
      <c r="F309" s="578">
        <f>'[5]FR-16(7)(v)-14 TOTAL CLASS'!H309</f>
        <v>0</v>
      </c>
      <c r="G309" s="570">
        <f>'[5]FR-16(7)(v)-3 PROD Demand'!H309+'[5]FR-16(7)(v)-7 TRANS Demand'!H309+'[5]FR-16(7)(v)-11 DIST Demand'!H309</f>
        <v>0</v>
      </c>
      <c r="H309" s="571">
        <f>'[5]FR-16(7)(v)-4 PROD Energy'!H309+'[5]FR-16(7)(v)-8 TRANS Energy'!H309+'[5]FR-16(7)(v)-12 DIST Energy'!H309</f>
        <v>0</v>
      </c>
      <c r="I309" s="572">
        <f>'[5]FR-16(7)(v)-5 PROD Cust'!H309+'[5]FR-16(7)(v)-9 TRANS Cust'!H309+'[5]FR-16(7)(v)-13 DIST Cust'!H309</f>
        <v>0</v>
      </c>
      <c r="J309" s="569">
        <f t="shared" si="59"/>
        <v>0</v>
      </c>
      <c r="K309" s="569">
        <f t="shared" si="60"/>
        <v>0</v>
      </c>
    </row>
    <row r="310" spans="1:11">
      <c r="A310" s="565">
        <v>22</v>
      </c>
      <c r="C310" s="547" t="str">
        <f>'[5]FR-16(7)(v)-1 Functional'!C310</f>
        <v>LOSS ON REACQUIRED DEBT</v>
      </c>
      <c r="D310" s="549" t="str">
        <f>'[5]FR-16(7)(v)-1 Functional'!D310</f>
        <v>D249</v>
      </c>
      <c r="F310" s="578">
        <f>'[5]FR-16(7)(v)-14 TOTAL CLASS'!H310</f>
        <v>0</v>
      </c>
      <c r="G310" s="570">
        <f>'[5]FR-16(7)(v)-3 PROD Demand'!H310+'[5]FR-16(7)(v)-7 TRANS Demand'!H310+'[5]FR-16(7)(v)-11 DIST Demand'!H310</f>
        <v>0</v>
      </c>
      <c r="H310" s="571">
        <f>'[5]FR-16(7)(v)-4 PROD Energy'!H310+'[5]FR-16(7)(v)-8 TRANS Energy'!H310+'[5]FR-16(7)(v)-12 DIST Energy'!H310</f>
        <v>0</v>
      </c>
      <c r="I310" s="572">
        <f>'[5]FR-16(7)(v)-5 PROD Cust'!H310+'[5]FR-16(7)(v)-9 TRANS Cust'!H310+'[5]FR-16(7)(v)-13 DIST Cust'!H310</f>
        <v>0</v>
      </c>
      <c r="J310" s="569">
        <f t="shared" si="59"/>
        <v>0</v>
      </c>
      <c r="K310" s="569">
        <f t="shared" si="60"/>
        <v>0</v>
      </c>
    </row>
    <row r="311" spans="1:11">
      <c r="A311" s="565">
        <v>23</v>
      </c>
      <c r="C311" s="547" t="str">
        <f>'[5]FR-16(7)(v)-1 Functional'!C311</f>
        <v>VACATION PAY ACCRUAL</v>
      </c>
      <c r="D311" s="549" t="str">
        <f>'[5]FR-16(7)(v)-1 Functional'!D311</f>
        <v>A315</v>
      </c>
      <c r="F311" s="578">
        <f>'[5]FR-16(7)(v)-14 TOTAL CLASS'!H311</f>
        <v>0</v>
      </c>
      <c r="G311" s="570">
        <f>'[5]FR-16(7)(v)-3 PROD Demand'!H311+'[5]FR-16(7)(v)-7 TRANS Demand'!H311+'[5]FR-16(7)(v)-11 DIST Demand'!H311</f>
        <v>0</v>
      </c>
      <c r="H311" s="571">
        <f>'[5]FR-16(7)(v)-4 PROD Energy'!H311+'[5]FR-16(7)(v)-8 TRANS Energy'!H311+'[5]FR-16(7)(v)-12 DIST Energy'!H311</f>
        <v>0</v>
      </c>
      <c r="I311" s="572">
        <f>'[5]FR-16(7)(v)-5 PROD Cust'!H311+'[5]FR-16(7)(v)-9 TRANS Cust'!H311+'[5]FR-16(7)(v)-13 DIST Cust'!H311</f>
        <v>0</v>
      </c>
      <c r="J311" s="569">
        <f t="shared" si="59"/>
        <v>0</v>
      </c>
      <c r="K311" s="569">
        <f t="shared" si="60"/>
        <v>0</v>
      </c>
    </row>
    <row r="312" spans="1:11">
      <c r="A312" s="565">
        <v>24</v>
      </c>
      <c r="C312" s="547" t="str">
        <f>'[5]FR-16(7)(v)-1 Functional'!C312</f>
        <v>NON-AMI METERS RETIRED EARLY</v>
      </c>
      <c r="D312" s="549" t="str">
        <f>'[5]FR-16(7)(v)-1 Functional'!D312</f>
        <v>OM39</v>
      </c>
      <c r="F312" s="578">
        <f>'[5]FR-16(7)(v)-14 TOTAL CLASS'!H312</f>
        <v>0</v>
      </c>
      <c r="G312" s="570">
        <f>'[5]FR-16(7)(v)-3 PROD Demand'!H312+'[5]FR-16(7)(v)-7 TRANS Demand'!H312+'[5]FR-16(7)(v)-11 DIST Demand'!H312</f>
        <v>0</v>
      </c>
      <c r="H312" s="571">
        <f>'[5]FR-16(7)(v)-4 PROD Energy'!H312+'[5]FR-16(7)(v)-8 TRANS Energy'!H312+'[5]FR-16(7)(v)-12 DIST Energy'!H312</f>
        <v>0</v>
      </c>
      <c r="I312" s="572">
        <f>'[5]FR-16(7)(v)-5 PROD Cust'!H312+'[5]FR-16(7)(v)-9 TRANS Cust'!H312+'[5]FR-16(7)(v)-13 DIST Cust'!H312</f>
        <v>0</v>
      </c>
      <c r="J312" s="569">
        <f>SUM(G312:I312)</f>
        <v>0</v>
      </c>
      <c r="K312" s="569">
        <f>F312-J312</f>
        <v>0</v>
      </c>
    </row>
    <row r="313" spans="1:11">
      <c r="A313" s="565">
        <v>25</v>
      </c>
      <c r="C313" s="547" t="str">
        <f>'[5]FR-16(7)(v)-1 Functional'!C313</f>
        <v>PENSION EXPENSE</v>
      </c>
      <c r="D313" s="549" t="str">
        <f>'[5]FR-16(7)(v)-1 Functional'!D313</f>
        <v>A315</v>
      </c>
      <c r="F313" s="578">
        <f>'[5]FR-16(7)(v)-14 TOTAL CLASS'!H313</f>
        <v>0</v>
      </c>
      <c r="G313" s="570">
        <f>'[5]FR-16(7)(v)-3 PROD Demand'!H313+'[5]FR-16(7)(v)-7 TRANS Demand'!H313+'[5]FR-16(7)(v)-11 DIST Demand'!H313</f>
        <v>0</v>
      </c>
      <c r="H313" s="571">
        <f>'[5]FR-16(7)(v)-4 PROD Energy'!H313+'[5]FR-16(7)(v)-8 TRANS Energy'!H313+'[5]FR-16(7)(v)-12 DIST Energy'!H313</f>
        <v>0</v>
      </c>
      <c r="I313" s="572">
        <f>'[5]FR-16(7)(v)-5 PROD Cust'!H313+'[5]FR-16(7)(v)-9 TRANS Cust'!H313+'[5]FR-16(7)(v)-13 DIST Cust'!H313</f>
        <v>0</v>
      </c>
      <c r="J313" s="569">
        <f>SUM(G313:I313)</f>
        <v>0</v>
      </c>
      <c r="K313" s="569">
        <f>F313-J313</f>
        <v>0</v>
      </c>
    </row>
    <row r="314" spans="1:11">
      <c r="A314" s="565">
        <v>26</v>
      </c>
      <c r="C314" s="547" t="str">
        <f>'[5]FR-16(7)(v)-1 Functional'!C314</f>
        <v>UNCOLLECTIBLE ACCOUNTS</v>
      </c>
      <c r="D314" s="549" t="str">
        <f>'[5]FR-16(7)(v)-1 Functional'!D314</f>
        <v>K411</v>
      </c>
      <c r="F314" s="578">
        <f>'[5]FR-16(7)(v)-14 TOTAL CLASS'!H314</f>
        <v>0</v>
      </c>
      <c r="G314" s="570">
        <f>'[5]FR-16(7)(v)-3 PROD Demand'!H314+'[5]FR-16(7)(v)-7 TRANS Demand'!H314+'[5]FR-16(7)(v)-11 DIST Demand'!H314</f>
        <v>0</v>
      </c>
      <c r="H314" s="571">
        <f>'[5]FR-16(7)(v)-4 PROD Energy'!H314+'[5]FR-16(7)(v)-8 TRANS Energy'!H314+'[5]FR-16(7)(v)-12 DIST Energy'!H314</f>
        <v>0</v>
      </c>
      <c r="I314" s="572">
        <f>'[5]FR-16(7)(v)-5 PROD Cust'!H314+'[5]FR-16(7)(v)-9 TRANS Cust'!H314+'[5]FR-16(7)(v)-13 DIST Cust'!H314</f>
        <v>0</v>
      </c>
      <c r="J314" s="569">
        <f t="shared" si="59"/>
        <v>0</v>
      </c>
      <c r="K314" s="569">
        <f t="shared" si="60"/>
        <v>0</v>
      </c>
    </row>
    <row r="315" spans="1:11">
      <c r="A315" s="565">
        <v>27</v>
      </c>
      <c r="C315" s="617" t="str">
        <f>'[5]FR-16(7)(v)-1 Functional'!C315</f>
        <v xml:space="preserve">  TOTAL ACCOUNT 283</v>
      </c>
      <c r="D315" s="549"/>
      <c r="F315" s="574">
        <f t="shared" ref="F315:K315" si="61">SUM(F303:F314)</f>
        <v>2667461</v>
      </c>
      <c r="G315" s="575">
        <f t="shared" si="61"/>
        <v>2667461</v>
      </c>
      <c r="H315" s="576">
        <f t="shared" si="61"/>
        <v>0</v>
      </c>
      <c r="I315" s="577">
        <f t="shared" si="61"/>
        <v>0</v>
      </c>
      <c r="J315" s="574">
        <f t="shared" si="61"/>
        <v>2667461</v>
      </c>
      <c r="K315" s="574">
        <f t="shared" si="61"/>
        <v>0</v>
      </c>
    </row>
    <row r="316" spans="1:11">
      <c r="A316" s="565">
        <v>28</v>
      </c>
      <c r="D316" s="549"/>
      <c r="E316" s="548"/>
      <c r="G316" s="566"/>
      <c r="H316" s="567"/>
      <c r="I316" s="568"/>
    </row>
    <row r="317" spans="1:11">
      <c r="A317" s="565">
        <v>29</v>
      </c>
      <c r="B317" s="547" t="s">
        <v>1221</v>
      </c>
      <c r="D317" s="549"/>
      <c r="E317" s="548"/>
      <c r="G317" s="566"/>
      <c r="H317" s="567"/>
      <c r="I317" s="568"/>
    </row>
    <row r="318" spans="1:11">
      <c r="A318" s="565">
        <v>30</v>
      </c>
      <c r="C318" s="547" t="str">
        <f>'[5]FR-16(7)(v)-1 Functional'!C318</f>
        <v>EXCESS ADIT</v>
      </c>
      <c r="D318" s="549" t="str">
        <f>'[5]FR-16(7)(v)-1 Functional'!D318</f>
        <v>NP29</v>
      </c>
      <c r="E318" s="548"/>
      <c r="F318" s="578">
        <f>'[5]FR-16(7)(v)-14 TOTAL CLASS'!H318</f>
        <v>12550558</v>
      </c>
      <c r="G318" s="570">
        <f>'[5]FR-16(7)(v)-3 PROD Demand'!H318+'[5]FR-16(7)(v)-7 TRANS Demand'!H318+'[5]FR-16(7)(v)-11 DIST Demand'!H318</f>
        <v>12014770</v>
      </c>
      <c r="H318" s="571">
        <f>'[5]FR-16(7)(v)-4 PROD Energy'!H318+'[5]FR-16(7)(v)-8 TRANS Energy'!H318+'[5]FR-16(7)(v)-12 DIST Energy'!H318</f>
        <v>226019</v>
      </c>
      <c r="I318" s="572">
        <f>'[5]FR-16(7)(v)-5 PROD Cust'!H318+'[5]FR-16(7)(v)-9 TRANS Cust'!H318+'[5]FR-16(7)(v)-13 DIST Cust'!H318</f>
        <v>309769</v>
      </c>
      <c r="J318" s="569">
        <f>SUM(G318:I318)</f>
        <v>12550558</v>
      </c>
      <c r="K318" s="569">
        <f>F318-J318</f>
        <v>0</v>
      </c>
    </row>
    <row r="319" spans="1:11">
      <c r="A319" s="565">
        <v>31</v>
      </c>
      <c r="C319" s="547" t="str">
        <f>'[5]FR-16(7)(v)-1 Functional'!C319</f>
        <v>CUSTOMER SERVICE DEPOSITS</v>
      </c>
      <c r="D319" s="549" t="str">
        <f>'[5]FR-16(7)(v)-1 Functional'!D319</f>
        <v>NP29</v>
      </c>
      <c r="E319" s="548"/>
      <c r="F319" s="578">
        <f>'[5]FR-16(7)(v)-14 TOTAL CLASS'!H319</f>
        <v>0</v>
      </c>
      <c r="G319" s="570">
        <f>'[5]FR-16(7)(v)-3 PROD Demand'!H319+'[5]FR-16(7)(v)-7 TRANS Demand'!H319+'[5]FR-16(7)(v)-11 DIST Demand'!H319</f>
        <v>0</v>
      </c>
      <c r="H319" s="571">
        <f>'[5]FR-16(7)(v)-4 PROD Energy'!H319+'[5]FR-16(7)(v)-8 TRANS Energy'!H319+'[5]FR-16(7)(v)-12 DIST Energy'!H319</f>
        <v>0</v>
      </c>
      <c r="I319" s="572">
        <f>'[5]FR-16(7)(v)-5 PROD Cust'!H319+'[5]FR-16(7)(v)-9 TRANS Cust'!H319+'[5]FR-16(7)(v)-13 DIST Cust'!H319</f>
        <v>0</v>
      </c>
      <c r="J319" s="569">
        <f>SUM(G319:I319)</f>
        <v>0</v>
      </c>
      <c r="K319" s="569">
        <f>F319-J319</f>
        <v>0</v>
      </c>
    </row>
    <row r="320" spans="1:11">
      <c r="A320" s="565">
        <v>32</v>
      </c>
      <c r="C320" s="547" t="str">
        <f>'[5]FR-16(7)(v)-1 Functional'!C320</f>
        <v>POST RETIREMENT BENEFITS</v>
      </c>
      <c r="D320" s="549" t="str">
        <f>'[5]FR-16(7)(v)-1 Functional'!D320</f>
        <v>NP29</v>
      </c>
      <c r="E320" s="548"/>
      <c r="F320" s="578">
        <f>'[5]FR-16(7)(v)-14 TOTAL CLASS'!H320</f>
        <v>0</v>
      </c>
      <c r="G320" s="570">
        <f>'[5]FR-16(7)(v)-3 PROD Demand'!H320+'[5]FR-16(7)(v)-7 TRANS Demand'!H320+'[5]FR-16(7)(v)-11 DIST Demand'!H320</f>
        <v>0</v>
      </c>
      <c r="H320" s="571">
        <f>'[5]FR-16(7)(v)-4 PROD Energy'!H320+'[5]FR-16(7)(v)-8 TRANS Energy'!H320+'[5]FR-16(7)(v)-12 DIST Energy'!H320</f>
        <v>0</v>
      </c>
      <c r="I320" s="572">
        <f>'[5]FR-16(7)(v)-5 PROD Cust'!H320+'[5]FR-16(7)(v)-9 TRANS Cust'!H320+'[5]FR-16(7)(v)-13 DIST Cust'!H320</f>
        <v>0</v>
      </c>
      <c r="J320" s="569">
        <f>SUM(G320:I320)</f>
        <v>0</v>
      </c>
      <c r="K320" s="569">
        <f>F320-J320</f>
        <v>0</v>
      </c>
    </row>
    <row r="321" spans="1:11">
      <c r="A321" s="565">
        <v>33</v>
      </c>
      <c r="C321" s="547" t="str">
        <f>'[5]FR-16(7)(v)-1 Functional'!C321</f>
        <v>INVESTMENT TAX CREDIT</v>
      </c>
      <c r="D321" s="549" t="str">
        <f>'[5]FR-16(7)(v)-1 Functional'!D321</f>
        <v>NP29</v>
      </c>
      <c r="E321" s="548"/>
      <c r="F321" s="578">
        <f>'[5]FR-16(7)(v)-14 TOTAL CLASS'!H321</f>
        <v>0</v>
      </c>
      <c r="G321" s="570">
        <f>'[5]FR-16(7)(v)-3 PROD Demand'!H321+'[5]FR-16(7)(v)-7 TRANS Demand'!H321+'[5]FR-16(7)(v)-11 DIST Demand'!H321</f>
        <v>0</v>
      </c>
      <c r="H321" s="571">
        <f>'[5]FR-16(7)(v)-4 PROD Energy'!H321+'[5]FR-16(7)(v)-8 TRANS Energy'!H321+'[5]FR-16(7)(v)-12 DIST Energy'!H321</f>
        <v>0</v>
      </c>
      <c r="I321" s="572">
        <f>'[5]FR-16(7)(v)-5 PROD Cust'!H321+'[5]FR-16(7)(v)-9 TRANS Cust'!H321+'[5]FR-16(7)(v)-13 DIST Cust'!H321</f>
        <v>0</v>
      </c>
      <c r="J321" s="569">
        <f>SUM(G321:I321)</f>
        <v>0</v>
      </c>
      <c r="K321" s="569">
        <f>F321-J321</f>
        <v>0</v>
      </c>
    </row>
    <row r="322" spans="1:11">
      <c r="A322" s="565">
        <v>34</v>
      </c>
      <c r="C322" s="617" t="str">
        <f>'[5]FR-16(7)(v)-1 Functional'!C322</f>
        <v xml:space="preserve">  TOTAL OTHER SUBTRACTIVE ADJUSTMENTS</v>
      </c>
      <c r="D322" s="549"/>
      <c r="E322" s="548"/>
      <c r="F322" s="574">
        <f t="shared" ref="F322:K322" si="62">SUM(F317:F321)</f>
        <v>12550558</v>
      </c>
      <c r="G322" s="575">
        <f t="shared" si="62"/>
        <v>12014770</v>
      </c>
      <c r="H322" s="576">
        <f t="shared" si="62"/>
        <v>226019</v>
      </c>
      <c r="I322" s="577">
        <f t="shared" si="62"/>
        <v>309769</v>
      </c>
      <c r="J322" s="574">
        <f t="shared" si="62"/>
        <v>12550558</v>
      </c>
      <c r="K322" s="574">
        <f t="shared" si="62"/>
        <v>0</v>
      </c>
    </row>
    <row r="323" spans="1:11">
      <c r="A323" s="565">
        <v>35</v>
      </c>
      <c r="D323" s="549"/>
      <c r="E323" s="548"/>
      <c r="G323" s="566"/>
      <c r="H323" s="567"/>
      <c r="I323" s="568"/>
    </row>
    <row r="324" spans="1:11">
      <c r="A324" s="565">
        <v>36</v>
      </c>
      <c r="B324" s="547" t="str">
        <f>'[5]FR-16(7)(v)-1 Functional'!B324</f>
        <v>TOTAL SUBTRACTIVE RATE BASE ADJUSTMENTS</v>
      </c>
      <c r="D324" s="549"/>
      <c r="E324" s="548"/>
      <c r="F324" s="569">
        <f t="shared" ref="F324:K324" si="63">F322+F315+F301</f>
        <v>76440632</v>
      </c>
      <c r="G324" s="619">
        <f t="shared" si="63"/>
        <v>73291225</v>
      </c>
      <c r="H324" s="620">
        <f t="shared" si="63"/>
        <v>1328560</v>
      </c>
      <c r="I324" s="621">
        <f t="shared" si="63"/>
        <v>1820847</v>
      </c>
      <c r="J324" s="569">
        <f t="shared" si="63"/>
        <v>76440632</v>
      </c>
      <c r="K324" s="569">
        <f t="shared" si="63"/>
        <v>0</v>
      </c>
    </row>
    <row r="325" spans="1:11">
      <c r="B325" s="546"/>
      <c r="C325" s="548"/>
      <c r="D325" s="549"/>
      <c r="E325" s="548"/>
      <c r="F325" s="548"/>
      <c r="G325" s="548"/>
      <c r="H325" s="548"/>
      <c r="I325" s="548"/>
      <c r="J325" s="548"/>
      <c r="K325" s="548"/>
    </row>
    <row r="326" spans="1:11">
      <c r="A326" s="546" t="str">
        <f>co_name</f>
        <v>DUKE ENERGY KENTUCKY, INC.</v>
      </c>
      <c r="C326" s="548"/>
      <c r="D326" s="549"/>
      <c r="E326" s="548"/>
      <c r="F326" s="548"/>
      <c r="G326" s="548"/>
      <c r="H326" s="548"/>
      <c r="I326" s="548"/>
      <c r="J326" s="548" t="str">
        <f>J1</f>
        <v>FR-16(7)(v)-16</v>
      </c>
      <c r="K326" s="548"/>
    </row>
    <row r="327" spans="1:11">
      <c r="A327" s="546" t="str">
        <f>$A$2</f>
        <v>DISTR. SEC. CLASSIFIED - ELECTRIC COST OF SERVICE</v>
      </c>
      <c r="C327" s="548"/>
      <c r="D327" s="549"/>
      <c r="E327" s="548"/>
      <c r="F327" s="548"/>
      <c r="G327" s="548"/>
      <c r="H327" s="548"/>
      <c r="I327" s="548"/>
      <c r="J327" s="548" t="str">
        <f>J2</f>
        <v>WITNESS RESPONSIBLE:</v>
      </c>
      <c r="K327" s="548"/>
    </row>
    <row r="328" spans="1:11">
      <c r="A328" s="546" t="str">
        <f>case_name</f>
        <v>CASE NO: 2024-00354</v>
      </c>
      <c r="C328" s="548"/>
      <c r="D328" s="549"/>
      <c r="E328" s="548"/>
      <c r="F328" s="548"/>
      <c r="G328" s="548"/>
      <c r="H328" s="548"/>
      <c r="I328" s="548"/>
      <c r="J328" s="548" t="str">
        <f>Witness</f>
        <v>JAMES E. ZIOLKOWSKI</v>
      </c>
      <c r="K328" s="548"/>
    </row>
    <row r="329" spans="1:11">
      <c r="A329" s="546" t="str">
        <f>data_filing</f>
        <v>DATA: 12 MONTHS ACTUAL  &amp; 0 MONTHS ESTIMATED</v>
      </c>
      <c r="C329" s="548"/>
      <c r="D329" s="549"/>
      <c r="E329" s="548"/>
      <c r="F329" s="548"/>
      <c r="G329" s="548"/>
      <c r="H329" s="548"/>
      <c r="I329" s="548"/>
      <c r="J329" s="548" t="str">
        <f>"PAGE "&amp;Pages2-9&amp;" OF "&amp;Pages2</f>
        <v>PAGE 6 OF 15</v>
      </c>
      <c r="K329" s="548"/>
    </row>
    <row r="330" spans="1:11">
      <c r="A330" s="546" t="str">
        <f>type</f>
        <v xml:space="preserve">TYPE OF FILING: "X" ORIGINAL   UPDATED    REVISED  </v>
      </c>
      <c r="C330" s="548"/>
      <c r="D330" s="549"/>
      <c r="E330" s="548"/>
      <c r="F330" s="548"/>
      <c r="G330" s="548"/>
      <c r="H330" s="548"/>
      <c r="I330" s="548"/>
      <c r="J330" s="548"/>
      <c r="K330" s="548"/>
    </row>
    <row r="331" spans="1:11">
      <c r="B331" s="546"/>
      <c r="C331" s="548"/>
      <c r="D331" s="549"/>
      <c r="E331" s="548"/>
      <c r="F331" s="548"/>
      <c r="G331" s="548"/>
      <c r="H331" s="548"/>
      <c r="I331" s="548"/>
      <c r="J331" s="548"/>
      <c r="K331" s="548"/>
    </row>
    <row r="332" spans="1:11">
      <c r="B332" s="546"/>
      <c r="C332" s="548"/>
      <c r="D332" s="549"/>
      <c r="E332" s="548"/>
      <c r="F332" s="548"/>
      <c r="G332" s="548"/>
      <c r="H332" s="548"/>
      <c r="I332" s="548"/>
      <c r="J332" s="548"/>
      <c r="K332" s="548"/>
    </row>
    <row r="333" spans="1:11">
      <c r="A333" s="549" t="s">
        <v>17</v>
      </c>
      <c r="B333" s="548"/>
      <c r="C333" s="548"/>
      <c r="D333" s="549"/>
      <c r="E333" s="548"/>
      <c r="F333" s="549" t="s">
        <v>11</v>
      </c>
      <c r="G333" s="552" t="s">
        <v>1162</v>
      </c>
      <c r="H333" s="553"/>
      <c r="I333" s="554"/>
      <c r="J333" s="549" t="s">
        <v>11</v>
      </c>
      <c r="K333" s="549" t="s">
        <v>1163</v>
      </c>
    </row>
    <row r="334" spans="1:11">
      <c r="A334" s="555" t="s">
        <v>1164</v>
      </c>
      <c r="B334" s="556" t="s">
        <v>1222</v>
      </c>
      <c r="C334" s="556"/>
      <c r="D334" s="555" t="s">
        <v>1166</v>
      </c>
      <c r="E334" s="556"/>
      <c r="F334" s="555" t="str">
        <f>$F$9</f>
        <v>DISTR. SEC.</v>
      </c>
      <c r="G334" s="611" t="str">
        <f t="shared" ref="G334:I335" si="64">G9</f>
        <v>DEMAND</v>
      </c>
      <c r="H334" s="612" t="str">
        <f t="shared" si="64"/>
        <v>ENERGY</v>
      </c>
      <c r="I334" s="613" t="str">
        <f t="shared" si="64"/>
        <v>CUSTOMER</v>
      </c>
      <c r="J334" s="555" t="s">
        <v>1169</v>
      </c>
      <c r="K334" s="555" t="s">
        <v>543</v>
      </c>
    </row>
    <row r="335" spans="1:11">
      <c r="C335" s="561" t="s">
        <v>1223</v>
      </c>
      <c r="D335" s="549"/>
      <c r="E335" s="548"/>
      <c r="G335" s="614">
        <f t="shared" si="64"/>
        <v>3</v>
      </c>
      <c r="H335" s="615">
        <f t="shared" si="64"/>
        <v>4</v>
      </c>
      <c r="I335" s="616">
        <f t="shared" si="64"/>
        <v>5</v>
      </c>
    </row>
    <row r="336" spans="1:11">
      <c r="A336" s="565">
        <v>1</v>
      </c>
      <c r="B336" s="547" t="s">
        <v>1224</v>
      </c>
      <c r="D336" s="549"/>
      <c r="E336" s="548"/>
      <c r="G336" s="566"/>
      <c r="H336" s="567"/>
      <c r="I336" s="568"/>
    </row>
    <row r="337" spans="1:11">
      <c r="A337" s="565">
        <v>2</v>
      </c>
      <c r="B337" s="547" t="s">
        <v>1225</v>
      </c>
      <c r="D337" s="549"/>
      <c r="E337" s="548"/>
      <c r="G337" s="566"/>
      <c r="H337" s="567"/>
      <c r="I337" s="568"/>
    </row>
    <row r="338" spans="1:11">
      <c r="A338" s="565">
        <v>3</v>
      </c>
      <c r="C338" s="547" t="str">
        <f>'[5]FR-16(7)(v)-1 Functional'!C338</f>
        <v>UNCOLLECTIBLE ACCTS</v>
      </c>
      <c r="D338" s="549" t="str">
        <f>'[5]FR-16(7)(v)-1 Functional'!D338</f>
        <v>K411</v>
      </c>
      <c r="F338" s="578">
        <f>'[5]FR-16(7)(v)-14 TOTAL CLASS'!H338</f>
        <v>0</v>
      </c>
      <c r="G338" s="570">
        <f>'[5]FR-16(7)(v)-3 PROD Demand'!H338+'[5]FR-16(7)(v)-7 TRANS Demand'!H338+'[5]FR-16(7)(v)-11 DIST Demand'!H338</f>
        <v>0</v>
      </c>
      <c r="H338" s="571">
        <f>'[5]FR-16(7)(v)-4 PROD Energy'!H338+'[5]FR-16(7)(v)-8 TRANS Energy'!H338+'[5]FR-16(7)(v)-12 DIST Energy'!H338</f>
        <v>0</v>
      </c>
      <c r="I338" s="572">
        <f>'[5]FR-16(7)(v)-5 PROD Cust'!H338+'[5]FR-16(7)(v)-9 TRANS Cust'!H338+'[5]FR-16(7)(v)-13 DIST Cust'!H338</f>
        <v>0</v>
      </c>
      <c r="J338" s="569">
        <f t="shared" ref="J338:J360" si="65">SUM(G338:I338)</f>
        <v>0</v>
      </c>
      <c r="K338" s="569">
        <f t="shared" ref="K338:K360" si="66">F338-J338</f>
        <v>0</v>
      </c>
    </row>
    <row r="339" spans="1:11">
      <c r="A339" s="565">
        <v>4</v>
      </c>
      <c r="C339" s="547" t="str">
        <f>'[5]FR-16(7)(v)-1 Functional'!C339</f>
        <v>CASH FLOW HEDGE</v>
      </c>
      <c r="D339" s="549" t="str">
        <f>'[5]FR-16(7)(v)-1 Functional'!D339</f>
        <v>A315</v>
      </c>
      <c r="F339" s="578">
        <f>'[5]FR-16(7)(v)-14 TOTAL CLASS'!H339</f>
        <v>0</v>
      </c>
      <c r="G339" s="570">
        <f>'[5]FR-16(7)(v)-3 PROD Demand'!H339+'[5]FR-16(7)(v)-7 TRANS Demand'!H339+'[5]FR-16(7)(v)-11 DIST Demand'!H339</f>
        <v>0</v>
      </c>
      <c r="H339" s="571">
        <f>'[5]FR-16(7)(v)-4 PROD Energy'!H339+'[5]FR-16(7)(v)-8 TRANS Energy'!H339+'[5]FR-16(7)(v)-12 DIST Energy'!H339</f>
        <v>0</v>
      </c>
      <c r="I339" s="572">
        <f>'[5]FR-16(7)(v)-5 PROD Cust'!H339+'[5]FR-16(7)(v)-9 TRANS Cust'!H339+'[5]FR-16(7)(v)-13 DIST Cust'!H339</f>
        <v>0</v>
      </c>
      <c r="J339" s="569">
        <f t="shared" si="65"/>
        <v>0</v>
      </c>
      <c r="K339" s="569">
        <f t="shared" si="66"/>
        <v>0</v>
      </c>
    </row>
    <row r="340" spans="1:11">
      <c r="A340" s="565">
        <v>5</v>
      </c>
      <c r="C340" s="547" t="str">
        <f>'[5]FR-16(7)(v)-1 Functional'!C340</f>
        <v>RESERVED FOR FUTURE USE</v>
      </c>
      <c r="D340" s="549" t="str">
        <f>'[5]FR-16(7)(v)-1 Functional'!D340</f>
        <v>NP29</v>
      </c>
      <c r="F340" s="578">
        <f>'[5]FR-16(7)(v)-14 TOTAL CLASS'!H340</f>
        <v>0</v>
      </c>
      <c r="G340" s="570">
        <f>'[5]FR-16(7)(v)-3 PROD Demand'!H340+'[5]FR-16(7)(v)-7 TRANS Demand'!H340+'[5]FR-16(7)(v)-11 DIST Demand'!H340</f>
        <v>0</v>
      </c>
      <c r="H340" s="571">
        <f>'[5]FR-16(7)(v)-4 PROD Energy'!H340+'[5]FR-16(7)(v)-8 TRANS Energy'!H340+'[5]FR-16(7)(v)-12 DIST Energy'!H340</f>
        <v>0</v>
      </c>
      <c r="I340" s="572">
        <f>'[5]FR-16(7)(v)-5 PROD Cust'!H340+'[5]FR-16(7)(v)-9 TRANS Cust'!H340+'[5]FR-16(7)(v)-13 DIST Cust'!H340</f>
        <v>0</v>
      </c>
      <c r="J340" s="569">
        <f t="shared" si="65"/>
        <v>0</v>
      </c>
      <c r="K340" s="569">
        <f t="shared" si="66"/>
        <v>0</v>
      </c>
    </row>
    <row r="341" spans="1:11">
      <c r="A341" s="565">
        <v>6</v>
      </c>
      <c r="C341" s="547" t="str">
        <f>'[5]FR-16(7)(v)-1 Functional'!C341</f>
        <v>RESERVED FOR FUTURE USE</v>
      </c>
      <c r="D341" s="549" t="str">
        <f>'[5]FR-16(7)(v)-1 Functional'!D341</f>
        <v>NP29</v>
      </c>
      <c r="F341" s="578">
        <f>'[5]FR-16(7)(v)-14 TOTAL CLASS'!H341</f>
        <v>0</v>
      </c>
      <c r="G341" s="570">
        <f>'[5]FR-16(7)(v)-3 PROD Demand'!H341+'[5]FR-16(7)(v)-7 TRANS Demand'!H341+'[5]FR-16(7)(v)-11 DIST Demand'!H341</f>
        <v>0</v>
      </c>
      <c r="H341" s="571">
        <f>'[5]FR-16(7)(v)-4 PROD Energy'!H341+'[5]FR-16(7)(v)-8 TRANS Energy'!H341+'[5]FR-16(7)(v)-12 DIST Energy'!H341</f>
        <v>0</v>
      </c>
      <c r="I341" s="572">
        <f>'[5]FR-16(7)(v)-5 PROD Cust'!H341+'[5]FR-16(7)(v)-9 TRANS Cust'!H341+'[5]FR-16(7)(v)-13 DIST Cust'!H341</f>
        <v>0</v>
      </c>
      <c r="J341" s="569">
        <f t="shared" si="65"/>
        <v>0</v>
      </c>
      <c r="K341" s="569">
        <f t="shared" si="66"/>
        <v>0</v>
      </c>
    </row>
    <row r="342" spans="1:11">
      <c r="A342" s="565">
        <v>7</v>
      </c>
      <c r="C342" s="547" t="str">
        <f>'[5]FR-16(7)(v)-1 Functional'!C342</f>
        <v>ELECTRIC METERS</v>
      </c>
      <c r="D342" s="549" t="str">
        <f>'[5]FR-16(7)(v)-1 Functional'!D342</f>
        <v>K407</v>
      </c>
      <c r="F342" s="578">
        <f>'[5]FR-16(7)(v)-14 TOTAL CLASS'!H342</f>
        <v>0</v>
      </c>
      <c r="G342" s="570">
        <f>'[5]FR-16(7)(v)-3 PROD Demand'!H342+'[5]FR-16(7)(v)-7 TRANS Demand'!H342+'[5]FR-16(7)(v)-11 DIST Demand'!H342</f>
        <v>0</v>
      </c>
      <c r="H342" s="571">
        <f>'[5]FR-16(7)(v)-4 PROD Energy'!H342+'[5]FR-16(7)(v)-8 TRANS Energy'!H342+'[5]FR-16(7)(v)-12 DIST Energy'!H342</f>
        <v>0</v>
      </c>
      <c r="I342" s="572">
        <f>'[5]FR-16(7)(v)-5 PROD Cust'!H342+'[5]FR-16(7)(v)-9 TRANS Cust'!H342+'[5]FR-16(7)(v)-13 DIST Cust'!H342</f>
        <v>0</v>
      </c>
      <c r="J342" s="569">
        <f t="shared" si="65"/>
        <v>0</v>
      </c>
      <c r="K342" s="569">
        <f t="shared" si="66"/>
        <v>0</v>
      </c>
    </row>
    <row r="343" spans="1:11">
      <c r="A343" s="565">
        <v>8</v>
      </c>
      <c r="C343" s="547" t="str">
        <f>'[5]FR-16(7)(v)-1 Functional'!C343</f>
        <v>UNAMORTIZED DEBT PREMIUM</v>
      </c>
      <c r="D343" s="549" t="str">
        <f>'[5]FR-16(7)(v)-1 Functional'!D343</f>
        <v>D249</v>
      </c>
      <c r="F343" s="578">
        <f>'[5]FR-16(7)(v)-14 TOTAL CLASS'!H343</f>
        <v>0</v>
      </c>
      <c r="G343" s="570">
        <f>'[5]FR-16(7)(v)-3 PROD Demand'!H343+'[5]FR-16(7)(v)-7 TRANS Demand'!H343+'[5]FR-16(7)(v)-11 DIST Demand'!H343</f>
        <v>0</v>
      </c>
      <c r="H343" s="571">
        <f>'[5]FR-16(7)(v)-4 PROD Energy'!H343+'[5]FR-16(7)(v)-8 TRANS Energy'!H343+'[5]FR-16(7)(v)-12 DIST Energy'!H343</f>
        <v>0</v>
      </c>
      <c r="I343" s="572">
        <f>'[5]FR-16(7)(v)-5 PROD Cust'!H343+'[5]FR-16(7)(v)-9 TRANS Cust'!H343+'[5]FR-16(7)(v)-13 DIST Cust'!H343</f>
        <v>0</v>
      </c>
      <c r="J343" s="569">
        <f t="shared" si="65"/>
        <v>0</v>
      </c>
      <c r="K343" s="569">
        <f t="shared" si="66"/>
        <v>0</v>
      </c>
    </row>
    <row r="344" spans="1:11">
      <c r="A344" s="565">
        <v>9</v>
      </c>
      <c r="C344" s="547" t="str">
        <f>'[5]FR-16(7)(v)-1 Functional'!C344</f>
        <v>ARO CUMULATIVE EFFECT</v>
      </c>
      <c r="D344" s="549" t="str">
        <f>'[5]FR-16(7)(v)-1 Functional'!D344</f>
        <v>NP29</v>
      </c>
      <c r="F344" s="578">
        <f>'[5]FR-16(7)(v)-14 TOTAL CLASS'!H344</f>
        <v>0</v>
      </c>
      <c r="G344" s="570">
        <f>'[5]FR-16(7)(v)-3 PROD Demand'!H344+'[5]FR-16(7)(v)-7 TRANS Demand'!H344+'[5]FR-16(7)(v)-11 DIST Demand'!H344</f>
        <v>0</v>
      </c>
      <c r="H344" s="571">
        <f>'[5]FR-16(7)(v)-4 PROD Energy'!H344+'[5]FR-16(7)(v)-8 TRANS Energy'!H344+'[5]FR-16(7)(v)-12 DIST Energy'!H344</f>
        <v>0</v>
      </c>
      <c r="I344" s="572">
        <f>'[5]FR-16(7)(v)-5 PROD Cust'!H344+'[5]FR-16(7)(v)-9 TRANS Cust'!H344+'[5]FR-16(7)(v)-13 DIST Cust'!H344</f>
        <v>0</v>
      </c>
      <c r="J344" s="569">
        <f t="shared" si="65"/>
        <v>0</v>
      </c>
      <c r="K344" s="569">
        <f t="shared" si="66"/>
        <v>0</v>
      </c>
    </row>
    <row r="345" spans="1:11">
      <c r="A345" s="565">
        <v>10</v>
      </c>
      <c r="C345" s="547" t="str">
        <f>'[5]FR-16(7)(v)-1 Functional'!C345</f>
        <v>RETIREMENT PLAN</v>
      </c>
      <c r="D345" s="549" t="str">
        <f>'[5]FR-16(7)(v)-1 Functional'!D345</f>
        <v>A315</v>
      </c>
      <c r="F345" s="578">
        <f>'[5]FR-16(7)(v)-14 TOTAL CLASS'!H345</f>
        <v>0</v>
      </c>
      <c r="G345" s="570">
        <f>'[5]FR-16(7)(v)-3 PROD Demand'!H345+'[5]FR-16(7)(v)-7 TRANS Demand'!H345+'[5]FR-16(7)(v)-11 DIST Demand'!H345</f>
        <v>0</v>
      </c>
      <c r="H345" s="571">
        <f>'[5]FR-16(7)(v)-4 PROD Energy'!H345+'[5]FR-16(7)(v)-8 TRANS Energy'!H345+'[5]FR-16(7)(v)-12 DIST Energy'!H345</f>
        <v>0</v>
      </c>
      <c r="I345" s="572">
        <f>'[5]FR-16(7)(v)-5 PROD Cust'!H345+'[5]FR-16(7)(v)-9 TRANS Cust'!H345+'[5]FR-16(7)(v)-13 DIST Cust'!H345</f>
        <v>0</v>
      </c>
      <c r="J345" s="569">
        <f t="shared" si="65"/>
        <v>0</v>
      </c>
      <c r="K345" s="569">
        <f t="shared" si="66"/>
        <v>0</v>
      </c>
    </row>
    <row r="346" spans="1:11">
      <c r="A346" s="565">
        <v>11</v>
      </c>
      <c r="C346" s="547" t="str">
        <f>'[5]FR-16(7)(v)-1 Functional'!C346</f>
        <v xml:space="preserve">POST RETIREMENT BENEFITS </v>
      </c>
      <c r="D346" s="549" t="str">
        <f>'[5]FR-16(7)(v)-1 Functional'!D346</f>
        <v>A315</v>
      </c>
      <c r="F346" s="578">
        <f>'[5]FR-16(7)(v)-14 TOTAL CLASS'!H346</f>
        <v>0</v>
      </c>
      <c r="G346" s="570">
        <f>'[5]FR-16(7)(v)-3 PROD Demand'!H346+'[5]FR-16(7)(v)-7 TRANS Demand'!H346+'[5]FR-16(7)(v)-11 DIST Demand'!H346</f>
        <v>0</v>
      </c>
      <c r="H346" s="571">
        <f>'[5]FR-16(7)(v)-4 PROD Energy'!H346+'[5]FR-16(7)(v)-8 TRANS Energy'!H346+'[5]FR-16(7)(v)-12 DIST Energy'!H346</f>
        <v>0</v>
      </c>
      <c r="I346" s="572">
        <f>'[5]FR-16(7)(v)-5 PROD Cust'!H346+'[5]FR-16(7)(v)-9 TRANS Cust'!H346+'[5]FR-16(7)(v)-13 DIST Cust'!H346</f>
        <v>0</v>
      </c>
      <c r="J346" s="569">
        <f t="shared" si="65"/>
        <v>0</v>
      </c>
      <c r="K346" s="569">
        <f t="shared" si="66"/>
        <v>0</v>
      </c>
    </row>
    <row r="347" spans="1:11">
      <c r="A347" s="565">
        <v>12</v>
      </c>
      <c r="C347" s="547" t="str">
        <f>'[5]FR-16(7)(v)-1 Functional'!C347</f>
        <v>POST RETIREMENT BENEFITS - HEALTH CARE</v>
      </c>
      <c r="D347" s="549" t="str">
        <f>'[5]FR-16(7)(v)-1 Functional'!D347</f>
        <v>A315</v>
      </c>
      <c r="F347" s="578">
        <f>'[5]FR-16(7)(v)-14 TOTAL CLASS'!H347</f>
        <v>0</v>
      </c>
      <c r="G347" s="570">
        <f>'[5]FR-16(7)(v)-3 PROD Demand'!H347+'[5]FR-16(7)(v)-7 TRANS Demand'!H347+'[5]FR-16(7)(v)-11 DIST Demand'!H347</f>
        <v>0</v>
      </c>
      <c r="H347" s="571">
        <f>'[5]FR-16(7)(v)-4 PROD Energy'!H347+'[5]FR-16(7)(v)-8 TRANS Energy'!H347+'[5]FR-16(7)(v)-12 DIST Energy'!H347</f>
        <v>0</v>
      </c>
      <c r="I347" s="572">
        <f>'[5]FR-16(7)(v)-5 PROD Cust'!H347+'[5]FR-16(7)(v)-9 TRANS Cust'!H347+'[5]FR-16(7)(v)-13 DIST Cust'!H347</f>
        <v>0</v>
      </c>
      <c r="J347" s="569">
        <f t="shared" si="65"/>
        <v>0</v>
      </c>
      <c r="K347" s="569">
        <f t="shared" si="66"/>
        <v>0</v>
      </c>
    </row>
    <row r="348" spans="1:11">
      <c r="A348" s="565">
        <v>13</v>
      </c>
      <c r="C348" s="547" t="str">
        <f>'[5]FR-16(7)(v)-1 Functional'!C348</f>
        <v>POST EMPLOYMENT BENEFITS - SFAS 112</v>
      </c>
      <c r="D348" s="549" t="str">
        <f>'[5]FR-16(7)(v)-1 Functional'!D348</f>
        <v>A315</v>
      </c>
      <c r="F348" s="578">
        <f>'[5]FR-16(7)(v)-14 TOTAL CLASS'!H348</f>
        <v>0</v>
      </c>
      <c r="G348" s="570">
        <f>'[5]FR-16(7)(v)-3 PROD Demand'!H348+'[5]FR-16(7)(v)-7 TRANS Demand'!H348+'[5]FR-16(7)(v)-11 DIST Demand'!H348</f>
        <v>0</v>
      </c>
      <c r="H348" s="571">
        <f>'[5]FR-16(7)(v)-4 PROD Energy'!H348+'[5]FR-16(7)(v)-8 TRANS Energy'!H348+'[5]FR-16(7)(v)-12 DIST Energy'!H348</f>
        <v>0</v>
      </c>
      <c r="I348" s="572">
        <f>'[5]FR-16(7)(v)-5 PROD Cust'!H348+'[5]FR-16(7)(v)-9 TRANS Cust'!H348+'[5]FR-16(7)(v)-13 DIST Cust'!H348</f>
        <v>0</v>
      </c>
      <c r="J348" s="569">
        <f t="shared" si="65"/>
        <v>0</v>
      </c>
      <c r="K348" s="569">
        <f t="shared" si="66"/>
        <v>0</v>
      </c>
    </row>
    <row r="349" spans="1:11">
      <c r="A349" s="565">
        <v>14</v>
      </c>
      <c r="C349" s="547" t="str">
        <f>'[5]FR-16(7)(v)-1 Functional'!C349</f>
        <v>SUPPLEMENTAL PENSION PLAN</v>
      </c>
      <c r="D349" s="549" t="str">
        <f>'[5]FR-16(7)(v)-1 Functional'!D349</f>
        <v>A315</v>
      </c>
      <c r="F349" s="578">
        <f>'[5]FR-16(7)(v)-14 TOTAL CLASS'!H349</f>
        <v>0</v>
      </c>
      <c r="G349" s="570">
        <f>'[5]FR-16(7)(v)-3 PROD Demand'!H349+'[5]FR-16(7)(v)-7 TRANS Demand'!H349+'[5]FR-16(7)(v)-11 DIST Demand'!H349</f>
        <v>0</v>
      </c>
      <c r="H349" s="571">
        <f>'[5]FR-16(7)(v)-4 PROD Energy'!H349+'[5]FR-16(7)(v)-8 TRANS Energy'!H349+'[5]FR-16(7)(v)-12 DIST Energy'!H349</f>
        <v>0</v>
      </c>
      <c r="I349" s="572">
        <f>'[5]FR-16(7)(v)-5 PROD Cust'!H349+'[5]FR-16(7)(v)-9 TRANS Cust'!H349+'[5]FR-16(7)(v)-13 DIST Cust'!H349</f>
        <v>0</v>
      </c>
      <c r="J349" s="569">
        <f t="shared" si="65"/>
        <v>0</v>
      </c>
      <c r="K349" s="569">
        <f t="shared" si="66"/>
        <v>0</v>
      </c>
    </row>
    <row r="350" spans="1:11">
      <c r="A350" s="565">
        <v>15</v>
      </c>
      <c r="C350" s="547" t="str">
        <f>'[5]FR-16(7)(v)-1 Functional'!C350</f>
        <v>INCENTIVE PLAN</v>
      </c>
      <c r="D350" s="549" t="str">
        <f>'[5]FR-16(7)(v)-1 Functional'!D350</f>
        <v>A315</v>
      </c>
      <c r="F350" s="578">
        <f>'[5]FR-16(7)(v)-14 TOTAL CLASS'!H350</f>
        <v>0</v>
      </c>
      <c r="G350" s="570">
        <f>'[5]FR-16(7)(v)-3 PROD Demand'!H350+'[5]FR-16(7)(v)-7 TRANS Demand'!H350+'[5]FR-16(7)(v)-11 DIST Demand'!H350</f>
        <v>0</v>
      </c>
      <c r="H350" s="571">
        <f>'[5]FR-16(7)(v)-4 PROD Energy'!H350+'[5]FR-16(7)(v)-8 TRANS Energy'!H350+'[5]FR-16(7)(v)-12 DIST Energy'!H350</f>
        <v>0</v>
      </c>
      <c r="I350" s="572">
        <f>'[5]FR-16(7)(v)-5 PROD Cust'!H350+'[5]FR-16(7)(v)-9 TRANS Cust'!H350+'[5]FR-16(7)(v)-13 DIST Cust'!H350</f>
        <v>0</v>
      </c>
      <c r="J350" s="569">
        <f t="shared" si="65"/>
        <v>0</v>
      </c>
      <c r="K350" s="569">
        <f t="shared" si="66"/>
        <v>0</v>
      </c>
    </row>
    <row r="351" spans="1:11">
      <c r="A351" s="565">
        <v>16</v>
      </c>
      <c r="C351" s="547" t="str">
        <f>'[5]FR-16(7)(v)-1 Functional'!C351</f>
        <v>FEDERAL DEFERRED TAX RECEIVEABLE</v>
      </c>
      <c r="D351" s="549" t="str">
        <f>'[5]FR-16(7)(v)-1 Functional'!D351</f>
        <v>A315</v>
      </c>
      <c r="F351" s="578">
        <f>'[5]FR-16(7)(v)-14 TOTAL CLASS'!H351</f>
        <v>0</v>
      </c>
      <c r="G351" s="570">
        <f>'[5]FR-16(7)(v)-3 PROD Demand'!H351+'[5]FR-16(7)(v)-7 TRANS Demand'!H351+'[5]FR-16(7)(v)-11 DIST Demand'!H351</f>
        <v>0</v>
      </c>
      <c r="H351" s="571">
        <f>'[5]FR-16(7)(v)-4 PROD Energy'!H351+'[5]FR-16(7)(v)-8 TRANS Energy'!H351+'[5]FR-16(7)(v)-12 DIST Energy'!H351</f>
        <v>0</v>
      </c>
      <c r="I351" s="572">
        <f>'[5]FR-16(7)(v)-5 PROD Cust'!H351+'[5]FR-16(7)(v)-9 TRANS Cust'!H351+'[5]FR-16(7)(v)-13 DIST Cust'!H351</f>
        <v>0</v>
      </c>
      <c r="J351" s="569">
        <f t="shared" si="65"/>
        <v>0</v>
      </c>
      <c r="K351" s="569">
        <f t="shared" si="66"/>
        <v>0</v>
      </c>
    </row>
    <row r="352" spans="1:11">
      <c r="A352" s="565">
        <v>17</v>
      </c>
      <c r="C352" s="547" t="str">
        <f>'[5]FR-16(7)(v)-1 Functional'!C352</f>
        <v>MISCELLANEOUS</v>
      </c>
      <c r="D352" s="549" t="str">
        <f>'[5]FR-16(7)(v)-1 Functional'!D352</f>
        <v>A315</v>
      </c>
      <c r="F352" s="578">
        <f>'[5]FR-16(7)(v)-14 TOTAL CLASS'!H352</f>
        <v>1708650</v>
      </c>
      <c r="G352" s="570">
        <f>'[5]FR-16(7)(v)-3 PROD Demand'!H352+'[5]FR-16(7)(v)-7 TRANS Demand'!H352+'[5]FR-16(7)(v)-11 DIST Demand'!H352</f>
        <v>557554</v>
      </c>
      <c r="H352" s="571">
        <f>'[5]FR-16(7)(v)-4 PROD Energy'!H352+'[5]FR-16(7)(v)-8 TRANS Energy'!H352+'[5]FR-16(7)(v)-12 DIST Energy'!H352</f>
        <v>1007130</v>
      </c>
      <c r="I352" s="572">
        <f>'[5]FR-16(7)(v)-5 PROD Cust'!H352+'[5]FR-16(7)(v)-9 TRANS Cust'!H352+'[5]FR-16(7)(v)-13 DIST Cust'!H352</f>
        <v>143966</v>
      </c>
      <c r="J352" s="569">
        <f t="shared" si="65"/>
        <v>1708650</v>
      </c>
      <c r="K352" s="569">
        <f t="shared" si="66"/>
        <v>0</v>
      </c>
    </row>
    <row r="353" spans="1:11">
      <c r="A353" s="565">
        <v>18</v>
      </c>
      <c r="C353" s="547" t="str">
        <f>'[5]FR-16(7)(v)-1 Functional'!C353</f>
        <v>DEFERRED TAX</v>
      </c>
      <c r="D353" s="549" t="str">
        <f>'[5]FR-16(7)(v)-1 Functional'!D353</f>
        <v>A315</v>
      </c>
      <c r="F353" s="578">
        <f>'[5]FR-16(7)(v)-14 TOTAL CLASS'!H353</f>
        <v>0</v>
      </c>
      <c r="G353" s="570">
        <f>'[5]FR-16(7)(v)-3 PROD Demand'!H353+'[5]FR-16(7)(v)-7 TRANS Demand'!H353+'[5]FR-16(7)(v)-11 DIST Demand'!H353</f>
        <v>0</v>
      </c>
      <c r="H353" s="571">
        <f>'[5]FR-16(7)(v)-4 PROD Energy'!H353+'[5]FR-16(7)(v)-8 TRANS Energy'!H353+'[5]FR-16(7)(v)-12 DIST Energy'!H353</f>
        <v>0</v>
      </c>
      <c r="I353" s="572">
        <f>'[5]FR-16(7)(v)-5 PROD Cust'!H353+'[5]FR-16(7)(v)-9 TRANS Cust'!H353+'[5]FR-16(7)(v)-13 DIST Cust'!H353</f>
        <v>0</v>
      </c>
      <c r="J353" s="569">
        <f t="shared" si="65"/>
        <v>0</v>
      </c>
      <c r="K353" s="569">
        <f t="shared" si="66"/>
        <v>0</v>
      </c>
    </row>
    <row r="354" spans="1:11">
      <c r="A354" s="565">
        <v>19</v>
      </c>
      <c r="C354" s="547" t="str">
        <f>'[5]FR-16(7)(v)-1 Functional'!C354</f>
        <v>NET OPERATING LOSS</v>
      </c>
      <c r="D354" s="549" t="str">
        <f>'[5]FR-16(7)(v)-1 Functional'!D354</f>
        <v>NP29</v>
      </c>
      <c r="F354" s="578">
        <f>'[5]FR-16(7)(v)-14 TOTAL CLASS'!H354</f>
        <v>0</v>
      </c>
      <c r="G354" s="570">
        <f>'[5]FR-16(7)(v)-3 PROD Demand'!H354+'[5]FR-16(7)(v)-7 TRANS Demand'!H354+'[5]FR-16(7)(v)-11 DIST Demand'!H354</f>
        <v>0</v>
      </c>
      <c r="H354" s="571">
        <f>'[5]FR-16(7)(v)-4 PROD Energy'!H354+'[5]FR-16(7)(v)-8 TRANS Energy'!H354+'[5]FR-16(7)(v)-12 DIST Energy'!H354</f>
        <v>0</v>
      </c>
      <c r="I354" s="572">
        <f>'[5]FR-16(7)(v)-5 PROD Cust'!H354+'[5]FR-16(7)(v)-9 TRANS Cust'!H354+'[5]FR-16(7)(v)-13 DIST Cust'!H354</f>
        <v>0</v>
      </c>
      <c r="J354" s="569">
        <f t="shared" si="65"/>
        <v>0</v>
      </c>
      <c r="K354" s="569">
        <f t="shared" si="66"/>
        <v>0</v>
      </c>
    </row>
    <row r="355" spans="1:11">
      <c r="A355" s="565">
        <v>20</v>
      </c>
      <c r="C355" s="622" t="str">
        <f>'[5]FR-16(7)(v)-1 Functional'!C355</f>
        <v>401K INCENTIVE PLAN</v>
      </c>
      <c r="D355" s="549" t="str">
        <f>'[5]FR-16(7)(v)-1 Functional'!D355</f>
        <v>A315</v>
      </c>
      <c r="F355" s="578">
        <f>'[5]FR-16(7)(v)-14 TOTAL CLASS'!H355</f>
        <v>0</v>
      </c>
      <c r="G355" s="570">
        <f>'[5]FR-16(7)(v)-3 PROD Demand'!H355+'[5]FR-16(7)(v)-7 TRANS Demand'!H355+'[5]FR-16(7)(v)-11 DIST Demand'!H355</f>
        <v>0</v>
      </c>
      <c r="H355" s="571">
        <f>'[5]FR-16(7)(v)-4 PROD Energy'!H355+'[5]FR-16(7)(v)-8 TRANS Energy'!H355+'[5]FR-16(7)(v)-12 DIST Energy'!H355</f>
        <v>0</v>
      </c>
      <c r="I355" s="572">
        <f>'[5]FR-16(7)(v)-5 PROD Cust'!H355+'[5]FR-16(7)(v)-9 TRANS Cust'!H355+'[5]FR-16(7)(v)-13 DIST Cust'!H355</f>
        <v>0</v>
      </c>
      <c r="J355" s="569">
        <f t="shared" si="65"/>
        <v>0</v>
      </c>
      <c r="K355" s="569">
        <f t="shared" si="66"/>
        <v>0</v>
      </c>
    </row>
    <row r="356" spans="1:11">
      <c r="A356" s="565">
        <v>21</v>
      </c>
      <c r="C356" s="547" t="str">
        <f>'[5]FR-16(7)(v)-1 Functional'!C356</f>
        <v>ENVIRONMENTAL RESERVE</v>
      </c>
      <c r="D356" s="549" t="str">
        <f>'[5]FR-16(7)(v)-1 Functional'!D356</f>
        <v>NP29</v>
      </c>
      <c r="F356" s="578">
        <f>'[5]FR-16(7)(v)-14 TOTAL CLASS'!H356</f>
        <v>0</v>
      </c>
      <c r="G356" s="570">
        <f>'[5]FR-16(7)(v)-3 PROD Demand'!H356+'[5]FR-16(7)(v)-7 TRANS Demand'!H356+'[5]FR-16(7)(v)-11 DIST Demand'!H356</f>
        <v>0</v>
      </c>
      <c r="H356" s="571">
        <f>'[5]FR-16(7)(v)-4 PROD Energy'!H356+'[5]FR-16(7)(v)-8 TRANS Energy'!H356+'[5]FR-16(7)(v)-12 DIST Energy'!H356</f>
        <v>0</v>
      </c>
      <c r="I356" s="572">
        <f>'[5]FR-16(7)(v)-5 PROD Cust'!H356+'[5]FR-16(7)(v)-9 TRANS Cust'!H356+'[5]FR-16(7)(v)-13 DIST Cust'!H356</f>
        <v>0</v>
      </c>
      <c r="J356" s="569">
        <f t="shared" si="65"/>
        <v>0</v>
      </c>
      <c r="K356" s="569">
        <f t="shared" si="66"/>
        <v>0</v>
      </c>
    </row>
    <row r="357" spans="1:11">
      <c r="A357" s="565">
        <v>22</v>
      </c>
      <c r="C357" s="547" t="str">
        <f>'[5]FR-16(7)(v)-1 Functional'!C357</f>
        <v>VACATION PAY ACCRUALS</v>
      </c>
      <c r="D357" s="549" t="str">
        <f>'[5]FR-16(7)(v)-1 Functional'!D357</f>
        <v>A315</v>
      </c>
      <c r="F357" s="578">
        <f>'[5]FR-16(7)(v)-14 TOTAL CLASS'!H357</f>
        <v>0</v>
      </c>
      <c r="G357" s="570">
        <f>'[5]FR-16(7)(v)-3 PROD Demand'!H357+'[5]FR-16(7)(v)-7 TRANS Demand'!H357+'[5]FR-16(7)(v)-11 DIST Demand'!H357</f>
        <v>0</v>
      </c>
      <c r="H357" s="571">
        <f>'[5]FR-16(7)(v)-4 PROD Energy'!H357+'[5]FR-16(7)(v)-8 TRANS Energy'!H357+'[5]FR-16(7)(v)-12 DIST Energy'!H357</f>
        <v>0</v>
      </c>
      <c r="I357" s="572">
        <f>'[5]FR-16(7)(v)-5 PROD Cust'!H357+'[5]FR-16(7)(v)-9 TRANS Cust'!H357+'[5]FR-16(7)(v)-13 DIST Cust'!H357</f>
        <v>0</v>
      </c>
      <c r="J357" s="569">
        <f t="shared" si="65"/>
        <v>0</v>
      </c>
      <c r="K357" s="569">
        <f t="shared" si="66"/>
        <v>0</v>
      </c>
    </row>
    <row r="358" spans="1:11">
      <c r="A358" s="565">
        <v>23</v>
      </c>
      <c r="C358" s="547" t="str">
        <f>'[5]FR-16(7)(v)-1 Functional'!C358</f>
        <v>DEMAND SIDE MANAGEMENT DEFERRAL</v>
      </c>
      <c r="D358" s="549" t="str">
        <f>'[5]FR-16(7)(v)-1 Functional'!D358</f>
        <v>NP29</v>
      </c>
      <c r="F358" s="578">
        <f>'[5]FR-16(7)(v)-14 TOTAL CLASS'!H358</f>
        <v>0</v>
      </c>
      <c r="G358" s="570">
        <f>'[5]FR-16(7)(v)-3 PROD Demand'!H358+'[5]FR-16(7)(v)-7 TRANS Demand'!H358+'[5]FR-16(7)(v)-11 DIST Demand'!H358</f>
        <v>0</v>
      </c>
      <c r="H358" s="571">
        <f>'[5]FR-16(7)(v)-4 PROD Energy'!H358+'[5]FR-16(7)(v)-8 TRANS Energy'!H358+'[5]FR-16(7)(v)-12 DIST Energy'!H358</f>
        <v>0</v>
      </c>
      <c r="I358" s="572">
        <f>'[5]FR-16(7)(v)-5 PROD Cust'!H358+'[5]FR-16(7)(v)-9 TRANS Cust'!H358+'[5]FR-16(7)(v)-13 DIST Cust'!H358</f>
        <v>0</v>
      </c>
      <c r="J358" s="569">
        <f t="shared" si="65"/>
        <v>0</v>
      </c>
      <c r="K358" s="569">
        <f t="shared" si="66"/>
        <v>0</v>
      </c>
    </row>
    <row r="359" spans="1:11">
      <c r="A359" s="565">
        <v>24</v>
      </c>
      <c r="C359" s="547" t="str">
        <f>'[5]FR-16(7)(v)-1 Functional'!C359</f>
        <v>OPERATING LEASE OBLIGATION</v>
      </c>
      <c r="D359" s="549" t="str">
        <f>'[5]FR-16(7)(v)-1 Functional'!D359</f>
        <v>NP29</v>
      </c>
      <c r="F359" s="578">
        <f>'[5]FR-16(7)(v)-14 TOTAL CLASS'!H359</f>
        <v>0</v>
      </c>
      <c r="G359" s="570">
        <f>'[5]FR-16(7)(v)-3 PROD Demand'!H359+'[5]FR-16(7)(v)-7 TRANS Demand'!H359+'[5]FR-16(7)(v)-11 DIST Demand'!H359</f>
        <v>0</v>
      </c>
      <c r="H359" s="571">
        <f>'[5]FR-16(7)(v)-4 PROD Energy'!H359+'[5]FR-16(7)(v)-8 TRANS Energy'!H359+'[5]FR-16(7)(v)-12 DIST Energy'!H359</f>
        <v>0</v>
      </c>
      <c r="I359" s="572">
        <f>'[5]FR-16(7)(v)-5 PROD Cust'!H359+'[5]FR-16(7)(v)-9 TRANS Cust'!H359+'[5]FR-16(7)(v)-13 DIST Cust'!H359</f>
        <v>0</v>
      </c>
      <c r="J359" s="569">
        <f t="shared" si="65"/>
        <v>0</v>
      </c>
      <c r="K359" s="569">
        <f t="shared" si="66"/>
        <v>0</v>
      </c>
    </row>
    <row r="360" spans="1:11">
      <c r="A360" s="565">
        <v>25</v>
      </c>
      <c r="C360" s="573" t="str">
        <f>'[5]FR-16(7)(v)-1 Functional'!C360</f>
        <v>INJURIES &amp; DAMAGES</v>
      </c>
      <c r="D360" s="549" t="str">
        <f>'[5]FR-16(7)(v)-1 Functional'!D360</f>
        <v>NP29</v>
      </c>
      <c r="F360" s="578">
        <f>'[5]FR-16(7)(v)-14 TOTAL CLASS'!H360</f>
        <v>0</v>
      </c>
      <c r="G360" s="570">
        <f>'[5]FR-16(7)(v)-3 PROD Demand'!H360+'[5]FR-16(7)(v)-7 TRANS Demand'!H360+'[5]FR-16(7)(v)-11 DIST Demand'!H360</f>
        <v>0</v>
      </c>
      <c r="H360" s="571">
        <f>'[5]FR-16(7)(v)-4 PROD Energy'!H360+'[5]FR-16(7)(v)-8 TRANS Energy'!H360+'[5]FR-16(7)(v)-12 DIST Energy'!H360</f>
        <v>0</v>
      </c>
      <c r="I360" s="572">
        <f>'[5]FR-16(7)(v)-5 PROD Cust'!H360+'[5]FR-16(7)(v)-9 TRANS Cust'!H360+'[5]FR-16(7)(v)-13 DIST Cust'!H360</f>
        <v>0</v>
      </c>
      <c r="J360" s="569">
        <f t="shared" si="65"/>
        <v>0</v>
      </c>
      <c r="K360" s="569">
        <f t="shared" si="66"/>
        <v>0</v>
      </c>
    </row>
    <row r="361" spans="1:11">
      <c r="A361" s="565">
        <v>26</v>
      </c>
      <c r="C361" s="547" t="str">
        <f>'[5]FR-16(7)(v)-1 Functional'!C361</f>
        <v xml:space="preserve">  TOTAL ACCOUNT 190</v>
      </c>
      <c r="D361" s="549"/>
      <c r="F361" s="574">
        <f t="shared" ref="F361:K361" si="67">SUM(F337:F360)</f>
        <v>1708650</v>
      </c>
      <c r="G361" s="575">
        <f t="shared" si="67"/>
        <v>557554</v>
      </c>
      <c r="H361" s="576">
        <f t="shared" si="67"/>
        <v>1007130</v>
      </c>
      <c r="I361" s="577">
        <f t="shared" si="67"/>
        <v>143966</v>
      </c>
      <c r="J361" s="574">
        <f t="shared" si="67"/>
        <v>1708650</v>
      </c>
      <c r="K361" s="574">
        <f t="shared" si="67"/>
        <v>0</v>
      </c>
    </row>
    <row r="362" spans="1:11">
      <c r="A362" s="565">
        <v>27</v>
      </c>
      <c r="D362" s="549"/>
      <c r="E362" s="548"/>
      <c r="G362" s="566"/>
      <c r="H362" s="567"/>
      <c r="I362" s="568"/>
    </row>
    <row r="363" spans="1:11">
      <c r="A363" s="565">
        <v>28</v>
      </c>
      <c r="B363" s="547" t="s">
        <v>1226</v>
      </c>
      <c r="D363" s="549"/>
      <c r="E363" s="548"/>
      <c r="G363" s="566"/>
      <c r="H363" s="567"/>
      <c r="I363" s="568"/>
    </row>
    <row r="364" spans="1:11">
      <c r="A364" s="565">
        <v>29</v>
      </c>
      <c r="C364" s="547" t="str">
        <f>'[5]FR-16(7)(v)-1 Functional'!C364</f>
        <v>RESERVED FOR FUTURE USE</v>
      </c>
      <c r="D364" s="549" t="str">
        <f>'[5]FR-16(7)(v)-1 Functional'!D364</f>
        <v>NP29</v>
      </c>
      <c r="F364" s="578">
        <f>'[5]FR-16(7)(v)-14 TOTAL CLASS'!H364</f>
        <v>0</v>
      </c>
      <c r="G364" s="570">
        <f>'[5]FR-16(7)(v)-3 PROD Demand'!H364+'[5]FR-16(7)(v)-7 TRANS Demand'!H364+'[5]FR-16(7)(v)-11 DIST Demand'!H364</f>
        <v>0</v>
      </c>
      <c r="H364" s="571">
        <f>'[5]FR-16(7)(v)-4 PROD Energy'!H364+'[5]FR-16(7)(v)-8 TRANS Energy'!H364+'[5]FR-16(7)(v)-12 DIST Energy'!H364</f>
        <v>0</v>
      </c>
      <c r="I364" s="572">
        <f>'[5]FR-16(7)(v)-5 PROD Cust'!H364+'[5]FR-16(7)(v)-9 TRANS Cust'!H364+'[5]FR-16(7)(v)-13 DIST Cust'!H364</f>
        <v>0</v>
      </c>
      <c r="J364" s="569">
        <f>SUM(G364:I364)</f>
        <v>0</v>
      </c>
      <c r="K364" s="569">
        <f>F364-J364</f>
        <v>0</v>
      </c>
    </row>
    <row r="365" spans="1:11">
      <c r="A365" s="565">
        <v>30</v>
      </c>
      <c r="C365" s="547" t="str">
        <f>'[5]FR-16(7)(v)-1 Functional'!C365</f>
        <v>OTHER RATE BASE ADJUSTMENTS</v>
      </c>
      <c r="D365" s="549" t="str">
        <f>'[5]FR-16(7)(v)-1 Functional'!D365</f>
        <v>NP29</v>
      </c>
      <c r="F365" s="578">
        <f>'[5]FR-16(7)(v)-14 TOTAL CLASS'!H365</f>
        <v>3712314</v>
      </c>
      <c r="G365" s="570">
        <f>'[5]FR-16(7)(v)-3 PROD Demand'!H365+'[5]FR-16(7)(v)-7 TRANS Demand'!H365+'[5]FR-16(7)(v)-11 DIST Demand'!H365</f>
        <v>3553834</v>
      </c>
      <c r="H365" s="571">
        <f>'[5]FR-16(7)(v)-4 PROD Energy'!H365+'[5]FR-16(7)(v)-8 TRANS Energy'!H365+'[5]FR-16(7)(v)-12 DIST Energy'!H365</f>
        <v>66854</v>
      </c>
      <c r="I365" s="572">
        <f>'[5]FR-16(7)(v)-5 PROD Cust'!H365+'[5]FR-16(7)(v)-9 TRANS Cust'!H365+'[5]FR-16(7)(v)-13 DIST Cust'!H365</f>
        <v>91626</v>
      </c>
      <c r="J365" s="569">
        <f>SUM(G365:I365)</f>
        <v>3712314</v>
      </c>
      <c r="K365" s="569">
        <f>F365-J365</f>
        <v>0</v>
      </c>
    </row>
    <row r="366" spans="1:11">
      <c r="A366" s="565">
        <v>31</v>
      </c>
      <c r="C366" s="547" t="str">
        <f>'[5]FR-16(7)(v)-1 Functional'!C366</f>
        <v>RESERVED FOR FUTURE USE</v>
      </c>
      <c r="D366" s="549" t="str">
        <f>'[5]FR-16(7)(v)-1 Functional'!D366</f>
        <v>NP29</v>
      </c>
      <c r="F366" s="578">
        <f>'[5]FR-16(7)(v)-14 TOTAL CLASS'!H366</f>
        <v>0</v>
      </c>
      <c r="G366" s="570">
        <f>'[5]FR-16(7)(v)-3 PROD Demand'!H366+'[5]FR-16(7)(v)-7 TRANS Demand'!H366+'[5]FR-16(7)(v)-11 DIST Demand'!H366</f>
        <v>0</v>
      </c>
      <c r="H366" s="571">
        <f>'[5]FR-16(7)(v)-4 PROD Energy'!H366+'[5]FR-16(7)(v)-8 TRANS Energy'!H366+'[5]FR-16(7)(v)-12 DIST Energy'!H366</f>
        <v>0</v>
      </c>
      <c r="I366" s="572">
        <f>'[5]FR-16(7)(v)-5 PROD Cust'!H366+'[5]FR-16(7)(v)-9 TRANS Cust'!H366+'[5]FR-16(7)(v)-13 DIST Cust'!H366</f>
        <v>0</v>
      </c>
      <c r="J366" s="569">
        <f>SUM(G366:I366)</f>
        <v>0</v>
      </c>
      <c r="K366" s="569">
        <f>F366-J366</f>
        <v>0</v>
      </c>
    </row>
    <row r="367" spans="1:11">
      <c r="A367" s="565">
        <v>32</v>
      </c>
      <c r="C367" s="617" t="str">
        <f>'[5]FR-16(7)(v)-1 Functional'!C367</f>
        <v xml:space="preserve">  OTHER</v>
      </c>
      <c r="D367" s="549"/>
      <c r="F367" s="574">
        <f>SUM(F364:F366)</f>
        <v>3712314</v>
      </c>
      <c r="G367" s="575">
        <f>SUM(G363:G366)</f>
        <v>3553834</v>
      </c>
      <c r="H367" s="576">
        <f>SUM(H363:H366)</f>
        <v>66854</v>
      </c>
      <c r="I367" s="577">
        <f>SUM(I363:I366)</f>
        <v>91626</v>
      </c>
      <c r="J367" s="574">
        <f>SUM(J363:J366)</f>
        <v>3712314</v>
      </c>
      <c r="K367" s="574">
        <f>SUM(K363:K366)</f>
        <v>0</v>
      </c>
    </row>
    <row r="368" spans="1:11">
      <c r="A368" s="565">
        <v>33</v>
      </c>
      <c r="D368" s="549"/>
      <c r="F368" s="569" t="s">
        <v>173</v>
      </c>
      <c r="G368" s="566"/>
      <c r="H368" s="567"/>
      <c r="I368" s="568"/>
    </row>
    <row r="369" spans="1:11">
      <c r="A369" s="565">
        <v>34</v>
      </c>
      <c r="B369" s="547" t="s">
        <v>1227</v>
      </c>
      <c r="D369" s="549"/>
      <c r="F369" s="569"/>
      <c r="G369" s="566"/>
      <c r="H369" s="567"/>
      <c r="I369" s="568"/>
    </row>
    <row r="370" spans="1:11">
      <c r="A370" s="565">
        <v>35</v>
      </c>
      <c r="C370" s="547" t="str">
        <f>'[5]FR-16(7)(v)-1 Functional'!C370</f>
        <v>PRODUCTION</v>
      </c>
      <c r="D370" s="549" t="str">
        <f>'[5]FR-16(7)(v)-1 Functional'!D370</f>
        <v>P129</v>
      </c>
      <c r="F370" s="578">
        <f>'[5]FR-16(7)(v)-14 TOTAL CLASS'!H370</f>
        <v>0</v>
      </c>
      <c r="G370" s="570">
        <f>'[5]FR-16(7)(v)-3 PROD Demand'!H370+'[5]FR-16(7)(v)-7 TRANS Demand'!H370+'[5]FR-16(7)(v)-11 DIST Demand'!H370</f>
        <v>0</v>
      </c>
      <c r="H370" s="571">
        <f>'[5]FR-16(7)(v)-4 PROD Energy'!H370+'[5]FR-16(7)(v)-8 TRANS Energy'!H370+'[5]FR-16(7)(v)-12 DIST Energy'!H370</f>
        <v>0</v>
      </c>
      <c r="I370" s="572">
        <f>'[5]FR-16(7)(v)-5 PROD Cust'!H370+'[5]FR-16(7)(v)-9 TRANS Cust'!H370+'[5]FR-16(7)(v)-13 DIST Cust'!H370</f>
        <v>0</v>
      </c>
      <c r="J370" s="569">
        <f>SUM(G370:I370)</f>
        <v>0</v>
      </c>
      <c r="K370" s="569">
        <f>F370-J370</f>
        <v>0</v>
      </c>
    </row>
    <row r="371" spans="1:11">
      <c r="A371" s="565">
        <v>36</v>
      </c>
      <c r="C371" s="547" t="str">
        <f>'[5]FR-16(7)(v)-1 Functional'!C371</f>
        <v>TRANSMISSION</v>
      </c>
      <c r="D371" s="549" t="str">
        <f>'[5]FR-16(7)(v)-1 Functional'!D371</f>
        <v>T129</v>
      </c>
      <c r="F371" s="578">
        <f>'[5]FR-16(7)(v)-14 TOTAL CLASS'!H371</f>
        <v>0</v>
      </c>
      <c r="G371" s="570">
        <f>'[5]FR-16(7)(v)-3 PROD Demand'!H371+'[5]FR-16(7)(v)-7 TRANS Demand'!H371+'[5]FR-16(7)(v)-11 DIST Demand'!H371</f>
        <v>0</v>
      </c>
      <c r="H371" s="571">
        <f>'[5]FR-16(7)(v)-4 PROD Energy'!H371+'[5]FR-16(7)(v)-8 TRANS Energy'!H371+'[5]FR-16(7)(v)-12 DIST Energy'!H371</f>
        <v>0</v>
      </c>
      <c r="I371" s="572">
        <f>'[5]FR-16(7)(v)-5 PROD Cust'!H371+'[5]FR-16(7)(v)-9 TRANS Cust'!H371+'[5]FR-16(7)(v)-13 DIST Cust'!H371</f>
        <v>0</v>
      </c>
      <c r="J371" s="569">
        <f>SUM(G371:I371)</f>
        <v>0</v>
      </c>
      <c r="K371" s="569">
        <f>F371-J371</f>
        <v>0</v>
      </c>
    </row>
    <row r="372" spans="1:11">
      <c r="A372" s="565">
        <v>37</v>
      </c>
      <c r="C372" s="547" t="str">
        <f>'[5]FR-16(7)(v)-1 Functional'!C372</f>
        <v>DISTRIBUTION</v>
      </c>
      <c r="D372" s="549" t="str">
        <f>'[5]FR-16(7)(v)-1 Functional'!D372</f>
        <v>D149</v>
      </c>
      <c r="F372" s="578">
        <f>'[5]FR-16(7)(v)-14 TOTAL CLASS'!H372</f>
        <v>0</v>
      </c>
      <c r="G372" s="570">
        <f>'[5]FR-16(7)(v)-3 PROD Demand'!H372+'[5]FR-16(7)(v)-7 TRANS Demand'!H372+'[5]FR-16(7)(v)-11 DIST Demand'!H372</f>
        <v>0</v>
      </c>
      <c r="H372" s="571">
        <f>'[5]FR-16(7)(v)-4 PROD Energy'!H372+'[5]FR-16(7)(v)-8 TRANS Energy'!H372+'[5]FR-16(7)(v)-12 DIST Energy'!H372</f>
        <v>0</v>
      </c>
      <c r="I372" s="572">
        <f>'[5]FR-16(7)(v)-5 PROD Cust'!H372+'[5]FR-16(7)(v)-9 TRANS Cust'!H372+'[5]FR-16(7)(v)-13 DIST Cust'!H372</f>
        <v>0</v>
      </c>
      <c r="J372" s="569">
        <f>SUM(G372:I372)</f>
        <v>0</v>
      </c>
      <c r="K372" s="569">
        <f>F372-J372</f>
        <v>0</v>
      </c>
    </row>
    <row r="373" spans="1:11">
      <c r="A373" s="565">
        <v>38</v>
      </c>
      <c r="C373" s="547" t="str">
        <f>'[5]FR-16(7)(v)-1 Functional'!C373</f>
        <v>COMMON</v>
      </c>
      <c r="D373" s="549" t="str">
        <f>'[5]FR-16(7)(v)-1 Functional'!D373</f>
        <v>C129</v>
      </c>
      <c r="F373" s="578">
        <f>'[5]FR-16(7)(v)-14 TOTAL CLASS'!H373</f>
        <v>0</v>
      </c>
      <c r="G373" s="570">
        <f>'[5]FR-16(7)(v)-3 PROD Demand'!H373+'[5]FR-16(7)(v)-7 TRANS Demand'!H373+'[5]FR-16(7)(v)-11 DIST Demand'!H373</f>
        <v>0</v>
      </c>
      <c r="H373" s="571">
        <f>'[5]FR-16(7)(v)-4 PROD Energy'!H373+'[5]FR-16(7)(v)-8 TRANS Energy'!H373+'[5]FR-16(7)(v)-12 DIST Energy'!H373</f>
        <v>0</v>
      </c>
      <c r="I373" s="572">
        <f>'[5]FR-16(7)(v)-5 PROD Cust'!H373+'[5]FR-16(7)(v)-9 TRANS Cust'!H373+'[5]FR-16(7)(v)-13 DIST Cust'!H373</f>
        <v>0</v>
      </c>
      <c r="J373" s="569">
        <f>SUM(G373:I373)</f>
        <v>0</v>
      </c>
      <c r="K373" s="569">
        <f>F373-J373</f>
        <v>0</v>
      </c>
    </row>
    <row r="374" spans="1:11">
      <c r="A374" s="565">
        <v>39</v>
      </c>
      <c r="C374" s="547" t="str">
        <f>'[5]FR-16(7)(v)-1 Functional'!C374</f>
        <v>GENERAL</v>
      </c>
      <c r="D374" s="549" t="str">
        <f>'[5]FR-16(7)(v)-1 Functional'!D374</f>
        <v>G129</v>
      </c>
      <c r="F374" s="578">
        <f>'[5]FR-16(7)(v)-14 TOTAL CLASS'!H374</f>
        <v>0</v>
      </c>
      <c r="G374" s="570">
        <f>'[5]FR-16(7)(v)-3 PROD Demand'!H374+'[5]FR-16(7)(v)-7 TRANS Demand'!H374+'[5]FR-16(7)(v)-11 DIST Demand'!H374</f>
        <v>0</v>
      </c>
      <c r="H374" s="571">
        <f>'[5]FR-16(7)(v)-4 PROD Energy'!H374+'[5]FR-16(7)(v)-8 TRANS Energy'!H374+'[5]FR-16(7)(v)-12 DIST Energy'!H374</f>
        <v>0</v>
      </c>
      <c r="I374" s="572">
        <f>'[5]FR-16(7)(v)-5 PROD Cust'!H374+'[5]FR-16(7)(v)-9 TRANS Cust'!H374+'[5]FR-16(7)(v)-13 DIST Cust'!H374</f>
        <v>0</v>
      </c>
      <c r="J374" s="569">
        <f>SUM(G374:I374)</f>
        <v>0</v>
      </c>
      <c r="K374" s="569">
        <f>F374-J374</f>
        <v>0</v>
      </c>
    </row>
    <row r="375" spans="1:11">
      <c r="A375" s="565">
        <v>40</v>
      </c>
      <c r="C375" s="617" t="str">
        <f>'[5]FR-16(7)(v)-1 Functional'!C375</f>
        <v>TOTAL CONSTRUCTION WORK IN PROGRESS</v>
      </c>
      <c r="D375" s="549"/>
      <c r="F375" s="574">
        <f t="shared" ref="F375:K375" si="68">SUM(F370:F374)</f>
        <v>0</v>
      </c>
      <c r="G375" s="575">
        <f t="shared" si="68"/>
        <v>0</v>
      </c>
      <c r="H375" s="576">
        <f t="shared" si="68"/>
        <v>0</v>
      </c>
      <c r="I375" s="577">
        <f t="shared" si="68"/>
        <v>0</v>
      </c>
      <c r="J375" s="574">
        <f t="shared" si="68"/>
        <v>0</v>
      </c>
      <c r="K375" s="574">
        <f t="shared" si="68"/>
        <v>0</v>
      </c>
    </row>
    <row r="376" spans="1:11">
      <c r="A376" s="565">
        <v>41</v>
      </c>
      <c r="D376" s="549"/>
      <c r="F376" s="569"/>
      <c r="G376" s="566"/>
      <c r="H376" s="567"/>
      <c r="I376" s="568"/>
    </row>
    <row r="377" spans="1:11">
      <c r="A377" s="565">
        <v>42</v>
      </c>
      <c r="B377" s="547" t="str">
        <f>'[5]FR-16(7)(v)-1 Functional'!B377</f>
        <v>TOTAL ADDITIVE RATE BASE ADJUSTMENTS</v>
      </c>
      <c r="D377" s="549"/>
      <c r="F377" s="569">
        <f t="shared" ref="F377:K377" si="69">F361+F367+F375</f>
        <v>5420964</v>
      </c>
      <c r="G377" s="619">
        <f t="shared" si="69"/>
        <v>4111388</v>
      </c>
      <c r="H377" s="620">
        <f t="shared" si="69"/>
        <v>1073984</v>
      </c>
      <c r="I377" s="621">
        <f t="shared" si="69"/>
        <v>235592</v>
      </c>
      <c r="J377" s="569">
        <f t="shared" si="69"/>
        <v>5420964</v>
      </c>
      <c r="K377" s="569">
        <f t="shared" si="69"/>
        <v>0</v>
      </c>
    </row>
    <row r="378" spans="1:11">
      <c r="B378" s="546"/>
      <c r="C378" s="548"/>
      <c r="D378" s="549"/>
      <c r="E378" s="548"/>
      <c r="F378" s="548"/>
      <c r="G378" s="548"/>
      <c r="H378" s="548"/>
      <c r="I378" s="548"/>
      <c r="J378" s="548"/>
      <c r="K378" s="548"/>
    </row>
    <row r="379" spans="1:11">
      <c r="A379" s="546" t="str">
        <f>co_name</f>
        <v>DUKE ENERGY KENTUCKY, INC.</v>
      </c>
      <c r="C379" s="548"/>
      <c r="D379" s="549"/>
      <c r="E379" s="548"/>
      <c r="F379" s="548"/>
      <c r="G379" s="548"/>
      <c r="H379" s="548"/>
      <c r="I379" s="548"/>
      <c r="J379" s="548" t="str">
        <f>J1</f>
        <v>FR-16(7)(v)-16</v>
      </c>
      <c r="K379" s="548"/>
    </row>
    <row r="380" spans="1:11">
      <c r="A380" s="546" t="str">
        <f>$A$2</f>
        <v>DISTR. SEC. CLASSIFIED - ELECTRIC COST OF SERVICE</v>
      </c>
      <c r="C380" s="548"/>
      <c r="D380" s="549"/>
      <c r="E380" s="548"/>
      <c r="F380" s="548"/>
      <c r="G380" s="548"/>
      <c r="H380" s="548"/>
      <c r="I380" s="548"/>
      <c r="J380" s="548" t="str">
        <f>J2</f>
        <v>WITNESS RESPONSIBLE:</v>
      </c>
      <c r="K380" s="548"/>
    </row>
    <row r="381" spans="1:11">
      <c r="A381" s="546" t="str">
        <f>case_name</f>
        <v>CASE NO: 2024-00354</v>
      </c>
      <c r="C381" s="548"/>
      <c r="D381" s="549"/>
      <c r="E381" s="548"/>
      <c r="F381" s="548"/>
      <c r="G381" s="548"/>
      <c r="H381" s="548"/>
      <c r="I381" s="548"/>
      <c r="J381" s="548" t="str">
        <f>Witness</f>
        <v>JAMES E. ZIOLKOWSKI</v>
      </c>
      <c r="K381" s="548"/>
    </row>
    <row r="382" spans="1:11">
      <c r="A382" s="546" t="str">
        <f>data_filing</f>
        <v>DATA: 12 MONTHS ACTUAL  &amp; 0 MONTHS ESTIMATED</v>
      </c>
      <c r="C382" s="548"/>
      <c r="D382" s="549"/>
      <c r="E382" s="548"/>
      <c r="F382" s="548"/>
      <c r="G382" s="548"/>
      <c r="H382" s="548"/>
      <c r="I382" s="548"/>
      <c r="J382" s="548" t="str">
        <f>"PAGE "&amp;Pages2-8&amp;" OF "&amp;Pages2</f>
        <v>PAGE 7 OF 15</v>
      </c>
      <c r="K382" s="548"/>
    </row>
    <row r="383" spans="1:11">
      <c r="A383" s="546" t="str">
        <f>type</f>
        <v xml:space="preserve">TYPE OF FILING: "X" ORIGINAL   UPDATED    REVISED  </v>
      </c>
      <c r="C383" s="548"/>
      <c r="D383" s="549"/>
      <c r="E383" s="548"/>
      <c r="F383" s="548"/>
      <c r="G383" s="548"/>
      <c r="H383" s="548"/>
      <c r="I383" s="548"/>
      <c r="J383" s="548"/>
      <c r="K383" s="548"/>
    </row>
    <row r="384" spans="1:11">
      <c r="B384" s="546"/>
      <c r="C384" s="548"/>
      <c r="D384" s="549"/>
      <c r="E384" s="548"/>
      <c r="F384" s="548"/>
      <c r="G384" s="548"/>
      <c r="H384" s="548"/>
      <c r="I384" s="548"/>
      <c r="J384" s="548"/>
      <c r="K384" s="548"/>
    </row>
    <row r="385" spans="1:13">
      <c r="B385" s="546"/>
      <c r="C385" s="548"/>
      <c r="D385" s="549"/>
      <c r="E385" s="548"/>
      <c r="F385" s="548"/>
      <c r="G385" s="548"/>
      <c r="H385" s="548"/>
      <c r="I385" s="548"/>
      <c r="J385" s="548"/>
      <c r="K385" s="548"/>
    </row>
    <row r="386" spans="1:13">
      <c r="A386" s="549" t="s">
        <v>17</v>
      </c>
      <c r="B386" s="548"/>
      <c r="C386" s="548"/>
      <c r="D386" s="549"/>
      <c r="E386" s="548"/>
      <c r="F386" s="549" t="s">
        <v>11</v>
      </c>
      <c r="G386" s="552" t="s">
        <v>1162</v>
      </c>
      <c r="H386" s="553"/>
      <c r="I386" s="554"/>
      <c r="J386" s="549" t="s">
        <v>11</v>
      </c>
      <c r="K386" s="549" t="s">
        <v>1163</v>
      </c>
    </row>
    <row r="387" spans="1:13">
      <c r="A387" s="555" t="s">
        <v>1164</v>
      </c>
      <c r="B387" s="556" t="s">
        <v>1228</v>
      </c>
      <c r="C387" s="556"/>
      <c r="D387" s="555" t="s">
        <v>1166</v>
      </c>
      <c r="E387" s="556"/>
      <c r="F387" s="555" t="str">
        <f>$F$9</f>
        <v>DISTR. SEC.</v>
      </c>
      <c r="G387" s="611" t="str">
        <f t="shared" ref="G387:I388" si="70">G9</f>
        <v>DEMAND</v>
      </c>
      <c r="H387" s="612" t="str">
        <f t="shared" si="70"/>
        <v>ENERGY</v>
      </c>
      <c r="I387" s="613" t="str">
        <f t="shared" si="70"/>
        <v>CUSTOMER</v>
      </c>
      <c r="J387" s="555" t="s">
        <v>1169</v>
      </c>
      <c r="K387" s="555" t="s">
        <v>543</v>
      </c>
    </row>
    <row r="388" spans="1:13">
      <c r="C388" s="561" t="s">
        <v>1229</v>
      </c>
      <c r="D388" s="549"/>
      <c r="E388" s="623"/>
      <c r="F388" s="624"/>
      <c r="G388" s="614">
        <f t="shared" si="70"/>
        <v>3</v>
      </c>
      <c r="H388" s="615">
        <f t="shared" si="70"/>
        <v>4</v>
      </c>
      <c r="I388" s="616">
        <f t="shared" si="70"/>
        <v>5</v>
      </c>
      <c r="J388" s="623"/>
      <c r="K388" s="623"/>
    </row>
    <row r="389" spans="1:13">
      <c r="C389" s="561"/>
      <c r="D389" s="549"/>
      <c r="E389" s="623"/>
      <c r="F389" s="624"/>
      <c r="G389" s="614"/>
      <c r="H389" s="615"/>
      <c r="I389" s="616"/>
      <c r="J389" s="623"/>
      <c r="K389" s="623"/>
    </row>
    <row r="390" spans="1:13">
      <c r="A390" s="565">
        <v>1</v>
      </c>
      <c r="B390" s="547" t="s">
        <v>1230</v>
      </c>
      <c r="D390" s="549"/>
      <c r="E390" s="548"/>
      <c r="F390" s="569">
        <f t="shared" ref="F390:K390" si="71">F277-F324+F377</f>
        <v>346689493</v>
      </c>
      <c r="G390" s="570">
        <f t="shared" si="71"/>
        <v>330687726</v>
      </c>
      <c r="H390" s="571">
        <f t="shared" si="71"/>
        <v>7279603</v>
      </c>
      <c r="I390" s="572">
        <f t="shared" si="71"/>
        <v>8722164</v>
      </c>
      <c r="J390" s="569">
        <f t="shared" si="71"/>
        <v>346689493</v>
      </c>
      <c r="K390" s="569">
        <f t="shared" si="71"/>
        <v>0</v>
      </c>
    </row>
    <row r="391" spans="1:13">
      <c r="A391" s="565">
        <v>2</v>
      </c>
      <c r="D391" s="549"/>
      <c r="E391" s="548"/>
      <c r="G391" s="566"/>
      <c r="H391" s="567"/>
      <c r="I391" s="568"/>
    </row>
    <row r="392" spans="1:13">
      <c r="A392" s="565">
        <v>3</v>
      </c>
      <c r="B392" s="547" t="s">
        <v>1228</v>
      </c>
      <c r="D392" s="549"/>
      <c r="E392" s="548"/>
      <c r="G392" s="566"/>
      <c r="H392" s="567"/>
      <c r="I392" s="568"/>
    </row>
    <row r="393" spans="1:13">
      <c r="A393" s="565">
        <v>4</v>
      </c>
      <c r="D393" s="549"/>
      <c r="E393" s="548"/>
      <c r="G393" s="566"/>
      <c r="H393" s="567"/>
      <c r="I393" s="568"/>
    </row>
    <row r="394" spans="1:13">
      <c r="A394" s="565">
        <v>5</v>
      </c>
      <c r="B394" s="547" t="s">
        <v>1231</v>
      </c>
      <c r="D394" s="549"/>
      <c r="E394" s="548"/>
      <c r="G394" s="566"/>
      <c r="H394" s="567"/>
      <c r="I394" s="568"/>
    </row>
    <row r="395" spans="1:13">
      <c r="A395" s="565">
        <v>6</v>
      </c>
      <c r="C395" s="547" t="str">
        <f>'[5]FR-16(7)(v)-1 Functional'!C395</f>
        <v>OTHER MATERIALS &amp; SUPPLIES</v>
      </c>
      <c r="D395" s="549" t="str">
        <f>'[5]FR-16(7)(v)-1 Functional'!D395</f>
        <v>PD29</v>
      </c>
      <c r="E395" s="548"/>
      <c r="F395" s="578">
        <f>'[5]FR-16(7)(v)-14 TOTAL CLASS'!H395</f>
        <v>4403586</v>
      </c>
      <c r="G395" s="570">
        <f>'[5]FR-16(7)(v)-3 PROD Demand'!H395+'[5]FR-16(7)(v)-7 TRANS Demand'!H395+'[5]FR-16(7)(v)-11 DIST Demand'!H395</f>
        <v>2649646</v>
      </c>
      <c r="H395" s="571">
        <f>'[5]FR-16(7)(v)-4 PROD Energy'!H395+'[5]FR-16(7)(v)-8 TRANS Energy'!H395+'[5]FR-16(7)(v)-12 DIST Energy'!H395</f>
        <v>1238370</v>
      </c>
      <c r="I395" s="572">
        <f>'[5]FR-16(7)(v)-5 PROD Cust'!H395+'[5]FR-16(7)(v)-9 TRANS Cust'!H395+'[5]FR-16(7)(v)-13 DIST Cust'!H395</f>
        <v>515570</v>
      </c>
      <c r="J395" s="569">
        <f>SUM(G395:I395)</f>
        <v>4403586</v>
      </c>
      <c r="K395" s="569">
        <f>F395-J395</f>
        <v>0</v>
      </c>
      <c r="M395" s="569"/>
    </row>
    <row r="396" spans="1:13">
      <c r="A396" s="565">
        <v>7</v>
      </c>
      <c r="C396" s="547" t="str">
        <f>'[5]FR-16(7)(v)-1 Functional'!C396</f>
        <v>FUEL</v>
      </c>
      <c r="D396" s="549" t="str">
        <f>'[5]FR-16(7)(v)-1 Functional'!D396</f>
        <v>K301</v>
      </c>
      <c r="E396" s="548"/>
      <c r="F396" s="578">
        <f>'[5]FR-16(7)(v)-14 TOTAL CLASS'!H396</f>
        <v>4726683</v>
      </c>
      <c r="G396" s="570">
        <f>'[5]FR-16(7)(v)-3 PROD Demand'!H396+'[5]FR-16(7)(v)-7 TRANS Demand'!H396+'[5]FR-16(7)(v)-11 DIST Demand'!H396</f>
        <v>0</v>
      </c>
      <c r="H396" s="571">
        <f>'[5]FR-16(7)(v)-4 PROD Energy'!H396+'[5]FR-16(7)(v)-8 TRANS Energy'!H396+'[5]FR-16(7)(v)-12 DIST Energy'!H396</f>
        <v>4726683</v>
      </c>
      <c r="I396" s="572">
        <f>'[5]FR-16(7)(v)-5 PROD Cust'!H396+'[5]FR-16(7)(v)-9 TRANS Cust'!H396+'[5]FR-16(7)(v)-13 DIST Cust'!H396</f>
        <v>0</v>
      </c>
      <c r="J396" s="569">
        <f>SUM(G396:I396)</f>
        <v>4726683</v>
      </c>
      <c r="K396" s="569">
        <f>F396-J396</f>
        <v>0</v>
      </c>
      <c r="M396" s="569"/>
    </row>
    <row r="397" spans="1:13">
      <c r="A397" s="565">
        <v>8</v>
      </c>
      <c r="C397" s="547" t="str">
        <f>'[5]FR-16(7)(v)-1 Functional'!C397</f>
        <v>EMISSION ALLOWANCES</v>
      </c>
      <c r="D397" s="549" t="str">
        <f>'[5]FR-16(7)(v)-1 Functional'!D397</f>
        <v>K301</v>
      </c>
      <c r="E397" s="548"/>
      <c r="F397" s="578">
        <f>'[5]FR-16(7)(v)-14 TOTAL CLASS'!H397</f>
        <v>0</v>
      </c>
      <c r="G397" s="570">
        <f>'[5]FR-16(7)(v)-3 PROD Demand'!H397+'[5]FR-16(7)(v)-7 TRANS Demand'!H397+'[5]FR-16(7)(v)-11 DIST Demand'!H397</f>
        <v>0</v>
      </c>
      <c r="H397" s="571">
        <f>'[5]FR-16(7)(v)-4 PROD Energy'!H397+'[5]FR-16(7)(v)-8 TRANS Energy'!H397+'[5]FR-16(7)(v)-12 DIST Energy'!H397</f>
        <v>0</v>
      </c>
      <c r="I397" s="572">
        <f>'[5]FR-16(7)(v)-5 PROD Cust'!H397+'[5]FR-16(7)(v)-9 TRANS Cust'!H397+'[5]FR-16(7)(v)-13 DIST Cust'!H397</f>
        <v>0</v>
      </c>
      <c r="J397" s="569">
        <f>SUM(G397:I397)</f>
        <v>0</v>
      </c>
      <c r="K397" s="569">
        <f>F397-J397</f>
        <v>0</v>
      </c>
      <c r="M397" s="569"/>
    </row>
    <row r="398" spans="1:13">
      <c r="A398" s="565">
        <v>9</v>
      </c>
      <c r="C398" s="617" t="str">
        <f>'[5]FR-16(7)(v)-1 Functional'!C398</f>
        <v xml:space="preserve">  TOTAL PLANT MATS. &amp; SUPPLIES</v>
      </c>
      <c r="D398" s="549"/>
      <c r="E398" s="548"/>
      <c r="F398" s="574">
        <f t="shared" ref="F398:K398" si="72">SUM(F394:F397)</f>
        <v>9130269</v>
      </c>
      <c r="G398" s="575">
        <f t="shared" si="72"/>
        <v>2649646</v>
      </c>
      <c r="H398" s="576">
        <f t="shared" si="72"/>
        <v>5965053</v>
      </c>
      <c r="I398" s="577">
        <f t="shared" si="72"/>
        <v>515570</v>
      </c>
      <c r="J398" s="574">
        <f t="shared" si="72"/>
        <v>9130269</v>
      </c>
      <c r="K398" s="574">
        <f t="shared" si="72"/>
        <v>0</v>
      </c>
    </row>
    <row r="399" spans="1:13">
      <c r="A399" s="565">
        <v>10</v>
      </c>
      <c r="B399" s="547" t="s">
        <v>1232</v>
      </c>
      <c r="D399" s="549"/>
      <c r="E399" s="548"/>
      <c r="F399" s="569">
        <f t="shared" ref="F399:K399" si="73">F398</f>
        <v>9130269</v>
      </c>
      <c r="G399" s="570">
        <f t="shared" si="73"/>
        <v>2649646</v>
      </c>
      <c r="H399" s="571">
        <f t="shared" si="73"/>
        <v>5965053</v>
      </c>
      <c r="I399" s="572">
        <f t="shared" si="73"/>
        <v>515570</v>
      </c>
      <c r="J399" s="569">
        <f t="shared" si="73"/>
        <v>9130269</v>
      </c>
      <c r="K399" s="569">
        <f t="shared" si="73"/>
        <v>0</v>
      </c>
    </row>
    <row r="400" spans="1:13">
      <c r="A400" s="565">
        <v>11</v>
      </c>
      <c r="D400" s="549"/>
      <c r="E400" s="548"/>
      <c r="G400" s="566"/>
      <c r="H400" s="567"/>
      <c r="I400" s="568"/>
    </row>
    <row r="401" spans="1:13">
      <c r="A401" s="565">
        <v>12</v>
      </c>
      <c r="B401" s="547" t="s">
        <v>1233</v>
      </c>
      <c r="D401" s="549"/>
      <c r="E401" s="548"/>
      <c r="G401" s="566"/>
      <c r="H401" s="567"/>
      <c r="I401" s="568"/>
    </row>
    <row r="402" spans="1:13">
      <c r="A402" s="565">
        <v>13</v>
      </c>
      <c r="C402" s="547" t="str">
        <f>'[5]FR-16(7)(v)-1 Functional'!C402</f>
        <v>INSURANCE GENERAL</v>
      </c>
      <c r="D402" s="549" t="str">
        <f>'[5]FR-16(7)(v)-1 Functional'!D402</f>
        <v>NP29</v>
      </c>
      <c r="E402" s="548"/>
      <c r="F402" s="578">
        <f>'[5]FR-16(7)(v)-14 TOTAL CLASS'!H402</f>
        <v>173139</v>
      </c>
      <c r="G402" s="570">
        <f>'[5]FR-16(7)(v)-3 PROD Demand'!H402+'[5]FR-16(7)(v)-7 TRANS Demand'!H402+'[5]FR-16(7)(v)-11 DIST Demand'!H402</f>
        <v>165748</v>
      </c>
      <c r="H402" s="571">
        <f>'[5]FR-16(7)(v)-4 PROD Energy'!H402+'[5]FR-16(7)(v)-8 TRANS Energy'!H402+'[5]FR-16(7)(v)-12 DIST Energy'!H402</f>
        <v>3118</v>
      </c>
      <c r="I402" s="572">
        <f>'[5]FR-16(7)(v)-5 PROD Cust'!H402+'[5]FR-16(7)(v)-9 TRANS Cust'!H402+'[5]FR-16(7)(v)-13 DIST Cust'!H402</f>
        <v>4273</v>
      </c>
      <c r="J402" s="569">
        <f>SUM(G402:I402)</f>
        <v>173139</v>
      </c>
      <c r="K402" s="569">
        <f>F402-J402</f>
        <v>0</v>
      </c>
      <c r="M402" s="569"/>
    </row>
    <row r="403" spans="1:13">
      <c r="A403" s="565">
        <v>14</v>
      </c>
      <c r="C403" s="547" t="str">
        <f>'[5]FR-16(7)(v)-1 Functional'!C403</f>
        <v>EXCISE TAX</v>
      </c>
      <c r="D403" s="549" t="str">
        <f>'[5]FR-16(7)(v)-1 Functional'!D403</f>
        <v>NP29</v>
      </c>
      <c r="E403" s="548"/>
      <c r="F403" s="578">
        <f>'[5]FR-16(7)(v)-14 TOTAL CLASS'!H403</f>
        <v>0</v>
      </c>
      <c r="G403" s="570">
        <f>'[5]FR-16(7)(v)-3 PROD Demand'!H403+'[5]FR-16(7)(v)-7 TRANS Demand'!H403+'[5]FR-16(7)(v)-11 DIST Demand'!H403</f>
        <v>0</v>
      </c>
      <c r="H403" s="571">
        <f>'[5]FR-16(7)(v)-4 PROD Energy'!H403+'[5]FR-16(7)(v)-8 TRANS Energy'!H403+'[5]FR-16(7)(v)-12 DIST Energy'!H403</f>
        <v>0</v>
      </c>
      <c r="I403" s="572">
        <f>'[5]FR-16(7)(v)-5 PROD Cust'!H403+'[5]FR-16(7)(v)-9 TRANS Cust'!H403+'[5]FR-16(7)(v)-13 DIST Cust'!H403</f>
        <v>0</v>
      </c>
      <c r="J403" s="569">
        <f>SUM(G403:I403)</f>
        <v>0</v>
      </c>
      <c r="K403" s="569">
        <f>F403-J403</f>
        <v>0</v>
      </c>
      <c r="M403" s="569"/>
    </row>
    <row r="404" spans="1:13">
      <c r="A404" s="565">
        <v>15</v>
      </c>
      <c r="C404" s="547" t="str">
        <f>'[5]FR-16(7)(v)-1 Functional'!C404</f>
        <v>COLLATERAL ASSET</v>
      </c>
      <c r="D404" s="549" t="str">
        <f>'[5]FR-16(7)(v)-1 Functional'!D404</f>
        <v>K301</v>
      </c>
      <c r="E404" s="548"/>
      <c r="F404" s="578">
        <f>'[5]FR-16(7)(v)-14 TOTAL CLASS'!H404</f>
        <v>461587</v>
      </c>
      <c r="G404" s="570">
        <f>'[5]FR-16(7)(v)-3 PROD Demand'!H404+'[5]FR-16(7)(v)-7 TRANS Demand'!H404+'[5]FR-16(7)(v)-11 DIST Demand'!H404</f>
        <v>0</v>
      </c>
      <c r="H404" s="571">
        <f>'[5]FR-16(7)(v)-4 PROD Energy'!H404+'[5]FR-16(7)(v)-8 TRANS Energy'!H404+'[5]FR-16(7)(v)-12 DIST Energy'!H404</f>
        <v>461587</v>
      </c>
      <c r="I404" s="572">
        <f>'[5]FR-16(7)(v)-5 PROD Cust'!H404+'[5]FR-16(7)(v)-9 TRANS Cust'!H404+'[5]FR-16(7)(v)-13 DIST Cust'!H404</f>
        <v>0</v>
      </c>
      <c r="J404" s="569">
        <f>SUM(G404:I404)</f>
        <v>461587</v>
      </c>
      <c r="K404" s="569">
        <f>F404-J404</f>
        <v>0</v>
      </c>
      <c r="M404" s="569"/>
    </row>
    <row r="405" spans="1:13">
      <c r="A405" s="565">
        <v>16</v>
      </c>
      <c r="C405" s="617" t="str">
        <f>'[5]FR-16(7)(v)-1 Functional'!C405</f>
        <v xml:space="preserve">  TOTAL PREPAYMENTS</v>
      </c>
      <c r="D405" s="549"/>
      <c r="E405" s="548"/>
      <c r="F405" s="618">
        <f t="shared" ref="F405:K405" si="74">SUM(F401:F404)</f>
        <v>634726</v>
      </c>
      <c r="G405" s="625">
        <f t="shared" si="74"/>
        <v>165748</v>
      </c>
      <c r="H405" s="626">
        <f t="shared" si="74"/>
        <v>464705</v>
      </c>
      <c r="I405" s="627">
        <f t="shared" si="74"/>
        <v>4273</v>
      </c>
      <c r="J405" s="618">
        <f t="shared" si="74"/>
        <v>634726</v>
      </c>
      <c r="K405" s="618">
        <f t="shared" si="74"/>
        <v>0</v>
      </c>
    </row>
    <row r="406" spans="1:13">
      <c r="A406" s="565">
        <v>17</v>
      </c>
      <c r="D406" s="549"/>
      <c r="E406" s="548"/>
      <c r="G406" s="566"/>
      <c r="H406" s="567"/>
      <c r="I406" s="568"/>
    </row>
    <row r="407" spans="1:13">
      <c r="A407" s="565">
        <v>18</v>
      </c>
      <c r="B407" s="547" t="s">
        <v>1234</v>
      </c>
      <c r="D407" s="549"/>
      <c r="E407" s="548"/>
      <c r="F407" s="578">
        <f>'[5]FR-16(7)(v)-14 TOTAL CLASS'!H407</f>
        <v>1324887</v>
      </c>
      <c r="G407" s="570">
        <f>'[5]FR-16(7)(v)-3 PROD Demand'!H407+'[5]FR-16(7)(v)-7 TRANS Demand'!H407+'[5]FR-16(7)(v)-11 DIST Demand'!H407</f>
        <v>1324887</v>
      </c>
      <c r="H407" s="571">
        <f>'[5]FR-16(7)(v)-4 PROD Energy'!H407+'[5]FR-16(7)(v)-8 TRANS Energy'!H407+'[5]FR-16(7)(v)-12 DIST Energy'!H407</f>
        <v>0</v>
      </c>
      <c r="I407" s="572">
        <f>'[5]FR-16(7)(v)-5 PROD Cust'!H407+'[5]FR-16(7)(v)-9 TRANS Cust'!H407+'[5]FR-16(7)(v)-13 DIST Cust'!H407</f>
        <v>0</v>
      </c>
      <c r="J407" s="569">
        <f>SUM(G407:I407)</f>
        <v>1324887</v>
      </c>
      <c r="K407" s="569">
        <f>F407-J407</f>
        <v>0</v>
      </c>
    </row>
    <row r="408" spans="1:13">
      <c r="A408" s="565">
        <v>19</v>
      </c>
      <c r="B408" s="547" t="s">
        <v>1235</v>
      </c>
      <c r="D408" s="549"/>
      <c r="E408" s="548"/>
      <c r="F408" s="569">
        <f t="shared" ref="F408:K408" si="75">F407</f>
        <v>1324887</v>
      </c>
      <c r="G408" s="570">
        <f t="shared" si="75"/>
        <v>1324887</v>
      </c>
      <c r="H408" s="571">
        <f t="shared" si="75"/>
        <v>0</v>
      </c>
      <c r="I408" s="572">
        <f t="shared" si="75"/>
        <v>0</v>
      </c>
      <c r="J408" s="569">
        <f t="shared" si="75"/>
        <v>1324887</v>
      </c>
      <c r="K408" s="569">
        <f t="shared" si="75"/>
        <v>0</v>
      </c>
    </row>
    <row r="409" spans="1:13">
      <c r="A409" s="565">
        <v>20</v>
      </c>
      <c r="D409" s="549"/>
      <c r="E409" s="548"/>
      <c r="G409" s="566"/>
      <c r="H409" s="567"/>
      <c r="I409" s="568"/>
    </row>
    <row r="410" spans="1:13">
      <c r="A410" s="565">
        <v>21</v>
      </c>
      <c r="B410" s="547" t="s">
        <v>1236</v>
      </c>
      <c r="D410" s="549"/>
      <c r="E410" s="548"/>
      <c r="G410" s="566"/>
      <c r="H410" s="567"/>
      <c r="I410" s="568"/>
    </row>
    <row r="411" spans="1:13">
      <c r="A411" s="565">
        <v>22</v>
      </c>
      <c r="C411" s="547" t="str">
        <f>'[5]FR-16(7)(v)-1 Functional'!C411</f>
        <v>RESERVED FOR FUTURE USE</v>
      </c>
      <c r="D411" s="549" t="str">
        <f>'[5]FR-16(7)(v)-1 Functional'!D411</f>
        <v>K301</v>
      </c>
      <c r="E411" s="548"/>
      <c r="F411" s="578">
        <f>'[5]FR-16(7)(v)-14 TOTAL CLASS'!H411</f>
        <v>0</v>
      </c>
      <c r="G411" s="570">
        <f>'[5]FR-16(7)(v)-3 PROD Demand'!H411+'[5]FR-16(7)(v)-7 TRANS Demand'!H411+'[5]FR-16(7)(v)-11 DIST Demand'!H411</f>
        <v>0</v>
      </c>
      <c r="H411" s="571">
        <f>'[5]FR-16(7)(v)-4 PROD Energy'!H411+'[5]FR-16(7)(v)-8 TRANS Energy'!H411+'[5]FR-16(7)(v)-12 DIST Energy'!H411</f>
        <v>0</v>
      </c>
      <c r="I411" s="572">
        <f>'[5]FR-16(7)(v)-5 PROD Cust'!H411+'[5]FR-16(7)(v)-9 TRANS Cust'!H411+'[5]FR-16(7)(v)-13 DIST Cust'!H411</f>
        <v>0</v>
      </c>
      <c r="J411" s="569">
        <f>SUM(G411:I411)</f>
        <v>0</v>
      </c>
      <c r="K411" s="569">
        <f>F411-J411</f>
        <v>0</v>
      </c>
      <c r="M411" s="569"/>
    </row>
    <row r="412" spans="1:13">
      <c r="A412" s="565">
        <v>23</v>
      </c>
      <c r="C412" s="547" t="str">
        <f>'[5]FR-16(7)(v)-1 Functional'!C412</f>
        <v>PIPP UNCOLLECTIBLES</v>
      </c>
      <c r="D412" s="549" t="str">
        <f>'[5]FR-16(7)(v)-1 Functional'!D412</f>
        <v>A315</v>
      </c>
      <c r="E412" s="548"/>
      <c r="F412" s="578">
        <f>'[5]FR-16(7)(v)-14 TOTAL CLASS'!H412</f>
        <v>0</v>
      </c>
      <c r="G412" s="570">
        <f>'[5]FR-16(7)(v)-3 PROD Demand'!H412+'[5]FR-16(7)(v)-7 TRANS Demand'!H412+'[5]FR-16(7)(v)-11 DIST Demand'!H412</f>
        <v>0</v>
      </c>
      <c r="H412" s="571">
        <f>'[5]FR-16(7)(v)-4 PROD Energy'!H412+'[5]FR-16(7)(v)-8 TRANS Energy'!H412+'[5]FR-16(7)(v)-12 DIST Energy'!H412</f>
        <v>0</v>
      </c>
      <c r="I412" s="572">
        <f>'[5]FR-16(7)(v)-5 PROD Cust'!H412+'[5]FR-16(7)(v)-9 TRANS Cust'!H412+'[5]FR-16(7)(v)-13 DIST Cust'!H412</f>
        <v>0</v>
      </c>
      <c r="J412" s="569">
        <f>SUM(G412:I412)</f>
        <v>0</v>
      </c>
      <c r="K412" s="569">
        <f>F412-J412</f>
        <v>0</v>
      </c>
      <c r="M412" s="569"/>
    </row>
    <row r="413" spans="1:13">
      <c r="A413" s="565">
        <v>24</v>
      </c>
      <c r="C413" s="573" t="str">
        <f>'[5]FR-16(7)(v)-1 Functional'!C413</f>
        <v>RESERVED FOR FUTURE USE</v>
      </c>
      <c r="D413" s="549" t="str">
        <f>'[5]FR-16(7)(v)-1 Functional'!D413</f>
        <v>D249</v>
      </c>
      <c r="E413" s="548"/>
      <c r="F413" s="578">
        <f>'[5]FR-16(7)(v)-14 TOTAL CLASS'!H413</f>
        <v>0</v>
      </c>
      <c r="G413" s="570">
        <f>'[5]FR-16(7)(v)-3 PROD Demand'!H413+'[5]FR-16(7)(v)-7 TRANS Demand'!H413+'[5]FR-16(7)(v)-11 DIST Demand'!H413</f>
        <v>0</v>
      </c>
      <c r="H413" s="571">
        <f>'[5]FR-16(7)(v)-4 PROD Energy'!H413+'[5]FR-16(7)(v)-8 TRANS Energy'!H413+'[5]FR-16(7)(v)-12 DIST Energy'!H413</f>
        <v>0</v>
      </c>
      <c r="I413" s="572">
        <f>'[5]FR-16(7)(v)-5 PROD Cust'!H413+'[5]FR-16(7)(v)-9 TRANS Cust'!H413+'[5]FR-16(7)(v)-13 DIST Cust'!H413</f>
        <v>0</v>
      </c>
      <c r="J413" s="569">
        <f>SUM(G413:I413)</f>
        <v>0</v>
      </c>
      <c r="K413" s="569">
        <f>F413-J413</f>
        <v>0</v>
      </c>
      <c r="M413" s="569"/>
    </row>
    <row r="414" spans="1:13">
      <c r="A414" s="565">
        <v>25</v>
      </c>
      <c r="C414" s="547" t="str">
        <f>'[5]FR-16(7)(v)-1 Functional'!C414</f>
        <v xml:space="preserve">  TOTAL MISC WORK CAPITAL</v>
      </c>
      <c r="D414" s="549"/>
      <c r="E414" s="548"/>
      <c r="F414" s="574">
        <f t="shared" ref="F414:K414" si="76">SUM(F410:F413)</f>
        <v>0</v>
      </c>
      <c r="G414" s="575">
        <f t="shared" si="76"/>
        <v>0</v>
      </c>
      <c r="H414" s="576">
        <f t="shared" si="76"/>
        <v>0</v>
      </c>
      <c r="I414" s="577">
        <f t="shared" si="76"/>
        <v>0</v>
      </c>
      <c r="J414" s="574">
        <f t="shared" si="76"/>
        <v>0</v>
      </c>
      <c r="K414" s="574">
        <f t="shared" si="76"/>
        <v>0</v>
      </c>
    </row>
    <row r="415" spans="1:13">
      <c r="A415" s="565">
        <v>26</v>
      </c>
      <c r="D415" s="549"/>
      <c r="E415" s="548"/>
      <c r="G415" s="566"/>
      <c r="H415" s="567"/>
      <c r="I415" s="568"/>
    </row>
    <row r="416" spans="1:13">
      <c r="A416" s="565">
        <v>27</v>
      </c>
      <c r="B416" s="547" t="s">
        <v>1237</v>
      </c>
      <c r="D416" s="549"/>
      <c r="E416" s="548"/>
      <c r="F416" s="569">
        <f t="shared" ref="F416:K416" si="77">F399+F405+F408+F414</f>
        <v>11089882</v>
      </c>
      <c r="G416" s="570">
        <f t="shared" si="77"/>
        <v>4140281</v>
      </c>
      <c r="H416" s="571">
        <f t="shared" si="77"/>
        <v>6429758</v>
      </c>
      <c r="I416" s="572">
        <f t="shared" si="77"/>
        <v>519843</v>
      </c>
      <c r="J416" s="569">
        <f t="shared" si="77"/>
        <v>11089882</v>
      </c>
      <c r="K416" s="569">
        <f t="shared" si="77"/>
        <v>0</v>
      </c>
    </row>
    <row r="417" spans="1:13">
      <c r="A417" s="565">
        <v>28</v>
      </c>
      <c r="B417" s="547" t="s">
        <v>1238</v>
      </c>
      <c r="D417" s="549"/>
      <c r="E417" s="548"/>
      <c r="G417" s="566"/>
      <c r="H417" s="567"/>
      <c r="I417" s="568"/>
    </row>
    <row r="418" spans="1:13">
      <c r="A418" s="565">
        <v>29</v>
      </c>
      <c r="C418" s="547" t="str">
        <f>'[5]FR-16(7)(v)-1 Functional'!C418</f>
        <v>TOTAL ACCUMULATED DEFERRED INCOME TAXES</v>
      </c>
      <c r="D418" s="549"/>
      <c r="E418" s="548"/>
      <c r="F418" s="569">
        <f t="shared" ref="F418:K418" si="78">-F324</f>
        <v>-76440632</v>
      </c>
      <c r="G418" s="570">
        <f t="shared" si="78"/>
        <v>-73291225</v>
      </c>
      <c r="H418" s="571">
        <f t="shared" si="78"/>
        <v>-1328560</v>
      </c>
      <c r="I418" s="572">
        <f t="shared" si="78"/>
        <v>-1820847</v>
      </c>
      <c r="J418" s="569">
        <f t="shared" si="78"/>
        <v>-76440632</v>
      </c>
      <c r="K418" s="569">
        <f t="shared" si="78"/>
        <v>0</v>
      </c>
      <c r="M418" s="569"/>
    </row>
    <row r="419" spans="1:13">
      <c r="A419" s="565">
        <v>30</v>
      </c>
      <c r="C419" s="547" t="str">
        <f>'[5]FR-16(7)(v)-1 Functional'!C419</f>
        <v>TOTAL OTHER ACCUMULATED DEFERRED INCOME TAXES</v>
      </c>
      <c r="D419" s="549"/>
      <c r="E419" s="548"/>
      <c r="F419" s="569">
        <f t="shared" ref="F419:K419" si="79">F377</f>
        <v>5420964</v>
      </c>
      <c r="G419" s="570">
        <f t="shared" si="79"/>
        <v>4111388</v>
      </c>
      <c r="H419" s="571">
        <f t="shared" si="79"/>
        <v>1073984</v>
      </c>
      <c r="I419" s="572">
        <f t="shared" si="79"/>
        <v>235592</v>
      </c>
      <c r="J419" s="569">
        <f t="shared" si="79"/>
        <v>5420964</v>
      </c>
      <c r="K419" s="569">
        <f t="shared" si="79"/>
        <v>0</v>
      </c>
      <c r="M419" s="569"/>
    </row>
    <row r="420" spans="1:13">
      <c r="A420" s="565">
        <v>31</v>
      </c>
      <c r="C420" s="573" t="str">
        <f>'[5]FR-16(7)(v)-1 Functional'!C420</f>
        <v>TOTAL WORKING CAPITAL</v>
      </c>
      <c r="D420" s="549"/>
      <c r="E420" s="548"/>
      <c r="F420" s="569">
        <f t="shared" ref="F420:K420" si="80">F416</f>
        <v>11089882</v>
      </c>
      <c r="G420" s="570">
        <f t="shared" si="80"/>
        <v>4140281</v>
      </c>
      <c r="H420" s="571">
        <f t="shared" si="80"/>
        <v>6429758</v>
      </c>
      <c r="I420" s="572">
        <f t="shared" si="80"/>
        <v>519843</v>
      </c>
      <c r="J420" s="569">
        <f t="shared" si="80"/>
        <v>11089882</v>
      </c>
      <c r="K420" s="569">
        <f t="shared" si="80"/>
        <v>0</v>
      </c>
      <c r="M420" s="569"/>
    </row>
    <row r="421" spans="1:13">
      <c r="A421" s="565">
        <v>32</v>
      </c>
      <c r="C421" s="547" t="str">
        <f>'[5]FR-16(7)(v)-1 Functional'!C421</f>
        <v xml:space="preserve">  TOTAL RATE BASE ADJUSTMENTS</v>
      </c>
      <c r="D421" s="549"/>
      <c r="E421" s="548"/>
      <c r="F421" s="574">
        <f t="shared" ref="F421:K421" si="81">SUM(F417:F420)</f>
        <v>-59929786</v>
      </c>
      <c r="G421" s="575">
        <f t="shared" si="81"/>
        <v>-65039556</v>
      </c>
      <c r="H421" s="576">
        <f t="shared" si="81"/>
        <v>6175182</v>
      </c>
      <c r="I421" s="577">
        <f t="shared" si="81"/>
        <v>-1065412</v>
      </c>
      <c r="J421" s="574">
        <f t="shared" si="81"/>
        <v>-59929786</v>
      </c>
      <c r="K421" s="574">
        <f t="shared" si="81"/>
        <v>0</v>
      </c>
    </row>
    <row r="422" spans="1:13">
      <c r="A422" s="565">
        <v>33</v>
      </c>
      <c r="D422" s="549"/>
      <c r="E422" s="548"/>
      <c r="G422" s="566"/>
      <c r="H422" s="567"/>
      <c r="I422" s="568"/>
    </row>
    <row r="423" spans="1:13">
      <c r="A423" s="565">
        <v>34</v>
      </c>
      <c r="B423" s="547" t="s">
        <v>1239</v>
      </c>
      <c r="D423" s="549"/>
      <c r="E423" s="548"/>
      <c r="G423" s="566"/>
      <c r="H423" s="567"/>
      <c r="I423" s="568"/>
    </row>
    <row r="424" spans="1:13">
      <c r="A424" s="565">
        <v>35</v>
      </c>
      <c r="C424" s="547" t="str">
        <f>'[5]FR-16(7)(v)-1 Functional'!C424</f>
        <v>NET ELECTRIC PLANT IN SERVICE</v>
      </c>
      <c r="D424" s="549"/>
      <c r="E424" s="548"/>
      <c r="F424" s="569">
        <f t="shared" ref="F424:K424" si="82">F277</f>
        <v>417709161</v>
      </c>
      <c r="G424" s="570">
        <f t="shared" si="82"/>
        <v>399867563</v>
      </c>
      <c r="H424" s="571">
        <f t="shared" si="82"/>
        <v>7534179</v>
      </c>
      <c r="I424" s="572">
        <f t="shared" si="82"/>
        <v>10307419</v>
      </c>
      <c r="J424" s="569">
        <f t="shared" si="82"/>
        <v>417709161</v>
      </c>
      <c r="K424" s="569">
        <f t="shared" si="82"/>
        <v>0</v>
      </c>
    </row>
    <row r="425" spans="1:13">
      <c r="A425" s="565">
        <v>36</v>
      </c>
      <c r="C425" s="573" t="str">
        <f>'[5]FR-16(7)(v)-1 Functional'!C425</f>
        <v>TOTAL RATE BASE ADJUSTMENTS</v>
      </c>
      <c r="D425" s="549"/>
      <c r="E425" s="548"/>
      <c r="F425" s="569">
        <f t="shared" ref="F425:K425" si="83">F421</f>
        <v>-59929786</v>
      </c>
      <c r="G425" s="570">
        <f t="shared" si="83"/>
        <v>-65039556</v>
      </c>
      <c r="H425" s="571">
        <f t="shared" si="83"/>
        <v>6175182</v>
      </c>
      <c r="I425" s="572">
        <f t="shared" si="83"/>
        <v>-1065412</v>
      </c>
      <c r="J425" s="569">
        <f t="shared" si="83"/>
        <v>-59929786</v>
      </c>
      <c r="K425" s="569">
        <f t="shared" si="83"/>
        <v>0</v>
      </c>
    </row>
    <row r="426" spans="1:13">
      <c r="A426" s="565">
        <v>37</v>
      </c>
      <c r="C426" s="547" t="str">
        <f>'[5]FR-16(7)(v)-1 Functional'!C426</f>
        <v xml:space="preserve">  TOTAL RATE BASE</v>
      </c>
      <c r="D426" s="549"/>
      <c r="E426" s="548"/>
      <c r="F426" s="574">
        <f t="shared" ref="F426:K426" si="84">SUM(F423:F425)</f>
        <v>357779375</v>
      </c>
      <c r="G426" s="575">
        <f t="shared" si="84"/>
        <v>334828007</v>
      </c>
      <c r="H426" s="576">
        <f t="shared" si="84"/>
        <v>13709361</v>
      </c>
      <c r="I426" s="577">
        <f t="shared" si="84"/>
        <v>9242007</v>
      </c>
      <c r="J426" s="574">
        <f t="shared" si="84"/>
        <v>357779375</v>
      </c>
      <c r="K426" s="574">
        <f t="shared" si="84"/>
        <v>0</v>
      </c>
    </row>
    <row r="427" spans="1:13">
      <c r="A427" s="565">
        <v>38</v>
      </c>
      <c r="D427" s="549"/>
      <c r="E427" s="548"/>
      <c r="G427" s="566"/>
      <c r="H427" s="567"/>
      <c r="I427" s="568"/>
    </row>
    <row r="428" spans="1:13">
      <c r="A428" s="565">
        <v>39</v>
      </c>
      <c r="B428" s="547" t="s">
        <v>1182</v>
      </c>
      <c r="D428" s="549"/>
      <c r="E428" s="548"/>
      <c r="F428" s="628">
        <f>$F$811</f>
        <v>7.9600000000000004E-2</v>
      </c>
      <c r="G428" s="629">
        <f>F811</f>
        <v>7.9600000000000004E-2</v>
      </c>
      <c r="H428" s="630">
        <f>F811</f>
        <v>7.9600000000000004E-2</v>
      </c>
      <c r="I428" s="631">
        <f>F811</f>
        <v>7.9600000000000004E-2</v>
      </c>
      <c r="J428" s="628">
        <f>F811</f>
        <v>7.9600000000000004E-2</v>
      </c>
      <c r="K428" s="628"/>
    </row>
    <row r="429" spans="1:13">
      <c r="A429" s="565">
        <v>40</v>
      </c>
      <c r="B429" s="547" t="s">
        <v>1175</v>
      </c>
      <c r="D429" s="549"/>
      <c r="E429" s="548"/>
      <c r="F429" s="569">
        <f>ROUND(F428*F426,0)</f>
        <v>28479238</v>
      </c>
      <c r="G429" s="588">
        <f>F429-SUM(H429:I429)</f>
        <v>26652309</v>
      </c>
      <c r="H429" s="569">
        <f>ROUND(H426*H428,0)</f>
        <v>1091265</v>
      </c>
      <c r="I429" s="589">
        <f>ROUND(I426*I428,0)</f>
        <v>735664</v>
      </c>
      <c r="J429" s="569">
        <f>SUM(G429:I429)</f>
        <v>28479238</v>
      </c>
      <c r="K429" s="569">
        <f>ROUND(K426*K428,0)</f>
        <v>0</v>
      </c>
    </row>
    <row r="430" spans="1:13">
      <c r="A430" s="565">
        <v>41</v>
      </c>
      <c r="D430" s="549"/>
      <c r="E430" s="548"/>
      <c r="F430" s="628"/>
      <c r="G430" s="629"/>
      <c r="H430" s="630"/>
      <c r="I430" s="631"/>
      <c r="J430" s="628"/>
      <c r="K430" s="628"/>
    </row>
    <row r="431" spans="1:13">
      <c r="A431" s="565">
        <v>42</v>
      </c>
      <c r="B431" s="547" t="str">
        <f>'[5]FR-16(7)(v)-1 Functional'!B431</f>
        <v>ELECTRIC RATE BASE</v>
      </c>
      <c r="D431" s="549" t="str">
        <f>'[5]FR-16(7)(v)-1 Functional'!D431</f>
        <v>RB99</v>
      </c>
      <c r="E431" s="548"/>
      <c r="F431" s="578">
        <f>'[5]FR-16(7)(v)-14 TOTAL CLASS'!H431</f>
        <v>358384986</v>
      </c>
      <c r="G431" s="588">
        <f>'[5]FR-16(7)(v)-3 PROD Demand'!H431+'[5]FR-16(7)(v)-7 TRANS Demand'!H431+'[5]FR-16(7)(v)-11 DIST Demand'!H431</f>
        <v>335411897</v>
      </c>
      <c r="H431" s="569">
        <f>'[5]FR-16(7)(v)-4 PROD Energy'!H431+'[5]FR-16(7)(v)-8 TRANS Energy'!H431+'[5]FR-16(7)(v)-12 DIST Energy'!H431</f>
        <v>13708259</v>
      </c>
      <c r="I431" s="589">
        <f>'[5]FR-16(7)(v)-5 PROD Cust'!H431+'[5]FR-16(7)(v)-9 TRANS Cust'!H431+'[5]FR-16(7)(v)-13 DIST Cust'!H431</f>
        <v>9264830</v>
      </c>
      <c r="J431" s="569">
        <f>SUM(G431:I431)</f>
        <v>358384986</v>
      </c>
      <c r="K431" s="569">
        <f>F431-J431</f>
        <v>0</v>
      </c>
    </row>
    <row r="432" spans="1:13">
      <c r="A432" s="565">
        <v>43</v>
      </c>
      <c r="B432" s="547" t="str">
        <f>'[5]FR-16(7)(v)-1 Functional'!B432</f>
        <v>TOTAL RATE OF RETURN ALLOWABLE</v>
      </c>
      <c r="D432" s="549"/>
      <c r="E432" s="548"/>
      <c r="F432" s="628">
        <f>RofR</f>
        <v>7.9680000000000001E-2</v>
      </c>
      <c r="G432" s="629">
        <f>RofR</f>
        <v>7.9680000000000001E-2</v>
      </c>
      <c r="H432" s="630">
        <f>RofR</f>
        <v>7.9680000000000001E-2</v>
      </c>
      <c r="I432" s="631">
        <f>RofR</f>
        <v>7.9680000000000001E-2</v>
      </c>
      <c r="J432" s="628">
        <f>RofR</f>
        <v>7.9680000000000001E-2</v>
      </c>
      <c r="K432" s="628"/>
    </row>
    <row r="433" spans="1:11">
      <c r="A433" s="565">
        <v>44</v>
      </c>
      <c r="B433" s="547" t="str">
        <f>'[5]FR-16(7)(v)-1 Functional'!B433</f>
        <v>RETURN ON RATE BASE</v>
      </c>
      <c r="D433" s="547"/>
      <c r="F433" s="574">
        <f>ROUND(F431*F432,0)</f>
        <v>28556116</v>
      </c>
      <c r="G433" s="632">
        <f>F433-H433-I433</f>
        <v>26725620</v>
      </c>
      <c r="H433" s="633">
        <f>ROUND(H431*H432,0)</f>
        <v>1092274</v>
      </c>
      <c r="I433" s="634">
        <f>ROUND(I431*I432,0)</f>
        <v>738222</v>
      </c>
      <c r="J433" s="574">
        <f>ROUND(J431*J432,0)</f>
        <v>28556116</v>
      </c>
      <c r="K433" s="574">
        <f>F433-J433</f>
        <v>0</v>
      </c>
    </row>
    <row r="434" spans="1:11">
      <c r="B434" s="546"/>
      <c r="C434" s="548"/>
      <c r="D434" s="549"/>
      <c r="E434" s="548"/>
      <c r="F434" s="548"/>
      <c r="G434" s="548"/>
      <c r="H434" s="548"/>
      <c r="I434" s="548"/>
      <c r="J434" s="548"/>
      <c r="K434" s="548"/>
    </row>
    <row r="435" spans="1:11">
      <c r="A435" s="546" t="str">
        <f>co_name</f>
        <v>DUKE ENERGY KENTUCKY, INC.</v>
      </c>
      <c r="C435" s="548"/>
      <c r="D435" s="549"/>
      <c r="E435" s="548"/>
      <c r="F435" s="548"/>
      <c r="G435" s="548"/>
      <c r="H435" s="548"/>
      <c r="I435" s="548"/>
      <c r="J435" s="548" t="str">
        <f>J1</f>
        <v>FR-16(7)(v)-16</v>
      </c>
      <c r="K435" s="548"/>
    </row>
    <row r="436" spans="1:11">
      <c r="A436" s="546" t="str">
        <f>$A$2</f>
        <v>DISTR. SEC. CLASSIFIED - ELECTRIC COST OF SERVICE</v>
      </c>
      <c r="C436" s="548"/>
      <c r="D436" s="549"/>
      <c r="E436" s="548"/>
      <c r="F436" s="548"/>
      <c r="G436" s="548"/>
      <c r="H436" s="548"/>
      <c r="I436" s="548"/>
      <c r="J436" s="548" t="str">
        <f>J2</f>
        <v>WITNESS RESPONSIBLE:</v>
      </c>
      <c r="K436" s="548"/>
    </row>
    <row r="437" spans="1:11">
      <c r="A437" s="546" t="str">
        <f>case_name</f>
        <v>CASE NO: 2024-00354</v>
      </c>
      <c r="C437" s="548"/>
      <c r="D437" s="549"/>
      <c r="E437" s="548"/>
      <c r="F437" s="548"/>
      <c r="G437" s="548"/>
      <c r="H437" s="548"/>
      <c r="I437" s="548"/>
      <c r="J437" s="548" t="str">
        <f>Witness</f>
        <v>JAMES E. ZIOLKOWSKI</v>
      </c>
      <c r="K437" s="548"/>
    </row>
    <row r="438" spans="1:11">
      <c r="A438" s="546" t="str">
        <f>data_filing</f>
        <v>DATA: 12 MONTHS ACTUAL  &amp; 0 MONTHS ESTIMATED</v>
      </c>
      <c r="C438" s="548"/>
      <c r="D438" s="549"/>
      <c r="E438" s="548"/>
      <c r="F438" s="548"/>
      <c r="G438" s="548"/>
      <c r="H438" s="548"/>
      <c r="I438" s="548"/>
      <c r="J438" s="548" t="str">
        <f>"PAGE "&amp;Pages2-7&amp;" OF "&amp;Pages2</f>
        <v>PAGE 8 OF 15</v>
      </c>
      <c r="K438" s="548"/>
    </row>
    <row r="439" spans="1:11">
      <c r="A439" s="546" t="str">
        <f>type</f>
        <v xml:space="preserve">TYPE OF FILING: "X" ORIGINAL   UPDATED    REVISED  </v>
      </c>
      <c r="C439" s="548"/>
      <c r="D439" s="549"/>
      <c r="E439" s="548"/>
      <c r="F439" s="548"/>
      <c r="G439" s="548"/>
      <c r="H439" s="548"/>
      <c r="I439" s="548"/>
      <c r="J439" s="548"/>
      <c r="K439" s="548"/>
    </row>
    <row r="440" spans="1:11">
      <c r="B440" s="546"/>
      <c r="C440" s="548"/>
      <c r="D440" s="549"/>
      <c r="E440" s="548"/>
      <c r="F440" s="548"/>
      <c r="G440" s="548"/>
      <c r="H440" s="548"/>
      <c r="I440" s="548"/>
      <c r="J440" s="548"/>
      <c r="K440" s="548"/>
    </row>
    <row r="441" spans="1:11">
      <c r="B441" s="546"/>
      <c r="C441" s="548"/>
      <c r="D441" s="549"/>
      <c r="E441" s="548"/>
      <c r="F441" s="548"/>
      <c r="G441" s="548"/>
      <c r="H441" s="548"/>
      <c r="I441" s="548"/>
      <c r="J441" s="548"/>
      <c r="K441" s="548"/>
    </row>
    <row r="442" spans="1:11">
      <c r="A442" s="549" t="s">
        <v>17</v>
      </c>
      <c r="B442" s="548"/>
      <c r="C442" s="548"/>
      <c r="D442" s="549"/>
      <c r="E442" s="548"/>
      <c r="F442" s="549" t="s">
        <v>11</v>
      </c>
      <c r="G442" s="552" t="s">
        <v>1162</v>
      </c>
      <c r="H442" s="553"/>
      <c r="I442" s="554"/>
      <c r="J442" s="549" t="s">
        <v>11</v>
      </c>
      <c r="K442" s="549" t="s">
        <v>1163</v>
      </c>
    </row>
    <row r="443" spans="1:11">
      <c r="A443" s="555" t="s">
        <v>1164</v>
      </c>
      <c r="B443" s="556" t="s">
        <v>1240</v>
      </c>
      <c r="C443" s="556"/>
      <c r="D443" s="555" t="s">
        <v>1166</v>
      </c>
      <c r="E443" s="556"/>
      <c r="F443" s="555" t="str">
        <f>$F$9</f>
        <v>DISTR. SEC.</v>
      </c>
      <c r="G443" s="611" t="str">
        <f t="shared" ref="G443:I444" si="85">G9</f>
        <v>DEMAND</v>
      </c>
      <c r="H443" s="612" t="str">
        <f t="shared" si="85"/>
        <v>ENERGY</v>
      </c>
      <c r="I443" s="613" t="str">
        <f t="shared" si="85"/>
        <v>CUSTOMER</v>
      </c>
      <c r="J443" s="555" t="s">
        <v>1169</v>
      </c>
      <c r="K443" s="555" t="s">
        <v>543</v>
      </c>
    </row>
    <row r="444" spans="1:11">
      <c r="C444" s="561" t="s">
        <v>1241</v>
      </c>
      <c r="D444" s="549"/>
      <c r="E444" s="548"/>
      <c r="G444" s="614">
        <f t="shared" si="85"/>
        <v>3</v>
      </c>
      <c r="H444" s="615">
        <f t="shared" si="85"/>
        <v>4</v>
      </c>
      <c r="I444" s="616">
        <f t="shared" si="85"/>
        <v>5</v>
      </c>
    </row>
    <row r="445" spans="1:11">
      <c r="A445" s="565">
        <v>1</v>
      </c>
      <c r="B445" s="547" t="s">
        <v>1242</v>
      </c>
      <c r="D445" s="549"/>
      <c r="E445" s="548"/>
      <c r="G445" s="566"/>
      <c r="H445" s="567"/>
      <c r="I445" s="568"/>
    </row>
    <row r="446" spans="1:11">
      <c r="A446" s="565">
        <v>2</v>
      </c>
      <c r="B446" s="547" t="str">
        <f>'[5]FR-16(7)(v)-1 Functional'!B446</f>
        <v>ENERGY RELATED PRODUCTION O&amp;M</v>
      </c>
      <c r="D446" s="549"/>
      <c r="E446" s="548"/>
      <c r="G446" s="566"/>
      <c r="H446" s="567"/>
      <c r="I446" s="568"/>
    </row>
    <row r="447" spans="1:11">
      <c r="A447" s="565">
        <v>3</v>
      </c>
      <c r="C447" s="547" t="str">
        <f>'[5]FR-16(7)(v)-1 Functional'!C447</f>
        <v>FUEL</v>
      </c>
      <c r="D447" s="549" t="str">
        <f>'[5]FR-16(7)(v)-1 Functional'!D447</f>
        <v>K302</v>
      </c>
      <c r="E447" s="548"/>
      <c r="F447" s="578">
        <f>'[5]FR-16(7)(v)-14 TOTAL CLASS'!H447</f>
        <v>0</v>
      </c>
      <c r="G447" s="570">
        <f>'[5]FR-16(7)(v)-3 PROD Demand'!H447+'[5]FR-16(7)(v)-7 TRANS Demand'!H447+'[5]FR-16(7)(v)-11 DIST Demand'!H447</f>
        <v>0</v>
      </c>
      <c r="H447" s="571">
        <f>'[5]FR-16(7)(v)-4 PROD Energy'!H447+'[5]FR-16(7)(v)-8 TRANS Energy'!H447+'[5]FR-16(7)(v)-12 DIST Energy'!H447</f>
        <v>0</v>
      </c>
      <c r="I447" s="572">
        <f>'[5]FR-16(7)(v)-5 PROD Cust'!H447+'[5]FR-16(7)(v)-9 TRANS Cust'!H447+'[5]FR-16(7)(v)-13 DIST Cust'!H447</f>
        <v>0</v>
      </c>
      <c r="J447" s="569">
        <f t="shared" ref="J447:J452" si="86">SUM(G447:I447)</f>
        <v>0</v>
      </c>
      <c r="K447" s="569">
        <f t="shared" ref="K447:K452" si="87">F447-J447</f>
        <v>0</v>
      </c>
    </row>
    <row r="448" spans="1:11">
      <c r="A448" s="565">
        <v>4</v>
      </c>
      <c r="C448" s="547" t="str">
        <f>'[5]FR-16(7)(v)-1 Functional'!C448</f>
        <v>FUEL AND PURCHASED POWER ADJUSTMENT</v>
      </c>
      <c r="D448" s="549" t="str">
        <f>'[5]FR-16(7)(v)-1 Functional'!D448</f>
        <v>K302</v>
      </c>
      <c r="E448" s="548"/>
      <c r="F448" s="578">
        <f>'[5]FR-16(7)(v)-14 TOTAL CLASS'!H448</f>
        <v>46319330</v>
      </c>
      <c r="G448" s="570">
        <f>'[5]FR-16(7)(v)-3 PROD Demand'!H448+'[5]FR-16(7)(v)-7 TRANS Demand'!H448+'[5]FR-16(7)(v)-11 DIST Demand'!H448</f>
        <v>0</v>
      </c>
      <c r="H448" s="571">
        <f>'[5]FR-16(7)(v)-4 PROD Energy'!H448+'[5]FR-16(7)(v)-8 TRANS Energy'!H448+'[5]FR-16(7)(v)-12 DIST Energy'!H448</f>
        <v>46319330</v>
      </c>
      <c r="I448" s="572">
        <f>'[5]FR-16(7)(v)-5 PROD Cust'!H448+'[5]FR-16(7)(v)-9 TRANS Cust'!H448+'[5]FR-16(7)(v)-13 DIST Cust'!H448</f>
        <v>0</v>
      </c>
      <c r="J448" s="569">
        <f t="shared" si="86"/>
        <v>46319330</v>
      </c>
      <c r="K448" s="569">
        <f t="shared" si="87"/>
        <v>0</v>
      </c>
    </row>
    <row r="449" spans="1:11">
      <c r="A449" s="565">
        <v>5</v>
      </c>
      <c r="C449" s="547" t="str">
        <f>'[5]FR-16(7)(v)-1 Functional'!C449</f>
        <v>EMISSION ALLOWANCES</v>
      </c>
      <c r="D449" s="549" t="str">
        <f>'[5]FR-16(7)(v)-1 Functional'!D449</f>
        <v>K301</v>
      </c>
      <c r="E449" s="548"/>
      <c r="F449" s="578">
        <f>'[5]FR-16(7)(v)-14 TOTAL CLASS'!H449</f>
        <v>0</v>
      </c>
      <c r="G449" s="570">
        <f>'[5]FR-16(7)(v)-3 PROD Demand'!H449+'[5]FR-16(7)(v)-7 TRANS Demand'!H449+'[5]FR-16(7)(v)-11 DIST Demand'!H449</f>
        <v>0</v>
      </c>
      <c r="H449" s="571">
        <f>'[5]FR-16(7)(v)-4 PROD Energy'!H449+'[5]FR-16(7)(v)-8 TRANS Energy'!H449+'[5]FR-16(7)(v)-12 DIST Energy'!H449</f>
        <v>0</v>
      </c>
      <c r="I449" s="572">
        <f>'[5]FR-16(7)(v)-5 PROD Cust'!H449+'[5]FR-16(7)(v)-9 TRANS Cust'!H449+'[5]FR-16(7)(v)-13 DIST Cust'!H449</f>
        <v>0</v>
      </c>
      <c r="J449" s="569">
        <f t="shared" si="86"/>
        <v>0</v>
      </c>
      <c r="K449" s="569">
        <f t="shared" si="87"/>
        <v>0</v>
      </c>
    </row>
    <row r="450" spans="1:11">
      <c r="A450" s="565">
        <v>6</v>
      </c>
      <c r="C450" s="547" t="str">
        <f>'[5]FR-16(7)(v)-1 Functional'!C450</f>
        <v>ELIMINATE EMISSION ALLOW &amp; OTHER VAR COST</v>
      </c>
      <c r="D450" s="549" t="str">
        <f>'[5]FR-16(7)(v)-1 Functional'!D450</f>
        <v>K301</v>
      </c>
      <c r="E450" s="548"/>
      <c r="F450" s="578">
        <f>'[5]FR-16(7)(v)-14 TOTAL CLASS'!H450</f>
        <v>0</v>
      </c>
      <c r="G450" s="570">
        <f>'[5]FR-16(7)(v)-3 PROD Demand'!H450+'[5]FR-16(7)(v)-7 TRANS Demand'!H450+'[5]FR-16(7)(v)-11 DIST Demand'!H450</f>
        <v>0</v>
      </c>
      <c r="H450" s="571">
        <f>'[5]FR-16(7)(v)-4 PROD Energy'!H450+'[5]FR-16(7)(v)-8 TRANS Energy'!H450+'[5]FR-16(7)(v)-12 DIST Energy'!H450</f>
        <v>0</v>
      </c>
      <c r="I450" s="572">
        <f>'[5]FR-16(7)(v)-5 PROD Cust'!H450+'[5]FR-16(7)(v)-9 TRANS Cust'!H450+'[5]FR-16(7)(v)-13 DIST Cust'!H450</f>
        <v>0</v>
      </c>
      <c r="J450" s="569">
        <f t="shared" si="86"/>
        <v>0</v>
      </c>
      <c r="K450" s="569">
        <f t="shared" si="87"/>
        <v>0</v>
      </c>
    </row>
    <row r="451" spans="1:11">
      <c r="A451" s="565">
        <v>7</v>
      </c>
      <c r="C451" s="547" t="str">
        <f>'[5]FR-16(7)(v)-1 Functional'!C451</f>
        <v>OTHER PRODUCTION EXPENSE - MAINTENANCE</v>
      </c>
      <c r="D451" s="549" t="str">
        <f>'[5]FR-16(7)(v)-1 Functional'!D451</f>
        <v>K301</v>
      </c>
      <c r="E451" s="548"/>
      <c r="F451" s="578">
        <f>'[5]FR-16(7)(v)-14 TOTAL CLASS'!H451</f>
        <v>14222954</v>
      </c>
      <c r="G451" s="570">
        <f>'[5]FR-16(7)(v)-3 PROD Demand'!H451+'[5]FR-16(7)(v)-7 TRANS Demand'!H451+'[5]FR-16(7)(v)-11 DIST Demand'!H451</f>
        <v>0</v>
      </c>
      <c r="H451" s="571">
        <f>'[5]FR-16(7)(v)-4 PROD Energy'!H451+'[5]FR-16(7)(v)-8 TRANS Energy'!H451+'[5]FR-16(7)(v)-12 DIST Energy'!H451</f>
        <v>14222954</v>
      </c>
      <c r="I451" s="572">
        <f>'[5]FR-16(7)(v)-5 PROD Cust'!H451+'[5]FR-16(7)(v)-9 TRANS Cust'!H451+'[5]FR-16(7)(v)-13 DIST Cust'!H451</f>
        <v>0</v>
      </c>
      <c r="J451" s="569">
        <f t="shared" si="86"/>
        <v>14222954</v>
      </c>
      <c r="K451" s="569">
        <f t="shared" si="87"/>
        <v>0</v>
      </c>
    </row>
    <row r="452" spans="1:11">
      <c r="A452" s="565">
        <v>8</v>
      </c>
      <c r="C452" s="547" t="str">
        <f>'[5]FR-16(7)(v)-1 Functional'!C452</f>
        <v>MISO TRANSMISSION CHARGES - ACCT 555</v>
      </c>
      <c r="D452" s="549" t="str">
        <f>'[5]FR-16(7)(v)-1 Functional'!D452</f>
        <v>K301</v>
      </c>
      <c r="E452" s="548"/>
      <c r="F452" s="578">
        <f>'[5]FR-16(7)(v)-14 TOTAL CLASS'!H452</f>
        <v>0</v>
      </c>
      <c r="G452" s="570">
        <f>'[5]FR-16(7)(v)-3 PROD Demand'!H452+'[5]FR-16(7)(v)-7 TRANS Demand'!H452+'[5]FR-16(7)(v)-11 DIST Demand'!H452</f>
        <v>0</v>
      </c>
      <c r="H452" s="571">
        <f>'[5]FR-16(7)(v)-4 PROD Energy'!H452+'[5]FR-16(7)(v)-8 TRANS Energy'!H452+'[5]FR-16(7)(v)-12 DIST Energy'!H452</f>
        <v>0</v>
      </c>
      <c r="I452" s="572">
        <f>'[5]FR-16(7)(v)-5 PROD Cust'!H452+'[5]FR-16(7)(v)-9 TRANS Cust'!H452+'[5]FR-16(7)(v)-13 DIST Cust'!H452</f>
        <v>0</v>
      </c>
      <c r="J452" s="569">
        <f t="shared" si="86"/>
        <v>0</v>
      </c>
      <c r="K452" s="569">
        <f t="shared" si="87"/>
        <v>0</v>
      </c>
    </row>
    <row r="453" spans="1:11">
      <c r="A453" s="565">
        <v>9</v>
      </c>
      <c r="C453" s="617" t="str">
        <f>'[5]FR-16(7)(v)-1 Functional'!C453</f>
        <v xml:space="preserve">  TOTAL ENERGY RELATED</v>
      </c>
      <c r="D453" s="549"/>
      <c r="E453" s="548"/>
      <c r="F453" s="574">
        <f t="shared" ref="F453:K453" si="88">SUM(F447:F452)</f>
        <v>60542284</v>
      </c>
      <c r="G453" s="575">
        <f t="shared" si="88"/>
        <v>0</v>
      </c>
      <c r="H453" s="576">
        <f t="shared" si="88"/>
        <v>60542284</v>
      </c>
      <c r="I453" s="577">
        <f t="shared" si="88"/>
        <v>0</v>
      </c>
      <c r="J453" s="574">
        <f t="shared" si="88"/>
        <v>60542284</v>
      </c>
      <c r="K453" s="574">
        <f t="shared" si="88"/>
        <v>0</v>
      </c>
    </row>
    <row r="454" spans="1:11">
      <c r="A454" s="565">
        <v>10</v>
      </c>
      <c r="D454" s="549"/>
      <c r="E454" s="548"/>
      <c r="G454" s="566"/>
      <c r="H454" s="567"/>
      <c r="I454" s="568"/>
    </row>
    <row r="455" spans="1:11">
      <c r="A455" s="565">
        <v>11</v>
      </c>
      <c r="B455" s="547" t="s">
        <v>1243</v>
      </c>
      <c r="D455" s="549"/>
      <c r="E455" s="548"/>
      <c r="G455" s="566"/>
      <c r="H455" s="567"/>
      <c r="I455" s="568"/>
    </row>
    <row r="456" spans="1:11">
      <c r="A456" s="565">
        <v>12</v>
      </c>
      <c r="C456" s="547" t="str">
        <f>'[5]FR-16(7)(v)-1 Functional'!C456</f>
        <v>OTHER PRODUCTION EXPENSES - OPERATIONS</v>
      </c>
      <c r="D456" s="549" t="str">
        <f>'[5]FR-16(7)(v)-1 Functional'!D456</f>
        <v>K201</v>
      </c>
      <c r="E456" s="548"/>
      <c r="F456" s="578">
        <f>'[5]FR-16(7)(v)-14 TOTAL CLASS'!H456</f>
        <v>0</v>
      </c>
      <c r="G456" s="570">
        <f>'[5]FR-16(7)(v)-3 PROD Demand'!H456+'[5]FR-16(7)(v)-7 TRANS Demand'!H456+'[5]FR-16(7)(v)-11 DIST Demand'!H456</f>
        <v>0</v>
      </c>
      <c r="H456" s="571">
        <f>'[5]FR-16(7)(v)-4 PROD Energy'!H456+'[5]FR-16(7)(v)-8 TRANS Energy'!H456+'[5]FR-16(7)(v)-12 DIST Energy'!H456</f>
        <v>0</v>
      </c>
      <c r="I456" s="572">
        <f>'[5]FR-16(7)(v)-5 PROD Cust'!H456+'[5]FR-16(7)(v)-9 TRANS Cust'!H456+'[5]FR-16(7)(v)-13 DIST Cust'!H456</f>
        <v>0</v>
      </c>
      <c r="J456" s="569">
        <f>SUM(G456:I456)</f>
        <v>0</v>
      </c>
      <c r="K456" s="569">
        <f>F456-J456</f>
        <v>0</v>
      </c>
    </row>
    <row r="457" spans="1:11">
      <c r="A457" s="565">
        <v>13</v>
      </c>
      <c r="C457" s="617" t="str">
        <f>'[5]FR-16(7)(v)-1 Functional'!C457</f>
        <v xml:space="preserve">  TOTAL DEMAND REL &amp; OTH PROD O&amp;M </v>
      </c>
      <c r="D457" s="549"/>
      <c r="E457" s="548"/>
      <c r="F457" s="574">
        <f t="shared" ref="F457:K457" si="89">SUM(F455:F456)</f>
        <v>0</v>
      </c>
      <c r="G457" s="575">
        <f t="shared" si="89"/>
        <v>0</v>
      </c>
      <c r="H457" s="576">
        <f t="shared" si="89"/>
        <v>0</v>
      </c>
      <c r="I457" s="577">
        <f t="shared" si="89"/>
        <v>0</v>
      </c>
      <c r="J457" s="574">
        <f t="shared" si="89"/>
        <v>0</v>
      </c>
      <c r="K457" s="574">
        <f t="shared" si="89"/>
        <v>0</v>
      </c>
    </row>
    <row r="458" spans="1:11">
      <c r="A458" s="565">
        <v>14</v>
      </c>
      <c r="D458" s="549"/>
      <c r="E458" s="548"/>
      <c r="F458" s="569"/>
      <c r="G458" s="570"/>
      <c r="H458" s="571"/>
      <c r="I458" s="572"/>
      <c r="J458" s="569"/>
      <c r="K458" s="569"/>
    </row>
    <row r="459" spans="1:11">
      <c r="A459" s="565">
        <v>15</v>
      </c>
      <c r="B459" s="547" t="s">
        <v>1244</v>
      </c>
      <c r="D459" s="549"/>
      <c r="E459" s="548" t="s">
        <v>173</v>
      </c>
      <c r="F459" s="569">
        <f t="shared" ref="F459:K459" si="90">F457+F453</f>
        <v>60542284</v>
      </c>
      <c r="G459" s="570">
        <f t="shared" si="90"/>
        <v>0</v>
      </c>
      <c r="H459" s="571">
        <f t="shared" si="90"/>
        <v>60542284</v>
      </c>
      <c r="I459" s="572">
        <f t="shared" si="90"/>
        <v>0</v>
      </c>
      <c r="J459" s="569">
        <f t="shared" si="90"/>
        <v>60542284</v>
      </c>
      <c r="K459" s="569">
        <f t="shared" si="90"/>
        <v>0</v>
      </c>
    </row>
    <row r="460" spans="1:11">
      <c r="A460" s="565">
        <v>16</v>
      </c>
      <c r="D460" s="549"/>
      <c r="E460" s="548"/>
      <c r="G460" s="566"/>
      <c r="H460" s="567"/>
      <c r="I460" s="568"/>
    </row>
    <row r="461" spans="1:11">
      <c r="A461" s="565">
        <v>17</v>
      </c>
      <c r="B461" s="547" t="s">
        <v>1245</v>
      </c>
      <c r="D461" s="549"/>
      <c r="E461" s="548"/>
      <c r="G461" s="566"/>
      <c r="H461" s="567"/>
      <c r="I461" s="568"/>
    </row>
    <row r="462" spans="1:11">
      <c r="A462" s="565">
        <v>18</v>
      </c>
      <c r="C462" s="547" t="str">
        <f>'[5]FR-16(7)(v)-1 Functional'!C462</f>
        <v>TRANSFORMER LEASE PAYMENTS</v>
      </c>
      <c r="D462" s="549" t="str">
        <f>'[5]FR-16(7)(v)-1 Functional'!D462</f>
        <v>K202</v>
      </c>
      <c r="E462" s="548"/>
      <c r="F462" s="578">
        <f>'[5]FR-16(7)(v)-14 TOTAL CLASS'!H462</f>
        <v>0</v>
      </c>
      <c r="G462" s="570">
        <f>'[5]FR-16(7)(v)-3 PROD Demand'!H462+'[5]FR-16(7)(v)-7 TRANS Demand'!H462+'[5]FR-16(7)(v)-11 DIST Demand'!H462</f>
        <v>0</v>
      </c>
      <c r="H462" s="571">
        <f>'[5]FR-16(7)(v)-4 PROD Energy'!H462+'[5]FR-16(7)(v)-8 TRANS Energy'!H462+'[5]FR-16(7)(v)-12 DIST Energy'!H462</f>
        <v>0</v>
      </c>
      <c r="I462" s="572">
        <f>'[5]FR-16(7)(v)-5 PROD Cust'!H462+'[5]FR-16(7)(v)-9 TRANS Cust'!H462+'[5]FR-16(7)(v)-13 DIST Cust'!H462</f>
        <v>0</v>
      </c>
      <c r="J462" s="569">
        <f>SUM(G462:I462)</f>
        <v>0</v>
      </c>
      <c r="K462" s="569">
        <f>F462-J462</f>
        <v>0</v>
      </c>
    </row>
    <row r="463" spans="1:11">
      <c r="A463" s="565">
        <v>19</v>
      </c>
      <c r="C463" s="547" t="str">
        <f>'[5]FR-16(7)(v)-1 Functional'!C463</f>
        <v>OTHER TRANSMISSION</v>
      </c>
      <c r="D463" s="549" t="str">
        <f>'[5]FR-16(7)(v)-1 Functional'!D463</f>
        <v>K202</v>
      </c>
      <c r="E463" s="548"/>
      <c r="F463" s="578">
        <f>'[5]FR-16(7)(v)-14 TOTAL CLASS'!H463</f>
        <v>9878147</v>
      </c>
      <c r="G463" s="570">
        <f>'[5]FR-16(7)(v)-3 PROD Demand'!H463+'[5]FR-16(7)(v)-7 TRANS Demand'!H463+'[5]FR-16(7)(v)-11 DIST Demand'!H463</f>
        <v>9878147</v>
      </c>
      <c r="H463" s="571">
        <f>'[5]FR-16(7)(v)-4 PROD Energy'!H463+'[5]FR-16(7)(v)-8 TRANS Energy'!H463+'[5]FR-16(7)(v)-12 DIST Energy'!H463</f>
        <v>0</v>
      </c>
      <c r="I463" s="572">
        <f>'[5]FR-16(7)(v)-5 PROD Cust'!H463+'[5]FR-16(7)(v)-9 TRANS Cust'!H463+'[5]FR-16(7)(v)-13 DIST Cust'!H463</f>
        <v>0</v>
      </c>
      <c r="J463" s="569">
        <f>SUM(G463:I463)</f>
        <v>9878147</v>
      </c>
      <c r="K463" s="569">
        <f>F463-J463</f>
        <v>0</v>
      </c>
    </row>
    <row r="464" spans="1:11">
      <c r="A464" s="565">
        <v>20</v>
      </c>
      <c r="C464" s="547" t="str">
        <f>'[5]FR-16(7)(v)-1 Functional'!C464</f>
        <v>MISCELLANEOUS ADJUSTMENTS</v>
      </c>
      <c r="D464" s="549" t="str">
        <f>'[5]FR-16(7)(v)-1 Functional'!D464</f>
        <v>K202</v>
      </c>
      <c r="E464" s="548"/>
      <c r="F464" s="578">
        <f>'[5]FR-16(7)(v)-14 TOTAL CLASS'!H464</f>
        <v>0</v>
      </c>
      <c r="G464" s="570">
        <f>'[5]FR-16(7)(v)-3 PROD Demand'!H464+'[5]FR-16(7)(v)-7 TRANS Demand'!H464+'[5]FR-16(7)(v)-11 DIST Demand'!H464</f>
        <v>0</v>
      </c>
      <c r="H464" s="571">
        <f>'[5]FR-16(7)(v)-4 PROD Energy'!H464+'[5]FR-16(7)(v)-8 TRANS Energy'!H464+'[5]FR-16(7)(v)-12 DIST Energy'!H464</f>
        <v>0</v>
      </c>
      <c r="I464" s="572">
        <f>'[5]FR-16(7)(v)-5 PROD Cust'!H464+'[5]FR-16(7)(v)-9 TRANS Cust'!H464+'[5]FR-16(7)(v)-13 DIST Cust'!H464</f>
        <v>0</v>
      </c>
      <c r="J464" s="569">
        <f>SUM(G464:I464)</f>
        <v>0</v>
      </c>
      <c r="K464" s="569">
        <f>F464-J464</f>
        <v>0</v>
      </c>
    </row>
    <row r="465" spans="1:11">
      <c r="A465" s="565">
        <v>21</v>
      </c>
      <c r="C465" s="573" t="str">
        <f>'[5]FR-16(7)(v)-1 Functional'!C465</f>
        <v>NETWORK SERVICE RATES ADJUSTMENT</v>
      </c>
      <c r="D465" s="549" t="str">
        <f>'[5]FR-16(7)(v)-1 Functional'!D465</f>
        <v>K202</v>
      </c>
      <c r="E465" s="548"/>
      <c r="F465" s="578">
        <f>'[5]FR-16(7)(v)-14 TOTAL CLASS'!H465</f>
        <v>0</v>
      </c>
      <c r="G465" s="570">
        <f>'[5]FR-16(7)(v)-3 PROD Demand'!H465+'[5]FR-16(7)(v)-7 TRANS Demand'!H465+'[5]FR-16(7)(v)-11 DIST Demand'!H465</f>
        <v>0</v>
      </c>
      <c r="H465" s="571">
        <f>'[5]FR-16(7)(v)-4 PROD Energy'!H465+'[5]FR-16(7)(v)-8 TRANS Energy'!H465+'[5]FR-16(7)(v)-12 DIST Energy'!H465</f>
        <v>0</v>
      </c>
      <c r="I465" s="572">
        <f>'[5]FR-16(7)(v)-5 PROD Cust'!H465+'[5]FR-16(7)(v)-9 TRANS Cust'!H465+'[5]FR-16(7)(v)-13 DIST Cust'!H465</f>
        <v>0</v>
      </c>
      <c r="J465" s="569">
        <f>SUM(G465:I465)</f>
        <v>0</v>
      </c>
      <c r="K465" s="569">
        <f>F465-J465</f>
        <v>0</v>
      </c>
    </row>
    <row r="466" spans="1:11">
      <c r="A466" s="565">
        <v>22</v>
      </c>
      <c r="C466" s="547" t="str">
        <f>'[5]FR-16(7)(v)-1 Functional'!C466</f>
        <v xml:space="preserve">  TOTAL TRANSMISSION O &amp; M</v>
      </c>
      <c r="D466" s="549"/>
      <c r="E466" s="548"/>
      <c r="F466" s="574">
        <f t="shared" ref="F466:K466" si="91">SUM(F462:F465)</f>
        <v>9878147</v>
      </c>
      <c r="G466" s="575">
        <f t="shared" si="91"/>
        <v>9878147</v>
      </c>
      <c r="H466" s="576">
        <f t="shared" si="91"/>
        <v>0</v>
      </c>
      <c r="I466" s="577">
        <f t="shared" si="91"/>
        <v>0</v>
      </c>
      <c r="J466" s="574">
        <f t="shared" si="91"/>
        <v>9878147</v>
      </c>
      <c r="K466" s="574">
        <f t="shared" si="91"/>
        <v>0</v>
      </c>
    </row>
    <row r="467" spans="1:11">
      <c r="A467" s="565">
        <v>23</v>
      </c>
      <c r="D467" s="549"/>
      <c r="E467" s="548"/>
      <c r="G467" s="566"/>
      <c r="H467" s="567"/>
      <c r="I467" s="568"/>
    </row>
    <row r="468" spans="1:11">
      <c r="A468" s="565">
        <v>24</v>
      </c>
      <c r="B468" s="547" t="s">
        <v>1246</v>
      </c>
      <c r="D468" s="549"/>
      <c r="E468" s="548"/>
      <c r="G468" s="566"/>
      <c r="H468" s="567"/>
      <c r="I468" s="568"/>
    </row>
    <row r="469" spans="1:11">
      <c r="A469" s="565">
        <v>25</v>
      </c>
      <c r="C469" s="573" t="str">
        <f>'[5]FR-16(7)(v)-1 Functional'!C469</f>
        <v>MARKET FACILITATION - MONITORING &amp; COMPLIANCE</v>
      </c>
      <c r="D469" s="549" t="str">
        <f>'[5]FR-16(7)(v)-1 Functional'!D469</f>
        <v>K202</v>
      </c>
      <c r="E469" s="548"/>
      <c r="F469" s="578">
        <f>'[5]FR-16(7)(v)-14 TOTAL CLASS'!H469</f>
        <v>1010977</v>
      </c>
      <c r="G469" s="570">
        <f>'[5]FR-16(7)(v)-3 PROD Demand'!H469+'[5]FR-16(7)(v)-7 TRANS Demand'!H469+'[5]FR-16(7)(v)-11 DIST Demand'!H469</f>
        <v>1010977</v>
      </c>
      <c r="H469" s="571">
        <f>'[5]FR-16(7)(v)-4 PROD Energy'!H469+'[5]FR-16(7)(v)-8 TRANS Energy'!H469+'[5]FR-16(7)(v)-12 DIST Energy'!H469</f>
        <v>0</v>
      </c>
      <c r="I469" s="572">
        <f>'[5]FR-16(7)(v)-5 PROD Cust'!H469+'[5]FR-16(7)(v)-9 TRANS Cust'!H469+'[5]FR-16(7)(v)-13 DIST Cust'!H469</f>
        <v>0</v>
      </c>
      <c r="J469" s="569">
        <f>SUM(G469:I469)</f>
        <v>1010977</v>
      </c>
      <c r="K469" s="569">
        <f>F469-J469</f>
        <v>0</v>
      </c>
    </row>
    <row r="470" spans="1:11">
      <c r="A470" s="565">
        <v>26</v>
      </c>
      <c r="C470" s="547" t="str">
        <f>'[5]FR-16(7)(v)-1 Functional'!C470</f>
        <v>TOTAL REGIONAL MARKET O&amp;M</v>
      </c>
      <c r="D470" s="549"/>
      <c r="E470" s="548"/>
      <c r="F470" s="574">
        <f t="shared" ref="F470:K470" si="92">SUM(F468:F469)</f>
        <v>1010977</v>
      </c>
      <c r="G470" s="575">
        <f t="shared" si="92"/>
        <v>1010977</v>
      </c>
      <c r="H470" s="576">
        <f t="shared" si="92"/>
        <v>0</v>
      </c>
      <c r="I470" s="577">
        <f t="shared" si="92"/>
        <v>0</v>
      </c>
      <c r="J470" s="574">
        <f t="shared" si="92"/>
        <v>1010977</v>
      </c>
      <c r="K470" s="574">
        <f t="shared" si="92"/>
        <v>0</v>
      </c>
    </row>
    <row r="471" spans="1:11">
      <c r="A471" s="565">
        <v>27</v>
      </c>
      <c r="D471" s="549"/>
      <c r="E471" s="548"/>
      <c r="G471" s="566"/>
      <c r="H471" s="567"/>
      <c r="I471" s="568"/>
    </row>
    <row r="472" spans="1:11">
      <c r="A472" s="565">
        <v>28</v>
      </c>
      <c r="B472" s="547" t="s">
        <v>1247</v>
      </c>
      <c r="D472" s="549"/>
      <c r="E472" s="548"/>
      <c r="G472" s="566"/>
      <c r="H472" s="567"/>
      <c r="I472" s="568"/>
    </row>
    <row r="473" spans="1:11">
      <c r="A473" s="565">
        <v>29</v>
      </c>
      <c r="C473" s="547" t="str">
        <f>'[5]FR-16(7)(v)-1 Functional'!C473</f>
        <v>SUBSTATIONS</v>
      </c>
      <c r="D473" s="549" t="str">
        <f>'[5]FR-16(7)(v)-1 Functional'!D473</f>
        <v>K201</v>
      </c>
      <c r="E473" s="548"/>
      <c r="F473" s="578">
        <f>'[5]FR-16(7)(v)-14 TOTAL CLASS'!H473</f>
        <v>112989</v>
      </c>
      <c r="G473" s="570">
        <f>'[5]FR-16(7)(v)-3 PROD Demand'!H473+'[5]FR-16(7)(v)-7 TRANS Demand'!H473+'[5]FR-16(7)(v)-11 DIST Demand'!H473</f>
        <v>112989</v>
      </c>
      <c r="H473" s="571">
        <f>'[5]FR-16(7)(v)-4 PROD Energy'!H473+'[5]FR-16(7)(v)-8 TRANS Energy'!H473+'[5]FR-16(7)(v)-12 DIST Energy'!H473</f>
        <v>0</v>
      </c>
      <c r="I473" s="572">
        <f>'[5]FR-16(7)(v)-5 PROD Cust'!H473+'[5]FR-16(7)(v)-9 TRANS Cust'!H473+'[5]FR-16(7)(v)-13 DIST Cust'!H473</f>
        <v>0</v>
      </c>
      <c r="J473" s="569">
        <f t="shared" ref="J473:J491" si="93">SUM(G473:I473)</f>
        <v>112989</v>
      </c>
      <c r="K473" s="569">
        <f t="shared" ref="K473:K491" si="94">F473-J473</f>
        <v>0</v>
      </c>
    </row>
    <row r="474" spans="1:11">
      <c r="A474" s="565">
        <v>30</v>
      </c>
      <c r="C474" s="547" t="str">
        <f>'[5]FR-16(7)(v)-1 Functional'!C474</f>
        <v>POLES, TOWERS &amp; FIXTURES</v>
      </c>
      <c r="D474" s="549" t="str">
        <f>'[5]FR-16(7)(v)-1 Functional'!D474</f>
        <v>PL49</v>
      </c>
      <c r="E474" s="548"/>
      <c r="F474" s="578">
        <f>'[5]FR-16(7)(v)-14 TOTAL CLASS'!H474</f>
        <v>0</v>
      </c>
      <c r="G474" s="570">
        <f>'[5]FR-16(7)(v)-3 PROD Demand'!H474+'[5]FR-16(7)(v)-7 TRANS Demand'!H474+'[5]FR-16(7)(v)-11 DIST Demand'!H474</f>
        <v>0</v>
      </c>
      <c r="H474" s="571">
        <f>'[5]FR-16(7)(v)-4 PROD Energy'!H474+'[5]FR-16(7)(v)-8 TRANS Energy'!H474+'[5]FR-16(7)(v)-12 DIST Energy'!H474</f>
        <v>0</v>
      </c>
      <c r="I474" s="572">
        <f>'[5]FR-16(7)(v)-5 PROD Cust'!H474+'[5]FR-16(7)(v)-9 TRANS Cust'!H474+'[5]FR-16(7)(v)-13 DIST Cust'!H474</f>
        <v>0</v>
      </c>
      <c r="J474" s="569">
        <f t="shared" si="93"/>
        <v>0</v>
      </c>
      <c r="K474" s="569">
        <f t="shared" si="94"/>
        <v>0</v>
      </c>
    </row>
    <row r="475" spans="1:11">
      <c r="A475" s="565">
        <v>31</v>
      </c>
      <c r="C475" s="547" t="str">
        <f>'[5]FR-16(7)(v)-1 Functional'!C475</f>
        <v>OVERHEAD LINES - PRIMARY / DEMAND</v>
      </c>
      <c r="D475" s="549" t="str">
        <f>'[5]FR-16(7)(v)-1 Functional'!D475</f>
        <v>K205</v>
      </c>
      <c r="E475" s="548"/>
      <c r="F475" s="578">
        <f>'[5]FR-16(7)(v)-14 TOTAL CLASS'!H475</f>
        <v>1529799</v>
      </c>
      <c r="G475" s="570">
        <f>'[5]FR-16(7)(v)-3 PROD Demand'!H475+'[5]FR-16(7)(v)-7 TRANS Demand'!H475+'[5]FR-16(7)(v)-11 DIST Demand'!H475</f>
        <v>1529799</v>
      </c>
      <c r="H475" s="571">
        <f>'[5]FR-16(7)(v)-4 PROD Energy'!H475+'[5]FR-16(7)(v)-8 TRANS Energy'!H475+'[5]FR-16(7)(v)-12 DIST Energy'!H475</f>
        <v>0</v>
      </c>
      <c r="I475" s="572">
        <f>'[5]FR-16(7)(v)-5 PROD Cust'!H475+'[5]FR-16(7)(v)-9 TRANS Cust'!H475+'[5]FR-16(7)(v)-13 DIST Cust'!H475</f>
        <v>0</v>
      </c>
      <c r="J475" s="569">
        <f t="shared" si="93"/>
        <v>1529799</v>
      </c>
      <c r="K475" s="569">
        <f t="shared" si="94"/>
        <v>0</v>
      </c>
    </row>
    <row r="476" spans="1:11">
      <c r="A476" s="565">
        <v>32</v>
      </c>
      <c r="C476" s="547" t="str">
        <f>'[5]FR-16(7)(v)-1 Functional'!C476</f>
        <v>OVERHEAD LINES - PRIMARY / CUSTOMER</v>
      </c>
      <c r="D476" s="549" t="str">
        <f>'[5]FR-16(7)(v)-1 Functional'!D476</f>
        <v>K405</v>
      </c>
      <c r="E476" s="548"/>
      <c r="F476" s="578">
        <f>'[5]FR-16(7)(v)-14 TOTAL CLASS'!H476</f>
        <v>96443</v>
      </c>
      <c r="G476" s="570">
        <f>'[5]FR-16(7)(v)-3 PROD Demand'!H476+'[5]FR-16(7)(v)-7 TRANS Demand'!H476+'[5]FR-16(7)(v)-11 DIST Demand'!H476</f>
        <v>0</v>
      </c>
      <c r="H476" s="571">
        <f>'[5]FR-16(7)(v)-4 PROD Energy'!H476+'[5]FR-16(7)(v)-8 TRANS Energy'!H476+'[5]FR-16(7)(v)-12 DIST Energy'!H476</f>
        <v>0</v>
      </c>
      <c r="I476" s="572">
        <f>'[5]FR-16(7)(v)-5 PROD Cust'!H476+'[5]FR-16(7)(v)-9 TRANS Cust'!H476+'[5]FR-16(7)(v)-13 DIST Cust'!H476</f>
        <v>96443</v>
      </c>
      <c r="J476" s="569">
        <f t="shared" si="93"/>
        <v>96443</v>
      </c>
      <c r="K476" s="569">
        <f t="shared" si="94"/>
        <v>0</v>
      </c>
    </row>
    <row r="477" spans="1:11">
      <c r="A477" s="565">
        <v>33</v>
      </c>
      <c r="C477" s="547" t="str">
        <f>'[5]FR-16(7)(v)-1 Functional'!C477</f>
        <v>OVERHEAD LINES - SECONDARY / DEMAND</v>
      </c>
      <c r="D477" s="549" t="str">
        <f>'[5]FR-16(7)(v)-1 Functional'!D477</f>
        <v>K206</v>
      </c>
      <c r="E477" s="548"/>
      <c r="F477" s="578">
        <f>'[5]FR-16(7)(v)-14 TOTAL CLASS'!H477</f>
        <v>637667</v>
      </c>
      <c r="G477" s="570">
        <f>'[5]FR-16(7)(v)-3 PROD Demand'!H477+'[5]FR-16(7)(v)-7 TRANS Demand'!H477+'[5]FR-16(7)(v)-11 DIST Demand'!H477</f>
        <v>637667</v>
      </c>
      <c r="H477" s="571">
        <f>'[5]FR-16(7)(v)-4 PROD Energy'!H477+'[5]FR-16(7)(v)-8 TRANS Energy'!H477+'[5]FR-16(7)(v)-12 DIST Energy'!H477</f>
        <v>0</v>
      </c>
      <c r="I477" s="572">
        <f>'[5]FR-16(7)(v)-5 PROD Cust'!H477+'[5]FR-16(7)(v)-9 TRANS Cust'!H477+'[5]FR-16(7)(v)-13 DIST Cust'!H477</f>
        <v>0</v>
      </c>
      <c r="J477" s="569">
        <f t="shared" si="93"/>
        <v>637667</v>
      </c>
      <c r="K477" s="569">
        <f t="shared" si="94"/>
        <v>0</v>
      </c>
    </row>
    <row r="478" spans="1:11">
      <c r="A478" s="565">
        <v>34</v>
      </c>
      <c r="C478" s="547" t="str">
        <f>'[5]FR-16(7)(v)-1 Functional'!C478</f>
        <v>OVERHEAD LINES - SECONDARY / CUSTOMER</v>
      </c>
      <c r="D478" s="549" t="str">
        <f>'[5]FR-16(7)(v)-1 Functional'!D478</f>
        <v>K405</v>
      </c>
      <c r="E478" s="548"/>
      <c r="F478" s="578">
        <f>'[5]FR-16(7)(v)-14 TOTAL CLASS'!H478</f>
        <v>36068</v>
      </c>
      <c r="G478" s="570">
        <f>'[5]FR-16(7)(v)-3 PROD Demand'!H478+'[5]FR-16(7)(v)-7 TRANS Demand'!H478+'[5]FR-16(7)(v)-11 DIST Demand'!H478</f>
        <v>0</v>
      </c>
      <c r="H478" s="571">
        <f>'[5]FR-16(7)(v)-4 PROD Energy'!H478+'[5]FR-16(7)(v)-8 TRANS Energy'!H478+'[5]FR-16(7)(v)-12 DIST Energy'!H478</f>
        <v>0</v>
      </c>
      <c r="I478" s="572">
        <f>'[5]FR-16(7)(v)-5 PROD Cust'!H478+'[5]FR-16(7)(v)-9 TRANS Cust'!H478+'[5]FR-16(7)(v)-13 DIST Cust'!H478</f>
        <v>36068</v>
      </c>
      <c r="J478" s="569">
        <f t="shared" si="93"/>
        <v>36068</v>
      </c>
      <c r="K478" s="569">
        <f t="shared" si="94"/>
        <v>0</v>
      </c>
    </row>
    <row r="479" spans="1:11">
      <c r="A479" s="565">
        <v>35</v>
      </c>
      <c r="C479" s="547" t="str">
        <f>'[5]FR-16(7)(v)-1 Functional'!C479</f>
        <v>UNDERGROUND LINES - PRIMARY / DEMAND</v>
      </c>
      <c r="D479" s="549" t="str">
        <f>'[5]FR-16(7)(v)-1 Functional'!D479</f>
        <v>K205</v>
      </c>
      <c r="E479" s="548"/>
      <c r="F479" s="578">
        <f>'[5]FR-16(7)(v)-14 TOTAL CLASS'!H479</f>
        <v>173171</v>
      </c>
      <c r="G479" s="570">
        <f>'[5]FR-16(7)(v)-3 PROD Demand'!H479+'[5]FR-16(7)(v)-7 TRANS Demand'!H479+'[5]FR-16(7)(v)-11 DIST Demand'!H479</f>
        <v>173171</v>
      </c>
      <c r="H479" s="571">
        <f>'[5]FR-16(7)(v)-4 PROD Energy'!H479+'[5]FR-16(7)(v)-8 TRANS Energy'!H479+'[5]FR-16(7)(v)-12 DIST Energy'!H479</f>
        <v>0</v>
      </c>
      <c r="I479" s="572">
        <f>'[5]FR-16(7)(v)-5 PROD Cust'!H479+'[5]FR-16(7)(v)-9 TRANS Cust'!H479+'[5]FR-16(7)(v)-13 DIST Cust'!H479</f>
        <v>0</v>
      </c>
      <c r="J479" s="569">
        <f t="shared" si="93"/>
        <v>173171</v>
      </c>
      <c r="K479" s="569">
        <f t="shared" si="94"/>
        <v>0</v>
      </c>
    </row>
    <row r="480" spans="1:11">
      <c r="A480" s="565">
        <v>36</v>
      </c>
      <c r="C480" s="547" t="str">
        <f>'[5]FR-16(7)(v)-1 Functional'!C480</f>
        <v>UNDERGROUND LINES - PRIMARY / CUSTOMER</v>
      </c>
      <c r="D480" s="549" t="str">
        <f>'[5]FR-16(7)(v)-1 Functional'!D480</f>
        <v>K405</v>
      </c>
      <c r="E480" s="548"/>
      <c r="F480" s="578">
        <f>'[5]FR-16(7)(v)-14 TOTAL CLASS'!H480</f>
        <v>4939</v>
      </c>
      <c r="G480" s="570">
        <f>'[5]FR-16(7)(v)-3 PROD Demand'!H480+'[5]FR-16(7)(v)-7 TRANS Demand'!H480+'[5]FR-16(7)(v)-11 DIST Demand'!H480</f>
        <v>0</v>
      </c>
      <c r="H480" s="571">
        <f>'[5]FR-16(7)(v)-4 PROD Energy'!H480+'[5]FR-16(7)(v)-8 TRANS Energy'!H480+'[5]FR-16(7)(v)-12 DIST Energy'!H480</f>
        <v>0</v>
      </c>
      <c r="I480" s="572">
        <f>'[5]FR-16(7)(v)-5 PROD Cust'!H480+'[5]FR-16(7)(v)-9 TRANS Cust'!H480+'[5]FR-16(7)(v)-13 DIST Cust'!H480</f>
        <v>4939</v>
      </c>
      <c r="J480" s="569">
        <f t="shared" si="93"/>
        <v>4939</v>
      </c>
      <c r="K480" s="569">
        <f t="shared" si="94"/>
        <v>0</v>
      </c>
    </row>
    <row r="481" spans="1:11">
      <c r="A481" s="565">
        <v>37</v>
      </c>
      <c r="C481" s="547" t="str">
        <f>'[5]FR-16(7)(v)-1 Functional'!C481</f>
        <v>UNDERGROUND LINES - SECONDARY / DEMAND</v>
      </c>
      <c r="D481" s="549" t="str">
        <f>'[5]FR-16(7)(v)-1 Functional'!D481</f>
        <v>K206</v>
      </c>
      <c r="E481" s="548"/>
      <c r="F481" s="578">
        <f>'[5]FR-16(7)(v)-14 TOTAL CLASS'!H481</f>
        <v>33553</v>
      </c>
      <c r="G481" s="570">
        <f>'[5]FR-16(7)(v)-3 PROD Demand'!H481+'[5]FR-16(7)(v)-7 TRANS Demand'!H481+'[5]FR-16(7)(v)-11 DIST Demand'!H481</f>
        <v>33553</v>
      </c>
      <c r="H481" s="571">
        <f>'[5]FR-16(7)(v)-4 PROD Energy'!H481+'[5]FR-16(7)(v)-8 TRANS Energy'!H481+'[5]FR-16(7)(v)-12 DIST Energy'!H481</f>
        <v>0</v>
      </c>
      <c r="I481" s="572">
        <f>'[5]FR-16(7)(v)-5 PROD Cust'!H481+'[5]FR-16(7)(v)-9 TRANS Cust'!H481+'[5]FR-16(7)(v)-13 DIST Cust'!H481</f>
        <v>0</v>
      </c>
      <c r="J481" s="569">
        <f t="shared" si="93"/>
        <v>33553</v>
      </c>
      <c r="K481" s="569">
        <f t="shared" si="94"/>
        <v>0</v>
      </c>
    </row>
    <row r="482" spans="1:11">
      <c r="A482" s="565">
        <v>38</v>
      </c>
      <c r="C482" s="547" t="str">
        <f>'[5]FR-16(7)(v)-1 Functional'!C482</f>
        <v>UNDERGROUND LINES - SECONDARY / CUSTOMER</v>
      </c>
      <c r="D482" s="549" t="str">
        <f>'[5]FR-16(7)(v)-1 Functional'!D482</f>
        <v>K405</v>
      </c>
      <c r="E482" s="548"/>
      <c r="F482" s="578">
        <f>'[5]FR-16(7)(v)-14 TOTAL CLASS'!H482</f>
        <v>1508</v>
      </c>
      <c r="G482" s="570">
        <f>'[5]FR-16(7)(v)-3 PROD Demand'!H482+'[5]FR-16(7)(v)-7 TRANS Demand'!H482+'[5]FR-16(7)(v)-11 DIST Demand'!H482</f>
        <v>0</v>
      </c>
      <c r="H482" s="571">
        <f>'[5]FR-16(7)(v)-4 PROD Energy'!H482+'[5]FR-16(7)(v)-8 TRANS Energy'!H482+'[5]FR-16(7)(v)-12 DIST Energy'!H482</f>
        <v>0</v>
      </c>
      <c r="I482" s="572">
        <f>'[5]FR-16(7)(v)-5 PROD Cust'!H482+'[5]FR-16(7)(v)-9 TRANS Cust'!H482+'[5]FR-16(7)(v)-13 DIST Cust'!H482</f>
        <v>1508</v>
      </c>
      <c r="J482" s="569">
        <f t="shared" si="93"/>
        <v>1508</v>
      </c>
      <c r="K482" s="569">
        <f t="shared" si="94"/>
        <v>0</v>
      </c>
    </row>
    <row r="483" spans="1:11">
      <c r="A483" s="565">
        <v>39</v>
      </c>
      <c r="C483" s="547" t="str">
        <f>'[5]FR-16(7)(v)-1 Functional'!C483</f>
        <v>TRANSFORMERS DEMAND RELATED</v>
      </c>
      <c r="D483" s="549" t="str">
        <f>'[5]FR-16(7)(v)-1 Functional'!D483</f>
        <v>K203</v>
      </c>
      <c r="E483" s="548"/>
      <c r="F483" s="578">
        <f>'[5]FR-16(7)(v)-14 TOTAL CLASS'!H483</f>
        <v>0</v>
      </c>
      <c r="G483" s="570">
        <f>'[5]FR-16(7)(v)-3 PROD Demand'!H483+'[5]FR-16(7)(v)-7 TRANS Demand'!H483+'[5]FR-16(7)(v)-11 DIST Demand'!H483</f>
        <v>0</v>
      </c>
      <c r="H483" s="571">
        <f>'[5]FR-16(7)(v)-4 PROD Energy'!H483+'[5]FR-16(7)(v)-8 TRANS Energy'!H483+'[5]FR-16(7)(v)-12 DIST Energy'!H483</f>
        <v>0</v>
      </c>
      <c r="I483" s="572">
        <f>'[5]FR-16(7)(v)-5 PROD Cust'!H483+'[5]FR-16(7)(v)-9 TRANS Cust'!H483+'[5]FR-16(7)(v)-13 DIST Cust'!H483</f>
        <v>0</v>
      </c>
      <c r="J483" s="569">
        <f t="shared" si="93"/>
        <v>0</v>
      </c>
      <c r="K483" s="569">
        <f t="shared" si="94"/>
        <v>0</v>
      </c>
    </row>
    <row r="484" spans="1:11">
      <c r="A484" s="565">
        <v>40</v>
      </c>
      <c r="C484" s="547" t="str">
        <f>'[5]FR-16(7)(v)-1 Functional'!C484</f>
        <v>TRANSFORMERS CUSTOMER RELATED</v>
      </c>
      <c r="D484" s="549" t="str">
        <f>'[5]FR-16(7)(v)-1 Functional'!D484</f>
        <v>K401</v>
      </c>
      <c r="E484" s="548"/>
      <c r="F484" s="578">
        <f>'[5]FR-16(7)(v)-14 TOTAL CLASS'!H484</f>
        <v>0</v>
      </c>
      <c r="G484" s="570">
        <f>'[5]FR-16(7)(v)-3 PROD Demand'!H484+'[5]FR-16(7)(v)-7 TRANS Demand'!H484+'[5]FR-16(7)(v)-11 DIST Demand'!H484</f>
        <v>0</v>
      </c>
      <c r="H484" s="571">
        <f>'[5]FR-16(7)(v)-4 PROD Energy'!H484+'[5]FR-16(7)(v)-8 TRANS Energy'!H484+'[5]FR-16(7)(v)-12 DIST Energy'!H484</f>
        <v>0</v>
      </c>
      <c r="I484" s="572">
        <f>'[5]FR-16(7)(v)-5 PROD Cust'!H484+'[5]FR-16(7)(v)-9 TRANS Cust'!H484+'[5]FR-16(7)(v)-13 DIST Cust'!H484</f>
        <v>0</v>
      </c>
      <c r="J484" s="569">
        <f>SUM(G484:I484)</f>
        <v>0</v>
      </c>
      <c r="K484" s="569">
        <f>F484-J484</f>
        <v>0</v>
      </c>
    </row>
    <row r="485" spans="1:11">
      <c r="A485" s="565">
        <v>41</v>
      </c>
      <c r="C485" s="547" t="str">
        <f>'[5]FR-16(7)(v)-1 Functional'!C485</f>
        <v>OTHER MAINTENANCE</v>
      </c>
      <c r="D485" s="549" t="str">
        <f>'[5]FR-16(7)(v)-1 Functional'!D485</f>
        <v>K203</v>
      </c>
      <c r="E485" s="548"/>
      <c r="F485" s="578">
        <f>'[5]FR-16(7)(v)-14 TOTAL CLASS'!H485</f>
        <v>146049</v>
      </c>
      <c r="G485" s="570">
        <f>'[5]FR-16(7)(v)-3 PROD Demand'!H485+'[5]FR-16(7)(v)-7 TRANS Demand'!H485+'[5]FR-16(7)(v)-11 DIST Demand'!H485</f>
        <v>146049</v>
      </c>
      <c r="H485" s="571">
        <f>'[5]FR-16(7)(v)-4 PROD Energy'!H485+'[5]FR-16(7)(v)-8 TRANS Energy'!H485+'[5]FR-16(7)(v)-12 DIST Energy'!H485</f>
        <v>0</v>
      </c>
      <c r="I485" s="572">
        <f>'[5]FR-16(7)(v)-5 PROD Cust'!H485+'[5]FR-16(7)(v)-9 TRANS Cust'!H485+'[5]FR-16(7)(v)-13 DIST Cust'!H485</f>
        <v>0</v>
      </c>
      <c r="J485" s="569">
        <f t="shared" si="93"/>
        <v>146049</v>
      </c>
      <c r="K485" s="569">
        <f t="shared" si="94"/>
        <v>0</v>
      </c>
    </row>
    <row r="486" spans="1:11">
      <c r="A486" s="565">
        <v>42</v>
      </c>
      <c r="C486" s="547" t="str">
        <f>'[5]FR-16(7)(v)-1 Functional'!C486</f>
        <v>LOAD DISPATCH</v>
      </c>
      <c r="D486" s="549" t="str">
        <f>'[5]FR-16(7)(v)-1 Functional'!D486</f>
        <v>K215</v>
      </c>
      <c r="E486" s="548"/>
      <c r="F486" s="578">
        <f>'[5]FR-16(7)(v)-14 TOTAL CLASS'!H486</f>
        <v>148602</v>
      </c>
      <c r="G486" s="570">
        <f>'[5]FR-16(7)(v)-3 PROD Demand'!H486+'[5]FR-16(7)(v)-7 TRANS Demand'!H486+'[5]FR-16(7)(v)-11 DIST Demand'!H486</f>
        <v>148602</v>
      </c>
      <c r="H486" s="571">
        <f>'[5]FR-16(7)(v)-4 PROD Energy'!H486+'[5]FR-16(7)(v)-8 TRANS Energy'!H486+'[5]FR-16(7)(v)-12 DIST Energy'!H486</f>
        <v>0</v>
      </c>
      <c r="I486" s="572">
        <f>'[5]FR-16(7)(v)-5 PROD Cust'!H486+'[5]FR-16(7)(v)-9 TRANS Cust'!H486+'[5]FR-16(7)(v)-13 DIST Cust'!H486</f>
        <v>0</v>
      </c>
      <c r="J486" s="569">
        <f t="shared" si="93"/>
        <v>148602</v>
      </c>
      <c r="K486" s="569">
        <f t="shared" si="94"/>
        <v>0</v>
      </c>
    </row>
    <row r="487" spans="1:11">
      <c r="A487" s="565">
        <v>43</v>
      </c>
      <c r="C487" s="547" t="str">
        <f>'[5]FR-16(7)(v)-1 Functional'!C487</f>
        <v>METERS</v>
      </c>
      <c r="D487" s="549" t="str">
        <f>'[5]FR-16(7)(v)-1 Functional'!D487</f>
        <v>K407</v>
      </c>
      <c r="E487" s="548"/>
      <c r="F487" s="578">
        <f>'[5]FR-16(7)(v)-14 TOTAL CLASS'!H487</f>
        <v>118110</v>
      </c>
      <c r="G487" s="570">
        <f>'[5]FR-16(7)(v)-3 PROD Demand'!H487+'[5]FR-16(7)(v)-7 TRANS Demand'!H487+'[5]FR-16(7)(v)-11 DIST Demand'!H487</f>
        <v>0</v>
      </c>
      <c r="H487" s="571">
        <f>'[5]FR-16(7)(v)-4 PROD Energy'!H487+'[5]FR-16(7)(v)-8 TRANS Energy'!H487+'[5]FR-16(7)(v)-12 DIST Energy'!H487</f>
        <v>0</v>
      </c>
      <c r="I487" s="572">
        <f>'[5]FR-16(7)(v)-5 PROD Cust'!H487+'[5]FR-16(7)(v)-9 TRANS Cust'!H487+'[5]FR-16(7)(v)-13 DIST Cust'!H487</f>
        <v>118110</v>
      </c>
      <c r="J487" s="569">
        <f t="shared" si="93"/>
        <v>118110</v>
      </c>
      <c r="K487" s="569">
        <f t="shared" si="94"/>
        <v>0</v>
      </c>
    </row>
    <row r="488" spans="1:11">
      <c r="A488" s="565">
        <v>44</v>
      </c>
      <c r="C488" s="547" t="str">
        <f>'[5]FR-16(7)(v)-1 Functional'!C488</f>
        <v>STREET LIGHTING AND SIGNAL SYSTEMS</v>
      </c>
      <c r="D488" s="549" t="str">
        <f>'[5]FR-16(7)(v)-1 Functional'!D488</f>
        <v>K401</v>
      </c>
      <c r="E488" s="548"/>
      <c r="F488" s="578">
        <f>'[5]FR-16(7)(v)-14 TOTAL CLASS'!H488</f>
        <v>0</v>
      </c>
      <c r="G488" s="570">
        <f>'[5]FR-16(7)(v)-3 PROD Demand'!H488+'[5]FR-16(7)(v)-7 TRANS Demand'!H488+'[5]FR-16(7)(v)-11 DIST Demand'!H488</f>
        <v>0</v>
      </c>
      <c r="H488" s="571">
        <f>'[5]FR-16(7)(v)-4 PROD Energy'!H488+'[5]FR-16(7)(v)-8 TRANS Energy'!H488+'[5]FR-16(7)(v)-12 DIST Energy'!H488</f>
        <v>0</v>
      </c>
      <c r="I488" s="572">
        <f>'[5]FR-16(7)(v)-5 PROD Cust'!H488+'[5]FR-16(7)(v)-9 TRANS Cust'!H488+'[5]FR-16(7)(v)-13 DIST Cust'!H488</f>
        <v>0</v>
      </c>
      <c r="J488" s="569">
        <f t="shared" si="93"/>
        <v>0</v>
      </c>
      <c r="K488" s="569">
        <f t="shared" si="94"/>
        <v>0</v>
      </c>
    </row>
    <row r="489" spans="1:11">
      <c r="A489" s="565">
        <v>45</v>
      </c>
      <c r="C489" s="547" t="str">
        <f>'[5]FR-16(7)(v)-1 Functional'!C489</f>
        <v>OTHER OPERATIONS</v>
      </c>
      <c r="D489" s="549" t="str">
        <f>'[5]FR-16(7)(v)-1 Functional'!D489</f>
        <v>K203</v>
      </c>
      <c r="E489" s="548"/>
      <c r="F489" s="578">
        <f>'[5]FR-16(7)(v)-14 TOTAL CLASS'!H489</f>
        <v>7401</v>
      </c>
      <c r="G489" s="570">
        <f>'[5]FR-16(7)(v)-3 PROD Demand'!H489+'[5]FR-16(7)(v)-7 TRANS Demand'!H489+'[5]FR-16(7)(v)-11 DIST Demand'!H489</f>
        <v>7401</v>
      </c>
      <c r="H489" s="571">
        <f>'[5]FR-16(7)(v)-4 PROD Energy'!H489+'[5]FR-16(7)(v)-8 TRANS Energy'!H489+'[5]FR-16(7)(v)-12 DIST Energy'!H489</f>
        <v>0</v>
      </c>
      <c r="I489" s="572">
        <f>'[5]FR-16(7)(v)-5 PROD Cust'!H489+'[5]FR-16(7)(v)-9 TRANS Cust'!H489+'[5]FR-16(7)(v)-13 DIST Cust'!H489</f>
        <v>0</v>
      </c>
      <c r="J489" s="569">
        <f t="shared" si="93"/>
        <v>7401</v>
      </c>
      <c r="K489" s="569">
        <f t="shared" si="94"/>
        <v>0</v>
      </c>
    </row>
    <row r="490" spans="1:11">
      <c r="A490" s="565">
        <v>46</v>
      </c>
      <c r="C490" s="547" t="str">
        <f>'[5]FR-16(7)(v)-1 Functional'!C490</f>
        <v>MISCELLANEOUS EXPENSES ADJUSTMENT</v>
      </c>
      <c r="D490" s="549" t="str">
        <f>'[5]FR-16(7)(v)-1 Functional'!D490</f>
        <v>K203</v>
      </c>
      <c r="E490" s="548"/>
      <c r="F490" s="578">
        <f>'[5]FR-16(7)(v)-14 TOTAL CLASS'!H490</f>
        <v>428368</v>
      </c>
      <c r="G490" s="570">
        <f>'[5]FR-16(7)(v)-3 PROD Demand'!H490+'[5]FR-16(7)(v)-7 TRANS Demand'!H490+'[5]FR-16(7)(v)-11 DIST Demand'!H490</f>
        <v>428368</v>
      </c>
      <c r="H490" s="571">
        <f>'[5]FR-16(7)(v)-4 PROD Energy'!H490+'[5]FR-16(7)(v)-8 TRANS Energy'!H490+'[5]FR-16(7)(v)-12 DIST Energy'!H490</f>
        <v>0</v>
      </c>
      <c r="I490" s="572">
        <f>'[5]FR-16(7)(v)-5 PROD Cust'!H490+'[5]FR-16(7)(v)-9 TRANS Cust'!H490+'[5]FR-16(7)(v)-13 DIST Cust'!H490</f>
        <v>0</v>
      </c>
      <c r="J490" s="569">
        <f t="shared" si="93"/>
        <v>428368</v>
      </c>
      <c r="K490" s="569">
        <f t="shared" si="94"/>
        <v>0</v>
      </c>
    </row>
    <row r="491" spans="1:11">
      <c r="A491" s="565">
        <v>47</v>
      </c>
      <c r="C491" s="573" t="str">
        <f>'[5]FR-16(7)(v)-1 Functional'!C491</f>
        <v>AFFILIATED COMPANY RENTS ADJUSTMENT</v>
      </c>
      <c r="D491" s="549" t="str">
        <f>'[5]FR-16(7)(v)-1 Functional'!D491</f>
        <v>D249</v>
      </c>
      <c r="E491" s="548"/>
      <c r="F491" s="578">
        <f>'[5]FR-16(7)(v)-14 TOTAL CLASS'!H491</f>
        <v>0</v>
      </c>
      <c r="G491" s="570">
        <f>'[5]FR-16(7)(v)-3 PROD Demand'!H491+'[5]FR-16(7)(v)-7 TRANS Demand'!H491+'[5]FR-16(7)(v)-11 DIST Demand'!H491</f>
        <v>0</v>
      </c>
      <c r="H491" s="571">
        <f>'[5]FR-16(7)(v)-4 PROD Energy'!H491+'[5]FR-16(7)(v)-8 TRANS Energy'!H491+'[5]FR-16(7)(v)-12 DIST Energy'!H491</f>
        <v>0</v>
      </c>
      <c r="I491" s="572">
        <f>'[5]FR-16(7)(v)-5 PROD Cust'!H491+'[5]FR-16(7)(v)-9 TRANS Cust'!H491+'[5]FR-16(7)(v)-13 DIST Cust'!H491</f>
        <v>0</v>
      </c>
      <c r="J491" s="569">
        <f t="shared" si="93"/>
        <v>0</v>
      </c>
      <c r="K491" s="569">
        <f t="shared" si="94"/>
        <v>0</v>
      </c>
    </row>
    <row r="492" spans="1:11">
      <c r="A492" s="565">
        <v>48</v>
      </c>
      <c r="C492" s="547" t="str">
        <f>'[5]FR-16(7)(v)-1 Functional'!C492</f>
        <v xml:space="preserve">  TOTAL DISTRIBUTION O &amp; M</v>
      </c>
      <c r="D492" s="549"/>
      <c r="E492" s="548" t="s">
        <v>173</v>
      </c>
      <c r="F492" s="574">
        <f t="shared" ref="F492:K492" si="95">SUM(F472:F491)</f>
        <v>3474667</v>
      </c>
      <c r="G492" s="575">
        <f t="shared" si="95"/>
        <v>3217599</v>
      </c>
      <c r="H492" s="576">
        <f t="shared" si="95"/>
        <v>0</v>
      </c>
      <c r="I492" s="577">
        <f t="shared" si="95"/>
        <v>257068</v>
      </c>
      <c r="J492" s="574">
        <f t="shared" si="95"/>
        <v>3474667</v>
      </c>
      <c r="K492" s="574">
        <f t="shared" si="95"/>
        <v>0</v>
      </c>
    </row>
    <row r="493" spans="1:11">
      <c r="A493" s="565">
        <v>49</v>
      </c>
      <c r="C493" s="547" t="s">
        <v>173</v>
      </c>
      <c r="D493" s="549"/>
      <c r="E493" s="548"/>
      <c r="G493" s="566"/>
      <c r="H493" s="567"/>
      <c r="I493" s="568"/>
    </row>
    <row r="494" spans="1:11">
      <c r="A494" s="565">
        <v>50</v>
      </c>
      <c r="B494" s="547" t="s">
        <v>1248</v>
      </c>
      <c r="D494" s="549"/>
      <c r="E494" s="548"/>
      <c r="F494" s="547" t="s">
        <v>173</v>
      </c>
      <c r="G494" s="566"/>
      <c r="H494" s="567"/>
      <c r="I494" s="568"/>
    </row>
    <row r="495" spans="1:11">
      <c r="A495" s="565">
        <v>51</v>
      </c>
      <c r="C495" s="547" t="str">
        <f>'[5]FR-16(7)(v)-1 Functional'!C495</f>
        <v>CUSTOMER ACCOUNTING EXPENSE</v>
      </c>
      <c r="D495" s="549" t="str">
        <f>'[5]FR-16(7)(v)-1 Functional'!D495</f>
        <v>K409</v>
      </c>
      <c r="E495" s="548"/>
      <c r="F495" s="578">
        <f>'[5]FR-16(7)(v)-14 TOTAL CLASS'!H495</f>
        <v>348269</v>
      </c>
      <c r="G495" s="570">
        <f>'[5]FR-16(7)(v)-3 PROD Demand'!H495+'[5]FR-16(7)(v)-7 TRANS Demand'!H495+'[5]FR-16(7)(v)-11 DIST Demand'!H495</f>
        <v>0</v>
      </c>
      <c r="H495" s="571">
        <f>'[5]FR-16(7)(v)-4 PROD Energy'!H495+'[5]FR-16(7)(v)-8 TRANS Energy'!H495+'[5]FR-16(7)(v)-12 DIST Energy'!H495</f>
        <v>0</v>
      </c>
      <c r="I495" s="572">
        <f>'[5]FR-16(7)(v)-5 PROD Cust'!H495+'[5]FR-16(7)(v)-9 TRANS Cust'!H495+'[5]FR-16(7)(v)-13 DIST Cust'!H495</f>
        <v>348269</v>
      </c>
      <c r="J495" s="569">
        <f t="shared" ref="J495:J502" si="96">SUM(G495:I495)</f>
        <v>348269</v>
      </c>
      <c r="K495" s="569">
        <f t="shared" ref="K495:K502" si="97">F495-J495</f>
        <v>0</v>
      </c>
    </row>
    <row r="496" spans="1:11">
      <c r="A496" s="565">
        <v>52</v>
      </c>
      <c r="C496" s="547" t="str">
        <f>'[5]FR-16(7)(v)-1 Functional'!C496</f>
        <v>UNCOLLECTIBLE EXP</v>
      </c>
      <c r="D496" s="549" t="str">
        <f>'[5]FR-16(7)(v)-1 Functional'!D496</f>
        <v>K411</v>
      </c>
      <c r="E496" s="548"/>
      <c r="F496" s="578">
        <f>'[5]FR-16(7)(v)-14 TOTAL CLASS'!H496</f>
        <v>120053</v>
      </c>
      <c r="G496" s="570">
        <f>'[5]FR-16(7)(v)-3 PROD Demand'!H496+'[5]FR-16(7)(v)-7 TRANS Demand'!H496+'[5]FR-16(7)(v)-11 DIST Demand'!H496</f>
        <v>0</v>
      </c>
      <c r="H496" s="571">
        <f>'[5]FR-16(7)(v)-4 PROD Energy'!H496+'[5]FR-16(7)(v)-8 TRANS Energy'!H496+'[5]FR-16(7)(v)-12 DIST Energy'!H496</f>
        <v>0</v>
      </c>
      <c r="I496" s="572">
        <f>'[5]FR-16(7)(v)-5 PROD Cust'!H496+'[5]FR-16(7)(v)-9 TRANS Cust'!H496+'[5]FR-16(7)(v)-13 DIST Cust'!H496</f>
        <v>120053</v>
      </c>
      <c r="J496" s="569">
        <f t="shared" si="96"/>
        <v>120053</v>
      </c>
      <c r="K496" s="569">
        <f t="shared" si="97"/>
        <v>0</v>
      </c>
    </row>
    <row r="497" spans="1:11">
      <c r="A497" s="565">
        <v>53</v>
      </c>
      <c r="C497" s="547" t="str">
        <f>'[5]FR-16(7)(v)-1 Functional'!C497</f>
        <v>METER READING</v>
      </c>
      <c r="D497" s="549" t="str">
        <f>'[5]FR-16(7)(v)-1 Functional'!D497</f>
        <v>K407</v>
      </c>
      <c r="E497" s="548"/>
      <c r="F497" s="578">
        <f>'[5]FR-16(7)(v)-14 TOTAL CLASS'!H497</f>
        <v>15965</v>
      </c>
      <c r="G497" s="570">
        <f>'[5]FR-16(7)(v)-3 PROD Demand'!H497+'[5]FR-16(7)(v)-7 TRANS Demand'!H497+'[5]FR-16(7)(v)-11 DIST Demand'!H497</f>
        <v>0</v>
      </c>
      <c r="H497" s="571">
        <f>'[5]FR-16(7)(v)-4 PROD Energy'!H497+'[5]FR-16(7)(v)-8 TRANS Energy'!H497+'[5]FR-16(7)(v)-12 DIST Energy'!H497</f>
        <v>0</v>
      </c>
      <c r="I497" s="572">
        <f>'[5]FR-16(7)(v)-5 PROD Cust'!H497+'[5]FR-16(7)(v)-9 TRANS Cust'!H497+'[5]FR-16(7)(v)-13 DIST Cust'!H497</f>
        <v>15965</v>
      </c>
      <c r="J497" s="569">
        <f t="shared" si="96"/>
        <v>15965</v>
      </c>
      <c r="K497" s="569">
        <f t="shared" si="97"/>
        <v>0</v>
      </c>
    </row>
    <row r="498" spans="1:11">
      <c r="A498" s="565">
        <v>54</v>
      </c>
      <c r="C498" s="547" t="str">
        <f>'[5]FR-16(7)(v)-1 Functional'!C498</f>
        <v>UNCOLLECTIBLE EXP ADJUSTMENT</v>
      </c>
      <c r="D498" s="549" t="str">
        <f>'[5]FR-16(7)(v)-1 Functional'!D498</f>
        <v>K411</v>
      </c>
      <c r="E498" s="548"/>
      <c r="F498" s="578">
        <f>'[5]FR-16(7)(v)-14 TOTAL CLASS'!H498</f>
        <v>90578</v>
      </c>
      <c r="G498" s="570">
        <f>'[5]FR-16(7)(v)-3 PROD Demand'!H498+'[5]FR-16(7)(v)-7 TRANS Demand'!H498+'[5]FR-16(7)(v)-11 DIST Demand'!H498</f>
        <v>0</v>
      </c>
      <c r="H498" s="571">
        <f>'[5]FR-16(7)(v)-4 PROD Energy'!H498+'[5]FR-16(7)(v)-8 TRANS Energy'!H498+'[5]FR-16(7)(v)-12 DIST Energy'!H498</f>
        <v>0</v>
      </c>
      <c r="I498" s="572">
        <f>'[5]FR-16(7)(v)-5 PROD Cust'!H498+'[5]FR-16(7)(v)-9 TRANS Cust'!H498+'[5]FR-16(7)(v)-13 DIST Cust'!H498</f>
        <v>90578</v>
      </c>
      <c r="J498" s="569">
        <f t="shared" si="96"/>
        <v>90578</v>
      </c>
      <c r="K498" s="569">
        <f t="shared" si="97"/>
        <v>0</v>
      </c>
    </row>
    <row r="499" spans="1:11">
      <c r="A499" s="565">
        <v>55</v>
      </c>
      <c r="C499" s="547" t="str">
        <f>'[5]FR-16(7)(v)-1 Functional'!C499</f>
        <v>CREDIT CARD FEES</v>
      </c>
      <c r="D499" s="549" t="str">
        <f>'[5]FR-16(7)(v)-1 Functional'!D499</f>
        <v>K407</v>
      </c>
      <c r="E499" s="548"/>
      <c r="F499" s="578">
        <f>'[5]FR-16(7)(v)-14 TOTAL CLASS'!H499</f>
        <v>34559</v>
      </c>
      <c r="G499" s="570">
        <f>'[5]FR-16(7)(v)-3 PROD Demand'!H499+'[5]FR-16(7)(v)-7 TRANS Demand'!H499+'[5]FR-16(7)(v)-11 DIST Demand'!H499</f>
        <v>0</v>
      </c>
      <c r="H499" s="571">
        <f>'[5]FR-16(7)(v)-4 PROD Energy'!H499+'[5]FR-16(7)(v)-8 TRANS Energy'!H499+'[5]FR-16(7)(v)-12 DIST Energy'!H499</f>
        <v>0</v>
      </c>
      <c r="I499" s="572">
        <f>'[5]FR-16(7)(v)-5 PROD Cust'!H499+'[5]FR-16(7)(v)-9 TRANS Cust'!H499+'[5]FR-16(7)(v)-13 DIST Cust'!H499</f>
        <v>34559</v>
      </c>
      <c r="J499" s="569">
        <f t="shared" si="96"/>
        <v>34559</v>
      </c>
      <c r="K499" s="569">
        <f t="shared" si="97"/>
        <v>0</v>
      </c>
    </row>
    <row r="500" spans="1:11">
      <c r="A500" s="565">
        <v>56</v>
      </c>
      <c r="C500" s="547" t="str">
        <f>'[5]FR-16(7)(v)-1 Functional'!C500</f>
        <v>ELIMINATE REV &amp; EXP - DSM RIDER</v>
      </c>
      <c r="D500" s="549" t="str">
        <f>'[5]FR-16(7)(v)-1 Functional'!D500</f>
        <v>K405</v>
      </c>
      <c r="E500" s="548"/>
      <c r="F500" s="578">
        <f>'[5]FR-16(7)(v)-14 TOTAL CLASS'!H500</f>
        <v>0</v>
      </c>
      <c r="G500" s="570">
        <f>'[5]FR-16(7)(v)-3 PROD Demand'!H500+'[5]FR-16(7)(v)-7 TRANS Demand'!H500+'[5]FR-16(7)(v)-11 DIST Demand'!H500</f>
        <v>0</v>
      </c>
      <c r="H500" s="571">
        <f>'[5]FR-16(7)(v)-4 PROD Energy'!H500+'[5]FR-16(7)(v)-8 TRANS Energy'!H500+'[5]FR-16(7)(v)-12 DIST Energy'!H500</f>
        <v>0</v>
      </c>
      <c r="I500" s="572">
        <f>'[5]FR-16(7)(v)-5 PROD Cust'!H500+'[5]FR-16(7)(v)-9 TRANS Cust'!H500+'[5]FR-16(7)(v)-13 DIST Cust'!H500</f>
        <v>0</v>
      </c>
      <c r="J500" s="569">
        <f t="shared" si="96"/>
        <v>0</v>
      </c>
      <c r="K500" s="569">
        <f t="shared" si="97"/>
        <v>0</v>
      </c>
    </row>
    <row r="501" spans="1:11">
      <c r="A501" s="565">
        <v>57</v>
      </c>
      <c r="C501" s="547" t="str">
        <f>'[5]FR-16(7)(v)-1 Functional'!C501</f>
        <v>SALE OF A/R</v>
      </c>
      <c r="D501" s="549" t="str">
        <f>'[5]FR-16(7)(v)-1 Functional'!D501</f>
        <v>K411</v>
      </c>
      <c r="E501" s="548"/>
      <c r="F501" s="578">
        <f>'[5]FR-16(7)(v)-14 TOTAL CLASS'!H501</f>
        <v>0</v>
      </c>
      <c r="G501" s="570">
        <f>'[5]FR-16(7)(v)-3 PROD Demand'!H501+'[5]FR-16(7)(v)-7 TRANS Demand'!H501+'[5]FR-16(7)(v)-11 DIST Demand'!H501</f>
        <v>0</v>
      </c>
      <c r="H501" s="571">
        <f>'[5]FR-16(7)(v)-4 PROD Energy'!H501+'[5]FR-16(7)(v)-8 TRANS Energy'!H501+'[5]FR-16(7)(v)-12 DIST Energy'!H501</f>
        <v>0</v>
      </c>
      <c r="I501" s="572">
        <f>'[5]FR-16(7)(v)-5 PROD Cust'!H501+'[5]FR-16(7)(v)-9 TRANS Cust'!H501+'[5]FR-16(7)(v)-13 DIST Cust'!H501</f>
        <v>0</v>
      </c>
      <c r="J501" s="569">
        <f t="shared" si="96"/>
        <v>0</v>
      </c>
      <c r="K501" s="569">
        <f t="shared" si="97"/>
        <v>0</v>
      </c>
    </row>
    <row r="502" spans="1:11">
      <c r="A502" s="565">
        <v>58</v>
      </c>
      <c r="C502" s="573" t="str">
        <f>'[5]FR-16(7)(v)-1 Functional'!C502</f>
        <v>ELIMINATE MISC EXPENSE</v>
      </c>
      <c r="D502" s="549" t="str">
        <f>'[5]FR-16(7)(v)-1 Functional'!D502</f>
        <v>K405</v>
      </c>
      <c r="E502" s="548"/>
      <c r="F502" s="578">
        <f>'[5]FR-16(7)(v)-14 TOTAL CLASS'!H502</f>
        <v>6720</v>
      </c>
      <c r="G502" s="570">
        <f>'[5]FR-16(7)(v)-3 PROD Demand'!H502+'[5]FR-16(7)(v)-7 TRANS Demand'!H502+'[5]FR-16(7)(v)-11 DIST Demand'!H502</f>
        <v>0</v>
      </c>
      <c r="H502" s="571">
        <f>'[5]FR-16(7)(v)-4 PROD Energy'!H502+'[5]FR-16(7)(v)-8 TRANS Energy'!H502+'[5]FR-16(7)(v)-12 DIST Energy'!H502</f>
        <v>0</v>
      </c>
      <c r="I502" s="572">
        <f>'[5]FR-16(7)(v)-5 PROD Cust'!H502+'[5]FR-16(7)(v)-9 TRANS Cust'!H502+'[5]FR-16(7)(v)-13 DIST Cust'!H502</f>
        <v>6720</v>
      </c>
      <c r="J502" s="569">
        <f t="shared" si="96"/>
        <v>6720</v>
      </c>
      <c r="K502" s="569">
        <f t="shared" si="97"/>
        <v>0</v>
      </c>
    </row>
    <row r="503" spans="1:11">
      <c r="A503" s="565">
        <v>59</v>
      </c>
      <c r="C503" s="547" t="str">
        <f>'[5]FR-16(7)(v)-1 Functional'!C503</f>
        <v xml:space="preserve">  TOTAL CUSTOMER ACCT EXPENSE</v>
      </c>
      <c r="D503" s="549"/>
      <c r="E503" s="548" t="s">
        <v>173</v>
      </c>
      <c r="F503" s="574">
        <f t="shared" ref="F503:K503" si="98">SUM(F494:F502)</f>
        <v>616144</v>
      </c>
      <c r="G503" s="579">
        <f t="shared" si="98"/>
        <v>0</v>
      </c>
      <c r="H503" s="580">
        <f t="shared" si="98"/>
        <v>0</v>
      </c>
      <c r="I503" s="581">
        <f t="shared" si="98"/>
        <v>616144</v>
      </c>
      <c r="J503" s="574">
        <f t="shared" si="98"/>
        <v>616144</v>
      </c>
      <c r="K503" s="574">
        <f t="shared" si="98"/>
        <v>0</v>
      </c>
    </row>
    <row r="504" spans="1:11">
      <c r="B504" s="546"/>
      <c r="C504" s="548"/>
      <c r="D504" s="549"/>
      <c r="E504" s="548"/>
      <c r="F504" s="548"/>
      <c r="G504" s="548"/>
      <c r="H504" s="548"/>
      <c r="I504" s="548"/>
      <c r="J504" s="548"/>
      <c r="K504" s="548"/>
    </row>
    <row r="505" spans="1:11">
      <c r="A505" s="546" t="str">
        <f>co_name</f>
        <v>DUKE ENERGY KENTUCKY, INC.</v>
      </c>
      <c r="C505" s="548"/>
      <c r="D505" s="549"/>
      <c r="E505" s="548"/>
      <c r="F505" s="548"/>
      <c r="G505" s="548"/>
      <c r="H505" s="548"/>
      <c r="I505" s="548"/>
      <c r="J505" s="548" t="str">
        <f>J1</f>
        <v>FR-16(7)(v)-16</v>
      </c>
      <c r="K505" s="548"/>
    </row>
    <row r="506" spans="1:11">
      <c r="A506" s="546" t="str">
        <f>$A$2</f>
        <v>DISTR. SEC. CLASSIFIED - ELECTRIC COST OF SERVICE</v>
      </c>
      <c r="C506" s="548"/>
      <c r="D506" s="549"/>
      <c r="E506" s="548"/>
      <c r="F506" s="548"/>
      <c r="G506" s="548"/>
      <c r="H506" s="548"/>
      <c r="I506" s="548"/>
      <c r="J506" s="548" t="str">
        <f>J2</f>
        <v>WITNESS RESPONSIBLE:</v>
      </c>
      <c r="K506" s="548"/>
    </row>
    <row r="507" spans="1:11">
      <c r="A507" s="546" t="str">
        <f>case_name</f>
        <v>CASE NO: 2024-00354</v>
      </c>
      <c r="C507" s="548"/>
      <c r="D507" s="549"/>
      <c r="E507" s="548"/>
      <c r="F507" s="548"/>
      <c r="G507" s="548"/>
      <c r="H507" s="548"/>
      <c r="I507" s="548"/>
      <c r="J507" s="548" t="str">
        <f>Witness</f>
        <v>JAMES E. ZIOLKOWSKI</v>
      </c>
      <c r="K507" s="548"/>
    </row>
    <row r="508" spans="1:11">
      <c r="A508" s="546" t="str">
        <f>data_filing</f>
        <v>DATA: 12 MONTHS ACTUAL  &amp; 0 MONTHS ESTIMATED</v>
      </c>
      <c r="C508" s="548"/>
      <c r="D508" s="549"/>
      <c r="E508" s="548"/>
      <c r="F508" s="548"/>
      <c r="G508" s="548"/>
      <c r="H508" s="548"/>
      <c r="I508" s="548"/>
      <c r="J508" s="548" t="str">
        <f>"PAGE "&amp;Pages2-6&amp;" OF "&amp;Pages2</f>
        <v>PAGE 9 OF 15</v>
      </c>
      <c r="K508" s="548"/>
    </row>
    <row r="509" spans="1:11">
      <c r="A509" s="546" t="str">
        <f>type</f>
        <v xml:space="preserve">TYPE OF FILING: "X" ORIGINAL   UPDATED    REVISED  </v>
      </c>
      <c r="C509" s="548"/>
      <c r="D509" s="549"/>
      <c r="E509" s="548"/>
      <c r="F509" s="548"/>
      <c r="G509" s="548"/>
      <c r="H509" s="548"/>
      <c r="I509" s="548"/>
      <c r="J509" s="548"/>
      <c r="K509" s="548"/>
    </row>
    <row r="510" spans="1:11">
      <c r="B510" s="546"/>
      <c r="C510" s="548"/>
      <c r="D510" s="549"/>
      <c r="E510" s="548"/>
      <c r="F510" s="548"/>
      <c r="G510" s="548"/>
      <c r="H510" s="548"/>
      <c r="I510" s="548"/>
      <c r="J510" s="548"/>
      <c r="K510" s="548"/>
    </row>
    <row r="511" spans="1:11">
      <c r="B511" s="546"/>
      <c r="C511" s="548"/>
      <c r="D511" s="549"/>
      <c r="E511" s="548"/>
      <c r="F511" s="548"/>
      <c r="G511" s="548"/>
      <c r="H511" s="548"/>
      <c r="I511" s="548"/>
      <c r="J511" s="548"/>
      <c r="K511" s="548"/>
    </row>
    <row r="512" spans="1:11">
      <c r="A512" s="549" t="s">
        <v>17</v>
      </c>
      <c r="B512" s="548"/>
      <c r="C512" s="548"/>
      <c r="D512" s="549"/>
      <c r="E512" s="548"/>
      <c r="F512" s="549" t="s">
        <v>11</v>
      </c>
      <c r="G512" s="552" t="s">
        <v>1162</v>
      </c>
      <c r="H512" s="553"/>
      <c r="I512" s="554"/>
      <c r="J512" s="549" t="s">
        <v>11</v>
      </c>
      <c r="K512" s="549" t="s">
        <v>1163</v>
      </c>
    </row>
    <row r="513" spans="1:11">
      <c r="A513" s="555" t="s">
        <v>1164</v>
      </c>
      <c r="B513" s="556" t="s">
        <v>1240</v>
      </c>
      <c r="C513" s="556"/>
      <c r="D513" s="555" t="s">
        <v>1166</v>
      </c>
      <c r="E513" s="556"/>
      <c r="F513" s="555" t="str">
        <f>$F$9</f>
        <v>DISTR. SEC.</v>
      </c>
      <c r="G513" s="611" t="str">
        <f t="shared" ref="G513:I514" si="99">G9</f>
        <v>DEMAND</v>
      </c>
      <c r="H513" s="612" t="str">
        <f t="shared" si="99"/>
        <v>ENERGY</v>
      </c>
      <c r="I513" s="613" t="str">
        <f t="shared" si="99"/>
        <v>CUSTOMER</v>
      </c>
      <c r="J513" s="555" t="s">
        <v>1169</v>
      </c>
      <c r="K513" s="555" t="s">
        <v>543</v>
      </c>
    </row>
    <row r="514" spans="1:11">
      <c r="C514" s="561" t="s">
        <v>1249</v>
      </c>
      <c r="D514" s="549"/>
      <c r="E514" s="548"/>
      <c r="G514" s="614">
        <f t="shared" si="99"/>
        <v>3</v>
      </c>
      <c r="H514" s="615">
        <f t="shared" si="99"/>
        <v>4</v>
      </c>
      <c r="I514" s="616">
        <f t="shared" si="99"/>
        <v>5</v>
      </c>
    </row>
    <row r="515" spans="1:11">
      <c r="A515" s="565">
        <v>1</v>
      </c>
      <c r="B515" s="547" t="s">
        <v>1250</v>
      </c>
      <c r="D515" s="549"/>
      <c r="E515" s="548"/>
      <c r="G515" s="566"/>
      <c r="H515" s="567"/>
      <c r="I515" s="568"/>
    </row>
    <row r="516" spans="1:11">
      <c r="A516" s="565">
        <v>2</v>
      </c>
      <c r="C516" s="547" t="str">
        <f>'[5]FR-16(7)(v)-1 Functional'!C516</f>
        <v>TOTAL CUST SERVICE &amp; INFO</v>
      </c>
      <c r="D516" s="549" t="str">
        <f>'[5]FR-16(7)(v)-1 Functional'!D516</f>
        <v>K405</v>
      </c>
      <c r="E516" s="548"/>
      <c r="F516" s="578">
        <f>'[5]FR-16(7)(v)-14 TOTAL CLASS'!H516</f>
        <v>121415</v>
      </c>
      <c r="G516" s="570">
        <f>'[5]FR-16(7)(v)-3 PROD Demand'!H516+'[5]FR-16(7)(v)-7 TRANS Demand'!H516+'[5]FR-16(7)(v)-11 DIST Demand'!H516</f>
        <v>0</v>
      </c>
      <c r="H516" s="571">
        <f>'[5]FR-16(7)(v)-4 PROD Energy'!H516+'[5]FR-16(7)(v)-8 TRANS Energy'!H516+'[5]FR-16(7)(v)-12 DIST Energy'!H516</f>
        <v>0</v>
      </c>
      <c r="I516" s="572">
        <f>'[5]FR-16(7)(v)-5 PROD Cust'!H516+'[5]FR-16(7)(v)-9 TRANS Cust'!H516+'[5]FR-16(7)(v)-13 DIST Cust'!H516</f>
        <v>121415</v>
      </c>
      <c r="J516" s="569">
        <f>SUM(G516:I516)</f>
        <v>121415</v>
      </c>
      <c r="K516" s="569">
        <f>F516-J516</f>
        <v>0</v>
      </c>
    </row>
    <row r="517" spans="1:11">
      <c r="A517" s="565">
        <v>3</v>
      </c>
      <c r="C517" s="547" t="str">
        <f>'[5]FR-16(7)(v)-1 Functional'!C517</f>
        <v>INFORMATIONAL &amp; INSTRUCTIONAL ADV</v>
      </c>
      <c r="D517" s="549" t="str">
        <f>'[5]FR-16(7)(v)-1 Functional'!D517</f>
        <v>K405</v>
      </c>
      <c r="E517" s="548"/>
      <c r="F517" s="578">
        <f>'[5]FR-16(7)(v)-14 TOTAL CLASS'!H517</f>
        <v>0</v>
      </c>
      <c r="G517" s="570">
        <f>'[5]FR-16(7)(v)-3 PROD Demand'!H517+'[5]FR-16(7)(v)-7 TRANS Demand'!H517+'[5]FR-16(7)(v)-11 DIST Demand'!H517</f>
        <v>0</v>
      </c>
      <c r="H517" s="571">
        <f>'[5]FR-16(7)(v)-4 PROD Energy'!H517+'[5]FR-16(7)(v)-8 TRANS Energy'!H517+'[5]FR-16(7)(v)-12 DIST Energy'!H517</f>
        <v>0</v>
      </c>
      <c r="I517" s="572">
        <f>'[5]FR-16(7)(v)-5 PROD Cust'!H517+'[5]FR-16(7)(v)-9 TRANS Cust'!H517+'[5]FR-16(7)(v)-13 DIST Cust'!H517</f>
        <v>0</v>
      </c>
      <c r="J517" s="569">
        <f>SUM(G517:I517)</f>
        <v>0</v>
      </c>
      <c r="K517" s="569">
        <f>F517-J517</f>
        <v>0</v>
      </c>
    </row>
    <row r="518" spans="1:11">
      <c r="A518" s="565">
        <v>4</v>
      </c>
      <c r="C518" s="617" t="str">
        <f>'[5]FR-16(7)(v)-1 Functional'!C518</f>
        <v>TOTAL CUSTOMER SERV. &amp; INFO.</v>
      </c>
      <c r="D518" s="549"/>
      <c r="E518" s="548" t="s">
        <v>173</v>
      </c>
      <c r="F518" s="574">
        <f t="shared" ref="F518:K518" si="100">SUM(F516:F517)</f>
        <v>121415</v>
      </c>
      <c r="G518" s="575">
        <f t="shared" si="100"/>
        <v>0</v>
      </c>
      <c r="H518" s="576">
        <f t="shared" si="100"/>
        <v>0</v>
      </c>
      <c r="I518" s="577">
        <f t="shared" si="100"/>
        <v>121415</v>
      </c>
      <c r="J518" s="574">
        <f t="shared" si="100"/>
        <v>121415</v>
      </c>
      <c r="K518" s="574">
        <f t="shared" si="100"/>
        <v>0</v>
      </c>
    </row>
    <row r="519" spans="1:11">
      <c r="A519" s="565">
        <v>5</v>
      </c>
      <c r="D519" s="549"/>
      <c r="E519" s="548"/>
      <c r="F519" s="569"/>
      <c r="G519" s="570"/>
      <c r="H519" s="571"/>
      <c r="I519" s="572"/>
      <c r="J519" s="569"/>
      <c r="K519" s="569"/>
    </row>
    <row r="520" spans="1:11">
      <c r="A520" s="565">
        <v>6</v>
      </c>
      <c r="B520" s="547" t="s">
        <v>26</v>
      </c>
      <c r="D520" s="549"/>
      <c r="E520" s="548"/>
      <c r="F520" s="569"/>
      <c r="G520" s="570"/>
      <c r="H520" s="571"/>
      <c r="I520" s="572"/>
      <c r="J520" s="569"/>
      <c r="K520" s="569"/>
    </row>
    <row r="521" spans="1:11">
      <c r="A521" s="565">
        <v>7</v>
      </c>
      <c r="C521" s="573" t="str">
        <f>'[5]FR-16(7)(v)-1 Functional'!C521</f>
        <v>SALES EXPENSE</v>
      </c>
      <c r="D521" s="549" t="str">
        <f>'[5]FR-16(7)(v)-1 Functional'!D521</f>
        <v>K405</v>
      </c>
      <c r="E521" s="548" t="s">
        <v>173</v>
      </c>
      <c r="F521" s="578">
        <f>'[5]FR-16(7)(v)-14 TOTAL CLASS'!H521</f>
        <v>16617</v>
      </c>
      <c r="G521" s="570">
        <f>'[5]FR-16(7)(v)-3 PROD Demand'!H521+'[5]FR-16(7)(v)-7 TRANS Demand'!H521+'[5]FR-16(7)(v)-11 DIST Demand'!H521</f>
        <v>0</v>
      </c>
      <c r="H521" s="571">
        <f>'[5]FR-16(7)(v)-4 PROD Energy'!H521+'[5]FR-16(7)(v)-8 TRANS Energy'!H521+'[5]FR-16(7)(v)-12 DIST Energy'!H521</f>
        <v>0</v>
      </c>
      <c r="I521" s="572">
        <f>'[5]FR-16(7)(v)-5 PROD Cust'!H521+'[5]FR-16(7)(v)-9 TRANS Cust'!H521+'[5]FR-16(7)(v)-13 DIST Cust'!H521</f>
        <v>16617</v>
      </c>
      <c r="J521" s="569">
        <f>SUM(G521:I521)</f>
        <v>16617</v>
      </c>
      <c r="K521" s="569">
        <f>F521-J521</f>
        <v>0</v>
      </c>
    </row>
    <row r="522" spans="1:11">
      <c r="A522" s="565">
        <v>8</v>
      </c>
      <c r="C522" s="547" t="str">
        <f>'[5]FR-16(7)(v)-1 Functional'!C522</f>
        <v>TOTAL SALES EXPENSE</v>
      </c>
      <c r="D522" s="549"/>
      <c r="E522" s="548" t="s">
        <v>173</v>
      </c>
      <c r="F522" s="574">
        <f t="shared" ref="F522:K522" si="101">SUM(F520:F521)</f>
        <v>16617</v>
      </c>
      <c r="G522" s="575">
        <f t="shared" si="101"/>
        <v>0</v>
      </c>
      <c r="H522" s="576">
        <f t="shared" si="101"/>
        <v>0</v>
      </c>
      <c r="I522" s="577">
        <f t="shared" si="101"/>
        <v>16617</v>
      </c>
      <c r="J522" s="574">
        <f t="shared" si="101"/>
        <v>16617</v>
      </c>
      <c r="K522" s="574">
        <f t="shared" si="101"/>
        <v>0</v>
      </c>
    </row>
    <row r="523" spans="1:11">
      <c r="A523" s="565">
        <v>9</v>
      </c>
      <c r="D523" s="549"/>
      <c r="E523" s="548"/>
      <c r="G523" s="566"/>
      <c r="H523" s="567"/>
      <c r="I523" s="568"/>
    </row>
    <row r="524" spans="1:11">
      <c r="A524" s="565">
        <v>10</v>
      </c>
      <c r="B524" s="547" t="s">
        <v>1251</v>
      </c>
      <c r="D524" s="549"/>
      <c r="E524" s="548"/>
      <c r="G524" s="566"/>
      <c r="H524" s="567"/>
      <c r="I524" s="568"/>
    </row>
    <row r="525" spans="1:11">
      <c r="A525" s="565">
        <v>11</v>
      </c>
      <c r="C525" s="547" t="str">
        <f>'[5]FR-16(7)(v)-1 Functional'!C525</f>
        <v>PRODUCTION - DEMAND RELATED</v>
      </c>
      <c r="D525" s="549" t="str">
        <f>'[5]FR-16(7)(v)-1 Functional'!D525</f>
        <v>P349</v>
      </c>
      <c r="E525" s="548"/>
      <c r="F525" s="578">
        <f>'[5]FR-16(7)(v)-14 TOTAL CLASS'!H525</f>
        <v>0</v>
      </c>
      <c r="G525" s="570">
        <f>'[5]FR-16(7)(v)-3 PROD Demand'!H525+'[5]FR-16(7)(v)-7 TRANS Demand'!H525+'[5]FR-16(7)(v)-11 DIST Demand'!H525</f>
        <v>0</v>
      </c>
      <c r="H525" s="571">
        <f>'[5]FR-16(7)(v)-4 PROD Energy'!H525+'[5]FR-16(7)(v)-8 TRANS Energy'!H525+'[5]FR-16(7)(v)-12 DIST Energy'!H525</f>
        <v>0</v>
      </c>
      <c r="I525" s="572">
        <f>'[5]FR-16(7)(v)-5 PROD Cust'!H525+'[5]FR-16(7)(v)-9 TRANS Cust'!H525+'[5]FR-16(7)(v)-13 DIST Cust'!H525</f>
        <v>0</v>
      </c>
      <c r="J525" s="569">
        <f t="shared" ref="J525:J531" si="102">SUM(G525:I525)</f>
        <v>0</v>
      </c>
      <c r="K525" s="569">
        <f t="shared" ref="K525:K531" si="103">F525-J525</f>
        <v>0</v>
      </c>
    </row>
    <row r="526" spans="1:11">
      <c r="A526" s="565">
        <v>12</v>
      </c>
      <c r="C526" s="547" t="str">
        <f>'[5]FR-16(7)(v)-1 Functional'!C526</f>
        <v>PRODUCTION - ENERGY RELATED</v>
      </c>
      <c r="D526" s="549" t="str">
        <f>'[5]FR-16(7)(v)-1 Functional'!D526</f>
        <v>E349</v>
      </c>
      <c r="E526" s="548"/>
      <c r="F526" s="578">
        <f>'[5]FR-16(7)(v)-14 TOTAL CLASS'!H526</f>
        <v>3383770</v>
      </c>
      <c r="G526" s="570">
        <f>'[5]FR-16(7)(v)-3 PROD Demand'!H526+'[5]FR-16(7)(v)-7 TRANS Demand'!H526+'[5]FR-16(7)(v)-11 DIST Demand'!H526</f>
        <v>0</v>
      </c>
      <c r="H526" s="571">
        <f>'[5]FR-16(7)(v)-4 PROD Energy'!H526+'[5]FR-16(7)(v)-8 TRANS Energy'!H526+'[5]FR-16(7)(v)-12 DIST Energy'!H526</f>
        <v>3383770</v>
      </c>
      <c r="I526" s="572">
        <f>'[5]FR-16(7)(v)-5 PROD Cust'!H526+'[5]FR-16(7)(v)-9 TRANS Cust'!H526+'[5]FR-16(7)(v)-13 DIST Cust'!H526</f>
        <v>0</v>
      </c>
      <c r="J526" s="569">
        <f t="shared" si="102"/>
        <v>3383770</v>
      </c>
      <c r="K526" s="569">
        <f t="shared" si="103"/>
        <v>0</v>
      </c>
    </row>
    <row r="527" spans="1:11">
      <c r="A527" s="565">
        <v>13</v>
      </c>
      <c r="C527" s="547" t="s">
        <v>254</v>
      </c>
      <c r="D527" s="549" t="str">
        <f>'[5]FR-16(7)(v)-1 Functional'!D527</f>
        <v>T349</v>
      </c>
      <c r="E527" s="548"/>
      <c r="F527" s="578">
        <f>'[5]FR-16(7)(v)-14 TOTAL CLASS'!H527</f>
        <v>410457</v>
      </c>
      <c r="G527" s="570">
        <f>'[5]FR-16(7)(v)-3 PROD Demand'!H527+'[5]FR-16(7)(v)-7 TRANS Demand'!H527+'[5]FR-16(7)(v)-11 DIST Demand'!H527</f>
        <v>410457</v>
      </c>
      <c r="H527" s="571">
        <f>'[5]FR-16(7)(v)-4 PROD Energy'!H527+'[5]FR-16(7)(v)-8 TRANS Energy'!H527+'[5]FR-16(7)(v)-12 DIST Energy'!H527</f>
        <v>0</v>
      </c>
      <c r="I527" s="572">
        <f>'[5]FR-16(7)(v)-5 PROD Cust'!H527+'[5]FR-16(7)(v)-9 TRANS Cust'!H527+'[5]FR-16(7)(v)-13 DIST Cust'!H527</f>
        <v>0</v>
      </c>
      <c r="J527" s="569">
        <f>SUM(G527:I527)</f>
        <v>410457</v>
      </c>
      <c r="K527" s="569">
        <f>F527-J527</f>
        <v>0</v>
      </c>
    </row>
    <row r="528" spans="1:11">
      <c r="A528" s="565">
        <v>14</v>
      </c>
      <c r="C528" s="547" t="str">
        <f>'[5]FR-16(7)(v)-1 Functional'!C528</f>
        <v>DISTRIBUTION</v>
      </c>
      <c r="D528" s="549" t="str">
        <f>'[5]FR-16(7)(v)-1 Functional'!D528</f>
        <v>D349</v>
      </c>
      <c r="E528" s="548"/>
      <c r="F528" s="578">
        <f>'[5]FR-16(7)(v)-14 TOTAL CLASS'!H528</f>
        <v>1579667</v>
      </c>
      <c r="G528" s="570">
        <f>'[5]FR-16(7)(v)-3 PROD Demand'!H528+'[5]FR-16(7)(v)-7 TRANS Demand'!H528+'[5]FR-16(7)(v)-11 DIST Demand'!H528</f>
        <v>1462791</v>
      </c>
      <c r="H528" s="571">
        <f>'[5]FR-16(7)(v)-4 PROD Energy'!H528+'[5]FR-16(7)(v)-8 TRANS Energy'!H528+'[5]FR-16(7)(v)-12 DIST Energy'!H528</f>
        <v>0</v>
      </c>
      <c r="I528" s="572">
        <f>'[5]FR-16(7)(v)-5 PROD Cust'!H528+'[5]FR-16(7)(v)-9 TRANS Cust'!H528+'[5]FR-16(7)(v)-13 DIST Cust'!H528</f>
        <v>116876</v>
      </c>
      <c r="J528" s="569">
        <f t="shared" si="102"/>
        <v>1579667</v>
      </c>
      <c r="K528" s="569">
        <f t="shared" si="103"/>
        <v>0</v>
      </c>
    </row>
    <row r="529" spans="1:11">
      <c r="A529" s="565">
        <v>15</v>
      </c>
      <c r="C529" s="547" t="str">
        <f>'[5]FR-16(7)(v)-1 Functional'!C529</f>
        <v>CUSTOMER ACCOUNTING</v>
      </c>
      <c r="D529" s="549" t="str">
        <f>'[5]FR-16(7)(v)-1 Functional'!D529</f>
        <v>C319</v>
      </c>
      <c r="E529" s="548"/>
      <c r="F529" s="578">
        <f>'[5]FR-16(7)(v)-14 TOTAL CLASS'!H529</f>
        <v>233016</v>
      </c>
      <c r="G529" s="570">
        <f>'[5]FR-16(7)(v)-3 PROD Demand'!H529+'[5]FR-16(7)(v)-7 TRANS Demand'!H529+'[5]FR-16(7)(v)-11 DIST Demand'!H529</f>
        <v>0</v>
      </c>
      <c r="H529" s="571">
        <f>'[5]FR-16(7)(v)-4 PROD Energy'!H529+'[5]FR-16(7)(v)-8 TRANS Energy'!H529+'[5]FR-16(7)(v)-12 DIST Energy'!H529</f>
        <v>0</v>
      </c>
      <c r="I529" s="572">
        <f>'[5]FR-16(7)(v)-5 PROD Cust'!H529+'[5]FR-16(7)(v)-9 TRANS Cust'!H529+'[5]FR-16(7)(v)-13 DIST Cust'!H529</f>
        <v>233016</v>
      </c>
      <c r="J529" s="569">
        <f t="shared" si="102"/>
        <v>233016</v>
      </c>
      <c r="K529" s="569">
        <f t="shared" si="103"/>
        <v>0</v>
      </c>
    </row>
    <row r="530" spans="1:11">
      <c r="A530" s="565">
        <v>16</v>
      </c>
      <c r="C530" s="547" t="str">
        <f>'[5]FR-16(7)(v)-1 Functional'!C530</f>
        <v>CUSTOMER SERVICE &amp; INFORMATION</v>
      </c>
      <c r="D530" s="549" t="str">
        <f>'[5]FR-16(7)(v)-1 Functional'!D530</f>
        <v>C331</v>
      </c>
      <c r="E530" s="548"/>
      <c r="F530" s="578">
        <f>'[5]FR-16(7)(v)-14 TOTAL CLASS'!H530</f>
        <v>133786</v>
      </c>
      <c r="G530" s="570">
        <f>'[5]FR-16(7)(v)-3 PROD Demand'!H530+'[5]FR-16(7)(v)-7 TRANS Demand'!H530+'[5]FR-16(7)(v)-11 DIST Demand'!H530</f>
        <v>0</v>
      </c>
      <c r="H530" s="571">
        <f>'[5]FR-16(7)(v)-4 PROD Energy'!H530+'[5]FR-16(7)(v)-8 TRANS Energy'!H530+'[5]FR-16(7)(v)-12 DIST Energy'!H530</f>
        <v>0</v>
      </c>
      <c r="I530" s="572">
        <f>'[5]FR-16(7)(v)-5 PROD Cust'!H530+'[5]FR-16(7)(v)-9 TRANS Cust'!H530+'[5]FR-16(7)(v)-13 DIST Cust'!H530</f>
        <v>133786</v>
      </c>
      <c r="J530" s="569">
        <f t="shared" si="102"/>
        <v>133786</v>
      </c>
      <c r="K530" s="569">
        <f t="shared" si="103"/>
        <v>0</v>
      </c>
    </row>
    <row r="531" spans="1:11">
      <c r="A531" s="565">
        <v>17</v>
      </c>
      <c r="C531" s="573" t="str">
        <f>'[5]FR-16(7)(v)-1 Functional'!C531</f>
        <v>SALES</v>
      </c>
      <c r="D531" s="549" t="str">
        <f>'[5]FR-16(7)(v)-1 Functional'!D531</f>
        <v>S319</v>
      </c>
      <c r="E531" s="548"/>
      <c r="F531" s="578">
        <f>'[5]FR-16(7)(v)-14 TOTAL CLASS'!H531</f>
        <v>0</v>
      </c>
      <c r="G531" s="570">
        <f>'[5]FR-16(7)(v)-3 PROD Demand'!H531+'[5]FR-16(7)(v)-7 TRANS Demand'!H531+'[5]FR-16(7)(v)-11 DIST Demand'!H531</f>
        <v>0</v>
      </c>
      <c r="H531" s="571">
        <f>'[5]FR-16(7)(v)-4 PROD Energy'!H531+'[5]FR-16(7)(v)-8 TRANS Energy'!H531+'[5]FR-16(7)(v)-12 DIST Energy'!H531</f>
        <v>0</v>
      </c>
      <c r="I531" s="572">
        <f>'[5]FR-16(7)(v)-5 PROD Cust'!H531+'[5]FR-16(7)(v)-9 TRANS Cust'!H531+'[5]FR-16(7)(v)-13 DIST Cust'!H531</f>
        <v>0</v>
      </c>
      <c r="J531" s="569">
        <f t="shared" si="102"/>
        <v>0</v>
      </c>
      <c r="K531" s="584">
        <f t="shared" si="103"/>
        <v>0</v>
      </c>
    </row>
    <row r="532" spans="1:11">
      <c r="A532" s="565">
        <v>18</v>
      </c>
      <c r="C532" s="547" t="str">
        <f>'[5]FR-16(7)(v)-1 Functional'!C532</f>
        <v>TOT ADMIN &amp; GEN LESS REG EXP</v>
      </c>
      <c r="D532" s="549" t="s">
        <v>173</v>
      </c>
      <c r="E532" s="548"/>
      <c r="F532" s="635">
        <f t="shared" ref="F532:K532" si="104">SUM(F525:F531)</f>
        <v>5740696</v>
      </c>
      <c r="G532" s="636">
        <f t="shared" si="104"/>
        <v>1873248</v>
      </c>
      <c r="H532" s="637">
        <f t="shared" si="104"/>
        <v>3383770</v>
      </c>
      <c r="I532" s="638">
        <f t="shared" si="104"/>
        <v>483678</v>
      </c>
      <c r="J532" s="639">
        <f t="shared" si="104"/>
        <v>5740696</v>
      </c>
      <c r="K532" s="578">
        <f t="shared" si="104"/>
        <v>0</v>
      </c>
    </row>
    <row r="533" spans="1:11">
      <c r="A533" s="565">
        <v>19</v>
      </c>
      <c r="C533" s="547" t="str">
        <f>'[5]FR-16(7)(v)-1 Functional'!C533</f>
        <v>RATE CASE EXPENSE ADJUSTMENT</v>
      </c>
      <c r="D533" s="549" t="str">
        <f>'[5]FR-16(7)(v)-1 Functional'!D533</f>
        <v>A315</v>
      </c>
      <c r="E533" s="548"/>
      <c r="F533" s="578">
        <f>'[5]FR-16(7)(v)-14 TOTAL CLASS'!H533</f>
        <v>25698</v>
      </c>
      <c r="G533" s="570">
        <f>'[5]FR-16(7)(v)-3 PROD Demand'!H533+'[5]FR-16(7)(v)-7 TRANS Demand'!H533+'[5]FR-16(7)(v)-11 DIST Demand'!H533</f>
        <v>8386</v>
      </c>
      <c r="H533" s="571">
        <f>'[5]FR-16(7)(v)-4 PROD Energy'!H533+'[5]FR-16(7)(v)-8 TRANS Energy'!H533+'[5]FR-16(7)(v)-12 DIST Energy'!H533</f>
        <v>15147</v>
      </c>
      <c r="I533" s="572">
        <f>'[5]FR-16(7)(v)-5 PROD Cust'!H533+'[5]FR-16(7)(v)-9 TRANS Cust'!H533+'[5]FR-16(7)(v)-13 DIST Cust'!H533</f>
        <v>2165</v>
      </c>
      <c r="J533" s="569">
        <f t="shared" ref="J533:J546" si="105">SUM(G533:I533)</f>
        <v>25698</v>
      </c>
      <c r="K533" s="569">
        <f t="shared" ref="K533:K546" si="106">F533-J533</f>
        <v>0</v>
      </c>
    </row>
    <row r="534" spans="1:11">
      <c r="A534" s="565">
        <v>20</v>
      </c>
      <c r="C534" s="547" t="str">
        <f>'[5]FR-16(7)(v)-1 Functional'!C534</f>
        <v>ELIMINATE MISCELLANEOUS EXPENSES ADJUSTMENT</v>
      </c>
      <c r="D534" s="549" t="str">
        <f>'[5]FR-16(7)(v)-1 Functional'!D534</f>
        <v>A315</v>
      </c>
      <c r="E534" s="548"/>
      <c r="F534" s="578">
        <f>'[5]FR-16(7)(v)-14 TOTAL CLASS'!H534</f>
        <v>0</v>
      </c>
      <c r="G534" s="570">
        <f>'[5]FR-16(7)(v)-3 PROD Demand'!H534+'[5]FR-16(7)(v)-7 TRANS Demand'!H534+'[5]FR-16(7)(v)-11 DIST Demand'!H534</f>
        <v>0</v>
      </c>
      <c r="H534" s="571">
        <f>'[5]FR-16(7)(v)-4 PROD Energy'!H534+'[5]FR-16(7)(v)-8 TRANS Energy'!H534+'[5]FR-16(7)(v)-12 DIST Energy'!H534</f>
        <v>0</v>
      </c>
      <c r="I534" s="572">
        <f>'[5]FR-16(7)(v)-5 PROD Cust'!H534+'[5]FR-16(7)(v)-9 TRANS Cust'!H534+'[5]FR-16(7)(v)-13 DIST Cust'!H534</f>
        <v>0</v>
      </c>
      <c r="J534" s="569">
        <f t="shared" si="105"/>
        <v>0</v>
      </c>
      <c r="K534" s="569">
        <f t="shared" si="106"/>
        <v>0</v>
      </c>
    </row>
    <row r="535" spans="1:11">
      <c r="A535" s="565">
        <v>21</v>
      </c>
      <c r="C535" s="547" t="str">
        <f>'[5]FR-16(7)(v)-1 Functional'!C535</f>
        <v>RIDER ESM ELIMINATION</v>
      </c>
      <c r="D535" s="549" t="str">
        <f>'[5]FR-16(7)(v)-1 Functional'!D535</f>
        <v>A315</v>
      </c>
      <c r="E535" s="548"/>
      <c r="F535" s="578">
        <f>'[5]FR-16(7)(v)-14 TOTAL CLASS'!H535</f>
        <v>-281901</v>
      </c>
      <c r="G535" s="570">
        <f>'[5]FR-16(7)(v)-3 PROD Demand'!H535+'[5]FR-16(7)(v)-7 TRANS Demand'!H535+'[5]FR-16(7)(v)-11 DIST Demand'!H535</f>
        <v>-91988</v>
      </c>
      <c r="H535" s="571">
        <f>'[5]FR-16(7)(v)-4 PROD Energy'!H535+'[5]FR-16(7)(v)-8 TRANS Energy'!H535+'[5]FR-16(7)(v)-12 DIST Energy'!H535</f>
        <v>-166160</v>
      </c>
      <c r="I535" s="572">
        <f>'[5]FR-16(7)(v)-5 PROD Cust'!H535+'[5]FR-16(7)(v)-9 TRANS Cust'!H535+'[5]FR-16(7)(v)-13 DIST Cust'!H535</f>
        <v>-23753</v>
      </c>
      <c r="J535" s="569">
        <f t="shared" si="105"/>
        <v>-281901</v>
      </c>
      <c r="K535" s="569">
        <f t="shared" si="106"/>
        <v>0</v>
      </c>
    </row>
    <row r="536" spans="1:11">
      <c r="A536" s="565">
        <v>22</v>
      </c>
      <c r="C536" s="547" t="str">
        <f>'[5]FR-16(7)(v)-1 Functional'!C536</f>
        <v>ELIMINATE DSM</v>
      </c>
      <c r="D536" s="549" t="str">
        <f>'[5]FR-16(7)(v)-1 Functional'!D536</f>
        <v>A315</v>
      </c>
      <c r="E536" s="548"/>
      <c r="F536" s="578">
        <f>'[5]FR-16(7)(v)-14 TOTAL CLASS'!H536</f>
        <v>-44374</v>
      </c>
      <c r="G536" s="570">
        <f>'[5]FR-16(7)(v)-3 PROD Demand'!H536+'[5]FR-16(7)(v)-7 TRANS Demand'!H536+'[5]FR-16(7)(v)-11 DIST Demand'!H536</f>
        <v>-14480</v>
      </c>
      <c r="H536" s="571">
        <f>'[5]FR-16(7)(v)-4 PROD Energy'!H536+'[5]FR-16(7)(v)-8 TRANS Energy'!H536+'[5]FR-16(7)(v)-12 DIST Energy'!H536</f>
        <v>-26155</v>
      </c>
      <c r="I536" s="572">
        <f>'[5]FR-16(7)(v)-5 PROD Cust'!H536+'[5]FR-16(7)(v)-9 TRANS Cust'!H536+'[5]FR-16(7)(v)-13 DIST Cust'!H536</f>
        <v>-3739</v>
      </c>
      <c r="J536" s="569">
        <f t="shared" si="105"/>
        <v>-44374</v>
      </c>
      <c r="K536" s="569">
        <f t="shared" si="106"/>
        <v>0</v>
      </c>
    </row>
    <row r="537" spans="1:11">
      <c r="A537" s="565">
        <v>23</v>
      </c>
      <c r="C537" s="547" t="str">
        <f>'[5]FR-16(7)(v)-1 Functional'!C537</f>
        <v>DSM DEFERRAL - ELECTRIC</v>
      </c>
      <c r="D537" s="549" t="str">
        <f>'[5]FR-16(7)(v)-1 Functional'!D537</f>
        <v>A315</v>
      </c>
      <c r="E537" s="548"/>
      <c r="F537" s="578">
        <f>'[5]FR-16(7)(v)-14 TOTAL CLASS'!H537</f>
        <v>0</v>
      </c>
      <c r="G537" s="570">
        <f>'[5]FR-16(7)(v)-3 PROD Demand'!H537+'[5]FR-16(7)(v)-7 TRANS Demand'!H537+'[5]FR-16(7)(v)-11 DIST Demand'!H537</f>
        <v>0</v>
      </c>
      <c r="H537" s="571">
        <f>'[5]FR-16(7)(v)-4 PROD Energy'!H537+'[5]FR-16(7)(v)-8 TRANS Energy'!H537+'[5]FR-16(7)(v)-12 DIST Energy'!H537</f>
        <v>0</v>
      </c>
      <c r="I537" s="572">
        <f>'[5]FR-16(7)(v)-5 PROD Cust'!H537+'[5]FR-16(7)(v)-9 TRANS Cust'!H537+'[5]FR-16(7)(v)-13 DIST Cust'!H537</f>
        <v>0</v>
      </c>
      <c r="J537" s="569">
        <f t="shared" si="105"/>
        <v>0</v>
      </c>
      <c r="K537" s="569">
        <f t="shared" si="106"/>
        <v>0</v>
      </c>
    </row>
    <row r="538" spans="1:11">
      <c r="A538" s="565">
        <v>24</v>
      </c>
      <c r="C538" s="547" t="str">
        <f>'[5]FR-16(7)(v)-1 Functional'!C538</f>
        <v>PENSION ADJUSTMENT</v>
      </c>
      <c r="D538" s="549" t="str">
        <f>'[5]FR-16(7)(v)-1 Functional'!D538</f>
        <v>A315</v>
      </c>
      <c r="E538" s="548"/>
      <c r="F538" s="578">
        <f>'[5]FR-16(7)(v)-14 TOTAL CLASS'!H538</f>
        <v>-77883</v>
      </c>
      <c r="G538" s="570">
        <f>'[5]FR-16(7)(v)-3 PROD Demand'!H538+'[5]FR-16(7)(v)-7 TRANS Demand'!H538+'[5]FR-16(7)(v)-11 DIST Demand'!H538</f>
        <v>-25414</v>
      </c>
      <c r="H538" s="571">
        <f>'[5]FR-16(7)(v)-4 PROD Energy'!H538+'[5]FR-16(7)(v)-8 TRANS Energy'!H538+'[5]FR-16(7)(v)-12 DIST Energy'!H538</f>
        <v>-45907</v>
      </c>
      <c r="I538" s="572">
        <f>'[5]FR-16(7)(v)-5 PROD Cust'!H538+'[5]FR-16(7)(v)-9 TRANS Cust'!H538+'[5]FR-16(7)(v)-13 DIST Cust'!H538</f>
        <v>-6562</v>
      </c>
      <c r="J538" s="569">
        <f t="shared" si="105"/>
        <v>-77883</v>
      </c>
      <c r="K538" s="569">
        <f t="shared" si="106"/>
        <v>0</v>
      </c>
    </row>
    <row r="539" spans="1:11">
      <c r="A539" s="565">
        <v>25</v>
      </c>
      <c r="C539" s="547" t="str">
        <f>'[5]FR-16(7)(v)-1 Functional'!C539</f>
        <v>ELIMINATE MISC EXPENSES</v>
      </c>
      <c r="D539" s="549" t="str">
        <f>'[5]FR-16(7)(v)-1 Functional'!D539</f>
        <v>A315</v>
      </c>
      <c r="E539" s="548"/>
      <c r="F539" s="578">
        <f>'[5]FR-16(7)(v)-14 TOTAL CLASS'!H539</f>
        <v>-126061</v>
      </c>
      <c r="G539" s="570">
        <f>'[5]FR-16(7)(v)-3 PROD Demand'!H539+'[5]FR-16(7)(v)-7 TRANS Demand'!H539+'[5]FR-16(7)(v)-11 DIST Demand'!H539</f>
        <v>-41135</v>
      </c>
      <c r="H539" s="571">
        <f>'[5]FR-16(7)(v)-4 PROD Energy'!H539+'[5]FR-16(7)(v)-8 TRANS Energy'!H539+'[5]FR-16(7)(v)-12 DIST Energy'!H539</f>
        <v>-74304</v>
      </c>
      <c r="I539" s="572">
        <f>'[5]FR-16(7)(v)-5 PROD Cust'!H539+'[5]FR-16(7)(v)-9 TRANS Cust'!H539+'[5]FR-16(7)(v)-13 DIST Cust'!H539</f>
        <v>-10622</v>
      </c>
      <c r="J539" s="569">
        <f t="shared" si="105"/>
        <v>-126061</v>
      </c>
      <c r="K539" s="569">
        <f t="shared" si="106"/>
        <v>0</v>
      </c>
    </row>
    <row r="540" spans="1:11">
      <c r="A540" s="565">
        <v>26</v>
      </c>
      <c r="C540" s="547" t="str">
        <f>'[5]FR-16(7)(v)-1 Functional'!C540</f>
        <v>ELIMINATE MERGER COSTS AND CREDITS</v>
      </c>
      <c r="D540" s="549" t="str">
        <f>'[5]FR-16(7)(v)-1 Functional'!D540</f>
        <v>A315</v>
      </c>
      <c r="E540" s="548"/>
      <c r="F540" s="578">
        <f>'[5]FR-16(7)(v)-14 TOTAL CLASS'!H540</f>
        <v>0</v>
      </c>
      <c r="G540" s="570">
        <f>'[5]FR-16(7)(v)-3 PROD Demand'!H540+'[5]FR-16(7)(v)-7 TRANS Demand'!H540+'[5]FR-16(7)(v)-11 DIST Demand'!H540</f>
        <v>0</v>
      </c>
      <c r="H540" s="571">
        <f>'[5]FR-16(7)(v)-4 PROD Energy'!H540+'[5]FR-16(7)(v)-8 TRANS Energy'!H540+'[5]FR-16(7)(v)-12 DIST Energy'!H540</f>
        <v>0</v>
      </c>
      <c r="I540" s="572">
        <f>'[5]FR-16(7)(v)-5 PROD Cust'!H540+'[5]FR-16(7)(v)-9 TRANS Cust'!H540+'[5]FR-16(7)(v)-13 DIST Cust'!H540</f>
        <v>0</v>
      </c>
      <c r="J540" s="569">
        <f t="shared" si="105"/>
        <v>0</v>
      </c>
      <c r="K540" s="569">
        <f t="shared" si="106"/>
        <v>0</v>
      </c>
    </row>
    <row r="541" spans="1:11">
      <c r="A541" s="565">
        <v>27</v>
      </c>
      <c r="C541" s="547" t="str">
        <f>'[5]FR-16(7)(v)-1 Functional'!C541</f>
        <v>ANNUALIZE KYPSC MAINT TAX</v>
      </c>
      <c r="D541" s="549" t="str">
        <f>'[5]FR-16(7)(v)-1 Functional'!D541</f>
        <v>A315</v>
      </c>
      <c r="E541" s="548"/>
      <c r="F541" s="578">
        <f>'[5]FR-16(7)(v)-14 TOTAL CLASS'!H541</f>
        <v>0</v>
      </c>
      <c r="G541" s="570">
        <f>'[5]FR-16(7)(v)-3 PROD Demand'!H541+'[5]FR-16(7)(v)-7 TRANS Demand'!H541+'[5]FR-16(7)(v)-11 DIST Demand'!H541</f>
        <v>0</v>
      </c>
      <c r="H541" s="571">
        <f>'[5]FR-16(7)(v)-4 PROD Energy'!H541+'[5]FR-16(7)(v)-8 TRANS Energy'!H541+'[5]FR-16(7)(v)-12 DIST Energy'!H541</f>
        <v>0</v>
      </c>
      <c r="I541" s="572">
        <f>'[5]FR-16(7)(v)-5 PROD Cust'!H541+'[5]FR-16(7)(v)-9 TRANS Cust'!H541+'[5]FR-16(7)(v)-13 DIST Cust'!H541</f>
        <v>0</v>
      </c>
      <c r="J541" s="569">
        <f t="shared" si="105"/>
        <v>0</v>
      </c>
      <c r="K541" s="569">
        <f t="shared" si="106"/>
        <v>0</v>
      </c>
    </row>
    <row r="542" spans="1:11">
      <c r="A542" s="565">
        <v>28</v>
      </c>
      <c r="C542" s="547" t="str">
        <f>'[5]FR-16(7)(v)-1 Functional'!C542</f>
        <v>REMOVE INCENTIVE COMP</v>
      </c>
      <c r="D542" s="549" t="str">
        <f>'[5]FR-16(7)(v)-1 Functional'!D542</f>
        <v>A315</v>
      </c>
      <c r="E542" s="548"/>
      <c r="F542" s="578">
        <f>'[5]FR-16(7)(v)-14 TOTAL CLASS'!H542</f>
        <v>-339328</v>
      </c>
      <c r="G542" s="570">
        <f>'[5]FR-16(7)(v)-3 PROD Demand'!H542+'[5]FR-16(7)(v)-7 TRANS Demand'!H542+'[5]FR-16(7)(v)-11 DIST Demand'!H542</f>
        <v>-110727</v>
      </c>
      <c r="H542" s="571">
        <f>'[5]FR-16(7)(v)-4 PROD Energy'!H542+'[5]FR-16(7)(v)-8 TRANS Energy'!H542+'[5]FR-16(7)(v)-12 DIST Energy'!H542</f>
        <v>-200010</v>
      </c>
      <c r="I542" s="572">
        <f>'[5]FR-16(7)(v)-5 PROD Cust'!H542+'[5]FR-16(7)(v)-9 TRANS Cust'!H542+'[5]FR-16(7)(v)-13 DIST Cust'!H542</f>
        <v>-28591</v>
      </c>
      <c r="J542" s="569">
        <f t="shared" si="105"/>
        <v>-339328</v>
      </c>
      <c r="K542" s="569">
        <f t="shared" si="106"/>
        <v>0</v>
      </c>
    </row>
    <row r="543" spans="1:11">
      <c r="A543" s="565">
        <v>29</v>
      </c>
      <c r="C543" s="547" t="str">
        <f>'[5]FR-16(7)(v)-1 Functional'!C543</f>
        <v>STATE REG COMMISSION EXPENSE</v>
      </c>
      <c r="D543" s="549" t="str">
        <f>'[5]FR-16(7)(v)-1 Functional'!D543</f>
        <v>A315</v>
      </c>
      <c r="E543" s="548"/>
      <c r="F543" s="578">
        <f>'[5]FR-16(7)(v)-14 TOTAL CLASS'!H543</f>
        <v>110234</v>
      </c>
      <c r="G543" s="570">
        <f>'[5]FR-16(7)(v)-3 PROD Demand'!H543+'[5]FR-16(7)(v)-7 TRANS Demand'!H543+'[5]FR-16(7)(v)-11 DIST Demand'!H543</f>
        <v>35971</v>
      </c>
      <c r="H543" s="571">
        <f>'[5]FR-16(7)(v)-4 PROD Energy'!H543+'[5]FR-16(7)(v)-8 TRANS Energy'!H543+'[5]FR-16(7)(v)-12 DIST Energy'!H543</f>
        <v>64975</v>
      </c>
      <c r="I543" s="572">
        <f>'[5]FR-16(7)(v)-5 PROD Cust'!H543+'[5]FR-16(7)(v)-9 TRANS Cust'!H543+'[5]FR-16(7)(v)-13 DIST Cust'!H543</f>
        <v>9288</v>
      </c>
      <c r="J543" s="569">
        <f t="shared" si="105"/>
        <v>110234</v>
      </c>
      <c r="K543" s="569">
        <f t="shared" si="106"/>
        <v>0</v>
      </c>
    </row>
    <row r="544" spans="1:11">
      <c r="A544" s="565">
        <v>30</v>
      </c>
      <c r="C544" s="547" t="str">
        <f>'[5]FR-16(7)(v)-1 Functional'!C544</f>
        <v>ELIMINATE INCENTIVE COMPENSATION ADJUSTMENT</v>
      </c>
      <c r="D544" s="549" t="str">
        <f>'[5]FR-16(7)(v)-1 Functional'!D544</f>
        <v>A315</v>
      </c>
      <c r="E544" s="548"/>
      <c r="F544" s="578">
        <f>'[5]FR-16(7)(v)-14 TOTAL CLASS'!H544</f>
        <v>0</v>
      </c>
      <c r="G544" s="570">
        <f>'[5]FR-16(7)(v)-3 PROD Demand'!H544+'[5]FR-16(7)(v)-7 TRANS Demand'!H544+'[5]FR-16(7)(v)-11 DIST Demand'!H544</f>
        <v>0</v>
      </c>
      <c r="H544" s="571">
        <f>'[5]FR-16(7)(v)-4 PROD Energy'!H544+'[5]FR-16(7)(v)-8 TRANS Energy'!H544+'[5]FR-16(7)(v)-12 DIST Energy'!H544</f>
        <v>0</v>
      </c>
      <c r="I544" s="572">
        <f>'[5]FR-16(7)(v)-5 PROD Cust'!H544+'[5]FR-16(7)(v)-9 TRANS Cust'!H544+'[5]FR-16(7)(v)-13 DIST Cust'!H544</f>
        <v>0</v>
      </c>
      <c r="J544" s="569">
        <f t="shared" si="105"/>
        <v>0</v>
      </c>
      <c r="K544" s="569">
        <f t="shared" si="106"/>
        <v>0</v>
      </c>
    </row>
    <row r="545" spans="1:11">
      <c r="A545" s="565">
        <v>31</v>
      </c>
      <c r="C545" s="547" t="str">
        <f>'[5]FR-16(7)(v)-1 Functional'!C545</f>
        <v>AMORTIZATION OF DEFERRAL ASSET</v>
      </c>
      <c r="D545" s="549" t="str">
        <f>'[5]FR-16(7)(v)-1 Functional'!D545</f>
        <v>A315</v>
      </c>
      <c r="E545" s="548"/>
      <c r="F545" s="578">
        <f>'[5]FR-16(7)(v)-14 TOTAL CLASS'!H545</f>
        <v>0</v>
      </c>
      <c r="G545" s="570">
        <f>'[5]FR-16(7)(v)-3 PROD Demand'!H545+'[5]FR-16(7)(v)-7 TRANS Demand'!H545+'[5]FR-16(7)(v)-11 DIST Demand'!H545</f>
        <v>0</v>
      </c>
      <c r="H545" s="571">
        <f>'[5]FR-16(7)(v)-4 PROD Energy'!H545+'[5]FR-16(7)(v)-8 TRANS Energy'!H545+'[5]FR-16(7)(v)-12 DIST Energy'!H545</f>
        <v>0</v>
      </c>
      <c r="I545" s="572">
        <f>'[5]FR-16(7)(v)-5 PROD Cust'!H545+'[5]FR-16(7)(v)-9 TRANS Cust'!H545+'[5]FR-16(7)(v)-13 DIST Cust'!H545</f>
        <v>0</v>
      </c>
      <c r="J545" s="569">
        <f t="shared" si="105"/>
        <v>0</v>
      </c>
      <c r="K545" s="569">
        <f t="shared" si="106"/>
        <v>0</v>
      </c>
    </row>
    <row r="546" spans="1:11">
      <c r="A546" s="565">
        <v>32</v>
      </c>
      <c r="C546" s="573" t="str">
        <f>'[5]FR-16(7)(v)-1 Functional'!C546</f>
        <v>AMORTIZATION OF DEFERRED EXPENSES</v>
      </c>
      <c r="D546" s="549" t="str">
        <f>'[5]FR-16(7)(v)-1 Functional'!D546</f>
        <v>A315</v>
      </c>
      <c r="E546" s="548"/>
      <c r="F546" s="578">
        <f>'[5]FR-16(7)(v)-14 TOTAL CLASS'!H546</f>
        <v>187060</v>
      </c>
      <c r="G546" s="570">
        <f>'[5]FR-16(7)(v)-3 PROD Demand'!H546+'[5]FR-16(7)(v)-7 TRANS Demand'!H546+'[5]FR-16(7)(v)-11 DIST Demand'!H546</f>
        <v>61040</v>
      </c>
      <c r="H546" s="571">
        <f>'[5]FR-16(7)(v)-4 PROD Energy'!H546+'[5]FR-16(7)(v)-8 TRANS Energy'!H546+'[5]FR-16(7)(v)-12 DIST Energy'!H546</f>
        <v>110258</v>
      </c>
      <c r="I546" s="572">
        <f>'[5]FR-16(7)(v)-5 PROD Cust'!H546+'[5]FR-16(7)(v)-9 TRANS Cust'!H546+'[5]FR-16(7)(v)-13 DIST Cust'!H546</f>
        <v>15762</v>
      </c>
      <c r="J546" s="569">
        <f t="shared" si="105"/>
        <v>187060</v>
      </c>
      <c r="K546" s="569">
        <f t="shared" si="106"/>
        <v>0</v>
      </c>
    </row>
    <row r="547" spans="1:11">
      <c r="A547" s="565">
        <v>33</v>
      </c>
      <c r="C547" s="547" t="str">
        <f>'[5]FR-16(7)(v)-1 Functional'!C547</f>
        <v>TOTAL ADMIN. &amp; GENERAL</v>
      </c>
      <c r="D547" s="549"/>
      <c r="E547" s="548" t="s">
        <v>173</v>
      </c>
      <c r="F547" s="574">
        <f t="shared" ref="F547:K547" si="107">SUM(F532:F546)</f>
        <v>5194141</v>
      </c>
      <c r="G547" s="575">
        <f t="shared" si="107"/>
        <v>1694901</v>
      </c>
      <c r="H547" s="576">
        <f t="shared" si="107"/>
        <v>3061614</v>
      </c>
      <c r="I547" s="577">
        <f t="shared" si="107"/>
        <v>437626</v>
      </c>
      <c r="J547" s="574">
        <f t="shared" si="107"/>
        <v>5194141</v>
      </c>
      <c r="K547" s="574">
        <f t="shared" si="107"/>
        <v>0</v>
      </c>
    </row>
    <row r="548" spans="1:11">
      <c r="A548" s="565">
        <v>34</v>
      </c>
      <c r="D548" s="549"/>
      <c r="E548" s="548"/>
      <c r="F548" s="569"/>
      <c r="G548" s="570"/>
      <c r="H548" s="571"/>
      <c r="I548" s="572"/>
      <c r="J548" s="569"/>
      <c r="K548" s="569"/>
    </row>
    <row r="549" spans="1:11">
      <c r="A549" s="565">
        <v>35</v>
      </c>
      <c r="C549" s="547" t="str">
        <f>'[5]FR-16(7)(v)-1 Functional'!C549</f>
        <v>TOTAL O &amp; M EXPENSE</v>
      </c>
      <c r="D549" s="549"/>
      <c r="E549" s="548"/>
      <c r="F549" s="569">
        <f t="shared" ref="F549:K549" si="108">F547+F522+F518+F503+F492+F470+F466+F459</f>
        <v>80854392</v>
      </c>
      <c r="G549" s="619">
        <f t="shared" si="108"/>
        <v>15801624</v>
      </c>
      <c r="H549" s="620">
        <f t="shared" si="108"/>
        <v>63603898</v>
      </c>
      <c r="I549" s="621">
        <f t="shared" si="108"/>
        <v>1448870</v>
      </c>
      <c r="J549" s="569">
        <f t="shared" si="108"/>
        <v>80854392</v>
      </c>
      <c r="K549" s="569">
        <f t="shared" si="108"/>
        <v>0</v>
      </c>
    </row>
    <row r="550" spans="1:11">
      <c r="B550" s="546"/>
      <c r="C550" s="548"/>
      <c r="D550" s="549"/>
      <c r="E550" s="548"/>
      <c r="F550" s="548"/>
      <c r="G550" s="548"/>
      <c r="H550" s="548"/>
      <c r="I550" s="548"/>
      <c r="J550" s="548"/>
      <c r="K550" s="548"/>
    </row>
    <row r="551" spans="1:11">
      <c r="A551" s="546" t="str">
        <f>co_name</f>
        <v>DUKE ENERGY KENTUCKY, INC.</v>
      </c>
      <c r="C551" s="548"/>
      <c r="D551" s="549"/>
      <c r="E551" s="548"/>
      <c r="F551" s="548"/>
      <c r="G551" s="548"/>
      <c r="H551" s="548"/>
      <c r="I551" s="548"/>
      <c r="J551" s="548" t="str">
        <f>J1</f>
        <v>FR-16(7)(v)-16</v>
      </c>
      <c r="K551" s="548"/>
    </row>
    <row r="552" spans="1:11">
      <c r="A552" s="546" t="str">
        <f>$A$2</f>
        <v>DISTR. SEC. CLASSIFIED - ELECTRIC COST OF SERVICE</v>
      </c>
      <c r="C552" s="548"/>
      <c r="D552" s="549"/>
      <c r="E552" s="548"/>
      <c r="F552" s="548"/>
      <c r="G552" s="548"/>
      <c r="H552" s="548"/>
      <c r="I552" s="548"/>
      <c r="J552" s="548" t="str">
        <f>J2</f>
        <v>WITNESS RESPONSIBLE:</v>
      </c>
      <c r="K552" s="548"/>
    </row>
    <row r="553" spans="1:11">
      <c r="A553" s="546" t="str">
        <f>case_name</f>
        <v>CASE NO: 2024-00354</v>
      </c>
      <c r="C553" s="548"/>
      <c r="D553" s="549"/>
      <c r="E553" s="548"/>
      <c r="F553" s="548"/>
      <c r="G553" s="548"/>
      <c r="H553" s="548"/>
      <c r="I553" s="548"/>
      <c r="J553" s="548" t="str">
        <f>Witness</f>
        <v>JAMES E. ZIOLKOWSKI</v>
      </c>
      <c r="K553" s="548"/>
    </row>
    <row r="554" spans="1:11">
      <c r="A554" s="546" t="str">
        <f>data_filing</f>
        <v>DATA: 12 MONTHS ACTUAL  &amp; 0 MONTHS ESTIMATED</v>
      </c>
      <c r="C554" s="548"/>
      <c r="D554" s="549"/>
      <c r="E554" s="548"/>
      <c r="F554" s="548"/>
      <c r="G554" s="548"/>
      <c r="H554" s="548"/>
      <c r="I554" s="548"/>
      <c r="J554" s="548" t="str">
        <f>"PAGE "&amp;Pages2-5&amp;" OF "&amp;Pages2</f>
        <v>PAGE 10 OF 15</v>
      </c>
      <c r="K554" s="548"/>
    </row>
    <row r="555" spans="1:11">
      <c r="A555" s="546" t="str">
        <f>type</f>
        <v xml:space="preserve">TYPE OF FILING: "X" ORIGINAL   UPDATED    REVISED  </v>
      </c>
      <c r="C555" s="548"/>
      <c r="D555" s="549"/>
      <c r="E555" s="548"/>
      <c r="F555" s="548"/>
      <c r="G555" s="548"/>
      <c r="H555" s="548"/>
      <c r="I555" s="548"/>
      <c r="J555" s="548"/>
      <c r="K555" s="548"/>
    </row>
    <row r="556" spans="1:11">
      <c r="B556" s="546"/>
      <c r="C556" s="548"/>
      <c r="D556" s="549"/>
      <c r="E556" s="548"/>
      <c r="F556" s="548"/>
      <c r="G556" s="548"/>
      <c r="H556" s="548"/>
      <c r="I556" s="548"/>
      <c r="J556" s="548"/>
      <c r="K556" s="548"/>
    </row>
    <row r="557" spans="1:11">
      <c r="B557" s="546"/>
      <c r="C557" s="548"/>
      <c r="D557" s="549"/>
      <c r="E557" s="548"/>
      <c r="F557" s="548"/>
      <c r="G557" s="548"/>
      <c r="H557" s="548"/>
      <c r="I557" s="548"/>
      <c r="J557" s="548"/>
      <c r="K557" s="548"/>
    </row>
    <row r="558" spans="1:11">
      <c r="A558" s="549" t="s">
        <v>17</v>
      </c>
      <c r="B558" s="548"/>
      <c r="C558" s="548"/>
      <c r="D558" s="549"/>
      <c r="E558" s="548"/>
      <c r="F558" s="549" t="s">
        <v>11</v>
      </c>
      <c r="G558" s="552" t="s">
        <v>1162</v>
      </c>
      <c r="H558" s="553"/>
      <c r="I558" s="554"/>
      <c r="J558" s="549" t="s">
        <v>11</v>
      </c>
      <c r="K558" s="549" t="s">
        <v>1163</v>
      </c>
    </row>
    <row r="559" spans="1:11">
      <c r="A559" s="555" t="s">
        <v>1164</v>
      </c>
      <c r="B559" s="556" t="s">
        <v>1252</v>
      </c>
      <c r="C559" s="556"/>
      <c r="D559" s="555" t="s">
        <v>1166</v>
      </c>
      <c r="E559" s="556"/>
      <c r="F559" s="555" t="str">
        <f>$F$9</f>
        <v>DISTR. SEC.</v>
      </c>
      <c r="G559" s="611" t="str">
        <f t="shared" ref="G559:I560" si="109">G9</f>
        <v>DEMAND</v>
      </c>
      <c r="H559" s="612" t="str">
        <f t="shared" si="109"/>
        <v>ENERGY</v>
      </c>
      <c r="I559" s="613" t="str">
        <f t="shared" si="109"/>
        <v>CUSTOMER</v>
      </c>
      <c r="J559" s="555" t="s">
        <v>1169</v>
      </c>
      <c r="K559" s="555" t="s">
        <v>543</v>
      </c>
    </row>
    <row r="560" spans="1:11">
      <c r="C560" s="561" t="s">
        <v>1253</v>
      </c>
      <c r="D560" s="549"/>
      <c r="E560" s="548"/>
      <c r="F560" s="640"/>
      <c r="G560" s="614">
        <f t="shared" si="109"/>
        <v>3</v>
      </c>
      <c r="H560" s="615">
        <f t="shared" si="109"/>
        <v>4</v>
      </c>
      <c r="I560" s="616">
        <f t="shared" si="109"/>
        <v>5</v>
      </c>
      <c r="J560" s="640"/>
      <c r="K560" s="640"/>
    </row>
    <row r="561" spans="1:11">
      <c r="A561" s="565">
        <v>1</v>
      </c>
      <c r="B561" s="547" t="s">
        <v>1254</v>
      </c>
      <c r="D561" s="549"/>
      <c r="E561" s="548"/>
      <c r="G561" s="566"/>
      <c r="H561" s="567"/>
      <c r="I561" s="568"/>
    </row>
    <row r="562" spans="1:11">
      <c r="A562" s="565">
        <v>2</v>
      </c>
      <c r="C562" s="573" t="str">
        <f>'[5]FR-16(7)(v)-1 Functional'!C562</f>
        <v>PRODUCTION DEPRECIATION</v>
      </c>
      <c r="D562" s="549" t="str">
        <f>'[5]FR-16(7)(v)-1 Functional'!D562</f>
        <v>P229</v>
      </c>
      <c r="E562" s="548"/>
      <c r="F562" s="578">
        <f>'[5]FR-16(7)(v)-14 TOTAL CLASS'!H562</f>
        <v>16020772</v>
      </c>
      <c r="G562" s="570">
        <f>'[5]FR-16(7)(v)-3 PROD Demand'!H562+'[5]FR-16(7)(v)-7 TRANS Demand'!H562+'[5]FR-16(7)(v)-11 DIST Demand'!H562</f>
        <v>16020772</v>
      </c>
      <c r="H562" s="571">
        <f>'[5]FR-16(7)(v)-4 PROD Energy'!H562+'[5]FR-16(7)(v)-8 TRANS Energy'!H562+'[5]FR-16(7)(v)-12 DIST Energy'!H562</f>
        <v>0</v>
      </c>
      <c r="I562" s="572">
        <f>'[5]FR-16(7)(v)-5 PROD Cust'!H562+'[5]FR-16(7)(v)-9 TRANS Cust'!H562+'[5]FR-16(7)(v)-13 DIST Cust'!H562</f>
        <v>0</v>
      </c>
      <c r="J562" s="569">
        <f>SUM(G562:I562)</f>
        <v>16020772</v>
      </c>
      <c r="K562" s="569">
        <f>F562-J562</f>
        <v>0</v>
      </c>
    </row>
    <row r="563" spans="1:11">
      <c r="A563" s="565">
        <v>3</v>
      </c>
      <c r="C563" s="547" t="str">
        <f>'[5]FR-16(7)(v)-1 Functional'!C563</f>
        <v xml:space="preserve">  TOTAL PRODUCTION DEPREC EXP.</v>
      </c>
      <c r="D563" s="549"/>
      <c r="E563" s="548"/>
      <c r="F563" s="574">
        <f t="shared" ref="F563:K563" si="110">SUM(F562:F562)</f>
        <v>16020772</v>
      </c>
      <c r="G563" s="575">
        <f t="shared" si="110"/>
        <v>16020772</v>
      </c>
      <c r="H563" s="576">
        <f t="shared" si="110"/>
        <v>0</v>
      </c>
      <c r="I563" s="577">
        <f t="shared" si="110"/>
        <v>0</v>
      </c>
      <c r="J563" s="574">
        <f t="shared" si="110"/>
        <v>16020772</v>
      </c>
      <c r="K563" s="574">
        <f t="shared" si="110"/>
        <v>0</v>
      </c>
    </row>
    <row r="564" spans="1:11">
      <c r="A564" s="565">
        <v>4</v>
      </c>
      <c r="D564" s="549"/>
      <c r="E564" s="548"/>
      <c r="G564" s="566"/>
      <c r="H564" s="567"/>
      <c r="I564" s="568"/>
    </row>
    <row r="565" spans="1:11">
      <c r="A565" s="565">
        <v>5</v>
      </c>
      <c r="B565" s="547" t="s">
        <v>1255</v>
      </c>
      <c r="D565" s="549"/>
      <c r="E565" s="548"/>
      <c r="F565" s="569"/>
      <c r="G565" s="570"/>
      <c r="H565" s="571"/>
      <c r="I565" s="572"/>
      <c r="J565" s="569"/>
      <c r="K565" s="569"/>
    </row>
    <row r="566" spans="1:11">
      <c r="A566" s="565">
        <v>6</v>
      </c>
      <c r="C566" s="547" t="s">
        <v>1255</v>
      </c>
      <c r="D566" s="549" t="str">
        <f>'[5]FR-16(7)(v)-1 Functional'!D566</f>
        <v>T229</v>
      </c>
      <c r="E566" s="548"/>
      <c r="F566" s="578">
        <f>'[5]FR-16(7)(v)-14 TOTAL CLASS'!H566</f>
        <v>1039002</v>
      </c>
      <c r="G566" s="570">
        <f>'[5]FR-16(7)(v)-3 PROD Demand'!H566+'[5]FR-16(7)(v)-7 TRANS Demand'!H566+'[5]FR-16(7)(v)-11 DIST Demand'!H566</f>
        <v>1039002</v>
      </c>
      <c r="H566" s="571">
        <f>'[5]FR-16(7)(v)-4 PROD Energy'!H566+'[5]FR-16(7)(v)-8 TRANS Energy'!H566+'[5]FR-16(7)(v)-12 DIST Energy'!H566</f>
        <v>0</v>
      </c>
      <c r="I566" s="572">
        <f>'[5]FR-16(7)(v)-5 PROD Cust'!H566+'[5]FR-16(7)(v)-9 TRANS Cust'!H566+'[5]FR-16(7)(v)-13 DIST Cust'!H566</f>
        <v>0</v>
      </c>
      <c r="J566" s="569">
        <f>SUM(G566:I566)</f>
        <v>1039002</v>
      </c>
      <c r="K566" s="569">
        <f>F566-J566</f>
        <v>0</v>
      </c>
    </row>
    <row r="567" spans="1:11">
      <c r="A567" s="565">
        <v>7</v>
      </c>
      <c r="C567" s="617" t="str">
        <f>'[5]FR-16(7)(v)-1 Functional'!C567</f>
        <v xml:space="preserve">  TOTAL TRANSMISSION DEP. EXP.</v>
      </c>
      <c r="D567" s="549"/>
      <c r="E567" s="548"/>
      <c r="F567" s="574">
        <f t="shared" ref="F567:K567" si="111">SUM(F566:F566)</f>
        <v>1039002</v>
      </c>
      <c r="G567" s="575">
        <f t="shared" si="111"/>
        <v>1039002</v>
      </c>
      <c r="H567" s="576">
        <f t="shared" si="111"/>
        <v>0</v>
      </c>
      <c r="I567" s="577">
        <f t="shared" si="111"/>
        <v>0</v>
      </c>
      <c r="J567" s="574">
        <f t="shared" si="111"/>
        <v>1039002</v>
      </c>
      <c r="K567" s="574">
        <f t="shared" si="111"/>
        <v>0</v>
      </c>
    </row>
    <row r="568" spans="1:11">
      <c r="A568" s="565">
        <v>8</v>
      </c>
      <c r="D568" s="549"/>
      <c r="E568" s="548"/>
      <c r="G568" s="566"/>
      <c r="H568" s="567"/>
      <c r="I568" s="568"/>
    </row>
    <row r="569" spans="1:11">
      <c r="A569" s="565">
        <v>9</v>
      </c>
      <c r="B569" s="547" t="s">
        <v>1256</v>
      </c>
      <c r="D569" s="549"/>
      <c r="E569" s="548"/>
      <c r="G569" s="566"/>
      <c r="H569" s="567"/>
      <c r="I569" s="568"/>
    </row>
    <row r="570" spans="1:11">
      <c r="A570" s="565">
        <v>10</v>
      </c>
      <c r="C570" s="573" t="str">
        <f>'[5]FR-16(7)(v)-1 Functional'!C570</f>
        <v>DISTRIBUTION DEPRECIATION</v>
      </c>
      <c r="D570" s="549" t="str">
        <f>'[5]FR-16(7)(v)-1 Functional'!D570</f>
        <v>D249</v>
      </c>
      <c r="E570" s="548"/>
      <c r="F570" s="578">
        <f>'[5]FR-16(7)(v)-14 TOTAL CLASS'!H570</f>
        <v>5515798</v>
      </c>
      <c r="G570" s="570">
        <f>'[5]FR-16(7)(v)-3 PROD Demand'!H570+'[5]FR-16(7)(v)-7 TRANS Demand'!H570+'[5]FR-16(7)(v)-11 DIST Demand'!H570</f>
        <v>5205627</v>
      </c>
      <c r="H570" s="571">
        <f>'[5]FR-16(7)(v)-4 PROD Energy'!H570+'[5]FR-16(7)(v)-8 TRANS Energy'!H570+'[5]FR-16(7)(v)-12 DIST Energy'!H570</f>
        <v>0</v>
      </c>
      <c r="I570" s="572">
        <f>'[5]FR-16(7)(v)-5 PROD Cust'!H570+'[5]FR-16(7)(v)-9 TRANS Cust'!H570+'[5]FR-16(7)(v)-13 DIST Cust'!H570</f>
        <v>310171</v>
      </c>
      <c r="J570" s="569">
        <f>SUM(G570:I570)</f>
        <v>5515798</v>
      </c>
      <c r="K570" s="569">
        <f>F570-J570</f>
        <v>0</v>
      </c>
    </row>
    <row r="571" spans="1:11">
      <c r="A571" s="565">
        <v>11</v>
      </c>
      <c r="C571" s="547" t="str">
        <f>'[5]FR-16(7)(v)-1 Functional'!C571</f>
        <v xml:space="preserve">  TOTAL DIST. DEPREC EXP.</v>
      </c>
      <c r="D571" s="549"/>
      <c r="E571" s="548"/>
      <c r="F571" s="574">
        <f t="shared" ref="F571:K571" si="112">SUM(F570:F570)</f>
        <v>5515798</v>
      </c>
      <c r="G571" s="575">
        <f t="shared" si="112"/>
        <v>5205627</v>
      </c>
      <c r="H571" s="576">
        <f t="shared" si="112"/>
        <v>0</v>
      </c>
      <c r="I571" s="577">
        <f t="shared" si="112"/>
        <v>310171</v>
      </c>
      <c r="J571" s="574">
        <f t="shared" si="112"/>
        <v>5515798</v>
      </c>
      <c r="K571" s="574">
        <f t="shared" si="112"/>
        <v>0</v>
      </c>
    </row>
    <row r="572" spans="1:11">
      <c r="A572" s="565">
        <v>12</v>
      </c>
      <c r="D572" s="549"/>
      <c r="E572" s="548"/>
      <c r="F572" s="547" t="s">
        <v>173</v>
      </c>
      <c r="G572" s="566"/>
      <c r="H572" s="567"/>
      <c r="I572" s="568"/>
    </row>
    <row r="573" spans="1:11">
      <c r="A573" s="565">
        <v>13</v>
      </c>
      <c r="B573" s="547" t="s">
        <v>1257</v>
      </c>
      <c r="D573" s="549"/>
      <c r="E573" s="548"/>
      <c r="G573" s="566"/>
      <c r="H573" s="567"/>
      <c r="I573" s="568"/>
    </row>
    <row r="574" spans="1:11">
      <c r="A574" s="565">
        <v>14</v>
      </c>
      <c r="C574" s="573" t="str">
        <f>'[5]FR-16(7)(v)-1 Functional'!C574</f>
        <v>GENERAL DEPRECIATION</v>
      </c>
      <c r="D574" s="549" t="str">
        <f>'[5]FR-16(7)(v)-1 Functional'!D574</f>
        <v>G229</v>
      </c>
      <c r="E574" s="548"/>
      <c r="F574" s="578">
        <f>'[5]FR-16(7)(v)-14 TOTAL CLASS'!H574</f>
        <v>2425237</v>
      </c>
      <c r="G574" s="570">
        <f>'[5]FR-16(7)(v)-3 PROD Demand'!H574+'[5]FR-16(7)(v)-7 TRANS Demand'!H574+'[5]FR-16(7)(v)-11 DIST Demand'!H574</f>
        <v>1527811</v>
      </c>
      <c r="H574" s="571">
        <f>'[5]FR-16(7)(v)-4 PROD Energy'!H574+'[5]FR-16(7)(v)-8 TRANS Energy'!H574+'[5]FR-16(7)(v)-12 DIST Energy'!H574</f>
        <v>791644</v>
      </c>
      <c r="I574" s="572">
        <f>'[5]FR-16(7)(v)-5 PROD Cust'!H574+'[5]FR-16(7)(v)-9 TRANS Cust'!H574+'[5]FR-16(7)(v)-13 DIST Cust'!H574</f>
        <v>105782</v>
      </c>
      <c r="J574" s="569">
        <f>SUM(G574:I574)</f>
        <v>2425237</v>
      </c>
      <c r="K574" s="569">
        <f>F574-J574</f>
        <v>0</v>
      </c>
    </row>
    <row r="575" spans="1:11">
      <c r="A575" s="565">
        <v>15</v>
      </c>
      <c r="C575" s="547" t="str">
        <f>'[5]FR-16(7)(v)-1 Functional'!C575</f>
        <v xml:space="preserve">  TOTAL GENERAL DEPREC EXP.</v>
      </c>
      <c r="D575" s="549"/>
      <c r="E575" s="548"/>
      <c r="F575" s="574">
        <f t="shared" ref="F575:K575" si="113">SUM(F574:F574)</f>
        <v>2425237</v>
      </c>
      <c r="G575" s="575">
        <f t="shared" si="113"/>
        <v>1527811</v>
      </c>
      <c r="H575" s="576">
        <f t="shared" si="113"/>
        <v>791644</v>
      </c>
      <c r="I575" s="577">
        <f t="shared" si="113"/>
        <v>105782</v>
      </c>
      <c r="J575" s="574">
        <f t="shared" si="113"/>
        <v>2425237</v>
      </c>
      <c r="K575" s="574">
        <f t="shared" si="113"/>
        <v>0</v>
      </c>
    </row>
    <row r="576" spans="1:11">
      <c r="A576" s="565">
        <v>16</v>
      </c>
      <c r="D576" s="549"/>
      <c r="E576" s="548"/>
      <c r="G576" s="566"/>
      <c r="H576" s="567"/>
      <c r="I576" s="568"/>
    </row>
    <row r="577" spans="1:11">
      <c r="A577" s="565">
        <v>17</v>
      </c>
      <c r="B577" s="547" t="s">
        <v>1258</v>
      </c>
      <c r="D577" s="549"/>
      <c r="E577" s="548"/>
      <c r="F577" s="641"/>
      <c r="G577" s="570"/>
      <c r="H577" s="571"/>
      <c r="I577" s="572"/>
      <c r="J577" s="569"/>
      <c r="K577" s="569"/>
    </row>
    <row r="578" spans="1:11">
      <c r="A578" s="565">
        <v>18</v>
      </c>
      <c r="C578" s="573" t="str">
        <f>'[5]FR-16(7)(v)-1 Functional'!C578</f>
        <v>COMMON DEPRECIATION</v>
      </c>
      <c r="D578" s="549" t="str">
        <f>'[5]FR-16(7)(v)-1 Functional'!D578</f>
        <v>C229</v>
      </c>
      <c r="E578" s="548"/>
      <c r="F578" s="578">
        <f>'[5]FR-16(7)(v)-14 TOTAL CLASS'!H578</f>
        <v>103263</v>
      </c>
      <c r="G578" s="570">
        <f>'[5]FR-16(7)(v)-3 PROD Demand'!H578+'[5]FR-16(7)(v)-7 TRANS Demand'!H578+'[5]FR-16(7)(v)-11 DIST Demand'!H578</f>
        <v>65286</v>
      </c>
      <c r="H578" s="571">
        <f>'[5]FR-16(7)(v)-4 PROD Energy'!H578+'[5]FR-16(7)(v)-8 TRANS Energy'!H578+'[5]FR-16(7)(v)-12 DIST Energy'!H578</f>
        <v>33496</v>
      </c>
      <c r="I578" s="572">
        <f>'[5]FR-16(7)(v)-5 PROD Cust'!H578+'[5]FR-16(7)(v)-9 TRANS Cust'!H578+'[5]FR-16(7)(v)-13 DIST Cust'!H578</f>
        <v>4481</v>
      </c>
      <c r="J578" s="569">
        <f>SUM(G578:I578)</f>
        <v>103263</v>
      </c>
      <c r="K578" s="569">
        <f>F578-J578</f>
        <v>0</v>
      </c>
    </row>
    <row r="579" spans="1:11">
      <c r="A579" s="565">
        <v>19</v>
      </c>
      <c r="C579" s="547" t="str">
        <f>'[5]FR-16(7)(v)-1 Functional'!C579</f>
        <v xml:space="preserve">  TOTAL COM &amp; OTHER DEPREC EXP.</v>
      </c>
      <c r="D579" s="549"/>
      <c r="E579" s="548"/>
      <c r="F579" s="574">
        <f t="shared" ref="F579:K579" si="114">SUM(F578:F578)</f>
        <v>103263</v>
      </c>
      <c r="G579" s="575">
        <f t="shared" si="114"/>
        <v>65286</v>
      </c>
      <c r="H579" s="576">
        <f t="shared" si="114"/>
        <v>33496</v>
      </c>
      <c r="I579" s="577">
        <f t="shared" si="114"/>
        <v>4481</v>
      </c>
      <c r="J579" s="574">
        <f t="shared" si="114"/>
        <v>103263</v>
      </c>
      <c r="K579" s="574">
        <f t="shared" si="114"/>
        <v>0</v>
      </c>
    </row>
    <row r="580" spans="1:11">
      <c r="A580" s="565">
        <v>20</v>
      </c>
      <c r="D580" s="549"/>
      <c r="E580" s="548"/>
      <c r="G580" s="566"/>
      <c r="H580" s="567"/>
      <c r="I580" s="568"/>
    </row>
    <row r="581" spans="1:11">
      <c r="A581" s="565">
        <v>21</v>
      </c>
      <c r="D581" s="549"/>
      <c r="E581" s="548"/>
      <c r="G581" s="566"/>
      <c r="H581" s="567"/>
      <c r="I581" s="568"/>
    </row>
    <row r="582" spans="1:11">
      <c r="A582" s="565">
        <v>22</v>
      </c>
      <c r="B582" s="547" t="s">
        <v>1259</v>
      </c>
      <c r="D582" s="549"/>
      <c r="E582" s="547" t="s">
        <v>173</v>
      </c>
      <c r="F582" s="569">
        <f t="shared" ref="F582:K582" si="115">F579+F575+F571+F567+F563</f>
        <v>25104072</v>
      </c>
      <c r="G582" s="619">
        <f t="shared" si="115"/>
        <v>23858498</v>
      </c>
      <c r="H582" s="620">
        <f t="shared" si="115"/>
        <v>825140</v>
      </c>
      <c r="I582" s="621">
        <f t="shared" si="115"/>
        <v>420434</v>
      </c>
      <c r="J582" s="569">
        <f t="shared" si="115"/>
        <v>25104072</v>
      </c>
      <c r="K582" s="569">
        <f t="shared" si="115"/>
        <v>0</v>
      </c>
    </row>
    <row r="583" spans="1:11">
      <c r="B583" s="546"/>
      <c r="C583" s="548"/>
      <c r="D583" s="549"/>
      <c r="E583" s="548"/>
      <c r="F583" s="548"/>
      <c r="G583" s="548"/>
      <c r="H583" s="548"/>
      <c r="I583" s="548"/>
      <c r="J583" s="548"/>
      <c r="K583" s="548"/>
    </row>
    <row r="584" spans="1:11">
      <c r="A584" s="546" t="str">
        <f>co_name</f>
        <v>DUKE ENERGY KENTUCKY, INC.</v>
      </c>
      <c r="C584" s="548"/>
      <c r="D584" s="549"/>
      <c r="E584" s="548"/>
      <c r="F584" s="548"/>
      <c r="G584" s="548"/>
      <c r="H584" s="548"/>
      <c r="I584" s="548"/>
      <c r="J584" s="548" t="str">
        <f>J1</f>
        <v>FR-16(7)(v)-16</v>
      </c>
      <c r="K584" s="548"/>
    </row>
    <row r="585" spans="1:11">
      <c r="A585" s="546" t="str">
        <f>$A$2</f>
        <v>DISTR. SEC. CLASSIFIED - ELECTRIC COST OF SERVICE</v>
      </c>
      <c r="C585" s="548"/>
      <c r="D585" s="549"/>
      <c r="E585" s="548"/>
      <c r="F585" s="548"/>
      <c r="G585" s="548"/>
      <c r="H585" s="548"/>
      <c r="I585" s="548"/>
      <c r="J585" s="548" t="str">
        <f>J2</f>
        <v>WITNESS RESPONSIBLE:</v>
      </c>
      <c r="K585" s="548"/>
    </row>
    <row r="586" spans="1:11">
      <c r="A586" s="546" t="str">
        <f>case_name</f>
        <v>CASE NO: 2024-00354</v>
      </c>
      <c r="C586" s="548"/>
      <c r="D586" s="549"/>
      <c r="E586" s="548"/>
      <c r="F586" s="548"/>
      <c r="G586" s="548"/>
      <c r="H586" s="548"/>
      <c r="I586" s="548"/>
      <c r="J586" s="548" t="str">
        <f>Witness</f>
        <v>JAMES E. ZIOLKOWSKI</v>
      </c>
      <c r="K586" s="548"/>
    </row>
    <row r="587" spans="1:11">
      <c r="A587" s="546" t="str">
        <f>data_filing</f>
        <v>DATA: 12 MONTHS ACTUAL  &amp; 0 MONTHS ESTIMATED</v>
      </c>
      <c r="C587" s="548"/>
      <c r="D587" s="549"/>
      <c r="E587" s="548"/>
      <c r="F587" s="548"/>
      <c r="G587" s="548"/>
      <c r="H587" s="548"/>
      <c r="I587" s="548"/>
      <c r="J587" s="548" t="str">
        <f>"PAGE "&amp;Pages2-4&amp;" OF "&amp;Pages2</f>
        <v>PAGE 11 OF 15</v>
      </c>
      <c r="K587" s="548"/>
    </row>
    <row r="588" spans="1:11">
      <c r="A588" s="546" t="str">
        <f>type</f>
        <v xml:space="preserve">TYPE OF FILING: "X" ORIGINAL   UPDATED    REVISED  </v>
      </c>
      <c r="C588" s="548"/>
      <c r="D588" s="549"/>
      <c r="E588" s="548"/>
      <c r="F588" s="548"/>
      <c r="G588" s="548"/>
      <c r="H588" s="548"/>
      <c r="I588" s="548"/>
      <c r="J588" s="548"/>
      <c r="K588" s="548"/>
    </row>
    <row r="589" spans="1:11">
      <c r="B589" s="546"/>
      <c r="C589" s="548"/>
      <c r="D589" s="549"/>
      <c r="E589" s="548"/>
      <c r="F589" s="548"/>
      <c r="G589" s="548"/>
      <c r="H589" s="548"/>
      <c r="I589" s="548"/>
      <c r="J589" s="548"/>
      <c r="K589" s="548"/>
    </row>
    <row r="590" spans="1:11">
      <c r="B590" s="546"/>
      <c r="C590" s="548"/>
      <c r="D590" s="549"/>
      <c r="E590" s="548"/>
      <c r="F590" s="548"/>
      <c r="G590" s="548"/>
      <c r="H590" s="548"/>
      <c r="I590" s="548"/>
      <c r="J590" s="548"/>
      <c r="K590" s="548"/>
    </row>
    <row r="591" spans="1:11">
      <c r="A591" s="549" t="s">
        <v>17</v>
      </c>
      <c r="B591" s="548"/>
      <c r="C591" s="548"/>
      <c r="D591" s="549"/>
      <c r="E591" s="548"/>
      <c r="F591" s="549" t="s">
        <v>11</v>
      </c>
      <c r="G591" s="552" t="s">
        <v>1162</v>
      </c>
      <c r="H591" s="553"/>
      <c r="I591" s="554"/>
      <c r="J591" s="549" t="s">
        <v>11</v>
      </c>
      <c r="K591" s="549" t="s">
        <v>1163</v>
      </c>
    </row>
    <row r="592" spans="1:11">
      <c r="A592" s="555" t="s">
        <v>1164</v>
      </c>
      <c r="B592" s="556" t="s">
        <v>1260</v>
      </c>
      <c r="C592" s="556"/>
      <c r="D592" s="555" t="s">
        <v>1166</v>
      </c>
      <c r="E592" s="556"/>
      <c r="F592" s="555" t="str">
        <f>$F$9</f>
        <v>DISTR. SEC.</v>
      </c>
      <c r="G592" s="611" t="str">
        <f t="shared" ref="G592:I593" si="116">G9</f>
        <v>DEMAND</v>
      </c>
      <c r="H592" s="612" t="str">
        <f t="shared" si="116"/>
        <v>ENERGY</v>
      </c>
      <c r="I592" s="613" t="str">
        <f t="shared" si="116"/>
        <v>CUSTOMER</v>
      </c>
      <c r="J592" s="555" t="s">
        <v>1169</v>
      </c>
      <c r="K592" s="555" t="s">
        <v>543</v>
      </c>
    </row>
    <row r="593" spans="1:11">
      <c r="C593" s="561" t="s">
        <v>1261</v>
      </c>
      <c r="D593" s="549"/>
      <c r="E593" s="548"/>
      <c r="F593" s="640"/>
      <c r="G593" s="614">
        <f t="shared" si="116"/>
        <v>3</v>
      </c>
      <c r="H593" s="615">
        <f t="shared" si="116"/>
        <v>4</v>
      </c>
      <c r="I593" s="616">
        <f t="shared" si="116"/>
        <v>5</v>
      </c>
      <c r="J593" s="640"/>
      <c r="K593" s="640"/>
    </row>
    <row r="594" spans="1:11">
      <c r="A594" s="565">
        <v>1</v>
      </c>
      <c r="B594" s="547" t="s">
        <v>1262</v>
      </c>
      <c r="D594" s="549"/>
      <c r="E594" s="548"/>
      <c r="G594" s="566"/>
      <c r="H594" s="567"/>
      <c r="I594" s="568"/>
    </row>
    <row r="595" spans="1:11">
      <c r="A595" s="565">
        <v>2</v>
      </c>
      <c r="B595" s="547" t="s">
        <v>1263</v>
      </c>
      <c r="D595" s="549"/>
      <c r="E595" s="548"/>
      <c r="G595" s="566"/>
      <c r="H595" s="567"/>
      <c r="I595" s="568"/>
    </row>
    <row r="596" spans="1:11">
      <c r="A596" s="565">
        <v>3</v>
      </c>
      <c r="C596" s="547" t="str">
        <f>'[5]FR-16(7)(v)-1 Functional'!C596</f>
        <v>REAL ESTATE &amp; PROPERTY TAX</v>
      </c>
      <c r="D596" s="549" t="str">
        <f>'[5]FR-16(7)(v)-1 Functional'!D596</f>
        <v>NP29</v>
      </c>
      <c r="E596" s="548"/>
      <c r="F596" s="578">
        <f>'[5]FR-16(7)(v)-14 TOTAL CLASS'!H596</f>
        <v>4651592</v>
      </c>
      <c r="G596" s="570">
        <f>'[5]FR-16(7)(v)-3 PROD Demand'!H596+'[5]FR-16(7)(v)-7 TRANS Demand'!H596+'[5]FR-16(7)(v)-11 DIST Demand'!H596</f>
        <v>4453014</v>
      </c>
      <c r="H596" s="571">
        <f>'[5]FR-16(7)(v)-4 PROD Energy'!H596+'[5]FR-16(7)(v)-8 TRANS Energy'!H596+'[5]FR-16(7)(v)-12 DIST Energy'!H596</f>
        <v>83769</v>
      </c>
      <c r="I596" s="572">
        <f>'[5]FR-16(7)(v)-5 PROD Cust'!H596+'[5]FR-16(7)(v)-9 TRANS Cust'!H596+'[5]FR-16(7)(v)-13 DIST Cust'!H596</f>
        <v>114809</v>
      </c>
      <c r="J596" s="569">
        <f>SUM(G596:I596)</f>
        <v>4651592</v>
      </c>
      <c r="K596" s="569">
        <f>F596-J596</f>
        <v>0</v>
      </c>
    </row>
    <row r="597" spans="1:11">
      <c r="A597" s="565">
        <v>4</v>
      </c>
      <c r="C597" s="573" t="str">
        <f>'[5]FR-16(7)(v)-1 Functional'!C597</f>
        <v>ANNUALIZE PROPERTY TAX</v>
      </c>
      <c r="D597" s="549" t="str">
        <f>'[5]FR-16(7)(v)-1 Functional'!D597</f>
        <v>NP29</v>
      </c>
      <c r="E597" s="548" t="s">
        <v>173</v>
      </c>
      <c r="F597" s="578">
        <f>'[5]FR-16(7)(v)-14 TOTAL CLASS'!H597</f>
        <v>0</v>
      </c>
      <c r="G597" s="570">
        <f>'[5]FR-16(7)(v)-3 PROD Demand'!H597+'[5]FR-16(7)(v)-7 TRANS Demand'!H597+'[5]FR-16(7)(v)-11 DIST Demand'!H597</f>
        <v>0</v>
      </c>
      <c r="H597" s="571">
        <f>'[5]FR-16(7)(v)-4 PROD Energy'!H597+'[5]FR-16(7)(v)-8 TRANS Energy'!H597+'[5]FR-16(7)(v)-12 DIST Energy'!H597</f>
        <v>0</v>
      </c>
      <c r="I597" s="572">
        <f>'[5]FR-16(7)(v)-5 PROD Cust'!H597+'[5]FR-16(7)(v)-9 TRANS Cust'!H597+'[5]FR-16(7)(v)-13 DIST Cust'!H597</f>
        <v>0</v>
      </c>
      <c r="J597" s="569">
        <f>SUM(G597:I597)</f>
        <v>0</v>
      </c>
      <c r="K597" s="569">
        <f>F597-J597</f>
        <v>0</v>
      </c>
    </row>
    <row r="598" spans="1:11">
      <c r="A598" s="565">
        <v>5</v>
      </c>
      <c r="C598" s="547" t="str">
        <f>'[5]FR-16(7)(v)-1 Functional'!C598</f>
        <v xml:space="preserve">  TOTAL REAL ESTATE &amp; PROPERTY TAX</v>
      </c>
      <c r="D598" s="549"/>
      <c r="E598" s="548"/>
      <c r="F598" s="574">
        <f t="shared" ref="F598:K598" si="117">SUM(F596:F597)</f>
        <v>4651592</v>
      </c>
      <c r="G598" s="575">
        <f t="shared" si="117"/>
        <v>4453014</v>
      </c>
      <c r="H598" s="576">
        <f t="shared" si="117"/>
        <v>83769</v>
      </c>
      <c r="I598" s="577">
        <f t="shared" si="117"/>
        <v>114809</v>
      </c>
      <c r="J598" s="574">
        <f t="shared" si="117"/>
        <v>4651592</v>
      </c>
      <c r="K598" s="574">
        <f t="shared" si="117"/>
        <v>0</v>
      </c>
    </row>
    <row r="599" spans="1:11">
      <c r="A599" s="565">
        <v>6</v>
      </c>
      <c r="D599" s="549"/>
      <c r="E599" s="548"/>
      <c r="G599" s="566"/>
      <c r="H599" s="567"/>
      <c r="I599" s="568"/>
    </row>
    <row r="600" spans="1:11">
      <c r="A600" s="565">
        <v>7</v>
      </c>
      <c r="B600" s="547" t="s">
        <v>1264</v>
      </c>
      <c r="D600" s="549"/>
      <c r="E600" s="548"/>
      <c r="G600" s="566"/>
      <c r="H600" s="567"/>
      <c r="I600" s="568"/>
    </row>
    <row r="601" spans="1:11">
      <c r="A601" s="565">
        <v>8</v>
      </c>
      <c r="C601" s="547" t="str">
        <f>'[5]FR-16(7)(v)-1 Functional'!C601</f>
        <v xml:space="preserve">PAYROLL </v>
      </c>
      <c r="D601" s="549" t="str">
        <f>'[5]FR-16(7)(v)-1 Functional'!D601</f>
        <v>A315</v>
      </c>
      <c r="E601" s="548"/>
      <c r="F601" s="578">
        <f>'[5]FR-16(7)(v)-14 TOTAL CLASS'!H601</f>
        <v>278107</v>
      </c>
      <c r="G601" s="570">
        <f>'[5]FR-16(7)(v)-3 PROD Demand'!H601+'[5]FR-16(7)(v)-7 TRANS Demand'!H601+'[5]FR-16(7)(v)-11 DIST Demand'!H601</f>
        <v>90750</v>
      </c>
      <c r="H601" s="571">
        <f>'[5]FR-16(7)(v)-4 PROD Energy'!H601+'[5]FR-16(7)(v)-8 TRANS Energy'!H601+'[5]FR-16(7)(v)-12 DIST Energy'!H601</f>
        <v>163925</v>
      </c>
      <c r="I601" s="572">
        <f>'[5]FR-16(7)(v)-5 PROD Cust'!H601+'[5]FR-16(7)(v)-9 TRANS Cust'!H601+'[5]FR-16(7)(v)-13 DIST Cust'!H601</f>
        <v>23432</v>
      </c>
      <c r="J601" s="569">
        <f>SUM(G601:I601)</f>
        <v>278107</v>
      </c>
      <c r="K601" s="569">
        <f>F601-J601</f>
        <v>0</v>
      </c>
    </row>
    <row r="602" spans="1:11">
      <c r="A602" s="565">
        <v>9</v>
      </c>
      <c r="C602" s="547" t="str">
        <f>'[5]FR-16(7)(v)-1 Functional'!C602</f>
        <v xml:space="preserve">ELIMINATE DSM </v>
      </c>
      <c r="D602" s="549" t="str">
        <f>'[5]FR-16(7)(v)-1 Functional'!D602</f>
        <v>A315</v>
      </c>
      <c r="E602" s="548"/>
      <c r="F602" s="578">
        <f>'[5]FR-16(7)(v)-14 TOTAL CLASS'!H602</f>
        <v>-10847</v>
      </c>
      <c r="G602" s="570">
        <f>'[5]FR-16(7)(v)-3 PROD Demand'!H602+'[5]FR-16(7)(v)-7 TRANS Demand'!H602+'[5]FR-16(7)(v)-11 DIST Demand'!H602</f>
        <v>-3540</v>
      </c>
      <c r="H602" s="571">
        <f>'[5]FR-16(7)(v)-4 PROD Energy'!H602+'[5]FR-16(7)(v)-8 TRANS Energy'!H602+'[5]FR-16(7)(v)-12 DIST Energy'!H602</f>
        <v>-6393</v>
      </c>
      <c r="I602" s="572">
        <f>'[5]FR-16(7)(v)-5 PROD Cust'!H602+'[5]FR-16(7)(v)-9 TRANS Cust'!H602+'[5]FR-16(7)(v)-13 DIST Cust'!H602</f>
        <v>-914</v>
      </c>
      <c r="J602" s="569">
        <f>SUM(G602:I602)</f>
        <v>-10847</v>
      </c>
      <c r="K602" s="569">
        <f>F602-J602</f>
        <v>0</v>
      </c>
    </row>
    <row r="603" spans="1:11">
      <c r="A603" s="565">
        <v>10</v>
      </c>
      <c r="C603" s="547" t="str">
        <f>'[5]FR-16(7)(v)-1 Functional'!C603</f>
        <v>ELIMINATE INCENTIVE COMPENSATION</v>
      </c>
      <c r="D603" s="549" t="str">
        <f>'[5]FR-16(7)(v)-1 Functional'!D603</f>
        <v>A315</v>
      </c>
      <c r="E603" s="548"/>
      <c r="F603" s="578">
        <f>'[5]FR-16(7)(v)-14 TOTAL CLASS'!H603</f>
        <v>-14700</v>
      </c>
      <c r="G603" s="570">
        <f>'[5]FR-16(7)(v)-3 PROD Demand'!H603+'[5]FR-16(7)(v)-7 TRANS Demand'!H603+'[5]FR-16(7)(v)-11 DIST Demand'!H603</f>
        <v>-4797</v>
      </c>
      <c r="H603" s="571">
        <f>'[5]FR-16(7)(v)-4 PROD Energy'!H603+'[5]FR-16(7)(v)-8 TRANS Energy'!H603+'[5]FR-16(7)(v)-12 DIST Energy'!H603</f>
        <v>-8665</v>
      </c>
      <c r="I603" s="572">
        <f>'[5]FR-16(7)(v)-5 PROD Cust'!H603+'[5]FR-16(7)(v)-9 TRANS Cust'!H603+'[5]FR-16(7)(v)-13 DIST Cust'!H603</f>
        <v>-1238</v>
      </c>
      <c r="J603" s="569">
        <f>SUM(G603:I603)</f>
        <v>-14700</v>
      </c>
      <c r="K603" s="569">
        <f>F603-J603</f>
        <v>0</v>
      </c>
    </row>
    <row r="604" spans="1:11">
      <c r="A604" s="565">
        <v>11</v>
      </c>
      <c r="C604" s="573" t="str">
        <f>'[5]FR-16(7)(v)-1 Functional'!C604</f>
        <v>ELIMINATE ESM</v>
      </c>
      <c r="D604" s="549" t="str">
        <f>'[5]FR-16(7)(v)-1 Functional'!D604</f>
        <v>A315</v>
      </c>
      <c r="E604" s="548"/>
      <c r="F604" s="578">
        <f>'[5]FR-16(7)(v)-14 TOTAL CLASS'!H604</f>
        <v>23836</v>
      </c>
      <c r="G604" s="570">
        <f>'[5]FR-16(7)(v)-3 PROD Demand'!H604+'[5]FR-16(7)(v)-7 TRANS Demand'!H604+'[5]FR-16(7)(v)-11 DIST Demand'!H604</f>
        <v>7778</v>
      </c>
      <c r="H604" s="571">
        <f>'[5]FR-16(7)(v)-4 PROD Energy'!H604+'[5]FR-16(7)(v)-8 TRANS Energy'!H604+'[5]FR-16(7)(v)-12 DIST Energy'!H604</f>
        <v>14050</v>
      </c>
      <c r="I604" s="572">
        <f>'[5]FR-16(7)(v)-5 PROD Cust'!H604+'[5]FR-16(7)(v)-9 TRANS Cust'!H604+'[5]FR-16(7)(v)-13 DIST Cust'!H604</f>
        <v>2008</v>
      </c>
      <c r="J604" s="569">
        <f>SUM(G604:I604)</f>
        <v>23836</v>
      </c>
      <c r="K604" s="569">
        <f>F604-J604</f>
        <v>0</v>
      </c>
    </row>
    <row r="605" spans="1:11">
      <c r="A605" s="565">
        <v>12</v>
      </c>
      <c r="C605" s="547" t="str">
        <f>'[5]FR-16(7)(v)-1 Functional'!C605</f>
        <v xml:space="preserve">  TOTAL MISCELLANEOUS TAXES</v>
      </c>
      <c r="D605" s="549"/>
      <c r="E605" s="548"/>
      <c r="F605" s="574">
        <f t="shared" ref="F605:K605" si="118">SUM(F601:F604)</f>
        <v>276396</v>
      </c>
      <c r="G605" s="575">
        <f t="shared" si="118"/>
        <v>90191</v>
      </c>
      <c r="H605" s="576">
        <f t="shared" si="118"/>
        <v>162917</v>
      </c>
      <c r="I605" s="577">
        <f t="shared" si="118"/>
        <v>23288</v>
      </c>
      <c r="J605" s="574">
        <f t="shared" si="118"/>
        <v>276396</v>
      </c>
      <c r="K605" s="574">
        <f t="shared" si="118"/>
        <v>0</v>
      </c>
    </row>
    <row r="606" spans="1:11">
      <c r="A606" s="565">
        <v>13</v>
      </c>
      <c r="D606" s="549"/>
      <c r="E606" s="548"/>
      <c r="G606" s="566"/>
      <c r="H606" s="567"/>
      <c r="I606" s="568"/>
    </row>
    <row r="607" spans="1:11">
      <c r="A607" s="565">
        <v>14</v>
      </c>
      <c r="B607" s="547" t="s">
        <v>1265</v>
      </c>
      <c r="D607" s="549"/>
      <c r="E607" s="548"/>
      <c r="G607" s="566"/>
      <c r="H607" s="567"/>
      <c r="I607" s="568"/>
    </row>
    <row r="608" spans="1:11">
      <c r="A608" s="565">
        <v>15</v>
      </c>
      <c r="C608" s="547" t="str">
        <f>'[5]FR-16(7)(v)-1 Functional'!C608</f>
        <v>PSC MAINT. EXP ON INCREASE</v>
      </c>
      <c r="D608" s="549" t="str">
        <f>'[5]FR-16(7)(v)-1 Functional'!D608</f>
        <v>K902</v>
      </c>
      <c r="E608" s="548"/>
      <c r="F608" s="578">
        <f>'[5]FR-16(7)(v)-14 TOTAL CLASS'!H608</f>
        <v>31117</v>
      </c>
      <c r="G608" s="570">
        <f>'[5]FR-16(7)(v)-3 PROD Demand'!H608+'[5]FR-16(7)(v)-7 TRANS Demand'!H608+'[5]FR-16(7)(v)-11 DIST Demand'!H608</f>
        <v>17232</v>
      </c>
      <c r="H608" s="571">
        <f>'[5]FR-16(7)(v)-4 PROD Energy'!H608+'[5]FR-16(7)(v)-8 TRANS Energy'!H608+'[5]FR-16(7)(v)-12 DIST Energy'!H608</f>
        <v>8726</v>
      </c>
      <c r="I608" s="572">
        <f>'[5]FR-16(7)(v)-5 PROD Cust'!H608+'[5]FR-16(7)(v)-9 TRANS Cust'!H608+'[5]FR-16(7)(v)-13 DIST Cust'!H608</f>
        <v>5159</v>
      </c>
      <c r="J608" s="569">
        <f>SUM(G608:I608)</f>
        <v>31117</v>
      </c>
      <c r="K608" s="569">
        <f>F608-J608</f>
        <v>0</v>
      </c>
    </row>
    <row r="609" spans="1:11">
      <c r="A609" s="565">
        <v>16</v>
      </c>
      <c r="C609" s="573" t="str">
        <f>'[5]FR-16(7)(v)-1 Functional'!C609</f>
        <v>RESERVED FOR FUTURE USE</v>
      </c>
      <c r="D609" s="549" t="str">
        <f>'[5]FR-16(7)(v)-1 Functional'!D609</f>
        <v>K902</v>
      </c>
      <c r="E609" s="548"/>
      <c r="F609" s="578">
        <f>'[5]FR-16(7)(v)-14 TOTAL CLASS'!H609</f>
        <v>0</v>
      </c>
      <c r="G609" s="570">
        <f>'[5]FR-16(7)(v)-3 PROD Demand'!H609+'[5]FR-16(7)(v)-7 TRANS Demand'!H609+'[5]FR-16(7)(v)-11 DIST Demand'!H609</f>
        <v>0</v>
      </c>
      <c r="H609" s="571">
        <f>'[5]FR-16(7)(v)-4 PROD Energy'!H609+'[5]FR-16(7)(v)-8 TRANS Energy'!H609+'[5]FR-16(7)(v)-12 DIST Energy'!H609</f>
        <v>0</v>
      </c>
      <c r="I609" s="572">
        <f>'[5]FR-16(7)(v)-5 PROD Cust'!H609+'[5]FR-16(7)(v)-9 TRANS Cust'!H609+'[5]FR-16(7)(v)-13 DIST Cust'!H609</f>
        <v>0</v>
      </c>
      <c r="J609" s="569">
        <f>SUM(G609:I609)</f>
        <v>0</v>
      </c>
      <c r="K609" s="569">
        <f>F609-J609</f>
        <v>0</v>
      </c>
    </row>
    <row r="610" spans="1:11">
      <c r="A610" s="565">
        <v>17</v>
      </c>
      <c r="C610" s="547" t="str">
        <f>'[5]FR-16(7)(v)-1 Functional'!C610</f>
        <v xml:space="preserve">  TOTAL MISCELLANEOUS EXPENSES</v>
      </c>
      <c r="D610" s="549"/>
      <c r="E610" s="548"/>
      <c r="F610" s="618">
        <f t="shared" ref="F610:K610" si="119">SUM(F608:F609)</f>
        <v>31117</v>
      </c>
      <c r="G610" s="575">
        <f t="shared" si="119"/>
        <v>17232</v>
      </c>
      <c r="H610" s="576">
        <f t="shared" si="119"/>
        <v>8726</v>
      </c>
      <c r="I610" s="577">
        <f t="shared" si="119"/>
        <v>5159</v>
      </c>
      <c r="J610" s="574">
        <f t="shared" si="119"/>
        <v>31117</v>
      </c>
      <c r="K610" s="574">
        <f t="shared" si="119"/>
        <v>0</v>
      </c>
    </row>
    <row r="611" spans="1:11">
      <c r="A611" s="565">
        <v>18</v>
      </c>
      <c r="D611" s="549"/>
      <c r="E611" s="548"/>
      <c r="G611" s="566"/>
      <c r="H611" s="567"/>
      <c r="I611" s="568"/>
    </row>
    <row r="612" spans="1:11">
      <c r="A612" s="565">
        <v>19</v>
      </c>
      <c r="B612" s="547" t="s">
        <v>1266</v>
      </c>
      <c r="D612" s="549"/>
      <c r="E612" s="548" t="s">
        <v>173</v>
      </c>
      <c r="F612" s="569">
        <f t="shared" ref="F612:K612" si="120">F605+F598+F610</f>
        <v>4959105</v>
      </c>
      <c r="G612" s="570">
        <f t="shared" si="120"/>
        <v>4560437</v>
      </c>
      <c r="H612" s="571">
        <f t="shared" si="120"/>
        <v>255412</v>
      </c>
      <c r="I612" s="572">
        <f t="shared" si="120"/>
        <v>143256</v>
      </c>
      <c r="J612" s="569">
        <f t="shared" si="120"/>
        <v>4959105</v>
      </c>
      <c r="K612" s="569">
        <f t="shared" si="120"/>
        <v>0</v>
      </c>
    </row>
    <row r="613" spans="1:11">
      <c r="A613" s="565">
        <v>20</v>
      </c>
      <c r="D613" s="549"/>
      <c r="E613" s="548"/>
      <c r="G613" s="566"/>
      <c r="H613" s="567"/>
      <c r="I613" s="568"/>
    </row>
    <row r="614" spans="1:11">
      <c r="A614" s="565">
        <v>21</v>
      </c>
      <c r="B614" s="547" t="s">
        <v>1238</v>
      </c>
      <c r="D614" s="549"/>
      <c r="E614" s="548"/>
      <c r="G614" s="566"/>
      <c r="H614" s="567"/>
      <c r="I614" s="568"/>
    </row>
    <row r="615" spans="1:11">
      <c r="A615" s="565">
        <v>22</v>
      </c>
      <c r="C615" s="547" t="str">
        <f>'[5]FR-16(7)(v)-1 Functional'!C615</f>
        <v>TOTAL O&amp;M EXPENSE</v>
      </c>
      <c r="D615" s="549"/>
      <c r="E615" s="548"/>
      <c r="F615" s="569">
        <f t="shared" ref="F615:K615" si="121">F549</f>
        <v>80854392</v>
      </c>
      <c r="G615" s="570">
        <f t="shared" si="121"/>
        <v>15801624</v>
      </c>
      <c r="H615" s="571">
        <f t="shared" si="121"/>
        <v>63603898</v>
      </c>
      <c r="I615" s="572">
        <f t="shared" si="121"/>
        <v>1448870</v>
      </c>
      <c r="J615" s="569">
        <f t="shared" si="121"/>
        <v>80854392</v>
      </c>
      <c r="K615" s="569">
        <f t="shared" si="121"/>
        <v>0</v>
      </c>
    </row>
    <row r="616" spans="1:11">
      <c r="A616" s="565">
        <v>23</v>
      </c>
      <c r="C616" s="547" t="str">
        <f>'[5]FR-16(7)(v)-1 Functional'!C616</f>
        <v>TOTAL DEPRECIATION EXPENSE</v>
      </c>
      <c r="D616" s="549"/>
      <c r="E616" s="548"/>
      <c r="F616" s="569">
        <f t="shared" ref="F616:K616" si="122">F582</f>
        <v>25104072</v>
      </c>
      <c r="G616" s="570">
        <f t="shared" si="122"/>
        <v>23858498</v>
      </c>
      <c r="H616" s="571">
        <f t="shared" si="122"/>
        <v>825140</v>
      </c>
      <c r="I616" s="572">
        <f t="shared" si="122"/>
        <v>420434</v>
      </c>
      <c r="J616" s="569">
        <f t="shared" si="122"/>
        <v>25104072</v>
      </c>
      <c r="K616" s="569">
        <f t="shared" si="122"/>
        <v>0</v>
      </c>
    </row>
    <row r="617" spans="1:11">
      <c r="A617" s="565">
        <v>24</v>
      </c>
      <c r="C617" s="573" t="str">
        <f>'[5]FR-16(7)(v)-1 Functional'!C617</f>
        <v>TOTAL OTHER TAX &amp; MISC EXPENSE</v>
      </c>
      <c r="D617" s="549"/>
      <c r="E617" s="548"/>
      <c r="F617" s="569">
        <f t="shared" ref="F617:K617" si="123">F612</f>
        <v>4959105</v>
      </c>
      <c r="G617" s="570">
        <f t="shared" si="123"/>
        <v>4560437</v>
      </c>
      <c r="H617" s="571">
        <f t="shared" si="123"/>
        <v>255412</v>
      </c>
      <c r="I617" s="572">
        <f t="shared" si="123"/>
        <v>143256</v>
      </c>
      <c r="J617" s="569">
        <f t="shared" si="123"/>
        <v>4959105</v>
      </c>
      <c r="K617" s="569">
        <f t="shared" si="123"/>
        <v>0</v>
      </c>
    </row>
    <row r="618" spans="1:11">
      <c r="A618" s="565">
        <v>25</v>
      </c>
      <c r="C618" s="547" t="str">
        <f>'[5]FR-16(7)(v)-1 Functional'!C618</f>
        <v xml:space="preserve">  TOTAL OPER EXP EXCL INCOME &amp; REV TAX</v>
      </c>
      <c r="D618" s="549"/>
      <c r="E618" s="548"/>
      <c r="F618" s="574">
        <f t="shared" ref="F618:K618" si="124">SUM(F615:F617)</f>
        <v>110917569</v>
      </c>
      <c r="G618" s="579">
        <f t="shared" si="124"/>
        <v>44220559</v>
      </c>
      <c r="H618" s="580">
        <f t="shared" si="124"/>
        <v>64684450</v>
      </c>
      <c r="I618" s="581">
        <f t="shared" si="124"/>
        <v>2012560</v>
      </c>
      <c r="J618" s="574">
        <f t="shared" si="124"/>
        <v>110917569</v>
      </c>
      <c r="K618" s="574">
        <f t="shared" si="124"/>
        <v>0</v>
      </c>
    </row>
    <row r="619" spans="1:11">
      <c r="B619" s="546"/>
      <c r="C619" s="548"/>
      <c r="D619" s="549"/>
      <c r="E619" s="548"/>
      <c r="F619" s="548"/>
      <c r="G619" s="548"/>
      <c r="H619" s="548"/>
      <c r="I619" s="548"/>
      <c r="J619" s="548"/>
      <c r="K619" s="548"/>
    </row>
    <row r="620" spans="1:11">
      <c r="A620" s="546" t="str">
        <f>co_name</f>
        <v>DUKE ENERGY KENTUCKY, INC.</v>
      </c>
      <c r="C620" s="548"/>
      <c r="D620" s="549"/>
      <c r="E620" s="548"/>
      <c r="F620" s="548"/>
      <c r="G620" s="548"/>
      <c r="H620" s="548"/>
      <c r="I620" s="548"/>
      <c r="J620" s="548" t="str">
        <f>J1</f>
        <v>FR-16(7)(v)-16</v>
      </c>
      <c r="K620" s="548"/>
    </row>
    <row r="621" spans="1:11">
      <c r="A621" s="546" t="str">
        <f>$A$2</f>
        <v>DISTR. SEC. CLASSIFIED - ELECTRIC COST OF SERVICE</v>
      </c>
      <c r="C621" s="548"/>
      <c r="D621" s="549"/>
      <c r="E621" s="548"/>
      <c r="F621" s="548"/>
      <c r="G621" s="548"/>
      <c r="H621" s="548"/>
      <c r="I621" s="548"/>
      <c r="J621" s="548" t="str">
        <f>J2</f>
        <v>WITNESS RESPONSIBLE:</v>
      </c>
      <c r="K621" s="548"/>
    </row>
    <row r="622" spans="1:11">
      <c r="A622" s="546" t="str">
        <f>case_name</f>
        <v>CASE NO: 2024-00354</v>
      </c>
      <c r="C622" s="548"/>
      <c r="D622" s="549"/>
      <c r="E622" s="548"/>
      <c r="F622" s="548"/>
      <c r="G622" s="548"/>
      <c r="H622" s="548"/>
      <c r="I622" s="548"/>
      <c r="J622" s="548" t="str">
        <f>Witness</f>
        <v>JAMES E. ZIOLKOWSKI</v>
      </c>
      <c r="K622" s="548"/>
    </row>
    <row r="623" spans="1:11">
      <c r="A623" s="546" t="str">
        <f>data_filing</f>
        <v>DATA: 12 MONTHS ACTUAL  &amp; 0 MONTHS ESTIMATED</v>
      </c>
      <c r="C623" s="548"/>
      <c r="D623" s="549"/>
      <c r="E623" s="548"/>
      <c r="F623" s="548"/>
      <c r="G623" s="548"/>
      <c r="H623" s="548"/>
      <c r="I623" s="548"/>
      <c r="J623" s="548" t="str">
        <f>"PAGE "&amp;Pages2-3&amp;" OF "&amp;Pages2</f>
        <v>PAGE 12 OF 15</v>
      </c>
      <c r="K623" s="548"/>
    </row>
    <row r="624" spans="1:11">
      <c r="A624" s="546" t="str">
        <f>type</f>
        <v xml:space="preserve">TYPE OF FILING: "X" ORIGINAL   UPDATED    REVISED  </v>
      </c>
      <c r="C624" s="548"/>
      <c r="D624" s="549"/>
      <c r="E624" s="548"/>
      <c r="F624" s="548"/>
      <c r="G624" s="548"/>
      <c r="H624" s="548"/>
      <c r="I624" s="548"/>
      <c r="J624" s="548"/>
      <c r="K624" s="548"/>
    </row>
    <row r="625" spans="1:11">
      <c r="B625" s="546"/>
      <c r="C625" s="548"/>
      <c r="D625" s="549"/>
      <c r="E625" s="548"/>
      <c r="F625" s="548"/>
      <c r="G625" s="548"/>
      <c r="H625" s="548"/>
      <c r="I625" s="548"/>
      <c r="J625" s="548"/>
      <c r="K625" s="548"/>
    </row>
    <row r="626" spans="1:11">
      <c r="B626" s="546"/>
      <c r="C626" s="548"/>
      <c r="D626" s="549"/>
      <c r="E626" s="548"/>
      <c r="F626" s="548"/>
      <c r="G626" s="548"/>
      <c r="H626" s="548"/>
      <c r="I626" s="548"/>
      <c r="J626" s="548"/>
      <c r="K626" s="548"/>
    </row>
    <row r="627" spans="1:11">
      <c r="A627" s="549" t="s">
        <v>17</v>
      </c>
      <c r="B627" s="548"/>
      <c r="C627" s="548"/>
      <c r="D627" s="549"/>
      <c r="E627" s="548"/>
      <c r="F627" s="549" t="s">
        <v>11</v>
      </c>
      <c r="G627" s="552" t="s">
        <v>1162</v>
      </c>
      <c r="H627" s="553"/>
      <c r="I627" s="554"/>
      <c r="J627" s="549" t="s">
        <v>11</v>
      </c>
      <c r="K627" s="549" t="s">
        <v>1163</v>
      </c>
    </row>
    <row r="628" spans="1:11">
      <c r="A628" s="555" t="s">
        <v>1164</v>
      </c>
      <c r="B628" s="556" t="s">
        <v>1267</v>
      </c>
      <c r="C628" s="556"/>
      <c r="D628" s="555" t="s">
        <v>1166</v>
      </c>
      <c r="E628" s="556"/>
      <c r="F628" s="555" t="str">
        <f>$F$9</f>
        <v>DISTR. SEC.</v>
      </c>
      <c r="G628" s="611" t="str">
        <f>$G$9</f>
        <v>DEMAND</v>
      </c>
      <c r="H628" s="612" t="str">
        <f>$H$9</f>
        <v>ENERGY</v>
      </c>
      <c r="I628" s="613" t="str">
        <f>$I$9</f>
        <v>CUSTOMER</v>
      </c>
      <c r="J628" s="555" t="s">
        <v>1169</v>
      </c>
      <c r="K628" s="555" t="s">
        <v>543</v>
      </c>
    </row>
    <row r="629" spans="1:11">
      <c r="C629" s="561" t="s">
        <v>1268</v>
      </c>
      <c r="D629" s="549"/>
      <c r="E629" s="548"/>
      <c r="G629" s="614">
        <f>G10</f>
        <v>3</v>
      </c>
      <c r="H629" s="615">
        <f>H10</f>
        <v>4</v>
      </c>
      <c r="I629" s="616">
        <f>I10</f>
        <v>5</v>
      </c>
    </row>
    <row r="630" spans="1:11">
      <c r="A630" s="565">
        <v>1</v>
      </c>
      <c r="B630" s="547" t="s">
        <v>1269</v>
      </c>
      <c r="D630" s="549"/>
      <c r="E630" s="548"/>
      <c r="G630" s="566"/>
      <c r="H630" s="567"/>
      <c r="I630" s="568"/>
    </row>
    <row r="631" spans="1:11">
      <c r="A631" s="565">
        <v>2</v>
      </c>
      <c r="B631" s="547" t="s">
        <v>1270</v>
      </c>
      <c r="D631" s="549"/>
      <c r="E631" s="548"/>
      <c r="F631" s="547" t="s">
        <v>173</v>
      </c>
      <c r="G631" s="566"/>
      <c r="H631" s="567"/>
      <c r="I631" s="568"/>
    </row>
    <row r="632" spans="1:11">
      <c r="A632" s="565">
        <v>3</v>
      </c>
      <c r="C632" s="573" t="str">
        <f>'[5]FR-16(7)(v)-1 Functional'!C632</f>
        <v>AUTO PROC INTEREST DED</v>
      </c>
      <c r="D632" s="549" t="str">
        <f>'[5]FR-16(7)(v)-1 Functional'!D632</f>
        <v>RB99</v>
      </c>
      <c r="E632" s="548"/>
      <c r="F632" s="578">
        <f>'[5]FR-16(7)(v)-14 TOTAL CLASS'!H632</f>
        <v>8053238</v>
      </c>
      <c r="G632" s="570">
        <f>'[5]FR-16(7)(v)-3 PROD Demand'!H632+'[5]FR-16(7)(v)-7 TRANS Demand'!H632+'[5]FR-16(7)(v)-11 DIST Demand'!H632</f>
        <v>7537012</v>
      </c>
      <c r="H632" s="571">
        <f>'[5]FR-16(7)(v)-4 PROD Energy'!H632+'[5]FR-16(7)(v)-8 TRANS Energy'!H632+'[5]FR-16(7)(v)-12 DIST Energy'!H632</f>
        <v>308037</v>
      </c>
      <c r="I632" s="572">
        <f>'[5]FR-16(7)(v)-5 PROD Cust'!H632+'[5]FR-16(7)(v)-9 TRANS Cust'!H632+'[5]FR-16(7)(v)-13 DIST Cust'!H632</f>
        <v>208189</v>
      </c>
      <c r="J632" s="569">
        <f>SUM(G632:I632)</f>
        <v>8053238</v>
      </c>
      <c r="K632" s="569">
        <f>F632-J632</f>
        <v>0</v>
      </c>
    </row>
    <row r="633" spans="1:11">
      <c r="A633" s="565">
        <v>4</v>
      </c>
      <c r="C633" s="547" t="str">
        <f>'[5]FR-16(7)(v)-1 Functional'!C633</f>
        <v xml:space="preserve">  TOTAL INTEREST EXPENSE</v>
      </c>
      <c r="D633" s="549"/>
      <c r="E633" s="548"/>
      <c r="F633" s="574">
        <f t="shared" ref="F633:K633" si="125">F632</f>
        <v>8053238</v>
      </c>
      <c r="G633" s="575">
        <f t="shared" si="125"/>
        <v>7537012</v>
      </c>
      <c r="H633" s="576">
        <f t="shared" si="125"/>
        <v>308037</v>
      </c>
      <c r="I633" s="577">
        <f t="shared" si="125"/>
        <v>208189</v>
      </c>
      <c r="J633" s="574">
        <f t="shared" si="125"/>
        <v>8053238</v>
      </c>
      <c r="K633" s="574">
        <f t="shared" si="125"/>
        <v>0</v>
      </c>
    </row>
    <row r="634" spans="1:11">
      <c r="A634" s="565">
        <v>5</v>
      </c>
      <c r="D634" s="549"/>
      <c r="E634" s="548"/>
      <c r="G634" s="566"/>
      <c r="H634" s="567"/>
      <c r="I634" s="568"/>
    </row>
    <row r="635" spans="1:11">
      <c r="A635" s="565">
        <v>6</v>
      </c>
      <c r="B635" s="547" t="s">
        <v>1271</v>
      </c>
      <c r="D635" s="549"/>
      <c r="E635" s="548"/>
      <c r="G635" s="566"/>
      <c r="H635" s="567"/>
      <c r="I635" s="568"/>
    </row>
    <row r="636" spans="1:11">
      <c r="A636" s="565">
        <v>7</v>
      </c>
      <c r="C636" s="547" t="str">
        <f>'[5]FR-16(7)(v)-1 Functional'!C636</f>
        <v>DEPREC EXCESS TAX-BOOK</v>
      </c>
      <c r="D636" s="549" t="str">
        <f>'[5]FR-16(7)(v)-1 Functional'!D636</f>
        <v>DE49</v>
      </c>
      <c r="E636" s="548"/>
      <c r="F636" s="578">
        <f>'[5]FR-16(7)(v)-14 TOTAL CLASS'!H636</f>
        <v>-5143957</v>
      </c>
      <c r="G636" s="570">
        <f>'[5]FR-16(7)(v)-3 PROD Demand'!H636+'[5]FR-16(7)(v)-7 TRANS Demand'!H636+'[5]FR-16(7)(v)-11 DIST Demand'!H636</f>
        <v>-4888721</v>
      </c>
      <c r="H636" s="571">
        <f>'[5]FR-16(7)(v)-4 PROD Energy'!H636+'[5]FR-16(7)(v)-8 TRANS Energy'!H636+'[5]FR-16(7)(v)-12 DIST Energy'!H636</f>
        <v>-169086</v>
      </c>
      <c r="I636" s="572">
        <f>'[5]FR-16(7)(v)-5 PROD Cust'!H636+'[5]FR-16(7)(v)-9 TRANS Cust'!H636+'[5]FR-16(7)(v)-13 DIST Cust'!H636</f>
        <v>-86150</v>
      </c>
      <c r="J636" s="569">
        <f>SUM(G636:I636)</f>
        <v>-5143957</v>
      </c>
      <c r="K636" s="569">
        <f>F636-J636</f>
        <v>0</v>
      </c>
    </row>
    <row r="637" spans="1:11">
      <c r="A637" s="565">
        <v>8</v>
      </c>
      <c r="C637" s="547" t="str">
        <f>'[5]FR-16(7)(v)-1 Functional'!C637</f>
        <v>PERMANENT DIFFERENCES</v>
      </c>
      <c r="D637" s="549" t="str">
        <f>'[5]FR-16(7)(v)-1 Functional'!D637</f>
        <v>A357</v>
      </c>
      <c r="E637" s="548"/>
      <c r="F637" s="578">
        <f>'[5]FR-16(7)(v)-14 TOTAL CLASS'!H637</f>
        <v>-21201</v>
      </c>
      <c r="G637" s="570">
        <f>'[5]FR-16(7)(v)-3 PROD Demand'!H637+'[5]FR-16(7)(v)-7 TRANS Demand'!H637+'[5]FR-16(7)(v)-11 DIST Demand'!H637</f>
        <v>-6919</v>
      </c>
      <c r="H637" s="571">
        <f>'[5]FR-16(7)(v)-4 PROD Energy'!H637+'[5]FR-16(7)(v)-8 TRANS Energy'!H637+'[5]FR-16(7)(v)-12 DIST Energy'!H637</f>
        <v>-12496</v>
      </c>
      <c r="I637" s="572">
        <f>'[5]FR-16(7)(v)-5 PROD Cust'!H637+'[5]FR-16(7)(v)-9 TRANS Cust'!H637+'[5]FR-16(7)(v)-13 DIST Cust'!H637</f>
        <v>-1786</v>
      </c>
      <c r="J637" s="569">
        <f>SUM(G637:I637)</f>
        <v>-21201</v>
      </c>
      <c r="K637" s="569">
        <f>F637-J637</f>
        <v>0</v>
      </c>
    </row>
    <row r="638" spans="1:11">
      <c r="A638" s="565">
        <v>9</v>
      </c>
      <c r="C638" s="573" t="str">
        <f>'[5]FR-16(7)(v)-1 Functional'!C638</f>
        <v>TEMPORARY DIFFERENCES</v>
      </c>
      <c r="D638" s="549" t="str">
        <f>'[5]FR-16(7)(v)-1 Functional'!D638</f>
        <v>DE49</v>
      </c>
      <c r="E638" s="548"/>
      <c r="F638" s="578">
        <f>'[5]FR-16(7)(v)-14 TOTAL CLASS'!H638</f>
        <v>8691721</v>
      </c>
      <c r="G638" s="570">
        <f>'[5]FR-16(7)(v)-3 PROD Demand'!H638+'[5]FR-16(7)(v)-7 TRANS Demand'!H638+'[5]FR-16(7)(v)-11 DIST Demand'!H638</f>
        <v>8260450</v>
      </c>
      <c r="H638" s="571">
        <f>'[5]FR-16(7)(v)-4 PROD Energy'!H638+'[5]FR-16(7)(v)-8 TRANS Energy'!H638+'[5]FR-16(7)(v)-12 DIST Energy'!H638</f>
        <v>285705</v>
      </c>
      <c r="I638" s="572">
        <f>'[5]FR-16(7)(v)-5 PROD Cust'!H638+'[5]FR-16(7)(v)-9 TRANS Cust'!H638+'[5]FR-16(7)(v)-13 DIST Cust'!H638</f>
        <v>145566</v>
      </c>
      <c r="J638" s="569">
        <f>SUM(G638:I638)</f>
        <v>8691721</v>
      </c>
      <c r="K638" s="569">
        <f>F638-J638</f>
        <v>0</v>
      </c>
    </row>
    <row r="639" spans="1:11">
      <c r="A639" s="565">
        <v>10</v>
      </c>
      <c r="C639" s="547" t="str">
        <f>'[5]FR-16(7)(v)-1 Functional'!C639</f>
        <v xml:space="preserve">  TOTAL OTHER DEDUCTIONS</v>
      </c>
      <c r="D639" s="549"/>
      <c r="E639" s="548"/>
      <c r="F639" s="574">
        <f t="shared" ref="F639:K639" si="126">SUM(F636:F638)</f>
        <v>3526563</v>
      </c>
      <c r="G639" s="575">
        <f t="shared" si="126"/>
        <v>3364810</v>
      </c>
      <c r="H639" s="576">
        <f t="shared" si="126"/>
        <v>104123</v>
      </c>
      <c r="I639" s="577">
        <f t="shared" si="126"/>
        <v>57630</v>
      </c>
      <c r="J639" s="574">
        <f t="shared" si="126"/>
        <v>3526563</v>
      </c>
      <c r="K639" s="574">
        <f t="shared" si="126"/>
        <v>0</v>
      </c>
    </row>
    <row r="640" spans="1:11">
      <c r="A640" s="565">
        <v>11</v>
      </c>
      <c r="D640" s="549"/>
      <c r="E640" s="548"/>
      <c r="G640" s="566"/>
      <c r="H640" s="567"/>
      <c r="I640" s="568"/>
    </row>
    <row r="641" spans="1:11">
      <c r="A641" s="565">
        <v>12</v>
      </c>
      <c r="B641" s="547" t="s">
        <v>1272</v>
      </c>
      <c r="D641" s="549"/>
      <c r="E641" s="548"/>
      <c r="F641" s="569">
        <f t="shared" ref="F641:K641" si="127">F639+F633</f>
        <v>11579801</v>
      </c>
      <c r="G641" s="570">
        <f t="shared" si="127"/>
        <v>10901822</v>
      </c>
      <c r="H641" s="571">
        <f t="shared" si="127"/>
        <v>412160</v>
      </c>
      <c r="I641" s="572">
        <f t="shared" si="127"/>
        <v>265819</v>
      </c>
      <c r="J641" s="569">
        <f t="shared" si="127"/>
        <v>11579801</v>
      </c>
      <c r="K641" s="569">
        <f t="shared" si="127"/>
        <v>0</v>
      </c>
    </row>
    <row r="642" spans="1:11">
      <c r="A642" s="565">
        <v>13</v>
      </c>
      <c r="D642" s="549"/>
      <c r="E642" s="548"/>
      <c r="G642" s="566"/>
      <c r="H642" s="567"/>
      <c r="I642" s="568"/>
    </row>
    <row r="643" spans="1:11">
      <c r="A643" s="565">
        <v>14</v>
      </c>
      <c r="B643" s="642" t="s">
        <v>1273</v>
      </c>
      <c r="D643" s="549"/>
      <c r="E643" s="548"/>
      <c r="G643" s="566"/>
      <c r="H643" s="567"/>
      <c r="I643" s="568"/>
    </row>
    <row r="644" spans="1:11">
      <c r="A644" s="565">
        <v>15</v>
      </c>
      <c r="C644" s="547" t="str">
        <f>'[5]FR-16(7)(v)-1 Functional'!C644</f>
        <v>DEFERRED INCOME TAXES - NET</v>
      </c>
      <c r="D644" s="549" t="str">
        <f>'[5]FR-16(7)(v)-1 Functional'!D644</f>
        <v>OM39</v>
      </c>
      <c r="E644" s="548"/>
      <c r="F644" s="578">
        <f>'[5]FR-16(7)(v)-14 TOTAL CLASS'!H644</f>
        <v>646280</v>
      </c>
      <c r="G644" s="570">
        <f>'[5]FR-16(7)(v)-3 PROD Demand'!H644+'[5]FR-16(7)(v)-7 TRANS Demand'!H644+'[5]FR-16(7)(v)-11 DIST Demand'!H644</f>
        <v>126302</v>
      </c>
      <c r="H644" s="571">
        <f>'[5]FR-16(7)(v)-4 PROD Energy'!H644+'[5]FR-16(7)(v)-8 TRANS Energy'!H644+'[5]FR-16(7)(v)-12 DIST Energy'!H644</f>
        <v>508398</v>
      </c>
      <c r="I644" s="572">
        <f>'[5]FR-16(7)(v)-5 PROD Cust'!H644+'[5]FR-16(7)(v)-9 TRANS Cust'!H644+'[5]FR-16(7)(v)-13 DIST Cust'!H644</f>
        <v>11580</v>
      </c>
      <c r="J644" s="569">
        <f>SUM(G644:I644)</f>
        <v>646280</v>
      </c>
      <c r="K644" s="569">
        <f>F644-J644</f>
        <v>0</v>
      </c>
    </row>
    <row r="645" spans="1:11">
      <c r="A645" s="565">
        <v>16</v>
      </c>
      <c r="C645" s="547" t="str">
        <f>'[5]FR-16(7)(v)-1 Functional'!C645</f>
        <v>RESERVED</v>
      </c>
      <c r="D645" s="549" t="str">
        <f>'[5]FR-16(7)(v)-1 Functional'!D645</f>
        <v>A357</v>
      </c>
      <c r="E645" s="548"/>
      <c r="F645" s="578">
        <f>'[5]FR-16(7)(v)-14 TOTAL CLASS'!H645</f>
        <v>0</v>
      </c>
      <c r="G645" s="570">
        <f>'[5]FR-16(7)(v)-3 PROD Demand'!H645+'[5]FR-16(7)(v)-7 TRANS Demand'!H645+'[5]FR-16(7)(v)-11 DIST Demand'!H645</f>
        <v>0</v>
      </c>
      <c r="H645" s="571">
        <f>'[5]FR-16(7)(v)-4 PROD Energy'!H645+'[5]FR-16(7)(v)-8 TRANS Energy'!H645+'[5]FR-16(7)(v)-12 DIST Energy'!H645</f>
        <v>0</v>
      </c>
      <c r="I645" s="572">
        <f>'[5]FR-16(7)(v)-5 PROD Cust'!H645+'[5]FR-16(7)(v)-9 TRANS Cust'!H645+'[5]FR-16(7)(v)-13 DIST Cust'!H645</f>
        <v>0</v>
      </c>
      <c r="J645" s="569">
        <f>SUM(G645:I645)</f>
        <v>0</v>
      </c>
      <c r="K645" s="569">
        <f>F645-J645</f>
        <v>0</v>
      </c>
    </row>
    <row r="646" spans="1:11">
      <c r="A646" s="565">
        <v>17</v>
      </c>
      <c r="C646" s="547" t="str">
        <f>'[5]FR-16(7)(v)-1 Functional'!C646</f>
        <v>DIT ADJUSTMENT - S/L DEPRECIATION</v>
      </c>
      <c r="D646" s="549" t="str">
        <f>'[5]FR-16(7)(v)-1 Functional'!D646</f>
        <v>DE49</v>
      </c>
      <c r="E646" s="548"/>
      <c r="F646" s="578">
        <f>'[5]FR-16(7)(v)-14 TOTAL CLASS'!H646</f>
        <v>0</v>
      </c>
      <c r="G646" s="570">
        <f>'[5]FR-16(7)(v)-3 PROD Demand'!H646+'[5]FR-16(7)(v)-7 TRANS Demand'!H646+'[5]FR-16(7)(v)-11 DIST Demand'!H646</f>
        <v>0</v>
      </c>
      <c r="H646" s="571">
        <f>'[5]FR-16(7)(v)-4 PROD Energy'!H646+'[5]FR-16(7)(v)-8 TRANS Energy'!H646+'[5]FR-16(7)(v)-12 DIST Energy'!H646</f>
        <v>0</v>
      </c>
      <c r="I646" s="572">
        <f>'[5]FR-16(7)(v)-5 PROD Cust'!H646+'[5]FR-16(7)(v)-9 TRANS Cust'!H646+'[5]FR-16(7)(v)-13 DIST Cust'!H646</f>
        <v>0</v>
      </c>
      <c r="J646" s="569">
        <f>SUM(G646:I646)</f>
        <v>0</v>
      </c>
      <c r="K646" s="569">
        <f>F646-J646</f>
        <v>0</v>
      </c>
    </row>
    <row r="647" spans="1:11">
      <c r="A647" s="565">
        <v>18</v>
      </c>
      <c r="C647" s="547" t="str">
        <f>'[5]FR-16(7)(v)-1 Functional'!C647</f>
        <v>DIT ADJUSTMENT - ARAM</v>
      </c>
      <c r="D647" s="549" t="str">
        <f>'[5]FR-16(7)(v)-1 Functional'!D647</f>
        <v>K201</v>
      </c>
      <c r="E647" s="548"/>
      <c r="F647" s="578">
        <f>'[5]FR-16(7)(v)-14 TOTAL CLASS'!H647</f>
        <v>-9331</v>
      </c>
      <c r="G647" s="570">
        <f>'[5]FR-16(7)(v)-3 PROD Demand'!H647+'[5]FR-16(7)(v)-7 TRANS Demand'!H647+'[5]FR-16(7)(v)-11 DIST Demand'!H647</f>
        <v>-9331</v>
      </c>
      <c r="H647" s="571">
        <f>'[5]FR-16(7)(v)-4 PROD Energy'!H647+'[5]FR-16(7)(v)-8 TRANS Energy'!H647+'[5]FR-16(7)(v)-12 DIST Energy'!H647</f>
        <v>0</v>
      </c>
      <c r="I647" s="572">
        <f>'[5]FR-16(7)(v)-5 PROD Cust'!H647+'[5]FR-16(7)(v)-9 TRANS Cust'!H647+'[5]FR-16(7)(v)-13 DIST Cust'!H647</f>
        <v>0</v>
      </c>
      <c r="J647" s="569">
        <f>SUM(G647:I647)</f>
        <v>-9331</v>
      </c>
      <c r="K647" s="569">
        <f>F647-J647</f>
        <v>0</v>
      </c>
    </row>
    <row r="648" spans="1:11">
      <c r="A648" s="565">
        <v>19</v>
      </c>
      <c r="C648" s="573" t="str">
        <f>'[5]FR-16(7)(v)-1 Functional'!C648</f>
        <v>DIT ADJUSTMENT - AMORT OF EXCESS DEF TAXES</v>
      </c>
      <c r="D648" s="549" t="str">
        <f>'[5]FR-16(7)(v)-1 Functional'!D648</f>
        <v>A357</v>
      </c>
      <c r="E648" s="548"/>
      <c r="F648" s="578">
        <f>'[5]FR-16(7)(v)-14 TOTAL CLASS'!H648</f>
        <v>-268606</v>
      </c>
      <c r="G648" s="570">
        <f>'[5]FR-16(7)(v)-3 PROD Demand'!H648+'[5]FR-16(7)(v)-7 TRANS Demand'!H648+'[5]FR-16(7)(v)-11 DIST Demand'!H648</f>
        <v>-87650</v>
      </c>
      <c r="H648" s="571">
        <f>'[5]FR-16(7)(v)-4 PROD Energy'!H648+'[5]FR-16(7)(v)-8 TRANS Energy'!H648+'[5]FR-16(7)(v)-12 DIST Energy'!H648</f>
        <v>-158324</v>
      </c>
      <c r="I648" s="572">
        <f>'[5]FR-16(7)(v)-5 PROD Cust'!H648+'[5]FR-16(7)(v)-9 TRANS Cust'!H648+'[5]FR-16(7)(v)-13 DIST Cust'!H648</f>
        <v>-22632</v>
      </c>
      <c r="J648" s="569">
        <f>SUM(G648:I648)</f>
        <v>-268606</v>
      </c>
      <c r="K648" s="569">
        <f>F648-J648</f>
        <v>0</v>
      </c>
    </row>
    <row r="649" spans="1:11">
      <c r="A649" s="565">
        <v>20</v>
      </c>
      <c r="C649" s="547" t="str">
        <f>'[5]FR-16(7)(v)-1 Functional'!C649</f>
        <v xml:space="preserve">  TOTAL FED DEF IT (410 &amp; 411)</v>
      </c>
      <c r="D649" s="549"/>
      <c r="E649" s="548"/>
      <c r="F649" s="574">
        <f t="shared" ref="F649:K649" si="128">SUM(F644:F648)</f>
        <v>368343</v>
      </c>
      <c r="G649" s="575">
        <f t="shared" si="128"/>
        <v>29321</v>
      </c>
      <c r="H649" s="576">
        <f t="shared" si="128"/>
        <v>350074</v>
      </c>
      <c r="I649" s="577">
        <f t="shared" si="128"/>
        <v>-11052</v>
      </c>
      <c r="J649" s="574">
        <f t="shared" si="128"/>
        <v>368343</v>
      </c>
      <c r="K649" s="574">
        <f t="shared" si="128"/>
        <v>0</v>
      </c>
    </row>
    <row r="650" spans="1:11">
      <c r="A650" s="565">
        <v>21</v>
      </c>
      <c r="D650" s="549"/>
      <c r="E650" s="548"/>
      <c r="G650" s="566"/>
      <c r="H650" s="567"/>
      <c r="I650" s="568"/>
    </row>
    <row r="651" spans="1:11">
      <c r="A651" s="565">
        <v>22</v>
      </c>
      <c r="B651" s="547" t="s">
        <v>1274</v>
      </c>
      <c r="D651" s="549"/>
      <c r="E651" s="548"/>
      <c r="G651" s="566"/>
      <c r="H651" s="567"/>
      <c r="I651" s="568"/>
    </row>
    <row r="652" spans="1:11">
      <c r="A652" s="565">
        <v>23</v>
      </c>
      <c r="C652" s="573" t="str">
        <f>'[5]FR-16(7)(v)-1 Functional'!C652</f>
        <v>AMORTIZE ITC</v>
      </c>
      <c r="D652" s="549" t="str">
        <f>'[5]FR-16(7)(v)-1 Functional'!D652</f>
        <v>NP29</v>
      </c>
      <c r="E652" s="548"/>
      <c r="F652" s="578">
        <f>'[5]FR-16(7)(v)-14 TOTAL CLASS'!H652</f>
        <v>0</v>
      </c>
      <c r="G652" s="570">
        <f>'[5]FR-16(7)(v)-3 PROD Demand'!H652+'[5]FR-16(7)(v)-7 TRANS Demand'!H652+'[5]FR-16(7)(v)-11 DIST Demand'!H652</f>
        <v>0</v>
      </c>
      <c r="H652" s="571">
        <f>'[5]FR-16(7)(v)-4 PROD Energy'!H652+'[5]FR-16(7)(v)-8 TRANS Energy'!H652+'[5]FR-16(7)(v)-12 DIST Energy'!H652</f>
        <v>0</v>
      </c>
      <c r="I652" s="572">
        <f>'[5]FR-16(7)(v)-5 PROD Cust'!H652+'[5]FR-16(7)(v)-9 TRANS Cust'!H652+'[5]FR-16(7)(v)-13 DIST Cust'!H652</f>
        <v>0</v>
      </c>
      <c r="J652" s="569">
        <f>SUM(G652:I652)</f>
        <v>0</v>
      </c>
      <c r="K652" s="569">
        <f>F652-J652</f>
        <v>0</v>
      </c>
    </row>
    <row r="653" spans="1:11">
      <c r="A653" s="565">
        <v>24</v>
      </c>
      <c r="C653" s="547" t="str">
        <f>'[5]FR-16(7)(v)-1 Functional'!C653</f>
        <v xml:space="preserve">  TOTAL AMORTIZED ITC</v>
      </c>
      <c r="D653" s="549"/>
      <c r="E653" s="548"/>
      <c r="F653" s="574">
        <f t="shared" ref="F653:K653" si="129">SUM(F652:F652)</f>
        <v>0</v>
      </c>
      <c r="G653" s="575">
        <f t="shared" si="129"/>
        <v>0</v>
      </c>
      <c r="H653" s="576">
        <f t="shared" si="129"/>
        <v>0</v>
      </c>
      <c r="I653" s="577">
        <f t="shared" si="129"/>
        <v>0</v>
      </c>
      <c r="J653" s="574">
        <f t="shared" si="129"/>
        <v>0</v>
      </c>
      <c r="K653" s="574">
        <f t="shared" si="129"/>
        <v>0</v>
      </c>
    </row>
    <row r="654" spans="1:11">
      <c r="A654" s="565">
        <v>25</v>
      </c>
      <c r="D654" s="549"/>
      <c r="E654" s="548"/>
      <c r="F654" s="640"/>
      <c r="G654" s="643"/>
      <c r="H654" s="644"/>
      <c r="I654" s="645"/>
      <c r="J654" s="640"/>
      <c r="K654" s="640"/>
    </row>
    <row r="655" spans="1:11" ht="15.75">
      <c r="A655" s="565">
        <v>26</v>
      </c>
      <c r="B655" s="547" t="s">
        <v>1275</v>
      </c>
      <c r="D655" s="646"/>
      <c r="E655" s="647"/>
      <c r="F655" s="640"/>
      <c r="G655" s="643"/>
      <c r="H655" s="644"/>
      <c r="I655" s="645"/>
      <c r="J655" s="640"/>
      <c r="K655" s="640"/>
    </row>
    <row r="656" spans="1:11">
      <c r="A656" s="565">
        <v>27</v>
      </c>
      <c r="C656" s="547" t="str">
        <f>'[5]FR-16(7)(v)-1 Functional'!C656</f>
        <v>FUEL TAX CREDIT</v>
      </c>
      <c r="D656" s="549" t="str">
        <f>'[5]FR-16(7)(v)-1 Functional'!D656</f>
        <v>K301</v>
      </c>
      <c r="F656" s="578">
        <f>'[5]FR-16(7)(v)-14 TOTAL CLASS'!H656</f>
        <v>0</v>
      </c>
      <c r="G656" s="570">
        <f>'[5]FR-16(7)(v)-3 PROD Demand'!H656+'[5]FR-16(7)(v)-7 TRANS Demand'!H656+'[5]FR-16(7)(v)-11 DIST Demand'!H656</f>
        <v>0</v>
      </c>
      <c r="H656" s="571">
        <f>'[5]FR-16(7)(v)-4 PROD Energy'!H656+'[5]FR-16(7)(v)-8 TRANS Energy'!H656+'[5]FR-16(7)(v)-12 DIST Energy'!H656</f>
        <v>0</v>
      </c>
      <c r="I656" s="572">
        <f>'[5]FR-16(7)(v)-5 PROD Cust'!H656+'[5]FR-16(7)(v)-9 TRANS Cust'!H656+'[5]FR-16(7)(v)-13 DIST Cust'!H656</f>
        <v>0</v>
      </c>
      <c r="J656" s="569">
        <f>SUM(G656:I656)</f>
        <v>0</v>
      </c>
      <c r="K656" s="569">
        <f>F656-J656</f>
        <v>0</v>
      </c>
    </row>
    <row r="657" spans="1:11">
      <c r="A657" s="565">
        <v>28</v>
      </c>
      <c r="C657" s="573" t="str">
        <f>'[5]FR-16(7)(v)-1 Functional'!C657</f>
        <v>R&amp;D CREDIT - SECTION 41</v>
      </c>
      <c r="D657" s="549" t="str">
        <f>'[5]FR-16(7)(v)-1 Functional'!D657</f>
        <v>A315</v>
      </c>
      <c r="F657" s="578">
        <f>'[5]FR-16(7)(v)-14 TOTAL CLASS'!H657</f>
        <v>0</v>
      </c>
      <c r="G657" s="570">
        <f>'[5]FR-16(7)(v)-3 PROD Demand'!H657+'[5]FR-16(7)(v)-7 TRANS Demand'!H657+'[5]FR-16(7)(v)-11 DIST Demand'!H657</f>
        <v>0</v>
      </c>
      <c r="H657" s="571">
        <f>'[5]FR-16(7)(v)-4 PROD Energy'!H657+'[5]FR-16(7)(v)-8 TRANS Energy'!H657+'[5]FR-16(7)(v)-12 DIST Energy'!H657</f>
        <v>0</v>
      </c>
      <c r="I657" s="572">
        <f>'[5]FR-16(7)(v)-5 PROD Cust'!H657+'[5]FR-16(7)(v)-9 TRANS Cust'!H657+'[5]FR-16(7)(v)-13 DIST Cust'!H657</f>
        <v>0</v>
      </c>
      <c r="J657" s="569">
        <f>SUM(G657:I657)</f>
        <v>0</v>
      </c>
      <c r="K657" s="569">
        <f>F657-J657</f>
        <v>0</v>
      </c>
    </row>
    <row r="658" spans="1:11" ht="15.75">
      <c r="A658" s="565">
        <v>29</v>
      </c>
      <c r="C658" s="547" t="str">
        <f>'[5]FR-16(7)(v)-1 Functional'!C658</f>
        <v xml:space="preserve">  TOTAL OTHER FEDERAL TAX CREDITS</v>
      </c>
      <c r="D658" s="646"/>
      <c r="E658" s="647"/>
      <c r="F658" s="574">
        <f t="shared" ref="F658:K658" si="130">SUM(F656:F657)</f>
        <v>0</v>
      </c>
      <c r="G658" s="575">
        <f t="shared" si="130"/>
        <v>0</v>
      </c>
      <c r="H658" s="576">
        <f t="shared" si="130"/>
        <v>0</v>
      </c>
      <c r="I658" s="577">
        <f t="shared" si="130"/>
        <v>0</v>
      </c>
      <c r="J658" s="574">
        <f t="shared" si="130"/>
        <v>0</v>
      </c>
      <c r="K658" s="574">
        <f t="shared" si="130"/>
        <v>0</v>
      </c>
    </row>
    <row r="659" spans="1:11" ht="15.75">
      <c r="A659" s="565">
        <v>30</v>
      </c>
      <c r="B659" s="648"/>
      <c r="C659" s="648"/>
      <c r="D659" s="646"/>
      <c r="E659" s="647"/>
      <c r="F659" s="640"/>
      <c r="G659" s="643"/>
      <c r="H659" s="644"/>
      <c r="I659" s="645"/>
      <c r="J659" s="640"/>
      <c r="K659" s="640"/>
    </row>
    <row r="660" spans="1:11" ht="15.75">
      <c r="A660" s="565">
        <v>31</v>
      </c>
      <c r="B660" s="547" t="s">
        <v>1238</v>
      </c>
      <c r="C660" s="648"/>
      <c r="D660" s="646"/>
      <c r="E660" s="647"/>
      <c r="F660" s="640"/>
      <c r="G660" s="643"/>
      <c r="H660" s="644"/>
      <c r="I660" s="645"/>
      <c r="J660" s="640"/>
      <c r="K660" s="640"/>
    </row>
    <row r="661" spans="1:11">
      <c r="A661" s="565">
        <v>32</v>
      </c>
      <c r="C661" s="547" t="str">
        <f>'[5]FR-16(7)(v)-1 Functional'!C661</f>
        <v>TOTAL FED DEF IT (410 &amp; 411)</v>
      </c>
      <c r="D661" s="549"/>
      <c r="E661" s="548"/>
      <c r="F661" s="578">
        <f t="shared" ref="F661:K661" si="131">F649</f>
        <v>368343</v>
      </c>
      <c r="G661" s="570">
        <f t="shared" si="131"/>
        <v>29321</v>
      </c>
      <c r="H661" s="571">
        <f t="shared" si="131"/>
        <v>350074</v>
      </c>
      <c r="I661" s="572">
        <f t="shared" si="131"/>
        <v>-11052</v>
      </c>
      <c r="J661" s="569">
        <f t="shared" si="131"/>
        <v>368343</v>
      </c>
      <c r="K661" s="569">
        <f t="shared" si="131"/>
        <v>0</v>
      </c>
    </row>
    <row r="662" spans="1:11">
      <c r="A662" s="565">
        <v>33</v>
      </c>
      <c r="C662" s="573" t="str">
        <f>'[5]FR-16(7)(v)-1 Functional'!C662</f>
        <v>TOTAL AMORTIZED ITC &amp; OTHER FEDERAL TAX CREDITS</v>
      </c>
      <c r="D662" s="549"/>
      <c r="E662" s="548"/>
      <c r="F662" s="578">
        <f t="shared" ref="F662:K662" si="132">-F653-F658</f>
        <v>0</v>
      </c>
      <c r="G662" s="570">
        <f t="shared" si="132"/>
        <v>0</v>
      </c>
      <c r="H662" s="571">
        <f t="shared" si="132"/>
        <v>0</v>
      </c>
      <c r="I662" s="572">
        <f t="shared" si="132"/>
        <v>0</v>
      </c>
      <c r="J662" s="569">
        <f t="shared" si="132"/>
        <v>0</v>
      </c>
      <c r="K662" s="569">
        <f t="shared" si="132"/>
        <v>0</v>
      </c>
    </row>
    <row r="663" spans="1:11">
      <c r="A663" s="565">
        <v>34</v>
      </c>
      <c r="C663" s="547" t="str">
        <f>'[5]FR-16(7)(v)-1 Functional'!C663</f>
        <v xml:space="preserve">  TOTAL FEDERAL TAX ADJUSTMENTS</v>
      </c>
      <c r="D663" s="549"/>
      <c r="E663" s="548"/>
      <c r="F663" s="574">
        <f t="shared" ref="F663:K663" si="133">SUM(F661:F662)</f>
        <v>368343</v>
      </c>
      <c r="G663" s="575">
        <f t="shared" si="133"/>
        <v>29321</v>
      </c>
      <c r="H663" s="576">
        <f t="shared" si="133"/>
        <v>350074</v>
      </c>
      <c r="I663" s="577">
        <f t="shared" si="133"/>
        <v>-11052</v>
      </c>
      <c r="J663" s="574">
        <f t="shared" si="133"/>
        <v>368343</v>
      </c>
      <c r="K663" s="574">
        <f t="shared" si="133"/>
        <v>0</v>
      </c>
    </row>
    <row r="664" spans="1:11">
      <c r="A664" s="565">
        <v>35</v>
      </c>
      <c r="D664" s="549"/>
      <c r="E664" s="548"/>
      <c r="G664" s="566"/>
      <c r="H664" s="567"/>
      <c r="I664" s="568"/>
    </row>
    <row r="665" spans="1:11">
      <c r="A665" s="565">
        <v>36</v>
      </c>
      <c r="B665" s="547" t="s">
        <v>1276</v>
      </c>
      <c r="D665" s="549"/>
      <c r="E665" s="548"/>
      <c r="G665" s="566"/>
      <c r="H665" s="567"/>
      <c r="I665" s="568"/>
    </row>
    <row r="666" spans="1:11">
      <c r="A666" s="565">
        <v>37</v>
      </c>
      <c r="C666" s="547" t="s">
        <v>1175</v>
      </c>
      <c r="D666" s="549"/>
      <c r="E666" s="548"/>
      <c r="F666" s="569">
        <f>F433</f>
        <v>28556116</v>
      </c>
      <c r="G666" s="570">
        <f>G433</f>
        <v>26725620</v>
      </c>
      <c r="H666" s="571">
        <f>H433</f>
        <v>1092274</v>
      </c>
      <c r="I666" s="572">
        <f>I433</f>
        <v>738222</v>
      </c>
      <c r="J666" s="569">
        <f>J433</f>
        <v>28556116</v>
      </c>
      <c r="K666" s="569">
        <f>F666-J666</f>
        <v>0</v>
      </c>
    </row>
    <row r="667" spans="1:11">
      <c r="A667" s="565">
        <v>38</v>
      </c>
      <c r="C667" s="547" t="str">
        <f>'[5]FR-16(7)(v)-1 Functional'!C667</f>
        <v>NET DEDUCTIONS AND ADDITIONS</v>
      </c>
      <c r="D667" s="549"/>
      <c r="E667" s="548"/>
      <c r="F667" s="569">
        <f>-F641</f>
        <v>-11579801</v>
      </c>
      <c r="G667" s="570">
        <f>-G641</f>
        <v>-10901822</v>
      </c>
      <c r="H667" s="571">
        <f>-H641</f>
        <v>-412160</v>
      </c>
      <c r="I667" s="572">
        <f>-I641</f>
        <v>-265819</v>
      </c>
      <c r="J667" s="569">
        <f>-J641</f>
        <v>-11579801</v>
      </c>
      <c r="K667" s="569">
        <f>F667-J667</f>
        <v>0</v>
      </c>
    </row>
    <row r="668" spans="1:11">
      <c r="A668" s="565">
        <v>39</v>
      </c>
      <c r="C668" s="547" t="str">
        <f>'[5]FR-16(7)(v)-1 Functional'!C668</f>
        <v>TOTAL FEDERAL TAX ADJUSTMENTS</v>
      </c>
      <c r="D668" s="549"/>
      <c r="E668" s="548"/>
      <c r="F668" s="569">
        <f>F663</f>
        <v>368343</v>
      </c>
      <c r="G668" s="570">
        <f>G663</f>
        <v>29321</v>
      </c>
      <c r="H668" s="571">
        <f>H663</f>
        <v>350074</v>
      </c>
      <c r="I668" s="572">
        <f>I663</f>
        <v>-11052</v>
      </c>
      <c r="J668" s="569">
        <f>J663</f>
        <v>368343</v>
      </c>
      <c r="K668" s="569">
        <f>F668-J668</f>
        <v>0</v>
      </c>
    </row>
    <row r="669" spans="1:11">
      <c r="A669" s="565">
        <v>40</v>
      </c>
      <c r="C669" s="547" t="s">
        <v>1277</v>
      </c>
      <c r="D669" s="549"/>
      <c r="E669" s="548"/>
      <c r="F669" s="569">
        <f>F707</f>
        <v>136310</v>
      </c>
      <c r="G669" s="570">
        <f>G707</f>
        <v>44480</v>
      </c>
      <c r="H669" s="571">
        <f>H707</f>
        <v>80345</v>
      </c>
      <c r="I669" s="572">
        <f>I707</f>
        <v>11485</v>
      </c>
      <c r="J669" s="569">
        <f>J707</f>
        <v>136310</v>
      </c>
      <c r="K669" s="569">
        <f>F669-J669</f>
        <v>0</v>
      </c>
    </row>
    <row r="670" spans="1:11">
      <c r="A670" s="565">
        <v>41</v>
      </c>
      <c r="C670" s="547" t="s">
        <v>1174</v>
      </c>
      <c r="D670" s="549"/>
      <c r="E670" s="548"/>
      <c r="F670" s="569">
        <f>F24</f>
        <v>0</v>
      </c>
      <c r="G670" s="570">
        <f>G24</f>
        <v>0</v>
      </c>
      <c r="H670" s="571">
        <f>H24</f>
        <v>0</v>
      </c>
      <c r="I670" s="572">
        <f>I24</f>
        <v>0</v>
      </c>
      <c r="J670" s="569">
        <f>J24</f>
        <v>0</v>
      </c>
      <c r="K670" s="569">
        <f>F670-J670</f>
        <v>0</v>
      </c>
    </row>
    <row r="671" spans="1:11">
      <c r="A671" s="565">
        <v>42</v>
      </c>
      <c r="C671" s="617" t="str">
        <f>'[5]FR-16(7)(v)-1 Functional'!C671</f>
        <v xml:space="preserve">  BASE FOR FIT COMPUATION</v>
      </c>
      <c r="D671" s="549"/>
      <c r="E671" s="548"/>
      <c r="F671" s="574">
        <f t="shared" ref="F671:K671" si="134">SUM(F666:F670)</f>
        <v>17480968</v>
      </c>
      <c r="G671" s="575">
        <f t="shared" si="134"/>
        <v>15897599</v>
      </c>
      <c r="H671" s="576">
        <f t="shared" si="134"/>
        <v>1110533</v>
      </c>
      <c r="I671" s="577">
        <f t="shared" si="134"/>
        <v>472836</v>
      </c>
      <c r="J671" s="574">
        <f t="shared" si="134"/>
        <v>17480968</v>
      </c>
      <c r="K671" s="574">
        <f t="shared" si="134"/>
        <v>0</v>
      </c>
    </row>
    <row r="672" spans="1:11">
      <c r="A672" s="565">
        <v>43</v>
      </c>
      <c r="D672" s="549"/>
      <c r="E672" s="548"/>
      <c r="G672" s="566"/>
      <c r="H672" s="567"/>
      <c r="I672" s="568"/>
    </row>
    <row r="673" spans="1:11">
      <c r="A673" s="565">
        <v>44</v>
      </c>
      <c r="C673" s="547" t="str">
        <f>'[5]FR-16(7)(v)-1 Functional'!C673</f>
        <v>FIT FACTOR K190/(1-K190)</v>
      </c>
      <c r="D673" s="549"/>
      <c r="E673" s="548"/>
      <c r="F673" s="628">
        <f>ROUND(FIT/(1-FIT),9)</f>
        <v>0.26582278500000001</v>
      </c>
      <c r="G673" s="649">
        <f>ROUND(FIT/(1-FIT),9)</f>
        <v>0.26582278500000001</v>
      </c>
      <c r="H673" s="650">
        <f>ROUND(FIT/(1-FIT),9)</f>
        <v>0.26582278500000001</v>
      </c>
      <c r="I673" s="651">
        <f>ROUND(FIT/(1-FIT),9)</f>
        <v>0.26582278500000001</v>
      </c>
      <c r="J673" s="628"/>
      <c r="K673" s="628">
        <f>ROUND(FIT/(1-FIT),9)</f>
        <v>0.26582278500000001</v>
      </c>
    </row>
    <row r="674" spans="1:11">
      <c r="A674" s="565">
        <v>45</v>
      </c>
      <c r="C674" s="547" t="str">
        <f>'[5]FR-16(7)(v)-1 Functional'!C674</f>
        <v>PRELIM FED INCOME TAX</v>
      </c>
      <c r="D674" s="549"/>
      <c r="E674" s="548"/>
      <c r="F674" s="578">
        <f>'[5]FR-16(7)(v)-14 TOTAL CLASS'!H674</f>
        <v>4646840</v>
      </c>
      <c r="G674" s="570">
        <f>F674-SUM(H674:I674)</f>
        <v>4225945</v>
      </c>
      <c r="H674" s="571">
        <f>'[5]FR-16(7)(v)-4 PROD Energy'!H674+'[5]FR-16(7)(v)-8 TRANS Energy'!H674+'[5]FR-16(7)(v)-12 DIST Energy'!H674</f>
        <v>295205</v>
      </c>
      <c r="I674" s="572">
        <f>'[5]FR-16(7)(v)-5 PROD Cust'!H674+'[5]FR-16(7)(v)-9 TRANS Cust'!H674+'[5]FR-16(7)(v)-13 DIST Cust'!H674</f>
        <v>125690</v>
      </c>
      <c r="J674" s="569">
        <f>SUM(G674:I674)</f>
        <v>4646840</v>
      </c>
      <c r="K674" s="569">
        <f>F674-J674</f>
        <v>0</v>
      </c>
    </row>
    <row r="675" spans="1:11">
      <c r="A675" s="565">
        <v>46</v>
      </c>
      <c r="C675" s="573" t="str">
        <f>'[5]FR-16(7)(v)-1 Functional'!C675</f>
        <v>TOTAL FEDERAL TAX ADJUSTMENTS</v>
      </c>
      <c r="D675" s="549"/>
      <c r="E675" s="548"/>
      <c r="F675" s="569">
        <f>F663</f>
        <v>368343</v>
      </c>
      <c r="G675" s="570">
        <f>G663</f>
        <v>29321</v>
      </c>
      <c r="H675" s="571">
        <f>H663</f>
        <v>350074</v>
      </c>
      <c r="I675" s="572">
        <f>I663</f>
        <v>-11052</v>
      </c>
      <c r="J675" s="569">
        <f>J663</f>
        <v>368343</v>
      </c>
      <c r="K675" s="569">
        <f>F675-J675</f>
        <v>0</v>
      </c>
    </row>
    <row r="676" spans="1:11">
      <c r="A676" s="565">
        <v>47</v>
      </c>
      <c r="C676" s="547" t="str">
        <f>'[5]FR-16(7)(v)-1 Functional'!C676</f>
        <v xml:space="preserve">  NET FED INCOME TAX ALLOWABLE</v>
      </c>
      <c r="D676" s="549"/>
      <c r="E676" s="548"/>
      <c r="F676" s="574">
        <f t="shared" ref="F676:K676" si="135">SUM(F674:F675)</f>
        <v>5015183</v>
      </c>
      <c r="G676" s="575">
        <f t="shared" si="135"/>
        <v>4255266</v>
      </c>
      <c r="H676" s="576">
        <f t="shared" si="135"/>
        <v>645279</v>
      </c>
      <c r="I676" s="577">
        <f t="shared" si="135"/>
        <v>114638</v>
      </c>
      <c r="J676" s="574">
        <f t="shared" si="135"/>
        <v>5015183</v>
      </c>
      <c r="K676" s="574">
        <f t="shared" si="135"/>
        <v>0</v>
      </c>
    </row>
    <row r="677" spans="1:11">
      <c r="A677" s="565">
        <v>48</v>
      </c>
      <c r="D677" s="549"/>
      <c r="E677" s="548"/>
      <c r="G677" s="566"/>
      <c r="H677" s="567"/>
      <c r="I677" s="568"/>
    </row>
    <row r="678" spans="1:11">
      <c r="A678" s="565">
        <v>49</v>
      </c>
      <c r="B678" s="547" t="s">
        <v>1278</v>
      </c>
      <c r="D678" s="549"/>
      <c r="E678" s="548"/>
      <c r="G678" s="566"/>
      <c r="H678" s="567"/>
      <c r="I678" s="568"/>
    </row>
    <row r="679" spans="1:11">
      <c r="A679" s="565">
        <v>50</v>
      </c>
      <c r="B679" s="547" t="s">
        <v>1279</v>
      </c>
      <c r="D679" s="549"/>
      <c r="E679" s="548"/>
      <c r="G679" s="566"/>
      <c r="H679" s="567"/>
      <c r="I679" s="568"/>
    </row>
    <row r="680" spans="1:11">
      <c r="A680" s="565">
        <v>51</v>
      </c>
      <c r="C680" s="547" t="str">
        <f>'[5]FR-16(7)(v)-1 Functional'!C680</f>
        <v>PRELIM FEDERAL INCOME TAX</v>
      </c>
      <c r="D680" s="549"/>
      <c r="E680" s="548"/>
      <c r="F680" s="569">
        <f t="shared" ref="F680:K680" si="136">F674</f>
        <v>4646840</v>
      </c>
      <c r="G680" s="570">
        <f t="shared" si="136"/>
        <v>4225945</v>
      </c>
      <c r="H680" s="571">
        <f t="shared" si="136"/>
        <v>295205</v>
      </c>
      <c r="I680" s="572">
        <f t="shared" si="136"/>
        <v>125690</v>
      </c>
      <c r="J680" s="569">
        <f t="shared" si="136"/>
        <v>4646840</v>
      </c>
      <c r="K680" s="569">
        <f t="shared" si="136"/>
        <v>0</v>
      </c>
    </row>
    <row r="681" spans="1:11">
      <c r="A681" s="565">
        <v>53</v>
      </c>
      <c r="C681" s="617" t="str">
        <f>'[5]FR-16(7)(v)-1 Functional'!C681</f>
        <v xml:space="preserve">  NET FED INCOME TAX PAYABLE</v>
      </c>
      <c r="D681" s="549"/>
      <c r="E681" s="548"/>
      <c r="F681" s="574">
        <f t="shared" ref="F681:K681" si="137">SUM(F680:F680)</f>
        <v>4646840</v>
      </c>
      <c r="G681" s="579">
        <f t="shared" si="137"/>
        <v>4225945</v>
      </c>
      <c r="H681" s="580">
        <f t="shared" si="137"/>
        <v>295205</v>
      </c>
      <c r="I681" s="581">
        <f t="shared" si="137"/>
        <v>125690</v>
      </c>
      <c r="J681" s="574">
        <f t="shared" si="137"/>
        <v>4646840</v>
      </c>
      <c r="K681" s="574">
        <f t="shared" si="137"/>
        <v>0</v>
      </c>
    </row>
    <row r="682" spans="1:11">
      <c r="A682" s="565"/>
      <c r="D682" s="549"/>
      <c r="E682" s="548"/>
    </row>
    <row r="683" spans="1:11">
      <c r="A683" s="546" t="str">
        <f>co_name</f>
        <v>DUKE ENERGY KENTUCKY, INC.</v>
      </c>
      <c r="B683" s="546"/>
      <c r="C683" s="548"/>
      <c r="D683" s="549"/>
      <c r="E683" s="548"/>
      <c r="F683" s="548"/>
      <c r="G683" s="548"/>
      <c r="H683" s="548"/>
      <c r="I683" s="548"/>
      <c r="J683" s="548" t="str">
        <f>J1</f>
        <v>FR-16(7)(v)-16</v>
      </c>
      <c r="K683" s="548"/>
    </row>
    <row r="684" spans="1:11">
      <c r="A684" s="546" t="str">
        <f>$A$2</f>
        <v>DISTR. SEC. CLASSIFIED - ELECTRIC COST OF SERVICE</v>
      </c>
      <c r="B684" s="546"/>
      <c r="C684" s="548"/>
      <c r="D684" s="549"/>
      <c r="E684" s="548"/>
      <c r="F684" s="548"/>
      <c r="G684" s="548"/>
      <c r="H684" s="548"/>
      <c r="I684" s="548"/>
      <c r="J684" s="548" t="str">
        <f>J2</f>
        <v>WITNESS RESPONSIBLE:</v>
      </c>
      <c r="K684" s="548"/>
    </row>
    <row r="685" spans="1:11">
      <c r="A685" s="546" t="str">
        <f>case_name</f>
        <v>CASE NO: 2024-00354</v>
      </c>
      <c r="B685" s="546"/>
      <c r="C685" s="548"/>
      <c r="D685" s="549"/>
      <c r="E685" s="548"/>
      <c r="F685" s="548"/>
      <c r="G685" s="548"/>
      <c r="H685" s="548"/>
      <c r="I685" s="548"/>
      <c r="J685" s="548" t="str">
        <f>Witness</f>
        <v>JAMES E. ZIOLKOWSKI</v>
      </c>
      <c r="K685" s="548"/>
    </row>
    <row r="686" spans="1:11">
      <c r="A686" s="546" t="str">
        <f>data_filing</f>
        <v>DATA: 12 MONTHS ACTUAL  &amp; 0 MONTHS ESTIMATED</v>
      </c>
      <c r="B686" s="546"/>
      <c r="C686" s="548"/>
      <c r="D686" s="549"/>
      <c r="E686" s="548"/>
      <c r="F686" s="548"/>
      <c r="G686" s="548"/>
      <c r="H686" s="548"/>
      <c r="I686" s="548"/>
      <c r="J686" s="548" t="str">
        <f>"PAGE "&amp;Pages2-2&amp;" OF "&amp;Pages2</f>
        <v>PAGE 13 OF 15</v>
      </c>
      <c r="K686" s="548"/>
    </row>
    <row r="687" spans="1:11">
      <c r="A687" s="546" t="str">
        <f>type</f>
        <v xml:space="preserve">TYPE OF FILING: "X" ORIGINAL   UPDATED    REVISED  </v>
      </c>
      <c r="B687" s="546"/>
      <c r="C687" s="548"/>
      <c r="D687" s="549"/>
      <c r="E687" s="548"/>
      <c r="F687" s="548"/>
      <c r="G687" s="548"/>
      <c r="H687" s="548"/>
      <c r="I687" s="548"/>
      <c r="J687" s="548"/>
      <c r="K687" s="548"/>
    </row>
    <row r="688" spans="1:11">
      <c r="B688" s="546"/>
      <c r="C688" s="548"/>
      <c r="D688" s="549"/>
      <c r="E688" s="548"/>
      <c r="F688" s="548"/>
      <c r="G688" s="548"/>
      <c r="H688" s="548"/>
      <c r="I688" s="548"/>
      <c r="J688" s="548"/>
      <c r="K688" s="548"/>
    </row>
    <row r="689" spans="1:11">
      <c r="B689" s="546"/>
      <c r="C689" s="548"/>
      <c r="D689" s="549"/>
      <c r="E689" s="548"/>
      <c r="F689" s="548"/>
      <c r="G689" s="548"/>
      <c r="H689" s="548"/>
      <c r="I689" s="548"/>
      <c r="J689" s="548"/>
      <c r="K689" s="548"/>
    </row>
    <row r="690" spans="1:11">
      <c r="A690" s="549" t="s">
        <v>17</v>
      </c>
      <c r="B690" s="587"/>
      <c r="C690" s="590"/>
      <c r="D690" s="590"/>
      <c r="E690" s="548"/>
      <c r="F690" s="549" t="s">
        <v>11</v>
      </c>
      <c r="G690" s="552" t="s">
        <v>1162</v>
      </c>
      <c r="H690" s="553"/>
      <c r="I690" s="554"/>
      <c r="J690" s="549" t="s">
        <v>11</v>
      </c>
      <c r="K690" s="549" t="s">
        <v>1163</v>
      </c>
    </row>
    <row r="691" spans="1:11">
      <c r="A691" s="555" t="s">
        <v>1164</v>
      </c>
      <c r="B691" s="652" t="s">
        <v>1280</v>
      </c>
      <c r="C691" s="653"/>
      <c r="D691" s="654" t="s">
        <v>1281</v>
      </c>
      <c r="E691" s="556"/>
      <c r="F691" s="555" t="s">
        <v>1282</v>
      </c>
      <c r="G691" s="611" t="str">
        <f>$G$9</f>
        <v>DEMAND</v>
      </c>
      <c r="H691" s="612" t="str">
        <f>$H$9</f>
        <v>ENERGY</v>
      </c>
      <c r="I691" s="613" t="str">
        <f>$I$9</f>
        <v>CUSTOMER</v>
      </c>
      <c r="J691" s="555" t="s">
        <v>1169</v>
      </c>
      <c r="K691" s="555" t="s">
        <v>543</v>
      </c>
    </row>
    <row r="692" spans="1:11" ht="15">
      <c r="A692" s="655"/>
      <c r="B692" s="656"/>
      <c r="C692" s="657" t="s">
        <v>1283</v>
      </c>
      <c r="D692" s="655"/>
      <c r="E692" s="548"/>
      <c r="G692" s="658">
        <f>$G$10</f>
        <v>3</v>
      </c>
      <c r="H692" s="659">
        <f>$H$10</f>
        <v>4</v>
      </c>
      <c r="I692" s="660">
        <f>$I$10</f>
        <v>5</v>
      </c>
    </row>
    <row r="693" spans="1:11">
      <c r="A693" s="661">
        <v>1</v>
      </c>
      <c r="B693" s="662" t="s">
        <v>1284</v>
      </c>
      <c r="C693" s="587"/>
      <c r="D693" s="587"/>
      <c r="E693" s="548"/>
      <c r="F693" s="548"/>
      <c r="G693" s="663"/>
      <c r="H693" s="664"/>
      <c r="I693" s="665"/>
      <c r="J693" s="548"/>
      <c r="K693" s="548"/>
    </row>
    <row r="694" spans="1:11">
      <c r="A694" s="661">
        <v>2</v>
      </c>
      <c r="B694" s="666" t="s">
        <v>1285</v>
      </c>
      <c r="C694" s="587"/>
      <c r="D694" s="549" t="str">
        <f>'[5]FR-16(7)(v)-1 Functional'!D694</f>
        <v>NP29</v>
      </c>
      <c r="E694" s="548"/>
      <c r="F694" s="578">
        <f>'[5]FR-16(7)(v)-14 TOTAL CLASS'!H694</f>
        <v>3247573</v>
      </c>
      <c r="G694" s="570">
        <f>'[5]FR-16(7)(v)-3 PROD Demand'!H694+'[5]FR-16(7)(v)-7 TRANS Demand'!H694+'[5]FR-16(7)(v)-11 DIST Demand'!H694</f>
        <v>3108933</v>
      </c>
      <c r="H694" s="571">
        <f>'[5]FR-16(7)(v)-4 PROD Energy'!H694+'[5]FR-16(7)(v)-8 TRANS Energy'!H694+'[5]FR-16(7)(v)-12 DIST Energy'!H694</f>
        <v>58485</v>
      </c>
      <c r="I694" s="572">
        <f>'[5]FR-16(7)(v)-5 PROD Cust'!H694+'[5]FR-16(7)(v)-9 TRANS Cust'!H694+'[5]FR-16(7)(v)-13 DIST Cust'!H694</f>
        <v>80155</v>
      </c>
      <c r="J694" s="569">
        <f>SUM(G694:I694)</f>
        <v>3247573</v>
      </c>
      <c r="K694" s="569">
        <f>F694-J694</f>
        <v>0</v>
      </c>
    </row>
    <row r="695" spans="1:11">
      <c r="A695" s="661">
        <v>3</v>
      </c>
      <c r="B695" s="666" t="s">
        <v>1286</v>
      </c>
      <c r="C695" s="667"/>
      <c r="D695" s="549" t="str">
        <f>'[5]FR-16(7)(v)-1 Functional'!D695</f>
        <v>NP29</v>
      </c>
      <c r="E695" s="548"/>
      <c r="F695" s="578">
        <f>'[5]FR-16(7)(v)-14 TOTAL CLASS'!H695</f>
        <v>0</v>
      </c>
      <c r="G695" s="570">
        <f>'[5]FR-16(7)(v)-3 PROD Demand'!H695+'[5]FR-16(7)(v)-7 TRANS Demand'!H695+'[5]FR-16(7)(v)-11 DIST Demand'!H695</f>
        <v>0</v>
      </c>
      <c r="H695" s="571">
        <f>'[5]FR-16(7)(v)-4 PROD Energy'!H695+'[5]FR-16(7)(v)-8 TRANS Energy'!H695+'[5]FR-16(7)(v)-12 DIST Energy'!H695</f>
        <v>0</v>
      </c>
      <c r="I695" s="572">
        <f>'[5]FR-16(7)(v)-5 PROD Cust'!H695+'[5]FR-16(7)(v)-9 TRANS Cust'!H695+'[5]FR-16(7)(v)-13 DIST Cust'!H695</f>
        <v>0</v>
      </c>
      <c r="J695" s="584">
        <f>SUM(G695:I695)</f>
        <v>0</v>
      </c>
      <c r="K695" s="584">
        <f>F695-J695</f>
        <v>0</v>
      </c>
    </row>
    <row r="696" spans="1:11">
      <c r="A696" s="661">
        <v>4</v>
      </c>
      <c r="B696" s="668" t="s">
        <v>1287</v>
      </c>
      <c r="C696" s="587"/>
      <c r="D696" s="669"/>
      <c r="E696" s="548"/>
      <c r="F696" s="670">
        <f t="shared" ref="F696:K696" si="138">SUM(F694:F695)</f>
        <v>3247573</v>
      </c>
      <c r="G696" s="625">
        <f t="shared" si="138"/>
        <v>3108933</v>
      </c>
      <c r="H696" s="626">
        <f t="shared" si="138"/>
        <v>58485</v>
      </c>
      <c r="I696" s="627">
        <f t="shared" si="138"/>
        <v>80155</v>
      </c>
      <c r="J696" s="569">
        <f t="shared" si="138"/>
        <v>3247573</v>
      </c>
      <c r="K696" s="569">
        <f t="shared" si="138"/>
        <v>0</v>
      </c>
    </row>
    <row r="697" spans="1:11" ht="15.75">
      <c r="A697" s="661">
        <v>5</v>
      </c>
      <c r="B697" s="655"/>
      <c r="C697" s="655"/>
      <c r="D697" s="671"/>
      <c r="E697" s="548"/>
      <c r="G697" s="566"/>
      <c r="H697" s="567"/>
      <c r="I697" s="568"/>
    </row>
    <row r="698" spans="1:11">
      <c r="A698" s="661">
        <v>6</v>
      </c>
      <c r="B698" s="672" t="s">
        <v>1288</v>
      </c>
      <c r="C698" s="587"/>
      <c r="D698" s="669"/>
      <c r="E698" s="548"/>
      <c r="G698" s="566"/>
      <c r="H698" s="567"/>
      <c r="I698" s="568"/>
    </row>
    <row r="699" spans="1:11">
      <c r="A699" s="661">
        <v>7</v>
      </c>
      <c r="B699" s="662" t="s">
        <v>1289</v>
      </c>
      <c r="C699" s="587"/>
      <c r="D699" s="669"/>
      <c r="E699" s="548"/>
      <c r="G699" s="566"/>
      <c r="H699" s="567"/>
      <c r="I699" s="568"/>
    </row>
    <row r="700" spans="1:11">
      <c r="A700" s="661">
        <v>8</v>
      </c>
      <c r="B700" s="673" t="s">
        <v>1290</v>
      </c>
      <c r="C700" s="667"/>
      <c r="D700" s="549" t="str">
        <f>'[5]FR-16(7)(v)-1 Functional'!D700</f>
        <v>A357</v>
      </c>
      <c r="E700" s="548"/>
      <c r="F700" s="578">
        <f>'[5]FR-16(7)(v)-14 TOTAL CLASS'!H700</f>
        <v>136310</v>
      </c>
      <c r="G700" s="570">
        <f>'[5]FR-16(7)(v)-3 PROD Demand'!H700+'[5]FR-16(7)(v)-7 TRANS Demand'!H700+'[5]FR-16(7)(v)-11 DIST Demand'!H700</f>
        <v>44480</v>
      </c>
      <c r="H700" s="571">
        <f>'[5]FR-16(7)(v)-4 PROD Energy'!H700+'[5]FR-16(7)(v)-8 TRANS Energy'!H700+'[5]FR-16(7)(v)-12 DIST Energy'!H700</f>
        <v>80345</v>
      </c>
      <c r="I700" s="572">
        <f>'[5]FR-16(7)(v)-5 PROD Cust'!H700+'[5]FR-16(7)(v)-9 TRANS Cust'!H700+'[5]FR-16(7)(v)-13 DIST Cust'!H700</f>
        <v>11485</v>
      </c>
      <c r="J700" s="584">
        <f>SUM(G700:I700)</f>
        <v>136310</v>
      </c>
      <c r="K700" s="584">
        <f>F700-J700</f>
        <v>0</v>
      </c>
    </row>
    <row r="701" spans="1:11">
      <c r="A701" s="661">
        <v>9</v>
      </c>
      <c r="B701" s="668" t="s">
        <v>1291</v>
      </c>
      <c r="C701" s="587"/>
      <c r="D701" s="669"/>
      <c r="E701" s="548"/>
      <c r="F701" s="670">
        <f t="shared" ref="F701:K701" si="139">SUM(F700)</f>
        <v>136310</v>
      </c>
      <c r="G701" s="625">
        <f t="shared" si="139"/>
        <v>44480</v>
      </c>
      <c r="H701" s="674">
        <f t="shared" si="139"/>
        <v>80345</v>
      </c>
      <c r="I701" s="627">
        <f t="shared" si="139"/>
        <v>11485</v>
      </c>
      <c r="J701" s="569">
        <f t="shared" si="139"/>
        <v>136310</v>
      </c>
      <c r="K701" s="569">
        <f t="shared" si="139"/>
        <v>0</v>
      </c>
    </row>
    <row r="702" spans="1:11">
      <c r="A702" s="661">
        <v>10</v>
      </c>
      <c r="B702" s="587"/>
      <c r="C702" s="587"/>
      <c r="D702" s="669"/>
      <c r="E702" s="548"/>
      <c r="G702" s="566"/>
      <c r="H702" s="567"/>
      <c r="I702" s="568"/>
    </row>
    <row r="703" spans="1:11">
      <c r="A703" s="661">
        <v>11</v>
      </c>
      <c r="B703" s="656" t="s">
        <v>1292</v>
      </c>
      <c r="C703" s="675"/>
      <c r="D703" s="676"/>
      <c r="E703" s="548"/>
      <c r="G703" s="566"/>
      <c r="H703" s="567"/>
      <c r="I703" s="568"/>
    </row>
    <row r="704" spans="1:11">
      <c r="A704" s="661">
        <v>12</v>
      </c>
      <c r="B704" s="666" t="s">
        <v>1293</v>
      </c>
      <c r="C704" s="667"/>
      <c r="D704" s="549" t="str">
        <f>'[5]FR-16(7)(v)-1 Functional'!D704</f>
        <v>NP29</v>
      </c>
      <c r="E704" s="677"/>
      <c r="F704" s="578">
        <f>'[5]FR-16(7)(v)-14 TOTAL CLASS'!H704</f>
        <v>-6710</v>
      </c>
      <c r="G704" s="570">
        <f>'[5]FR-16(7)(v)-3 PROD Demand'!H704+'[5]FR-16(7)(v)-7 TRANS Demand'!H704+'[5]FR-16(7)(v)-11 DIST Demand'!H704</f>
        <v>-6423</v>
      </c>
      <c r="H704" s="571">
        <f>'[5]FR-16(7)(v)-4 PROD Energy'!H704+'[5]FR-16(7)(v)-8 TRANS Energy'!H704+'[5]FR-16(7)(v)-12 DIST Energy'!H704</f>
        <v>-121</v>
      </c>
      <c r="I704" s="572">
        <f>'[5]FR-16(7)(v)-5 PROD Cust'!H704+'[5]FR-16(7)(v)-9 TRANS Cust'!H704+'[5]FR-16(7)(v)-13 DIST Cust'!H704</f>
        <v>-166</v>
      </c>
      <c r="J704" s="584">
        <f>SUM(G704:I704)</f>
        <v>-6710</v>
      </c>
      <c r="K704" s="584">
        <f>F704-J704</f>
        <v>0</v>
      </c>
    </row>
    <row r="705" spans="1:11">
      <c r="A705" s="661">
        <v>13</v>
      </c>
      <c r="B705" s="668" t="s">
        <v>1294</v>
      </c>
      <c r="C705" s="587"/>
      <c r="D705" s="661"/>
      <c r="E705" s="548"/>
      <c r="F705" s="670">
        <f t="shared" ref="F705:K705" si="140">SUM(F704)</f>
        <v>-6710</v>
      </c>
      <c r="G705" s="625">
        <f t="shared" si="140"/>
        <v>-6423</v>
      </c>
      <c r="H705" s="674">
        <f t="shared" si="140"/>
        <v>-121</v>
      </c>
      <c r="I705" s="627">
        <f t="shared" si="140"/>
        <v>-166</v>
      </c>
      <c r="J705" s="569">
        <f t="shared" si="140"/>
        <v>-6710</v>
      </c>
      <c r="K705" s="569">
        <f t="shared" si="140"/>
        <v>0</v>
      </c>
    </row>
    <row r="706" spans="1:11">
      <c r="A706" s="661">
        <v>14</v>
      </c>
      <c r="B706" s="587"/>
      <c r="C706" s="587"/>
      <c r="D706" s="661"/>
      <c r="E706" s="548"/>
      <c r="G706" s="566"/>
      <c r="H706" s="567"/>
      <c r="I706" s="568"/>
    </row>
    <row r="707" spans="1:11">
      <c r="A707" s="661">
        <v>15</v>
      </c>
      <c r="B707" s="587" t="s">
        <v>1295</v>
      </c>
      <c r="C707" s="587"/>
      <c r="D707" s="661"/>
      <c r="E707" s="677"/>
      <c r="F707" s="569">
        <f>F701</f>
        <v>136310</v>
      </c>
      <c r="G707" s="570">
        <f t="shared" ref="G707:J707" si="141">G701</f>
        <v>44480</v>
      </c>
      <c r="H707" s="571">
        <f t="shared" si="141"/>
        <v>80345</v>
      </c>
      <c r="I707" s="572">
        <f t="shared" si="141"/>
        <v>11485</v>
      </c>
      <c r="J707" s="569">
        <f t="shared" si="141"/>
        <v>136310</v>
      </c>
      <c r="K707" s="569">
        <f t="shared" ref="K707" si="142">K705+K701</f>
        <v>0</v>
      </c>
    </row>
    <row r="708" spans="1:11">
      <c r="A708" s="661">
        <v>16</v>
      </c>
      <c r="B708" s="587"/>
      <c r="C708" s="587"/>
      <c r="D708" s="661"/>
      <c r="E708" s="548"/>
      <c r="G708" s="566"/>
      <c r="H708" s="567"/>
      <c r="I708" s="568"/>
    </row>
    <row r="709" spans="1:11">
      <c r="A709" s="661">
        <v>17</v>
      </c>
      <c r="B709" s="678" t="s">
        <v>1278</v>
      </c>
      <c r="C709" s="587"/>
      <c r="D709" s="661"/>
      <c r="E709" s="548"/>
      <c r="G709" s="566"/>
      <c r="H709" s="567"/>
      <c r="I709" s="568"/>
    </row>
    <row r="710" spans="1:11">
      <c r="A710" s="661">
        <v>18</v>
      </c>
      <c r="B710" s="662" t="s">
        <v>1296</v>
      </c>
      <c r="C710" s="587"/>
      <c r="D710" s="661"/>
      <c r="E710" s="548"/>
      <c r="G710" s="566"/>
      <c r="H710" s="567"/>
      <c r="I710" s="568"/>
    </row>
    <row r="711" spans="1:11">
      <c r="A711" s="661">
        <v>19</v>
      </c>
      <c r="B711" s="587" t="s">
        <v>1175</v>
      </c>
      <c r="C711" s="587"/>
      <c r="D711" s="661"/>
      <c r="E711" s="548"/>
      <c r="F711" s="569">
        <f>F433</f>
        <v>28556116</v>
      </c>
      <c r="G711" s="570">
        <f>G433</f>
        <v>26725620</v>
      </c>
      <c r="H711" s="571">
        <f>H433</f>
        <v>1092274</v>
      </c>
      <c r="I711" s="572">
        <f>I433</f>
        <v>738222</v>
      </c>
      <c r="J711" s="569">
        <f>J433</f>
        <v>28556116</v>
      </c>
      <c r="K711" s="569">
        <f t="shared" ref="K711:K716" si="143">F711-J711</f>
        <v>0</v>
      </c>
    </row>
    <row r="712" spans="1:11">
      <c r="A712" s="661">
        <v>20</v>
      </c>
      <c r="B712" s="587" t="s">
        <v>1297</v>
      </c>
      <c r="C712" s="587"/>
      <c r="D712" s="661"/>
      <c r="E712" s="548"/>
      <c r="F712" s="569">
        <f>F676</f>
        <v>5015183</v>
      </c>
      <c r="G712" s="570">
        <f>G676</f>
        <v>4255266</v>
      </c>
      <c r="H712" s="571">
        <f>H676</f>
        <v>645279</v>
      </c>
      <c r="I712" s="572">
        <f>I676</f>
        <v>114638</v>
      </c>
      <c r="J712" s="569">
        <f>J676</f>
        <v>5015183</v>
      </c>
      <c r="K712" s="569">
        <f t="shared" si="143"/>
        <v>0</v>
      </c>
    </row>
    <row r="713" spans="1:11">
      <c r="A713" s="661">
        <v>21</v>
      </c>
      <c r="B713" s="587" t="s">
        <v>1298</v>
      </c>
      <c r="C713" s="587"/>
      <c r="D713" s="661"/>
      <c r="E713" s="548"/>
      <c r="F713" s="569">
        <f>-F641</f>
        <v>-11579801</v>
      </c>
      <c r="G713" s="570">
        <f>-G641</f>
        <v>-10901822</v>
      </c>
      <c r="H713" s="571">
        <f>-H641</f>
        <v>-412160</v>
      </c>
      <c r="I713" s="572">
        <f>-I641</f>
        <v>-265819</v>
      </c>
      <c r="J713" s="569">
        <f>-J641</f>
        <v>-11579801</v>
      </c>
      <c r="K713" s="569">
        <f t="shared" si="143"/>
        <v>0</v>
      </c>
    </row>
    <row r="714" spans="1:11">
      <c r="A714" s="661">
        <v>22</v>
      </c>
      <c r="B714" s="587" t="s">
        <v>1299</v>
      </c>
      <c r="C714" s="587"/>
      <c r="D714" s="661"/>
      <c r="E714" s="548"/>
      <c r="F714" s="569">
        <f>-F696</f>
        <v>-3247573</v>
      </c>
      <c r="G714" s="570">
        <f>-G696</f>
        <v>-3108933</v>
      </c>
      <c r="H714" s="571">
        <f>-H696</f>
        <v>-58485</v>
      </c>
      <c r="I714" s="572">
        <f>-I696</f>
        <v>-80155</v>
      </c>
      <c r="J714" s="569">
        <f>-J696</f>
        <v>-3247573</v>
      </c>
      <c r="K714" s="569">
        <f t="shared" si="143"/>
        <v>0</v>
      </c>
    </row>
    <row r="715" spans="1:11">
      <c r="A715" s="661">
        <v>23</v>
      </c>
      <c r="B715" s="547" t="s">
        <v>1174</v>
      </c>
      <c r="C715" s="587"/>
      <c r="D715" s="661"/>
      <c r="E715" s="548"/>
      <c r="F715" s="569">
        <f>F24</f>
        <v>0</v>
      </c>
      <c r="G715" s="570">
        <f>G24</f>
        <v>0</v>
      </c>
      <c r="H715" s="571">
        <f>H24</f>
        <v>0</v>
      </c>
      <c r="I715" s="572">
        <f>I24</f>
        <v>0</v>
      </c>
      <c r="J715" s="569">
        <f>J24</f>
        <v>0</v>
      </c>
      <c r="K715" s="569">
        <f t="shared" si="143"/>
        <v>0</v>
      </c>
    </row>
    <row r="716" spans="1:11">
      <c r="A716" s="661">
        <v>24</v>
      </c>
      <c r="B716" s="667" t="s">
        <v>1300</v>
      </c>
      <c r="C716" s="667"/>
      <c r="D716" s="661"/>
      <c r="E716" s="677"/>
      <c r="F716" s="584">
        <f>F701</f>
        <v>136310</v>
      </c>
      <c r="G716" s="619">
        <f t="shared" ref="G716:J716" si="144">G701</f>
        <v>44480</v>
      </c>
      <c r="H716" s="620">
        <f t="shared" si="144"/>
        <v>80345</v>
      </c>
      <c r="I716" s="621">
        <f t="shared" si="144"/>
        <v>11485</v>
      </c>
      <c r="J716" s="584">
        <f t="shared" si="144"/>
        <v>136310</v>
      </c>
      <c r="K716" s="569">
        <f t="shared" si="143"/>
        <v>0</v>
      </c>
    </row>
    <row r="717" spans="1:11">
      <c r="A717" s="661">
        <v>25</v>
      </c>
      <c r="B717" s="587" t="s">
        <v>1301</v>
      </c>
      <c r="C717" s="587"/>
      <c r="D717" s="661"/>
      <c r="E717" s="548"/>
      <c r="F717" s="569">
        <f t="shared" ref="F717:K717" si="145">SUM(F711:F716)</f>
        <v>18880235</v>
      </c>
      <c r="G717" s="570">
        <f t="shared" si="145"/>
        <v>17014611</v>
      </c>
      <c r="H717" s="571">
        <f t="shared" si="145"/>
        <v>1347253</v>
      </c>
      <c r="I717" s="572">
        <f t="shared" si="145"/>
        <v>518371</v>
      </c>
      <c r="J717" s="569">
        <f t="shared" si="145"/>
        <v>18880235</v>
      </c>
      <c r="K717" s="679">
        <f t="shared" si="145"/>
        <v>0</v>
      </c>
    </row>
    <row r="718" spans="1:11">
      <c r="A718" s="661">
        <v>26</v>
      </c>
      <c r="B718" s="587"/>
      <c r="C718" s="587"/>
      <c r="D718" s="661"/>
      <c r="E718" s="548"/>
      <c r="G718" s="566"/>
      <c r="H718" s="567"/>
      <c r="I718" s="568"/>
    </row>
    <row r="719" spans="1:11">
      <c r="A719" s="661">
        <v>27</v>
      </c>
      <c r="B719" s="587" t="s">
        <v>1302</v>
      </c>
      <c r="C719" s="587"/>
      <c r="D719" s="661"/>
      <c r="E719" s="548"/>
      <c r="F719" s="680">
        <f>ROUND(SIT/(1-SIT),8)</f>
        <v>5.2282660000000002E-2</v>
      </c>
      <c r="G719" s="681">
        <f>ROUND(SIT/(1-SIT),8)</f>
        <v>5.2282660000000002E-2</v>
      </c>
      <c r="H719" s="682">
        <f>ROUND(SIT/(1-SIT),8)</f>
        <v>5.2282660000000002E-2</v>
      </c>
      <c r="I719" s="683">
        <f>ROUND(SIT/(1-SIT),8)</f>
        <v>5.2282660000000002E-2</v>
      </c>
      <c r="J719" s="680"/>
      <c r="K719" s="680">
        <f>ROUND(SIT/(1-SIT),8)</f>
        <v>5.2282660000000002E-2</v>
      </c>
    </row>
    <row r="720" spans="1:11">
      <c r="A720" s="661">
        <v>28</v>
      </c>
      <c r="B720" s="587" t="s">
        <v>1303</v>
      </c>
      <c r="C720" s="587"/>
      <c r="D720" s="661"/>
      <c r="E720" s="677"/>
      <c r="F720" s="684">
        <f>ROUND(F717*F719,0)+F705</f>
        <v>980399</v>
      </c>
      <c r="G720" s="570">
        <f t="shared" ref="G720:I720" si="146">ROUND(G717*G719,0)+G705</f>
        <v>883146</v>
      </c>
      <c r="H720" s="685">
        <f t="shared" si="146"/>
        <v>70317</v>
      </c>
      <c r="I720" s="686">
        <f t="shared" si="146"/>
        <v>26936</v>
      </c>
      <c r="J720" s="569">
        <f>SUM(G720:I720)</f>
        <v>980399</v>
      </c>
      <c r="K720" s="569">
        <f>F720-J720</f>
        <v>0</v>
      </c>
    </row>
    <row r="721" spans="1:11">
      <c r="A721" s="661">
        <v>29</v>
      </c>
      <c r="B721" s="667" t="s">
        <v>1304</v>
      </c>
      <c r="C721" s="667"/>
      <c r="D721" s="661"/>
      <c r="E721" s="677"/>
      <c r="F721" s="684">
        <f>F701</f>
        <v>136310</v>
      </c>
      <c r="G721" s="687">
        <f t="shared" ref="G721:I721" si="147">G701</f>
        <v>44480</v>
      </c>
      <c r="H721" s="685">
        <f t="shared" si="147"/>
        <v>80345</v>
      </c>
      <c r="I721" s="686">
        <f t="shared" si="147"/>
        <v>11485</v>
      </c>
      <c r="J721" s="684">
        <f>J707</f>
        <v>136310</v>
      </c>
      <c r="K721" s="569">
        <f>F721-J721</f>
        <v>0</v>
      </c>
    </row>
    <row r="722" spans="1:11">
      <c r="A722" s="661">
        <v>30</v>
      </c>
      <c r="B722" s="587" t="s">
        <v>1305</v>
      </c>
      <c r="C722" s="587"/>
      <c r="D722" s="661"/>
      <c r="E722" s="548"/>
      <c r="F722" s="688">
        <f t="shared" ref="F722:K722" si="148">F721+F720</f>
        <v>1116709</v>
      </c>
      <c r="G722" s="689">
        <f t="shared" si="148"/>
        <v>927626</v>
      </c>
      <c r="H722" s="690">
        <f t="shared" si="148"/>
        <v>150662</v>
      </c>
      <c r="I722" s="691">
        <f t="shared" si="148"/>
        <v>38421</v>
      </c>
      <c r="J722" s="688">
        <f t="shared" si="148"/>
        <v>1116709</v>
      </c>
      <c r="K722" s="688">
        <f t="shared" si="148"/>
        <v>0</v>
      </c>
    </row>
    <row r="723" spans="1:11">
      <c r="A723" s="661">
        <v>31</v>
      </c>
      <c r="B723" s="587"/>
      <c r="C723" s="587"/>
      <c r="D723" s="661"/>
      <c r="E723" s="548"/>
      <c r="G723" s="566"/>
      <c r="H723" s="567"/>
      <c r="I723" s="568"/>
    </row>
    <row r="724" spans="1:11">
      <c r="A724" s="661">
        <v>32</v>
      </c>
      <c r="B724" s="587" t="s">
        <v>1306</v>
      </c>
      <c r="C724" s="587"/>
      <c r="D724" s="661"/>
      <c r="E724" s="548"/>
      <c r="G724" s="566"/>
      <c r="H724" s="567"/>
      <c r="I724" s="568"/>
    </row>
    <row r="725" spans="1:11">
      <c r="A725" s="661">
        <v>33</v>
      </c>
      <c r="B725" s="587" t="s">
        <v>1303</v>
      </c>
      <c r="C725" s="587"/>
      <c r="D725" s="661"/>
      <c r="E725" s="548"/>
      <c r="F725" s="684">
        <f>F720</f>
        <v>980399</v>
      </c>
      <c r="G725" s="687">
        <f>G720</f>
        <v>883146</v>
      </c>
      <c r="H725" s="685">
        <f>H720</f>
        <v>70317</v>
      </c>
      <c r="I725" s="686">
        <f>I720</f>
        <v>26936</v>
      </c>
      <c r="J725" s="684">
        <f>J720</f>
        <v>980399</v>
      </c>
      <c r="K725" s="569">
        <f>F725-J725</f>
        <v>0</v>
      </c>
    </row>
    <row r="726" spans="1:11">
      <c r="A726" s="661">
        <v>34</v>
      </c>
      <c r="B726" s="667" t="s">
        <v>1292</v>
      </c>
      <c r="C726" s="667"/>
      <c r="D726" s="661"/>
      <c r="E726" s="548"/>
      <c r="F726" s="684">
        <f>F705</f>
        <v>-6710</v>
      </c>
      <c r="G726" s="687">
        <f>G705</f>
        <v>-6423</v>
      </c>
      <c r="H726" s="685">
        <f>H705</f>
        <v>-121</v>
      </c>
      <c r="I726" s="686">
        <f>I705</f>
        <v>-166</v>
      </c>
      <c r="J726" s="684">
        <f>J705</f>
        <v>-6710</v>
      </c>
      <c r="K726" s="569">
        <f>F726-J726</f>
        <v>0</v>
      </c>
    </row>
    <row r="727" spans="1:11">
      <c r="A727" s="661">
        <v>35</v>
      </c>
      <c r="B727" s="587" t="s">
        <v>1307</v>
      </c>
      <c r="C727" s="587"/>
      <c r="D727" s="661"/>
      <c r="E727" s="548"/>
      <c r="F727" s="688">
        <f t="shared" ref="F727:K727" si="149">F725+F726</f>
        <v>973689</v>
      </c>
      <c r="G727" s="689">
        <f t="shared" si="149"/>
        <v>876723</v>
      </c>
      <c r="H727" s="690">
        <f t="shared" si="149"/>
        <v>70196</v>
      </c>
      <c r="I727" s="691">
        <f t="shared" si="149"/>
        <v>26770</v>
      </c>
      <c r="J727" s="688">
        <f t="shared" si="149"/>
        <v>973689</v>
      </c>
      <c r="K727" s="688">
        <f t="shared" si="149"/>
        <v>0</v>
      </c>
    </row>
    <row r="728" spans="1:11">
      <c r="A728" s="661">
        <v>36</v>
      </c>
      <c r="B728" s="587"/>
      <c r="C728" s="587"/>
      <c r="D728" s="587"/>
      <c r="E728" s="548"/>
      <c r="F728" s="684"/>
      <c r="G728" s="687"/>
      <c r="H728" s="685"/>
      <c r="I728" s="686"/>
      <c r="J728" s="684"/>
      <c r="K728" s="684"/>
    </row>
    <row r="729" spans="1:11">
      <c r="A729" s="661">
        <v>37</v>
      </c>
      <c r="B729" s="587" t="s">
        <v>1308</v>
      </c>
      <c r="C729" s="587"/>
      <c r="D729" s="587"/>
      <c r="E729" s="548"/>
      <c r="F729" s="692">
        <f t="shared" ref="F729:K729" si="150">(SIT*(1-FIT))+((1-SIT)*(1-FIT)*RevTax)+FIT</f>
        <v>0.24925115</v>
      </c>
      <c r="G729" s="693">
        <f t="shared" si="150"/>
        <v>0.24925115</v>
      </c>
      <c r="H729" s="694">
        <f t="shared" si="150"/>
        <v>0.24925115</v>
      </c>
      <c r="I729" s="695">
        <f t="shared" si="150"/>
        <v>0.24925115</v>
      </c>
      <c r="J729" s="692">
        <f t="shared" si="150"/>
        <v>0.24925115</v>
      </c>
      <c r="K729" s="692">
        <f t="shared" si="150"/>
        <v>0.24925115</v>
      </c>
    </row>
    <row r="730" spans="1:11">
      <c r="B730" s="546"/>
      <c r="C730" s="548"/>
      <c r="D730" s="549"/>
      <c r="E730" s="548"/>
      <c r="F730" s="548"/>
      <c r="G730" s="548"/>
      <c r="H730" s="548"/>
      <c r="I730" s="548"/>
      <c r="J730" s="548"/>
      <c r="K730" s="548"/>
    </row>
    <row r="731" spans="1:11">
      <c r="A731" s="546" t="str">
        <f>co_name</f>
        <v>DUKE ENERGY KENTUCKY, INC.</v>
      </c>
      <c r="C731" s="548"/>
      <c r="D731" s="549"/>
      <c r="E731" s="548"/>
      <c r="F731" s="548"/>
      <c r="G731" s="548"/>
      <c r="H731" s="548"/>
      <c r="I731" s="548"/>
      <c r="J731" s="548" t="str">
        <f>J1</f>
        <v>FR-16(7)(v)-16</v>
      </c>
      <c r="K731" s="548"/>
    </row>
    <row r="732" spans="1:11">
      <c r="A732" s="546" t="str">
        <f>$A$2</f>
        <v>DISTR. SEC. CLASSIFIED - ELECTRIC COST OF SERVICE</v>
      </c>
      <c r="C732" s="548"/>
      <c r="D732" s="549"/>
      <c r="E732" s="548"/>
      <c r="F732" s="548"/>
      <c r="G732" s="548"/>
      <c r="H732" s="548"/>
      <c r="I732" s="548"/>
      <c r="J732" s="548" t="str">
        <f>J2</f>
        <v>WITNESS RESPONSIBLE:</v>
      </c>
      <c r="K732" s="548"/>
    </row>
    <row r="733" spans="1:11">
      <c r="A733" s="546" t="str">
        <f>case_name</f>
        <v>CASE NO: 2024-00354</v>
      </c>
      <c r="C733" s="548"/>
      <c r="D733" s="549"/>
      <c r="E733" s="548"/>
      <c r="F733" s="548"/>
      <c r="G733" s="548"/>
      <c r="H733" s="548"/>
      <c r="I733" s="548"/>
      <c r="J733" s="548" t="str">
        <f>Witness</f>
        <v>JAMES E. ZIOLKOWSKI</v>
      </c>
      <c r="K733" s="548"/>
    </row>
    <row r="734" spans="1:11">
      <c r="A734" s="546" t="str">
        <f>data_filing</f>
        <v>DATA: 12 MONTHS ACTUAL  &amp; 0 MONTHS ESTIMATED</v>
      </c>
      <c r="C734" s="548"/>
      <c r="D734" s="549"/>
      <c r="E734" s="548"/>
      <c r="F734" s="548"/>
      <c r="G734" s="548"/>
      <c r="H734" s="548"/>
      <c r="I734" s="548"/>
      <c r="J734" s="548" t="str">
        <f>"PAGE "&amp;Pages2-1&amp;" OF "&amp;Pages2</f>
        <v>PAGE 14 OF 15</v>
      </c>
      <c r="K734" s="548"/>
    </row>
    <row r="735" spans="1:11">
      <c r="A735" s="546" t="str">
        <f>type</f>
        <v xml:space="preserve">TYPE OF FILING: "X" ORIGINAL   UPDATED    REVISED  </v>
      </c>
      <c r="C735" s="548"/>
      <c r="D735" s="549"/>
      <c r="E735" s="548"/>
      <c r="F735" s="548"/>
      <c r="G735" s="548"/>
      <c r="H735" s="548"/>
      <c r="I735" s="548"/>
      <c r="J735" s="548"/>
      <c r="K735" s="548"/>
    </row>
    <row r="736" spans="1:11">
      <c r="B736" s="546"/>
      <c r="C736" s="548"/>
      <c r="D736" s="549"/>
      <c r="E736" s="548"/>
      <c r="F736" s="548"/>
      <c r="G736" s="548"/>
      <c r="H736" s="548"/>
      <c r="I736" s="548"/>
      <c r="J736" s="548"/>
      <c r="K736" s="548"/>
    </row>
    <row r="737" spans="1:11">
      <c r="B737" s="546"/>
      <c r="C737" s="548"/>
      <c r="D737" s="549"/>
      <c r="E737" s="548"/>
      <c r="F737" s="548"/>
      <c r="G737" s="548"/>
      <c r="H737" s="548"/>
      <c r="I737" s="548"/>
      <c r="J737" s="548"/>
      <c r="K737" s="548"/>
    </row>
    <row r="738" spans="1:11">
      <c r="A738" s="549" t="s">
        <v>17</v>
      </c>
      <c r="B738" s="548"/>
      <c r="C738" s="548"/>
      <c r="D738" s="549"/>
      <c r="E738" s="548"/>
      <c r="F738" s="549" t="s">
        <v>11</v>
      </c>
      <c r="G738" s="552" t="s">
        <v>1162</v>
      </c>
      <c r="H738" s="553"/>
      <c r="I738" s="554"/>
      <c r="J738" s="549" t="s">
        <v>11</v>
      </c>
      <c r="K738" s="549" t="s">
        <v>1163</v>
      </c>
    </row>
    <row r="739" spans="1:11">
      <c r="A739" s="555" t="s">
        <v>1164</v>
      </c>
      <c r="B739" s="556" t="s">
        <v>1309</v>
      </c>
      <c r="C739" s="556"/>
      <c r="D739" s="555" t="s">
        <v>1166</v>
      </c>
      <c r="E739" s="556"/>
      <c r="F739" s="555" t="str">
        <f>$F$9</f>
        <v>DISTR. SEC.</v>
      </c>
      <c r="G739" s="611" t="str">
        <f t="shared" ref="G739:I740" si="151">G9</f>
        <v>DEMAND</v>
      </c>
      <c r="H739" s="612" t="str">
        <f t="shared" si="151"/>
        <v>ENERGY</v>
      </c>
      <c r="I739" s="613" t="str">
        <f t="shared" si="151"/>
        <v>CUSTOMER</v>
      </c>
      <c r="J739" s="555" t="s">
        <v>1169</v>
      </c>
      <c r="K739" s="555" t="s">
        <v>543</v>
      </c>
    </row>
    <row r="740" spans="1:11">
      <c r="C740" s="561" t="s">
        <v>1310</v>
      </c>
      <c r="D740" s="549"/>
      <c r="E740" s="548"/>
      <c r="G740" s="614">
        <f t="shared" si="151"/>
        <v>3</v>
      </c>
      <c r="H740" s="615">
        <f t="shared" si="151"/>
        <v>4</v>
      </c>
      <c r="I740" s="616">
        <f t="shared" si="151"/>
        <v>5</v>
      </c>
    </row>
    <row r="741" spans="1:11">
      <c r="A741" s="565">
        <v>1</v>
      </c>
      <c r="B741" s="547" t="s">
        <v>1311</v>
      </c>
      <c r="D741" s="549"/>
      <c r="E741" s="548"/>
      <c r="G741" s="566"/>
      <c r="H741" s="567"/>
      <c r="I741" s="568"/>
    </row>
    <row r="742" spans="1:11">
      <c r="A742" s="565">
        <v>2</v>
      </c>
      <c r="C742" s="547" t="str">
        <f>'[5]FR-16(7)(v)-1 Functional'!C742</f>
        <v>MISC SERVICE REVENUE</v>
      </c>
      <c r="D742" s="549" t="str">
        <f>'[5]FR-16(7)(v)-1 Functional'!D742</f>
        <v>D249</v>
      </c>
      <c r="E742" s="548"/>
      <c r="F742" s="578">
        <f>'[5]FR-16(7)(v)-14 TOTAL CLASS'!H742</f>
        <v>352835</v>
      </c>
      <c r="G742" s="570">
        <f>'[5]FR-16(7)(v)-3 PROD Demand'!H742+'[5]FR-16(7)(v)-7 TRANS Demand'!H742+'[5]FR-16(7)(v)-11 DIST Demand'!H742</f>
        <v>332994</v>
      </c>
      <c r="H742" s="571">
        <f>'[5]FR-16(7)(v)-4 PROD Energy'!H742+'[5]FR-16(7)(v)-8 TRANS Energy'!H742+'[5]FR-16(7)(v)-12 DIST Energy'!H742</f>
        <v>0</v>
      </c>
      <c r="I742" s="572">
        <f>'[5]FR-16(7)(v)-5 PROD Cust'!H742+'[5]FR-16(7)(v)-9 TRANS Cust'!H742+'[5]FR-16(7)(v)-13 DIST Cust'!H742</f>
        <v>19841</v>
      </c>
      <c r="J742" s="569">
        <f t="shared" ref="J742:J749" si="152">SUM(G742:I742)</f>
        <v>352835</v>
      </c>
      <c r="K742" s="569">
        <f>F742-J742</f>
        <v>0</v>
      </c>
    </row>
    <row r="743" spans="1:11">
      <c r="A743" s="565">
        <v>3</v>
      </c>
      <c r="C743" s="547" t="str">
        <f>'[5]FR-16(7)(v)-1 Functional'!C743</f>
        <v>RECONNECTION CHARGES</v>
      </c>
      <c r="D743" s="549" t="str">
        <f>'[5]FR-16(7)(v)-1 Functional'!D743</f>
        <v>K405</v>
      </c>
      <c r="E743" s="548"/>
      <c r="F743" s="578">
        <f>'[5]FR-16(7)(v)-14 TOTAL CLASS'!H743</f>
        <v>4415</v>
      </c>
      <c r="G743" s="570">
        <f>'[5]FR-16(7)(v)-3 PROD Demand'!H743+'[5]FR-16(7)(v)-7 TRANS Demand'!H743+'[5]FR-16(7)(v)-11 DIST Demand'!H743</f>
        <v>0</v>
      </c>
      <c r="H743" s="571">
        <f>'[5]FR-16(7)(v)-4 PROD Energy'!H743+'[5]FR-16(7)(v)-8 TRANS Energy'!H743+'[5]FR-16(7)(v)-12 DIST Energy'!H743</f>
        <v>0</v>
      </c>
      <c r="I743" s="572">
        <f>'[5]FR-16(7)(v)-5 PROD Cust'!H743+'[5]FR-16(7)(v)-9 TRANS Cust'!H743+'[5]FR-16(7)(v)-13 DIST Cust'!H743</f>
        <v>4415</v>
      </c>
      <c r="J743" s="569">
        <f t="shared" si="152"/>
        <v>4415</v>
      </c>
      <c r="K743" s="569">
        <f t="shared" ref="K743:K749" si="153">F743-J743</f>
        <v>0</v>
      </c>
    </row>
    <row r="744" spans="1:11">
      <c r="A744" s="565">
        <v>4</v>
      </c>
      <c r="C744" s="547" t="str">
        <f>'[5]FR-16(7)(v)-1 Functional'!C744</f>
        <v>POLE &amp; LINE ATTACHMENTS</v>
      </c>
      <c r="D744" s="549" t="str">
        <f>'[5]FR-16(7)(v)-1 Functional'!D744</f>
        <v>D249</v>
      </c>
      <c r="E744" s="548"/>
      <c r="F744" s="578">
        <f>'[5]FR-16(7)(v)-14 TOTAL CLASS'!H744</f>
        <v>190748</v>
      </c>
      <c r="G744" s="570">
        <f>'[5]FR-16(7)(v)-3 PROD Demand'!H744+'[5]FR-16(7)(v)-7 TRANS Demand'!H744+'[5]FR-16(7)(v)-11 DIST Demand'!H744</f>
        <v>180022</v>
      </c>
      <c r="H744" s="571">
        <f>'[5]FR-16(7)(v)-4 PROD Energy'!H744+'[5]FR-16(7)(v)-8 TRANS Energy'!H744+'[5]FR-16(7)(v)-12 DIST Energy'!H744</f>
        <v>0</v>
      </c>
      <c r="I744" s="572">
        <f>'[5]FR-16(7)(v)-5 PROD Cust'!H744+'[5]FR-16(7)(v)-9 TRANS Cust'!H744+'[5]FR-16(7)(v)-13 DIST Cust'!H744</f>
        <v>10726</v>
      </c>
      <c r="J744" s="569">
        <f t="shared" si="152"/>
        <v>190748</v>
      </c>
      <c r="K744" s="569">
        <f t="shared" si="153"/>
        <v>0</v>
      </c>
    </row>
    <row r="745" spans="1:11">
      <c r="A745" s="565">
        <v>5</v>
      </c>
      <c r="C745" s="547" t="str">
        <f>'[5]FR-16(7)(v)-1 Functional'!C745</f>
        <v>RENTS</v>
      </c>
      <c r="D745" s="549" t="str">
        <f>'[5]FR-16(7)(v)-1 Functional'!D745</f>
        <v>D249</v>
      </c>
      <c r="E745" s="548"/>
      <c r="F745" s="578">
        <f>'[5]FR-16(7)(v)-14 TOTAL CLASS'!H745</f>
        <v>354247</v>
      </c>
      <c r="G745" s="570">
        <f>'[5]FR-16(7)(v)-3 PROD Demand'!H745+'[5]FR-16(7)(v)-7 TRANS Demand'!H745+'[5]FR-16(7)(v)-11 DIST Demand'!H745</f>
        <v>334327</v>
      </c>
      <c r="H745" s="571">
        <f>'[5]FR-16(7)(v)-4 PROD Energy'!H745+'[5]FR-16(7)(v)-8 TRANS Energy'!H745+'[5]FR-16(7)(v)-12 DIST Energy'!H745</f>
        <v>0</v>
      </c>
      <c r="I745" s="572">
        <f>'[5]FR-16(7)(v)-5 PROD Cust'!H745+'[5]FR-16(7)(v)-9 TRANS Cust'!H745+'[5]FR-16(7)(v)-13 DIST Cust'!H745</f>
        <v>19920</v>
      </c>
      <c r="J745" s="569">
        <f t="shared" si="152"/>
        <v>354247</v>
      </c>
      <c r="K745" s="569">
        <f t="shared" si="153"/>
        <v>0</v>
      </c>
    </row>
    <row r="746" spans="1:11">
      <c r="A746" s="565">
        <v>6</v>
      </c>
      <c r="C746" s="547" t="str">
        <f>'[5]FR-16(7)(v)-1 Functional'!C746</f>
        <v>TRANSMISSION CHARGE PTP</v>
      </c>
      <c r="D746" s="549" t="str">
        <f>'[5]FR-16(7)(v)-1 Functional'!D746</f>
        <v>T229</v>
      </c>
      <c r="E746" s="548"/>
      <c r="F746" s="578">
        <f>'[5]FR-16(7)(v)-14 TOTAL CLASS'!H746</f>
        <v>0</v>
      </c>
      <c r="G746" s="570">
        <f>'[5]FR-16(7)(v)-3 PROD Demand'!H746+'[5]FR-16(7)(v)-7 TRANS Demand'!H746+'[5]FR-16(7)(v)-11 DIST Demand'!H746</f>
        <v>0</v>
      </c>
      <c r="H746" s="571">
        <f>'[5]FR-16(7)(v)-4 PROD Energy'!H746+'[5]FR-16(7)(v)-8 TRANS Energy'!H746+'[5]FR-16(7)(v)-12 DIST Energy'!H746</f>
        <v>0</v>
      </c>
      <c r="I746" s="572">
        <f>'[5]FR-16(7)(v)-5 PROD Cust'!H746+'[5]FR-16(7)(v)-9 TRANS Cust'!H746+'[5]FR-16(7)(v)-13 DIST Cust'!H746</f>
        <v>0</v>
      </c>
      <c r="J746" s="569">
        <f t="shared" si="152"/>
        <v>0</v>
      </c>
      <c r="K746" s="569">
        <f>F746-J746</f>
        <v>0</v>
      </c>
    </row>
    <row r="747" spans="1:11">
      <c r="A747" s="565">
        <v>7</v>
      </c>
      <c r="C747" s="547" t="str">
        <f>'[5]FR-16(7)(v)-1 Functional'!C747</f>
        <v>PJM REACTIVE REVENUE</v>
      </c>
      <c r="D747" s="549" t="str">
        <f>'[5]FR-16(7)(v)-1 Functional'!D747</f>
        <v>K401</v>
      </c>
      <c r="E747" s="548"/>
      <c r="F747" s="578">
        <f>'[5]FR-16(7)(v)-14 TOTAL CLASS'!H747</f>
        <v>0</v>
      </c>
      <c r="G747" s="570">
        <f>'[5]FR-16(7)(v)-3 PROD Demand'!H747+'[5]FR-16(7)(v)-7 TRANS Demand'!H747+'[5]FR-16(7)(v)-11 DIST Demand'!H747</f>
        <v>0</v>
      </c>
      <c r="H747" s="571">
        <f>'[5]FR-16(7)(v)-4 PROD Energy'!H747+'[5]FR-16(7)(v)-8 TRANS Energy'!H747+'[5]FR-16(7)(v)-12 DIST Energy'!H747</f>
        <v>0</v>
      </c>
      <c r="I747" s="572">
        <f>'[5]FR-16(7)(v)-5 PROD Cust'!H747+'[5]FR-16(7)(v)-9 TRANS Cust'!H747+'[5]FR-16(7)(v)-13 DIST Cust'!H747</f>
        <v>0</v>
      </c>
      <c r="J747" s="569">
        <f t="shared" si="152"/>
        <v>0</v>
      </c>
      <c r="K747" s="569">
        <f>F747-J747</f>
        <v>0</v>
      </c>
    </row>
    <row r="748" spans="1:11">
      <c r="A748" s="565">
        <v>8</v>
      </c>
      <c r="C748" s="547" t="str">
        <f>'[5]FR-16(7)(v)-1 Functional'!C748</f>
        <v>OTHER TRANSMISSION REVENUES</v>
      </c>
      <c r="D748" s="549" t="str">
        <f>'[5]FR-16(7)(v)-1 Functional'!D748</f>
        <v>T229</v>
      </c>
      <c r="E748" s="548"/>
      <c r="F748" s="578">
        <f>'[5]FR-16(7)(v)-14 TOTAL CLASS'!H748</f>
        <v>0</v>
      </c>
      <c r="G748" s="570">
        <f>'[5]FR-16(7)(v)-3 PROD Demand'!H748+'[5]FR-16(7)(v)-7 TRANS Demand'!H748+'[5]FR-16(7)(v)-11 DIST Demand'!H748</f>
        <v>0</v>
      </c>
      <c r="H748" s="571">
        <f>'[5]FR-16(7)(v)-4 PROD Energy'!H748+'[5]FR-16(7)(v)-8 TRANS Energy'!H748+'[5]FR-16(7)(v)-12 DIST Energy'!H748</f>
        <v>0</v>
      </c>
      <c r="I748" s="572">
        <f>'[5]FR-16(7)(v)-5 PROD Cust'!H748+'[5]FR-16(7)(v)-9 TRANS Cust'!H748+'[5]FR-16(7)(v)-13 DIST Cust'!H748</f>
        <v>0</v>
      </c>
      <c r="J748" s="569">
        <f t="shared" si="152"/>
        <v>0</v>
      </c>
      <c r="K748" s="569">
        <f>F748-J748</f>
        <v>0</v>
      </c>
    </row>
    <row r="749" spans="1:11">
      <c r="A749" s="565">
        <v>9</v>
      </c>
      <c r="C749" s="573" t="str">
        <f>'[5]FR-16(7)(v)-1 Functional'!C749</f>
        <v>BAD CHECK CHARGES</v>
      </c>
      <c r="D749" s="549" t="str">
        <f>'[5]FR-16(7)(v)-1 Functional'!D749</f>
        <v>K405</v>
      </c>
      <c r="E749" s="548"/>
      <c r="F749" s="578">
        <f>'[5]FR-16(7)(v)-14 TOTAL CLASS'!H749</f>
        <v>4424</v>
      </c>
      <c r="G749" s="570">
        <f>'[5]FR-16(7)(v)-3 PROD Demand'!H749+'[5]FR-16(7)(v)-7 TRANS Demand'!H749+'[5]FR-16(7)(v)-11 DIST Demand'!H749</f>
        <v>0</v>
      </c>
      <c r="H749" s="571">
        <f>'[5]FR-16(7)(v)-4 PROD Energy'!H749+'[5]FR-16(7)(v)-8 TRANS Energy'!H749+'[5]FR-16(7)(v)-12 DIST Energy'!H749</f>
        <v>0</v>
      </c>
      <c r="I749" s="572">
        <f>'[5]FR-16(7)(v)-5 PROD Cust'!H749+'[5]FR-16(7)(v)-9 TRANS Cust'!H749+'[5]FR-16(7)(v)-13 DIST Cust'!H749</f>
        <v>4424</v>
      </c>
      <c r="J749" s="569">
        <f t="shared" si="152"/>
        <v>4424</v>
      </c>
      <c r="K749" s="569">
        <f t="shared" si="153"/>
        <v>0</v>
      </c>
    </row>
    <row r="750" spans="1:11">
      <c r="A750" s="565">
        <v>10</v>
      </c>
      <c r="C750" s="547" t="str">
        <f>'[5]FR-16(7)(v)-1 Functional'!C750</f>
        <v xml:space="preserve">  TOTAL OTHER OPERATING REVS</v>
      </c>
      <c r="D750" s="549"/>
      <c r="E750" s="548"/>
      <c r="F750" s="574">
        <f t="shared" ref="F750:K750" si="154">SUM(F742:F749)</f>
        <v>906669</v>
      </c>
      <c r="G750" s="575">
        <f t="shared" si="154"/>
        <v>847343</v>
      </c>
      <c r="H750" s="576">
        <f t="shared" si="154"/>
        <v>0</v>
      </c>
      <c r="I750" s="577">
        <f t="shared" si="154"/>
        <v>59326</v>
      </c>
      <c r="J750" s="574">
        <f t="shared" si="154"/>
        <v>906669</v>
      </c>
      <c r="K750" s="574">
        <f t="shared" si="154"/>
        <v>0</v>
      </c>
    </row>
    <row r="751" spans="1:11">
      <c r="A751" s="565">
        <v>11</v>
      </c>
      <c r="D751" s="549"/>
      <c r="E751" s="548"/>
      <c r="G751" s="566"/>
      <c r="H751" s="567"/>
      <c r="I751" s="568"/>
    </row>
    <row r="752" spans="1:11">
      <c r="A752" s="565">
        <v>12</v>
      </c>
      <c r="B752" s="547" t="s">
        <v>1309</v>
      </c>
      <c r="D752" s="549"/>
      <c r="E752" s="548"/>
      <c r="G752" s="566"/>
      <c r="H752" s="567"/>
      <c r="I752" s="568"/>
    </row>
    <row r="753" spans="1:11">
      <c r="A753" s="565">
        <v>13</v>
      </c>
      <c r="C753" s="547" t="str">
        <f>'[5]FR-16(7)(v)-1 Functional'!C753</f>
        <v>TOTAL OP EXP EXC INC &amp; REV TAX</v>
      </c>
      <c r="D753" s="549"/>
      <c r="E753" s="548"/>
      <c r="F753" s="569">
        <f>F618</f>
        <v>110917569</v>
      </c>
      <c r="G753" s="570">
        <f>G618</f>
        <v>44220559</v>
      </c>
      <c r="H753" s="571">
        <f>H618</f>
        <v>64684450</v>
      </c>
      <c r="I753" s="572">
        <f>I618</f>
        <v>2012560</v>
      </c>
      <c r="J753" s="569">
        <f>J618</f>
        <v>110917569</v>
      </c>
      <c r="K753" s="569">
        <f t="shared" ref="K753:K758" si="155">F753-J753</f>
        <v>0</v>
      </c>
    </row>
    <row r="754" spans="1:11">
      <c r="A754" s="565">
        <v>14</v>
      </c>
      <c r="C754" s="547" t="s">
        <v>1175</v>
      </c>
      <c r="D754" s="549"/>
      <c r="E754" s="548"/>
      <c r="F754" s="569">
        <f>F433</f>
        <v>28556116</v>
      </c>
      <c r="G754" s="570">
        <f>G433</f>
        <v>26725620</v>
      </c>
      <c r="H754" s="571">
        <f>H433</f>
        <v>1092274</v>
      </c>
      <c r="I754" s="572">
        <f>I433</f>
        <v>738222</v>
      </c>
      <c r="J754" s="569">
        <f>J433</f>
        <v>28556116</v>
      </c>
      <c r="K754" s="569">
        <f t="shared" si="155"/>
        <v>0</v>
      </c>
    </row>
    <row r="755" spans="1:11">
      <c r="A755" s="565">
        <v>15</v>
      </c>
      <c r="C755" s="547" t="str">
        <f>'[5]FR-16(7)(v)-1 Functional'!C755</f>
        <v>NET FED INCOME TAX ALLOWABLE</v>
      </c>
      <c r="D755" s="549"/>
      <c r="E755" s="548"/>
      <c r="F755" s="569">
        <f>F676</f>
        <v>5015183</v>
      </c>
      <c r="G755" s="570">
        <f>G676</f>
        <v>4255266</v>
      </c>
      <c r="H755" s="571">
        <f>H676</f>
        <v>645279</v>
      </c>
      <c r="I755" s="572">
        <f>I676</f>
        <v>114638</v>
      </c>
      <c r="J755" s="569">
        <f>J676</f>
        <v>5015183</v>
      </c>
      <c r="K755" s="569">
        <f t="shared" si="155"/>
        <v>0</v>
      </c>
    </row>
    <row r="756" spans="1:11">
      <c r="A756" s="565">
        <v>16</v>
      </c>
      <c r="C756" s="547" t="str">
        <f>'[5]FR-16(7)(v)-1 Functional'!C756</f>
        <v>NET STATE INCOME TAX ALLOWABLE</v>
      </c>
      <c r="D756" s="549"/>
      <c r="E756" s="548"/>
      <c r="F756" s="569">
        <f>F722</f>
        <v>1116709</v>
      </c>
      <c r="G756" s="570">
        <f>G722</f>
        <v>927626</v>
      </c>
      <c r="H756" s="571">
        <f>H722</f>
        <v>150662</v>
      </c>
      <c r="I756" s="572">
        <f>I722</f>
        <v>38421</v>
      </c>
      <c r="J756" s="569">
        <f>J722</f>
        <v>1116709</v>
      </c>
      <c r="K756" s="569">
        <f t="shared" si="155"/>
        <v>0</v>
      </c>
    </row>
    <row r="757" spans="1:11">
      <c r="A757" s="565">
        <v>17</v>
      </c>
      <c r="C757" s="573" t="str">
        <f>'[5]FR-16(7)(v)-1 Functional'!C757</f>
        <v>TOTAL OTHER OPERATING REVENUES</v>
      </c>
      <c r="D757" s="549"/>
      <c r="E757" s="548"/>
      <c r="F757" s="569">
        <f>-F750</f>
        <v>-906669</v>
      </c>
      <c r="G757" s="570">
        <f>-G750</f>
        <v>-847343</v>
      </c>
      <c r="H757" s="571">
        <f>-H750</f>
        <v>0</v>
      </c>
      <c r="I757" s="572">
        <f>-I750</f>
        <v>-59326</v>
      </c>
      <c r="J757" s="569">
        <f>-J750</f>
        <v>-906669</v>
      </c>
      <c r="K757" s="569">
        <f t="shared" si="155"/>
        <v>0</v>
      </c>
    </row>
    <row r="758" spans="1:11">
      <c r="A758" s="565">
        <v>18</v>
      </c>
      <c r="C758" s="547" t="str">
        <f>'[5]FR-16(7)(v)-1 Functional'!C758</f>
        <v xml:space="preserve">  SUBTOTAL B</v>
      </c>
      <c r="D758" s="549"/>
      <c r="E758" s="548"/>
      <c r="F758" s="574">
        <f>SUM(F752:F757)</f>
        <v>144698908</v>
      </c>
      <c r="G758" s="575">
        <f>SUM(G752:G757)</f>
        <v>75281728</v>
      </c>
      <c r="H758" s="576">
        <f>SUM(H752:H757)</f>
        <v>66572665</v>
      </c>
      <c r="I758" s="577">
        <f>SUM(I752:I757)</f>
        <v>2844515</v>
      </c>
      <c r="J758" s="574">
        <f>SUM(J752:J757)</f>
        <v>144698908</v>
      </c>
      <c r="K758" s="618">
        <f t="shared" si="155"/>
        <v>0</v>
      </c>
    </row>
    <row r="759" spans="1:11">
      <c r="A759" s="565">
        <v>19</v>
      </c>
      <c r="D759" s="549"/>
      <c r="E759" s="548"/>
      <c r="G759" s="566"/>
      <c r="H759" s="567"/>
      <c r="I759" s="568"/>
    </row>
    <row r="760" spans="1:11">
      <c r="A760" s="565">
        <v>20</v>
      </c>
      <c r="C760" s="547" t="str">
        <f>'[5]FR-16(7)(v)-1 Functional'!C760</f>
        <v>TOTAL OTHER OPERATING REVENUES</v>
      </c>
      <c r="D760" s="549"/>
      <c r="E760" s="548"/>
      <c r="F760" s="569">
        <f>-F757</f>
        <v>906669</v>
      </c>
      <c r="G760" s="570">
        <f>-G757</f>
        <v>847343</v>
      </c>
      <c r="H760" s="571">
        <f>-H757</f>
        <v>0</v>
      </c>
      <c r="I760" s="572">
        <f>-I757</f>
        <v>59326</v>
      </c>
      <c r="J760" s="569">
        <f>-J757</f>
        <v>906669</v>
      </c>
      <c r="K760" s="569">
        <f>F760-J760</f>
        <v>0</v>
      </c>
    </row>
    <row r="761" spans="1:11">
      <c r="A761" s="565">
        <v>21</v>
      </c>
      <c r="C761" s="573" t="str">
        <f>'[5]FR-16(7)(v)-1 Functional'!C761</f>
        <v>LESS: REVS EXCL FROM REV TAX CALC</v>
      </c>
      <c r="D761" s="549"/>
      <c r="E761" s="548"/>
      <c r="F761" s="578">
        <f>'[5]FR-16(7)(v)-14 TOTAL CLASS'!H761</f>
        <v>0</v>
      </c>
      <c r="G761" s="570">
        <f>'[5]FR-16(7)(v)-3 PROD Demand'!H761+'[5]FR-16(7)(v)-7 TRANS Demand'!H761+'[5]FR-16(7)(v)-11 DIST Demand'!H761</f>
        <v>0</v>
      </c>
      <c r="H761" s="571">
        <f>'[5]FR-16(7)(v)-4 PROD Energy'!H761+'[5]FR-16(7)(v)-8 TRANS Energy'!H761+'[5]FR-16(7)(v)-12 DIST Energy'!H761</f>
        <v>0</v>
      </c>
      <c r="I761" s="572">
        <f>'[5]FR-16(7)(v)-5 PROD Cust'!H761+'[5]FR-16(7)(v)-9 TRANS Cust'!H761+'[5]FR-16(7)(v)-13 DIST Cust'!H761</f>
        <v>0</v>
      </c>
      <c r="J761" s="569">
        <f>SUM(G761:I761)</f>
        <v>0</v>
      </c>
      <c r="K761" s="569">
        <f>F761-J761</f>
        <v>0</v>
      </c>
    </row>
    <row r="762" spans="1:11">
      <c r="A762" s="565">
        <v>22</v>
      </c>
      <c r="C762" s="547" t="str">
        <f>'[5]FR-16(7)(v)-1 Functional'!C762</f>
        <v>OTHER OPERATING REVS TO BE TAXED</v>
      </c>
      <c r="D762" s="549"/>
      <c r="E762" s="548"/>
      <c r="F762" s="574">
        <f t="shared" ref="F762:K762" si="156">F760-F761</f>
        <v>906669</v>
      </c>
      <c r="G762" s="575">
        <f t="shared" si="156"/>
        <v>847343</v>
      </c>
      <c r="H762" s="576">
        <f t="shared" si="156"/>
        <v>0</v>
      </c>
      <c r="I762" s="577">
        <f t="shared" si="156"/>
        <v>59326</v>
      </c>
      <c r="J762" s="574">
        <f t="shared" si="156"/>
        <v>906669</v>
      </c>
      <c r="K762" s="574">
        <f t="shared" si="156"/>
        <v>0</v>
      </c>
    </row>
    <row r="763" spans="1:11">
      <c r="A763" s="565">
        <v>23</v>
      </c>
      <c r="D763" s="549"/>
      <c r="E763" s="548"/>
      <c r="G763" s="566"/>
      <c r="H763" s="567"/>
      <c r="I763" s="568"/>
    </row>
    <row r="764" spans="1:11">
      <c r="A764" s="565">
        <v>24</v>
      </c>
      <c r="C764" s="547" t="str">
        <f>'[5]FR-16(7)(v)-1 Functional'!C764</f>
        <v>REVENUE TAX FACTOR</v>
      </c>
      <c r="D764" s="549"/>
      <c r="E764" s="548"/>
      <c r="F764" s="628">
        <f t="shared" ref="F764:K764" si="157">ROUND(F817/(1-F817),8)</f>
        <v>0</v>
      </c>
      <c r="G764" s="649">
        <f t="shared" si="157"/>
        <v>0</v>
      </c>
      <c r="H764" s="650">
        <f t="shared" si="157"/>
        <v>0</v>
      </c>
      <c r="I764" s="651">
        <f t="shared" si="157"/>
        <v>0</v>
      </c>
      <c r="J764" s="628">
        <f t="shared" si="157"/>
        <v>0</v>
      </c>
      <c r="K764" s="628">
        <f t="shared" si="157"/>
        <v>0</v>
      </c>
    </row>
    <row r="765" spans="1:11">
      <c r="A765" s="565">
        <v>25</v>
      </c>
      <c r="C765" s="547" t="str">
        <f>'[5]FR-16(7)(v)-1 Functional'!C765</f>
        <v>REVENUE TAX ON OTHER OPER. REVS</v>
      </c>
      <c r="D765" s="549"/>
      <c r="E765" s="548"/>
      <c r="F765" s="569">
        <f>ROUND(F764*F762,0)</f>
        <v>0</v>
      </c>
      <c r="G765" s="570">
        <f>ROUND(G764*G762,0)</f>
        <v>0</v>
      </c>
      <c r="H765" s="571">
        <f>ROUND(H764*H762,0)</f>
        <v>0</v>
      </c>
      <c r="I765" s="572">
        <f>ROUND(I764*I762,0)</f>
        <v>0</v>
      </c>
      <c r="J765" s="569">
        <f>SUM(G765:I765)</f>
        <v>0</v>
      </c>
      <c r="K765" s="569">
        <f>F765-J765</f>
        <v>0</v>
      </c>
    </row>
    <row r="766" spans="1:11">
      <c r="A766" s="565">
        <v>26</v>
      </c>
      <c r="C766" s="547" t="str">
        <f>'[5]FR-16(7)(v)-1 Functional'!C766</f>
        <v>REVENUE TAX ON COST OF SERVICE</v>
      </c>
      <c r="D766" s="549"/>
      <c r="E766" s="548"/>
      <c r="F766" s="569">
        <f>ROUND(F764*F758,0)</f>
        <v>0</v>
      </c>
      <c r="G766" s="570">
        <f>ROUND(G764*G758,0)</f>
        <v>0</v>
      </c>
      <c r="H766" s="571">
        <f>ROUND(H764*H758,0)</f>
        <v>0</v>
      </c>
      <c r="I766" s="572">
        <f>ROUND(I764*I758,0)</f>
        <v>0</v>
      </c>
      <c r="J766" s="569">
        <f>SUM(G766:I766)</f>
        <v>0</v>
      </c>
      <c r="K766" s="569">
        <f>F766-J766</f>
        <v>0</v>
      </c>
    </row>
    <row r="767" spans="1:11">
      <c r="A767" s="565">
        <v>27</v>
      </c>
      <c r="C767" s="617" t="str">
        <f>'[5]FR-16(7)(v)-1 Functional'!C767</f>
        <v>TOTAL REVENUE TAX</v>
      </c>
      <c r="D767" s="549"/>
      <c r="E767" s="548"/>
      <c r="F767" s="574">
        <f>F766+F765</f>
        <v>0</v>
      </c>
      <c r="G767" s="575">
        <f>G766+G765</f>
        <v>0</v>
      </c>
      <c r="H767" s="576">
        <f>H766+H765</f>
        <v>0</v>
      </c>
      <c r="I767" s="577">
        <f>I766+I765</f>
        <v>0</v>
      </c>
      <c r="J767" s="574">
        <f>J766+J765</f>
        <v>0</v>
      </c>
      <c r="K767" s="618">
        <f>F767-J767</f>
        <v>0</v>
      </c>
    </row>
    <row r="768" spans="1:11">
      <c r="A768" s="565">
        <v>28</v>
      </c>
      <c r="D768" s="549"/>
      <c r="E768" s="548"/>
      <c r="F768" s="640"/>
      <c r="G768" s="643"/>
      <c r="H768" s="644"/>
      <c r="I768" s="645"/>
      <c r="J768" s="640"/>
      <c r="K768" s="569"/>
    </row>
    <row r="769" spans="1:11">
      <c r="A769" s="565">
        <v>29</v>
      </c>
      <c r="C769" s="547" t="s">
        <v>1174</v>
      </c>
      <c r="D769" s="549"/>
      <c r="E769" s="548"/>
      <c r="F769" s="640">
        <f>F24</f>
        <v>0</v>
      </c>
      <c r="G769" s="570">
        <f>G24</f>
        <v>0</v>
      </c>
      <c r="H769" s="571">
        <f>H24</f>
        <v>0</v>
      </c>
      <c r="I769" s="572">
        <f>I24</f>
        <v>0</v>
      </c>
      <c r="J769" s="640">
        <f>J24</f>
        <v>0</v>
      </c>
      <c r="K769" s="569">
        <f>F769-J769</f>
        <v>0</v>
      </c>
    </row>
    <row r="770" spans="1:11">
      <c r="A770" s="565">
        <v>30</v>
      </c>
      <c r="C770" s="617" t="str">
        <f>'[5]FR-16(7)(v)-1 Functional'!C770</f>
        <v xml:space="preserve">  TOTAL ELECTRIC COST OF SERVICE</v>
      </c>
      <c r="D770" s="549"/>
      <c r="E770" s="548"/>
      <c r="F770" s="574">
        <f t="shared" ref="F770:K770" si="158">F769+F767+F758</f>
        <v>144698908</v>
      </c>
      <c r="G770" s="575">
        <f t="shared" si="158"/>
        <v>75281728</v>
      </c>
      <c r="H770" s="576">
        <f t="shared" si="158"/>
        <v>66572665</v>
      </c>
      <c r="I770" s="577">
        <f t="shared" si="158"/>
        <v>2844515</v>
      </c>
      <c r="J770" s="574">
        <f t="shared" si="158"/>
        <v>144698908</v>
      </c>
      <c r="K770" s="574">
        <f t="shared" si="158"/>
        <v>0</v>
      </c>
    </row>
    <row r="771" spans="1:11">
      <c r="A771" s="565">
        <v>31</v>
      </c>
      <c r="D771" s="549"/>
      <c r="E771" s="548"/>
      <c r="G771" s="566"/>
      <c r="H771" s="567"/>
      <c r="I771" s="568"/>
    </row>
    <row r="772" spans="1:11">
      <c r="A772" s="565">
        <v>32</v>
      </c>
      <c r="B772" s="547" t="s">
        <v>1312</v>
      </c>
      <c r="D772" s="549"/>
      <c r="E772" s="548"/>
      <c r="F772" s="578">
        <f>'[5]FR-16(7)(v)-14 TOTAL CLASS'!H772</f>
        <v>65804878</v>
      </c>
      <c r="G772" s="570">
        <f>'[5]FR-16(7)(v)-3 PROD Demand'!H772+'[5]FR-16(7)(v)-7 TRANS Demand'!H772+'[5]FR-16(7)(v)-11 DIST Demand'!H772</f>
        <v>21472985</v>
      </c>
      <c r="H772" s="571">
        <f>'[5]FR-16(7)(v)-4 PROD Energy'!H772+'[5]FR-16(7)(v)-8 TRANS Energy'!H772+'[5]FR-16(7)(v)-12 DIST Energy'!H772</f>
        <v>38787354</v>
      </c>
      <c r="I772" s="572">
        <f>'[5]FR-16(7)(v)-5 PROD Cust'!H772+'[5]FR-16(7)(v)-9 TRANS Cust'!H772+'[5]FR-16(7)(v)-13 DIST Cust'!H772</f>
        <v>5544539</v>
      </c>
      <c r="J772" s="569">
        <f>SUM(G772:I772)</f>
        <v>65804878</v>
      </c>
      <c r="K772" s="569">
        <f>F772-J772</f>
        <v>0</v>
      </c>
    </row>
    <row r="773" spans="1:11">
      <c r="A773" s="565">
        <v>33</v>
      </c>
      <c r="B773" s="547" t="s">
        <v>1313</v>
      </c>
      <c r="D773" s="549"/>
      <c r="E773" s="548"/>
      <c r="F773" s="569">
        <f>-F770</f>
        <v>-144698908</v>
      </c>
      <c r="G773" s="570">
        <f>-G770</f>
        <v>-75281728</v>
      </c>
      <c r="H773" s="571">
        <f>-H770</f>
        <v>-66572665</v>
      </c>
      <c r="I773" s="572">
        <f>-I770</f>
        <v>-2844515</v>
      </c>
      <c r="J773" s="569">
        <f>SUM(G773:I773)</f>
        <v>-144698908</v>
      </c>
      <c r="K773" s="569">
        <f>F773-J773</f>
        <v>0</v>
      </c>
    </row>
    <row r="774" spans="1:11">
      <c r="A774" s="565">
        <v>34</v>
      </c>
      <c r="B774" s="547" t="s">
        <v>1314</v>
      </c>
      <c r="D774" s="549"/>
      <c r="E774" s="548"/>
      <c r="F774" s="569">
        <f>F773+F772</f>
        <v>-78894030</v>
      </c>
      <c r="G774" s="570">
        <f>G773+G772</f>
        <v>-53808743</v>
      </c>
      <c r="H774" s="571">
        <f>H773+H772</f>
        <v>-27785311</v>
      </c>
      <c r="I774" s="572">
        <f>I773+I772</f>
        <v>2700024</v>
      </c>
      <c r="J774" s="569">
        <f>SUM(G774:I774)</f>
        <v>-78894030</v>
      </c>
      <c r="K774" s="569">
        <f>F774-J774</f>
        <v>0</v>
      </c>
    </row>
    <row r="775" spans="1:11">
      <c r="A775" s="565">
        <v>35</v>
      </c>
      <c r="B775" s="547" t="s">
        <v>1308</v>
      </c>
      <c r="D775" s="549"/>
      <c r="E775" s="548"/>
      <c r="F775" s="628">
        <f t="shared" ref="F775:K775" si="159">F729</f>
        <v>0.24925115</v>
      </c>
      <c r="G775" s="649">
        <f t="shared" si="159"/>
        <v>0.24925115</v>
      </c>
      <c r="H775" s="650">
        <f t="shared" si="159"/>
        <v>0.24925115</v>
      </c>
      <c r="I775" s="651">
        <f t="shared" si="159"/>
        <v>0.24925115</v>
      </c>
      <c r="J775" s="628">
        <f t="shared" si="159"/>
        <v>0.24925115</v>
      </c>
      <c r="K775" s="628">
        <f t="shared" si="159"/>
        <v>0.24925115</v>
      </c>
    </row>
    <row r="776" spans="1:11">
      <c r="A776" s="565">
        <v>36</v>
      </c>
      <c r="B776" s="547" t="s">
        <v>1315</v>
      </c>
      <c r="D776" s="549"/>
      <c r="E776" s="548"/>
      <c r="F776" s="569">
        <f>ROUND(F775*F774,0)</f>
        <v>-19664428</v>
      </c>
      <c r="G776" s="570">
        <f>'[5]FR-16(7)(v)-3 PROD Demand'!H776+'[5]FR-16(7)(v)-7 TRANS Demand'!H776+'[5]FR-16(7)(v)-11 DIST Demand'!H776</f>
        <v>-13411892</v>
      </c>
      <c r="H776" s="571">
        <f>ROUND(H775*H774,0)</f>
        <v>-6925521</v>
      </c>
      <c r="I776" s="572">
        <f>ROUND(I775*I774,0)</f>
        <v>672984</v>
      </c>
      <c r="J776" s="569">
        <f>SUM(G776:I776)</f>
        <v>-19664429</v>
      </c>
      <c r="K776" s="569">
        <f>F776-J776</f>
        <v>1</v>
      </c>
    </row>
    <row r="777" spans="1:11">
      <c r="A777" s="565">
        <v>37</v>
      </c>
      <c r="B777" s="547" t="s">
        <v>1316</v>
      </c>
      <c r="D777" s="549"/>
      <c r="E777" s="548"/>
      <c r="F777" s="569">
        <f>F774-F776</f>
        <v>-59229602</v>
      </c>
      <c r="G777" s="619">
        <f>'[5]FR-16(7)(v)-3 PROD Demand'!H777+'[5]FR-16(7)(v)-7 TRANS Demand'!H777+'[5]FR-16(7)(v)-11 DIST Demand'!H777</f>
        <v>-40396851</v>
      </c>
      <c r="H777" s="620">
        <f>H774-H776</f>
        <v>-20859790</v>
      </c>
      <c r="I777" s="621">
        <f>I774-I776</f>
        <v>2027040</v>
      </c>
      <c r="J777" s="569">
        <f>SUM(G777:I777)</f>
        <v>-59229601</v>
      </c>
      <c r="K777" s="569">
        <f>F777-J777</f>
        <v>-1</v>
      </c>
    </row>
    <row r="778" spans="1:11">
      <c r="B778" s="548"/>
      <c r="C778" s="548"/>
      <c r="D778" s="549"/>
      <c r="E778" s="548"/>
    </row>
    <row r="779" spans="1:11">
      <c r="A779" s="546" t="str">
        <f>co_name</f>
        <v>DUKE ENERGY KENTUCKY, INC.</v>
      </c>
      <c r="C779" s="548"/>
      <c r="D779" s="549"/>
      <c r="E779" s="548"/>
      <c r="F779" s="548"/>
      <c r="G779" s="548"/>
      <c r="H779" s="548"/>
      <c r="I779" s="548"/>
      <c r="J779" s="548" t="str">
        <f>J1</f>
        <v>FR-16(7)(v)-16</v>
      </c>
      <c r="K779" s="548"/>
    </row>
    <row r="780" spans="1:11">
      <c r="A780" s="546" t="str">
        <f>$A$2</f>
        <v>DISTR. SEC. CLASSIFIED - ELECTRIC COST OF SERVICE</v>
      </c>
      <c r="C780" s="548"/>
      <c r="D780" s="549"/>
      <c r="E780" s="548"/>
      <c r="F780" s="548"/>
      <c r="G780" s="548"/>
      <c r="H780" s="548"/>
      <c r="I780" s="548"/>
      <c r="J780" s="548" t="str">
        <f>J2</f>
        <v>WITNESS RESPONSIBLE:</v>
      </c>
      <c r="K780" s="548"/>
    </row>
    <row r="781" spans="1:11">
      <c r="A781" s="546" t="str">
        <f>case_name</f>
        <v>CASE NO: 2024-00354</v>
      </c>
      <c r="C781" s="548"/>
      <c r="D781" s="549"/>
      <c r="E781" s="548"/>
      <c r="F781" s="548"/>
      <c r="G781" s="548"/>
      <c r="H781" s="548"/>
      <c r="I781" s="548"/>
      <c r="J781" s="548" t="str">
        <f>Witness</f>
        <v>JAMES E. ZIOLKOWSKI</v>
      </c>
      <c r="K781" s="548"/>
    </row>
    <row r="782" spans="1:11">
      <c r="A782" s="546" t="str">
        <f>data_filing</f>
        <v>DATA: 12 MONTHS ACTUAL  &amp; 0 MONTHS ESTIMATED</v>
      </c>
      <c r="C782" s="548"/>
      <c r="D782" s="549"/>
      <c r="E782" s="548"/>
      <c r="F782" s="548"/>
      <c r="G782" s="548"/>
      <c r="H782" s="548"/>
      <c r="I782" s="548"/>
      <c r="J782" s="548" t="str">
        <f>"PAGE "&amp;Pages2&amp;" OF "&amp;Pages2</f>
        <v>PAGE 15 OF 15</v>
      </c>
      <c r="K782" s="548"/>
    </row>
    <row r="783" spans="1:11">
      <c r="A783" s="546" t="str">
        <f>type</f>
        <v xml:space="preserve">TYPE OF FILING: "X" ORIGINAL   UPDATED    REVISED  </v>
      </c>
      <c r="C783" s="548"/>
      <c r="D783" s="549"/>
      <c r="E783" s="548"/>
      <c r="F783" s="548"/>
      <c r="G783" s="548"/>
      <c r="H783" s="548"/>
      <c r="I783" s="548"/>
      <c r="J783" s="548"/>
      <c r="K783" s="548"/>
    </row>
    <row r="784" spans="1:11">
      <c r="B784" s="546"/>
      <c r="C784" s="548"/>
      <c r="D784" s="549"/>
      <c r="E784" s="548"/>
      <c r="F784" s="548"/>
      <c r="G784" s="548"/>
      <c r="H784" s="548"/>
      <c r="I784" s="548"/>
      <c r="J784" s="548"/>
      <c r="K784" s="548"/>
    </row>
    <row r="785" spans="1:11">
      <c r="B785" s="546"/>
      <c r="C785" s="548"/>
      <c r="D785" s="549"/>
      <c r="E785" s="548"/>
      <c r="F785" s="548"/>
      <c r="G785" s="548"/>
      <c r="H785" s="548"/>
      <c r="I785" s="548"/>
      <c r="J785" s="548"/>
      <c r="K785" s="548"/>
    </row>
    <row r="786" spans="1:11">
      <c r="A786" s="549" t="s">
        <v>17</v>
      </c>
      <c r="B786" s="548"/>
      <c r="C786" s="548"/>
      <c r="D786" s="549"/>
      <c r="E786" s="548"/>
      <c r="F786" s="549" t="s">
        <v>11</v>
      </c>
      <c r="G786" s="552" t="s">
        <v>1162</v>
      </c>
      <c r="H786" s="553"/>
      <c r="I786" s="554"/>
      <c r="J786" s="549" t="s">
        <v>11</v>
      </c>
      <c r="K786" s="549" t="s">
        <v>1163</v>
      </c>
    </row>
    <row r="787" spans="1:11">
      <c r="A787" s="555" t="s">
        <v>1164</v>
      </c>
      <c r="B787" s="556" t="s">
        <v>1317</v>
      </c>
      <c r="C787" s="556"/>
      <c r="D787" s="555" t="s">
        <v>1166</v>
      </c>
      <c r="E787" s="556"/>
      <c r="F787" s="555" t="str">
        <f>$F$9</f>
        <v>DISTR. SEC.</v>
      </c>
      <c r="G787" s="611" t="str">
        <f t="shared" ref="G787:I788" si="160">G9</f>
        <v>DEMAND</v>
      </c>
      <c r="H787" s="612" t="str">
        <f t="shared" si="160"/>
        <v>ENERGY</v>
      </c>
      <c r="I787" s="613" t="str">
        <f t="shared" si="160"/>
        <v>CUSTOMER</v>
      </c>
      <c r="J787" s="555" t="s">
        <v>1169</v>
      </c>
      <c r="K787" s="555" t="s">
        <v>543</v>
      </c>
    </row>
    <row r="788" spans="1:11">
      <c r="C788" s="561" t="s">
        <v>1318</v>
      </c>
      <c r="D788" s="549"/>
      <c r="E788" s="548"/>
      <c r="G788" s="659">
        <f t="shared" si="160"/>
        <v>3</v>
      </c>
      <c r="H788" s="659">
        <f t="shared" si="160"/>
        <v>4</v>
      </c>
      <c r="I788" s="659">
        <f t="shared" si="160"/>
        <v>5</v>
      </c>
    </row>
    <row r="789" spans="1:11">
      <c r="A789" s="565">
        <v>1</v>
      </c>
      <c r="B789" s="547" t="s">
        <v>1319</v>
      </c>
      <c r="D789" s="549"/>
      <c r="E789" s="548"/>
    </row>
    <row r="790" spans="1:11">
      <c r="A790" s="565">
        <v>2</v>
      </c>
      <c r="B790" s="547" t="s">
        <v>1320</v>
      </c>
      <c r="D790" s="549"/>
      <c r="E790" s="548"/>
      <c r="G790" s="696" t="s">
        <v>1321</v>
      </c>
    </row>
    <row r="791" spans="1:11">
      <c r="A791" s="565">
        <v>3</v>
      </c>
      <c r="C791" s="547" t="str">
        <f>'[5]FR-16(7)(v)-1 Functional'!C791</f>
        <v>LONG TERM DEBT</v>
      </c>
      <c r="D791" s="549"/>
      <c r="E791" s="548"/>
      <c r="F791" s="578">
        <f>'[5]FR-16(7)(v)-1 Functional'!$F$791</f>
        <v>930883285.61461544</v>
      </c>
      <c r="G791" s="697">
        <f>IF(TotalCap=0,0,ROUND(F791/TotalCap,4))</f>
        <v>0.42480000000000001</v>
      </c>
    </row>
    <row r="792" spans="1:11">
      <c r="A792" s="565">
        <v>4</v>
      </c>
      <c r="C792" s="547" t="str">
        <f>'[5]FR-16(7)(v)-1 Functional'!C792</f>
        <v>PREFERRED STOCK</v>
      </c>
      <c r="D792" s="549"/>
      <c r="E792" s="548"/>
      <c r="F792" s="578">
        <f>'[5]FR-16(7)(v)-1 Functional'!$F$792</f>
        <v>0</v>
      </c>
      <c r="G792" s="697">
        <f>IF(TotalCap=0,0,ROUND(F792/TotalCap,4))</f>
        <v>0</v>
      </c>
    </row>
    <row r="793" spans="1:11">
      <c r="A793" s="565">
        <v>5</v>
      </c>
      <c r="C793" s="547" t="str">
        <f>'[5]FR-16(7)(v)-1 Functional'!C793</f>
        <v>COMMON STOCK</v>
      </c>
      <c r="D793" s="549"/>
      <c r="E793" s="548"/>
      <c r="F793" s="578">
        <f>[0]!Equity</f>
        <v>1155393756</v>
      </c>
      <c r="G793" s="697">
        <f>1-G791-G792-G794-G795</f>
        <v>0.52729999999999988</v>
      </c>
    </row>
    <row r="794" spans="1:11">
      <c r="A794" s="565">
        <v>6</v>
      </c>
      <c r="C794" s="547" t="str">
        <f>'[5]FR-16(7)(v)-1 Functional'!C794</f>
        <v>SHORT TERM DEBT</v>
      </c>
      <c r="D794" s="549"/>
      <c r="E794" s="548"/>
      <c r="F794" s="578">
        <f>'[5]FR-16(7)(v)-1 Functional'!$F$794</f>
        <v>104930903</v>
      </c>
      <c r="G794" s="697">
        <f>IF(TotalCap=0,0,ROUND(F794/TotalCap,4))</f>
        <v>4.7899999999999998E-2</v>
      </c>
    </row>
    <row r="795" spans="1:11">
      <c r="A795" s="565">
        <v>7</v>
      </c>
      <c r="C795" s="547" t="str">
        <f>'[5]FR-16(7)(v)-1 Functional'!C795</f>
        <v>UNAMORTIZED DISCOUNT</v>
      </c>
      <c r="D795" s="549"/>
      <c r="E795" s="548"/>
      <c r="F795" s="578">
        <f>'[5]FR-16(7)(v)-1 Functional'!$F$795</f>
        <v>0</v>
      </c>
      <c r="G795" s="697">
        <f>IF(TotalCap=0,0,ROUND(F795/TotalCap,4))</f>
        <v>0</v>
      </c>
    </row>
    <row r="796" spans="1:11">
      <c r="A796" s="565">
        <v>8</v>
      </c>
      <c r="C796" s="547" t="str">
        <f>'[5]FR-16(7)(v)-1 Functional'!C796</f>
        <v xml:space="preserve">  TOTAL</v>
      </c>
      <c r="D796" s="549"/>
      <c r="E796" s="548"/>
      <c r="F796" s="618">
        <f>SUM(F790:F795)</f>
        <v>2191207944.6146154</v>
      </c>
      <c r="G796" s="698">
        <f>SUM(G791:G795)</f>
        <v>1</v>
      </c>
    </row>
    <row r="797" spans="1:11">
      <c r="A797" s="565">
        <v>9</v>
      </c>
      <c r="D797" s="549"/>
      <c r="E797" s="548"/>
    </row>
    <row r="798" spans="1:11">
      <c r="A798" s="565">
        <v>10</v>
      </c>
      <c r="B798" s="547" t="s">
        <v>1322</v>
      </c>
      <c r="D798" s="549"/>
      <c r="E798" s="548"/>
    </row>
    <row r="799" spans="1:11">
      <c r="A799" s="565">
        <v>11</v>
      </c>
      <c r="C799" s="547" t="str">
        <f>'[5]FR-16(7)(v)-1 Functional'!C799</f>
        <v>LONG TERM DEBT</v>
      </c>
      <c r="D799" s="549"/>
      <c r="E799" s="548"/>
      <c r="F799" s="699">
        <f>'[5]FR-16(7)(v)-1 Functional'!$F$799</f>
        <v>4.929E-2</v>
      </c>
      <c r="G799" s="700"/>
      <c r="H799" s="700"/>
      <c r="I799" s="700"/>
    </row>
    <row r="800" spans="1:11">
      <c r="A800" s="565">
        <v>12</v>
      </c>
      <c r="C800" s="547" t="str">
        <f>'[5]FR-16(7)(v)-1 Functional'!C800</f>
        <v>PREFERRED STOCK</v>
      </c>
      <c r="D800" s="549"/>
      <c r="E800" s="548"/>
      <c r="F800" s="699">
        <f>'[5]FR-16(7)(v)-1 Functional'!$F$800</f>
        <v>0</v>
      </c>
      <c r="G800" s="700"/>
      <c r="H800" s="700"/>
      <c r="I800" s="700"/>
    </row>
    <row r="801" spans="1:11">
      <c r="A801" s="565">
        <v>13</v>
      </c>
      <c r="C801" s="547" t="str">
        <f>'[5]FR-16(7)(v)-1 Functional'!C801</f>
        <v>COMMON STOCK</v>
      </c>
      <c r="D801" s="549"/>
      <c r="E801" s="548"/>
      <c r="F801" s="699">
        <f>'[5]FR-16(7)(v)-1 Functional'!$F$801</f>
        <v>0.1085</v>
      </c>
      <c r="G801" s="700"/>
      <c r="H801" s="700"/>
      <c r="I801" s="700"/>
    </row>
    <row r="802" spans="1:11">
      <c r="A802" s="565">
        <v>14</v>
      </c>
      <c r="C802" s="547" t="str">
        <f>'[5]FR-16(7)(v)-1 Functional'!C802</f>
        <v>SHORT TERM DEBT</v>
      </c>
      <c r="D802" s="549"/>
      <c r="E802" s="548"/>
      <c r="F802" s="699">
        <f>'[5]FR-16(7)(v)-1 Functional'!$F$802</f>
        <v>3.1969999999999998E-2</v>
      </c>
      <c r="G802" s="700"/>
      <c r="H802" s="700"/>
      <c r="I802" s="700"/>
    </row>
    <row r="803" spans="1:11">
      <c r="A803" s="565">
        <v>15</v>
      </c>
      <c r="C803" s="547" t="str">
        <f>'[5]FR-16(7)(v)-1 Functional'!C803</f>
        <v>UNAMORTIZED DISCOUNT</v>
      </c>
      <c r="D803" s="549"/>
      <c r="E803" s="548"/>
      <c r="F803" s="699">
        <f>'[5]FR-16(7)(v)-1 Functional'!$F$803</f>
        <v>0</v>
      </c>
      <c r="G803" s="700"/>
      <c r="H803" s="700"/>
      <c r="I803" s="700"/>
    </row>
    <row r="804" spans="1:11">
      <c r="A804" s="565">
        <v>16</v>
      </c>
      <c r="D804" s="549"/>
      <c r="E804" s="548"/>
    </row>
    <row r="805" spans="1:11">
      <c r="A805" s="565">
        <v>17</v>
      </c>
      <c r="B805" s="547" t="s">
        <v>1323</v>
      </c>
      <c r="D805" s="549"/>
      <c r="E805" s="548"/>
    </row>
    <row r="806" spans="1:11">
      <c r="A806" s="565">
        <v>18</v>
      </c>
      <c r="C806" s="547" t="str">
        <f>'[5]FR-16(7)(v)-1 Functional'!C806</f>
        <v>LONG TERM DEBT</v>
      </c>
      <c r="D806" s="549"/>
      <c r="E806" s="548"/>
      <c r="F806" s="697">
        <f>ROUND(G791*F799,4)</f>
        <v>2.0899999999999998E-2</v>
      </c>
      <c r="G806" s="697"/>
      <c r="H806" s="697"/>
      <c r="I806" s="697"/>
    </row>
    <row r="807" spans="1:11">
      <c r="A807" s="565">
        <v>19</v>
      </c>
      <c r="C807" s="547" t="str">
        <f>'[5]FR-16(7)(v)-1 Functional'!C807</f>
        <v>PREFERRED STOCK</v>
      </c>
      <c r="D807" s="549"/>
      <c r="E807" s="548"/>
      <c r="F807" s="697">
        <f>ROUND(G792*F800,4)</f>
        <v>0</v>
      </c>
      <c r="G807" s="697"/>
      <c r="H807" s="697"/>
      <c r="I807" s="697"/>
    </row>
    <row r="808" spans="1:11">
      <c r="A808" s="565">
        <v>20</v>
      </c>
      <c r="C808" s="547" t="str">
        <f>'[5]FR-16(7)(v)-1 Functional'!C808</f>
        <v>COMMON STOCK</v>
      </c>
      <c r="D808" s="549"/>
      <c r="E808" s="548"/>
      <c r="F808" s="697">
        <f>ROUND(G793*F801,4)</f>
        <v>5.7200000000000001E-2</v>
      </c>
      <c r="G808" s="697"/>
      <c r="H808" s="697"/>
      <c r="I808" s="697"/>
    </row>
    <row r="809" spans="1:11">
      <c r="A809" s="565">
        <v>21</v>
      </c>
      <c r="C809" s="547" t="str">
        <f>'[5]FR-16(7)(v)-1 Functional'!C809</f>
        <v>SHORT TERM DEBT</v>
      </c>
      <c r="D809" s="549"/>
      <c r="E809" s="548"/>
      <c r="F809" s="697">
        <f>ROUND(G794*F802,4)</f>
        <v>1.5E-3</v>
      </c>
      <c r="G809" s="697"/>
      <c r="H809" s="697"/>
      <c r="I809" s="697"/>
    </row>
    <row r="810" spans="1:11">
      <c r="A810" s="565">
        <v>22</v>
      </c>
      <c r="C810" s="547" t="str">
        <f>'[5]FR-16(7)(v)-1 Functional'!C810</f>
        <v>UNAMORTIZED DISCOUNT</v>
      </c>
      <c r="D810" s="549"/>
      <c r="E810" s="548"/>
      <c r="F810" s="697">
        <f>ROUND(G795*F803,4)</f>
        <v>0</v>
      </c>
      <c r="G810" s="697"/>
      <c r="H810" s="697"/>
      <c r="I810" s="697"/>
    </row>
    <row r="811" spans="1:11">
      <c r="A811" s="565">
        <v>23</v>
      </c>
      <c r="C811" s="547" t="str">
        <f>'[5]FR-16(7)(v)-1 Functional'!C811</f>
        <v xml:space="preserve">  TOT RATE OF RETURN ALLOWABLE</v>
      </c>
      <c r="D811" s="549"/>
      <c r="E811" s="548"/>
      <c r="F811" s="701">
        <f>SUM(F806:F810)</f>
        <v>7.9600000000000004E-2</v>
      </c>
      <c r="G811" s="697"/>
      <c r="H811" s="697"/>
      <c r="I811" s="697"/>
    </row>
    <row r="812" spans="1:11">
      <c r="A812" s="565">
        <v>24</v>
      </c>
      <c r="D812" s="549"/>
      <c r="E812" s="548"/>
    </row>
    <row r="813" spans="1:11">
      <c r="A813" s="565">
        <v>25</v>
      </c>
      <c r="B813" s="547" t="s">
        <v>1324</v>
      </c>
      <c r="D813" s="549"/>
      <c r="E813" s="548"/>
    </row>
    <row r="814" spans="1:11">
      <c r="A814" s="565">
        <v>26</v>
      </c>
      <c r="C814" s="547" t="str">
        <f>'[5]FR-16(7)(v)-1 Functional'!C814</f>
        <v>SHORT TERM DEBT COST</v>
      </c>
      <c r="D814" s="549"/>
      <c r="E814" s="548"/>
      <c r="F814" s="700">
        <v>0</v>
      </c>
      <c r="G814" s="702">
        <f>F814</f>
        <v>0</v>
      </c>
      <c r="H814" s="702">
        <f>F814</f>
        <v>0</v>
      </c>
      <c r="I814" s="702">
        <f>F814</f>
        <v>0</v>
      </c>
      <c r="J814" s="702">
        <f>F814</f>
        <v>0</v>
      </c>
      <c r="K814" s="702">
        <f>F814</f>
        <v>0</v>
      </c>
    </row>
    <row r="815" spans="1:11">
      <c r="A815" s="565">
        <v>27</v>
      </c>
      <c r="C815" s="547" t="str">
        <f>'[5]FR-16(7)(v)-1 Functional'!C815</f>
        <v>FEDERAL INCOME TAX RATE</v>
      </c>
      <c r="D815" s="549"/>
      <c r="E815" s="548"/>
      <c r="F815" s="699">
        <f t="shared" ref="F815:K815" si="161">FIT</f>
        <v>0.21</v>
      </c>
      <c r="G815" s="702">
        <f t="shared" si="161"/>
        <v>0.21</v>
      </c>
      <c r="H815" s="702">
        <f t="shared" si="161"/>
        <v>0.21</v>
      </c>
      <c r="I815" s="702">
        <f t="shared" si="161"/>
        <v>0.21</v>
      </c>
      <c r="J815" s="702">
        <f t="shared" si="161"/>
        <v>0.21</v>
      </c>
      <c r="K815" s="702">
        <f t="shared" si="161"/>
        <v>0.21</v>
      </c>
    </row>
    <row r="816" spans="1:11">
      <c r="A816" s="565">
        <v>28</v>
      </c>
      <c r="C816" s="547" t="str">
        <f>'[5]FR-16(7)(v)-1 Functional'!C816</f>
        <v>STATE INCOME TAX RATE</v>
      </c>
      <c r="D816" s="549"/>
      <c r="E816" s="548"/>
      <c r="F816" s="699">
        <f t="shared" ref="F816:K816" si="162">SIT</f>
        <v>4.9685000000000007E-2</v>
      </c>
      <c r="G816" s="702">
        <f t="shared" si="162"/>
        <v>4.9685000000000007E-2</v>
      </c>
      <c r="H816" s="702">
        <f t="shared" si="162"/>
        <v>4.9685000000000007E-2</v>
      </c>
      <c r="I816" s="702">
        <f t="shared" si="162"/>
        <v>4.9685000000000007E-2</v>
      </c>
      <c r="J816" s="702">
        <f t="shared" si="162"/>
        <v>4.9685000000000007E-2</v>
      </c>
      <c r="K816" s="702">
        <f t="shared" si="162"/>
        <v>4.9685000000000007E-2</v>
      </c>
    </row>
    <row r="817" spans="1:11">
      <c r="A817" s="565">
        <v>29</v>
      </c>
      <c r="C817" s="547" t="str">
        <f>'[5]FR-16(7)(v)-1 Functional'!C817</f>
        <v>REVENUE TAX RATE</v>
      </c>
      <c r="D817" s="549"/>
      <c r="E817" s="548"/>
      <c r="F817" s="700">
        <v>0</v>
      </c>
      <c r="G817" s="702">
        <f>RevTax</f>
        <v>0</v>
      </c>
      <c r="H817" s="702">
        <f>RevTax</f>
        <v>0</v>
      </c>
      <c r="I817" s="702">
        <f>RevTax</f>
        <v>0</v>
      </c>
      <c r="J817" s="702">
        <f>RevTax</f>
        <v>0</v>
      </c>
      <c r="K817" s="702">
        <f>RevTax</f>
        <v>0</v>
      </c>
    </row>
    <row r="819" spans="1:11">
      <c r="A819" s="546"/>
      <c r="C819" s="548"/>
      <c r="D819" s="549"/>
      <c r="E819" s="548"/>
      <c r="F819" s="548"/>
      <c r="G819" s="548"/>
      <c r="H819" s="548"/>
      <c r="I819" s="548"/>
      <c r="J819" s="548"/>
      <c r="K819" s="548"/>
    </row>
    <row r="820" spans="1:11">
      <c r="A820" s="546"/>
      <c r="C820" s="548"/>
      <c r="D820" s="549"/>
      <c r="E820" s="548"/>
      <c r="F820" s="548"/>
      <c r="G820" s="548"/>
      <c r="H820" s="548"/>
      <c r="I820" s="548"/>
      <c r="J820" s="548"/>
      <c r="K820" s="548"/>
    </row>
    <row r="821" spans="1:11">
      <c r="A821" s="546"/>
      <c r="C821" s="548"/>
      <c r="D821" s="549"/>
      <c r="E821" s="548"/>
      <c r="F821" s="548"/>
      <c r="G821" s="548"/>
      <c r="H821" s="548"/>
      <c r="I821" s="548"/>
      <c r="J821" s="548"/>
      <c r="K821" s="548"/>
    </row>
    <row r="822" spans="1:11">
      <c r="A822" s="546"/>
      <c r="C822" s="548"/>
      <c r="D822" s="549"/>
      <c r="E822" s="548"/>
      <c r="F822" s="548"/>
      <c r="G822" s="548"/>
      <c r="H822" s="548"/>
      <c r="I822" s="548"/>
      <c r="J822" s="548"/>
      <c r="K822" s="548"/>
    </row>
    <row r="823" spans="1:11">
      <c r="A823" s="546"/>
      <c r="C823" s="548"/>
      <c r="D823" s="549"/>
      <c r="E823" s="548"/>
      <c r="F823" s="548"/>
      <c r="G823" s="548"/>
      <c r="H823" s="548"/>
      <c r="I823" s="548"/>
      <c r="J823" s="548"/>
      <c r="K823" s="548"/>
    </row>
    <row r="870" spans="1:11">
      <c r="A870" s="546"/>
      <c r="C870" s="548"/>
      <c r="D870" s="549"/>
      <c r="E870" s="548"/>
      <c r="F870" s="548"/>
      <c r="G870" s="548"/>
      <c r="H870" s="548"/>
      <c r="I870" s="548"/>
      <c r="J870" s="548"/>
      <c r="K870" s="548"/>
    </row>
    <row r="871" spans="1:11">
      <c r="A871" s="546"/>
      <c r="C871" s="548"/>
      <c r="D871" s="549"/>
      <c r="E871" s="548"/>
      <c r="F871" s="548"/>
      <c r="G871" s="548"/>
      <c r="H871" s="548"/>
      <c r="I871" s="548"/>
      <c r="J871" s="548"/>
      <c r="K871" s="548"/>
    </row>
    <row r="872" spans="1:11">
      <c r="A872" s="546"/>
      <c r="C872" s="548"/>
      <c r="D872" s="549"/>
      <c r="E872" s="548"/>
      <c r="F872" s="548"/>
      <c r="G872" s="548"/>
      <c r="H872" s="548"/>
      <c r="I872" s="548"/>
      <c r="J872" s="548"/>
      <c r="K872" s="548"/>
    </row>
    <row r="873" spans="1:11">
      <c r="A873" s="546"/>
      <c r="C873" s="548"/>
      <c r="D873" s="549"/>
      <c r="E873" s="548"/>
      <c r="F873" s="548"/>
      <c r="G873" s="548"/>
      <c r="H873" s="548"/>
      <c r="I873" s="548"/>
      <c r="J873" s="548"/>
      <c r="K873" s="548"/>
    </row>
    <row r="874" spans="1:11">
      <c r="A874" s="546"/>
      <c r="C874" s="548"/>
      <c r="D874" s="549"/>
      <c r="E874" s="548"/>
      <c r="F874" s="548"/>
      <c r="G874" s="548"/>
      <c r="H874" s="548"/>
      <c r="I874" s="548"/>
      <c r="J874" s="548"/>
      <c r="K874" s="548"/>
    </row>
    <row r="928" spans="1:11">
      <c r="A928" s="546"/>
      <c r="C928" s="548"/>
      <c r="D928" s="549"/>
      <c r="E928" s="548"/>
      <c r="F928" s="548"/>
      <c r="G928" s="548"/>
      <c r="H928" s="548"/>
      <c r="I928" s="548"/>
      <c r="J928" s="548"/>
      <c r="K928" s="548"/>
    </row>
    <row r="929" spans="1:11">
      <c r="A929" s="546"/>
      <c r="C929" s="548"/>
      <c r="D929" s="549"/>
      <c r="E929" s="548"/>
      <c r="F929" s="548"/>
      <c r="G929" s="548"/>
      <c r="H929" s="548"/>
      <c r="I929" s="548"/>
      <c r="J929" s="548"/>
      <c r="K929" s="548"/>
    </row>
    <row r="930" spans="1:11">
      <c r="A930" s="546"/>
      <c r="C930" s="548"/>
      <c r="D930" s="549"/>
      <c r="E930" s="548"/>
      <c r="F930" s="548"/>
      <c r="G930" s="548"/>
      <c r="H930" s="548"/>
      <c r="I930" s="548"/>
      <c r="J930" s="548"/>
      <c r="K930" s="548"/>
    </row>
    <row r="931" spans="1:11">
      <c r="A931" s="546"/>
      <c r="C931" s="548"/>
      <c r="D931" s="549"/>
      <c r="E931" s="548"/>
      <c r="F931" s="548"/>
      <c r="G931" s="548"/>
      <c r="H931" s="548"/>
      <c r="I931" s="548"/>
      <c r="J931" s="548"/>
      <c r="K931" s="548"/>
    </row>
    <row r="932" spans="1:11">
      <c r="A932" s="546"/>
      <c r="C932" s="548"/>
      <c r="D932" s="549"/>
      <c r="E932" s="548"/>
      <c r="F932" s="548"/>
      <c r="G932" s="548"/>
      <c r="H932" s="548"/>
      <c r="I932" s="548"/>
      <c r="J932" s="548"/>
      <c r="K932" s="548"/>
    </row>
    <row r="984" spans="1:11" ht="20.25">
      <c r="A984" s="703" t="s">
        <v>1325</v>
      </c>
      <c r="D984" s="547"/>
    </row>
    <row r="986" spans="1:11">
      <c r="A986" s="546" t="str">
        <f>co_name</f>
        <v>DUKE ENERGY KENTUCKY, INC.</v>
      </c>
      <c r="C986" s="548"/>
      <c r="D986" s="549"/>
      <c r="E986" s="548"/>
      <c r="F986" s="548"/>
      <c r="G986" s="548"/>
      <c r="H986" s="548"/>
      <c r="I986" s="548"/>
      <c r="J986" s="548" t="str">
        <f>J1</f>
        <v>FR-16(7)(v)-16</v>
      </c>
      <c r="K986" s="548"/>
    </row>
    <row r="987" spans="1:11">
      <c r="A987" s="546" t="str">
        <f>$A$2</f>
        <v>DISTR. SEC. CLASSIFIED - ELECTRIC COST OF SERVICE</v>
      </c>
      <c r="C987" s="548"/>
      <c r="D987" s="549"/>
      <c r="E987" s="548"/>
      <c r="F987" s="548"/>
      <c r="G987" s="548"/>
      <c r="H987" s="548"/>
      <c r="I987" s="548"/>
      <c r="J987" s="548" t="str">
        <f>J2</f>
        <v>WITNESS RESPONSIBLE:</v>
      </c>
      <c r="K987" s="548"/>
    </row>
    <row r="988" spans="1:11">
      <c r="A988" s="546" t="str">
        <f>case_name</f>
        <v>CASE NO: 2024-00354</v>
      </c>
      <c r="C988" s="548"/>
      <c r="D988" s="549"/>
      <c r="E988" s="548"/>
      <c r="F988" s="548"/>
      <c r="G988" s="548"/>
      <c r="H988" s="548"/>
      <c r="I988" s="548"/>
      <c r="J988" s="548" t="str">
        <f>Witness</f>
        <v>JAMES E. ZIOLKOWSKI</v>
      </c>
      <c r="K988" s="548"/>
    </row>
    <row r="989" spans="1:11">
      <c r="A989" s="546" t="str">
        <f>data_filing</f>
        <v>DATA: 12 MONTHS ACTUAL  &amp; 0 MONTHS ESTIMATED</v>
      </c>
      <c r="C989" s="548"/>
      <c r="D989" s="549"/>
      <c r="E989" s="548"/>
      <c r="F989" s="548"/>
      <c r="G989" s="548"/>
      <c r="H989" s="548"/>
      <c r="I989" s="548"/>
      <c r="J989" s="548" t="str">
        <f>"PAGE "&amp;Pages2&amp;" OF "&amp;Pages2</f>
        <v>PAGE 15 OF 15</v>
      </c>
      <c r="K989" s="548"/>
    </row>
    <row r="990" spans="1:11">
      <c r="A990" s="546" t="str">
        <f>type</f>
        <v xml:space="preserve">TYPE OF FILING: "X" ORIGINAL   UPDATED    REVISED  </v>
      </c>
      <c r="C990" s="548"/>
      <c r="D990" s="549"/>
      <c r="E990" s="548"/>
      <c r="F990" s="548"/>
      <c r="G990" s="548"/>
      <c r="H990" s="548"/>
      <c r="I990" s="548"/>
      <c r="J990" s="548"/>
      <c r="K990" s="548"/>
    </row>
    <row r="993" spans="1:11">
      <c r="A993" s="549" t="s">
        <v>17</v>
      </c>
      <c r="B993" s="548"/>
      <c r="C993" s="548"/>
      <c r="D993" s="549"/>
      <c r="E993" s="548"/>
      <c r="F993" s="549" t="s">
        <v>11</v>
      </c>
      <c r="G993" s="552" t="s">
        <v>1162</v>
      </c>
      <c r="H993" s="553"/>
      <c r="I993" s="554"/>
      <c r="J993" s="549" t="s">
        <v>11</v>
      </c>
      <c r="K993" s="549" t="s">
        <v>1163</v>
      </c>
    </row>
    <row r="994" spans="1:11">
      <c r="A994" s="555" t="s">
        <v>1164</v>
      </c>
      <c r="B994" s="556" t="s">
        <v>1326</v>
      </c>
      <c r="C994" s="556"/>
      <c r="D994" s="555" t="s">
        <v>1166</v>
      </c>
      <c r="E994" s="556"/>
      <c r="F994" s="555" t="str">
        <f>$F$9</f>
        <v>DISTR. SEC.</v>
      </c>
      <c r="G994" s="611" t="s">
        <v>108</v>
      </c>
      <c r="H994" s="612" t="s">
        <v>1327</v>
      </c>
      <c r="I994" s="613" t="s">
        <v>20</v>
      </c>
      <c r="J994" s="555" t="s">
        <v>1169</v>
      </c>
      <c r="K994" s="555" t="s">
        <v>543</v>
      </c>
    </row>
    <row r="995" spans="1:11">
      <c r="B995" s="548"/>
      <c r="C995" s="561" t="s">
        <v>1328</v>
      </c>
      <c r="D995" s="549"/>
      <c r="E995" s="548"/>
      <c r="G995" s="614">
        <f>G10</f>
        <v>3</v>
      </c>
      <c r="H995" s="615">
        <f>H10</f>
        <v>4</v>
      </c>
      <c r="I995" s="616">
        <f>I10</f>
        <v>5</v>
      </c>
    </row>
    <row r="996" spans="1:11">
      <c r="A996" s="565">
        <v>1</v>
      </c>
      <c r="B996" s="547" t="s">
        <v>1171</v>
      </c>
      <c r="D996" s="549"/>
      <c r="E996" s="548"/>
      <c r="G996" s="566"/>
      <c r="H996" s="567"/>
      <c r="I996" s="568"/>
    </row>
    <row r="997" spans="1:11">
      <c r="A997" s="565">
        <v>2</v>
      </c>
      <c r="C997" s="547" t="str">
        <f>'[5]FR-16(7)(v)-1 Functional'!C1008</f>
        <v>TOTAL ELECTRIC COST OF SERVICE</v>
      </c>
      <c r="D997" s="549"/>
      <c r="E997" s="548"/>
      <c r="F997" s="569">
        <f t="shared" ref="F997:K997" si="163">F770</f>
        <v>144698908</v>
      </c>
      <c r="G997" s="570">
        <f t="shared" si="163"/>
        <v>75281728</v>
      </c>
      <c r="H997" s="571">
        <f t="shared" si="163"/>
        <v>66572665</v>
      </c>
      <c r="I997" s="572">
        <f t="shared" si="163"/>
        <v>2844515</v>
      </c>
      <c r="J997" s="569">
        <f t="shared" si="163"/>
        <v>144698908</v>
      </c>
      <c r="K997" s="569">
        <f t="shared" si="163"/>
        <v>0</v>
      </c>
    </row>
    <row r="998" spans="1:11">
      <c r="A998" s="565">
        <v>3</v>
      </c>
      <c r="C998" s="573" t="str">
        <f>'[5]FR-16(7)(v)-1 Functional'!C1009</f>
        <v>TOTAL OTHER OPERATING REVENUES</v>
      </c>
      <c r="D998" s="549"/>
      <c r="E998" s="548"/>
      <c r="F998" s="569">
        <f t="shared" ref="F998:K998" si="164">F750</f>
        <v>906669</v>
      </c>
      <c r="G998" s="570">
        <f t="shared" si="164"/>
        <v>847343</v>
      </c>
      <c r="H998" s="571">
        <f t="shared" si="164"/>
        <v>0</v>
      </c>
      <c r="I998" s="572">
        <f t="shared" si="164"/>
        <v>59326</v>
      </c>
      <c r="J998" s="569">
        <f t="shared" si="164"/>
        <v>906669</v>
      </c>
      <c r="K998" s="569">
        <f t="shared" si="164"/>
        <v>0</v>
      </c>
    </row>
    <row r="999" spans="1:11">
      <c r="A999" s="565">
        <v>4</v>
      </c>
      <c r="C999" s="547" t="str">
        <f>'[5]FR-16(7)(v)-1 Functional'!C1010</f>
        <v xml:space="preserve">  TOTAL ELECTRIC REVENUE</v>
      </c>
      <c r="D999" s="549"/>
      <c r="E999" s="548"/>
      <c r="F999" s="574">
        <f t="shared" ref="F999:K999" si="165">SUM(F996:F998)</f>
        <v>145605577</v>
      </c>
      <c r="G999" s="575">
        <f t="shared" si="165"/>
        <v>76129071</v>
      </c>
      <c r="H999" s="576">
        <f t="shared" si="165"/>
        <v>66572665</v>
      </c>
      <c r="I999" s="577">
        <f t="shared" si="165"/>
        <v>2903841</v>
      </c>
      <c r="J999" s="574">
        <f t="shared" si="165"/>
        <v>145605577</v>
      </c>
      <c r="K999" s="574">
        <f t="shared" si="165"/>
        <v>0</v>
      </c>
    </row>
    <row r="1000" spans="1:11">
      <c r="A1000" s="565">
        <v>5</v>
      </c>
      <c r="C1000" s="547" t="str">
        <f>'[5]FR-16(7)(v)-1 Functional'!C1011</f>
        <v>TOTAL OP EXP EX INC &amp; REV TAX</v>
      </c>
      <c r="D1000" s="549"/>
      <c r="E1000" s="548"/>
      <c r="F1000" s="569">
        <f t="shared" ref="F1000:K1000" si="166">-F618</f>
        <v>-110917569</v>
      </c>
      <c r="G1000" s="570">
        <f t="shared" si="166"/>
        <v>-44220559</v>
      </c>
      <c r="H1000" s="571">
        <f t="shared" si="166"/>
        <v>-64684450</v>
      </c>
      <c r="I1000" s="572">
        <f t="shared" si="166"/>
        <v>-2012560</v>
      </c>
      <c r="J1000" s="569">
        <f t="shared" si="166"/>
        <v>-110917569</v>
      </c>
      <c r="K1000" s="569">
        <f t="shared" si="166"/>
        <v>0</v>
      </c>
    </row>
    <row r="1001" spans="1:11">
      <c r="A1001" s="565">
        <v>6</v>
      </c>
      <c r="C1001" s="573" t="str">
        <f>'[5]FR-16(7)(v)-1 Functional'!C1012</f>
        <v>FIRM SERVICE REVENUE TAX</v>
      </c>
      <c r="D1001" s="549"/>
      <c r="E1001" s="548"/>
      <c r="F1001" s="569">
        <f>-ROUND(F817*F997,0)</f>
        <v>0</v>
      </c>
      <c r="G1001" s="570">
        <f>-ROUND(G817*G997,0)</f>
        <v>0</v>
      </c>
      <c r="H1001" s="571">
        <f>-ROUND(H817*H997,0)</f>
        <v>0</v>
      </c>
      <c r="I1001" s="572">
        <f>-ROUND(I817*I997,0)</f>
        <v>0</v>
      </c>
      <c r="J1001" s="640">
        <f>SUM(G1001:I1001)</f>
        <v>0</v>
      </c>
      <c r="K1001" s="569">
        <f>-ROUND('[5]FR-16(7)(v)-1 Functional'!K817*K997,0)</f>
        <v>0</v>
      </c>
    </row>
    <row r="1002" spans="1:11">
      <c r="A1002" s="565">
        <v>7</v>
      </c>
      <c r="C1002" s="547" t="str">
        <f>'[5]FR-16(7)(v)-1 Functional'!C1013</f>
        <v xml:space="preserve">  NET INCOME</v>
      </c>
      <c r="D1002" s="549"/>
      <c r="E1002" s="548"/>
      <c r="F1002" s="574">
        <f>SUM(F999:F1001)</f>
        <v>34688008</v>
      </c>
      <c r="G1002" s="575">
        <f>SUM(G999:G1001)</f>
        <v>31908512</v>
      </c>
      <c r="H1002" s="576">
        <f>SUM(H999:H1001)</f>
        <v>1888215</v>
      </c>
      <c r="I1002" s="577">
        <f>SUM(I999:I1001)</f>
        <v>891281</v>
      </c>
      <c r="J1002" s="574">
        <f>SUM(G1002:I1002)</f>
        <v>34688008</v>
      </c>
      <c r="K1002" s="574">
        <f>SUM(K999:K1001)</f>
        <v>0</v>
      </c>
    </row>
    <row r="1003" spans="1:11">
      <c r="A1003" s="565">
        <v>8</v>
      </c>
      <c r="D1003" s="549"/>
      <c r="E1003" s="548"/>
      <c r="G1003" s="566"/>
      <c r="H1003" s="567"/>
      <c r="I1003" s="568"/>
    </row>
    <row r="1004" spans="1:11">
      <c r="A1004" s="565">
        <v>9</v>
      </c>
      <c r="B1004" s="547" t="s">
        <v>1329</v>
      </c>
      <c r="D1004" s="549"/>
      <c r="E1004" s="548"/>
      <c r="G1004" s="566"/>
      <c r="H1004" s="567"/>
      <c r="I1004" s="568"/>
    </row>
    <row r="1005" spans="1:11">
      <c r="A1005" s="565">
        <v>10</v>
      </c>
      <c r="C1005" s="547" t="str">
        <f>'[5]FR-16(7)(v)-1 Functional'!C1016</f>
        <v>TOTAL INTEREST EXPENSE</v>
      </c>
      <c r="D1005" s="549"/>
      <c r="E1005" s="548"/>
      <c r="F1005" s="569">
        <f t="shared" ref="F1005:K1005" si="167">-F633</f>
        <v>-8053238</v>
      </c>
      <c r="G1005" s="570">
        <f t="shared" si="167"/>
        <v>-7537012</v>
      </c>
      <c r="H1005" s="571">
        <f t="shared" si="167"/>
        <v>-308037</v>
      </c>
      <c r="I1005" s="572">
        <f t="shared" si="167"/>
        <v>-208189</v>
      </c>
      <c r="J1005" s="569">
        <f t="shared" si="167"/>
        <v>-8053238</v>
      </c>
      <c r="K1005" s="569">
        <f t="shared" si="167"/>
        <v>0</v>
      </c>
    </row>
    <row r="1006" spans="1:11">
      <c r="A1006" s="565">
        <v>11</v>
      </c>
      <c r="C1006" s="573" t="str">
        <f>'[5]FR-16(7)(v)-1 Functional'!C1017</f>
        <v>TOTAL OTHER DEDUCTIONS</v>
      </c>
      <c r="D1006" s="549"/>
      <c r="E1006" s="548"/>
      <c r="F1006" s="569">
        <f t="shared" ref="F1006:K1006" si="168">-F639</f>
        <v>-3526563</v>
      </c>
      <c r="G1006" s="570">
        <f t="shared" si="168"/>
        <v>-3364810</v>
      </c>
      <c r="H1006" s="571">
        <f t="shared" si="168"/>
        <v>-104123</v>
      </c>
      <c r="I1006" s="572">
        <f t="shared" si="168"/>
        <v>-57630</v>
      </c>
      <c r="J1006" s="569">
        <f t="shared" si="168"/>
        <v>-3526563</v>
      </c>
      <c r="K1006" s="569">
        <f t="shared" si="168"/>
        <v>0</v>
      </c>
    </row>
    <row r="1007" spans="1:11">
      <c r="A1007" s="565">
        <v>12</v>
      </c>
      <c r="C1007" s="547" t="str">
        <f>'[5]FR-16(7)(v)-1 Functional'!C1018</f>
        <v xml:space="preserve">  PRELIMINARY TAXABLE INCOME</v>
      </c>
      <c r="D1007" s="549"/>
      <c r="E1007" s="548"/>
      <c r="F1007" s="574">
        <f>SUM(F1004:F1006)+F1002</f>
        <v>23108207</v>
      </c>
      <c r="G1007" s="575">
        <f>SUM(G1004:G1006)+G1002</f>
        <v>21006690</v>
      </c>
      <c r="H1007" s="576">
        <f>SUM(H1004:H1006)+H1002</f>
        <v>1476055</v>
      </c>
      <c r="I1007" s="577">
        <f>SUM(I1004:I1006)+I1002</f>
        <v>625462</v>
      </c>
      <c r="J1007" s="574">
        <f>SUM(G1007:I1007)</f>
        <v>23108207</v>
      </c>
      <c r="K1007" s="574">
        <f>SUM(K1004:K1006)+K1002</f>
        <v>0</v>
      </c>
    </row>
    <row r="1008" spans="1:11">
      <c r="A1008" s="565">
        <v>13</v>
      </c>
      <c r="D1008" s="549"/>
      <c r="E1008" s="548"/>
      <c r="G1008" s="566"/>
      <c r="H1008" s="567"/>
      <c r="I1008" s="568"/>
    </row>
    <row r="1009" spans="1:11">
      <c r="A1009" s="565">
        <v>14</v>
      </c>
      <c r="B1009" s="547" t="s">
        <v>1326</v>
      </c>
      <c r="D1009" s="549"/>
      <c r="E1009" s="548"/>
      <c r="G1009" s="566"/>
      <c r="H1009" s="567"/>
      <c r="I1009" s="568"/>
    </row>
    <row r="1010" spans="1:11">
      <c r="A1010" s="565">
        <v>15</v>
      </c>
      <c r="B1010" s="547" t="s">
        <v>1276</v>
      </c>
      <c r="D1010" s="549"/>
      <c r="E1010" s="548"/>
      <c r="G1010" s="566"/>
      <c r="H1010" s="567"/>
      <c r="I1010" s="568"/>
    </row>
    <row r="1011" spans="1:11">
      <c r="A1011" s="565">
        <v>16</v>
      </c>
      <c r="C1011" s="547" t="str">
        <f>'[5]FR-16(7)(v)-1 Functional'!C1022</f>
        <v>PRELIMINARY TAXABLE INCOME</v>
      </c>
      <c r="D1011" s="549"/>
      <c r="E1011" s="548"/>
      <c r="F1011" s="569">
        <f t="shared" ref="F1011:K1011" si="169">F1007</f>
        <v>23108207</v>
      </c>
      <c r="G1011" s="570">
        <f t="shared" si="169"/>
        <v>21006690</v>
      </c>
      <c r="H1011" s="571">
        <f t="shared" si="169"/>
        <v>1476055</v>
      </c>
      <c r="I1011" s="572">
        <f t="shared" si="169"/>
        <v>625462</v>
      </c>
      <c r="J1011" s="569">
        <f t="shared" si="169"/>
        <v>23108207</v>
      </c>
      <c r="K1011" s="569">
        <f t="shared" si="169"/>
        <v>0</v>
      </c>
    </row>
    <row r="1012" spans="1:11">
      <c r="A1012" s="565">
        <v>17</v>
      </c>
      <c r="C1012" s="547" t="str">
        <f>'[5]FR-16(7)(v)-1 Functional'!C1023</f>
        <v xml:space="preserve">  NET FEDERAL TAXABLE INCOME</v>
      </c>
      <c r="D1012" s="549"/>
      <c r="E1012" s="548"/>
      <c r="F1012" s="569">
        <f t="shared" ref="F1012:K1012" si="170">SUM(F1011:F1011)</f>
        <v>23108207</v>
      </c>
      <c r="G1012" s="570">
        <f t="shared" si="170"/>
        <v>21006690</v>
      </c>
      <c r="H1012" s="571">
        <f t="shared" si="170"/>
        <v>1476055</v>
      </c>
      <c r="I1012" s="572">
        <f t="shared" si="170"/>
        <v>625462</v>
      </c>
      <c r="J1012" s="569">
        <f t="shared" si="170"/>
        <v>23108207</v>
      </c>
      <c r="K1012" s="569">
        <f t="shared" si="170"/>
        <v>0</v>
      </c>
    </row>
    <row r="1013" spans="1:11">
      <c r="A1013" s="565">
        <v>18</v>
      </c>
      <c r="C1013" s="547" t="str">
        <f>'[5]FR-16(7)(v)-1 Functional'!C1024</f>
        <v xml:space="preserve">  FEDERAL INCOME TAX RATE</v>
      </c>
      <c r="D1013" s="549"/>
      <c r="E1013" s="548"/>
      <c r="F1013" s="628">
        <f>F815</f>
        <v>0.21</v>
      </c>
      <c r="G1013" s="649">
        <f>G815</f>
        <v>0.21</v>
      </c>
      <c r="H1013" s="650">
        <f>H815</f>
        <v>0.21</v>
      </c>
      <c r="I1013" s="651">
        <f>I815</f>
        <v>0.21</v>
      </c>
      <c r="J1013" s="628"/>
      <c r="K1013" s="628">
        <f>'[5]FR-16(7)(v)-1 Functional'!K815</f>
        <v>0.21</v>
      </c>
    </row>
    <row r="1014" spans="1:11">
      <c r="A1014" s="565">
        <v>19</v>
      </c>
      <c r="C1014" s="547" t="str">
        <f>'[5]FR-16(7)(v)-1 Functional'!C1025</f>
        <v>PRELIMINARY FIT = FI01 * K190</v>
      </c>
      <c r="D1014" s="549"/>
      <c r="E1014" s="548"/>
      <c r="F1014" s="569">
        <f>ROUND(F1013*F1012,0)</f>
        <v>4852723</v>
      </c>
      <c r="G1014" s="570">
        <f>ROUND(G1013*G1012,0)</f>
        <v>4411405</v>
      </c>
      <c r="H1014" s="571">
        <f>ROUND(H1013*H1012,0)</f>
        <v>309972</v>
      </c>
      <c r="I1014" s="572">
        <f>ROUND(I1013*I1012,0)</f>
        <v>131347</v>
      </c>
      <c r="J1014" s="569">
        <f>SUM(G1014:I1014)</f>
        <v>4852724</v>
      </c>
      <c r="K1014" s="569">
        <f>ROUND(K1013*K1012,0)</f>
        <v>0</v>
      </c>
    </row>
    <row r="1015" spans="1:11">
      <c r="A1015" s="565">
        <v>20</v>
      </c>
      <c r="C1015" s="547" t="str">
        <f>'[5]FR-16(7)(v)-1 Functional'!C1026</f>
        <v>TOTAL FED DEF IT (410 &amp; 411)</v>
      </c>
      <c r="D1015" s="549"/>
      <c r="E1015" s="548"/>
      <c r="F1015" s="569">
        <f t="shared" ref="F1015:K1015" si="171">F649</f>
        <v>368343</v>
      </c>
      <c r="G1015" s="570">
        <f t="shared" si="171"/>
        <v>29321</v>
      </c>
      <c r="H1015" s="571">
        <f t="shared" si="171"/>
        <v>350074</v>
      </c>
      <c r="I1015" s="572">
        <f t="shared" si="171"/>
        <v>-11052</v>
      </c>
      <c r="J1015" s="569">
        <f t="shared" si="171"/>
        <v>368343</v>
      </c>
      <c r="K1015" s="569">
        <f t="shared" si="171"/>
        <v>0</v>
      </c>
    </row>
    <row r="1016" spans="1:11">
      <c r="A1016" s="565">
        <v>21</v>
      </c>
      <c r="C1016" s="573" t="str">
        <f>'[5]FR-16(7)(v)-1 Functional'!C1027</f>
        <v>TOTAL AMORTIZED ITC</v>
      </c>
      <c r="D1016" s="549"/>
      <c r="E1016" s="548"/>
      <c r="F1016" s="569">
        <f t="shared" ref="F1016:K1016" si="172">-F653</f>
        <v>0</v>
      </c>
      <c r="G1016" s="570">
        <f t="shared" si="172"/>
        <v>0</v>
      </c>
      <c r="H1016" s="571">
        <f t="shared" si="172"/>
        <v>0</v>
      </c>
      <c r="I1016" s="572">
        <f t="shared" si="172"/>
        <v>0</v>
      </c>
      <c r="J1016" s="569">
        <f t="shared" si="172"/>
        <v>0</v>
      </c>
      <c r="K1016" s="569">
        <f t="shared" si="172"/>
        <v>0</v>
      </c>
    </row>
    <row r="1017" spans="1:11">
      <c r="A1017" s="565">
        <v>22</v>
      </c>
      <c r="C1017" s="547" t="str">
        <f>'[5]FR-16(7)(v)-1 Functional'!C1028</f>
        <v xml:space="preserve">  NET FED INC TAX ALLOWABLE</v>
      </c>
      <c r="D1017" s="549"/>
      <c r="E1017" s="548"/>
      <c r="F1017" s="574">
        <f t="shared" ref="F1017:K1017" si="173">SUM(F1014:F1016)</f>
        <v>5221066</v>
      </c>
      <c r="G1017" s="575">
        <f t="shared" si="173"/>
        <v>4440726</v>
      </c>
      <c r="H1017" s="576">
        <f t="shared" si="173"/>
        <v>660046</v>
      </c>
      <c r="I1017" s="577">
        <f t="shared" si="173"/>
        <v>120295</v>
      </c>
      <c r="J1017" s="574">
        <f t="shared" si="173"/>
        <v>5221067</v>
      </c>
      <c r="K1017" s="574">
        <f t="shared" si="173"/>
        <v>0</v>
      </c>
    </row>
    <row r="1018" spans="1:11">
      <c r="A1018" s="565">
        <v>23</v>
      </c>
      <c r="D1018" s="549"/>
      <c r="E1018" s="548"/>
      <c r="G1018" s="566"/>
      <c r="H1018" s="567"/>
      <c r="I1018" s="568"/>
    </row>
    <row r="1019" spans="1:11">
      <c r="A1019" s="565">
        <v>24</v>
      </c>
      <c r="B1019" s="547" t="s">
        <v>1279</v>
      </c>
      <c r="D1019" s="549"/>
      <c r="E1019" s="548"/>
      <c r="G1019" s="566"/>
      <c r="H1019" s="567"/>
      <c r="I1019" s="568"/>
    </row>
    <row r="1020" spans="1:11">
      <c r="A1020" s="565">
        <v>25</v>
      </c>
      <c r="C1020" s="547" t="str">
        <f>'[5]FR-16(7)(v)-1 Functional'!C1031</f>
        <v>PRELIM FIT</v>
      </c>
      <c r="D1020" s="549"/>
      <c r="E1020" s="548"/>
      <c r="F1020" s="569">
        <f t="shared" ref="F1020:K1020" si="174">F1014</f>
        <v>4852723</v>
      </c>
      <c r="G1020" s="570">
        <f t="shared" si="174"/>
        <v>4411405</v>
      </c>
      <c r="H1020" s="571">
        <f t="shared" si="174"/>
        <v>309972</v>
      </c>
      <c r="I1020" s="572">
        <f t="shared" si="174"/>
        <v>131347</v>
      </c>
      <c r="J1020" s="569">
        <f t="shared" si="174"/>
        <v>4852724</v>
      </c>
      <c r="K1020" s="569">
        <f t="shared" si="174"/>
        <v>0</v>
      </c>
    </row>
    <row r="1021" spans="1:11">
      <c r="A1021" s="565">
        <v>26</v>
      </c>
      <c r="C1021" s="573" t="str">
        <f>'[5]FR-16(7)(v)-1 Functional'!C1032</f>
        <v>TEST YEAR INV TAX CREDIT</v>
      </c>
      <c r="D1021" s="549"/>
      <c r="E1021" s="548"/>
      <c r="F1021" s="569">
        <f t="shared" ref="F1021:K1021" si="175">-F658</f>
        <v>0</v>
      </c>
      <c r="G1021" s="619">
        <f t="shared" si="175"/>
        <v>0</v>
      </c>
      <c r="H1021" s="620">
        <f t="shared" si="175"/>
        <v>0</v>
      </c>
      <c r="I1021" s="621">
        <f t="shared" si="175"/>
        <v>0</v>
      </c>
      <c r="J1021" s="569">
        <f t="shared" si="175"/>
        <v>0</v>
      </c>
      <c r="K1021" s="569">
        <f t="shared" si="175"/>
        <v>0</v>
      </c>
    </row>
    <row r="1022" spans="1:11">
      <c r="A1022" s="565">
        <v>27</v>
      </c>
      <c r="C1022" s="547" t="str">
        <f>'[5]FR-16(7)(v)-1 Functional'!C1033</f>
        <v xml:space="preserve">  FED INC TAX PAYABLE</v>
      </c>
      <c r="D1022" s="549"/>
      <c r="E1022" s="548"/>
      <c r="F1022" s="574">
        <f t="shared" ref="F1022:K1022" si="176">SUM(F1019:F1021)</f>
        <v>4852723</v>
      </c>
      <c r="G1022" s="575">
        <f t="shared" si="176"/>
        <v>4411405</v>
      </c>
      <c r="H1022" s="576">
        <f t="shared" si="176"/>
        <v>309972</v>
      </c>
      <c r="I1022" s="577">
        <f t="shared" si="176"/>
        <v>131347</v>
      </c>
      <c r="J1022" s="574">
        <f t="shared" si="176"/>
        <v>4852724</v>
      </c>
      <c r="K1022" s="574">
        <f t="shared" si="176"/>
        <v>0</v>
      </c>
    </row>
    <row r="1023" spans="1:11">
      <c r="A1023" s="565">
        <v>28</v>
      </c>
      <c r="D1023" s="549"/>
      <c r="E1023" s="548"/>
      <c r="G1023" s="566"/>
      <c r="H1023" s="567"/>
      <c r="I1023" s="568"/>
    </row>
    <row r="1024" spans="1:11">
      <c r="A1024" s="565">
        <v>29</v>
      </c>
      <c r="B1024" s="547" t="s">
        <v>1238</v>
      </c>
      <c r="D1024" s="549"/>
      <c r="E1024" s="548"/>
      <c r="G1024" s="566"/>
      <c r="H1024" s="567"/>
      <c r="I1024" s="568"/>
    </row>
    <row r="1025" spans="1:11">
      <c r="A1025" s="565">
        <v>30</v>
      </c>
      <c r="C1025" s="547" t="str">
        <f>'[5]FR-16(7)(v)-1 Functional'!C1036</f>
        <v>NET INCOME</v>
      </c>
      <c r="D1025" s="549"/>
      <c r="E1025" s="548"/>
      <c r="F1025" s="569">
        <f t="shared" ref="F1025:K1025" si="177">F1002</f>
        <v>34688008</v>
      </c>
      <c r="G1025" s="570">
        <f t="shared" si="177"/>
        <v>31908512</v>
      </c>
      <c r="H1025" s="571">
        <f t="shared" si="177"/>
        <v>1888215</v>
      </c>
      <c r="I1025" s="572">
        <f t="shared" si="177"/>
        <v>891281</v>
      </c>
      <c r="J1025" s="569">
        <f t="shared" si="177"/>
        <v>34688008</v>
      </c>
      <c r="K1025" s="569">
        <f t="shared" si="177"/>
        <v>0</v>
      </c>
    </row>
    <row r="1026" spans="1:11">
      <c r="A1026" s="565">
        <v>31</v>
      </c>
      <c r="C1026" s="573" t="str">
        <f>'[5]FR-16(7)(v)-1 Functional'!C1037</f>
        <v>NET FED INC TAX ALLOWABLE</v>
      </c>
      <c r="D1026" s="549"/>
      <c r="E1026" s="548"/>
      <c r="F1026" s="569">
        <f t="shared" ref="F1026:K1026" si="178">-F1017</f>
        <v>-5221066</v>
      </c>
      <c r="G1026" s="570">
        <f t="shared" si="178"/>
        <v>-4440726</v>
      </c>
      <c r="H1026" s="571">
        <f t="shared" si="178"/>
        <v>-660046</v>
      </c>
      <c r="I1026" s="572">
        <f t="shared" si="178"/>
        <v>-120295</v>
      </c>
      <c r="J1026" s="569">
        <f t="shared" si="178"/>
        <v>-5221067</v>
      </c>
      <c r="K1026" s="569">
        <f t="shared" si="178"/>
        <v>0</v>
      </c>
    </row>
    <row r="1027" spans="1:11">
      <c r="A1027" s="565">
        <v>32</v>
      </c>
      <c r="C1027" s="547" t="str">
        <f>'[5]FR-16(7)(v)-1 Functional'!C1038</f>
        <v xml:space="preserve">  OVERALL RETURN EARNED</v>
      </c>
      <c r="D1027" s="549"/>
      <c r="E1027" s="548"/>
      <c r="F1027" s="574">
        <f t="shared" ref="F1027:K1027" si="179">SUM(F1024:F1026)</f>
        <v>29466942</v>
      </c>
      <c r="G1027" s="575">
        <f t="shared" si="179"/>
        <v>27467786</v>
      </c>
      <c r="H1027" s="576">
        <f t="shared" si="179"/>
        <v>1228169</v>
      </c>
      <c r="I1027" s="577">
        <f t="shared" si="179"/>
        <v>770986</v>
      </c>
      <c r="J1027" s="574">
        <f t="shared" si="179"/>
        <v>29466941</v>
      </c>
      <c r="K1027" s="574">
        <f t="shared" si="179"/>
        <v>0</v>
      </c>
    </row>
    <row r="1028" spans="1:11">
      <c r="A1028" s="565">
        <v>33</v>
      </c>
      <c r="D1028" s="549"/>
      <c r="E1028" s="548"/>
      <c r="G1028" s="566"/>
      <c r="H1028" s="567"/>
      <c r="I1028" s="568"/>
    </row>
    <row r="1029" spans="1:11">
      <c r="A1029" s="565">
        <v>34</v>
      </c>
      <c r="C1029" s="547" t="str">
        <f>'[5]FR-16(7)(v)-1 Functional'!C1040</f>
        <v xml:space="preserve">  RATE OF RETURN EARNED</v>
      </c>
      <c r="D1029" s="549"/>
      <c r="E1029" s="548"/>
      <c r="F1029" s="628">
        <f t="shared" ref="F1029:K1029" si="180">IF(F426=0,0,ROUND(F1027/F426,5))</f>
        <v>8.2360000000000003E-2</v>
      </c>
      <c r="G1029" s="704">
        <f t="shared" si="180"/>
        <v>8.2040000000000002E-2</v>
      </c>
      <c r="H1029" s="705">
        <f t="shared" si="180"/>
        <v>8.9590000000000003E-2</v>
      </c>
      <c r="I1029" s="706">
        <f t="shared" si="180"/>
        <v>8.3419999999999994E-2</v>
      </c>
      <c r="J1029" s="628">
        <f t="shared" si="180"/>
        <v>8.2360000000000003E-2</v>
      </c>
      <c r="K1029" s="628">
        <f t="shared" si="180"/>
        <v>0</v>
      </c>
    </row>
    <row r="1030" spans="1:11">
      <c r="A1030" s="546"/>
      <c r="C1030" s="548"/>
      <c r="D1030" s="549"/>
      <c r="E1030" s="548"/>
      <c r="F1030" s="548"/>
      <c r="G1030" s="548"/>
      <c r="H1030" s="548"/>
      <c r="I1030" s="548"/>
      <c r="J1030" s="548"/>
      <c r="K1030" s="628"/>
    </row>
    <row r="1031" spans="1:11">
      <c r="A1031" s="546"/>
      <c r="C1031" s="548"/>
      <c r="D1031" s="549"/>
      <c r="E1031" s="548"/>
      <c r="F1031" s="548"/>
      <c r="G1031" s="548"/>
      <c r="H1031" s="548"/>
      <c r="I1031" s="548"/>
      <c r="J1031" s="548"/>
      <c r="K1031" s="628"/>
    </row>
    <row r="1032" spans="1:11">
      <c r="K1032" s="628"/>
    </row>
    <row r="1033" spans="1:11">
      <c r="K1033" s="628"/>
    </row>
    <row r="1034" spans="1:11">
      <c r="K1034" s="628"/>
    </row>
    <row r="1035" spans="1:11">
      <c r="A1035" s="565"/>
      <c r="D1035" s="549"/>
      <c r="E1035" s="548"/>
      <c r="F1035" s="628"/>
      <c r="G1035" s="628"/>
      <c r="H1035" s="628"/>
      <c r="I1035" s="628"/>
      <c r="J1035" s="628"/>
      <c r="K1035" s="628"/>
    </row>
    <row r="1036" spans="1:11">
      <c r="A1036" s="565"/>
      <c r="D1036" s="549"/>
      <c r="E1036" s="548"/>
      <c r="F1036" s="628"/>
      <c r="G1036" s="628"/>
      <c r="H1036" s="628"/>
      <c r="I1036" s="628"/>
      <c r="J1036" s="628"/>
      <c r="K1036" s="628"/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6" max="10" man="1"/>
    <brk id="123" max="10" man="1"/>
    <brk id="200" max="10" man="1"/>
    <brk id="277" max="10" man="1"/>
    <brk id="324" max="10" man="1"/>
    <brk id="377" max="10" man="1"/>
    <brk id="433" max="10" man="1"/>
    <brk id="503" max="10" man="1"/>
    <brk id="549" max="10" man="1"/>
    <brk id="582" max="10" man="1"/>
    <brk id="618" max="10" man="1"/>
    <brk id="728" max="10" man="1"/>
    <brk id="777" max="10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ca45114-2a7e-4dc6-89cd-247b8ea980b4">
      <Terms xmlns="http://schemas.microsoft.com/office/infopath/2007/PartnerControls"/>
    </lcf76f155ced4ddcb4097134ff3c332f>
    <TaxCatchAll xmlns="9dc5a1b9-da23-4eb9-9e08-5e6b905bb79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97EAA8D040AD48BEDD7511195E98CF" ma:contentTypeVersion="15" ma:contentTypeDescription="Create a new document." ma:contentTypeScope="" ma:versionID="6533321de74f17498e21b5eaeb0d6e48">
  <xsd:schema xmlns:xsd="http://www.w3.org/2001/XMLSchema" xmlns:xs="http://www.w3.org/2001/XMLSchema" xmlns:p="http://schemas.microsoft.com/office/2006/metadata/properties" xmlns:ns2="8ca45114-2a7e-4dc6-89cd-247b8ea980b4" xmlns:ns3="9dc5a1b9-da23-4eb9-9e08-5e6b905bb79d" targetNamespace="http://schemas.microsoft.com/office/2006/metadata/properties" ma:root="true" ma:fieldsID="c9f76b627fe1ff2bc642901865b96782" ns2:_="" ns3:_="">
    <xsd:import namespace="8ca45114-2a7e-4dc6-89cd-247b8ea980b4"/>
    <xsd:import namespace="9dc5a1b9-da23-4eb9-9e08-5e6b905bb7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a45114-2a7e-4dc6-89cd-247b8ea980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a940a405-bf97-4cc5-b0bd-142cb624be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c5a1b9-da23-4eb9-9e08-5e6b905bb79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b1d6d0a8-6f0e-48f8-88fe-8fce3240bb8a}" ma:internalName="TaxCatchAll" ma:showField="CatchAllData" ma:web="9dc5a1b9-da23-4eb9-9e08-5e6b905bb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4B4AB5-FCA9-4BA9-8261-0AB2C8A590B1}">
  <ds:schemaRefs>
    <ds:schemaRef ds:uri="http://schemas.microsoft.com/office/2006/metadata/properties"/>
    <ds:schemaRef ds:uri="http://schemas.microsoft.com/office/infopath/2007/PartnerControls"/>
    <ds:schemaRef ds:uri="9d26d66c-7442-4f2f-84b5-fd9d62aa5613"/>
    <ds:schemaRef ds:uri="8ca45114-2a7e-4dc6-89cd-247b8ea980b4"/>
    <ds:schemaRef ds:uri="9dc5a1b9-da23-4eb9-9e08-5e6b905bb79d"/>
  </ds:schemaRefs>
</ds:datastoreItem>
</file>

<file path=customXml/itemProps2.xml><?xml version="1.0" encoding="utf-8"?>
<ds:datastoreItem xmlns:ds="http://schemas.openxmlformats.org/officeDocument/2006/customXml" ds:itemID="{5C1AAA95-63E7-453F-B654-E3E80EBCF2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a45114-2a7e-4dc6-89cd-247b8ea980b4"/>
    <ds:schemaRef ds:uri="9dc5a1b9-da23-4eb9-9e08-5e6b905bb7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F1F562-8C41-4CF3-843A-A8B02785F7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341</vt:i4>
      </vt:variant>
    </vt:vector>
  </HeadingPairs>
  <TitlesOfParts>
    <vt:vector size="385" baseType="lpstr">
      <vt:lpstr>INPUT</vt:lpstr>
      <vt:lpstr>PRINT</vt:lpstr>
      <vt:lpstr>Revenue Check</vt:lpstr>
      <vt:lpstr>SCH M</vt:lpstr>
      <vt:lpstr>SCH M-2.1</vt:lpstr>
      <vt:lpstr>SCH M-2.2</vt:lpstr>
      <vt:lpstr>SCH M-2.3</vt:lpstr>
      <vt:lpstr>Rate RS</vt:lpstr>
      <vt:lpstr>FR-16(7)(v)-16 DS Classified</vt:lpstr>
      <vt:lpstr>Attachment JB-1</vt:lpstr>
      <vt:lpstr>Attachment JB-2</vt:lpstr>
      <vt:lpstr>Attachment JB-3</vt:lpstr>
      <vt:lpstr>Table JB-2</vt:lpstr>
      <vt:lpstr>Table JB-3</vt:lpstr>
      <vt:lpstr>Table JB-4</vt:lpstr>
      <vt:lpstr>Table JB-5</vt:lpstr>
      <vt:lpstr>Table JB-6</vt:lpstr>
      <vt:lpstr>SCH N</vt:lpstr>
      <vt:lpstr>SCH N (As-Filed)</vt:lpstr>
      <vt:lpstr>Rate DS</vt:lpstr>
      <vt:lpstr>Rate DS (As-Filed)</vt:lpstr>
      <vt:lpstr>Rate DS RTP</vt:lpstr>
      <vt:lpstr>Rate DS RTP (As-Filed)</vt:lpstr>
      <vt:lpstr>Rate DT-Pri</vt:lpstr>
      <vt:lpstr>Rate DT-Sec</vt:lpstr>
      <vt:lpstr>Rate EH</vt:lpstr>
      <vt:lpstr>Rate SP GSFL</vt:lpstr>
      <vt:lpstr>Rate DP</vt:lpstr>
      <vt:lpstr>Rate TT</vt:lpstr>
      <vt:lpstr>Rate DT RTP-P</vt:lpstr>
      <vt:lpstr>Rate DT RTP-S</vt:lpstr>
      <vt:lpstr>Rate TT RTP</vt:lpstr>
      <vt:lpstr>Rate SL</vt:lpstr>
      <vt:lpstr>Rate TL</vt:lpstr>
      <vt:lpstr>Rate UOLS</vt:lpstr>
      <vt:lpstr>Rate NSU</vt:lpstr>
      <vt:lpstr>Rate SC</vt:lpstr>
      <vt:lpstr>Rate SE</vt:lpstr>
      <vt:lpstr>Rate LED</vt:lpstr>
      <vt:lpstr>BILL CALC</vt:lpstr>
      <vt:lpstr>Revenue Requirements</vt:lpstr>
      <vt:lpstr>Proposed Rates</vt:lpstr>
      <vt:lpstr>TBI</vt:lpstr>
      <vt:lpstr>RTP Worksheet</vt:lpstr>
      <vt:lpstr>CASE_NO</vt:lpstr>
      <vt:lpstr>CUR_BASE_FUEL</vt:lpstr>
      <vt:lpstr>CUR_DCI</vt:lpstr>
      <vt:lpstr>CUR_DCI_DIST</vt:lpstr>
      <vt:lpstr>CUR_DCI_DP</vt:lpstr>
      <vt:lpstr>CUR_DCI_DTP</vt:lpstr>
      <vt:lpstr>CUR_DCI_DTS</vt:lpstr>
      <vt:lpstr>CUR_DCI_EH</vt:lpstr>
      <vt:lpstr>CUR_DCI_GSFL</vt:lpstr>
      <vt:lpstr>CUR_DCI_SL</vt:lpstr>
      <vt:lpstr>CUR_DCI_SP</vt:lpstr>
      <vt:lpstr>CUR_DP_CST</vt:lpstr>
      <vt:lpstr>CUR_DP_DEMAND</vt:lpstr>
      <vt:lpstr>CUR_DP_KWH1</vt:lpstr>
      <vt:lpstr>CUR_DP_KWH2</vt:lpstr>
      <vt:lpstr>CUR_DP_LMR</vt:lpstr>
      <vt:lpstr>'Rate DT RTP-S'!CUR_DP_RTP_COM</vt:lpstr>
      <vt:lpstr>'Rate DT RTP-S'!CUR_DP_RTP_CUST</vt:lpstr>
      <vt:lpstr>'Rate DT RTP-S'!CUR_DP_RTP_KWH1</vt:lpstr>
      <vt:lpstr>'Rate DS (As-Filed)'!CUR_DS_CST_1</vt:lpstr>
      <vt:lpstr>CUR_DS_CST_1</vt:lpstr>
      <vt:lpstr>'Rate DS (As-Filed)'!CUR_DS_CST_2</vt:lpstr>
      <vt:lpstr>CUR_DS_CST_2</vt:lpstr>
      <vt:lpstr>'Rate DS (As-Filed)'!CUR_DS_DEM_1</vt:lpstr>
      <vt:lpstr>CUR_DS_DEM_1</vt:lpstr>
      <vt:lpstr>'Rate DS (As-Filed)'!CUR_DS_DEM_3</vt:lpstr>
      <vt:lpstr>CUR_DS_DEM_3</vt:lpstr>
      <vt:lpstr>'Rate DS (As-Filed)'!CUR_DS_KWH_1</vt:lpstr>
      <vt:lpstr>CUR_DS_KWH_1</vt:lpstr>
      <vt:lpstr>'Rate DS (As-Filed)'!CUR_DS_KWH_2</vt:lpstr>
      <vt:lpstr>CUR_DS_KWH_2</vt:lpstr>
      <vt:lpstr>'Rate DS (As-Filed)'!CUR_DS_KWH_3</vt:lpstr>
      <vt:lpstr>CUR_DS_KWH_3</vt:lpstr>
      <vt:lpstr>'Rate DS RTP'!CUR_DS_RTP</vt:lpstr>
      <vt:lpstr>'Rate DS RTP (As-Filed)'!CUR_DS_RTP</vt:lpstr>
      <vt:lpstr>'Rate DS RTP'!CUR_DS_RTP_COM</vt:lpstr>
      <vt:lpstr>'Rate DS RTP (As-Filed)'!CUR_DS_RTP_COM</vt:lpstr>
      <vt:lpstr>'Rate DS RTP'!CUR_DS_RTP_CUST</vt:lpstr>
      <vt:lpstr>'Rate DS RTP (As-Filed)'!CUR_DS_RTP_CUST</vt:lpstr>
      <vt:lpstr>'Rate DS RTP'!CUR_DS_RTP_KWH1</vt:lpstr>
      <vt:lpstr>'Rate DS RTP (As-Filed)'!CUR_DS_RTP_KWH1</vt:lpstr>
      <vt:lpstr>CUR_DT_DISC</vt:lpstr>
      <vt:lpstr>CUR_DT_DISC1</vt:lpstr>
      <vt:lpstr>CUR_DT_PRI</vt:lpstr>
      <vt:lpstr>'Rate DT RTP-P'!CUR_DT_RTP_COM</vt:lpstr>
      <vt:lpstr>'Rate DT RTP-P'!CUR_DT_RTP_CUST</vt:lpstr>
      <vt:lpstr>'Rate DT RTP-P'!CUR_DT_RTP_KWH1</vt:lpstr>
      <vt:lpstr>'Rate DT RTP-P'!CUR_DT_RTP_P</vt:lpstr>
      <vt:lpstr>'Rate DT RTP-S'!CUR_DT_RTP_S</vt:lpstr>
      <vt:lpstr>CUR_DT_SEC</vt:lpstr>
      <vt:lpstr>CUR_DT_SEC_CST1</vt:lpstr>
      <vt:lpstr>CUR_DT_SEC_CST3</vt:lpstr>
      <vt:lpstr>CUR_DT_SEC_DEMOFF</vt:lpstr>
      <vt:lpstr>CUR_DT_SEC_DEMON</vt:lpstr>
      <vt:lpstr>CUR_DT_SEC_SUMKWH</vt:lpstr>
      <vt:lpstr>CUR_DT_SEC_WINKWH</vt:lpstr>
      <vt:lpstr>CUR_DT_SEC_WINOFF</vt:lpstr>
      <vt:lpstr>CUR_DT_SEC_WINON</vt:lpstr>
      <vt:lpstr>CUR_DT_SUM_E_OFF</vt:lpstr>
      <vt:lpstr>CUR_DT_SUM_E_ON</vt:lpstr>
      <vt:lpstr>CUR_DT_SUM_PEAK_ON</vt:lpstr>
      <vt:lpstr>CUR_DT_SUM_PK_OFF</vt:lpstr>
      <vt:lpstr>CUR_DT_WIN_E_ON</vt:lpstr>
      <vt:lpstr>CUR_DT_WIN_PEAK_ON</vt:lpstr>
      <vt:lpstr>CUR_DT_WIN_PK_OFF</vt:lpstr>
      <vt:lpstr>CUR_EH_CST_1</vt:lpstr>
      <vt:lpstr>CUR_EH_CST_2</vt:lpstr>
      <vt:lpstr>CUR_EH_CST_3</vt:lpstr>
      <vt:lpstr>CUR_EH_KWH_1</vt:lpstr>
      <vt:lpstr>CUR_ESM</vt:lpstr>
      <vt:lpstr>CUR_ESM_NonRes</vt:lpstr>
      <vt:lpstr>CUR_FAC</vt:lpstr>
      <vt:lpstr>CUR_FTR_DIST</vt:lpstr>
      <vt:lpstr>CUR_FTR_DP</vt:lpstr>
      <vt:lpstr>CUR_FTR_DTP</vt:lpstr>
      <vt:lpstr>CUR_FTR_DTS</vt:lpstr>
      <vt:lpstr>CUR_FTR_EH</vt:lpstr>
      <vt:lpstr>CUR_FTR_GSFL</vt:lpstr>
      <vt:lpstr>CUR_FTR_RES</vt:lpstr>
      <vt:lpstr>CUR_FTR_SL</vt:lpstr>
      <vt:lpstr>CUR_FTR_SP</vt:lpstr>
      <vt:lpstr>CUR_FTR_TT</vt:lpstr>
      <vt:lpstr>CUR_RS_CUST</vt:lpstr>
      <vt:lpstr>CUR_RS_ENERGY</vt:lpstr>
      <vt:lpstr>CUR_SUM_TT_ON_KWH</vt:lpstr>
      <vt:lpstr>CUR_TT_KWH</vt:lpstr>
      <vt:lpstr>CUR_TT_OFF</vt:lpstr>
      <vt:lpstr>'Rate TT RTP'!CUR_TT_RTP</vt:lpstr>
      <vt:lpstr>'Rate TT RTP'!CUR_TT_RTP_COM</vt:lpstr>
      <vt:lpstr>'Rate TT RTP'!CUR_TT_RTP_CUST</vt:lpstr>
      <vt:lpstr>'Rate TT RTP'!CUR_TT_RTP_KWH1</vt:lpstr>
      <vt:lpstr>CUR_TT_SUM_CST</vt:lpstr>
      <vt:lpstr>CUR_TT_SUM_PEAK</vt:lpstr>
      <vt:lpstr>CUR_TT_SUM_PK_OFF</vt:lpstr>
      <vt:lpstr>CUR_TT_WIN_CST</vt:lpstr>
      <vt:lpstr>CUR_TT_WIN_PEAK</vt:lpstr>
      <vt:lpstr>CUR_TT_WIN_PK_OFF</vt:lpstr>
      <vt:lpstr>CUR_WIN_TT_ON_KWH</vt:lpstr>
      <vt:lpstr>DATA_PERIOD</vt:lpstr>
      <vt:lpstr>DATE</vt:lpstr>
      <vt:lpstr>DCI_Name</vt:lpstr>
      <vt:lpstr>DS_MSRE</vt:lpstr>
      <vt:lpstr>DSM_DIST</vt:lpstr>
      <vt:lpstr>DSM_RES</vt:lpstr>
      <vt:lpstr>DSM_RS_CUST</vt:lpstr>
      <vt:lpstr>DSM_TRANS</vt:lpstr>
      <vt:lpstr>DSMR_Name</vt:lpstr>
      <vt:lpstr>ESM_Name</vt:lpstr>
      <vt:lpstr>FAC_Name</vt:lpstr>
      <vt:lpstr>FR16_7_v_16</vt:lpstr>
      <vt:lpstr>FR16_7_v_16_COS_Compute_10</vt:lpstr>
      <vt:lpstr>FR16_7_v_16_Depreciation_Expense_7</vt:lpstr>
      <vt:lpstr>FR16_7_v_16_Depreciation_Reserve_3</vt:lpstr>
      <vt:lpstr>FR16_7_v_16_FIT_Return_9</vt:lpstr>
      <vt:lpstr>FR16_7_v_16_FIT_Revenue_13</vt:lpstr>
      <vt:lpstr>FR16_7_v_16_Gross_Plant_2</vt:lpstr>
      <vt:lpstr>FR16_7_v_16_Net_Plant_4</vt:lpstr>
      <vt:lpstr>FR16_7_v_16_OMEXP_6</vt:lpstr>
      <vt:lpstr>FR16_7_v_16_OMEXP_6.1</vt:lpstr>
      <vt:lpstr>FR16_7_v_16_RB_Additive_Adj_5.1</vt:lpstr>
      <vt:lpstr>FR16_7_v_16_RB_Subtractive_Adj_5</vt:lpstr>
      <vt:lpstr>FR16_7_v_16_RB_Total_5.2</vt:lpstr>
      <vt:lpstr>FR16_7_v_16_RofR_11</vt:lpstr>
      <vt:lpstr>FR16_7_v_16_SIT_Return_9.1</vt:lpstr>
      <vt:lpstr>FR16_7_v_16_Summary_1</vt:lpstr>
      <vt:lpstr>FR16_7_v_16_Taxes_Other_Than_Income_8</vt:lpstr>
      <vt:lpstr>FTR_Name</vt:lpstr>
      <vt:lpstr>HEA_Name</vt:lpstr>
      <vt:lpstr>'Rate LED'!LT_COS_RATE</vt:lpstr>
      <vt:lpstr>LT_COS_RATE</vt:lpstr>
      <vt:lpstr>LT_MSRE</vt:lpstr>
      <vt:lpstr>Migration_CC</vt:lpstr>
      <vt:lpstr>NAME</vt:lpstr>
      <vt:lpstr>Page_Num_2.2</vt:lpstr>
      <vt:lpstr>Page_Num_2.3</vt:lpstr>
      <vt:lpstr>'Attachment JB-1'!Print_Area</vt:lpstr>
      <vt:lpstr>'Attachment JB-2'!Print_Area</vt:lpstr>
      <vt:lpstr>'Attachment JB-3'!Print_Area</vt:lpstr>
      <vt:lpstr>'FR-16(7)(v)-16 DS Classified'!Print_Area</vt:lpstr>
      <vt:lpstr>'Rate DP'!Print_Area</vt:lpstr>
      <vt:lpstr>'Rate DS'!Print_Area</vt:lpstr>
      <vt:lpstr>'Rate DS (As-Filed)'!Print_Area</vt:lpstr>
      <vt:lpstr>'Rate DS RTP'!Print_Area</vt:lpstr>
      <vt:lpstr>'Rate DS RTP (As-Filed)'!Print_Area</vt:lpstr>
      <vt:lpstr>'Rate DT RTP-P'!Print_Area</vt:lpstr>
      <vt:lpstr>'Rate DT RTP-S'!Print_Area</vt:lpstr>
      <vt:lpstr>'Rate DT-Pri'!Print_Area</vt:lpstr>
      <vt:lpstr>'Rate DT-Sec'!Print_Area</vt:lpstr>
      <vt:lpstr>'Rate EH'!Print_Area</vt:lpstr>
      <vt:lpstr>'Rate LED'!Print_Area</vt:lpstr>
      <vt:lpstr>'Rate NSU'!Print_Area</vt:lpstr>
      <vt:lpstr>'Rate RS'!Print_Area</vt:lpstr>
      <vt:lpstr>'Rate SC'!Print_Area</vt:lpstr>
      <vt:lpstr>'Rate SE'!Print_Area</vt:lpstr>
      <vt:lpstr>'Rate SL'!Print_Area</vt:lpstr>
      <vt:lpstr>'Rate SP GSFL'!Print_Area</vt:lpstr>
      <vt:lpstr>'Rate TL'!Print_Area</vt:lpstr>
      <vt:lpstr>'Rate TT'!Print_Area</vt:lpstr>
      <vt:lpstr>'Rate TT RTP'!Print_Area</vt:lpstr>
      <vt:lpstr>'Rate UOLS'!Print_Area</vt:lpstr>
      <vt:lpstr>'Revenue Requirements'!Print_Area</vt:lpstr>
      <vt:lpstr>'SCH M'!Print_Area</vt:lpstr>
      <vt:lpstr>'SCH M-2.1'!Print_Area</vt:lpstr>
      <vt:lpstr>'SCH M-2.2'!Print_Area</vt:lpstr>
      <vt:lpstr>'SCH M-2.3'!Print_Area</vt:lpstr>
      <vt:lpstr>'SCH N'!Print_Area</vt:lpstr>
      <vt:lpstr>'SCH N (As-Filed)'!Print_Area</vt:lpstr>
      <vt:lpstr>'Attachment JB-1'!Print_Titles</vt:lpstr>
      <vt:lpstr>'Attachment JB-2'!Print_Titles</vt:lpstr>
      <vt:lpstr>PRO_BASE_FUEL</vt:lpstr>
      <vt:lpstr>PRO_DCI</vt:lpstr>
      <vt:lpstr>PRO_DCI_DIST</vt:lpstr>
      <vt:lpstr>PRO_DCI_DP</vt:lpstr>
      <vt:lpstr>PRO_DCI_DTP</vt:lpstr>
      <vt:lpstr>PRO_DCI_DTS</vt:lpstr>
      <vt:lpstr>PRO_DCI_EH</vt:lpstr>
      <vt:lpstr>PRO_DCI_GSFL</vt:lpstr>
      <vt:lpstr>PRO_DCI_SL</vt:lpstr>
      <vt:lpstr>PRO_DCI_SP</vt:lpstr>
      <vt:lpstr>PRO_DP_CST</vt:lpstr>
      <vt:lpstr>PRO_DP_DEMAND</vt:lpstr>
      <vt:lpstr>PRO_DP_KWH1</vt:lpstr>
      <vt:lpstr>PRO_DP_KWH2</vt:lpstr>
      <vt:lpstr>PRO_DP_LMR</vt:lpstr>
      <vt:lpstr>'Rate DT RTP-S'!PRO_DP_RTP_COM</vt:lpstr>
      <vt:lpstr>'Rate DT RTP-S'!PRO_DP_RTP_CUST</vt:lpstr>
      <vt:lpstr>'Rate DT RTP-S'!PRO_DP_RTP_KWH1</vt:lpstr>
      <vt:lpstr>'Rate DS (As-Filed)'!PRO_DS_CST_1</vt:lpstr>
      <vt:lpstr>PRO_DS_CST_1</vt:lpstr>
      <vt:lpstr>'Rate DS (As-Filed)'!PRO_DS_CST_2</vt:lpstr>
      <vt:lpstr>PRO_DS_CST_2</vt:lpstr>
      <vt:lpstr>'Rate DS (As-Filed)'!PRO_DS_DEM_1</vt:lpstr>
      <vt:lpstr>PRO_DS_DEM_1</vt:lpstr>
      <vt:lpstr>'Rate DS (As-Filed)'!PRO_DS_DEM_3</vt:lpstr>
      <vt:lpstr>PRO_DS_DEM_3</vt:lpstr>
      <vt:lpstr>'Rate DS (As-Filed)'!PRO_DS_KWH_1</vt:lpstr>
      <vt:lpstr>PRO_DS_KWH_1</vt:lpstr>
      <vt:lpstr>'Rate DS (As-Filed)'!PRO_DS_KWH_2</vt:lpstr>
      <vt:lpstr>PRO_DS_KWH_2</vt:lpstr>
      <vt:lpstr>'Rate DS (As-Filed)'!PRO_DS_KWH_3</vt:lpstr>
      <vt:lpstr>PRO_DS_KWH_3</vt:lpstr>
      <vt:lpstr>PRO_DS_MSRE</vt:lpstr>
      <vt:lpstr>'Rate DS RTP'!PRO_DS_RTP_COM</vt:lpstr>
      <vt:lpstr>'Rate DS RTP (As-Filed)'!PRO_DS_RTP_COM</vt:lpstr>
      <vt:lpstr>'Rate DS RTP'!PRO_DS_RTP_CUST</vt:lpstr>
      <vt:lpstr>'Rate DS RTP (As-Filed)'!PRO_DS_RTP_CUST</vt:lpstr>
      <vt:lpstr>'Rate DS RTP'!PRO_DS_RTP_KWH1</vt:lpstr>
      <vt:lpstr>'Rate DS RTP (As-Filed)'!PRO_DS_RTP_KWH1</vt:lpstr>
      <vt:lpstr>PRO_DSM_DIST</vt:lpstr>
      <vt:lpstr>PRO_DSM_RES</vt:lpstr>
      <vt:lpstr>PRO_DSM_TRANS</vt:lpstr>
      <vt:lpstr>PRO_DT_DEMOFF</vt:lpstr>
      <vt:lpstr>PRO_DT_DEMON</vt:lpstr>
      <vt:lpstr>PRO_DT_DISC</vt:lpstr>
      <vt:lpstr>PRO_DT_DISC1</vt:lpstr>
      <vt:lpstr>PRO_DT_PRI</vt:lpstr>
      <vt:lpstr>'Rate DT RTP-P'!PRO_DT_RTP_COM</vt:lpstr>
      <vt:lpstr>'Rate DT RTP-P'!PRO_DT_RTP_CUST</vt:lpstr>
      <vt:lpstr>'Rate DT RTP-P'!PRO_DT_RTP_KWH1</vt:lpstr>
      <vt:lpstr>PRO_DT_SEC_CST</vt:lpstr>
      <vt:lpstr>PRO_DT_SEC_CST3</vt:lpstr>
      <vt:lpstr>PRO_DT_SEC_DEMWINON</vt:lpstr>
      <vt:lpstr>PRO_DT_SEC_SUMKWH</vt:lpstr>
      <vt:lpstr>PRO_DT_SEC_WINKWH</vt:lpstr>
      <vt:lpstr>PRO_DT_SEC_WINOFF</vt:lpstr>
      <vt:lpstr>PRO_DT_SUM_E_OFF</vt:lpstr>
      <vt:lpstr>PRO_DT_SUM_E_ON</vt:lpstr>
      <vt:lpstr>PRO_DT_SUM_PEAK</vt:lpstr>
      <vt:lpstr>PRO_DT_SUM_PK_OFF</vt:lpstr>
      <vt:lpstr>PRO_DT_WIN_E_OFF</vt:lpstr>
      <vt:lpstr>PRO_DT_WIN_E_ON</vt:lpstr>
      <vt:lpstr>PRO_DT_WIN_PEAK</vt:lpstr>
      <vt:lpstr>PRO_DT_WIN_PK_OFF</vt:lpstr>
      <vt:lpstr>PRO_EH_CST_1</vt:lpstr>
      <vt:lpstr>PRO_EH_CST_2</vt:lpstr>
      <vt:lpstr>PRO_EH_CST_3</vt:lpstr>
      <vt:lpstr>PRO_EH_KWH_1</vt:lpstr>
      <vt:lpstr>PRO_ESM</vt:lpstr>
      <vt:lpstr>PRO_ESM_NONRES</vt:lpstr>
      <vt:lpstr>PRO_FAC</vt:lpstr>
      <vt:lpstr>PRO_FTR_DIST</vt:lpstr>
      <vt:lpstr>PRO_FTR_DP</vt:lpstr>
      <vt:lpstr>PRO_FTR_DTP</vt:lpstr>
      <vt:lpstr>PRO_FTR_DTS</vt:lpstr>
      <vt:lpstr>PRO_FTR_EH</vt:lpstr>
      <vt:lpstr>PRO_FTR_GSFL</vt:lpstr>
      <vt:lpstr>PRO_FTR_RES</vt:lpstr>
      <vt:lpstr>PRO_FTR_SL</vt:lpstr>
      <vt:lpstr>PRO_FTR_SP</vt:lpstr>
      <vt:lpstr>PRO_FTR_TT</vt:lpstr>
      <vt:lpstr>PRO_LT_MSRE</vt:lpstr>
      <vt:lpstr>PRO_PSM</vt:lpstr>
      <vt:lpstr>PRO_RS_CUST</vt:lpstr>
      <vt:lpstr>PRO_RS_ENERGY</vt:lpstr>
      <vt:lpstr>PRO_RS_MSRE</vt:lpstr>
      <vt:lpstr>PRO_SUM_TT_ON_KWH</vt:lpstr>
      <vt:lpstr>PRO_TT_MSRE</vt:lpstr>
      <vt:lpstr>PRO_TT_OFF</vt:lpstr>
      <vt:lpstr>'Rate TT RTP'!PRO_TT_RTP_COM</vt:lpstr>
      <vt:lpstr>'Rate TT RTP'!PRO_TT_RTP_CUST</vt:lpstr>
      <vt:lpstr>'Rate TT RTP'!PRO_TT_RTP_KWH1</vt:lpstr>
      <vt:lpstr>PRO_TT_SUM_CST</vt:lpstr>
      <vt:lpstr>PRO_TT_SUM_PEAK</vt:lpstr>
      <vt:lpstr>PRO_TT_SUM_PK_OFF</vt:lpstr>
      <vt:lpstr>PRO_TT_WIN_CST</vt:lpstr>
      <vt:lpstr>PRO_TT_WIN_PEAK</vt:lpstr>
      <vt:lpstr>PRO_TT_WIN_PK_OFF</vt:lpstr>
      <vt:lpstr>PRO_WIN_TT_ON_KWH</vt:lpstr>
      <vt:lpstr>PSM_Name</vt:lpstr>
      <vt:lpstr>RS_MSRE</vt:lpstr>
      <vt:lpstr>RS_PSM</vt:lpstr>
      <vt:lpstr>SCH_M</vt:lpstr>
      <vt:lpstr>SCH_M_2.1</vt:lpstr>
      <vt:lpstr>SCH_M_2.2PG1</vt:lpstr>
      <vt:lpstr>SCH_M_2.2PG10</vt:lpstr>
      <vt:lpstr>'Rate DS RTP (As-Filed)'!SCH_M_2.2PG11</vt:lpstr>
      <vt:lpstr>SCH_M_2.2PG11</vt:lpstr>
      <vt:lpstr>SCH_M_2.2PG12</vt:lpstr>
      <vt:lpstr>SCH_M_2.2PG13</vt:lpstr>
      <vt:lpstr>SCH_M_2.2PG14</vt:lpstr>
      <vt:lpstr>SCH_M_2.2PG15</vt:lpstr>
      <vt:lpstr>SCH_M_2.2PG16</vt:lpstr>
      <vt:lpstr>SCH_M_2.2PG17</vt:lpstr>
      <vt:lpstr>SCH_M_2.2PG18</vt:lpstr>
      <vt:lpstr>SCH_M_2.2PG19</vt:lpstr>
      <vt:lpstr>SCH_M_2.2PG2</vt:lpstr>
      <vt:lpstr>SCH_M_2.2PG20</vt:lpstr>
      <vt:lpstr>SCH_M_2.2PG21</vt:lpstr>
      <vt:lpstr>SCH_M_2.2PG22</vt:lpstr>
      <vt:lpstr>SCH_M_2.2PG23</vt:lpstr>
      <vt:lpstr>SCH_M_2.2PG24</vt:lpstr>
      <vt:lpstr>'Rate DS (As-Filed)'!SCH_M_2.2PG3</vt:lpstr>
      <vt:lpstr>SCH_M_2.2PG3</vt:lpstr>
      <vt:lpstr>SCH_M_2.2PG4</vt:lpstr>
      <vt:lpstr>SCH_M_2.2PG5</vt:lpstr>
      <vt:lpstr>SCH_M_2.2PG6</vt:lpstr>
      <vt:lpstr>SCH_M_2.2PG7</vt:lpstr>
      <vt:lpstr>SCH_M_2.2PG8</vt:lpstr>
      <vt:lpstr>SCH_M_2.2PG9</vt:lpstr>
      <vt:lpstr>SCH_M_2.3PG1</vt:lpstr>
      <vt:lpstr>SCH_M_2.3PG10</vt:lpstr>
      <vt:lpstr>'Rate DS RTP (As-Filed)'!SCH_M_2.3PG11</vt:lpstr>
      <vt:lpstr>SCH_M_2.3PG11</vt:lpstr>
      <vt:lpstr>SCH_M_2.3PG12</vt:lpstr>
      <vt:lpstr>SCH_M_2.3PG13</vt:lpstr>
      <vt:lpstr>SCH_M_2.3PG14</vt:lpstr>
      <vt:lpstr>SCH_M_2.3PG15</vt:lpstr>
      <vt:lpstr>SCH_M_2.3PG16</vt:lpstr>
      <vt:lpstr>SCH_M_2.3PG17</vt:lpstr>
      <vt:lpstr>SCH_M_2.3PG18</vt:lpstr>
      <vt:lpstr>SCH_M_2.3PG19</vt:lpstr>
      <vt:lpstr>SCH_M_2.3PG2</vt:lpstr>
      <vt:lpstr>SCH_M_2.3PG20</vt:lpstr>
      <vt:lpstr>SCH_M_2.3PG21</vt:lpstr>
      <vt:lpstr>SCH_M_2.3PG22</vt:lpstr>
      <vt:lpstr>SCH_M_2.3PG23</vt:lpstr>
      <vt:lpstr>SCH_M_2.3PG24</vt:lpstr>
      <vt:lpstr>'Rate DS (As-Filed)'!SCH_M_2.3PG3</vt:lpstr>
      <vt:lpstr>SCH_M_2.3PG3</vt:lpstr>
      <vt:lpstr>SCH_M_2.3PG4</vt:lpstr>
      <vt:lpstr>SCH_M_2.3PG5</vt:lpstr>
      <vt:lpstr>SCH_M_2.3PG6</vt:lpstr>
      <vt:lpstr>SCH_M_2.3PG7</vt:lpstr>
      <vt:lpstr>SCH_M_2.3PG8</vt:lpstr>
      <vt:lpstr>SCH_M_2.3PG9</vt:lpstr>
      <vt:lpstr>'SCH N (As-Filed)'!SCH_N_1</vt:lpstr>
      <vt:lpstr>SCH_N_1</vt:lpstr>
      <vt:lpstr>'SCH N (As-Filed)'!SCH_N_2</vt:lpstr>
      <vt:lpstr>SCH_N_2</vt:lpstr>
      <vt:lpstr>'SCH N (As-Filed)'!SCH_N_3</vt:lpstr>
      <vt:lpstr>SCH_N_3</vt:lpstr>
      <vt:lpstr>'SCH N (As-Filed)'!SCH_N_4</vt:lpstr>
      <vt:lpstr>SCH_N_4</vt:lpstr>
      <vt:lpstr>'SCH N (As-Filed)'!SCH_N_5</vt:lpstr>
      <vt:lpstr>SCH_N_5</vt:lpstr>
      <vt:lpstr>SERVICE</vt:lpstr>
      <vt:lpstr>TIME</vt:lpstr>
      <vt:lpstr>TITLE</vt:lpstr>
      <vt:lpstr>TT_MSRE</vt:lpstr>
      <vt:lpstr>TYPE</vt:lpstr>
      <vt:lpstr>WIT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Sch M Test Period</dc:subject>
  <dc:creator>RAA</dc:creator>
  <cp:lastModifiedBy>Justin Bieber</cp:lastModifiedBy>
  <cp:lastPrinted>2025-03-04T20:38:41Z</cp:lastPrinted>
  <dcterms:created xsi:type="dcterms:W3CDTF">1998-01-02T15:10:02Z</dcterms:created>
  <dcterms:modified xsi:type="dcterms:W3CDTF">2025-03-05T05:40:30Z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0x0101003D97EAA8D040AD48BEDD7511195E98CF</vt:lpwstr>
  </property>
  <property fmtid="{D5CDD505-2E9C-101B-9397-08002B2CF9AE}" pid="3" name="MediaServiceImageTags">
    <vt:lpwstr/>
  </property>
</Properties>
</file>